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slicers/slicer1.xml" ContentType="application/vnd.ms-excel.slicer+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9.xml" ContentType="application/vnd.openxmlformats-officedocument.spreadsheetml.table+xml"/>
  <Override PartName="/xl/charts/chart3.xml" ContentType="application/vnd.openxmlformats-officedocument.drawingml.chart+xml"/>
  <Override PartName="/xl/theme/themeOverride1.xml" ContentType="application/vnd.openxmlformats-officedocument.themeOverrid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drawings/drawing6.xml" ContentType="application/vnd.openxmlformats-officedocument.drawing+xml"/>
  <Override PartName="/xl/tables/table24.xml" ContentType="application/vnd.openxmlformats-officedocument.spreadsheetml.tab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drawings/drawing7.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tables/table3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updateLinks="always" hidePivotFieldList="1"/>
  <mc:AlternateContent xmlns:mc="http://schemas.openxmlformats.org/markup-compatibility/2006">
    <mc:Choice Requires="x15">
      <x15ac:absPath xmlns:x15ac="http://schemas.microsoft.com/office/spreadsheetml/2010/11/ac" url="C:\Users\timbe\Documents\Kegeln\Saison25_26\"/>
    </mc:Choice>
  </mc:AlternateContent>
  <xr:revisionPtr revIDLastSave="0" documentId="13_ncr:1_{D747AE67-E026-40CC-BE6D-929B62DD1829}" xr6:coauthVersionLast="47" xr6:coauthVersionMax="47" xr10:uidLastSave="{00000000-0000-0000-0000-000000000000}"/>
  <bookViews>
    <workbookView xWindow="-108" yWindow="-108" windowWidth="23256" windowHeight="12576" activeTab="4" xr2:uid="{6F1E16B7-6CFF-41A9-B842-8C08395AC425}"/>
  </bookViews>
  <sheets>
    <sheet name="Kalender" sheetId="65" r:id="rId1"/>
    <sheet name="Export" sheetId="63" r:id="rId2"/>
    <sheet name="Übersicht" sheetId="3" r:id="rId3"/>
    <sheet name="Kopiervorlage" sheetId="75" r:id="rId4"/>
    <sheet name="Eingabe" sheetId="19" r:id="rId5"/>
    <sheet name="Auswertung" sheetId="56" r:id="rId6"/>
    <sheet name="Koeffizienten" sheetId="76" r:id="rId7"/>
    <sheet name="Einzel" sheetId="49" r:id="rId8"/>
    <sheet name="Rekorde" sheetId="46" r:id="rId9"/>
    <sheet name="Teamverlauf" sheetId="26" r:id="rId10"/>
    <sheet name="Vergleich" sheetId="53" r:id="rId11"/>
    <sheet name="Saisons" sheetId="27" r:id="rId12"/>
    <sheet name="Position" sheetId="55" r:id="rId13"/>
    <sheet name="Position_Ergebnis" sheetId="59" r:id="rId14"/>
    <sheet name="MP" sheetId="48" r:id="rId15"/>
    <sheet name="Bahnen Hirschfeld" sheetId="58" r:id="rId16"/>
    <sheet name="Volle" sheetId="74" r:id="rId17"/>
    <sheet name="Rang" sheetId="61" r:id="rId18"/>
    <sheet name="Vorjahr" sheetId="64" r:id="rId19"/>
  </sheets>
  <definedNames>
    <definedName name="Datenschnitt_L_P_E">#N/A</definedName>
    <definedName name="Datenschnitt_ST">#N/A</definedName>
    <definedName name="Datenschnitt_Team">#N/A</definedName>
    <definedName name="Einzelfilter_Gegner">OFFSET(Einzel!$D$10,0,0,COUNTA(Einzel!$D$10:$D$39),1)</definedName>
    <definedName name="Einzelfilter_Gesamt">OFFSET(Einzel!$E$10,0,0,COUNTA(Einzel!$E$10:$E$39),1)</definedName>
    <definedName name="Einzelfilter_Räumer">OFFSET(Einzel!$G$10,0,0,COUNTA(Einzel!$G$10:$G$39),1)</definedName>
    <definedName name="Einzelfilter_Schnitt">OFFSET(Einzel!$H$10,0,0,COUNTA(Einzel!$H$10:$H$39),1)</definedName>
    <definedName name="Einzelfilter_Volle">OFFSET(Einzel!$F$10,0,0,COUNTA(Einzel!$F$10:$F$39),1)</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0"/>
        <x14:slicerCache r:id="rId21"/>
        <x14:slicerCache r:id="rId2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 i="76" l="1"/>
  <c r="V2" i="76"/>
  <c r="AA93" i="3"/>
  <c r="AZ777" i="19"/>
  <c r="AZ778" i="19"/>
  <c r="AZ779" i="19"/>
  <c r="AZ780" i="19"/>
  <c r="AZ781" i="19"/>
  <c r="AZ782" i="19"/>
  <c r="AZ783" i="19"/>
  <c r="AZ784" i="19"/>
  <c r="AZ785" i="19"/>
  <c r="AZ786" i="19"/>
  <c r="AZ787" i="19"/>
  <c r="AZ788" i="19"/>
  <c r="AZ789" i="19"/>
  <c r="AZ790" i="19"/>
  <c r="M3" i="76"/>
  <c r="M4" i="76" s="1"/>
  <c r="M5" i="76" s="1"/>
  <c r="M6" i="76" s="1"/>
  <c r="M7" i="76" s="1"/>
  <c r="M8" i="76" s="1"/>
  <c r="M9" i="76" s="1"/>
  <c r="M10" i="76" s="1"/>
  <c r="M11" i="76" s="1"/>
  <c r="L3" i="76"/>
  <c r="L4" i="76" s="1"/>
  <c r="L5" i="76" s="1"/>
  <c r="L6" i="76" s="1"/>
  <c r="L7" i="76" s="1"/>
  <c r="L8" i="76" s="1"/>
  <c r="L9" i="76" s="1"/>
  <c r="L10" i="76" s="1"/>
  <c r="L11" i="76" s="1"/>
  <c r="K2" i="76" a="1"/>
  <c r="K2" i="76" s="1"/>
  <c r="L7" i="49" l="1"/>
  <c r="L6" i="49"/>
  <c r="L5" i="49"/>
  <c r="AA92" i="3"/>
  <c r="AX425" i="19"/>
  <c r="AW425" i="19"/>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AA91" i="3"/>
  <c r="A6" i="75"/>
  <c r="A11" i="75"/>
  <c r="A16" i="75"/>
  <c r="A21" i="75"/>
  <c r="C22" i="75"/>
  <c r="C23" i="75"/>
  <c r="C24" i="75"/>
  <c r="A26" i="75"/>
  <c r="A31" i="75"/>
  <c r="A36" i="75"/>
  <c r="C37" i="75" s="1"/>
  <c r="C38" i="75"/>
  <c r="A41" i="75"/>
  <c r="A46" i="75"/>
  <c r="A51" i="75"/>
  <c r="C52" i="75" s="1"/>
  <c r="A56" i="75"/>
  <c r="C59" i="75" s="1"/>
  <c r="C57" i="75"/>
  <c r="C58" i="75"/>
  <c r="A61" i="75"/>
  <c r="A66" i="75"/>
  <c r="R67" i="75" s="1"/>
  <c r="D67" i="75"/>
  <c r="R68" i="75"/>
  <c r="A71" i="75"/>
  <c r="C72" i="75" s="1"/>
  <c r="C73" i="75"/>
  <c r="A76" i="75"/>
  <c r="A81" i="75"/>
  <c r="C82" i="75" s="1"/>
  <c r="A86" i="75"/>
  <c r="A91" i="75"/>
  <c r="A96" i="75"/>
  <c r="A101" i="75"/>
  <c r="C102" i="75" s="1"/>
  <c r="C104" i="75"/>
  <c r="A106" i="75"/>
  <c r="A111" i="75"/>
  <c r="A116" i="75"/>
  <c r="A121" i="75"/>
  <c r="C122" i="75"/>
  <c r="A126" i="75"/>
  <c r="C127" i="75" s="1"/>
  <c r="C128" i="75"/>
  <c r="A131" i="75"/>
  <c r="A136" i="75"/>
  <c r="A141" i="75"/>
  <c r="A146" i="75"/>
  <c r="A151" i="75"/>
  <c r="C153" i="75" s="1"/>
  <c r="A156" i="75"/>
  <c r="C158" i="75"/>
  <c r="A161" i="75"/>
  <c r="A166" i="75"/>
  <c r="C167" i="75"/>
  <c r="A171" i="75"/>
  <c r="C174" i="75" s="1"/>
  <c r="A176" i="75"/>
  <c r="A181" i="75"/>
  <c r="A186" i="75"/>
  <c r="A191" i="75"/>
  <c r="A196" i="75"/>
  <c r="AA90" i="3"/>
  <c r="B50" i="55"/>
  <c r="B102" i="55" s="1"/>
  <c r="B154" i="55" s="1"/>
  <c r="AU777" i="19"/>
  <c r="AU778" i="19"/>
  <c r="AU779" i="19"/>
  <c r="AU780" i="19"/>
  <c r="AU781" i="19"/>
  <c r="AU782" i="19"/>
  <c r="AU783" i="19"/>
  <c r="AU784" i="19"/>
  <c r="AU785" i="19"/>
  <c r="AU786" i="19"/>
  <c r="AU787" i="19"/>
  <c r="AU788" i="19"/>
  <c r="AU789" i="19"/>
  <c r="AU790" i="19"/>
  <c r="A19" i="3"/>
  <c r="O71" i="3"/>
  <c r="O72" i="3"/>
  <c r="O73" i="3"/>
  <c r="O74" i="3"/>
  <c r="O75" i="3"/>
  <c r="O76" i="3"/>
  <c r="O77" i="3"/>
  <c r="O78" i="3"/>
  <c r="O79" i="3"/>
  <c r="L79" i="3"/>
  <c r="L80" i="3"/>
  <c r="L82" i="3"/>
  <c r="L83" i="3"/>
  <c r="L84" i="3"/>
  <c r="L85" i="3"/>
  <c r="L86"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AA89" i="3"/>
  <c r="AA88" i="3"/>
  <c r="C3" i="65" a="1"/>
  <c r="C3" i="65" s="1"/>
  <c r="S3" i="3"/>
  <c r="V3" i="3" s="1"/>
  <c r="S4" i="3"/>
  <c r="V4" i="3" s="1"/>
  <c r="S5" i="3"/>
  <c r="V5" i="3" s="1"/>
  <c r="S6" i="3"/>
  <c r="V6" i="3" s="1"/>
  <c r="S7" i="3"/>
  <c r="V7" i="3" s="1"/>
  <c r="S8" i="3"/>
  <c r="V8" i="3" s="1"/>
  <c r="S9" i="3"/>
  <c r="V9" i="3" s="1"/>
  <c r="S10" i="3"/>
  <c r="V10" i="3" s="1"/>
  <c r="S11" i="3"/>
  <c r="V11" i="3" s="1"/>
  <c r="S12" i="3"/>
  <c r="V12" i="3" s="1"/>
  <c r="S13" i="3"/>
  <c r="V13" i="3" s="1"/>
  <c r="S14" i="3"/>
  <c r="V14" i="3" s="1"/>
  <c r="S15" i="3"/>
  <c r="V15" i="3" s="1"/>
  <c r="S16" i="3"/>
  <c r="V16" i="3" s="1"/>
  <c r="S17" i="3"/>
  <c r="V17" i="3" s="1"/>
  <c r="S18" i="3"/>
  <c r="V18" i="3" s="1"/>
  <c r="S19" i="3"/>
  <c r="V19" i="3" s="1"/>
  <c r="S20" i="3"/>
  <c r="V20" i="3" s="1"/>
  <c r="S21" i="3"/>
  <c r="V21" i="3" s="1"/>
  <c r="S22" i="3"/>
  <c r="V22" i="3" s="1"/>
  <c r="S23" i="3"/>
  <c r="V23" i="3" s="1"/>
  <c r="S24" i="3"/>
  <c r="V24" i="3" s="1"/>
  <c r="S25" i="3"/>
  <c r="V25" i="3" s="1"/>
  <c r="S26" i="3"/>
  <c r="V26" i="3" s="1"/>
  <c r="S27" i="3"/>
  <c r="S28" i="3"/>
  <c r="S29" i="3"/>
  <c r="S30" i="3"/>
  <c r="S31" i="3"/>
  <c r="S32" i="3"/>
  <c r="S33" i="3"/>
  <c r="S34" i="3"/>
  <c r="V34" i="3" s="1"/>
  <c r="S35" i="3"/>
  <c r="V35" i="3" s="1"/>
  <c r="S36" i="3"/>
  <c r="V36" i="3" s="1"/>
  <c r="S37" i="3"/>
  <c r="V37" i="3" s="1"/>
  <c r="S38" i="3"/>
  <c r="V38" i="3" s="1"/>
  <c r="S39" i="3"/>
  <c r="V39" i="3" s="1"/>
  <c r="S40" i="3"/>
  <c r="V40" i="3" s="1"/>
  <c r="S41" i="3"/>
  <c r="V41" i="3" s="1"/>
  <c r="S42" i="3"/>
  <c r="V42" i="3" s="1"/>
  <c r="S43" i="3"/>
  <c r="V43" i="3" s="1"/>
  <c r="S44" i="3"/>
  <c r="V44" i="3" s="1"/>
  <c r="S45" i="3"/>
  <c r="V45" i="3" s="1"/>
  <c r="S46" i="3"/>
  <c r="V46" i="3" s="1"/>
  <c r="S47" i="3"/>
  <c r="V47" i="3" s="1"/>
  <c r="S48" i="3"/>
  <c r="V48" i="3" s="1"/>
  <c r="S49" i="3"/>
  <c r="V49" i="3" s="1"/>
  <c r="S50" i="3"/>
  <c r="V50" i="3" s="1"/>
  <c r="S51" i="3"/>
  <c r="V51" i="3" s="1"/>
  <c r="S52" i="3"/>
  <c r="V52" i="3" s="1"/>
  <c r="S53" i="3"/>
  <c r="V53" i="3" s="1"/>
  <c r="S54" i="3"/>
  <c r="V54" i="3" s="1"/>
  <c r="S55" i="3"/>
  <c r="V55" i="3" s="1"/>
  <c r="S56" i="3"/>
  <c r="V56" i="3" s="1"/>
  <c r="S57" i="3"/>
  <c r="V57" i="3" s="1"/>
  <c r="S58" i="3"/>
  <c r="V58" i="3" s="1"/>
  <c r="S59" i="3"/>
  <c r="V59" i="3" s="1"/>
  <c r="S60" i="3"/>
  <c r="V60" i="3" s="1"/>
  <c r="S61" i="3"/>
  <c r="V61" i="3" s="1"/>
  <c r="S62" i="3"/>
  <c r="V62" i="3" s="1"/>
  <c r="S63" i="3"/>
  <c r="V63" i="3" s="1"/>
  <c r="S64" i="3"/>
  <c r="V64" i="3" s="1"/>
  <c r="S65" i="3"/>
  <c r="V65" i="3" s="1"/>
  <c r="S66" i="3"/>
  <c r="V66" i="3" s="1"/>
  <c r="S67" i="3"/>
  <c r="V67" i="3" s="1"/>
  <c r="S68" i="3"/>
  <c r="V68" i="3" s="1"/>
  <c r="S69" i="3"/>
  <c r="V69" i="3" s="1"/>
  <c r="S70" i="3"/>
  <c r="V70" i="3" s="1"/>
  <c r="S71" i="3"/>
  <c r="V71" i="3" s="1"/>
  <c r="S72" i="3"/>
  <c r="V72" i="3" s="1"/>
  <c r="S73" i="3"/>
  <c r="V73" i="3" s="1"/>
  <c r="S74" i="3"/>
  <c r="V74" i="3" s="1"/>
  <c r="S75" i="3"/>
  <c r="V75" i="3" s="1"/>
  <c r="S76" i="3"/>
  <c r="V76" i="3" s="1"/>
  <c r="S77" i="3"/>
  <c r="V77" i="3" s="1"/>
  <c r="S78" i="3"/>
  <c r="V78" i="3" s="1"/>
  <c r="S79" i="3"/>
  <c r="V79" i="3" s="1"/>
  <c r="S80" i="3"/>
  <c r="V80" i="3" s="1"/>
  <c r="S81" i="3"/>
  <c r="V81" i="3" s="1"/>
  <c r="S82" i="3"/>
  <c r="V82" i="3" s="1"/>
  <c r="S83" i="3"/>
  <c r="V83" i="3" s="1"/>
  <c r="S84" i="3"/>
  <c r="V84" i="3" s="1"/>
  <c r="S85" i="3"/>
  <c r="V85" i="3" s="1"/>
  <c r="S86" i="3"/>
  <c r="V86" i="3" s="1"/>
  <c r="S87" i="3"/>
  <c r="V87" i="3" s="1"/>
  <c r="S88" i="3"/>
  <c r="V88" i="3" s="1"/>
  <c r="S89" i="3"/>
  <c r="V89" i="3" s="1"/>
  <c r="S90" i="3"/>
  <c r="V90" i="3" s="1"/>
  <c r="S91" i="3"/>
  <c r="V91" i="3" s="1"/>
  <c r="S92" i="3"/>
  <c r="V92" i="3" s="1"/>
  <c r="S93" i="3"/>
  <c r="V93" i="3" s="1"/>
  <c r="S94" i="3"/>
  <c r="V94" i="3" s="1"/>
  <c r="S95" i="3"/>
  <c r="V95" i="3" s="1"/>
  <c r="S96" i="3"/>
  <c r="V96" i="3" s="1"/>
  <c r="S97" i="3"/>
  <c r="V97" i="3" s="1"/>
  <c r="S98" i="3"/>
  <c r="V98" i="3" s="1"/>
  <c r="S99" i="3"/>
  <c r="V99" i="3" s="1"/>
  <c r="S100" i="3"/>
  <c r="V100" i="3" s="1"/>
  <c r="S101" i="3"/>
  <c r="V101" i="3" s="1"/>
  <c r="S102" i="3"/>
  <c r="V102" i="3" s="1"/>
  <c r="S103" i="3"/>
  <c r="V103" i="3" s="1"/>
  <c r="S104" i="3"/>
  <c r="V104" i="3" s="1"/>
  <c r="S105" i="3"/>
  <c r="V105" i="3" s="1"/>
  <c r="S106" i="3"/>
  <c r="V106" i="3" s="1"/>
  <c r="S107" i="3"/>
  <c r="V107" i="3" s="1"/>
  <c r="S108" i="3"/>
  <c r="V108" i="3" s="1"/>
  <c r="S109" i="3"/>
  <c r="V109" i="3" s="1"/>
  <c r="S110" i="3"/>
  <c r="V110" i="3" s="1"/>
  <c r="S111" i="3"/>
  <c r="V111" i="3" s="1"/>
  <c r="S112" i="3"/>
  <c r="V112" i="3" s="1"/>
  <c r="S113" i="3"/>
  <c r="V113" i="3" s="1"/>
  <c r="S114" i="3"/>
  <c r="V114" i="3" s="1"/>
  <c r="S115" i="3"/>
  <c r="V115" i="3" s="1"/>
  <c r="S116" i="3"/>
  <c r="V116" i="3" s="1"/>
  <c r="S117" i="3"/>
  <c r="V117" i="3" s="1"/>
  <c r="S118" i="3"/>
  <c r="V118" i="3" s="1"/>
  <c r="S119" i="3"/>
  <c r="V119" i="3" s="1"/>
  <c r="S120" i="3"/>
  <c r="V120" i="3" s="1"/>
  <c r="S121" i="3"/>
  <c r="V121" i="3" s="1"/>
  <c r="S122" i="3"/>
  <c r="V122" i="3" s="1"/>
  <c r="S123" i="3"/>
  <c r="V123" i="3" s="1"/>
  <c r="S124" i="3"/>
  <c r="V124" i="3" s="1"/>
  <c r="S125" i="3"/>
  <c r="V125" i="3" s="1"/>
  <c r="AA87" i="3"/>
  <c r="AA86" i="3"/>
  <c r="AA85"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AA84"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AA83" i="3"/>
  <c r="AA82" i="3"/>
  <c r="B36" i="53" a="1"/>
  <c r="B36" i="53" s="1"/>
  <c r="D36" i="53" s="1"/>
  <c r="C103" i="75" l="1"/>
  <c r="C54" i="75"/>
  <c r="R69" i="75"/>
  <c r="C53" i="75"/>
  <c r="C129" i="75"/>
  <c r="D69" i="75"/>
  <c r="C84" i="75"/>
  <c r="C83" i="75"/>
  <c r="C147" i="75"/>
  <c r="C109" i="75"/>
  <c r="C107" i="75"/>
  <c r="C162" i="75"/>
  <c r="C199" i="75"/>
  <c r="C193" i="75"/>
  <c r="C157" i="75"/>
  <c r="C159" i="75"/>
  <c r="C178" i="75"/>
  <c r="C189" i="75"/>
  <c r="C187" i="75"/>
  <c r="C197" i="75"/>
  <c r="C188" i="75"/>
  <c r="C142" i="75"/>
  <c r="C144" i="75"/>
  <c r="C143" i="75"/>
  <c r="C93" i="75"/>
  <c r="C67" i="75"/>
  <c r="C68" i="75"/>
  <c r="C28" i="75"/>
  <c r="C77" i="75"/>
  <c r="C79" i="75"/>
  <c r="C62" i="75"/>
  <c r="C27" i="75"/>
  <c r="C39" i="75"/>
  <c r="C154" i="75"/>
  <c r="C152" i="75"/>
  <c r="C139" i="75"/>
  <c r="C137" i="75"/>
  <c r="C97" i="75"/>
  <c r="C63" i="75"/>
  <c r="C183" i="75"/>
  <c r="C32" i="75"/>
  <c r="C34" i="75"/>
  <c r="C33" i="75"/>
  <c r="C179" i="75"/>
  <c r="C177" i="75"/>
  <c r="C169" i="75"/>
  <c r="C138" i="75"/>
  <c r="C173" i="75"/>
  <c r="C114" i="75"/>
  <c r="C163" i="75"/>
  <c r="C164" i="75"/>
  <c r="C148" i="75"/>
  <c r="C92" i="75"/>
  <c r="C94" i="75"/>
  <c r="C198" i="75"/>
  <c r="C194" i="75"/>
  <c r="C192" i="75"/>
  <c r="C119" i="75"/>
  <c r="C168" i="75"/>
  <c r="C113" i="75"/>
  <c r="C184" i="75"/>
  <c r="C182" i="75"/>
  <c r="C133" i="75"/>
  <c r="C132" i="75"/>
  <c r="C134" i="75"/>
  <c r="C124" i="75"/>
  <c r="C112" i="75"/>
  <c r="C172" i="75"/>
  <c r="C118" i="75"/>
  <c r="C123" i="75"/>
  <c r="C98" i="75"/>
  <c r="C149" i="75"/>
  <c r="C117" i="75"/>
  <c r="C99" i="75"/>
  <c r="C108" i="75"/>
  <c r="C78" i="75"/>
  <c r="C69" i="75"/>
  <c r="C43" i="75"/>
  <c r="C74" i="75"/>
  <c r="S68" i="75"/>
  <c r="D68" i="75"/>
  <c r="S67" i="75"/>
  <c r="S69" i="75"/>
  <c r="C42" i="75"/>
  <c r="C44" i="75"/>
  <c r="C64" i="75"/>
  <c r="C49" i="75"/>
  <c r="C47" i="75"/>
  <c r="C18" i="75"/>
  <c r="C14" i="75"/>
  <c r="C12" i="75"/>
  <c r="C8" i="75"/>
  <c r="C29" i="75"/>
  <c r="C48" i="75"/>
  <c r="C19" i="75"/>
  <c r="C17" i="75"/>
  <c r="C13" i="75"/>
  <c r="C9" i="75"/>
  <c r="C7" i="75"/>
  <c r="D43" i="53"/>
  <c r="D78" i="53"/>
  <c r="D66" i="53"/>
  <c r="D54" i="53"/>
  <c r="D42" i="53"/>
  <c r="D65" i="53"/>
  <c r="D76" i="53"/>
  <c r="D64" i="53"/>
  <c r="D52" i="53"/>
  <c r="D40" i="53"/>
  <c r="D53" i="53"/>
  <c r="D75" i="53"/>
  <c r="D63" i="53"/>
  <c r="D51" i="53"/>
  <c r="D39" i="53"/>
  <c r="D67" i="53"/>
  <c r="D74" i="53"/>
  <c r="D62" i="53"/>
  <c r="D50" i="53"/>
  <c r="D38" i="53"/>
  <c r="D77" i="53"/>
  <c r="D73" i="53"/>
  <c r="D61" i="53"/>
  <c r="D49" i="53"/>
  <c r="D37" i="53"/>
  <c r="D55" i="53"/>
  <c r="D72" i="53"/>
  <c r="D60" i="53"/>
  <c r="D48" i="53"/>
  <c r="D47" i="53"/>
  <c r="D59" i="53"/>
  <c r="D70" i="53"/>
  <c r="D58" i="53"/>
  <c r="D46" i="53"/>
  <c r="D41" i="53"/>
  <c r="D71" i="53"/>
  <c r="D69" i="53"/>
  <c r="D57" i="53"/>
  <c r="D45" i="53"/>
  <c r="D68" i="53"/>
  <c r="D56" i="53"/>
  <c r="D44" i="53"/>
  <c r="AD18" i="27"/>
  <c r="AC18" i="27"/>
  <c r="AB18" i="27"/>
  <c r="AA81" i="3"/>
  <c r="AA80" i="3"/>
  <c r="AA79" i="3"/>
  <c r="AA78" i="3"/>
  <c r="AA77" i="3"/>
  <c r="B3" i="61" a="1"/>
  <c r="B3" i="61" s="1"/>
  <c r="C47" i="48"/>
  <c r="D47" i="48"/>
  <c r="E47" i="48"/>
  <c r="F47" i="48"/>
  <c r="E125" i="3"/>
  <c r="N125" i="3" s="1"/>
  <c r="F125" i="3"/>
  <c r="U125" i="3"/>
  <c r="E124" i="3"/>
  <c r="N124" i="3" s="1"/>
  <c r="F124" i="3"/>
  <c r="U124" i="3"/>
  <c r="E123" i="3"/>
  <c r="N123" i="3" s="1"/>
  <c r="F123" i="3"/>
  <c r="U123" i="3"/>
  <c r="E122" i="3"/>
  <c r="N122" i="3" s="1"/>
  <c r="F122" i="3"/>
  <c r="U122" i="3"/>
  <c r="D28" i="46"/>
  <c r="N28" i="46"/>
  <c r="D13" i="46"/>
  <c r="N13" i="46"/>
  <c r="D44" i="46"/>
  <c r="N44" i="46"/>
  <c r="D31" i="46"/>
  <c r="N31" i="46"/>
  <c r="D12" i="46"/>
  <c r="N12" i="46"/>
  <c r="E121" i="3"/>
  <c r="N121" i="3" s="1"/>
  <c r="F121" i="3"/>
  <c r="U121" i="3"/>
  <c r="E120" i="3"/>
  <c r="N120" i="3" s="1"/>
  <c r="F120" i="3"/>
  <c r="U120" i="3"/>
  <c r="E119" i="3"/>
  <c r="N119" i="3" s="1"/>
  <c r="F119" i="3"/>
  <c r="U119" i="3"/>
  <c r="E118" i="3"/>
  <c r="N118" i="3" s="1"/>
  <c r="F118" i="3"/>
  <c r="U118" i="3"/>
  <c r="E115" i="3"/>
  <c r="N115" i="3" s="1"/>
  <c r="F115" i="3"/>
  <c r="U115" i="3"/>
  <c r="E117" i="3"/>
  <c r="N117" i="3" s="1"/>
  <c r="F117" i="3"/>
  <c r="U117" i="3"/>
  <c r="E116" i="3"/>
  <c r="N116" i="3" s="1"/>
  <c r="F116" i="3"/>
  <c r="U116" i="3"/>
  <c r="E114" i="3"/>
  <c r="N114" i="3" s="1"/>
  <c r="F114" i="3"/>
  <c r="U114" i="3"/>
  <c r="E113" i="3"/>
  <c r="N113" i="3" s="1"/>
  <c r="F113" i="3"/>
  <c r="U113" i="3"/>
  <c r="AC244" i="19"/>
  <c r="B46" i="59"/>
  <c r="C46" i="59" s="1"/>
  <c r="B47" i="59"/>
  <c r="V47" i="59" s="1"/>
  <c r="B48" i="59"/>
  <c r="V48" i="59" s="1"/>
  <c r="B49" i="59"/>
  <c r="L49" i="59" s="1"/>
  <c r="B50" i="59"/>
  <c r="L50" i="59" s="1"/>
  <c r="AE3" i="19"/>
  <c r="AE4" i="19"/>
  <c r="AE5" i="19"/>
  <c r="AE6" i="19"/>
  <c r="AE7" i="19"/>
  <c r="AE8" i="19"/>
  <c r="AE9" i="19"/>
  <c r="AE10" i="19"/>
  <c r="AE11" i="19"/>
  <c r="AE12" i="19"/>
  <c r="AE13" i="19"/>
  <c r="AE14" i="19"/>
  <c r="AE15" i="19"/>
  <c r="AE16" i="19"/>
  <c r="AE17" i="19"/>
  <c r="AE18" i="19"/>
  <c r="AE19" i="19"/>
  <c r="AE20" i="19"/>
  <c r="AE21" i="19"/>
  <c r="AE22" i="19"/>
  <c r="AE23" i="19"/>
  <c r="AE24" i="19"/>
  <c r="AE25" i="19"/>
  <c r="AE26" i="19"/>
  <c r="AE27" i="19"/>
  <c r="AE28" i="19"/>
  <c r="AE29" i="19"/>
  <c r="AE30" i="19"/>
  <c r="AE31" i="19"/>
  <c r="AE32" i="19"/>
  <c r="AE33" i="19"/>
  <c r="AE34" i="19"/>
  <c r="AE35" i="19"/>
  <c r="AE36" i="19"/>
  <c r="AE37" i="19"/>
  <c r="AE38" i="19"/>
  <c r="AE39" i="19"/>
  <c r="AE40" i="19"/>
  <c r="AE41" i="19"/>
  <c r="AE42" i="19"/>
  <c r="AE43" i="19"/>
  <c r="AE44" i="19"/>
  <c r="AE45" i="19"/>
  <c r="AE46" i="19"/>
  <c r="AE47" i="19"/>
  <c r="AE48" i="19"/>
  <c r="AE49" i="19"/>
  <c r="AE50" i="19"/>
  <c r="AE51" i="19"/>
  <c r="AE52" i="19"/>
  <c r="AE53" i="19"/>
  <c r="AE54" i="19"/>
  <c r="AE55" i="19"/>
  <c r="AE56" i="19"/>
  <c r="AE57" i="19"/>
  <c r="AE58" i="19"/>
  <c r="AE59" i="19"/>
  <c r="AE60" i="19"/>
  <c r="AE61" i="19"/>
  <c r="AE62" i="19"/>
  <c r="AE63" i="19"/>
  <c r="AE64" i="19"/>
  <c r="AE65" i="19"/>
  <c r="AE66" i="19"/>
  <c r="AE67" i="19"/>
  <c r="AE68" i="19"/>
  <c r="AE69" i="19"/>
  <c r="AE70" i="19"/>
  <c r="AE71" i="19"/>
  <c r="AE72" i="19"/>
  <c r="AE73" i="19"/>
  <c r="AE74" i="19"/>
  <c r="AE75" i="19"/>
  <c r="AE76" i="19"/>
  <c r="AE77" i="19"/>
  <c r="AE78" i="19"/>
  <c r="AE79" i="19"/>
  <c r="AE80" i="19"/>
  <c r="AE81" i="19"/>
  <c r="AE82" i="19"/>
  <c r="AE83" i="19"/>
  <c r="AE84" i="19"/>
  <c r="AE85" i="19"/>
  <c r="AE86" i="19"/>
  <c r="AE87" i="19"/>
  <c r="AE88" i="19"/>
  <c r="AE89" i="19"/>
  <c r="AE90" i="19"/>
  <c r="AE91" i="19"/>
  <c r="AE92" i="19"/>
  <c r="AE93" i="19"/>
  <c r="AE94" i="19"/>
  <c r="AE95" i="19"/>
  <c r="AE96" i="19"/>
  <c r="AE97" i="19"/>
  <c r="AE98" i="19"/>
  <c r="AE99" i="19"/>
  <c r="AE100" i="19"/>
  <c r="AE101" i="19"/>
  <c r="AE102" i="19"/>
  <c r="AE103" i="19"/>
  <c r="AE104" i="19"/>
  <c r="AE105" i="19"/>
  <c r="AE106" i="19"/>
  <c r="AE107" i="19"/>
  <c r="AE108" i="19"/>
  <c r="AE109" i="19"/>
  <c r="AE110" i="19"/>
  <c r="AE111" i="19"/>
  <c r="AE112" i="19"/>
  <c r="AE113" i="19"/>
  <c r="AE114" i="19"/>
  <c r="AE115" i="19"/>
  <c r="AE116" i="19"/>
  <c r="AE117" i="19"/>
  <c r="AE118" i="19"/>
  <c r="AE119" i="19"/>
  <c r="AE120" i="19"/>
  <c r="AE121" i="19"/>
  <c r="AE122" i="19"/>
  <c r="AE123" i="19"/>
  <c r="AE124" i="19"/>
  <c r="AE125" i="19"/>
  <c r="AE126" i="19"/>
  <c r="AE127" i="19"/>
  <c r="AE128" i="19"/>
  <c r="AE129" i="19"/>
  <c r="AE130" i="19"/>
  <c r="AE131" i="19"/>
  <c r="AE132" i="19"/>
  <c r="AE133" i="19"/>
  <c r="AE134" i="19"/>
  <c r="AE135" i="19"/>
  <c r="AE136" i="19"/>
  <c r="AE137" i="19"/>
  <c r="AE138" i="19"/>
  <c r="AE139" i="19"/>
  <c r="AE140" i="19"/>
  <c r="AE141" i="19"/>
  <c r="AE142" i="19"/>
  <c r="AE143" i="19"/>
  <c r="AE144" i="19"/>
  <c r="AE145" i="19"/>
  <c r="AE146" i="19"/>
  <c r="AE147" i="19"/>
  <c r="AE148" i="19"/>
  <c r="AE149" i="19"/>
  <c r="AE150" i="19"/>
  <c r="AE151" i="19"/>
  <c r="AE152" i="19"/>
  <c r="AE153" i="19"/>
  <c r="AE154" i="19"/>
  <c r="AE155" i="19"/>
  <c r="AE156" i="19"/>
  <c r="AE157" i="19"/>
  <c r="AE158" i="19"/>
  <c r="AE159" i="19"/>
  <c r="AE160" i="19"/>
  <c r="AE161" i="19"/>
  <c r="AE162" i="19"/>
  <c r="AE163" i="19"/>
  <c r="AE164" i="19"/>
  <c r="AE165" i="19"/>
  <c r="AE166" i="19"/>
  <c r="AE167" i="19"/>
  <c r="AE168" i="19"/>
  <c r="AE169" i="19"/>
  <c r="AE170" i="19"/>
  <c r="AE171" i="19"/>
  <c r="AE172" i="19"/>
  <c r="AE173" i="19"/>
  <c r="AE174" i="19"/>
  <c r="AE175" i="19"/>
  <c r="AE176" i="19"/>
  <c r="AE177" i="19"/>
  <c r="AE178" i="19"/>
  <c r="AE179" i="19"/>
  <c r="AE180" i="19"/>
  <c r="AE181" i="19"/>
  <c r="AE182" i="19"/>
  <c r="AE183" i="19"/>
  <c r="AE184" i="19"/>
  <c r="AE185" i="19"/>
  <c r="AE186" i="19"/>
  <c r="AE187" i="19"/>
  <c r="AE188" i="19"/>
  <c r="AE189" i="19"/>
  <c r="AE190" i="19"/>
  <c r="AE191" i="19"/>
  <c r="AE192" i="19"/>
  <c r="AE193" i="19"/>
  <c r="AE194" i="19"/>
  <c r="AE195" i="19"/>
  <c r="AE196" i="19"/>
  <c r="AE197" i="19"/>
  <c r="AE198" i="19"/>
  <c r="AE199" i="19"/>
  <c r="AE200" i="19"/>
  <c r="AE201" i="19"/>
  <c r="AE202" i="19"/>
  <c r="AE203" i="19"/>
  <c r="AE204" i="19"/>
  <c r="AE205" i="19"/>
  <c r="AE206" i="19"/>
  <c r="AE207" i="19"/>
  <c r="AE208" i="19"/>
  <c r="AE209" i="19"/>
  <c r="AE210" i="19"/>
  <c r="AE211" i="19"/>
  <c r="AE212" i="19"/>
  <c r="AE213" i="19"/>
  <c r="AE214" i="19"/>
  <c r="AE215" i="19"/>
  <c r="AE216" i="19"/>
  <c r="AE217" i="19"/>
  <c r="AE218" i="19"/>
  <c r="AE219" i="19"/>
  <c r="AE220" i="19"/>
  <c r="AE221" i="19"/>
  <c r="AE222" i="19"/>
  <c r="AE223" i="19"/>
  <c r="AE224" i="19"/>
  <c r="AE225" i="19"/>
  <c r="AE226" i="19"/>
  <c r="AE227" i="19"/>
  <c r="AE228" i="19"/>
  <c r="AE229" i="19"/>
  <c r="AE230" i="19"/>
  <c r="AE231" i="19"/>
  <c r="AE232" i="19"/>
  <c r="AE233" i="19"/>
  <c r="AE234" i="19"/>
  <c r="AE235" i="19"/>
  <c r="AE236" i="19"/>
  <c r="AE237" i="19"/>
  <c r="AE238" i="19"/>
  <c r="AE239" i="19"/>
  <c r="AE240" i="19"/>
  <c r="AE241" i="19"/>
  <c r="AE242" i="19"/>
  <c r="AE243" i="19"/>
  <c r="AE244" i="19"/>
  <c r="AE245" i="19"/>
  <c r="AE246" i="19"/>
  <c r="AE247" i="19"/>
  <c r="AE248" i="19"/>
  <c r="AE249" i="19"/>
  <c r="AE250" i="19"/>
  <c r="AE251" i="19"/>
  <c r="AE252" i="19"/>
  <c r="AE253" i="19"/>
  <c r="AE254" i="19"/>
  <c r="AE255" i="19"/>
  <c r="AE256" i="19"/>
  <c r="AE257" i="19"/>
  <c r="AE258" i="19"/>
  <c r="AE259" i="19"/>
  <c r="AE260" i="19"/>
  <c r="AE261" i="19"/>
  <c r="AE262" i="19"/>
  <c r="AE263" i="19"/>
  <c r="AE264" i="19"/>
  <c r="AE265" i="19"/>
  <c r="AE266" i="19"/>
  <c r="AE267" i="19"/>
  <c r="AE268" i="19"/>
  <c r="AE269" i="19"/>
  <c r="AE270" i="19"/>
  <c r="AE271" i="19"/>
  <c r="AE272" i="19"/>
  <c r="AE273" i="19"/>
  <c r="AE274" i="19"/>
  <c r="AE275" i="19"/>
  <c r="AE276" i="19"/>
  <c r="AE277" i="19"/>
  <c r="AE278" i="19"/>
  <c r="AE279" i="19"/>
  <c r="AE280" i="19"/>
  <c r="AE281" i="19"/>
  <c r="AE282" i="19"/>
  <c r="AE283" i="19"/>
  <c r="AE284" i="19"/>
  <c r="AE285" i="19"/>
  <c r="AE286" i="19"/>
  <c r="AE287" i="19"/>
  <c r="AE288" i="19"/>
  <c r="AE289" i="19"/>
  <c r="AE290" i="19"/>
  <c r="AE291" i="19"/>
  <c r="AE292" i="19"/>
  <c r="AE293" i="19"/>
  <c r="AE294" i="19"/>
  <c r="AE295" i="19"/>
  <c r="AE296" i="19"/>
  <c r="AE297" i="19"/>
  <c r="AE298" i="19"/>
  <c r="AE299" i="19"/>
  <c r="AE300" i="19"/>
  <c r="AE301" i="19"/>
  <c r="AE302" i="19"/>
  <c r="AE303" i="19"/>
  <c r="AE304" i="19"/>
  <c r="AE305" i="19"/>
  <c r="AE306" i="19"/>
  <c r="AE307" i="19"/>
  <c r="AE308" i="19"/>
  <c r="AE309" i="19"/>
  <c r="AE310" i="19"/>
  <c r="AE311" i="19"/>
  <c r="AE312" i="19"/>
  <c r="AE313" i="19"/>
  <c r="AE314" i="19"/>
  <c r="AE315" i="19"/>
  <c r="AE316" i="19"/>
  <c r="AE317" i="19"/>
  <c r="AE318" i="19"/>
  <c r="AE319" i="19"/>
  <c r="AE320" i="19"/>
  <c r="AE321" i="19"/>
  <c r="AE322" i="19"/>
  <c r="AE323" i="19"/>
  <c r="AE324" i="19"/>
  <c r="AE325" i="19"/>
  <c r="AE326" i="19"/>
  <c r="AE327" i="19"/>
  <c r="AE328" i="19"/>
  <c r="AE329" i="19"/>
  <c r="AE330" i="19"/>
  <c r="AE331" i="19"/>
  <c r="AE332" i="19"/>
  <c r="AE333" i="19"/>
  <c r="AE334" i="19"/>
  <c r="AE335" i="19"/>
  <c r="AE336" i="19"/>
  <c r="AE337" i="19"/>
  <c r="AE338" i="19"/>
  <c r="AE339" i="19"/>
  <c r="AE340" i="19"/>
  <c r="AE341" i="19"/>
  <c r="AE342" i="19"/>
  <c r="AE343" i="19"/>
  <c r="AE344" i="19"/>
  <c r="AE345" i="19"/>
  <c r="AE346" i="19"/>
  <c r="AE347" i="19"/>
  <c r="AE348" i="19"/>
  <c r="AE349" i="19"/>
  <c r="AE350" i="19"/>
  <c r="AE351" i="19"/>
  <c r="AE352" i="19"/>
  <c r="AE353" i="19"/>
  <c r="AE354" i="19"/>
  <c r="AE355" i="19"/>
  <c r="AE356" i="19"/>
  <c r="AE357" i="19"/>
  <c r="AE358" i="19"/>
  <c r="AE359" i="19"/>
  <c r="AE360" i="19"/>
  <c r="AE361" i="19"/>
  <c r="AE362" i="19"/>
  <c r="AE363" i="19"/>
  <c r="AE364" i="19"/>
  <c r="AE365" i="19"/>
  <c r="AE366" i="19"/>
  <c r="AE367" i="19"/>
  <c r="AE368" i="19"/>
  <c r="AE369" i="19"/>
  <c r="AE370" i="19"/>
  <c r="AE371" i="19"/>
  <c r="AE372" i="19"/>
  <c r="AE373" i="19"/>
  <c r="AE374" i="19"/>
  <c r="AE375" i="19"/>
  <c r="AE376" i="19"/>
  <c r="AE377" i="19"/>
  <c r="AE378" i="19"/>
  <c r="AE379" i="19"/>
  <c r="AE380" i="19"/>
  <c r="AE381" i="19"/>
  <c r="AE382" i="19"/>
  <c r="AE383" i="19"/>
  <c r="AE384" i="19"/>
  <c r="AE385" i="19"/>
  <c r="AE386" i="19"/>
  <c r="AE387" i="19"/>
  <c r="AE388" i="19"/>
  <c r="AE389" i="19"/>
  <c r="AE390" i="19"/>
  <c r="AE391" i="19"/>
  <c r="AE392" i="19"/>
  <c r="AE393" i="19"/>
  <c r="AE394" i="19"/>
  <c r="AE395" i="19"/>
  <c r="AE396" i="19"/>
  <c r="AE397" i="19"/>
  <c r="AE398" i="19"/>
  <c r="AE399" i="19"/>
  <c r="AE400" i="19"/>
  <c r="AE401" i="19"/>
  <c r="AE402" i="19"/>
  <c r="AE403" i="19"/>
  <c r="AE404" i="19"/>
  <c r="AE405" i="19"/>
  <c r="AE406" i="19"/>
  <c r="AE407" i="19"/>
  <c r="AE408" i="19"/>
  <c r="AE409" i="19"/>
  <c r="AE410" i="19"/>
  <c r="AE411" i="19"/>
  <c r="AE412" i="19"/>
  <c r="AE413" i="19"/>
  <c r="AE414" i="19"/>
  <c r="AE415" i="19"/>
  <c r="AE416" i="19"/>
  <c r="AE417" i="19"/>
  <c r="AE418" i="19"/>
  <c r="AE419" i="19"/>
  <c r="AE420" i="19"/>
  <c r="AE421" i="19"/>
  <c r="AE422" i="19"/>
  <c r="AE423" i="19"/>
  <c r="AE424" i="19"/>
  <c r="AE425" i="19"/>
  <c r="AE426" i="19"/>
  <c r="AE427" i="19"/>
  <c r="AE428" i="19"/>
  <c r="AE429" i="19"/>
  <c r="AE430" i="19"/>
  <c r="AE431" i="19"/>
  <c r="AE432" i="19"/>
  <c r="AE433" i="19"/>
  <c r="AE434" i="19"/>
  <c r="AE435" i="19"/>
  <c r="AE436" i="19"/>
  <c r="AE437" i="19"/>
  <c r="AE438" i="19"/>
  <c r="AE439" i="19"/>
  <c r="AE440" i="19"/>
  <c r="AE441" i="19"/>
  <c r="AE442" i="19"/>
  <c r="AE443" i="19"/>
  <c r="AE444" i="19"/>
  <c r="AE445" i="19"/>
  <c r="AE446" i="19"/>
  <c r="AE447" i="19"/>
  <c r="AE448" i="19"/>
  <c r="AE449" i="19"/>
  <c r="AE450" i="19"/>
  <c r="AE451" i="19"/>
  <c r="AE452" i="19"/>
  <c r="AE453" i="19"/>
  <c r="AE454" i="19"/>
  <c r="AE455" i="19"/>
  <c r="AE456" i="19"/>
  <c r="AE457" i="19"/>
  <c r="AE458" i="19"/>
  <c r="AE459" i="19"/>
  <c r="AE460" i="19"/>
  <c r="AE461" i="19"/>
  <c r="AE462" i="19"/>
  <c r="AE463" i="19"/>
  <c r="AE464" i="19"/>
  <c r="AE465" i="19"/>
  <c r="AE466" i="19"/>
  <c r="AE467" i="19"/>
  <c r="AE468" i="19"/>
  <c r="AE469" i="19"/>
  <c r="AE470" i="19"/>
  <c r="AE471" i="19"/>
  <c r="AE472" i="19"/>
  <c r="AE473" i="19"/>
  <c r="AE474" i="19"/>
  <c r="AE475" i="19"/>
  <c r="AE476" i="19"/>
  <c r="AE477" i="19"/>
  <c r="AE478" i="19"/>
  <c r="AE479" i="19"/>
  <c r="AE480" i="19"/>
  <c r="AE481" i="19"/>
  <c r="AE482" i="19"/>
  <c r="AE483" i="19"/>
  <c r="AE484" i="19"/>
  <c r="AE485" i="19"/>
  <c r="AE486" i="19"/>
  <c r="AE487" i="19"/>
  <c r="AE488" i="19"/>
  <c r="AE489" i="19"/>
  <c r="AE490" i="19"/>
  <c r="AE491" i="19"/>
  <c r="AE492" i="19"/>
  <c r="AE493" i="19"/>
  <c r="AE494" i="19"/>
  <c r="AE495" i="19"/>
  <c r="AE496" i="19"/>
  <c r="AE497" i="19"/>
  <c r="AE498" i="19"/>
  <c r="AE499" i="19"/>
  <c r="AE500" i="19"/>
  <c r="AE501" i="19"/>
  <c r="AE502" i="19"/>
  <c r="AE503" i="19"/>
  <c r="AE504" i="19"/>
  <c r="AE505" i="19"/>
  <c r="AE506" i="19"/>
  <c r="AE507" i="19"/>
  <c r="AE508" i="19"/>
  <c r="AE509" i="19"/>
  <c r="AE510" i="19"/>
  <c r="AE511" i="19"/>
  <c r="AE512" i="19"/>
  <c r="AE513" i="19"/>
  <c r="AE514" i="19"/>
  <c r="AE515" i="19"/>
  <c r="AE516" i="19"/>
  <c r="AE517" i="19"/>
  <c r="AE518" i="19"/>
  <c r="AE519" i="19"/>
  <c r="AE520" i="19"/>
  <c r="AE521" i="19"/>
  <c r="AE522" i="19"/>
  <c r="AE523" i="19"/>
  <c r="AE524" i="19"/>
  <c r="AE525" i="19"/>
  <c r="AE526" i="19"/>
  <c r="AE527" i="19"/>
  <c r="AE528" i="19"/>
  <c r="AE529" i="19"/>
  <c r="AE530" i="19"/>
  <c r="AE531" i="19"/>
  <c r="AE532" i="19"/>
  <c r="AE533" i="19"/>
  <c r="AE534" i="19"/>
  <c r="AE535" i="19"/>
  <c r="AE536" i="19"/>
  <c r="AE537" i="19"/>
  <c r="AE538" i="19"/>
  <c r="AE539" i="19"/>
  <c r="AE540" i="19"/>
  <c r="AE541" i="19"/>
  <c r="AE542" i="19"/>
  <c r="AE543" i="19"/>
  <c r="AE544" i="19"/>
  <c r="AE545" i="19"/>
  <c r="AE546" i="19"/>
  <c r="AE547" i="19"/>
  <c r="AE548" i="19"/>
  <c r="AE549" i="19"/>
  <c r="AE550" i="19"/>
  <c r="AE551" i="19"/>
  <c r="AE552" i="19"/>
  <c r="AE553" i="19"/>
  <c r="AE554" i="19"/>
  <c r="AE555" i="19"/>
  <c r="AE556" i="19"/>
  <c r="AE557" i="19"/>
  <c r="AE558" i="19"/>
  <c r="AE559" i="19"/>
  <c r="AE560" i="19"/>
  <c r="AE561" i="19"/>
  <c r="AE562" i="19"/>
  <c r="AE563" i="19"/>
  <c r="AE564" i="19"/>
  <c r="AE565" i="19"/>
  <c r="AE566" i="19"/>
  <c r="AE567" i="19"/>
  <c r="AE568" i="19"/>
  <c r="AE569" i="19"/>
  <c r="AE570" i="19"/>
  <c r="AE571" i="19"/>
  <c r="AE572" i="19"/>
  <c r="AE573" i="19"/>
  <c r="AE574" i="19"/>
  <c r="AE575" i="19"/>
  <c r="AE576" i="19"/>
  <c r="AE577" i="19"/>
  <c r="AE578" i="19"/>
  <c r="AE579" i="19"/>
  <c r="AE580" i="19"/>
  <c r="AE581" i="19"/>
  <c r="AE582" i="19"/>
  <c r="AE583" i="19"/>
  <c r="AE584" i="19"/>
  <c r="AE585" i="19"/>
  <c r="AE586" i="19"/>
  <c r="AE587" i="19"/>
  <c r="AE588" i="19"/>
  <c r="AE589" i="19"/>
  <c r="AE590" i="19"/>
  <c r="AE591" i="19"/>
  <c r="AE592" i="19"/>
  <c r="AE593" i="19"/>
  <c r="AE594" i="19"/>
  <c r="AE595" i="19"/>
  <c r="AE596" i="19"/>
  <c r="AE597" i="19"/>
  <c r="AE598" i="19"/>
  <c r="AE599" i="19"/>
  <c r="AE600" i="19"/>
  <c r="AE601" i="19"/>
  <c r="AE602" i="19"/>
  <c r="AE603" i="19"/>
  <c r="AE604" i="19"/>
  <c r="AE605" i="19"/>
  <c r="AE606" i="19"/>
  <c r="AE607" i="19"/>
  <c r="AE608" i="19"/>
  <c r="AE609" i="19"/>
  <c r="AE610" i="19"/>
  <c r="AE611" i="19"/>
  <c r="AE612" i="19"/>
  <c r="AE613" i="19"/>
  <c r="AE614" i="19"/>
  <c r="AE615" i="19"/>
  <c r="AE616" i="19"/>
  <c r="AE617" i="19"/>
  <c r="AE618" i="19"/>
  <c r="AE619" i="19"/>
  <c r="AE620" i="19"/>
  <c r="AE621" i="19"/>
  <c r="AE622" i="19"/>
  <c r="AE623" i="19"/>
  <c r="AE624" i="19"/>
  <c r="AE625" i="19"/>
  <c r="AE626" i="19"/>
  <c r="AE627" i="19"/>
  <c r="AE628" i="19"/>
  <c r="AE629" i="19"/>
  <c r="AE630" i="19"/>
  <c r="AE631" i="19"/>
  <c r="AE632" i="19"/>
  <c r="AE633" i="19"/>
  <c r="AE634" i="19"/>
  <c r="AE635" i="19"/>
  <c r="AE636" i="19"/>
  <c r="AE637" i="19"/>
  <c r="AE638" i="19"/>
  <c r="AE639" i="19"/>
  <c r="AE640" i="19"/>
  <c r="AE641" i="19"/>
  <c r="AE642" i="19"/>
  <c r="AE643" i="19"/>
  <c r="AE644" i="19"/>
  <c r="AE645" i="19"/>
  <c r="AE646" i="19"/>
  <c r="AE647" i="19"/>
  <c r="AE648" i="19"/>
  <c r="AE649" i="19"/>
  <c r="AE650" i="19"/>
  <c r="AE651" i="19"/>
  <c r="AE652" i="19"/>
  <c r="AE653" i="19"/>
  <c r="AE654" i="19"/>
  <c r="AE655" i="19"/>
  <c r="AE656" i="19"/>
  <c r="AE657" i="19"/>
  <c r="AE658" i="19"/>
  <c r="AE659" i="19"/>
  <c r="AE660" i="19"/>
  <c r="AE661" i="19"/>
  <c r="AE662" i="19"/>
  <c r="AE663" i="19"/>
  <c r="AE664" i="19"/>
  <c r="AE665" i="19"/>
  <c r="AE666" i="19"/>
  <c r="AE667" i="19"/>
  <c r="AE668" i="19"/>
  <c r="AE669" i="19"/>
  <c r="AE670" i="19"/>
  <c r="AE671" i="19"/>
  <c r="AE672" i="19"/>
  <c r="AE673" i="19"/>
  <c r="AE674" i="19"/>
  <c r="AE675" i="19"/>
  <c r="AE676" i="19"/>
  <c r="AE677" i="19"/>
  <c r="AE678" i="19"/>
  <c r="AE679" i="19"/>
  <c r="AE680" i="19"/>
  <c r="AE681" i="19"/>
  <c r="AE682" i="19"/>
  <c r="AE683" i="19"/>
  <c r="AE684" i="19"/>
  <c r="AE685" i="19"/>
  <c r="AE686" i="19"/>
  <c r="AE687" i="19"/>
  <c r="AE688" i="19"/>
  <c r="AE689" i="19"/>
  <c r="AE690" i="19"/>
  <c r="AE691" i="19"/>
  <c r="AE692" i="19"/>
  <c r="AE693" i="19"/>
  <c r="AE694" i="19"/>
  <c r="AE695" i="19"/>
  <c r="AE696" i="19"/>
  <c r="AE697" i="19"/>
  <c r="AE698" i="19"/>
  <c r="AE699" i="19"/>
  <c r="AE700" i="19"/>
  <c r="AE701" i="19"/>
  <c r="AE702" i="19"/>
  <c r="AE703" i="19"/>
  <c r="AE704" i="19"/>
  <c r="AE705" i="19"/>
  <c r="AE706" i="19"/>
  <c r="AE707" i="19"/>
  <c r="AE708" i="19"/>
  <c r="AE709" i="19"/>
  <c r="AE710" i="19"/>
  <c r="AE711" i="19"/>
  <c r="AE712" i="19"/>
  <c r="AE713" i="19"/>
  <c r="AE714" i="19"/>
  <c r="AE715" i="19"/>
  <c r="AE716" i="19"/>
  <c r="AE717" i="19"/>
  <c r="AE718" i="19"/>
  <c r="AE719" i="19"/>
  <c r="AE720" i="19"/>
  <c r="AE721" i="19"/>
  <c r="AE722" i="19"/>
  <c r="AE723" i="19"/>
  <c r="AE724" i="19"/>
  <c r="AE725" i="19"/>
  <c r="AE726" i="19"/>
  <c r="AE727" i="19"/>
  <c r="AE728" i="19"/>
  <c r="AE729" i="19"/>
  <c r="AE730" i="19"/>
  <c r="AE731" i="19"/>
  <c r="AE732" i="19"/>
  <c r="AE733" i="19"/>
  <c r="AE734" i="19"/>
  <c r="AE735" i="19"/>
  <c r="AE736" i="19"/>
  <c r="AE737" i="19"/>
  <c r="AE738" i="19"/>
  <c r="AE739" i="19"/>
  <c r="AE740" i="19"/>
  <c r="AE741" i="19"/>
  <c r="AE742" i="19"/>
  <c r="AE743" i="19"/>
  <c r="AE744" i="19"/>
  <c r="AE745" i="19"/>
  <c r="AE746" i="19"/>
  <c r="AE747" i="19"/>
  <c r="AE748" i="19"/>
  <c r="AE749" i="19"/>
  <c r="AE750" i="19"/>
  <c r="AE751" i="19"/>
  <c r="AE752" i="19"/>
  <c r="AE753" i="19"/>
  <c r="AE754" i="19"/>
  <c r="AE755" i="19"/>
  <c r="AE756" i="19"/>
  <c r="AE757" i="19"/>
  <c r="AE758" i="19"/>
  <c r="AE759" i="19"/>
  <c r="AE760" i="19"/>
  <c r="AE761" i="19"/>
  <c r="AE762" i="19"/>
  <c r="AE763" i="19"/>
  <c r="AE764" i="19"/>
  <c r="AE765" i="19"/>
  <c r="AE766" i="19"/>
  <c r="AE767" i="19"/>
  <c r="AE768" i="19"/>
  <c r="AE769" i="19"/>
  <c r="AE770" i="19"/>
  <c r="AE771" i="19"/>
  <c r="AE772" i="19"/>
  <c r="AE773" i="19"/>
  <c r="AE774" i="19"/>
  <c r="AE775" i="19"/>
  <c r="AE776" i="19"/>
  <c r="AE777" i="19"/>
  <c r="AE778" i="19"/>
  <c r="AE779" i="19"/>
  <c r="AE780" i="19"/>
  <c r="AE781" i="19"/>
  <c r="AE782" i="19"/>
  <c r="AE783" i="19"/>
  <c r="AE784" i="19"/>
  <c r="AE785" i="19"/>
  <c r="AE786" i="19"/>
  <c r="AE787" i="19"/>
  <c r="AE788" i="19"/>
  <c r="AE789" i="19"/>
  <c r="AE790" i="19"/>
  <c r="AE791" i="19"/>
  <c r="AE792" i="19"/>
  <c r="AE793" i="19"/>
  <c r="AE794" i="19"/>
  <c r="AE795" i="19"/>
  <c r="AE796" i="19"/>
  <c r="AE797" i="19"/>
  <c r="AE798" i="19"/>
  <c r="AE799" i="19"/>
  <c r="AE800" i="19"/>
  <c r="AD3" i="19"/>
  <c r="AD4" i="19"/>
  <c r="AD5" i="19"/>
  <c r="AD6" i="19"/>
  <c r="AD7" i="19"/>
  <c r="AD8" i="19"/>
  <c r="AD9" i="19"/>
  <c r="AD10" i="19"/>
  <c r="AD11" i="19"/>
  <c r="AD12" i="19"/>
  <c r="AD13" i="19"/>
  <c r="AD14" i="19"/>
  <c r="AD15" i="19"/>
  <c r="AD16" i="19"/>
  <c r="AD17" i="19"/>
  <c r="AD18" i="19"/>
  <c r="AD19" i="19"/>
  <c r="AD20" i="19"/>
  <c r="AD21" i="19"/>
  <c r="AD22" i="19"/>
  <c r="AD23" i="19"/>
  <c r="AD24" i="19"/>
  <c r="AD25" i="19"/>
  <c r="AD26" i="19"/>
  <c r="AD27" i="19"/>
  <c r="AD28" i="19"/>
  <c r="AD29" i="19"/>
  <c r="AD30" i="19"/>
  <c r="AD31" i="19"/>
  <c r="AD32" i="19"/>
  <c r="AD33" i="19"/>
  <c r="AD34" i="19"/>
  <c r="AD35" i="19"/>
  <c r="AD36" i="19"/>
  <c r="AD37" i="19"/>
  <c r="AD38" i="19"/>
  <c r="AD39" i="19"/>
  <c r="AD40" i="19"/>
  <c r="AD41" i="19"/>
  <c r="AD42" i="19"/>
  <c r="AD43" i="19"/>
  <c r="AD44" i="19"/>
  <c r="AD45" i="19"/>
  <c r="AD46" i="19"/>
  <c r="AD47" i="19"/>
  <c r="AD48" i="19"/>
  <c r="AD49" i="19"/>
  <c r="AD50" i="19"/>
  <c r="AD51" i="19"/>
  <c r="AD52" i="19"/>
  <c r="AD53" i="19"/>
  <c r="AD54" i="19"/>
  <c r="AD55" i="19"/>
  <c r="AD56" i="19"/>
  <c r="AD57" i="19"/>
  <c r="AD58" i="19"/>
  <c r="AD59" i="19"/>
  <c r="AD60" i="19"/>
  <c r="AD61" i="19"/>
  <c r="AD62" i="19"/>
  <c r="AD63" i="19"/>
  <c r="AD64" i="19"/>
  <c r="AD65" i="19"/>
  <c r="AD66" i="19"/>
  <c r="AD67" i="19"/>
  <c r="AD68" i="19"/>
  <c r="AD69" i="19"/>
  <c r="AD70" i="19"/>
  <c r="AD71" i="19"/>
  <c r="AD72" i="19"/>
  <c r="AD73" i="19"/>
  <c r="AD74" i="19"/>
  <c r="AD75" i="19"/>
  <c r="AD76" i="19"/>
  <c r="AD77" i="19"/>
  <c r="AD78" i="19"/>
  <c r="AD79" i="19"/>
  <c r="AD80" i="19"/>
  <c r="AD81" i="19"/>
  <c r="AD82" i="19"/>
  <c r="AD83" i="19"/>
  <c r="AD84" i="19"/>
  <c r="AD85" i="19"/>
  <c r="AD86" i="19"/>
  <c r="AD87" i="19"/>
  <c r="AD88" i="19"/>
  <c r="AD89" i="19"/>
  <c r="AD90" i="19"/>
  <c r="AD91" i="19"/>
  <c r="AD92" i="19"/>
  <c r="AD93" i="19"/>
  <c r="AD94" i="19"/>
  <c r="AD95" i="19"/>
  <c r="AD96" i="19"/>
  <c r="AD97" i="19"/>
  <c r="AD98" i="19"/>
  <c r="AD99" i="19"/>
  <c r="AD100" i="19"/>
  <c r="AD101" i="19"/>
  <c r="AD102" i="19"/>
  <c r="AD103" i="19"/>
  <c r="AD104" i="19"/>
  <c r="AD105" i="19"/>
  <c r="AD106" i="19"/>
  <c r="AD107" i="19"/>
  <c r="AD108" i="19"/>
  <c r="AD109" i="19"/>
  <c r="AD110" i="19"/>
  <c r="AD111" i="19"/>
  <c r="AD112" i="19"/>
  <c r="AD113" i="19"/>
  <c r="AD114" i="19"/>
  <c r="AD115" i="19"/>
  <c r="AD116" i="19"/>
  <c r="AD117" i="19"/>
  <c r="AD118" i="19"/>
  <c r="AD119" i="19"/>
  <c r="AD120" i="19"/>
  <c r="AD121" i="19"/>
  <c r="AD122" i="19"/>
  <c r="AD123" i="19"/>
  <c r="AD124" i="19"/>
  <c r="AD125" i="19"/>
  <c r="AD126" i="19"/>
  <c r="AD127" i="19"/>
  <c r="AD128" i="19"/>
  <c r="AD129" i="19"/>
  <c r="AD130" i="19"/>
  <c r="AD131" i="19"/>
  <c r="AD132" i="19"/>
  <c r="AD133" i="19"/>
  <c r="AD134" i="19"/>
  <c r="AD135" i="19"/>
  <c r="AD136" i="19"/>
  <c r="AD137" i="19"/>
  <c r="AD138" i="19"/>
  <c r="AD139" i="19"/>
  <c r="AD140" i="19"/>
  <c r="AD141" i="19"/>
  <c r="AD142" i="19"/>
  <c r="AD143" i="19"/>
  <c r="AD144" i="19"/>
  <c r="AD145" i="19"/>
  <c r="AD146" i="19"/>
  <c r="AD147" i="19"/>
  <c r="AD148" i="19"/>
  <c r="AD149" i="19"/>
  <c r="AD150" i="19"/>
  <c r="AD151" i="19"/>
  <c r="AD152" i="19"/>
  <c r="AD153" i="19"/>
  <c r="AD154" i="19"/>
  <c r="AD155" i="19"/>
  <c r="AD156" i="19"/>
  <c r="AD157" i="19"/>
  <c r="AD158" i="19"/>
  <c r="AD159" i="19"/>
  <c r="AD160" i="19"/>
  <c r="AD161" i="19"/>
  <c r="AD162" i="19"/>
  <c r="AD163" i="19"/>
  <c r="AD164" i="19"/>
  <c r="AD165" i="19"/>
  <c r="AD166" i="19"/>
  <c r="AD167" i="19"/>
  <c r="AD168" i="19"/>
  <c r="AD169" i="19"/>
  <c r="AD170" i="19"/>
  <c r="AD171" i="19"/>
  <c r="AD172" i="19"/>
  <c r="AD173" i="19"/>
  <c r="AD174" i="19"/>
  <c r="AD175" i="19"/>
  <c r="AD176" i="19"/>
  <c r="AD177" i="19"/>
  <c r="AD178" i="19"/>
  <c r="AD179" i="19"/>
  <c r="AD180" i="19"/>
  <c r="AD181" i="19"/>
  <c r="AD182" i="19"/>
  <c r="AD183" i="19"/>
  <c r="AD184" i="19"/>
  <c r="AD185" i="19"/>
  <c r="AD186" i="19"/>
  <c r="AD187" i="19"/>
  <c r="AD188" i="19"/>
  <c r="AD189" i="19"/>
  <c r="AD190" i="19"/>
  <c r="AD191" i="19"/>
  <c r="AD192" i="19"/>
  <c r="AD193" i="19"/>
  <c r="AD194" i="19"/>
  <c r="AD195" i="19"/>
  <c r="AD196" i="19"/>
  <c r="AD197" i="19"/>
  <c r="AD198" i="19"/>
  <c r="AD199" i="19"/>
  <c r="AD200" i="19"/>
  <c r="AD201" i="19"/>
  <c r="AD202" i="19"/>
  <c r="AD203" i="19"/>
  <c r="AD204" i="19"/>
  <c r="AD205" i="19"/>
  <c r="AD206" i="19"/>
  <c r="AD207" i="19"/>
  <c r="AD208" i="19"/>
  <c r="AD209" i="19"/>
  <c r="AD210" i="19"/>
  <c r="AD211" i="19"/>
  <c r="AD212" i="19"/>
  <c r="AD213" i="19"/>
  <c r="AD214" i="19"/>
  <c r="AD215" i="19"/>
  <c r="AD216" i="19"/>
  <c r="AD217" i="19"/>
  <c r="AD218" i="19"/>
  <c r="AD219" i="19"/>
  <c r="AD220" i="19"/>
  <c r="AD221" i="19"/>
  <c r="AD222" i="19"/>
  <c r="AD223" i="19"/>
  <c r="AD224" i="19"/>
  <c r="AD225" i="19"/>
  <c r="AD226" i="19"/>
  <c r="AD227" i="19"/>
  <c r="AD228" i="19"/>
  <c r="AD229" i="19"/>
  <c r="AD230" i="19"/>
  <c r="AD231" i="19"/>
  <c r="AD232" i="19"/>
  <c r="AD233" i="19"/>
  <c r="AD234" i="19"/>
  <c r="AD235" i="19"/>
  <c r="AD236" i="19"/>
  <c r="AD237" i="19"/>
  <c r="AD238" i="19"/>
  <c r="AD239" i="19"/>
  <c r="AD240" i="19"/>
  <c r="AD241" i="19"/>
  <c r="AD242" i="19"/>
  <c r="AD243" i="19"/>
  <c r="AD244" i="19"/>
  <c r="AD245" i="19"/>
  <c r="AD246" i="19"/>
  <c r="AD247" i="19"/>
  <c r="AD248" i="19"/>
  <c r="AD249" i="19"/>
  <c r="AD250" i="19"/>
  <c r="AD251" i="19"/>
  <c r="AD252" i="19"/>
  <c r="AD253" i="19"/>
  <c r="AD254" i="19"/>
  <c r="AD255" i="19"/>
  <c r="AD256" i="19"/>
  <c r="AD257" i="19"/>
  <c r="AD258" i="19"/>
  <c r="AD259" i="19"/>
  <c r="AD260" i="19"/>
  <c r="AD261" i="19"/>
  <c r="AD262" i="19"/>
  <c r="AD263" i="19"/>
  <c r="AD264" i="19"/>
  <c r="AD265" i="19"/>
  <c r="AD266" i="19"/>
  <c r="AD267" i="19"/>
  <c r="AD268" i="19"/>
  <c r="AD269" i="19"/>
  <c r="AD270" i="19"/>
  <c r="AD271" i="19"/>
  <c r="AD272" i="19"/>
  <c r="AD273" i="19"/>
  <c r="AD274" i="19"/>
  <c r="AD275" i="19"/>
  <c r="AD276" i="19"/>
  <c r="AD277" i="19"/>
  <c r="AD278" i="19"/>
  <c r="AD279" i="19"/>
  <c r="AD280" i="19"/>
  <c r="AD281" i="19"/>
  <c r="AD282" i="19"/>
  <c r="AD283" i="19"/>
  <c r="AD284" i="19"/>
  <c r="AD285" i="19"/>
  <c r="AD286" i="19"/>
  <c r="AD287" i="19"/>
  <c r="AD288" i="19"/>
  <c r="AD289" i="19"/>
  <c r="AD290" i="19"/>
  <c r="AD291" i="19"/>
  <c r="AD292" i="19"/>
  <c r="AD293" i="19"/>
  <c r="AD294" i="19"/>
  <c r="AD295" i="19"/>
  <c r="AD296" i="19"/>
  <c r="AD297" i="19"/>
  <c r="AD298" i="19"/>
  <c r="AD299" i="19"/>
  <c r="AD300" i="19"/>
  <c r="AD301" i="19"/>
  <c r="AD302" i="19"/>
  <c r="AD303" i="19"/>
  <c r="AD304" i="19"/>
  <c r="AD305" i="19"/>
  <c r="AD306" i="19"/>
  <c r="AD307" i="19"/>
  <c r="AD308" i="19"/>
  <c r="AD309" i="19"/>
  <c r="AD310" i="19"/>
  <c r="AD311" i="19"/>
  <c r="AD312" i="19"/>
  <c r="AD313" i="19"/>
  <c r="AD314" i="19"/>
  <c r="AD315" i="19"/>
  <c r="AD316" i="19"/>
  <c r="AD317" i="19"/>
  <c r="AD318" i="19"/>
  <c r="AD319" i="19"/>
  <c r="AD320" i="19"/>
  <c r="AD321" i="19"/>
  <c r="AD322" i="19"/>
  <c r="AD323" i="19"/>
  <c r="AD324" i="19"/>
  <c r="AD325" i="19"/>
  <c r="AD326" i="19"/>
  <c r="AD327" i="19"/>
  <c r="AD328" i="19"/>
  <c r="AD329" i="19"/>
  <c r="AD330" i="19"/>
  <c r="AD331" i="19"/>
  <c r="AD332" i="19"/>
  <c r="AD333" i="19"/>
  <c r="AD334" i="19"/>
  <c r="AD335" i="19"/>
  <c r="AD336" i="19"/>
  <c r="AD337" i="19"/>
  <c r="AD338" i="19"/>
  <c r="AD339" i="19"/>
  <c r="AD340" i="19"/>
  <c r="AD341" i="19"/>
  <c r="AD342" i="19"/>
  <c r="AD343" i="19"/>
  <c r="AD344" i="19"/>
  <c r="AD345" i="19"/>
  <c r="AD346" i="19"/>
  <c r="AD347" i="19"/>
  <c r="AD348" i="19"/>
  <c r="AD349" i="19"/>
  <c r="AD350" i="19"/>
  <c r="AD351" i="19"/>
  <c r="AD352" i="19"/>
  <c r="AD353" i="19"/>
  <c r="AD354" i="19"/>
  <c r="AD355" i="19"/>
  <c r="AD356" i="19"/>
  <c r="AD357" i="19"/>
  <c r="AD358" i="19"/>
  <c r="AD359" i="19"/>
  <c r="AD360" i="19"/>
  <c r="AD361" i="19"/>
  <c r="AD362" i="19"/>
  <c r="AD363" i="19"/>
  <c r="AD364" i="19"/>
  <c r="AD365" i="19"/>
  <c r="AD366" i="19"/>
  <c r="AD367" i="19"/>
  <c r="AD368" i="19"/>
  <c r="AD369" i="19"/>
  <c r="AD370" i="19"/>
  <c r="AD371" i="19"/>
  <c r="AD372" i="19"/>
  <c r="AD373" i="19"/>
  <c r="AD374" i="19"/>
  <c r="AD375" i="19"/>
  <c r="AD376" i="19"/>
  <c r="AD377" i="19"/>
  <c r="AD378" i="19"/>
  <c r="AD379" i="19"/>
  <c r="AD380" i="19"/>
  <c r="AD381" i="19"/>
  <c r="AD382" i="19"/>
  <c r="AD383" i="19"/>
  <c r="AD384" i="19"/>
  <c r="AD385" i="19"/>
  <c r="AD386" i="19"/>
  <c r="AD387" i="19"/>
  <c r="AD388" i="19"/>
  <c r="AD389" i="19"/>
  <c r="AD390" i="19"/>
  <c r="AD391" i="19"/>
  <c r="AD392" i="19"/>
  <c r="AD393" i="19"/>
  <c r="AD394" i="19"/>
  <c r="AD395" i="19"/>
  <c r="AD396" i="19"/>
  <c r="AD397" i="19"/>
  <c r="AD398" i="19"/>
  <c r="AD399" i="19"/>
  <c r="AD400" i="19"/>
  <c r="AD401" i="19"/>
  <c r="AD402" i="19"/>
  <c r="AD403" i="19"/>
  <c r="AD404" i="19"/>
  <c r="AD405" i="19"/>
  <c r="AD406" i="19"/>
  <c r="AD407" i="19"/>
  <c r="AD408" i="19"/>
  <c r="AD409" i="19"/>
  <c r="AD410" i="19"/>
  <c r="AD411" i="19"/>
  <c r="AD412" i="19"/>
  <c r="AD413" i="19"/>
  <c r="AD414" i="19"/>
  <c r="AD415" i="19"/>
  <c r="AD416" i="19"/>
  <c r="AD417" i="19"/>
  <c r="AD418" i="19"/>
  <c r="AD419" i="19"/>
  <c r="AD420" i="19"/>
  <c r="AD421" i="19"/>
  <c r="AD422" i="19"/>
  <c r="AD423" i="19"/>
  <c r="AD424" i="19"/>
  <c r="AD425" i="19"/>
  <c r="AD426" i="19"/>
  <c r="AD427" i="19"/>
  <c r="AD428" i="19"/>
  <c r="AD429" i="19"/>
  <c r="AD430" i="19"/>
  <c r="AD431" i="19"/>
  <c r="AD432" i="19"/>
  <c r="AD433" i="19"/>
  <c r="AD434" i="19"/>
  <c r="AD435" i="19"/>
  <c r="AD436" i="19"/>
  <c r="AD437" i="19"/>
  <c r="AD438" i="19"/>
  <c r="AD439" i="19"/>
  <c r="AD440" i="19"/>
  <c r="AD441" i="19"/>
  <c r="AD442" i="19"/>
  <c r="AD443" i="19"/>
  <c r="AD444" i="19"/>
  <c r="AD445" i="19"/>
  <c r="AD446" i="19"/>
  <c r="AD447" i="19"/>
  <c r="AD448" i="19"/>
  <c r="AD449" i="19"/>
  <c r="AD450" i="19"/>
  <c r="AD451" i="19"/>
  <c r="AD452" i="19"/>
  <c r="AD453" i="19"/>
  <c r="AD454" i="19"/>
  <c r="AD455" i="19"/>
  <c r="AD456" i="19"/>
  <c r="AD457" i="19"/>
  <c r="AD458" i="19"/>
  <c r="AD459" i="19"/>
  <c r="AD460" i="19"/>
  <c r="AD461" i="19"/>
  <c r="AD462" i="19"/>
  <c r="AD463" i="19"/>
  <c r="AD464" i="19"/>
  <c r="AD465" i="19"/>
  <c r="AD466" i="19"/>
  <c r="AD467" i="19"/>
  <c r="AD468" i="19"/>
  <c r="AD469" i="19"/>
  <c r="AD470" i="19"/>
  <c r="AD471" i="19"/>
  <c r="AD472" i="19"/>
  <c r="AD473" i="19"/>
  <c r="AD474" i="19"/>
  <c r="AD475" i="19"/>
  <c r="AD476" i="19"/>
  <c r="AD477" i="19"/>
  <c r="AD478" i="19"/>
  <c r="AD479" i="19"/>
  <c r="AD480" i="19"/>
  <c r="AD481" i="19"/>
  <c r="AD482" i="19"/>
  <c r="AD483" i="19"/>
  <c r="AD484" i="19"/>
  <c r="AD485" i="19"/>
  <c r="AD486" i="19"/>
  <c r="AD487" i="19"/>
  <c r="AD488" i="19"/>
  <c r="AD489" i="19"/>
  <c r="AD490" i="19"/>
  <c r="AD491" i="19"/>
  <c r="AD492" i="19"/>
  <c r="AD493" i="19"/>
  <c r="AD494" i="19"/>
  <c r="AD495" i="19"/>
  <c r="AD496" i="19"/>
  <c r="AD497" i="19"/>
  <c r="AD498" i="19"/>
  <c r="AD499" i="19"/>
  <c r="AD500" i="19"/>
  <c r="AD501" i="19"/>
  <c r="AD502" i="19"/>
  <c r="AD503" i="19"/>
  <c r="AD504" i="19"/>
  <c r="AD505" i="19"/>
  <c r="AD506" i="19"/>
  <c r="AD507" i="19"/>
  <c r="AD508" i="19"/>
  <c r="AD509" i="19"/>
  <c r="AD510" i="19"/>
  <c r="AD511" i="19"/>
  <c r="AD512" i="19"/>
  <c r="AD513" i="19"/>
  <c r="AD514" i="19"/>
  <c r="AD515" i="19"/>
  <c r="AD516" i="19"/>
  <c r="AD517" i="19"/>
  <c r="AD518" i="19"/>
  <c r="AD519" i="19"/>
  <c r="AD520" i="19"/>
  <c r="AD521" i="19"/>
  <c r="AD522" i="19"/>
  <c r="AD523" i="19"/>
  <c r="AD524" i="19"/>
  <c r="AD525" i="19"/>
  <c r="AD526" i="19"/>
  <c r="AD527" i="19"/>
  <c r="AD528" i="19"/>
  <c r="AD529" i="19"/>
  <c r="AD530" i="19"/>
  <c r="AD531" i="19"/>
  <c r="AD532" i="19"/>
  <c r="AD533" i="19"/>
  <c r="AD534" i="19"/>
  <c r="AD535" i="19"/>
  <c r="AD536" i="19"/>
  <c r="AD537" i="19"/>
  <c r="AD538" i="19"/>
  <c r="AD539" i="19"/>
  <c r="AD540" i="19"/>
  <c r="AD541" i="19"/>
  <c r="AD542" i="19"/>
  <c r="AD543" i="19"/>
  <c r="AD544" i="19"/>
  <c r="AD545" i="19"/>
  <c r="AD546" i="19"/>
  <c r="AD547" i="19"/>
  <c r="AD548" i="19"/>
  <c r="AD549" i="19"/>
  <c r="AD550" i="19"/>
  <c r="AD551" i="19"/>
  <c r="AD552" i="19"/>
  <c r="AD553" i="19"/>
  <c r="AD554" i="19"/>
  <c r="AD555" i="19"/>
  <c r="AD556" i="19"/>
  <c r="AD557" i="19"/>
  <c r="AD558" i="19"/>
  <c r="AD559" i="19"/>
  <c r="AD560" i="19"/>
  <c r="AD561" i="19"/>
  <c r="AD562" i="19"/>
  <c r="AD563" i="19"/>
  <c r="AD564" i="19"/>
  <c r="AD565" i="19"/>
  <c r="AD566" i="19"/>
  <c r="AD567" i="19"/>
  <c r="AD568" i="19"/>
  <c r="AD569" i="19"/>
  <c r="AD570" i="19"/>
  <c r="AD571" i="19"/>
  <c r="AD572" i="19"/>
  <c r="AD573" i="19"/>
  <c r="AD574" i="19"/>
  <c r="AD575" i="19"/>
  <c r="AD576" i="19"/>
  <c r="AD577" i="19"/>
  <c r="AD578" i="19"/>
  <c r="AD579" i="19"/>
  <c r="AD580" i="19"/>
  <c r="AD581" i="19"/>
  <c r="AD582" i="19"/>
  <c r="AD583" i="19"/>
  <c r="AD584" i="19"/>
  <c r="AD585" i="19"/>
  <c r="AD586" i="19"/>
  <c r="AD587" i="19"/>
  <c r="AD588" i="19"/>
  <c r="AD589" i="19"/>
  <c r="AD590" i="19"/>
  <c r="AD591" i="19"/>
  <c r="AD592" i="19"/>
  <c r="AD593" i="19"/>
  <c r="AD594" i="19"/>
  <c r="AD595" i="19"/>
  <c r="AD596" i="19"/>
  <c r="AD597" i="19"/>
  <c r="AD598" i="19"/>
  <c r="AD599" i="19"/>
  <c r="AD600" i="19"/>
  <c r="AD601" i="19"/>
  <c r="AD602" i="19"/>
  <c r="AD603" i="19"/>
  <c r="AD604" i="19"/>
  <c r="AD605" i="19"/>
  <c r="AD606" i="19"/>
  <c r="AD607" i="19"/>
  <c r="AD608" i="19"/>
  <c r="AD609" i="19"/>
  <c r="AD610" i="19"/>
  <c r="AD611" i="19"/>
  <c r="AD612" i="19"/>
  <c r="AD613" i="19"/>
  <c r="AD614" i="19"/>
  <c r="AD615" i="19"/>
  <c r="AD616" i="19"/>
  <c r="AD617" i="19"/>
  <c r="AD618" i="19"/>
  <c r="AD619" i="19"/>
  <c r="AD620" i="19"/>
  <c r="AD621" i="19"/>
  <c r="AD622" i="19"/>
  <c r="AD623" i="19"/>
  <c r="AD624" i="19"/>
  <c r="AD625" i="19"/>
  <c r="AD626" i="19"/>
  <c r="AD627" i="19"/>
  <c r="AD628" i="19"/>
  <c r="AD629" i="19"/>
  <c r="AD630" i="19"/>
  <c r="AD631" i="19"/>
  <c r="AD632" i="19"/>
  <c r="AD633" i="19"/>
  <c r="AD634" i="19"/>
  <c r="AD635" i="19"/>
  <c r="AD636" i="19"/>
  <c r="AD637" i="19"/>
  <c r="AD638" i="19"/>
  <c r="AD639" i="19"/>
  <c r="AD640" i="19"/>
  <c r="AD641" i="19"/>
  <c r="AD642" i="19"/>
  <c r="AD643" i="19"/>
  <c r="AD644" i="19"/>
  <c r="AD645" i="19"/>
  <c r="AD646" i="19"/>
  <c r="AD647" i="19"/>
  <c r="AD648" i="19"/>
  <c r="AD649" i="19"/>
  <c r="AD650" i="19"/>
  <c r="AD651" i="19"/>
  <c r="AD652" i="19"/>
  <c r="AD653" i="19"/>
  <c r="AD654" i="19"/>
  <c r="AD655" i="19"/>
  <c r="AD656" i="19"/>
  <c r="AD657" i="19"/>
  <c r="AD658" i="19"/>
  <c r="AD659" i="19"/>
  <c r="AD660" i="19"/>
  <c r="AD661" i="19"/>
  <c r="AD662" i="19"/>
  <c r="AD663" i="19"/>
  <c r="AD664" i="19"/>
  <c r="AD665" i="19"/>
  <c r="AD666" i="19"/>
  <c r="AD667" i="19"/>
  <c r="AD668" i="19"/>
  <c r="AD669" i="19"/>
  <c r="AD670" i="19"/>
  <c r="AD671" i="19"/>
  <c r="AD672" i="19"/>
  <c r="AD673" i="19"/>
  <c r="AD674" i="19"/>
  <c r="AD675" i="19"/>
  <c r="AD676" i="19"/>
  <c r="AD677" i="19"/>
  <c r="AD678" i="19"/>
  <c r="AD679" i="19"/>
  <c r="AD680" i="19"/>
  <c r="AD681" i="19"/>
  <c r="AD682" i="19"/>
  <c r="AD683" i="19"/>
  <c r="AD684" i="19"/>
  <c r="AD685" i="19"/>
  <c r="AD686" i="19"/>
  <c r="AD687" i="19"/>
  <c r="AD688" i="19"/>
  <c r="AD689" i="19"/>
  <c r="AD690" i="19"/>
  <c r="AD691" i="19"/>
  <c r="AD692" i="19"/>
  <c r="AD693" i="19"/>
  <c r="AD694" i="19"/>
  <c r="AD695" i="19"/>
  <c r="AD696" i="19"/>
  <c r="AD697" i="19"/>
  <c r="AD698" i="19"/>
  <c r="AD699" i="19"/>
  <c r="AD700" i="19"/>
  <c r="AD701" i="19"/>
  <c r="AD702" i="19"/>
  <c r="AD703" i="19"/>
  <c r="AD704" i="19"/>
  <c r="AD705" i="19"/>
  <c r="AD706" i="19"/>
  <c r="AD707" i="19"/>
  <c r="AD708" i="19"/>
  <c r="AD709" i="19"/>
  <c r="AD710" i="19"/>
  <c r="AD711" i="19"/>
  <c r="AD712" i="19"/>
  <c r="AD713" i="19"/>
  <c r="AD714" i="19"/>
  <c r="AD715" i="19"/>
  <c r="AD716" i="19"/>
  <c r="AD717" i="19"/>
  <c r="AD718" i="19"/>
  <c r="AD719" i="19"/>
  <c r="AD720" i="19"/>
  <c r="AD721" i="19"/>
  <c r="AD722" i="19"/>
  <c r="AD723" i="19"/>
  <c r="AD724" i="19"/>
  <c r="AD725" i="19"/>
  <c r="AD726" i="19"/>
  <c r="AD727" i="19"/>
  <c r="AD728" i="19"/>
  <c r="AD729" i="19"/>
  <c r="AD730" i="19"/>
  <c r="AD731" i="19"/>
  <c r="AD732" i="19"/>
  <c r="AD733" i="19"/>
  <c r="AD734" i="19"/>
  <c r="AD735" i="19"/>
  <c r="AD736" i="19"/>
  <c r="AD737" i="19"/>
  <c r="AD738" i="19"/>
  <c r="AD739" i="19"/>
  <c r="AD740" i="19"/>
  <c r="AD741" i="19"/>
  <c r="AD742" i="19"/>
  <c r="AD743" i="19"/>
  <c r="AD744" i="19"/>
  <c r="AD745" i="19"/>
  <c r="AD746" i="19"/>
  <c r="AD747" i="19"/>
  <c r="AD748" i="19"/>
  <c r="AD749" i="19"/>
  <c r="AD750" i="19"/>
  <c r="AD751" i="19"/>
  <c r="AD752" i="19"/>
  <c r="AD753" i="19"/>
  <c r="AD754" i="19"/>
  <c r="AD755" i="19"/>
  <c r="AD756" i="19"/>
  <c r="AD757" i="19"/>
  <c r="AD758" i="19"/>
  <c r="AD759" i="19"/>
  <c r="AD760" i="19"/>
  <c r="AD761" i="19"/>
  <c r="AD762" i="19"/>
  <c r="AD763" i="19"/>
  <c r="AD764" i="19"/>
  <c r="AD765" i="19"/>
  <c r="AD766" i="19"/>
  <c r="AD767" i="19"/>
  <c r="AD768" i="19"/>
  <c r="AD769" i="19"/>
  <c r="AD770" i="19"/>
  <c r="AD771" i="19"/>
  <c r="AD772" i="19"/>
  <c r="AD773" i="19"/>
  <c r="AD774" i="19"/>
  <c r="AD775" i="19"/>
  <c r="AD776" i="19"/>
  <c r="AD777" i="19"/>
  <c r="AD778" i="19"/>
  <c r="AD779" i="19"/>
  <c r="AD780" i="19"/>
  <c r="AD781" i="19"/>
  <c r="AD782" i="19"/>
  <c r="AD783" i="19"/>
  <c r="AD784" i="19"/>
  <c r="AD785" i="19"/>
  <c r="AD786" i="19"/>
  <c r="AD787" i="19"/>
  <c r="AD788" i="19"/>
  <c r="AD789" i="19"/>
  <c r="AD790" i="19"/>
  <c r="AD791" i="19"/>
  <c r="AD792" i="19"/>
  <c r="AD793" i="19"/>
  <c r="AD794" i="19"/>
  <c r="AD795" i="19"/>
  <c r="AD796" i="19"/>
  <c r="AD797" i="19"/>
  <c r="AD798" i="19"/>
  <c r="AD799" i="19"/>
  <c r="AD800" i="19"/>
  <c r="AC3" i="19"/>
  <c r="AC4" i="19"/>
  <c r="AC5" i="19"/>
  <c r="AC6" i="19"/>
  <c r="AC7" i="19"/>
  <c r="AC8" i="19"/>
  <c r="AC9" i="19"/>
  <c r="AC10" i="19"/>
  <c r="AC11" i="19"/>
  <c r="AC12" i="19"/>
  <c r="AC13" i="19"/>
  <c r="AC14" i="19"/>
  <c r="AC15" i="19"/>
  <c r="AC16" i="19"/>
  <c r="AC17" i="19"/>
  <c r="AC18" i="19"/>
  <c r="AC19" i="19"/>
  <c r="AC20" i="19"/>
  <c r="AC21" i="19"/>
  <c r="AC22" i="19"/>
  <c r="AC23" i="19"/>
  <c r="AC24" i="19"/>
  <c r="AC25" i="19"/>
  <c r="AC26" i="19"/>
  <c r="AC27" i="19"/>
  <c r="AC28" i="19"/>
  <c r="AC29" i="19"/>
  <c r="AC30" i="19"/>
  <c r="AC31" i="19"/>
  <c r="AC32" i="19"/>
  <c r="AC33" i="19"/>
  <c r="AC34" i="19"/>
  <c r="AC35" i="19"/>
  <c r="AC36" i="19"/>
  <c r="AC37" i="19"/>
  <c r="AC38" i="19"/>
  <c r="AC39" i="19"/>
  <c r="AC40" i="19"/>
  <c r="AC41" i="19"/>
  <c r="AC42" i="19"/>
  <c r="AC43" i="19"/>
  <c r="AC44" i="19"/>
  <c r="AC45" i="19"/>
  <c r="AC46" i="19"/>
  <c r="AC47" i="19"/>
  <c r="AC48" i="19"/>
  <c r="AC49" i="19"/>
  <c r="AC50" i="19"/>
  <c r="AC51" i="19"/>
  <c r="AC52" i="19"/>
  <c r="AC53" i="19"/>
  <c r="AC54" i="19"/>
  <c r="AC55" i="19"/>
  <c r="AC56" i="19"/>
  <c r="AC57" i="19"/>
  <c r="AC58" i="19"/>
  <c r="AC59" i="19"/>
  <c r="AC60" i="19"/>
  <c r="AC61" i="19"/>
  <c r="AC62" i="19"/>
  <c r="AC63" i="19"/>
  <c r="AC64" i="19"/>
  <c r="AC65" i="19"/>
  <c r="AC66" i="19"/>
  <c r="AC67" i="19"/>
  <c r="AC68" i="19"/>
  <c r="AC69" i="19"/>
  <c r="AC70" i="19"/>
  <c r="AC71" i="19"/>
  <c r="AC72" i="19"/>
  <c r="AC73" i="19"/>
  <c r="AC74" i="19"/>
  <c r="AC75" i="19"/>
  <c r="AC76" i="19"/>
  <c r="AC77" i="19"/>
  <c r="AC78" i="19"/>
  <c r="AC79" i="19"/>
  <c r="AC80" i="19"/>
  <c r="AC81" i="19"/>
  <c r="AC82" i="19"/>
  <c r="AC83" i="19"/>
  <c r="AC84" i="19"/>
  <c r="AC85" i="19"/>
  <c r="AC86" i="19"/>
  <c r="AC87" i="19"/>
  <c r="AC88" i="19"/>
  <c r="AC89" i="19"/>
  <c r="AC90" i="19"/>
  <c r="AC91" i="19"/>
  <c r="AC92" i="19"/>
  <c r="AC93" i="19"/>
  <c r="AC94" i="19"/>
  <c r="AC95" i="19"/>
  <c r="AC96" i="19"/>
  <c r="AC97" i="19"/>
  <c r="AC98" i="19"/>
  <c r="AC99" i="19"/>
  <c r="AC100" i="19"/>
  <c r="AC101" i="19"/>
  <c r="AC102" i="19"/>
  <c r="AC103" i="19"/>
  <c r="AC104" i="19"/>
  <c r="AC105" i="19"/>
  <c r="AC106" i="19"/>
  <c r="AC107" i="19"/>
  <c r="AC108" i="19"/>
  <c r="AC109" i="19"/>
  <c r="AC110" i="19"/>
  <c r="AC111" i="19"/>
  <c r="AC112" i="19"/>
  <c r="AC113" i="19"/>
  <c r="AC114" i="19"/>
  <c r="AC115" i="19"/>
  <c r="AC116" i="19"/>
  <c r="AC117" i="19"/>
  <c r="AC118" i="19"/>
  <c r="AC119" i="19"/>
  <c r="AC120" i="19"/>
  <c r="AC121" i="19"/>
  <c r="AC122" i="19"/>
  <c r="AC123" i="19"/>
  <c r="AC124" i="19"/>
  <c r="AC125" i="19"/>
  <c r="AC126" i="19"/>
  <c r="AC127" i="19"/>
  <c r="AC128" i="19"/>
  <c r="AC129" i="19"/>
  <c r="AC130" i="19"/>
  <c r="AC131" i="19"/>
  <c r="AC132" i="19"/>
  <c r="AC133" i="19"/>
  <c r="AC134" i="19"/>
  <c r="AC135" i="19"/>
  <c r="AC136" i="19"/>
  <c r="AC137" i="19"/>
  <c r="AC138" i="19"/>
  <c r="AC139" i="19"/>
  <c r="AC140" i="19"/>
  <c r="AC141" i="19"/>
  <c r="AC142" i="19"/>
  <c r="AC143" i="19"/>
  <c r="AC144" i="19"/>
  <c r="AC145" i="19"/>
  <c r="AC146" i="19"/>
  <c r="AC147" i="19"/>
  <c r="AC148" i="19"/>
  <c r="AC149" i="19"/>
  <c r="AC150" i="19"/>
  <c r="AC151" i="19"/>
  <c r="AC152" i="19"/>
  <c r="AC153" i="19"/>
  <c r="AC154" i="19"/>
  <c r="AC155" i="19"/>
  <c r="AC156" i="19"/>
  <c r="AC157" i="19"/>
  <c r="AC158" i="19"/>
  <c r="AC159" i="19"/>
  <c r="AC160" i="19"/>
  <c r="AC161" i="19"/>
  <c r="AC162" i="19"/>
  <c r="AC163" i="19"/>
  <c r="AC164" i="19"/>
  <c r="AC165" i="19"/>
  <c r="AC166" i="19"/>
  <c r="AC167" i="19"/>
  <c r="AC168" i="19"/>
  <c r="AC169" i="19"/>
  <c r="AC170" i="19"/>
  <c r="AC171" i="19"/>
  <c r="AC172" i="19"/>
  <c r="AC173" i="19"/>
  <c r="AC174" i="19"/>
  <c r="AC175" i="19"/>
  <c r="AC176" i="19"/>
  <c r="AC177" i="19"/>
  <c r="AC178" i="19"/>
  <c r="AC179" i="19"/>
  <c r="AC180" i="19"/>
  <c r="AC181" i="19"/>
  <c r="AC182" i="19"/>
  <c r="AC183" i="19"/>
  <c r="AC184" i="19"/>
  <c r="AC185" i="19"/>
  <c r="AC186" i="19"/>
  <c r="AC187" i="19"/>
  <c r="AC188" i="19"/>
  <c r="AC189" i="19"/>
  <c r="AC190" i="19"/>
  <c r="AC191" i="19"/>
  <c r="AC192" i="19"/>
  <c r="AC193" i="19"/>
  <c r="AC194" i="19"/>
  <c r="AC195" i="19"/>
  <c r="AC196" i="19"/>
  <c r="AC197" i="19"/>
  <c r="AC198" i="19"/>
  <c r="AC199" i="19"/>
  <c r="AC200" i="19"/>
  <c r="AC201" i="19"/>
  <c r="AC202" i="19"/>
  <c r="AC203" i="19"/>
  <c r="AC204" i="19"/>
  <c r="AC205" i="19"/>
  <c r="AC206" i="19"/>
  <c r="AC207" i="19"/>
  <c r="AC208" i="19"/>
  <c r="AC209" i="19"/>
  <c r="AC210" i="19"/>
  <c r="AC211" i="19"/>
  <c r="AC212" i="19"/>
  <c r="AC213" i="19"/>
  <c r="AC214" i="19"/>
  <c r="AC215" i="19"/>
  <c r="AC216" i="19"/>
  <c r="AC217" i="19"/>
  <c r="AC218" i="19"/>
  <c r="AC219" i="19"/>
  <c r="AC220" i="19"/>
  <c r="AC221" i="19"/>
  <c r="AC222" i="19"/>
  <c r="AC223" i="19"/>
  <c r="AC224" i="19"/>
  <c r="AC225" i="19"/>
  <c r="AC226" i="19"/>
  <c r="AC227" i="19"/>
  <c r="AC228" i="19"/>
  <c r="AC229" i="19"/>
  <c r="AC230" i="19"/>
  <c r="AC231" i="19"/>
  <c r="AC232" i="19"/>
  <c r="AC233" i="19"/>
  <c r="AC234" i="19"/>
  <c r="AC235" i="19"/>
  <c r="AC236" i="19"/>
  <c r="AC237" i="19"/>
  <c r="AC238" i="19"/>
  <c r="AC239" i="19"/>
  <c r="AC240" i="19"/>
  <c r="AC241" i="19"/>
  <c r="AC242" i="19"/>
  <c r="AC243" i="19"/>
  <c r="AC245" i="19"/>
  <c r="AC246" i="19"/>
  <c r="AC247" i="19"/>
  <c r="AC248" i="19"/>
  <c r="AC249" i="19"/>
  <c r="AC250" i="19"/>
  <c r="AC251" i="19"/>
  <c r="AC252" i="19"/>
  <c r="AC253" i="19"/>
  <c r="AC254" i="19"/>
  <c r="AC255" i="19"/>
  <c r="AC256" i="19"/>
  <c r="AC257" i="19"/>
  <c r="AC258" i="19"/>
  <c r="AC259" i="19"/>
  <c r="AC260" i="19"/>
  <c r="AC261" i="19"/>
  <c r="AC262" i="19"/>
  <c r="AC263" i="19"/>
  <c r="AC264" i="19"/>
  <c r="AC265" i="19"/>
  <c r="AC266" i="19"/>
  <c r="AC267" i="19"/>
  <c r="AC268" i="19"/>
  <c r="AC269" i="19"/>
  <c r="AC270" i="19"/>
  <c r="AC271" i="19"/>
  <c r="AC272" i="19"/>
  <c r="AC273" i="19"/>
  <c r="AC274" i="19"/>
  <c r="AC275" i="19"/>
  <c r="AC276" i="19"/>
  <c r="AC277" i="19"/>
  <c r="AC278" i="19"/>
  <c r="AC279" i="19"/>
  <c r="AC280" i="19"/>
  <c r="AC281" i="19"/>
  <c r="AC282" i="19"/>
  <c r="AC283" i="19"/>
  <c r="AC284" i="19"/>
  <c r="AC285" i="19"/>
  <c r="AC286" i="19"/>
  <c r="AC287" i="19"/>
  <c r="AC288" i="19"/>
  <c r="AC289" i="19"/>
  <c r="AC290" i="19"/>
  <c r="AC291" i="19"/>
  <c r="AC292" i="19"/>
  <c r="AC293" i="19"/>
  <c r="AC294" i="19"/>
  <c r="AC295" i="19"/>
  <c r="AC296" i="19"/>
  <c r="AC297" i="19"/>
  <c r="AC298" i="19"/>
  <c r="AC299" i="19"/>
  <c r="AC300" i="19"/>
  <c r="AC301" i="19"/>
  <c r="AC302" i="19"/>
  <c r="AC303" i="19"/>
  <c r="AC304" i="19"/>
  <c r="AC305" i="19"/>
  <c r="AC306" i="19"/>
  <c r="AC307" i="19"/>
  <c r="AC308" i="19"/>
  <c r="AC309" i="19"/>
  <c r="AC310" i="19"/>
  <c r="AC311" i="19"/>
  <c r="AC312" i="19"/>
  <c r="AC313" i="19"/>
  <c r="AC314" i="19"/>
  <c r="AC315" i="19"/>
  <c r="AC316" i="19"/>
  <c r="AC317" i="19"/>
  <c r="AC318" i="19"/>
  <c r="AC319" i="19"/>
  <c r="AC320" i="19"/>
  <c r="AC321" i="19"/>
  <c r="AC322" i="19"/>
  <c r="AC323" i="19"/>
  <c r="AC324" i="19"/>
  <c r="AC325" i="19"/>
  <c r="AC326" i="19"/>
  <c r="AC327" i="19"/>
  <c r="AC328" i="19"/>
  <c r="AC329" i="19"/>
  <c r="AC330" i="19"/>
  <c r="AC331" i="19"/>
  <c r="AC332" i="19"/>
  <c r="AC333" i="19"/>
  <c r="AC334" i="19"/>
  <c r="AC335" i="19"/>
  <c r="AC336" i="19"/>
  <c r="AC337" i="19"/>
  <c r="AC338" i="19"/>
  <c r="AC339" i="19"/>
  <c r="AC340" i="19"/>
  <c r="AC341" i="19"/>
  <c r="AC342" i="19"/>
  <c r="AC343" i="19"/>
  <c r="AC344" i="19"/>
  <c r="AC345" i="19"/>
  <c r="AC346" i="19"/>
  <c r="AC347" i="19"/>
  <c r="AC348" i="19"/>
  <c r="AC349" i="19"/>
  <c r="AC350" i="19"/>
  <c r="AC351" i="19"/>
  <c r="AC352" i="19"/>
  <c r="AC353" i="19"/>
  <c r="AC354" i="19"/>
  <c r="AC355" i="19"/>
  <c r="AC356" i="19"/>
  <c r="AC357" i="19"/>
  <c r="AC358" i="19"/>
  <c r="AC359" i="19"/>
  <c r="AC360" i="19"/>
  <c r="AC361" i="19"/>
  <c r="AC362" i="19"/>
  <c r="AC363" i="19"/>
  <c r="AC364" i="19"/>
  <c r="AC365" i="19"/>
  <c r="AC366" i="19"/>
  <c r="AC367" i="19"/>
  <c r="AC368" i="19"/>
  <c r="AC369" i="19"/>
  <c r="AC370" i="19"/>
  <c r="AC371" i="19"/>
  <c r="AC372" i="19"/>
  <c r="AC373" i="19"/>
  <c r="AC374" i="19"/>
  <c r="AC375" i="19"/>
  <c r="AC376" i="19"/>
  <c r="AC377" i="19"/>
  <c r="AC378" i="19"/>
  <c r="AC379" i="19"/>
  <c r="AC380" i="19"/>
  <c r="AC381" i="19"/>
  <c r="AC382" i="19"/>
  <c r="AC383" i="19"/>
  <c r="AC384" i="19"/>
  <c r="AC385" i="19"/>
  <c r="AC386" i="19"/>
  <c r="AC387" i="19"/>
  <c r="AC388" i="19"/>
  <c r="AC389" i="19"/>
  <c r="AC390" i="19"/>
  <c r="AC391" i="19"/>
  <c r="AC392" i="19"/>
  <c r="AC393" i="19"/>
  <c r="AC394" i="19"/>
  <c r="AC395" i="19"/>
  <c r="AC396" i="19"/>
  <c r="AC397" i="19"/>
  <c r="AC398" i="19"/>
  <c r="AC399" i="19"/>
  <c r="AC400" i="19"/>
  <c r="AC401" i="19"/>
  <c r="AC402" i="19"/>
  <c r="AC403" i="19"/>
  <c r="AC404" i="19"/>
  <c r="AC405" i="19"/>
  <c r="AC406" i="19"/>
  <c r="AC407" i="19"/>
  <c r="AC408" i="19"/>
  <c r="AC409" i="19"/>
  <c r="AC410" i="19"/>
  <c r="AC411" i="19"/>
  <c r="AC412" i="19"/>
  <c r="AC413" i="19"/>
  <c r="AC414" i="19"/>
  <c r="AC415" i="19"/>
  <c r="AC416" i="19"/>
  <c r="AC417" i="19"/>
  <c r="AC418" i="19"/>
  <c r="AC419" i="19"/>
  <c r="AC420" i="19"/>
  <c r="AC421" i="19"/>
  <c r="AC422" i="19"/>
  <c r="AC423" i="19"/>
  <c r="AC424" i="19"/>
  <c r="AC425" i="19"/>
  <c r="AC426" i="19"/>
  <c r="AC427" i="19"/>
  <c r="AC428" i="19"/>
  <c r="AC429" i="19"/>
  <c r="AC430" i="19"/>
  <c r="AC431" i="19"/>
  <c r="AC432" i="19"/>
  <c r="AC433" i="19"/>
  <c r="AC434" i="19"/>
  <c r="AC435" i="19"/>
  <c r="AC436" i="19"/>
  <c r="AC437" i="19"/>
  <c r="AC438" i="19"/>
  <c r="AC439" i="19"/>
  <c r="AC440" i="19"/>
  <c r="AC441" i="19"/>
  <c r="AC442" i="19"/>
  <c r="AC443" i="19"/>
  <c r="AC444" i="19"/>
  <c r="AC445" i="19"/>
  <c r="AC446" i="19"/>
  <c r="AC447" i="19"/>
  <c r="AC448" i="19"/>
  <c r="AC449" i="19"/>
  <c r="AC450" i="19"/>
  <c r="AC451" i="19"/>
  <c r="AC452" i="19"/>
  <c r="AC453" i="19"/>
  <c r="AC454" i="19"/>
  <c r="AC455" i="19"/>
  <c r="AC456" i="19"/>
  <c r="AC457" i="19"/>
  <c r="AC458" i="19"/>
  <c r="AC459" i="19"/>
  <c r="AC460" i="19"/>
  <c r="AC461" i="19"/>
  <c r="AC462" i="19"/>
  <c r="AC463" i="19"/>
  <c r="AC464" i="19"/>
  <c r="AC465" i="19"/>
  <c r="AC466" i="19"/>
  <c r="AC467" i="19"/>
  <c r="AC468" i="19"/>
  <c r="AC469" i="19"/>
  <c r="AC470" i="19"/>
  <c r="AC471" i="19"/>
  <c r="AC472" i="19"/>
  <c r="AC473" i="19"/>
  <c r="AC474" i="19"/>
  <c r="AC475" i="19"/>
  <c r="AC476" i="19"/>
  <c r="AC477" i="19"/>
  <c r="AC478" i="19"/>
  <c r="AC479" i="19"/>
  <c r="AC480" i="19"/>
  <c r="AC481" i="19"/>
  <c r="AC482" i="19"/>
  <c r="AC483" i="19"/>
  <c r="AC484" i="19"/>
  <c r="AC485" i="19"/>
  <c r="AC486" i="19"/>
  <c r="AC487" i="19"/>
  <c r="AC488" i="19"/>
  <c r="AC489" i="19"/>
  <c r="AC490" i="19"/>
  <c r="AC491" i="19"/>
  <c r="AC492" i="19"/>
  <c r="AC493" i="19"/>
  <c r="AC494" i="19"/>
  <c r="AC495" i="19"/>
  <c r="AC496" i="19"/>
  <c r="AC497" i="19"/>
  <c r="AC498" i="19"/>
  <c r="AC499" i="19"/>
  <c r="AC500" i="19"/>
  <c r="AC501" i="19"/>
  <c r="AC502" i="19"/>
  <c r="AC503" i="19"/>
  <c r="AC504" i="19"/>
  <c r="AC505" i="19"/>
  <c r="AC506" i="19"/>
  <c r="AC507" i="19"/>
  <c r="AC508" i="19"/>
  <c r="AC509" i="19"/>
  <c r="AC510" i="19"/>
  <c r="AC511" i="19"/>
  <c r="AC512" i="19"/>
  <c r="AC513" i="19"/>
  <c r="AC514" i="19"/>
  <c r="AC515" i="19"/>
  <c r="AC516" i="19"/>
  <c r="AC517" i="19"/>
  <c r="AC518" i="19"/>
  <c r="AC519" i="19"/>
  <c r="AC520" i="19"/>
  <c r="AC521" i="19"/>
  <c r="AC522" i="19"/>
  <c r="AC523" i="19"/>
  <c r="AC524" i="19"/>
  <c r="AC525" i="19"/>
  <c r="AC526" i="19"/>
  <c r="AC527" i="19"/>
  <c r="AC528" i="19"/>
  <c r="AC529" i="19"/>
  <c r="AC530" i="19"/>
  <c r="AC531" i="19"/>
  <c r="AC532" i="19"/>
  <c r="AC533" i="19"/>
  <c r="AC534" i="19"/>
  <c r="AC535" i="19"/>
  <c r="AC536" i="19"/>
  <c r="AC537" i="19"/>
  <c r="AC538" i="19"/>
  <c r="AC539" i="19"/>
  <c r="AC540" i="19"/>
  <c r="AC541" i="19"/>
  <c r="AC542" i="19"/>
  <c r="AC543" i="19"/>
  <c r="AC544" i="19"/>
  <c r="AC545" i="19"/>
  <c r="AC546" i="19"/>
  <c r="AC547" i="19"/>
  <c r="AC548" i="19"/>
  <c r="AC549" i="19"/>
  <c r="AC550" i="19"/>
  <c r="AC551" i="19"/>
  <c r="AC552" i="19"/>
  <c r="AC553" i="19"/>
  <c r="AC554" i="19"/>
  <c r="AC555" i="19"/>
  <c r="AC556" i="19"/>
  <c r="AC557" i="19"/>
  <c r="AC558" i="19"/>
  <c r="AC559" i="19"/>
  <c r="AC560" i="19"/>
  <c r="AC561" i="19"/>
  <c r="AC562" i="19"/>
  <c r="AC563" i="19"/>
  <c r="AC564" i="19"/>
  <c r="AC565" i="19"/>
  <c r="AC566" i="19"/>
  <c r="AC567" i="19"/>
  <c r="AC568" i="19"/>
  <c r="AC569" i="19"/>
  <c r="AC570" i="19"/>
  <c r="AC571" i="19"/>
  <c r="AC572" i="19"/>
  <c r="AC573" i="19"/>
  <c r="AC574" i="19"/>
  <c r="AC575" i="19"/>
  <c r="AC576" i="19"/>
  <c r="AC577" i="19"/>
  <c r="AC578" i="19"/>
  <c r="AC579" i="19"/>
  <c r="AC580" i="19"/>
  <c r="AC581" i="19"/>
  <c r="AC582" i="19"/>
  <c r="AC583" i="19"/>
  <c r="AC584" i="19"/>
  <c r="AC585" i="19"/>
  <c r="AC586" i="19"/>
  <c r="AC587" i="19"/>
  <c r="AC588" i="19"/>
  <c r="AC589" i="19"/>
  <c r="AC590" i="19"/>
  <c r="AC591" i="19"/>
  <c r="AC592" i="19"/>
  <c r="AC593" i="19"/>
  <c r="AC594" i="19"/>
  <c r="AC595" i="19"/>
  <c r="AC596" i="19"/>
  <c r="AC597" i="19"/>
  <c r="AC598" i="19"/>
  <c r="AC599" i="19"/>
  <c r="AC600" i="19"/>
  <c r="AC601" i="19"/>
  <c r="AC602" i="19"/>
  <c r="AC603" i="19"/>
  <c r="AC604" i="19"/>
  <c r="AC605" i="19"/>
  <c r="AC606" i="19"/>
  <c r="AC607" i="19"/>
  <c r="AC608" i="19"/>
  <c r="AC609" i="19"/>
  <c r="AC610" i="19"/>
  <c r="AC611" i="19"/>
  <c r="AC612" i="19"/>
  <c r="AC613" i="19"/>
  <c r="AC614" i="19"/>
  <c r="AC615" i="19"/>
  <c r="AC616" i="19"/>
  <c r="AC617" i="19"/>
  <c r="AC618" i="19"/>
  <c r="AC619" i="19"/>
  <c r="AC620" i="19"/>
  <c r="AC621" i="19"/>
  <c r="AC622" i="19"/>
  <c r="AC623" i="19"/>
  <c r="AC624" i="19"/>
  <c r="AC625" i="19"/>
  <c r="AC626" i="19"/>
  <c r="AC627" i="19"/>
  <c r="AC628" i="19"/>
  <c r="AC629" i="19"/>
  <c r="AC630" i="19"/>
  <c r="AC631" i="19"/>
  <c r="AC632" i="19"/>
  <c r="AC633" i="19"/>
  <c r="AC634" i="19"/>
  <c r="AC635" i="19"/>
  <c r="AC636" i="19"/>
  <c r="AC637" i="19"/>
  <c r="AC638" i="19"/>
  <c r="AC639" i="19"/>
  <c r="AC640" i="19"/>
  <c r="AC641" i="19"/>
  <c r="AC642" i="19"/>
  <c r="AC643" i="19"/>
  <c r="AC644" i="19"/>
  <c r="AC645" i="19"/>
  <c r="AC646" i="19"/>
  <c r="AC647" i="19"/>
  <c r="AC648" i="19"/>
  <c r="AC649" i="19"/>
  <c r="AC650" i="19"/>
  <c r="AC651" i="19"/>
  <c r="AC652" i="19"/>
  <c r="AC653" i="19"/>
  <c r="AC654" i="19"/>
  <c r="AC655" i="19"/>
  <c r="AC656" i="19"/>
  <c r="AC657" i="19"/>
  <c r="AC658" i="19"/>
  <c r="AC659" i="19"/>
  <c r="AC660" i="19"/>
  <c r="AC661" i="19"/>
  <c r="AC662" i="19"/>
  <c r="AC663" i="19"/>
  <c r="AC664" i="19"/>
  <c r="AC665" i="19"/>
  <c r="AC666" i="19"/>
  <c r="AC667" i="19"/>
  <c r="AC668" i="19"/>
  <c r="AC669" i="19"/>
  <c r="AC670" i="19"/>
  <c r="AC671" i="19"/>
  <c r="AC672" i="19"/>
  <c r="AC673" i="19"/>
  <c r="AC674" i="19"/>
  <c r="AC675" i="19"/>
  <c r="AC676" i="19"/>
  <c r="AC677" i="19"/>
  <c r="AC678" i="19"/>
  <c r="AC679" i="19"/>
  <c r="AC680" i="19"/>
  <c r="AC681" i="19"/>
  <c r="AC682" i="19"/>
  <c r="AC683" i="19"/>
  <c r="AC684" i="19"/>
  <c r="AC685" i="19"/>
  <c r="AC686" i="19"/>
  <c r="AC687" i="19"/>
  <c r="AC688" i="19"/>
  <c r="AC689" i="19"/>
  <c r="AC690" i="19"/>
  <c r="AC691" i="19"/>
  <c r="AC692" i="19"/>
  <c r="AC693" i="19"/>
  <c r="AC694" i="19"/>
  <c r="AC695" i="19"/>
  <c r="AC696" i="19"/>
  <c r="AC697" i="19"/>
  <c r="AC698" i="19"/>
  <c r="AC699" i="19"/>
  <c r="AC700" i="19"/>
  <c r="AC701" i="19"/>
  <c r="AC702" i="19"/>
  <c r="AC703" i="19"/>
  <c r="AC704" i="19"/>
  <c r="AC705" i="19"/>
  <c r="AC706" i="19"/>
  <c r="AC707" i="19"/>
  <c r="AC708" i="19"/>
  <c r="AC709" i="19"/>
  <c r="AC710" i="19"/>
  <c r="AC711" i="19"/>
  <c r="AC712" i="19"/>
  <c r="AC713" i="19"/>
  <c r="AC714" i="19"/>
  <c r="AC715" i="19"/>
  <c r="AC716" i="19"/>
  <c r="AC717" i="19"/>
  <c r="AC718" i="19"/>
  <c r="AC719" i="19"/>
  <c r="AC720" i="19"/>
  <c r="AC721" i="19"/>
  <c r="AC722" i="19"/>
  <c r="AC723" i="19"/>
  <c r="AC724" i="19"/>
  <c r="AC725" i="19"/>
  <c r="AC726" i="19"/>
  <c r="AC727" i="19"/>
  <c r="AC728" i="19"/>
  <c r="AC729" i="19"/>
  <c r="AC730" i="19"/>
  <c r="AC731" i="19"/>
  <c r="AC732" i="19"/>
  <c r="AC733" i="19"/>
  <c r="AC734" i="19"/>
  <c r="AC735" i="19"/>
  <c r="AC736" i="19"/>
  <c r="AC737" i="19"/>
  <c r="AC738" i="19"/>
  <c r="AC739" i="19"/>
  <c r="AC740" i="19"/>
  <c r="AC741" i="19"/>
  <c r="AC742" i="19"/>
  <c r="AC743" i="19"/>
  <c r="AC744" i="19"/>
  <c r="AC745" i="19"/>
  <c r="AC746" i="19"/>
  <c r="AC747" i="19"/>
  <c r="AC748" i="19"/>
  <c r="AC749" i="19"/>
  <c r="AC750" i="19"/>
  <c r="AC751" i="19"/>
  <c r="AC752" i="19"/>
  <c r="AC753" i="19"/>
  <c r="AC754" i="19"/>
  <c r="AC755" i="19"/>
  <c r="AC756" i="19"/>
  <c r="AC757" i="19"/>
  <c r="AC758" i="19"/>
  <c r="AC759" i="19"/>
  <c r="AC760" i="19"/>
  <c r="AC761" i="19"/>
  <c r="AC762" i="19"/>
  <c r="AC763" i="19"/>
  <c r="AC764" i="19"/>
  <c r="AC765" i="19"/>
  <c r="AC766" i="19"/>
  <c r="AC767" i="19"/>
  <c r="AC768" i="19"/>
  <c r="AC769" i="19"/>
  <c r="AC770" i="19"/>
  <c r="AC771" i="19"/>
  <c r="AC772" i="19"/>
  <c r="AC773" i="19"/>
  <c r="AC774" i="19"/>
  <c r="AC775" i="19"/>
  <c r="AC776" i="19"/>
  <c r="AC777" i="19"/>
  <c r="AC778" i="19"/>
  <c r="AC779" i="19"/>
  <c r="AC780" i="19"/>
  <c r="AC781" i="19"/>
  <c r="AC782" i="19"/>
  <c r="AC783" i="19"/>
  <c r="AC784" i="19"/>
  <c r="AC785" i="19"/>
  <c r="AC786" i="19"/>
  <c r="AC787" i="19"/>
  <c r="AC788" i="19"/>
  <c r="AC789" i="19"/>
  <c r="AC790" i="19"/>
  <c r="AC791" i="19"/>
  <c r="AC792" i="19"/>
  <c r="AC793" i="19"/>
  <c r="AC794" i="19"/>
  <c r="AC795" i="19"/>
  <c r="AC796" i="19"/>
  <c r="AC797" i="19"/>
  <c r="AC798" i="19"/>
  <c r="AC799" i="19"/>
  <c r="AC800" i="19"/>
  <c r="D10" i="46"/>
  <c r="D5" i="46"/>
  <c r="D40" i="46"/>
  <c r="D17" i="46"/>
  <c r="D50" i="46"/>
  <c r="D19" i="46"/>
  <c r="D3" i="46"/>
  <c r="D37" i="46"/>
  <c r="D42" i="46"/>
  <c r="D8" i="46"/>
  <c r="D48" i="46"/>
  <c r="D30" i="46"/>
  <c r="D43" i="46"/>
  <c r="D6" i="46"/>
  <c r="D24" i="46"/>
  <c r="D35" i="46"/>
  <c r="D41" i="46"/>
  <c r="D18" i="46"/>
  <c r="D39" i="46"/>
  <c r="D34" i="46"/>
  <c r="D51" i="46"/>
  <c r="D16" i="46"/>
  <c r="D4" i="46"/>
  <c r="D9" i="46"/>
  <c r="D36" i="46"/>
  <c r="D45" i="46"/>
  <c r="D29" i="46"/>
  <c r="D46" i="46"/>
  <c r="D38" i="46"/>
  <c r="D15" i="46"/>
  <c r="D22" i="46"/>
  <c r="D27" i="46"/>
  <c r="D26" i="46"/>
  <c r="D47" i="46"/>
  <c r="D23" i="46"/>
  <c r="D33" i="46"/>
  <c r="D32" i="46"/>
  <c r="D7" i="46"/>
  <c r="D21" i="46"/>
  <c r="D25" i="46"/>
  <c r="D11" i="46"/>
  <c r="D14" i="46"/>
  <c r="D49" i="46"/>
  <c r="D20" i="46"/>
  <c r="H9" i="74"/>
  <c r="H16" i="74"/>
  <c r="H18" i="74"/>
  <c r="H25" i="74"/>
  <c r="H26" i="74"/>
  <c r="H47" i="74"/>
  <c r="M51" i="74"/>
  <c r="P51" i="74" s="1"/>
  <c r="AK51" i="74"/>
  <c r="AP51" i="74" s="1"/>
  <c r="Y51" i="74"/>
  <c r="AD51" i="74" s="1"/>
  <c r="A25" i="3"/>
  <c r="AG285" i="19"/>
  <c r="AK50" i="74"/>
  <c r="AN50" i="74" s="1"/>
  <c r="Y50" i="74"/>
  <c r="AD50" i="74" s="1"/>
  <c r="M50" i="74"/>
  <c r="R50" i="74" s="1"/>
  <c r="AK3" i="74"/>
  <c r="AT3" i="74" s="1"/>
  <c r="AK4" i="74"/>
  <c r="AK5" i="74"/>
  <c r="AR5" i="74" s="1"/>
  <c r="AK6" i="74"/>
  <c r="AK7" i="74"/>
  <c r="AK8" i="74"/>
  <c r="AK9" i="74"/>
  <c r="AK10" i="74"/>
  <c r="AK11" i="74"/>
  <c r="AN11" i="74" s="1"/>
  <c r="AK12" i="74"/>
  <c r="AR12" i="74" s="1"/>
  <c r="AK13" i="74"/>
  <c r="AN13" i="74" s="1"/>
  <c r="AK14" i="74"/>
  <c r="AT14" i="74" s="1"/>
  <c r="AK15" i="74"/>
  <c r="AR15" i="74" s="1"/>
  <c r="AK16" i="74"/>
  <c r="AK17" i="74"/>
  <c r="AK18" i="74"/>
  <c r="AK19" i="74"/>
  <c r="AK20" i="74"/>
  <c r="AK21" i="74"/>
  <c r="AK22" i="74"/>
  <c r="AK23" i="74"/>
  <c r="AN23" i="74" s="1"/>
  <c r="AK24" i="74"/>
  <c r="AN24" i="74" s="1"/>
  <c r="AK25" i="74"/>
  <c r="AN25" i="74" s="1"/>
  <c r="AK26" i="74"/>
  <c r="AK27" i="74"/>
  <c r="AK28" i="74"/>
  <c r="AK29" i="74"/>
  <c r="AK30" i="74"/>
  <c r="AK31" i="74"/>
  <c r="AK32" i="74"/>
  <c r="AK33" i="74"/>
  <c r="AK34" i="74"/>
  <c r="AK35" i="74"/>
  <c r="AN35" i="74" s="1"/>
  <c r="AK36" i="74"/>
  <c r="AR36" i="74" s="1"/>
  <c r="AK37" i="74"/>
  <c r="AP37" i="74" s="1"/>
  <c r="AK38" i="74"/>
  <c r="AR38" i="74" s="1"/>
  <c r="AK39" i="74"/>
  <c r="AN39" i="74" s="1"/>
  <c r="AK40" i="74"/>
  <c r="AK41" i="74"/>
  <c r="AK42" i="74"/>
  <c r="AK43" i="74"/>
  <c r="AK44" i="74"/>
  <c r="AK45" i="74"/>
  <c r="AK46" i="74"/>
  <c r="AK47" i="74"/>
  <c r="AN47" i="74" s="1"/>
  <c r="AK48" i="74"/>
  <c r="AR48" i="74" s="1"/>
  <c r="AK49" i="74"/>
  <c r="AP49" i="74" s="1"/>
  <c r="Y3" i="74"/>
  <c r="Z3" i="74" s="1"/>
  <c r="AA3" i="74" s="1"/>
  <c r="Y4" i="74"/>
  <c r="AD4" i="74" s="1"/>
  <c r="Y5" i="74"/>
  <c r="Y6" i="74"/>
  <c r="Y7" i="74"/>
  <c r="Y8" i="74"/>
  <c r="Y9" i="74"/>
  <c r="Y10" i="74"/>
  <c r="Y11" i="74"/>
  <c r="Y12" i="74"/>
  <c r="AD12" i="74" s="1"/>
  <c r="Y13" i="74"/>
  <c r="AF13" i="74" s="1"/>
  <c r="Y14" i="74"/>
  <c r="AD14" i="74" s="1"/>
  <c r="Y15" i="74"/>
  <c r="AD15" i="74" s="1"/>
  <c r="Y16" i="74"/>
  <c r="AH16" i="74" s="1"/>
  <c r="Y17" i="74"/>
  <c r="Y18" i="74"/>
  <c r="Z18" i="74" s="1"/>
  <c r="Y19" i="74"/>
  <c r="Y20" i="74"/>
  <c r="Y21" i="74"/>
  <c r="Y22" i="74"/>
  <c r="Y23" i="74"/>
  <c r="Y24" i="74"/>
  <c r="Y25" i="74"/>
  <c r="AF25" i="74" s="1"/>
  <c r="Y26" i="74"/>
  <c r="AD26" i="74" s="1"/>
  <c r="Y27" i="74"/>
  <c r="AB27" i="74" s="1"/>
  <c r="Y28" i="74"/>
  <c r="AB28" i="74" s="1"/>
  <c r="Y29" i="74"/>
  <c r="Y30" i="74"/>
  <c r="AD30" i="74" s="1"/>
  <c r="Y31" i="74"/>
  <c r="Y32" i="74"/>
  <c r="Y33" i="74"/>
  <c r="Y34" i="74"/>
  <c r="Y35" i="74"/>
  <c r="Y36" i="74"/>
  <c r="AB36" i="74" s="1"/>
  <c r="Y37" i="74"/>
  <c r="AF37" i="74" s="1"/>
  <c r="Y38" i="74"/>
  <c r="AD38" i="74" s="1"/>
  <c r="Y39" i="74"/>
  <c r="AB39" i="74" s="1"/>
  <c r="Y40" i="74"/>
  <c r="AB40" i="74" s="1"/>
  <c r="Y41" i="74"/>
  <c r="Y42" i="74"/>
  <c r="Y43" i="74"/>
  <c r="Y44" i="74"/>
  <c r="Y45" i="74"/>
  <c r="Y46" i="74"/>
  <c r="Y47" i="74"/>
  <c r="Y48" i="74"/>
  <c r="AD48" i="74" s="1"/>
  <c r="Y49" i="74"/>
  <c r="AF49" i="74" s="1"/>
  <c r="M3" i="74"/>
  <c r="N3" i="74" s="1"/>
  <c r="O3" i="74" s="1"/>
  <c r="M4" i="74"/>
  <c r="V4" i="74" s="1"/>
  <c r="M5" i="74"/>
  <c r="M6" i="74"/>
  <c r="M7" i="74"/>
  <c r="M8" i="74"/>
  <c r="M9" i="74"/>
  <c r="M10" i="74"/>
  <c r="M11" i="74"/>
  <c r="M12" i="74"/>
  <c r="M13" i="74"/>
  <c r="P13" i="74" s="1"/>
  <c r="M14" i="74"/>
  <c r="T14" i="74" s="1"/>
  <c r="M15" i="74"/>
  <c r="M16" i="74"/>
  <c r="T16" i="74" s="1"/>
  <c r="M17" i="74"/>
  <c r="R17" i="74" s="1"/>
  <c r="M18" i="74"/>
  <c r="N18" i="74" s="1"/>
  <c r="M19" i="74"/>
  <c r="M20" i="74"/>
  <c r="M21" i="74"/>
  <c r="M22" i="74"/>
  <c r="M23" i="74"/>
  <c r="M24" i="74"/>
  <c r="M25" i="74"/>
  <c r="P25" i="74" s="1"/>
  <c r="M26" i="74"/>
  <c r="T26" i="74" s="1"/>
  <c r="M27" i="74"/>
  <c r="M28" i="74"/>
  <c r="V28" i="74" s="1"/>
  <c r="M29" i="74"/>
  <c r="R29" i="74" s="1"/>
  <c r="M30" i="74"/>
  <c r="M31" i="74"/>
  <c r="M32" i="74"/>
  <c r="M33" i="74"/>
  <c r="M34" i="74"/>
  <c r="M35" i="74"/>
  <c r="M36" i="74"/>
  <c r="M37" i="74"/>
  <c r="P37" i="74" s="1"/>
  <c r="M38" i="74"/>
  <c r="V38" i="74" s="1"/>
  <c r="M39" i="74"/>
  <c r="M40" i="74"/>
  <c r="V40" i="74" s="1"/>
  <c r="M41" i="74"/>
  <c r="V41" i="74" s="1"/>
  <c r="M42" i="74"/>
  <c r="M43" i="74"/>
  <c r="M44" i="74"/>
  <c r="M45" i="74"/>
  <c r="M46" i="74"/>
  <c r="M47" i="74"/>
  <c r="M48" i="74"/>
  <c r="M49" i="74"/>
  <c r="P49" i="74" s="1"/>
  <c r="AL9" i="74"/>
  <c r="AL16" i="74"/>
  <c r="AL18" i="74"/>
  <c r="Z9" i="74"/>
  <c r="N9" i="74"/>
  <c r="B3" i="74"/>
  <c r="C3" i="74" s="1"/>
  <c r="B9" i="74"/>
  <c r="B16" i="74"/>
  <c r="B18" i="74"/>
  <c r="B25" i="74"/>
  <c r="C25" i="74" s="1"/>
  <c r="B26" i="74"/>
  <c r="A27" i="3"/>
  <c r="A8"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F3" i="74"/>
  <c r="F25" i="74"/>
  <c r="AD5" i="74"/>
  <c r="AD6" i="74"/>
  <c r="AD7" i="74"/>
  <c r="AD8" i="74"/>
  <c r="AD9" i="74"/>
  <c r="AD10" i="74"/>
  <c r="AD11" i="74"/>
  <c r="AD17" i="74"/>
  <c r="AD18" i="74"/>
  <c r="AD19" i="74"/>
  <c r="AD20" i="74"/>
  <c r="AD21" i="74"/>
  <c r="AD22" i="74"/>
  <c r="AD23" i="74"/>
  <c r="AD29" i="74"/>
  <c r="AD31" i="74"/>
  <c r="AD32" i="74"/>
  <c r="AD33" i="74"/>
  <c r="AD34" i="74"/>
  <c r="AD35" i="74"/>
  <c r="AD41" i="74"/>
  <c r="AD42" i="74"/>
  <c r="AD43" i="74"/>
  <c r="AD44" i="74"/>
  <c r="AD45" i="74"/>
  <c r="AD46" i="74"/>
  <c r="AD47" i="74"/>
  <c r="AN4" i="74"/>
  <c r="AP4" i="74"/>
  <c r="AR4" i="74"/>
  <c r="AT4" i="74"/>
  <c r="AN5" i="74"/>
  <c r="AP5" i="74"/>
  <c r="AT5" i="74"/>
  <c r="AN6" i="74"/>
  <c r="AP6" i="74"/>
  <c r="AR6" i="74"/>
  <c r="AT6" i="74"/>
  <c r="AN7" i="74"/>
  <c r="AP7" i="74"/>
  <c r="AR7" i="74"/>
  <c r="AT7" i="74"/>
  <c r="AN8" i="74"/>
  <c r="AP8" i="74"/>
  <c r="AR8" i="74"/>
  <c r="AT8" i="74"/>
  <c r="AN9" i="74"/>
  <c r="AP9" i="74"/>
  <c r="AR9" i="74"/>
  <c r="AT9" i="74"/>
  <c r="AN10" i="74"/>
  <c r="AP10" i="74"/>
  <c r="AR10" i="74"/>
  <c r="AT10" i="74"/>
  <c r="AR11" i="74"/>
  <c r="AP12" i="74"/>
  <c r="AN16" i="74"/>
  <c r="AP16" i="74"/>
  <c r="AR16" i="74"/>
  <c r="AT16" i="74"/>
  <c r="AN17" i="74"/>
  <c r="AP17" i="74"/>
  <c r="AR17" i="74"/>
  <c r="AT17" i="74"/>
  <c r="AN18" i="74"/>
  <c r="AP18" i="74"/>
  <c r="AR18" i="74"/>
  <c r="AT18" i="74"/>
  <c r="AN19" i="74"/>
  <c r="AP19" i="74"/>
  <c r="AR19" i="74"/>
  <c r="AT19" i="74"/>
  <c r="AN20" i="74"/>
  <c r="AP20" i="74"/>
  <c r="AR20" i="74"/>
  <c r="AT20" i="74"/>
  <c r="AN21" i="74"/>
  <c r="AP21" i="74"/>
  <c r="AR21" i="74"/>
  <c r="AT21" i="74"/>
  <c r="AN22" i="74"/>
  <c r="AP22" i="74"/>
  <c r="AR22" i="74"/>
  <c r="AT22" i="74"/>
  <c r="AR23" i="74"/>
  <c r="AT25" i="74"/>
  <c r="AT27" i="74"/>
  <c r="AN28" i="74"/>
  <c r="AP28" i="74"/>
  <c r="AR28" i="74"/>
  <c r="AT28" i="74"/>
  <c r="AN29" i="74"/>
  <c r="AP29" i="74"/>
  <c r="AR29" i="74"/>
  <c r="AT29" i="74"/>
  <c r="AN30" i="74"/>
  <c r="AP30" i="74"/>
  <c r="AR30" i="74"/>
  <c r="AT30" i="74"/>
  <c r="AN31" i="74"/>
  <c r="AP31" i="74"/>
  <c r="AR31" i="74"/>
  <c r="AT31" i="74"/>
  <c r="AN32" i="74"/>
  <c r="AP32" i="74"/>
  <c r="AR32" i="74"/>
  <c r="AT32" i="74"/>
  <c r="AN33" i="74"/>
  <c r="AP33" i="74"/>
  <c r="AR33" i="74"/>
  <c r="AT33" i="74"/>
  <c r="AN34" i="74"/>
  <c r="AP34" i="74"/>
  <c r="AR34" i="74"/>
  <c r="AT34" i="74"/>
  <c r="AT35" i="74"/>
  <c r="AN40" i="74"/>
  <c r="AP40" i="74"/>
  <c r="AR40" i="74"/>
  <c r="AT40" i="74"/>
  <c r="AN41" i="74"/>
  <c r="AP41" i="74"/>
  <c r="AR41" i="74"/>
  <c r="AT41" i="74"/>
  <c r="AN42" i="74"/>
  <c r="AP42" i="74"/>
  <c r="AR42" i="74"/>
  <c r="AT42" i="74"/>
  <c r="AN43" i="74"/>
  <c r="AP43" i="74"/>
  <c r="AR43" i="74"/>
  <c r="AT43" i="74"/>
  <c r="AN44" i="74"/>
  <c r="AP44" i="74"/>
  <c r="AR44" i="74"/>
  <c r="AT44" i="74"/>
  <c r="AN45" i="74"/>
  <c r="AP45" i="74"/>
  <c r="AR45" i="74"/>
  <c r="AT45" i="74"/>
  <c r="AN46" i="74"/>
  <c r="AP46" i="74"/>
  <c r="AR46" i="74"/>
  <c r="AT46" i="74"/>
  <c r="AB5" i="74"/>
  <c r="AF5" i="74"/>
  <c r="AH5" i="74"/>
  <c r="AB6" i="74"/>
  <c r="AF6" i="74"/>
  <c r="AH6" i="74"/>
  <c r="AB7" i="74"/>
  <c r="AF7" i="74"/>
  <c r="AH7" i="74"/>
  <c r="AB8" i="74"/>
  <c r="AF8" i="74"/>
  <c r="AH8" i="74"/>
  <c r="AB9" i="74"/>
  <c r="AF9" i="74"/>
  <c r="AH9" i="74"/>
  <c r="AB10" i="74"/>
  <c r="AF10" i="74"/>
  <c r="AH10" i="74"/>
  <c r="AB11" i="74"/>
  <c r="AF11" i="74"/>
  <c r="AH11" i="74"/>
  <c r="AF12" i="74"/>
  <c r="AB14" i="74"/>
  <c r="AF14" i="74"/>
  <c r="AH14" i="74"/>
  <c r="AB16" i="74"/>
  <c r="AB17" i="74"/>
  <c r="AF17" i="74"/>
  <c r="AH17" i="74"/>
  <c r="AB18" i="74"/>
  <c r="AF18" i="74"/>
  <c r="AH18" i="74"/>
  <c r="AB19" i="74"/>
  <c r="AF19" i="74"/>
  <c r="AH19" i="74"/>
  <c r="AB20" i="74"/>
  <c r="AF20" i="74"/>
  <c r="AH20" i="74"/>
  <c r="AB21" i="74"/>
  <c r="AF21" i="74"/>
  <c r="AH21" i="74"/>
  <c r="AB22" i="74"/>
  <c r="AF22" i="74"/>
  <c r="AH22" i="74"/>
  <c r="AB23" i="74"/>
  <c r="AF23" i="74"/>
  <c r="AH23" i="74"/>
  <c r="AB26" i="74"/>
  <c r="AF26" i="74"/>
  <c r="AH26" i="74"/>
  <c r="AB29" i="74"/>
  <c r="AF29" i="74"/>
  <c r="AH29" i="74"/>
  <c r="AB30" i="74"/>
  <c r="AF30" i="74"/>
  <c r="AH30" i="74"/>
  <c r="AB31" i="74"/>
  <c r="AF31" i="74"/>
  <c r="AH31" i="74"/>
  <c r="AB32" i="74"/>
  <c r="AF32" i="74"/>
  <c r="AH32" i="74"/>
  <c r="AB33" i="74"/>
  <c r="AF33" i="74"/>
  <c r="AH33" i="74"/>
  <c r="AB34" i="74"/>
  <c r="AF34" i="74"/>
  <c r="AH34" i="74"/>
  <c r="AB35" i="74"/>
  <c r="AF35" i="74"/>
  <c r="AH35" i="74"/>
  <c r="AB38" i="74"/>
  <c r="AF38" i="74"/>
  <c r="AH38" i="74"/>
  <c r="AB41" i="74"/>
  <c r="AF41" i="74"/>
  <c r="AH41" i="74"/>
  <c r="AB42" i="74"/>
  <c r="AF42" i="74"/>
  <c r="AH42" i="74"/>
  <c r="AB43" i="74"/>
  <c r="AF43" i="74"/>
  <c r="AH43" i="74"/>
  <c r="AB44" i="74"/>
  <c r="AF44" i="74"/>
  <c r="AH44" i="74"/>
  <c r="AB45" i="74"/>
  <c r="AF45" i="74"/>
  <c r="AH45" i="74"/>
  <c r="AB46" i="74"/>
  <c r="AF46" i="74"/>
  <c r="AH46" i="74"/>
  <c r="AB47" i="74"/>
  <c r="AF47" i="74"/>
  <c r="AH47" i="74"/>
  <c r="AH48" i="74"/>
  <c r="D25" i="74"/>
  <c r="J25" i="74"/>
  <c r="J3" i="74"/>
  <c r="H3" i="74"/>
  <c r="D3" i="74"/>
  <c r="V3" i="74"/>
  <c r="V6" i="74"/>
  <c r="V7" i="74"/>
  <c r="V8" i="74"/>
  <c r="V9" i="74"/>
  <c r="V10" i="74"/>
  <c r="V11" i="74"/>
  <c r="V14" i="74"/>
  <c r="V15" i="74"/>
  <c r="V18" i="74"/>
  <c r="V19" i="74"/>
  <c r="V20" i="74"/>
  <c r="V21" i="74"/>
  <c r="V22" i="74"/>
  <c r="V23" i="74"/>
  <c r="V27" i="74"/>
  <c r="V30" i="74"/>
  <c r="V31" i="74"/>
  <c r="V32" i="74"/>
  <c r="V33" i="74"/>
  <c r="V34" i="74"/>
  <c r="V35" i="74"/>
  <c r="V39" i="74"/>
  <c r="V42" i="74"/>
  <c r="V43" i="74"/>
  <c r="V44" i="74"/>
  <c r="V45" i="74"/>
  <c r="V46" i="74"/>
  <c r="V47" i="74"/>
  <c r="T3" i="74"/>
  <c r="T6" i="74"/>
  <c r="T7" i="74"/>
  <c r="T8" i="74"/>
  <c r="T9" i="74"/>
  <c r="T10" i="74"/>
  <c r="T11" i="74"/>
  <c r="T15" i="74"/>
  <c r="T18" i="74"/>
  <c r="T19" i="74"/>
  <c r="T20" i="74"/>
  <c r="T21" i="74"/>
  <c r="T22" i="74"/>
  <c r="T23" i="74"/>
  <c r="T27" i="74"/>
  <c r="T30" i="74"/>
  <c r="T31" i="74"/>
  <c r="T32" i="74"/>
  <c r="T33" i="74"/>
  <c r="T34" i="74"/>
  <c r="T35" i="74"/>
  <c r="T38" i="74"/>
  <c r="T39" i="74"/>
  <c r="T42" i="74"/>
  <c r="T43" i="74"/>
  <c r="T44" i="74"/>
  <c r="T45" i="74"/>
  <c r="T46" i="74"/>
  <c r="T47" i="74"/>
  <c r="R3" i="74"/>
  <c r="R6" i="74"/>
  <c r="R7" i="74"/>
  <c r="R8" i="74"/>
  <c r="R9" i="74"/>
  <c r="R10" i="74"/>
  <c r="R11" i="74"/>
  <c r="R12" i="74"/>
  <c r="R14" i="74"/>
  <c r="R15" i="74"/>
  <c r="R18" i="74"/>
  <c r="R19" i="74"/>
  <c r="R20" i="74"/>
  <c r="R21" i="74"/>
  <c r="R22" i="74"/>
  <c r="R23" i="74"/>
  <c r="R24" i="74"/>
  <c r="R26" i="74"/>
  <c r="R27" i="74"/>
  <c r="R30" i="74"/>
  <c r="R31" i="74"/>
  <c r="R32" i="74"/>
  <c r="R33" i="74"/>
  <c r="R34" i="74"/>
  <c r="R35" i="74"/>
  <c r="R36" i="74"/>
  <c r="R38" i="74"/>
  <c r="R39" i="74"/>
  <c r="R42" i="74"/>
  <c r="R43" i="74"/>
  <c r="R44" i="74"/>
  <c r="R45" i="74"/>
  <c r="R46" i="74"/>
  <c r="R47" i="74"/>
  <c r="R48" i="74"/>
  <c r="P3" i="74"/>
  <c r="P4" i="74"/>
  <c r="P6" i="74"/>
  <c r="P7" i="74"/>
  <c r="P8" i="74"/>
  <c r="P9" i="74"/>
  <c r="P10" i="74"/>
  <c r="P11" i="74"/>
  <c r="P12" i="74"/>
  <c r="P14" i="74"/>
  <c r="P15" i="74"/>
  <c r="P18" i="74"/>
  <c r="P19" i="74"/>
  <c r="P20" i="74"/>
  <c r="P21" i="74"/>
  <c r="P22" i="74"/>
  <c r="P23" i="74"/>
  <c r="P24" i="74"/>
  <c r="P26" i="74"/>
  <c r="P27" i="74"/>
  <c r="P30" i="74"/>
  <c r="P31" i="74"/>
  <c r="P32" i="74"/>
  <c r="P33" i="74"/>
  <c r="P34" i="74"/>
  <c r="P35" i="74"/>
  <c r="P36" i="74"/>
  <c r="P38" i="74"/>
  <c r="P39" i="74"/>
  <c r="P42" i="74"/>
  <c r="P43" i="74"/>
  <c r="P44" i="74"/>
  <c r="P45" i="74"/>
  <c r="P46" i="74"/>
  <c r="P47" i="74"/>
  <c r="P48" i="74"/>
  <c r="AJ3" i="19"/>
  <c r="AJ4" i="19"/>
  <c r="AJ5" i="19"/>
  <c r="AJ6" i="19"/>
  <c r="AJ7" i="19"/>
  <c r="AJ8" i="19"/>
  <c r="AJ9" i="19"/>
  <c r="AJ10" i="19"/>
  <c r="AJ11" i="19"/>
  <c r="AJ12" i="19"/>
  <c r="AJ13" i="19"/>
  <c r="AJ14" i="19"/>
  <c r="AJ15" i="19"/>
  <c r="AJ16" i="19"/>
  <c r="AJ17" i="19"/>
  <c r="AJ18" i="19"/>
  <c r="AJ19" i="19"/>
  <c r="AJ20" i="19"/>
  <c r="AJ21" i="19"/>
  <c r="AJ22" i="19"/>
  <c r="AJ23" i="19"/>
  <c r="AJ24" i="19"/>
  <c r="AJ25" i="19"/>
  <c r="AJ26" i="19"/>
  <c r="AJ27" i="19"/>
  <c r="AJ28" i="19"/>
  <c r="AJ29" i="19"/>
  <c r="AJ30" i="19"/>
  <c r="AJ31" i="19"/>
  <c r="AJ32" i="19"/>
  <c r="AJ33" i="19"/>
  <c r="AJ34" i="19"/>
  <c r="AJ35" i="19"/>
  <c r="AJ36" i="19"/>
  <c r="AJ37" i="19"/>
  <c r="AJ38" i="19"/>
  <c r="AJ39" i="19"/>
  <c r="AJ40" i="19"/>
  <c r="AJ41" i="19"/>
  <c r="AJ42" i="19"/>
  <c r="AJ43" i="19"/>
  <c r="AJ44" i="19"/>
  <c r="AJ45" i="19"/>
  <c r="AJ46" i="19"/>
  <c r="AJ47" i="19"/>
  <c r="AJ48" i="19"/>
  <c r="AJ49" i="19"/>
  <c r="AJ50" i="19"/>
  <c r="AJ51" i="19"/>
  <c r="AJ52" i="19"/>
  <c r="AJ53" i="19"/>
  <c r="AJ54" i="19"/>
  <c r="AJ55" i="19"/>
  <c r="AJ56" i="19"/>
  <c r="AJ57" i="19"/>
  <c r="AJ58" i="19"/>
  <c r="AJ59" i="19"/>
  <c r="AJ60" i="19"/>
  <c r="AJ61" i="19"/>
  <c r="AJ62" i="19"/>
  <c r="AJ63" i="19"/>
  <c r="AJ64" i="19"/>
  <c r="AJ65" i="19"/>
  <c r="AJ66" i="19"/>
  <c r="AJ67" i="19"/>
  <c r="AJ68" i="19"/>
  <c r="AJ69" i="19"/>
  <c r="AJ70" i="19"/>
  <c r="AJ71" i="19"/>
  <c r="AJ72" i="19"/>
  <c r="AJ73" i="19"/>
  <c r="AJ74" i="19"/>
  <c r="AJ75" i="19"/>
  <c r="AJ76" i="19"/>
  <c r="AJ77" i="19"/>
  <c r="AJ78" i="19"/>
  <c r="AJ79" i="19"/>
  <c r="AJ80" i="19"/>
  <c r="AJ81" i="19"/>
  <c r="AJ82" i="19"/>
  <c r="AJ83" i="19"/>
  <c r="AJ84" i="19"/>
  <c r="AJ85" i="19"/>
  <c r="AJ86" i="19"/>
  <c r="AJ87" i="19"/>
  <c r="AJ88" i="19"/>
  <c r="AJ89" i="19"/>
  <c r="AJ90" i="19"/>
  <c r="AJ91" i="19"/>
  <c r="AJ92" i="19"/>
  <c r="AJ93" i="19"/>
  <c r="AJ94" i="19"/>
  <c r="AJ95" i="19"/>
  <c r="AJ96" i="19"/>
  <c r="AJ97" i="19"/>
  <c r="AJ98" i="19"/>
  <c r="AJ99" i="19"/>
  <c r="AJ100" i="19"/>
  <c r="AJ101" i="19"/>
  <c r="AJ102" i="19"/>
  <c r="AJ103" i="19"/>
  <c r="AJ104" i="19"/>
  <c r="AJ105" i="19"/>
  <c r="AJ106" i="19"/>
  <c r="AJ107" i="19"/>
  <c r="AJ108" i="19"/>
  <c r="AJ109" i="19"/>
  <c r="AJ110" i="19"/>
  <c r="AJ111" i="19"/>
  <c r="AJ112" i="19"/>
  <c r="AJ113" i="19"/>
  <c r="AJ114" i="19"/>
  <c r="J16" i="74" s="1"/>
  <c r="AJ115" i="19"/>
  <c r="AJ116" i="19"/>
  <c r="AJ117" i="19"/>
  <c r="AJ118" i="19"/>
  <c r="AJ119" i="19"/>
  <c r="AJ120" i="19"/>
  <c r="AJ121" i="19"/>
  <c r="AJ122" i="19"/>
  <c r="AJ123" i="19"/>
  <c r="AJ124" i="19"/>
  <c r="AJ125" i="19"/>
  <c r="AJ126" i="19"/>
  <c r="AJ127" i="19"/>
  <c r="AJ128" i="19"/>
  <c r="AJ129" i="19"/>
  <c r="AJ130" i="19"/>
  <c r="AJ131" i="19"/>
  <c r="AJ132" i="19"/>
  <c r="AJ133" i="19"/>
  <c r="AJ134" i="19"/>
  <c r="AJ135" i="19"/>
  <c r="AJ136" i="19"/>
  <c r="AJ137" i="19"/>
  <c r="AJ138" i="19"/>
  <c r="AJ139" i="19"/>
  <c r="AJ140" i="19"/>
  <c r="AJ141" i="19"/>
  <c r="AJ142" i="19"/>
  <c r="AJ143" i="19"/>
  <c r="AJ144" i="19"/>
  <c r="AJ145" i="19"/>
  <c r="AJ146" i="19"/>
  <c r="AJ147" i="19"/>
  <c r="AJ148" i="19"/>
  <c r="AJ149" i="19"/>
  <c r="AJ150" i="19"/>
  <c r="AJ151" i="19"/>
  <c r="AJ152" i="19"/>
  <c r="AJ153" i="19"/>
  <c r="AJ154" i="19"/>
  <c r="AJ155" i="19"/>
  <c r="AJ156" i="19"/>
  <c r="AJ157" i="19"/>
  <c r="AJ158" i="19"/>
  <c r="AJ159" i="19"/>
  <c r="AJ160" i="19"/>
  <c r="AJ161" i="19"/>
  <c r="AJ162" i="19"/>
  <c r="AJ163" i="19"/>
  <c r="AJ164" i="19"/>
  <c r="AJ165" i="19"/>
  <c r="AJ166" i="19"/>
  <c r="AJ167" i="19"/>
  <c r="AJ168" i="19"/>
  <c r="AJ169" i="19"/>
  <c r="AJ170" i="19"/>
  <c r="AJ171" i="19"/>
  <c r="AJ172" i="19"/>
  <c r="AJ173" i="19"/>
  <c r="AJ174" i="19"/>
  <c r="AJ175" i="19"/>
  <c r="AJ176" i="19"/>
  <c r="AJ177" i="19"/>
  <c r="AJ178" i="19"/>
  <c r="AJ179" i="19"/>
  <c r="AJ180" i="19"/>
  <c r="AJ181" i="19"/>
  <c r="AJ182" i="19"/>
  <c r="AJ183" i="19"/>
  <c r="AJ184" i="19"/>
  <c r="AJ185" i="19"/>
  <c r="AJ186" i="19"/>
  <c r="AJ187" i="19"/>
  <c r="AJ188" i="19"/>
  <c r="AJ189" i="19"/>
  <c r="AJ190" i="19"/>
  <c r="AJ191" i="19"/>
  <c r="AJ192" i="19"/>
  <c r="AJ193" i="19"/>
  <c r="AJ194" i="19"/>
  <c r="AJ195" i="19"/>
  <c r="AJ196" i="19"/>
  <c r="AJ197" i="19"/>
  <c r="AJ198" i="19"/>
  <c r="AJ199" i="19"/>
  <c r="AJ200" i="19"/>
  <c r="AJ201" i="19"/>
  <c r="AJ202" i="19"/>
  <c r="AJ203" i="19"/>
  <c r="AJ204" i="19"/>
  <c r="AJ205" i="19"/>
  <c r="AJ206" i="19"/>
  <c r="AJ207" i="19"/>
  <c r="AJ208" i="19"/>
  <c r="AJ209" i="19"/>
  <c r="AJ210" i="19"/>
  <c r="AJ211" i="19"/>
  <c r="AJ212" i="19"/>
  <c r="AJ213" i="19"/>
  <c r="AJ214" i="19"/>
  <c r="AJ215" i="19"/>
  <c r="AJ216" i="19"/>
  <c r="AJ217" i="19"/>
  <c r="AJ218" i="19"/>
  <c r="AJ219" i="19"/>
  <c r="AJ220" i="19"/>
  <c r="AJ221" i="19"/>
  <c r="AJ222" i="19"/>
  <c r="AJ223" i="19"/>
  <c r="AJ224" i="19"/>
  <c r="AJ225" i="19"/>
  <c r="AJ226" i="19"/>
  <c r="AJ227" i="19"/>
  <c r="AJ228" i="19"/>
  <c r="AJ229" i="19"/>
  <c r="AJ230" i="19"/>
  <c r="AJ231" i="19"/>
  <c r="AJ232" i="19"/>
  <c r="AJ233" i="19"/>
  <c r="AJ234" i="19"/>
  <c r="AJ235" i="19"/>
  <c r="AJ236" i="19"/>
  <c r="AJ237" i="19"/>
  <c r="AJ238" i="19"/>
  <c r="AJ239" i="19"/>
  <c r="AJ240" i="19"/>
  <c r="AJ241" i="19"/>
  <c r="AJ242" i="19"/>
  <c r="AJ243" i="19"/>
  <c r="AJ244" i="19"/>
  <c r="AJ245" i="19"/>
  <c r="AJ246" i="19"/>
  <c r="AJ247" i="19"/>
  <c r="AJ248" i="19"/>
  <c r="AJ249" i="19"/>
  <c r="AJ250" i="19"/>
  <c r="AJ251" i="19"/>
  <c r="AJ252" i="19"/>
  <c r="AJ253" i="19"/>
  <c r="AJ254" i="19"/>
  <c r="AJ255" i="19"/>
  <c r="AJ256" i="19"/>
  <c r="AJ257" i="19"/>
  <c r="AJ258" i="19"/>
  <c r="AJ259" i="19"/>
  <c r="AJ260" i="19"/>
  <c r="AJ261" i="19"/>
  <c r="AJ262" i="19"/>
  <c r="AJ263" i="19"/>
  <c r="AJ264" i="19"/>
  <c r="AJ265" i="19"/>
  <c r="AJ266" i="19"/>
  <c r="AJ267" i="19"/>
  <c r="AJ268" i="19"/>
  <c r="J26" i="74" s="1"/>
  <c r="AJ269" i="19"/>
  <c r="AJ270" i="19"/>
  <c r="AJ271" i="19"/>
  <c r="AJ272" i="19"/>
  <c r="AJ273" i="19"/>
  <c r="AJ274" i="19"/>
  <c r="AJ275" i="19"/>
  <c r="AJ276" i="19"/>
  <c r="AJ277" i="19"/>
  <c r="AJ278" i="19"/>
  <c r="AJ279" i="19"/>
  <c r="AJ280" i="19"/>
  <c r="AJ281" i="19"/>
  <c r="AJ282" i="19"/>
  <c r="J31" i="74" s="1"/>
  <c r="AJ283" i="19"/>
  <c r="AJ284" i="19"/>
  <c r="AJ285" i="19"/>
  <c r="AJ286" i="19"/>
  <c r="AJ287" i="19"/>
  <c r="AJ288" i="19"/>
  <c r="AJ289" i="19"/>
  <c r="AJ290" i="19"/>
  <c r="AJ291" i="19"/>
  <c r="AJ292" i="19"/>
  <c r="AJ293" i="19"/>
  <c r="AJ294" i="19"/>
  <c r="AJ295" i="19"/>
  <c r="AJ296" i="19"/>
  <c r="AJ297" i="19"/>
  <c r="AJ298" i="19"/>
  <c r="AJ299" i="19"/>
  <c r="AJ300" i="19"/>
  <c r="AJ301" i="19"/>
  <c r="AJ302" i="19"/>
  <c r="AJ303" i="19"/>
  <c r="AJ304" i="19"/>
  <c r="AJ305" i="19"/>
  <c r="AJ306" i="19"/>
  <c r="AJ307" i="19"/>
  <c r="AJ308" i="19"/>
  <c r="AJ309" i="19"/>
  <c r="AJ310" i="19"/>
  <c r="AJ311" i="19"/>
  <c r="AJ312" i="19"/>
  <c r="AJ313" i="19"/>
  <c r="AJ314" i="19"/>
  <c r="AJ315" i="19"/>
  <c r="AJ316" i="19"/>
  <c r="AJ317" i="19"/>
  <c r="AJ318" i="19"/>
  <c r="AJ319" i="19"/>
  <c r="AJ320" i="19"/>
  <c r="AJ321" i="19"/>
  <c r="AJ322" i="19"/>
  <c r="AJ323" i="19"/>
  <c r="AJ324" i="19"/>
  <c r="AJ325" i="19"/>
  <c r="AJ326" i="19"/>
  <c r="AJ327" i="19"/>
  <c r="AJ328" i="19"/>
  <c r="AJ329" i="19"/>
  <c r="AJ330" i="19"/>
  <c r="AJ331" i="19"/>
  <c r="AJ332" i="19"/>
  <c r="AJ333" i="19"/>
  <c r="AJ334" i="19"/>
  <c r="AJ335" i="19"/>
  <c r="AJ336" i="19"/>
  <c r="AJ337" i="19"/>
  <c r="AJ338" i="19"/>
  <c r="AJ339" i="19"/>
  <c r="AJ340" i="19"/>
  <c r="AJ341" i="19"/>
  <c r="AJ342" i="19"/>
  <c r="AJ343" i="19"/>
  <c r="AJ344" i="19"/>
  <c r="AJ345" i="19"/>
  <c r="AJ346" i="19"/>
  <c r="AJ347" i="19"/>
  <c r="AJ348" i="19"/>
  <c r="AJ349" i="19"/>
  <c r="AJ350" i="19"/>
  <c r="AJ351" i="19"/>
  <c r="AJ352" i="19"/>
  <c r="AJ353" i="19"/>
  <c r="AJ354" i="19"/>
  <c r="AJ355" i="19"/>
  <c r="AJ356" i="19"/>
  <c r="AJ357" i="19"/>
  <c r="AJ358" i="19"/>
  <c r="AJ359" i="19"/>
  <c r="AJ360" i="19"/>
  <c r="AJ361" i="19"/>
  <c r="AJ362" i="19"/>
  <c r="AJ363" i="19"/>
  <c r="AJ364" i="19"/>
  <c r="AJ365" i="19"/>
  <c r="AJ366" i="19"/>
  <c r="AJ367" i="19"/>
  <c r="AJ368" i="19"/>
  <c r="AJ369" i="19"/>
  <c r="AJ370" i="19"/>
  <c r="AJ371" i="19"/>
  <c r="AJ372" i="19"/>
  <c r="AJ373" i="19"/>
  <c r="AJ374" i="19"/>
  <c r="AJ375" i="19"/>
  <c r="AJ376" i="19"/>
  <c r="AJ377" i="19"/>
  <c r="AJ378" i="19"/>
  <c r="AJ379" i="19"/>
  <c r="AJ380" i="19"/>
  <c r="AJ381" i="19"/>
  <c r="AJ382" i="19"/>
  <c r="AJ383" i="19"/>
  <c r="AJ384" i="19"/>
  <c r="AJ385" i="19"/>
  <c r="AJ386" i="19"/>
  <c r="AJ387" i="19"/>
  <c r="AJ388" i="19"/>
  <c r="J9" i="74" s="1"/>
  <c r="AJ389" i="19"/>
  <c r="AJ390" i="19"/>
  <c r="AJ391" i="19"/>
  <c r="AJ392" i="19"/>
  <c r="AJ393" i="19"/>
  <c r="AJ394" i="19"/>
  <c r="AJ395" i="19"/>
  <c r="AJ396" i="19"/>
  <c r="AJ397" i="19"/>
  <c r="AJ398" i="19"/>
  <c r="AJ399" i="19"/>
  <c r="AJ400" i="19"/>
  <c r="AJ401" i="19"/>
  <c r="AJ402" i="19"/>
  <c r="AJ403" i="19"/>
  <c r="AJ404" i="19"/>
  <c r="AJ405" i="19"/>
  <c r="AJ406" i="19"/>
  <c r="AJ407" i="19"/>
  <c r="AJ408" i="19"/>
  <c r="AJ409" i="19"/>
  <c r="AJ410" i="19"/>
  <c r="AJ411" i="19"/>
  <c r="AJ412" i="19"/>
  <c r="AJ413" i="19"/>
  <c r="AJ414" i="19"/>
  <c r="AJ415" i="19"/>
  <c r="AJ416" i="19"/>
  <c r="AJ417" i="19"/>
  <c r="AJ418" i="19"/>
  <c r="AJ419" i="19"/>
  <c r="AJ420" i="19"/>
  <c r="AJ421" i="19"/>
  <c r="AJ422" i="19"/>
  <c r="AJ423" i="19"/>
  <c r="AJ424" i="19"/>
  <c r="AJ425" i="19"/>
  <c r="AJ426" i="19"/>
  <c r="AJ427" i="19"/>
  <c r="AJ428" i="19"/>
  <c r="AJ429" i="19"/>
  <c r="AJ430" i="19"/>
  <c r="AJ431" i="19"/>
  <c r="AJ432" i="19"/>
  <c r="AJ433" i="19"/>
  <c r="AJ434" i="19"/>
  <c r="AJ435" i="19"/>
  <c r="AJ436" i="19"/>
  <c r="AJ437" i="19"/>
  <c r="AJ438" i="19"/>
  <c r="AJ439" i="19"/>
  <c r="AJ440" i="19"/>
  <c r="AJ441" i="19"/>
  <c r="AJ442" i="19"/>
  <c r="AJ443" i="19"/>
  <c r="AJ444" i="19"/>
  <c r="AJ445" i="19"/>
  <c r="AJ446" i="19"/>
  <c r="AJ447" i="19"/>
  <c r="AJ448" i="19"/>
  <c r="AJ449" i="19"/>
  <c r="AJ450" i="19"/>
  <c r="AJ451" i="19"/>
  <c r="AJ452" i="19"/>
  <c r="AJ453" i="19"/>
  <c r="AJ454" i="19"/>
  <c r="AJ455" i="19"/>
  <c r="AJ456" i="19"/>
  <c r="AJ457" i="19"/>
  <c r="AJ458" i="19"/>
  <c r="AJ459" i="19"/>
  <c r="AJ460" i="19"/>
  <c r="AJ461" i="19"/>
  <c r="AJ462" i="19"/>
  <c r="AJ463" i="19"/>
  <c r="AJ464" i="19"/>
  <c r="AJ465" i="19"/>
  <c r="AJ466" i="19"/>
  <c r="AJ467" i="19"/>
  <c r="AJ468" i="19"/>
  <c r="AJ469" i="19"/>
  <c r="AJ470" i="19"/>
  <c r="AJ471" i="19"/>
  <c r="AJ472" i="19"/>
  <c r="AJ473" i="19"/>
  <c r="AJ474" i="19"/>
  <c r="AJ475" i="19"/>
  <c r="AJ476" i="19"/>
  <c r="AJ477" i="19"/>
  <c r="AJ478" i="19"/>
  <c r="AJ479" i="19"/>
  <c r="AJ480" i="19"/>
  <c r="AJ481" i="19"/>
  <c r="AJ482" i="19"/>
  <c r="AJ483" i="19"/>
  <c r="AJ484" i="19"/>
  <c r="AJ485" i="19"/>
  <c r="AJ486" i="19"/>
  <c r="AJ487" i="19"/>
  <c r="AJ488" i="19"/>
  <c r="AJ489" i="19"/>
  <c r="AJ490" i="19"/>
  <c r="AJ491" i="19"/>
  <c r="AJ492" i="19"/>
  <c r="AJ493" i="19"/>
  <c r="AJ494" i="19"/>
  <c r="AJ495" i="19"/>
  <c r="AJ496" i="19"/>
  <c r="AJ497" i="19"/>
  <c r="AJ498" i="19"/>
  <c r="AJ499" i="19"/>
  <c r="AJ500" i="19"/>
  <c r="AJ501" i="19"/>
  <c r="AJ502" i="19"/>
  <c r="AJ503" i="19"/>
  <c r="AJ504" i="19"/>
  <c r="AJ505" i="19"/>
  <c r="AJ506" i="19"/>
  <c r="AJ507" i="19"/>
  <c r="AJ508" i="19"/>
  <c r="AJ509" i="19"/>
  <c r="AJ510" i="19"/>
  <c r="AJ511" i="19"/>
  <c r="AJ512" i="19"/>
  <c r="AJ513" i="19"/>
  <c r="AJ514" i="19"/>
  <c r="AJ515" i="19"/>
  <c r="AJ516" i="19"/>
  <c r="AJ517" i="19"/>
  <c r="AJ518" i="19"/>
  <c r="AJ519" i="19"/>
  <c r="AJ520" i="19"/>
  <c r="AJ521" i="19"/>
  <c r="AJ522" i="19"/>
  <c r="AJ523" i="19"/>
  <c r="AJ524" i="19"/>
  <c r="AJ525" i="19"/>
  <c r="AJ526" i="19"/>
  <c r="AJ527" i="19"/>
  <c r="AJ528" i="19"/>
  <c r="AJ529" i="19"/>
  <c r="AJ530" i="19"/>
  <c r="AJ531" i="19"/>
  <c r="AJ532" i="19"/>
  <c r="AJ533" i="19"/>
  <c r="AJ534" i="19"/>
  <c r="AJ535" i="19"/>
  <c r="AJ536" i="19"/>
  <c r="AJ537" i="19"/>
  <c r="AJ538" i="19"/>
  <c r="AJ539" i="19"/>
  <c r="AJ540" i="19"/>
  <c r="AJ541" i="19"/>
  <c r="AJ542" i="19"/>
  <c r="AJ543" i="19"/>
  <c r="AJ544" i="19"/>
  <c r="AJ545" i="19"/>
  <c r="AJ546" i="19"/>
  <c r="AJ547" i="19"/>
  <c r="AJ548" i="19"/>
  <c r="AJ549" i="19"/>
  <c r="AJ550" i="19"/>
  <c r="AJ551" i="19"/>
  <c r="AJ552" i="19"/>
  <c r="AJ553" i="19"/>
  <c r="AJ554" i="19"/>
  <c r="AJ555" i="19"/>
  <c r="AJ556" i="19"/>
  <c r="AJ557" i="19"/>
  <c r="AJ558" i="19"/>
  <c r="AJ559" i="19"/>
  <c r="AJ560" i="19"/>
  <c r="AJ561" i="19"/>
  <c r="AJ562" i="19"/>
  <c r="AJ563" i="19"/>
  <c r="AJ564" i="19"/>
  <c r="AJ565" i="19"/>
  <c r="AJ566" i="19"/>
  <c r="AJ567" i="19"/>
  <c r="AJ568" i="19"/>
  <c r="AJ569" i="19"/>
  <c r="AJ570" i="19"/>
  <c r="AJ571" i="19"/>
  <c r="AJ572" i="19"/>
  <c r="AJ573" i="19"/>
  <c r="AJ574" i="19"/>
  <c r="AJ575" i="19"/>
  <c r="AJ576" i="19"/>
  <c r="AJ577" i="19"/>
  <c r="AJ578" i="19"/>
  <c r="AJ579" i="19"/>
  <c r="AJ580" i="19"/>
  <c r="AJ581" i="19"/>
  <c r="AJ582" i="19"/>
  <c r="AJ583" i="19"/>
  <c r="AJ584" i="19"/>
  <c r="AJ585" i="19"/>
  <c r="AJ586" i="19"/>
  <c r="AJ587" i="19"/>
  <c r="AJ588" i="19"/>
  <c r="AJ589" i="19"/>
  <c r="AJ590" i="19"/>
  <c r="AJ591" i="19"/>
  <c r="AJ592" i="19"/>
  <c r="AJ593" i="19"/>
  <c r="AJ594" i="19"/>
  <c r="AJ595" i="19"/>
  <c r="AJ596" i="19"/>
  <c r="AJ597" i="19"/>
  <c r="AJ598" i="19"/>
  <c r="AJ599" i="19"/>
  <c r="AJ600" i="19"/>
  <c r="AJ601" i="19"/>
  <c r="AJ602" i="19"/>
  <c r="AJ603" i="19"/>
  <c r="AJ604" i="19"/>
  <c r="AJ605" i="19"/>
  <c r="AJ606" i="19"/>
  <c r="AJ607" i="19"/>
  <c r="AJ608" i="19"/>
  <c r="AJ609" i="19"/>
  <c r="AJ610" i="19"/>
  <c r="AJ611" i="19"/>
  <c r="AJ612" i="19"/>
  <c r="AJ613" i="19"/>
  <c r="AJ614" i="19"/>
  <c r="AJ615" i="19"/>
  <c r="AJ616" i="19"/>
  <c r="AJ617" i="19"/>
  <c r="AJ618" i="19"/>
  <c r="AJ619" i="19"/>
  <c r="AJ620" i="19"/>
  <c r="AJ621" i="19"/>
  <c r="AJ622" i="19"/>
  <c r="AJ623" i="19"/>
  <c r="AJ624" i="19"/>
  <c r="AJ625" i="19"/>
  <c r="AJ626" i="19"/>
  <c r="AJ627" i="19"/>
  <c r="AJ628" i="19"/>
  <c r="AJ629" i="19"/>
  <c r="AJ630" i="19"/>
  <c r="AJ631" i="19"/>
  <c r="AJ632" i="19"/>
  <c r="AJ633" i="19"/>
  <c r="AJ634" i="19"/>
  <c r="AJ635" i="19"/>
  <c r="AJ636" i="19"/>
  <c r="AJ637" i="19"/>
  <c r="AJ638" i="19"/>
  <c r="AJ639" i="19"/>
  <c r="AJ640" i="19"/>
  <c r="AJ641" i="19"/>
  <c r="AJ642" i="19"/>
  <c r="AJ643" i="19"/>
  <c r="AJ644" i="19"/>
  <c r="AJ645" i="19"/>
  <c r="AJ646" i="19"/>
  <c r="AJ647" i="19"/>
  <c r="AJ648" i="19"/>
  <c r="AJ649" i="19"/>
  <c r="AJ650" i="19"/>
  <c r="AJ651" i="19"/>
  <c r="AJ652" i="19"/>
  <c r="AJ653" i="19"/>
  <c r="AJ654" i="19"/>
  <c r="AJ655" i="19"/>
  <c r="AJ656" i="19"/>
  <c r="AJ657" i="19"/>
  <c r="AJ658" i="19"/>
  <c r="AJ659" i="19"/>
  <c r="AJ660" i="19"/>
  <c r="AJ661" i="19"/>
  <c r="AJ662" i="19"/>
  <c r="AJ663" i="19"/>
  <c r="AJ664" i="19"/>
  <c r="AJ665" i="19"/>
  <c r="AJ666" i="19"/>
  <c r="AJ667" i="19"/>
  <c r="AJ668" i="19"/>
  <c r="AJ669" i="19"/>
  <c r="AJ670" i="19"/>
  <c r="AJ671" i="19"/>
  <c r="AJ672" i="19"/>
  <c r="AJ673" i="19"/>
  <c r="AJ674" i="19"/>
  <c r="AJ675" i="19"/>
  <c r="AJ676" i="19"/>
  <c r="AJ677" i="19"/>
  <c r="AJ678" i="19"/>
  <c r="AJ679" i="19"/>
  <c r="AJ680" i="19"/>
  <c r="AJ681" i="19"/>
  <c r="AJ682" i="19"/>
  <c r="AJ683" i="19"/>
  <c r="AJ684" i="19"/>
  <c r="AJ685" i="19"/>
  <c r="AJ686" i="19"/>
  <c r="AJ687" i="19"/>
  <c r="AJ688" i="19"/>
  <c r="AJ689" i="19"/>
  <c r="AJ690" i="19"/>
  <c r="AJ691" i="19"/>
  <c r="AJ692" i="19"/>
  <c r="AJ693" i="19"/>
  <c r="AJ694" i="19"/>
  <c r="AJ695" i="19"/>
  <c r="AJ696" i="19"/>
  <c r="AJ697" i="19"/>
  <c r="AJ698" i="19"/>
  <c r="AJ699" i="19"/>
  <c r="AJ700" i="19"/>
  <c r="AJ701" i="19"/>
  <c r="AJ702" i="19"/>
  <c r="AJ703" i="19"/>
  <c r="AJ704" i="19"/>
  <c r="AJ705" i="19"/>
  <c r="AJ706" i="19"/>
  <c r="AJ707" i="19"/>
  <c r="AJ708" i="19"/>
  <c r="AJ709" i="19"/>
  <c r="AJ710" i="19"/>
  <c r="AJ711" i="19"/>
  <c r="AJ712" i="19"/>
  <c r="AJ713" i="19"/>
  <c r="AJ714" i="19"/>
  <c r="AJ715" i="19"/>
  <c r="AJ716" i="19"/>
  <c r="AJ717" i="19"/>
  <c r="AJ718" i="19"/>
  <c r="AJ719" i="19"/>
  <c r="AJ720" i="19"/>
  <c r="AJ721" i="19"/>
  <c r="AJ722" i="19"/>
  <c r="AJ723" i="19"/>
  <c r="AJ724" i="19"/>
  <c r="AJ725" i="19"/>
  <c r="AJ726" i="19"/>
  <c r="AJ727" i="19"/>
  <c r="AJ728" i="19"/>
  <c r="AJ729" i="19"/>
  <c r="AJ730" i="19"/>
  <c r="AJ731" i="19"/>
  <c r="AJ732" i="19"/>
  <c r="AJ733" i="19"/>
  <c r="AJ734" i="19"/>
  <c r="AJ735" i="19"/>
  <c r="AJ736" i="19"/>
  <c r="AJ737" i="19"/>
  <c r="AJ738" i="19"/>
  <c r="AJ739" i="19"/>
  <c r="AJ740" i="19"/>
  <c r="AJ741" i="19"/>
  <c r="AJ742" i="19"/>
  <c r="AJ743" i="19"/>
  <c r="AJ744" i="19"/>
  <c r="AJ745" i="19"/>
  <c r="AJ746" i="19"/>
  <c r="AJ747" i="19"/>
  <c r="AJ748" i="19"/>
  <c r="AJ749" i="19"/>
  <c r="AJ750" i="19"/>
  <c r="AJ751" i="19"/>
  <c r="AJ752" i="19"/>
  <c r="AJ753" i="19"/>
  <c r="AJ754" i="19"/>
  <c r="AJ755" i="19"/>
  <c r="AJ756" i="19"/>
  <c r="AJ757" i="19"/>
  <c r="AJ758" i="19"/>
  <c r="AJ759" i="19"/>
  <c r="AJ760" i="19"/>
  <c r="AJ761" i="19"/>
  <c r="AJ762" i="19"/>
  <c r="AJ763" i="19"/>
  <c r="AJ764" i="19"/>
  <c r="AJ765" i="19"/>
  <c r="AJ766" i="19"/>
  <c r="AJ767" i="19"/>
  <c r="AJ768" i="19"/>
  <c r="AJ769" i="19"/>
  <c r="AJ770" i="19"/>
  <c r="AJ771" i="19"/>
  <c r="AJ772" i="19"/>
  <c r="AJ773" i="19"/>
  <c r="AJ774" i="19"/>
  <c r="AJ775" i="19"/>
  <c r="AJ776" i="19"/>
  <c r="AJ777" i="19"/>
  <c r="AJ778" i="19"/>
  <c r="AJ779" i="19"/>
  <c r="AJ780" i="19"/>
  <c r="AJ781" i="19"/>
  <c r="AJ782" i="19"/>
  <c r="AJ783" i="19"/>
  <c r="AJ784" i="19"/>
  <c r="AJ785" i="19"/>
  <c r="AJ786" i="19"/>
  <c r="AJ787" i="19"/>
  <c r="AJ788" i="19"/>
  <c r="AJ789" i="19"/>
  <c r="AJ790" i="19"/>
  <c r="AJ791" i="19"/>
  <c r="AJ792" i="19"/>
  <c r="AJ793" i="19"/>
  <c r="AJ794" i="19"/>
  <c r="AJ795" i="19"/>
  <c r="AJ796" i="19"/>
  <c r="AJ797" i="19"/>
  <c r="AJ798" i="19"/>
  <c r="AJ799" i="19"/>
  <c r="AJ800" i="19"/>
  <c r="AI3" i="19"/>
  <c r="AI4" i="19"/>
  <c r="AI5" i="19"/>
  <c r="AI6" i="19"/>
  <c r="AI7" i="19"/>
  <c r="AI8" i="19"/>
  <c r="AI9" i="19"/>
  <c r="AI10" i="19"/>
  <c r="AI11" i="19"/>
  <c r="AI12" i="19"/>
  <c r="AI13" i="19"/>
  <c r="AI14" i="19"/>
  <c r="AI15" i="19"/>
  <c r="AI16" i="19"/>
  <c r="AI17" i="19"/>
  <c r="AI18" i="19"/>
  <c r="AI19" i="19"/>
  <c r="AI20" i="19"/>
  <c r="AI21" i="19"/>
  <c r="AI22" i="19"/>
  <c r="AI23" i="19"/>
  <c r="AI24" i="19"/>
  <c r="AI25" i="19"/>
  <c r="AI26" i="19"/>
  <c r="AI27" i="19"/>
  <c r="AI28" i="19"/>
  <c r="AI29" i="19"/>
  <c r="AI30" i="19"/>
  <c r="AI31" i="19"/>
  <c r="AI32" i="19"/>
  <c r="AI33" i="19"/>
  <c r="AI34" i="19"/>
  <c r="AI35" i="19"/>
  <c r="AI36" i="19"/>
  <c r="AI37" i="19"/>
  <c r="AI38" i="19"/>
  <c r="AI39" i="19"/>
  <c r="AI40" i="19"/>
  <c r="AI41" i="19"/>
  <c r="AI42" i="19"/>
  <c r="AI43" i="19"/>
  <c r="AI44" i="19"/>
  <c r="AI45" i="19"/>
  <c r="AI46" i="19"/>
  <c r="AI47" i="19"/>
  <c r="AI48" i="19"/>
  <c r="AI49" i="19"/>
  <c r="AI50" i="19"/>
  <c r="AI51" i="19"/>
  <c r="AI52" i="19"/>
  <c r="AI53" i="19"/>
  <c r="AI54" i="19"/>
  <c r="AI55" i="19"/>
  <c r="AI56" i="19"/>
  <c r="AI57" i="19"/>
  <c r="AI58" i="19"/>
  <c r="AI59" i="19"/>
  <c r="AI60" i="19"/>
  <c r="AI61" i="19"/>
  <c r="AI62" i="19"/>
  <c r="AI63" i="19"/>
  <c r="AI64" i="19"/>
  <c r="AI65" i="19"/>
  <c r="AI66" i="19"/>
  <c r="AI67" i="19"/>
  <c r="AI68" i="19"/>
  <c r="AI69" i="19"/>
  <c r="AI70" i="19"/>
  <c r="AI71" i="19"/>
  <c r="AI72" i="19"/>
  <c r="AI73" i="19"/>
  <c r="AI74" i="19"/>
  <c r="AI75" i="19"/>
  <c r="AI76" i="19"/>
  <c r="AI77" i="19"/>
  <c r="AI78" i="19"/>
  <c r="AI79" i="19"/>
  <c r="AI80" i="19"/>
  <c r="AI81" i="19"/>
  <c r="AI82" i="19"/>
  <c r="AI83" i="19"/>
  <c r="AI84" i="19"/>
  <c r="AI85" i="19"/>
  <c r="AI86" i="19"/>
  <c r="AI87" i="19"/>
  <c r="AI88" i="19"/>
  <c r="AI89" i="19"/>
  <c r="AI90" i="19"/>
  <c r="AI91" i="19"/>
  <c r="AI92" i="19"/>
  <c r="AI93" i="19"/>
  <c r="AI94" i="19"/>
  <c r="AI95" i="19"/>
  <c r="AI96" i="19"/>
  <c r="AI97" i="19"/>
  <c r="AI98" i="19"/>
  <c r="AI99" i="19"/>
  <c r="AI100" i="19"/>
  <c r="AI101" i="19"/>
  <c r="AI102" i="19"/>
  <c r="AI103" i="19"/>
  <c r="AI104" i="19"/>
  <c r="AI105" i="19"/>
  <c r="AI106" i="19"/>
  <c r="AI107" i="19"/>
  <c r="AI108" i="19"/>
  <c r="AI109" i="19"/>
  <c r="AI110" i="19"/>
  <c r="AI111" i="19"/>
  <c r="AI112" i="19"/>
  <c r="AI113" i="19"/>
  <c r="AI114" i="19"/>
  <c r="AI115" i="19"/>
  <c r="AI116" i="19"/>
  <c r="AI117" i="19"/>
  <c r="AI118" i="19"/>
  <c r="AI119" i="19"/>
  <c r="AI120" i="19"/>
  <c r="AI121" i="19"/>
  <c r="AI122" i="19"/>
  <c r="AI123" i="19"/>
  <c r="AI124" i="19"/>
  <c r="AI125" i="19"/>
  <c r="AI126" i="19"/>
  <c r="AI127" i="19"/>
  <c r="AI128" i="19"/>
  <c r="AI129" i="19"/>
  <c r="AI130" i="19"/>
  <c r="AI131" i="19"/>
  <c r="AI132" i="19"/>
  <c r="AI133" i="19"/>
  <c r="AI134" i="19"/>
  <c r="AI135" i="19"/>
  <c r="AI136" i="19"/>
  <c r="AI137" i="19"/>
  <c r="AI138" i="19"/>
  <c r="AI139" i="19"/>
  <c r="AI140" i="19"/>
  <c r="AI141" i="19"/>
  <c r="AI142" i="19"/>
  <c r="AI143" i="19"/>
  <c r="AI144" i="19"/>
  <c r="AI145" i="19"/>
  <c r="AI146" i="19"/>
  <c r="AI147" i="19"/>
  <c r="AI148" i="19"/>
  <c r="AI149" i="19"/>
  <c r="AI150" i="19"/>
  <c r="AI151" i="19"/>
  <c r="AI152" i="19"/>
  <c r="AI153" i="19"/>
  <c r="AI154" i="19"/>
  <c r="AI155" i="19"/>
  <c r="AI156" i="19"/>
  <c r="AI157" i="19"/>
  <c r="AI158" i="19"/>
  <c r="AI159" i="19"/>
  <c r="AI160" i="19"/>
  <c r="AI161" i="19"/>
  <c r="AI162" i="19"/>
  <c r="AI163" i="19"/>
  <c r="AI164" i="19"/>
  <c r="AI165" i="19"/>
  <c r="AI166" i="19"/>
  <c r="AI167" i="19"/>
  <c r="AI168" i="19"/>
  <c r="AI169" i="19"/>
  <c r="AI170" i="19"/>
  <c r="AI171" i="19"/>
  <c r="AI172" i="19"/>
  <c r="AI173" i="19"/>
  <c r="AI174" i="19"/>
  <c r="AI175" i="19"/>
  <c r="AI176" i="19"/>
  <c r="AI177" i="19"/>
  <c r="AI178" i="19"/>
  <c r="AI179" i="19"/>
  <c r="AI180" i="19"/>
  <c r="AI181" i="19"/>
  <c r="AI182" i="19"/>
  <c r="AI183" i="19"/>
  <c r="AI184" i="19"/>
  <c r="AI185" i="19"/>
  <c r="AI186" i="19"/>
  <c r="AI187" i="19"/>
  <c r="AI188" i="19"/>
  <c r="AI189" i="19"/>
  <c r="AI190" i="19"/>
  <c r="AI191" i="19"/>
  <c r="AI192" i="19"/>
  <c r="AI193" i="19"/>
  <c r="AI194" i="19"/>
  <c r="AI195" i="19"/>
  <c r="AI196" i="19"/>
  <c r="AI197" i="19"/>
  <c r="AI198" i="19"/>
  <c r="AI199" i="19"/>
  <c r="AI200" i="19"/>
  <c r="AI201" i="19"/>
  <c r="AI202" i="19"/>
  <c r="AI203" i="19"/>
  <c r="AI204" i="19"/>
  <c r="AI205" i="19"/>
  <c r="AI206" i="19"/>
  <c r="AI207" i="19"/>
  <c r="AI208" i="19"/>
  <c r="AI209" i="19"/>
  <c r="AI210" i="19"/>
  <c r="AI211" i="19"/>
  <c r="AI212" i="19"/>
  <c r="AI213" i="19"/>
  <c r="AI214" i="19"/>
  <c r="AI215" i="19"/>
  <c r="AI216" i="19"/>
  <c r="AI217" i="19"/>
  <c r="AI218" i="19"/>
  <c r="AI219" i="19"/>
  <c r="AI220" i="19"/>
  <c r="AI221" i="19"/>
  <c r="AI222" i="19"/>
  <c r="AI223" i="19"/>
  <c r="AI224" i="19"/>
  <c r="AI225" i="19"/>
  <c r="AI226" i="19"/>
  <c r="AI227" i="19"/>
  <c r="AI228" i="19"/>
  <c r="AI229" i="19"/>
  <c r="AI230" i="19"/>
  <c r="AI231" i="19"/>
  <c r="AI232" i="19"/>
  <c r="AI233" i="19"/>
  <c r="AI234" i="19"/>
  <c r="AI235" i="19"/>
  <c r="AI236" i="19"/>
  <c r="AI237" i="19"/>
  <c r="AI238" i="19"/>
  <c r="AI239" i="19"/>
  <c r="AI240" i="19"/>
  <c r="AI241" i="19"/>
  <c r="AI242" i="19"/>
  <c r="AI243" i="19"/>
  <c r="AI244" i="19"/>
  <c r="AI245" i="19"/>
  <c r="AI246" i="19"/>
  <c r="AI247" i="19"/>
  <c r="AI248" i="19"/>
  <c r="AI249" i="19"/>
  <c r="AI250" i="19"/>
  <c r="AI251" i="19"/>
  <c r="AI252" i="19"/>
  <c r="AI253" i="19"/>
  <c r="AI254" i="19"/>
  <c r="AI255" i="19"/>
  <c r="AI256" i="19"/>
  <c r="AI257" i="19"/>
  <c r="AI258" i="19"/>
  <c r="AI259" i="19"/>
  <c r="AI260" i="19"/>
  <c r="AI261" i="19"/>
  <c r="AI262" i="19"/>
  <c r="AI263" i="19"/>
  <c r="AI264" i="19"/>
  <c r="AI265" i="19"/>
  <c r="AI266" i="19"/>
  <c r="AI267" i="19"/>
  <c r="AI268" i="19"/>
  <c r="AI269" i="19"/>
  <c r="AI270" i="19"/>
  <c r="AI271" i="19"/>
  <c r="AI272" i="19"/>
  <c r="AI273" i="19"/>
  <c r="AI274" i="19"/>
  <c r="AI275" i="19"/>
  <c r="AI276" i="19"/>
  <c r="AI277" i="19"/>
  <c r="AI278" i="19"/>
  <c r="AI279" i="19"/>
  <c r="AI280" i="19"/>
  <c r="AI281" i="19"/>
  <c r="AI282" i="19"/>
  <c r="H31" i="74" s="1"/>
  <c r="AI283" i="19"/>
  <c r="AI284" i="19"/>
  <c r="AI285" i="19"/>
  <c r="AI286" i="19"/>
  <c r="AI287" i="19"/>
  <c r="H33" i="74" s="1"/>
  <c r="AI288" i="19"/>
  <c r="AI289" i="19"/>
  <c r="AI290" i="19"/>
  <c r="AI291" i="19"/>
  <c r="AI292" i="19"/>
  <c r="AI293" i="19"/>
  <c r="AI294" i="19"/>
  <c r="AI295" i="19"/>
  <c r="AI296" i="19"/>
  <c r="AI297" i="19"/>
  <c r="AI298" i="19"/>
  <c r="AI299" i="19"/>
  <c r="AI300" i="19"/>
  <c r="AI301" i="19"/>
  <c r="AI302" i="19"/>
  <c r="AI303" i="19"/>
  <c r="AI304" i="19"/>
  <c r="AI305" i="19"/>
  <c r="AI306" i="19"/>
  <c r="AI307" i="19"/>
  <c r="AI308" i="19"/>
  <c r="AI309" i="19"/>
  <c r="AI310" i="19"/>
  <c r="AI311" i="19"/>
  <c r="AI312" i="19"/>
  <c r="AI313" i="19"/>
  <c r="AI314" i="19"/>
  <c r="AI315" i="19"/>
  <c r="AI316" i="19"/>
  <c r="AI317" i="19"/>
  <c r="AI318" i="19"/>
  <c r="AI319" i="19"/>
  <c r="AI320" i="19"/>
  <c r="AI321" i="19"/>
  <c r="AI322" i="19"/>
  <c r="AI323" i="19"/>
  <c r="AI324" i="19"/>
  <c r="AI325" i="19"/>
  <c r="AI326" i="19"/>
  <c r="AI327" i="19"/>
  <c r="AI328" i="19"/>
  <c r="AI329" i="19"/>
  <c r="AI330" i="19"/>
  <c r="AI331" i="19"/>
  <c r="AI332" i="19"/>
  <c r="AI333" i="19"/>
  <c r="AI334" i="19"/>
  <c r="AI335" i="19"/>
  <c r="AI336" i="19"/>
  <c r="AI337" i="19"/>
  <c r="AI338" i="19"/>
  <c r="AI339" i="19"/>
  <c r="AI340" i="19"/>
  <c r="AI341" i="19"/>
  <c r="AI342" i="19"/>
  <c r="AI343" i="19"/>
  <c r="AI344" i="19"/>
  <c r="AI345" i="19"/>
  <c r="AI346" i="19"/>
  <c r="AI347" i="19"/>
  <c r="AI348" i="19"/>
  <c r="AI349" i="19"/>
  <c r="AI350" i="19"/>
  <c r="AI351" i="19"/>
  <c r="AI352" i="19"/>
  <c r="AI353" i="19"/>
  <c r="AI354" i="19"/>
  <c r="AI355" i="19"/>
  <c r="AI356" i="19"/>
  <c r="AI357" i="19"/>
  <c r="AI358" i="19"/>
  <c r="AI359" i="19"/>
  <c r="AI360" i="19"/>
  <c r="AI361" i="19"/>
  <c r="AI362" i="19"/>
  <c r="AI363" i="19"/>
  <c r="AI364" i="19"/>
  <c r="AI365" i="19"/>
  <c r="AI366" i="19"/>
  <c r="AI367" i="19"/>
  <c r="AI368" i="19"/>
  <c r="AI369" i="19"/>
  <c r="AI370" i="19"/>
  <c r="AI371" i="19"/>
  <c r="AI372" i="19"/>
  <c r="AI373" i="19"/>
  <c r="AI374" i="19"/>
  <c r="AI375" i="19"/>
  <c r="AI376" i="19"/>
  <c r="AI377" i="19"/>
  <c r="AI378" i="19"/>
  <c r="AI379" i="19"/>
  <c r="AI380" i="19"/>
  <c r="AI381" i="19"/>
  <c r="AI382" i="19"/>
  <c r="AI383" i="19"/>
  <c r="AI384" i="19"/>
  <c r="AI385" i="19"/>
  <c r="AI386" i="19"/>
  <c r="AI387" i="19"/>
  <c r="AI388" i="19"/>
  <c r="AI389" i="19"/>
  <c r="AI390" i="19"/>
  <c r="AI391" i="19"/>
  <c r="AI392" i="19"/>
  <c r="AI393" i="19"/>
  <c r="AI394" i="19"/>
  <c r="AI395" i="19"/>
  <c r="AI396" i="19"/>
  <c r="AI397" i="19"/>
  <c r="AI398" i="19"/>
  <c r="AI399" i="19"/>
  <c r="AI400" i="19"/>
  <c r="AI401" i="19"/>
  <c r="AI402" i="19"/>
  <c r="AI403" i="19"/>
  <c r="AI404" i="19"/>
  <c r="AI405" i="19"/>
  <c r="AI406" i="19"/>
  <c r="AI407" i="19"/>
  <c r="AI408" i="19"/>
  <c r="AI409" i="19"/>
  <c r="AI410" i="19"/>
  <c r="AI411" i="19"/>
  <c r="AI412" i="19"/>
  <c r="AI413" i="19"/>
  <c r="AI414" i="19"/>
  <c r="AI415" i="19"/>
  <c r="AI416" i="19"/>
  <c r="AI417" i="19"/>
  <c r="AI418" i="19"/>
  <c r="AI419" i="19"/>
  <c r="AI420" i="19"/>
  <c r="AI421" i="19"/>
  <c r="AI422" i="19"/>
  <c r="AI423" i="19"/>
  <c r="AI424" i="19"/>
  <c r="AI425" i="19"/>
  <c r="AI426" i="19"/>
  <c r="AI427" i="19"/>
  <c r="AI428" i="19"/>
  <c r="AI429" i="19"/>
  <c r="AI430" i="19"/>
  <c r="AI431" i="19"/>
  <c r="AI432" i="19"/>
  <c r="AI433" i="19"/>
  <c r="AI434" i="19"/>
  <c r="AI435" i="19"/>
  <c r="AI436" i="19"/>
  <c r="AI437" i="19"/>
  <c r="AI438" i="19"/>
  <c r="AI439" i="19"/>
  <c r="AI440" i="19"/>
  <c r="AI441" i="19"/>
  <c r="AI442" i="19"/>
  <c r="AI443" i="19"/>
  <c r="AI444" i="19"/>
  <c r="AI445" i="19"/>
  <c r="AI446" i="19"/>
  <c r="AI447" i="19"/>
  <c r="AI448" i="19"/>
  <c r="AI449" i="19"/>
  <c r="AI450" i="19"/>
  <c r="AI451" i="19"/>
  <c r="AI452" i="19"/>
  <c r="AI453" i="19"/>
  <c r="AI454" i="19"/>
  <c r="AI455" i="19"/>
  <c r="AI456" i="19"/>
  <c r="AI457" i="19"/>
  <c r="AI458" i="19"/>
  <c r="AI459" i="19"/>
  <c r="AI460" i="19"/>
  <c r="AI461" i="19"/>
  <c r="AI462" i="19"/>
  <c r="AI463" i="19"/>
  <c r="AI464" i="19"/>
  <c r="AI465" i="19"/>
  <c r="AI466" i="19"/>
  <c r="AI467" i="19"/>
  <c r="AI468" i="19"/>
  <c r="AI469" i="19"/>
  <c r="AI470" i="19"/>
  <c r="AI471" i="19"/>
  <c r="AI472" i="19"/>
  <c r="AI473" i="19"/>
  <c r="AI474" i="19"/>
  <c r="AI475" i="19"/>
  <c r="AI476" i="19"/>
  <c r="AI477" i="19"/>
  <c r="AI478" i="19"/>
  <c r="AI479" i="19"/>
  <c r="AI480" i="19"/>
  <c r="AI481" i="19"/>
  <c r="AI482" i="19"/>
  <c r="AI483" i="19"/>
  <c r="AI484" i="19"/>
  <c r="AI485" i="19"/>
  <c r="AI486" i="19"/>
  <c r="AI487" i="19"/>
  <c r="AI488" i="19"/>
  <c r="AI489" i="19"/>
  <c r="AI490" i="19"/>
  <c r="AI491" i="19"/>
  <c r="AI492" i="19"/>
  <c r="AI493" i="19"/>
  <c r="AI494" i="19"/>
  <c r="AI495" i="19"/>
  <c r="AI496" i="19"/>
  <c r="AI497" i="19"/>
  <c r="AI498" i="19"/>
  <c r="AI499" i="19"/>
  <c r="AI500" i="19"/>
  <c r="AI501" i="19"/>
  <c r="AI502" i="19"/>
  <c r="AI503" i="19"/>
  <c r="AI504" i="19"/>
  <c r="AI505" i="19"/>
  <c r="AI506" i="19"/>
  <c r="AI507" i="19"/>
  <c r="AI508" i="19"/>
  <c r="AI509" i="19"/>
  <c r="AI510" i="19"/>
  <c r="AI511" i="19"/>
  <c r="AI512" i="19"/>
  <c r="AI513" i="19"/>
  <c r="AI514" i="19"/>
  <c r="AI515" i="19"/>
  <c r="AI516" i="19"/>
  <c r="AI517" i="19"/>
  <c r="AI518" i="19"/>
  <c r="AI519" i="19"/>
  <c r="AI520" i="19"/>
  <c r="AI521" i="19"/>
  <c r="AI522" i="19"/>
  <c r="AI523" i="19"/>
  <c r="AI524" i="19"/>
  <c r="AI525" i="19"/>
  <c r="AI526" i="19"/>
  <c r="AI527" i="19"/>
  <c r="AI528" i="19"/>
  <c r="AI529" i="19"/>
  <c r="AI530" i="19"/>
  <c r="AI531" i="19"/>
  <c r="AI532" i="19"/>
  <c r="AI533" i="19"/>
  <c r="AI534" i="19"/>
  <c r="AI535" i="19"/>
  <c r="AI536" i="19"/>
  <c r="AI537" i="19"/>
  <c r="AI538" i="19"/>
  <c r="AI539" i="19"/>
  <c r="AI540" i="19"/>
  <c r="AI541" i="19"/>
  <c r="AI542" i="19"/>
  <c r="AI543" i="19"/>
  <c r="AI544" i="19"/>
  <c r="AI545" i="19"/>
  <c r="AI546" i="19"/>
  <c r="AI547" i="19"/>
  <c r="AI548" i="19"/>
  <c r="AI549" i="19"/>
  <c r="AI550" i="19"/>
  <c r="AI551" i="19"/>
  <c r="AI552" i="19"/>
  <c r="AI553" i="19"/>
  <c r="AI554" i="19"/>
  <c r="AI555" i="19"/>
  <c r="AI556" i="19"/>
  <c r="AI557" i="19"/>
  <c r="AI558" i="19"/>
  <c r="AI559" i="19"/>
  <c r="AI560" i="19"/>
  <c r="AI561" i="19"/>
  <c r="AI562" i="19"/>
  <c r="AI563" i="19"/>
  <c r="AI564" i="19"/>
  <c r="AI565" i="19"/>
  <c r="AI566" i="19"/>
  <c r="AI567" i="19"/>
  <c r="AI568" i="19"/>
  <c r="AI569" i="19"/>
  <c r="AI570" i="19"/>
  <c r="AI571" i="19"/>
  <c r="AI572" i="19"/>
  <c r="AI573" i="19"/>
  <c r="AI574" i="19"/>
  <c r="AI575" i="19"/>
  <c r="AI576" i="19"/>
  <c r="AI577" i="19"/>
  <c r="AI578" i="19"/>
  <c r="AI579" i="19"/>
  <c r="AI580" i="19"/>
  <c r="AI581" i="19"/>
  <c r="AI582" i="19"/>
  <c r="AI583" i="19"/>
  <c r="AI584" i="19"/>
  <c r="AI585" i="19"/>
  <c r="AI586" i="19"/>
  <c r="AI587" i="19"/>
  <c r="AI588" i="19"/>
  <c r="AI589" i="19"/>
  <c r="AI590" i="19"/>
  <c r="AI591" i="19"/>
  <c r="AI592" i="19"/>
  <c r="AI593" i="19"/>
  <c r="AI594" i="19"/>
  <c r="AI595" i="19"/>
  <c r="AI596" i="19"/>
  <c r="AI597" i="19"/>
  <c r="AI598" i="19"/>
  <c r="AI599" i="19"/>
  <c r="AI600" i="19"/>
  <c r="AI601" i="19"/>
  <c r="AI602" i="19"/>
  <c r="AI603" i="19"/>
  <c r="AI604" i="19"/>
  <c r="AI605" i="19"/>
  <c r="AI606" i="19"/>
  <c r="AI607" i="19"/>
  <c r="AI608" i="19"/>
  <c r="AI609" i="19"/>
  <c r="AI610" i="19"/>
  <c r="AI611" i="19"/>
  <c r="AI612" i="19"/>
  <c r="AI613" i="19"/>
  <c r="AI614" i="19"/>
  <c r="AI615" i="19"/>
  <c r="AI616" i="19"/>
  <c r="AI617" i="19"/>
  <c r="AI618" i="19"/>
  <c r="AI619" i="19"/>
  <c r="AI620" i="19"/>
  <c r="AI621" i="19"/>
  <c r="AI622" i="19"/>
  <c r="AI623" i="19"/>
  <c r="AI624" i="19"/>
  <c r="AI625" i="19"/>
  <c r="AI626" i="19"/>
  <c r="AI627" i="19"/>
  <c r="AI628" i="19"/>
  <c r="AI629" i="19"/>
  <c r="AI630" i="19"/>
  <c r="AI631" i="19"/>
  <c r="AI632" i="19"/>
  <c r="AI633" i="19"/>
  <c r="AI634" i="19"/>
  <c r="AI635" i="19"/>
  <c r="AI636" i="19"/>
  <c r="AI637" i="19"/>
  <c r="AI638" i="19"/>
  <c r="AI639" i="19"/>
  <c r="AI640" i="19"/>
  <c r="AI641" i="19"/>
  <c r="AI642" i="19"/>
  <c r="AI643" i="19"/>
  <c r="AI644" i="19"/>
  <c r="AI645" i="19"/>
  <c r="AI646" i="19"/>
  <c r="AI647" i="19"/>
  <c r="AI648" i="19"/>
  <c r="AI649" i="19"/>
  <c r="AI650" i="19"/>
  <c r="AI651" i="19"/>
  <c r="AI652" i="19"/>
  <c r="AI653" i="19"/>
  <c r="AI654" i="19"/>
  <c r="AI655" i="19"/>
  <c r="AI656" i="19"/>
  <c r="AI657" i="19"/>
  <c r="AI658" i="19"/>
  <c r="AI659" i="19"/>
  <c r="AI660" i="19"/>
  <c r="AI661" i="19"/>
  <c r="AI662" i="19"/>
  <c r="AI663" i="19"/>
  <c r="AI664" i="19"/>
  <c r="AI665" i="19"/>
  <c r="AI666" i="19"/>
  <c r="AI667" i="19"/>
  <c r="AI668" i="19"/>
  <c r="AI669" i="19"/>
  <c r="AI670" i="19"/>
  <c r="AI671" i="19"/>
  <c r="AI672" i="19"/>
  <c r="AI673" i="19"/>
  <c r="AI674" i="19"/>
  <c r="AI675" i="19"/>
  <c r="AI676" i="19"/>
  <c r="AI677" i="19"/>
  <c r="AI678" i="19"/>
  <c r="AI679" i="19"/>
  <c r="AI680" i="19"/>
  <c r="AI681" i="19"/>
  <c r="AI682" i="19"/>
  <c r="AI683" i="19"/>
  <c r="AI684" i="19"/>
  <c r="AI685" i="19"/>
  <c r="AI686" i="19"/>
  <c r="AI687" i="19"/>
  <c r="AI688" i="19"/>
  <c r="AI689" i="19"/>
  <c r="AI690" i="19"/>
  <c r="AI691" i="19"/>
  <c r="AI692" i="19"/>
  <c r="AI693" i="19"/>
  <c r="AI694" i="19"/>
  <c r="AI695" i="19"/>
  <c r="AI696" i="19"/>
  <c r="AI697" i="19"/>
  <c r="AI698" i="19"/>
  <c r="AI699" i="19"/>
  <c r="AI700" i="19"/>
  <c r="AI701" i="19"/>
  <c r="AI702" i="19"/>
  <c r="AI703" i="19"/>
  <c r="AI704" i="19"/>
  <c r="AI705" i="19"/>
  <c r="AI706" i="19"/>
  <c r="AI707" i="19"/>
  <c r="AI708" i="19"/>
  <c r="AI709" i="19"/>
  <c r="AI710" i="19"/>
  <c r="AI711" i="19"/>
  <c r="AI712" i="19"/>
  <c r="AI713" i="19"/>
  <c r="AI714" i="19"/>
  <c r="AI715" i="19"/>
  <c r="AI716" i="19"/>
  <c r="AI717" i="19"/>
  <c r="AI718" i="19"/>
  <c r="AI719" i="19"/>
  <c r="AI720" i="19"/>
  <c r="AI721" i="19"/>
  <c r="AI722" i="19"/>
  <c r="AI723" i="19"/>
  <c r="AI724" i="19"/>
  <c r="AI725" i="19"/>
  <c r="AI726" i="19"/>
  <c r="AI727" i="19"/>
  <c r="AI728" i="19"/>
  <c r="AI729" i="19"/>
  <c r="AI730" i="19"/>
  <c r="AI731" i="19"/>
  <c r="AI732" i="19"/>
  <c r="AI733" i="19"/>
  <c r="AI734" i="19"/>
  <c r="AI735" i="19"/>
  <c r="AI736" i="19"/>
  <c r="AI737" i="19"/>
  <c r="AI738" i="19"/>
  <c r="AI739" i="19"/>
  <c r="AI740" i="19"/>
  <c r="AI741" i="19"/>
  <c r="AI742" i="19"/>
  <c r="AI743" i="19"/>
  <c r="AI744" i="19"/>
  <c r="AI745" i="19"/>
  <c r="AI746" i="19"/>
  <c r="AI747" i="19"/>
  <c r="AI748" i="19"/>
  <c r="AI749" i="19"/>
  <c r="AI750" i="19"/>
  <c r="AI751" i="19"/>
  <c r="AI752" i="19"/>
  <c r="AI753" i="19"/>
  <c r="AI754" i="19"/>
  <c r="AI755" i="19"/>
  <c r="AI756" i="19"/>
  <c r="AI757" i="19"/>
  <c r="AI758" i="19"/>
  <c r="AI759" i="19"/>
  <c r="AI760" i="19"/>
  <c r="AI761" i="19"/>
  <c r="AI762" i="19"/>
  <c r="AI763" i="19"/>
  <c r="AI764" i="19"/>
  <c r="AI765" i="19"/>
  <c r="AI766" i="19"/>
  <c r="AI767" i="19"/>
  <c r="AI768" i="19"/>
  <c r="AI769" i="19"/>
  <c r="AI770" i="19"/>
  <c r="AI771" i="19"/>
  <c r="AI772" i="19"/>
  <c r="AI773" i="19"/>
  <c r="AI774" i="19"/>
  <c r="AI775" i="19"/>
  <c r="AI776" i="19"/>
  <c r="AI777" i="19"/>
  <c r="AI778" i="19"/>
  <c r="AI779" i="19"/>
  <c r="AI780" i="19"/>
  <c r="AI781" i="19"/>
  <c r="AI782" i="19"/>
  <c r="AI783" i="19"/>
  <c r="AI784" i="19"/>
  <c r="AI785" i="19"/>
  <c r="AI786" i="19"/>
  <c r="AI787" i="19"/>
  <c r="AI788" i="19"/>
  <c r="AI789" i="19"/>
  <c r="AI790" i="19"/>
  <c r="AI791" i="19"/>
  <c r="AI792" i="19"/>
  <c r="AI793" i="19"/>
  <c r="AI794" i="19"/>
  <c r="AI795" i="19"/>
  <c r="AI796" i="19"/>
  <c r="AI797" i="19"/>
  <c r="AI798" i="19"/>
  <c r="AI799" i="19"/>
  <c r="AI800" i="19"/>
  <c r="AH3" i="19"/>
  <c r="AH4" i="19"/>
  <c r="AH5" i="19"/>
  <c r="AH6" i="19"/>
  <c r="AH7" i="19"/>
  <c r="AH8" i="19"/>
  <c r="AH9" i="19"/>
  <c r="AH10" i="19"/>
  <c r="AH11" i="19"/>
  <c r="AH12" i="19"/>
  <c r="AH13" i="19"/>
  <c r="AH14" i="19"/>
  <c r="AH15" i="19"/>
  <c r="AH16" i="19"/>
  <c r="AH17" i="19"/>
  <c r="AH18" i="19"/>
  <c r="AH19" i="19"/>
  <c r="AH20" i="19"/>
  <c r="AH21" i="19"/>
  <c r="AH22" i="19"/>
  <c r="AH23" i="19"/>
  <c r="AH24" i="19"/>
  <c r="AH25" i="19"/>
  <c r="AH26" i="19"/>
  <c r="AH27" i="19"/>
  <c r="AH28" i="19"/>
  <c r="AH29" i="19"/>
  <c r="AH30" i="19"/>
  <c r="AH31" i="19"/>
  <c r="AH32" i="19"/>
  <c r="AH33" i="19"/>
  <c r="AH34" i="19"/>
  <c r="AH35" i="19"/>
  <c r="AH36" i="19"/>
  <c r="AH37" i="19"/>
  <c r="AH38" i="19"/>
  <c r="AH39" i="19"/>
  <c r="AH40" i="19"/>
  <c r="AH41" i="19"/>
  <c r="AH42" i="19"/>
  <c r="AH43" i="19"/>
  <c r="AH44" i="19"/>
  <c r="AH45" i="19"/>
  <c r="AH46" i="19"/>
  <c r="AH47" i="19"/>
  <c r="AH48" i="19"/>
  <c r="AH49" i="19"/>
  <c r="AH50" i="19"/>
  <c r="AH51" i="19"/>
  <c r="AH52" i="19"/>
  <c r="AH53" i="19"/>
  <c r="AH54" i="19"/>
  <c r="AH55" i="19"/>
  <c r="AH56" i="19"/>
  <c r="AH57" i="19"/>
  <c r="AH58" i="19"/>
  <c r="AH59" i="19"/>
  <c r="AH60" i="19"/>
  <c r="AH61" i="19"/>
  <c r="AH62" i="19"/>
  <c r="AH63" i="19"/>
  <c r="AH64" i="19"/>
  <c r="AH65" i="19"/>
  <c r="AH66" i="19"/>
  <c r="AH67" i="19"/>
  <c r="AH68" i="19"/>
  <c r="AH69" i="19"/>
  <c r="AH70" i="19"/>
  <c r="AH71" i="19"/>
  <c r="AH72" i="19"/>
  <c r="AH73" i="19"/>
  <c r="AH74" i="19"/>
  <c r="AH75" i="19"/>
  <c r="AH76" i="19"/>
  <c r="AH77" i="19"/>
  <c r="AH78" i="19"/>
  <c r="AH79" i="19"/>
  <c r="AH80" i="19"/>
  <c r="AH81" i="19"/>
  <c r="AH82" i="19"/>
  <c r="AH83" i="19"/>
  <c r="AH84" i="19"/>
  <c r="AH85" i="19"/>
  <c r="AH86" i="19"/>
  <c r="AH87" i="19"/>
  <c r="AH88" i="19"/>
  <c r="AH89" i="19"/>
  <c r="AH90" i="19"/>
  <c r="AH91" i="19"/>
  <c r="AH92" i="19"/>
  <c r="AH93" i="19"/>
  <c r="AH94" i="19"/>
  <c r="AH95" i="19"/>
  <c r="AH96" i="19"/>
  <c r="AH97" i="19"/>
  <c r="AH98" i="19"/>
  <c r="AH99" i="19"/>
  <c r="AH100" i="19"/>
  <c r="AH101" i="19"/>
  <c r="AH102" i="19"/>
  <c r="AH103" i="19"/>
  <c r="AH104" i="19"/>
  <c r="AH105" i="19"/>
  <c r="AH106" i="19"/>
  <c r="AH107" i="19"/>
  <c r="AH108" i="19"/>
  <c r="AH109" i="19"/>
  <c r="AH110" i="19"/>
  <c r="AH111" i="19"/>
  <c r="AH112" i="19"/>
  <c r="AH113" i="19"/>
  <c r="AH114" i="19"/>
  <c r="F16" i="74" s="1"/>
  <c r="AH115" i="19"/>
  <c r="AH116" i="19"/>
  <c r="AH117" i="19"/>
  <c r="AH118" i="19"/>
  <c r="AH119" i="19"/>
  <c r="AH120" i="19"/>
  <c r="AH121" i="19"/>
  <c r="AH122" i="19"/>
  <c r="AH123" i="19"/>
  <c r="AH124" i="19"/>
  <c r="AH125" i="19"/>
  <c r="AH126" i="19"/>
  <c r="AH127" i="19"/>
  <c r="AH128" i="19"/>
  <c r="AH129" i="19"/>
  <c r="AH130" i="19"/>
  <c r="AH131" i="19"/>
  <c r="AH132" i="19"/>
  <c r="AH133" i="19"/>
  <c r="AH134" i="19"/>
  <c r="AH135" i="19"/>
  <c r="AH136" i="19"/>
  <c r="AH137" i="19"/>
  <c r="AH138" i="19"/>
  <c r="AH139" i="19"/>
  <c r="AH140" i="19"/>
  <c r="AH141" i="19"/>
  <c r="AH142" i="19"/>
  <c r="AH143" i="19"/>
  <c r="AH144" i="19"/>
  <c r="AH145" i="19"/>
  <c r="AH146" i="19"/>
  <c r="AH147" i="19"/>
  <c r="AH148" i="19"/>
  <c r="AH149" i="19"/>
  <c r="AH150" i="19"/>
  <c r="AH151" i="19"/>
  <c r="AH152" i="19"/>
  <c r="AH153" i="19"/>
  <c r="AH154" i="19"/>
  <c r="AH155" i="19"/>
  <c r="AH156" i="19"/>
  <c r="AH157" i="19"/>
  <c r="AH158" i="19"/>
  <c r="AH159" i="19"/>
  <c r="AH160" i="19"/>
  <c r="AH161" i="19"/>
  <c r="AH162" i="19"/>
  <c r="AH163" i="19"/>
  <c r="AH164" i="19"/>
  <c r="AH165" i="19"/>
  <c r="AH166" i="19"/>
  <c r="AH167" i="19"/>
  <c r="AH168" i="19"/>
  <c r="AH169" i="19"/>
  <c r="AH170" i="19"/>
  <c r="AH171" i="19"/>
  <c r="AH172" i="19"/>
  <c r="AH173" i="19"/>
  <c r="AH174" i="19"/>
  <c r="AH175" i="19"/>
  <c r="AH176" i="19"/>
  <c r="AH177" i="19"/>
  <c r="AH178" i="19"/>
  <c r="AH179" i="19"/>
  <c r="AH180" i="19"/>
  <c r="AH181" i="19"/>
  <c r="AH182" i="19"/>
  <c r="AH183" i="19"/>
  <c r="AH184" i="19"/>
  <c r="AH185" i="19"/>
  <c r="AH186" i="19"/>
  <c r="AH187" i="19"/>
  <c r="AH188" i="19"/>
  <c r="AH189" i="19"/>
  <c r="AH190" i="19"/>
  <c r="AH191" i="19"/>
  <c r="AH192" i="19"/>
  <c r="AH193" i="19"/>
  <c r="AH194" i="19"/>
  <c r="AH195" i="19"/>
  <c r="AH196" i="19"/>
  <c r="AH197" i="19"/>
  <c r="AH198" i="19"/>
  <c r="AH199" i="19"/>
  <c r="AH200" i="19"/>
  <c r="AH201" i="19"/>
  <c r="AH202" i="19"/>
  <c r="AH203" i="19"/>
  <c r="AH204" i="19"/>
  <c r="AH205" i="19"/>
  <c r="AH206" i="19"/>
  <c r="AH207" i="19"/>
  <c r="AH208" i="19"/>
  <c r="AH209" i="19"/>
  <c r="AH210" i="19"/>
  <c r="AH211" i="19"/>
  <c r="AH212" i="19"/>
  <c r="AH213" i="19"/>
  <c r="AH214" i="19"/>
  <c r="AH215" i="19"/>
  <c r="AH216" i="19"/>
  <c r="AH217" i="19"/>
  <c r="AH218" i="19"/>
  <c r="AH219" i="19"/>
  <c r="AH220" i="19"/>
  <c r="AH221" i="19"/>
  <c r="AH222" i="19"/>
  <c r="AH223" i="19"/>
  <c r="AH224" i="19"/>
  <c r="AH225" i="19"/>
  <c r="AH226" i="19"/>
  <c r="AH227" i="19"/>
  <c r="AH228" i="19"/>
  <c r="AH229" i="19"/>
  <c r="AH230" i="19"/>
  <c r="AH231" i="19"/>
  <c r="AH232" i="19"/>
  <c r="AH233" i="19"/>
  <c r="AH234" i="19"/>
  <c r="AH235" i="19"/>
  <c r="AH236" i="19"/>
  <c r="AH237" i="19"/>
  <c r="AH238" i="19"/>
  <c r="AH239" i="19"/>
  <c r="AH240" i="19"/>
  <c r="AH241" i="19"/>
  <c r="AH242" i="19"/>
  <c r="AH243" i="19"/>
  <c r="AH244" i="19"/>
  <c r="AH245" i="19"/>
  <c r="AH246" i="19"/>
  <c r="AH247" i="19"/>
  <c r="AH248" i="19"/>
  <c r="AH249" i="19"/>
  <c r="AH250" i="19"/>
  <c r="AH251" i="19"/>
  <c r="AH252" i="19"/>
  <c r="AH253" i="19"/>
  <c r="AH254" i="19"/>
  <c r="AH255" i="19"/>
  <c r="AH256" i="19"/>
  <c r="AH257" i="19"/>
  <c r="AH258" i="19"/>
  <c r="AH259" i="19"/>
  <c r="AH260" i="19"/>
  <c r="AH261" i="19"/>
  <c r="AH262" i="19"/>
  <c r="AH263" i="19"/>
  <c r="AH264" i="19"/>
  <c r="AH265" i="19"/>
  <c r="AH266" i="19"/>
  <c r="AH267" i="19"/>
  <c r="AH268" i="19"/>
  <c r="F26" i="74" s="1"/>
  <c r="AH269" i="19"/>
  <c r="AH270" i="19"/>
  <c r="AH271" i="19"/>
  <c r="AH272" i="19"/>
  <c r="AH273" i="19"/>
  <c r="AH274" i="19"/>
  <c r="AH275" i="19"/>
  <c r="AH276" i="19"/>
  <c r="AH277" i="19"/>
  <c r="AH278" i="19"/>
  <c r="AH279" i="19"/>
  <c r="AH280" i="19"/>
  <c r="AH281" i="19"/>
  <c r="AH282" i="19"/>
  <c r="F31" i="74" s="1"/>
  <c r="AH283" i="19"/>
  <c r="AH284" i="19"/>
  <c r="AH285" i="19"/>
  <c r="AH286" i="19"/>
  <c r="AH287" i="19"/>
  <c r="AH288" i="19"/>
  <c r="AH289" i="19"/>
  <c r="AH290" i="19"/>
  <c r="AH291" i="19"/>
  <c r="AH292" i="19"/>
  <c r="AH293" i="19"/>
  <c r="AH294" i="19"/>
  <c r="AH295" i="19"/>
  <c r="AH296" i="19"/>
  <c r="AH297" i="19"/>
  <c r="AH298" i="19"/>
  <c r="AH299" i="19"/>
  <c r="AH300" i="19"/>
  <c r="AH301" i="19"/>
  <c r="AH302" i="19"/>
  <c r="AH303" i="19"/>
  <c r="AH304" i="19"/>
  <c r="AH305" i="19"/>
  <c r="AH306" i="19"/>
  <c r="AH307" i="19"/>
  <c r="AH308" i="19"/>
  <c r="AH309" i="19"/>
  <c r="AH310" i="19"/>
  <c r="AH311" i="19"/>
  <c r="AH312" i="19"/>
  <c r="AH313" i="19"/>
  <c r="AH314" i="19"/>
  <c r="AH315" i="19"/>
  <c r="AH316" i="19"/>
  <c r="AH317" i="19"/>
  <c r="AH318" i="19"/>
  <c r="AH319" i="19"/>
  <c r="AH320" i="19"/>
  <c r="AH321" i="19"/>
  <c r="AH322" i="19"/>
  <c r="AH323" i="19"/>
  <c r="AH324" i="19"/>
  <c r="AH325" i="19"/>
  <c r="AH326" i="19"/>
  <c r="AH327" i="19"/>
  <c r="AH328" i="19"/>
  <c r="AH329" i="19"/>
  <c r="AH330" i="19"/>
  <c r="AH331" i="19"/>
  <c r="AH332" i="19"/>
  <c r="AH333" i="19"/>
  <c r="AH334" i="19"/>
  <c r="AH335" i="19"/>
  <c r="AH336" i="19"/>
  <c r="AH337" i="19"/>
  <c r="AH338" i="19"/>
  <c r="AH339" i="19"/>
  <c r="AH340" i="19"/>
  <c r="AH341" i="19"/>
  <c r="AH342" i="19"/>
  <c r="AH343" i="19"/>
  <c r="AH344" i="19"/>
  <c r="AH345" i="19"/>
  <c r="AH346" i="19"/>
  <c r="AH347" i="19"/>
  <c r="AH348" i="19"/>
  <c r="AH349" i="19"/>
  <c r="AH350" i="19"/>
  <c r="AH351" i="19"/>
  <c r="AH352" i="19"/>
  <c r="AH353" i="19"/>
  <c r="AH354" i="19"/>
  <c r="AH355" i="19"/>
  <c r="AH356" i="19"/>
  <c r="AH357" i="19"/>
  <c r="AH358" i="19"/>
  <c r="AH359" i="19"/>
  <c r="AH360" i="19"/>
  <c r="AH361" i="19"/>
  <c r="AH362" i="19"/>
  <c r="AH363" i="19"/>
  <c r="AH364" i="19"/>
  <c r="AH365" i="19"/>
  <c r="AH366" i="19"/>
  <c r="AH367" i="19"/>
  <c r="AH368" i="19"/>
  <c r="AH369" i="19"/>
  <c r="AH370" i="19"/>
  <c r="AH371" i="19"/>
  <c r="AH372" i="19"/>
  <c r="AH373" i="19"/>
  <c r="AH374" i="19"/>
  <c r="AH375" i="19"/>
  <c r="AH376" i="19"/>
  <c r="AH377" i="19"/>
  <c r="AH378" i="19"/>
  <c r="AH379" i="19"/>
  <c r="AH380" i="19"/>
  <c r="AH381" i="19"/>
  <c r="AH382" i="19"/>
  <c r="AH383" i="19"/>
  <c r="AH384" i="19"/>
  <c r="AH385" i="19"/>
  <c r="AH386" i="19"/>
  <c r="AH387" i="19"/>
  <c r="AH388" i="19"/>
  <c r="F9" i="74" s="1"/>
  <c r="AH389" i="19"/>
  <c r="AH390" i="19"/>
  <c r="AH391" i="19"/>
  <c r="AH392" i="19"/>
  <c r="AH393" i="19"/>
  <c r="AH394" i="19"/>
  <c r="AH395" i="19"/>
  <c r="AH396" i="19"/>
  <c r="AH397" i="19"/>
  <c r="AH398" i="19"/>
  <c r="AH399" i="19"/>
  <c r="AH400" i="19"/>
  <c r="AH401" i="19"/>
  <c r="AH402" i="19"/>
  <c r="AH403" i="19"/>
  <c r="AH404" i="19"/>
  <c r="AH405" i="19"/>
  <c r="AH406" i="19"/>
  <c r="AH407" i="19"/>
  <c r="AH408" i="19"/>
  <c r="AH409" i="19"/>
  <c r="AH410" i="19"/>
  <c r="AH411" i="19"/>
  <c r="AH412" i="19"/>
  <c r="AH413" i="19"/>
  <c r="AH414" i="19"/>
  <c r="AH415" i="19"/>
  <c r="AH416" i="19"/>
  <c r="AH417" i="19"/>
  <c r="AH418" i="19"/>
  <c r="AH419" i="19"/>
  <c r="AH420" i="19"/>
  <c r="AH421" i="19"/>
  <c r="AH422" i="19"/>
  <c r="AH423" i="19"/>
  <c r="AH424" i="19"/>
  <c r="AH425" i="19"/>
  <c r="AH426" i="19"/>
  <c r="AH427" i="19"/>
  <c r="AH428" i="19"/>
  <c r="AH429" i="19"/>
  <c r="AH430" i="19"/>
  <c r="AH431" i="19"/>
  <c r="AH432" i="19"/>
  <c r="AH433" i="19"/>
  <c r="AH434" i="19"/>
  <c r="AH435" i="19"/>
  <c r="AH436" i="19"/>
  <c r="AH437" i="19"/>
  <c r="AH438" i="19"/>
  <c r="AH439" i="19"/>
  <c r="AH440" i="19"/>
  <c r="AH441" i="19"/>
  <c r="AH442" i="19"/>
  <c r="AH443" i="19"/>
  <c r="AH444" i="19"/>
  <c r="AH445" i="19"/>
  <c r="AH446" i="19"/>
  <c r="AH447" i="19"/>
  <c r="AH448" i="19"/>
  <c r="AH449" i="19"/>
  <c r="AH450" i="19"/>
  <c r="AH451" i="19"/>
  <c r="AH452" i="19"/>
  <c r="AH453" i="19"/>
  <c r="AH454" i="19"/>
  <c r="AH455" i="19"/>
  <c r="AH456" i="19"/>
  <c r="AH457" i="19"/>
  <c r="AH458" i="19"/>
  <c r="AH459" i="19"/>
  <c r="AH460" i="19"/>
  <c r="AH461" i="19"/>
  <c r="AH462" i="19"/>
  <c r="AH463" i="19"/>
  <c r="AH464" i="19"/>
  <c r="AH465" i="19"/>
  <c r="AH466" i="19"/>
  <c r="AH467" i="19"/>
  <c r="AH468" i="19"/>
  <c r="AH469" i="19"/>
  <c r="AH470" i="19"/>
  <c r="AH471" i="19"/>
  <c r="AH472" i="19"/>
  <c r="AH473" i="19"/>
  <c r="AH474" i="19"/>
  <c r="AH475" i="19"/>
  <c r="AH476" i="19"/>
  <c r="AH477" i="19"/>
  <c r="AH478" i="19"/>
  <c r="AH479" i="19"/>
  <c r="AH480" i="19"/>
  <c r="AH481" i="19"/>
  <c r="AH482" i="19"/>
  <c r="AH483" i="19"/>
  <c r="AH484" i="19"/>
  <c r="AH485" i="19"/>
  <c r="AH486" i="19"/>
  <c r="AH487" i="19"/>
  <c r="AH488" i="19"/>
  <c r="AH489" i="19"/>
  <c r="AH490" i="19"/>
  <c r="AH491" i="19"/>
  <c r="AH492" i="19"/>
  <c r="AH493" i="19"/>
  <c r="AH494" i="19"/>
  <c r="AH495" i="19"/>
  <c r="AH496" i="19"/>
  <c r="AH497" i="19"/>
  <c r="AH498" i="19"/>
  <c r="AH499" i="19"/>
  <c r="AH500" i="19"/>
  <c r="AH501" i="19"/>
  <c r="AH502" i="19"/>
  <c r="AH503" i="19"/>
  <c r="AH504" i="19"/>
  <c r="AH505" i="19"/>
  <c r="AH506" i="19"/>
  <c r="AH507" i="19"/>
  <c r="AH508" i="19"/>
  <c r="AH509" i="19"/>
  <c r="AH510" i="19"/>
  <c r="AH511" i="19"/>
  <c r="AH512" i="19"/>
  <c r="AH513" i="19"/>
  <c r="AH514" i="19"/>
  <c r="AH515" i="19"/>
  <c r="AH516" i="19"/>
  <c r="AH517" i="19"/>
  <c r="AH518" i="19"/>
  <c r="AH519" i="19"/>
  <c r="AH520" i="19"/>
  <c r="AH521" i="19"/>
  <c r="AH522" i="19"/>
  <c r="AH523" i="19"/>
  <c r="AH524" i="19"/>
  <c r="AH525" i="19"/>
  <c r="AH526" i="19"/>
  <c r="AH527" i="19"/>
  <c r="AH528" i="19"/>
  <c r="AH529" i="19"/>
  <c r="AH530" i="19"/>
  <c r="AH531" i="19"/>
  <c r="AH532" i="19"/>
  <c r="AH533" i="19"/>
  <c r="AH534" i="19"/>
  <c r="AH535" i="19"/>
  <c r="AH536" i="19"/>
  <c r="AH537" i="19"/>
  <c r="AH538" i="19"/>
  <c r="AH539" i="19"/>
  <c r="AH540" i="19"/>
  <c r="AH541" i="19"/>
  <c r="AH542" i="19"/>
  <c r="AH543" i="19"/>
  <c r="AH544" i="19"/>
  <c r="AH545" i="19"/>
  <c r="AH546" i="19"/>
  <c r="AH547" i="19"/>
  <c r="AH548" i="19"/>
  <c r="AH549" i="19"/>
  <c r="AH550" i="19"/>
  <c r="AH551" i="19"/>
  <c r="AH552" i="19"/>
  <c r="AH553" i="19"/>
  <c r="AH554" i="19"/>
  <c r="AH555" i="19"/>
  <c r="AH556" i="19"/>
  <c r="AH557" i="19"/>
  <c r="AH558" i="19"/>
  <c r="AH559" i="19"/>
  <c r="AH560" i="19"/>
  <c r="AH561" i="19"/>
  <c r="AH562" i="19"/>
  <c r="AH563" i="19"/>
  <c r="AH564" i="19"/>
  <c r="AH565" i="19"/>
  <c r="AH566" i="19"/>
  <c r="AH567" i="19"/>
  <c r="AH568" i="19"/>
  <c r="AH569" i="19"/>
  <c r="AH570" i="19"/>
  <c r="AH571" i="19"/>
  <c r="AH572" i="19"/>
  <c r="AH573" i="19"/>
  <c r="AH574" i="19"/>
  <c r="AH575" i="19"/>
  <c r="AH576" i="19"/>
  <c r="AH577" i="19"/>
  <c r="AH578" i="19"/>
  <c r="AH579" i="19"/>
  <c r="AH580" i="19"/>
  <c r="AH581" i="19"/>
  <c r="AH582" i="19"/>
  <c r="AH583" i="19"/>
  <c r="AH584" i="19"/>
  <c r="AH585" i="19"/>
  <c r="AH586" i="19"/>
  <c r="AH587" i="19"/>
  <c r="AH588" i="19"/>
  <c r="AH589" i="19"/>
  <c r="AH590" i="19"/>
  <c r="AH591" i="19"/>
  <c r="AH592" i="19"/>
  <c r="AH593" i="19"/>
  <c r="AH594" i="19"/>
  <c r="AH595" i="19"/>
  <c r="AH596" i="19"/>
  <c r="AH597" i="19"/>
  <c r="AH598" i="19"/>
  <c r="AH599" i="19"/>
  <c r="AH600" i="19"/>
  <c r="AH601" i="19"/>
  <c r="AH602" i="19"/>
  <c r="AH603" i="19"/>
  <c r="AH604" i="19"/>
  <c r="AH605" i="19"/>
  <c r="AH606" i="19"/>
  <c r="AH607" i="19"/>
  <c r="AH608" i="19"/>
  <c r="AH609" i="19"/>
  <c r="AH610" i="19"/>
  <c r="AH611" i="19"/>
  <c r="AH612" i="19"/>
  <c r="AH613" i="19"/>
  <c r="AH614" i="19"/>
  <c r="AH615" i="19"/>
  <c r="AH616" i="19"/>
  <c r="AH617" i="19"/>
  <c r="AH618" i="19"/>
  <c r="AH619" i="19"/>
  <c r="AH620" i="19"/>
  <c r="AH621" i="19"/>
  <c r="AH622" i="19"/>
  <c r="AH623" i="19"/>
  <c r="AH624" i="19"/>
  <c r="AH625" i="19"/>
  <c r="AH626" i="19"/>
  <c r="AH627" i="19"/>
  <c r="AH628" i="19"/>
  <c r="AH629" i="19"/>
  <c r="AH630" i="19"/>
  <c r="AH631" i="19"/>
  <c r="AH632" i="19"/>
  <c r="AH633" i="19"/>
  <c r="AH634" i="19"/>
  <c r="AH635" i="19"/>
  <c r="AH636" i="19"/>
  <c r="AH637" i="19"/>
  <c r="AH638" i="19"/>
  <c r="AH639" i="19"/>
  <c r="AH640" i="19"/>
  <c r="AH641" i="19"/>
  <c r="AH642" i="19"/>
  <c r="AH643" i="19"/>
  <c r="AH644" i="19"/>
  <c r="AH645" i="19"/>
  <c r="AH646" i="19"/>
  <c r="AH647" i="19"/>
  <c r="AH648" i="19"/>
  <c r="AH649" i="19"/>
  <c r="AH650" i="19"/>
  <c r="AH651" i="19"/>
  <c r="AH652" i="19"/>
  <c r="AH653" i="19"/>
  <c r="AH654" i="19"/>
  <c r="AH655" i="19"/>
  <c r="AH656" i="19"/>
  <c r="AH657" i="19"/>
  <c r="AH658" i="19"/>
  <c r="AH659" i="19"/>
  <c r="AH660" i="19"/>
  <c r="AH661" i="19"/>
  <c r="AH662" i="19"/>
  <c r="AH663" i="19"/>
  <c r="AH664" i="19"/>
  <c r="AH665" i="19"/>
  <c r="AH666" i="19"/>
  <c r="AH667" i="19"/>
  <c r="AH668" i="19"/>
  <c r="AH669" i="19"/>
  <c r="AH670" i="19"/>
  <c r="AH671" i="19"/>
  <c r="AH672" i="19"/>
  <c r="AH673" i="19"/>
  <c r="AH674" i="19"/>
  <c r="AH675" i="19"/>
  <c r="AH676" i="19"/>
  <c r="AH677" i="19"/>
  <c r="AH678" i="19"/>
  <c r="AH679" i="19"/>
  <c r="AH680" i="19"/>
  <c r="AH681" i="19"/>
  <c r="AH682" i="19"/>
  <c r="AH683" i="19"/>
  <c r="AH684" i="19"/>
  <c r="AH685" i="19"/>
  <c r="AH686" i="19"/>
  <c r="AH687" i="19"/>
  <c r="AH688" i="19"/>
  <c r="AH689" i="19"/>
  <c r="AH690" i="19"/>
  <c r="AH691" i="19"/>
  <c r="AH692" i="19"/>
  <c r="AH693" i="19"/>
  <c r="AH694" i="19"/>
  <c r="AH695" i="19"/>
  <c r="AH696" i="19"/>
  <c r="AH697" i="19"/>
  <c r="AH698" i="19"/>
  <c r="AH699" i="19"/>
  <c r="AH700" i="19"/>
  <c r="AH701" i="19"/>
  <c r="AH702" i="19"/>
  <c r="AH703" i="19"/>
  <c r="AH704" i="19"/>
  <c r="AH705" i="19"/>
  <c r="AH706" i="19"/>
  <c r="AH707" i="19"/>
  <c r="AH708" i="19"/>
  <c r="AH709" i="19"/>
  <c r="AH710" i="19"/>
  <c r="AH711" i="19"/>
  <c r="AH712" i="19"/>
  <c r="AH713" i="19"/>
  <c r="AH714" i="19"/>
  <c r="AH715" i="19"/>
  <c r="AH716" i="19"/>
  <c r="AH717" i="19"/>
  <c r="AH718" i="19"/>
  <c r="AH719" i="19"/>
  <c r="AH720" i="19"/>
  <c r="AH721" i="19"/>
  <c r="AH722" i="19"/>
  <c r="AH723" i="19"/>
  <c r="AH724" i="19"/>
  <c r="AH725" i="19"/>
  <c r="AH726" i="19"/>
  <c r="AH727" i="19"/>
  <c r="AH728" i="19"/>
  <c r="AH729" i="19"/>
  <c r="AH730" i="19"/>
  <c r="AH731" i="19"/>
  <c r="AH732" i="19"/>
  <c r="AH733" i="19"/>
  <c r="AH734" i="19"/>
  <c r="AH735" i="19"/>
  <c r="AH736" i="19"/>
  <c r="AH737" i="19"/>
  <c r="AH738" i="19"/>
  <c r="AH739" i="19"/>
  <c r="AH740" i="19"/>
  <c r="AH741" i="19"/>
  <c r="AH742" i="19"/>
  <c r="AH743" i="19"/>
  <c r="AH744" i="19"/>
  <c r="AH745" i="19"/>
  <c r="AH746" i="19"/>
  <c r="AH747" i="19"/>
  <c r="AH748" i="19"/>
  <c r="AH749" i="19"/>
  <c r="AH750" i="19"/>
  <c r="AH751" i="19"/>
  <c r="AH752" i="19"/>
  <c r="AH753" i="19"/>
  <c r="AH754" i="19"/>
  <c r="AH755" i="19"/>
  <c r="AH756" i="19"/>
  <c r="AH757" i="19"/>
  <c r="AH758" i="19"/>
  <c r="AH759" i="19"/>
  <c r="AH760" i="19"/>
  <c r="AH761" i="19"/>
  <c r="AH762" i="19"/>
  <c r="AH763" i="19"/>
  <c r="AH764" i="19"/>
  <c r="AH765" i="19"/>
  <c r="AH766" i="19"/>
  <c r="AH767" i="19"/>
  <c r="AH768" i="19"/>
  <c r="AH769" i="19"/>
  <c r="AH770" i="19"/>
  <c r="AH771" i="19"/>
  <c r="AH772" i="19"/>
  <c r="AH773" i="19"/>
  <c r="AH774" i="19"/>
  <c r="AH775" i="19"/>
  <c r="AH776" i="19"/>
  <c r="AH777" i="19"/>
  <c r="AH778" i="19"/>
  <c r="AH779" i="19"/>
  <c r="AH780" i="19"/>
  <c r="AH781" i="19"/>
  <c r="AH782" i="19"/>
  <c r="AH783" i="19"/>
  <c r="AH784" i="19"/>
  <c r="AH785" i="19"/>
  <c r="AH786" i="19"/>
  <c r="AH787" i="19"/>
  <c r="AH788" i="19"/>
  <c r="AH789" i="19"/>
  <c r="AH790" i="19"/>
  <c r="AH791" i="19"/>
  <c r="AH792" i="19"/>
  <c r="AH793" i="19"/>
  <c r="AH794" i="19"/>
  <c r="AH795" i="19"/>
  <c r="AH796" i="19"/>
  <c r="AH797" i="19"/>
  <c r="AH798" i="19"/>
  <c r="AH799" i="19"/>
  <c r="AH800" i="19"/>
  <c r="AG3" i="19"/>
  <c r="AG4" i="19"/>
  <c r="AG5" i="19"/>
  <c r="AG6" i="19"/>
  <c r="AG7" i="19"/>
  <c r="AG8" i="19"/>
  <c r="AG9" i="19"/>
  <c r="AG10" i="19"/>
  <c r="AG11" i="19"/>
  <c r="AG12" i="19"/>
  <c r="AG13" i="19"/>
  <c r="AG14" i="19"/>
  <c r="AG15" i="19"/>
  <c r="AG16" i="19"/>
  <c r="AG17" i="19"/>
  <c r="AG18" i="19"/>
  <c r="AG19" i="19"/>
  <c r="AG20" i="19"/>
  <c r="AG21" i="19"/>
  <c r="AG22" i="19"/>
  <c r="AG23" i="19"/>
  <c r="AG24" i="19"/>
  <c r="AG25" i="19"/>
  <c r="AG26" i="19"/>
  <c r="AG27" i="19"/>
  <c r="AG28" i="19"/>
  <c r="AG29" i="19"/>
  <c r="AG30" i="19"/>
  <c r="AG31" i="19"/>
  <c r="AG32" i="19"/>
  <c r="AG33" i="19"/>
  <c r="AG34" i="19"/>
  <c r="AG35" i="19"/>
  <c r="AG36" i="19"/>
  <c r="AG37" i="19"/>
  <c r="AG38" i="19"/>
  <c r="AG39" i="19"/>
  <c r="AG40" i="19"/>
  <c r="AG41" i="19"/>
  <c r="AG42" i="19"/>
  <c r="AG43" i="19"/>
  <c r="AG44" i="19"/>
  <c r="AG45" i="19"/>
  <c r="AG46" i="19"/>
  <c r="AG47" i="19"/>
  <c r="AG48" i="19"/>
  <c r="AG49" i="19"/>
  <c r="AG50" i="19"/>
  <c r="AG51" i="19"/>
  <c r="AG52" i="19"/>
  <c r="AG53" i="19"/>
  <c r="AG54" i="19"/>
  <c r="AG55" i="19"/>
  <c r="AG56" i="19"/>
  <c r="AG57" i="19"/>
  <c r="AG58" i="19"/>
  <c r="AG59" i="19"/>
  <c r="AG60" i="19"/>
  <c r="AG61" i="19"/>
  <c r="AG62" i="19"/>
  <c r="AG63" i="19"/>
  <c r="AG64" i="19"/>
  <c r="AG65" i="19"/>
  <c r="AG66" i="19"/>
  <c r="AG67" i="19"/>
  <c r="AG68" i="19"/>
  <c r="AG69" i="19"/>
  <c r="AG70" i="19"/>
  <c r="AG71" i="19"/>
  <c r="AG72" i="19"/>
  <c r="AG73" i="19"/>
  <c r="AG74" i="19"/>
  <c r="AG75" i="19"/>
  <c r="AG76" i="19"/>
  <c r="AG77" i="19"/>
  <c r="AG78" i="19"/>
  <c r="AG79" i="19"/>
  <c r="AG80" i="19"/>
  <c r="AG81" i="19"/>
  <c r="AG82" i="19"/>
  <c r="AG83" i="19"/>
  <c r="AG84" i="19"/>
  <c r="AG85" i="19"/>
  <c r="AG86" i="19"/>
  <c r="AG87" i="19"/>
  <c r="AG88" i="19"/>
  <c r="AG89" i="19"/>
  <c r="AG90" i="19"/>
  <c r="AG91" i="19"/>
  <c r="AG92" i="19"/>
  <c r="AG93" i="19"/>
  <c r="AG94" i="19"/>
  <c r="AG95" i="19"/>
  <c r="AG96" i="19"/>
  <c r="AG97" i="19"/>
  <c r="AG98" i="19"/>
  <c r="AG99" i="19"/>
  <c r="AG100" i="19"/>
  <c r="AG101" i="19"/>
  <c r="AG102" i="19"/>
  <c r="AG103" i="19"/>
  <c r="AG104" i="19"/>
  <c r="AG105" i="19"/>
  <c r="AG106" i="19"/>
  <c r="AG107" i="19"/>
  <c r="AG108" i="19"/>
  <c r="AG109" i="19"/>
  <c r="AG110" i="19"/>
  <c r="AG111" i="19"/>
  <c r="AG112" i="19"/>
  <c r="AG113" i="19"/>
  <c r="AG114" i="19"/>
  <c r="D16" i="74" s="1"/>
  <c r="AG115" i="19"/>
  <c r="AG116" i="19"/>
  <c r="AG117" i="19"/>
  <c r="AG118" i="19"/>
  <c r="AG119" i="19"/>
  <c r="AG120" i="19"/>
  <c r="AG121" i="19"/>
  <c r="AG122" i="19"/>
  <c r="AG123" i="19"/>
  <c r="AG124" i="19"/>
  <c r="AG125" i="19"/>
  <c r="AG126" i="19"/>
  <c r="AG127" i="19"/>
  <c r="AG128" i="19"/>
  <c r="AG129" i="19"/>
  <c r="AG130" i="19"/>
  <c r="AG131" i="19"/>
  <c r="AG132" i="19"/>
  <c r="AG133" i="19"/>
  <c r="AG134" i="19"/>
  <c r="AG135" i="19"/>
  <c r="AG136" i="19"/>
  <c r="AG137" i="19"/>
  <c r="AG138" i="19"/>
  <c r="AG139" i="19"/>
  <c r="AG140" i="19"/>
  <c r="AG141" i="19"/>
  <c r="AG142" i="19"/>
  <c r="AG143" i="19"/>
  <c r="AG144" i="19"/>
  <c r="AG145" i="19"/>
  <c r="AG146" i="19"/>
  <c r="AG147" i="19"/>
  <c r="AG148" i="19"/>
  <c r="AG149" i="19"/>
  <c r="AG150" i="19"/>
  <c r="AG151" i="19"/>
  <c r="AG152" i="19"/>
  <c r="AG153" i="19"/>
  <c r="AG154" i="19"/>
  <c r="AG155" i="19"/>
  <c r="AG156" i="19"/>
  <c r="AG157" i="19"/>
  <c r="AG158" i="19"/>
  <c r="AG159" i="19"/>
  <c r="AG160" i="19"/>
  <c r="AG161" i="19"/>
  <c r="AG162" i="19"/>
  <c r="AG163" i="19"/>
  <c r="AG164" i="19"/>
  <c r="AG165" i="19"/>
  <c r="AG166" i="19"/>
  <c r="AG167" i="19"/>
  <c r="AG168" i="19"/>
  <c r="AG169" i="19"/>
  <c r="AG170" i="19"/>
  <c r="AG171" i="19"/>
  <c r="AG172" i="19"/>
  <c r="AG173" i="19"/>
  <c r="AG174" i="19"/>
  <c r="AG175" i="19"/>
  <c r="AG176" i="19"/>
  <c r="AG177" i="19"/>
  <c r="AG178" i="19"/>
  <c r="AG179" i="19"/>
  <c r="AG180" i="19"/>
  <c r="AG181" i="19"/>
  <c r="AG182" i="19"/>
  <c r="AG183" i="19"/>
  <c r="AG184" i="19"/>
  <c r="AG185" i="19"/>
  <c r="AG186" i="19"/>
  <c r="AG187" i="19"/>
  <c r="AG188" i="19"/>
  <c r="AG189" i="19"/>
  <c r="AG190" i="19"/>
  <c r="AG191" i="19"/>
  <c r="AG192" i="19"/>
  <c r="AG193" i="19"/>
  <c r="AG194" i="19"/>
  <c r="AG195" i="19"/>
  <c r="AG196" i="19"/>
  <c r="AG197" i="19"/>
  <c r="AG198" i="19"/>
  <c r="AG199" i="19"/>
  <c r="AG200" i="19"/>
  <c r="AG201" i="19"/>
  <c r="AG202" i="19"/>
  <c r="AG203" i="19"/>
  <c r="AG204" i="19"/>
  <c r="AG205" i="19"/>
  <c r="AG206" i="19"/>
  <c r="AG207" i="19"/>
  <c r="AG208" i="19"/>
  <c r="AG209" i="19"/>
  <c r="AG210" i="19"/>
  <c r="AG211" i="19"/>
  <c r="AG212" i="19"/>
  <c r="AG213" i="19"/>
  <c r="AG214" i="19"/>
  <c r="AG215" i="19"/>
  <c r="AG216" i="19"/>
  <c r="AG217" i="19"/>
  <c r="AG218" i="19"/>
  <c r="AG219" i="19"/>
  <c r="AG220" i="19"/>
  <c r="AG221" i="19"/>
  <c r="AG222" i="19"/>
  <c r="AG223" i="19"/>
  <c r="AG224" i="19"/>
  <c r="AG225" i="19"/>
  <c r="AG226" i="19"/>
  <c r="AG227" i="19"/>
  <c r="AG228" i="19"/>
  <c r="AG229" i="19"/>
  <c r="AG230" i="19"/>
  <c r="AG231" i="19"/>
  <c r="AG232" i="19"/>
  <c r="AG233" i="19"/>
  <c r="AG234" i="19"/>
  <c r="AG235" i="19"/>
  <c r="AG236" i="19"/>
  <c r="AG237" i="19"/>
  <c r="AG238" i="19"/>
  <c r="AG239" i="19"/>
  <c r="AG240" i="19"/>
  <c r="AG241" i="19"/>
  <c r="AG242" i="19"/>
  <c r="AG243" i="19"/>
  <c r="AG244" i="19"/>
  <c r="AG245" i="19"/>
  <c r="AG246" i="19"/>
  <c r="AG247" i="19"/>
  <c r="AG248" i="19"/>
  <c r="AG249" i="19"/>
  <c r="AG250" i="19"/>
  <c r="AG251" i="19"/>
  <c r="AG252" i="19"/>
  <c r="AG253" i="19"/>
  <c r="AG254" i="19"/>
  <c r="AG255" i="19"/>
  <c r="AG256" i="19"/>
  <c r="AG257" i="19"/>
  <c r="AG258" i="19"/>
  <c r="AG259" i="19"/>
  <c r="AG260" i="19"/>
  <c r="AG261" i="19"/>
  <c r="AG262" i="19"/>
  <c r="AG263" i="19"/>
  <c r="AG264" i="19"/>
  <c r="AG265" i="19"/>
  <c r="AG266" i="19"/>
  <c r="AG267" i="19"/>
  <c r="AG268" i="19"/>
  <c r="D26" i="74" s="1"/>
  <c r="AG269" i="19"/>
  <c r="AG270" i="19"/>
  <c r="AG271" i="19"/>
  <c r="AG272" i="19"/>
  <c r="AG273" i="19"/>
  <c r="AG274" i="19"/>
  <c r="AG275" i="19"/>
  <c r="AG276" i="19"/>
  <c r="AG277" i="19"/>
  <c r="AG278" i="19"/>
  <c r="AG279" i="19"/>
  <c r="AG280" i="19"/>
  <c r="AG281" i="19"/>
  <c r="AG282" i="19"/>
  <c r="D31" i="74" s="1"/>
  <c r="AG283" i="19"/>
  <c r="AG284" i="19"/>
  <c r="AG286" i="19"/>
  <c r="AG287" i="19"/>
  <c r="AG288" i="19"/>
  <c r="AG289" i="19"/>
  <c r="AG290" i="19"/>
  <c r="AG291" i="19"/>
  <c r="AG292" i="19"/>
  <c r="AG293" i="19"/>
  <c r="AG294" i="19"/>
  <c r="AG295" i="19"/>
  <c r="AG296" i="19"/>
  <c r="AG297" i="19"/>
  <c r="AG298" i="19"/>
  <c r="AG299" i="19"/>
  <c r="AG300" i="19"/>
  <c r="AG301" i="19"/>
  <c r="AG302" i="19"/>
  <c r="AG303" i="19"/>
  <c r="AG304" i="19"/>
  <c r="AG305" i="19"/>
  <c r="AG306" i="19"/>
  <c r="AG307" i="19"/>
  <c r="AG308" i="19"/>
  <c r="AG309" i="19"/>
  <c r="AG310" i="19"/>
  <c r="AG311" i="19"/>
  <c r="AG312" i="19"/>
  <c r="AG313" i="19"/>
  <c r="AG314" i="19"/>
  <c r="AG315" i="19"/>
  <c r="AG316" i="19"/>
  <c r="AG317" i="19"/>
  <c r="AG318" i="19"/>
  <c r="AG319" i="19"/>
  <c r="AG320" i="19"/>
  <c r="AG321" i="19"/>
  <c r="AG322" i="19"/>
  <c r="AG323" i="19"/>
  <c r="AG324" i="19"/>
  <c r="AG325" i="19"/>
  <c r="AG326" i="19"/>
  <c r="AG327" i="19"/>
  <c r="AG328" i="19"/>
  <c r="AG329" i="19"/>
  <c r="AG330" i="19"/>
  <c r="AG331" i="19"/>
  <c r="AG332" i="19"/>
  <c r="AG333" i="19"/>
  <c r="AG334" i="19"/>
  <c r="AG335" i="19"/>
  <c r="AG336" i="19"/>
  <c r="AG337" i="19"/>
  <c r="AG338" i="19"/>
  <c r="AG339" i="19"/>
  <c r="AG340" i="19"/>
  <c r="AG341" i="19"/>
  <c r="AG342" i="19"/>
  <c r="AG343" i="19"/>
  <c r="AG344" i="19"/>
  <c r="AG345" i="19"/>
  <c r="AG346" i="19"/>
  <c r="AG347" i="19"/>
  <c r="AG348" i="19"/>
  <c r="AG349" i="19"/>
  <c r="AG350" i="19"/>
  <c r="AG351" i="19"/>
  <c r="AG352" i="19"/>
  <c r="AG353" i="19"/>
  <c r="AG354" i="19"/>
  <c r="AG355" i="19"/>
  <c r="AG356" i="19"/>
  <c r="AG357" i="19"/>
  <c r="AG358" i="19"/>
  <c r="AG359" i="19"/>
  <c r="AG360" i="19"/>
  <c r="AG361" i="19"/>
  <c r="AG362" i="19"/>
  <c r="AG363" i="19"/>
  <c r="AG364" i="19"/>
  <c r="AG365" i="19"/>
  <c r="AG366" i="19"/>
  <c r="AG367" i="19"/>
  <c r="AG368" i="19"/>
  <c r="AG369" i="19"/>
  <c r="AG370" i="19"/>
  <c r="AG371" i="19"/>
  <c r="AG372" i="19"/>
  <c r="AG373" i="19"/>
  <c r="AG374" i="19"/>
  <c r="AG375" i="19"/>
  <c r="AG376" i="19"/>
  <c r="AG377" i="19"/>
  <c r="AG378" i="19"/>
  <c r="AG379" i="19"/>
  <c r="AG380" i="19"/>
  <c r="AG381" i="19"/>
  <c r="AG382" i="19"/>
  <c r="AG383" i="19"/>
  <c r="AG384" i="19"/>
  <c r="AG385" i="19"/>
  <c r="AG386" i="19"/>
  <c r="AG387" i="19"/>
  <c r="AG388" i="19"/>
  <c r="D9" i="74" s="1"/>
  <c r="AG389" i="19"/>
  <c r="AG390" i="19"/>
  <c r="AG391" i="19"/>
  <c r="AG392" i="19"/>
  <c r="AG393" i="19"/>
  <c r="AG394" i="19"/>
  <c r="AG395" i="19"/>
  <c r="AG396" i="19"/>
  <c r="AG397" i="19"/>
  <c r="AG398" i="19"/>
  <c r="AG399" i="19"/>
  <c r="AG400" i="19"/>
  <c r="AG401" i="19"/>
  <c r="AG402" i="19"/>
  <c r="AG403" i="19"/>
  <c r="AG404" i="19"/>
  <c r="AG405" i="19"/>
  <c r="AG406" i="19"/>
  <c r="AG407" i="19"/>
  <c r="AG408" i="19"/>
  <c r="AG409" i="19"/>
  <c r="AG410" i="19"/>
  <c r="AG411" i="19"/>
  <c r="AG412" i="19"/>
  <c r="AG413" i="19"/>
  <c r="AG414" i="19"/>
  <c r="AG415" i="19"/>
  <c r="AG416" i="19"/>
  <c r="AG417" i="19"/>
  <c r="AG418" i="19"/>
  <c r="AG419" i="19"/>
  <c r="AG420" i="19"/>
  <c r="AG421" i="19"/>
  <c r="AG422" i="19"/>
  <c r="AG423" i="19"/>
  <c r="AG424" i="19"/>
  <c r="AG425" i="19"/>
  <c r="AG426" i="19"/>
  <c r="AG427" i="19"/>
  <c r="AG428" i="19"/>
  <c r="AG429" i="19"/>
  <c r="AG430" i="19"/>
  <c r="AG431" i="19"/>
  <c r="AG432" i="19"/>
  <c r="AG433" i="19"/>
  <c r="AG434" i="19"/>
  <c r="AG435" i="19"/>
  <c r="AG436" i="19"/>
  <c r="AG437" i="19"/>
  <c r="AG438" i="19"/>
  <c r="AG439" i="19"/>
  <c r="AG440" i="19"/>
  <c r="AG441" i="19"/>
  <c r="AG442" i="19"/>
  <c r="AG443" i="19"/>
  <c r="AG444" i="19"/>
  <c r="AG445" i="19"/>
  <c r="AG446" i="19"/>
  <c r="AG447" i="19"/>
  <c r="AG448" i="19"/>
  <c r="AG449" i="19"/>
  <c r="AG450" i="19"/>
  <c r="AG451" i="19"/>
  <c r="AG452" i="19"/>
  <c r="AG453" i="19"/>
  <c r="AG454" i="19"/>
  <c r="AG455" i="19"/>
  <c r="AG456" i="19"/>
  <c r="AG457" i="19"/>
  <c r="AG458" i="19"/>
  <c r="AG459" i="19"/>
  <c r="AG460" i="19"/>
  <c r="AG461" i="19"/>
  <c r="AG462" i="19"/>
  <c r="AG463" i="19"/>
  <c r="AG464" i="19"/>
  <c r="AG465" i="19"/>
  <c r="AG466" i="19"/>
  <c r="AG467" i="19"/>
  <c r="AG468" i="19"/>
  <c r="AG469" i="19"/>
  <c r="AG470" i="19"/>
  <c r="AG471" i="19"/>
  <c r="AG472" i="19"/>
  <c r="AG473" i="19"/>
  <c r="AG474" i="19"/>
  <c r="AG475" i="19"/>
  <c r="AG476" i="19"/>
  <c r="AG477" i="19"/>
  <c r="AG478" i="19"/>
  <c r="AG479" i="19"/>
  <c r="AG480" i="19"/>
  <c r="AG481" i="19"/>
  <c r="AG482" i="19"/>
  <c r="AG483" i="19"/>
  <c r="AG484" i="19"/>
  <c r="AG485" i="19"/>
  <c r="AG486" i="19"/>
  <c r="AG487" i="19"/>
  <c r="AG488" i="19"/>
  <c r="AG489" i="19"/>
  <c r="AG490" i="19"/>
  <c r="AG491" i="19"/>
  <c r="AG492" i="19"/>
  <c r="AG493" i="19"/>
  <c r="AG494" i="19"/>
  <c r="AG495" i="19"/>
  <c r="AG496" i="19"/>
  <c r="AG497" i="19"/>
  <c r="AG498" i="19"/>
  <c r="AG499" i="19"/>
  <c r="AG500" i="19"/>
  <c r="AG501" i="19"/>
  <c r="AG502" i="19"/>
  <c r="AG503" i="19"/>
  <c r="AG504" i="19"/>
  <c r="AG505" i="19"/>
  <c r="AG506" i="19"/>
  <c r="AG507" i="19"/>
  <c r="AG508" i="19"/>
  <c r="AG509" i="19"/>
  <c r="AG510" i="19"/>
  <c r="AG511" i="19"/>
  <c r="AG512" i="19"/>
  <c r="AG513" i="19"/>
  <c r="AG514" i="19"/>
  <c r="AG515" i="19"/>
  <c r="AG516" i="19"/>
  <c r="AG517" i="19"/>
  <c r="AG518" i="19"/>
  <c r="AG519" i="19"/>
  <c r="AG520" i="19"/>
  <c r="AG521" i="19"/>
  <c r="AG522" i="19"/>
  <c r="AG523" i="19"/>
  <c r="AG524" i="19"/>
  <c r="AG525" i="19"/>
  <c r="AG526" i="19"/>
  <c r="AG527" i="19"/>
  <c r="AG528" i="19"/>
  <c r="AG529" i="19"/>
  <c r="AG530" i="19"/>
  <c r="AG531" i="19"/>
  <c r="AG532" i="19"/>
  <c r="AG533" i="19"/>
  <c r="AG534" i="19"/>
  <c r="AG535" i="19"/>
  <c r="AG536" i="19"/>
  <c r="AG537" i="19"/>
  <c r="AG538" i="19"/>
  <c r="AG539" i="19"/>
  <c r="AG540" i="19"/>
  <c r="AG541" i="19"/>
  <c r="AG542" i="19"/>
  <c r="AG543" i="19"/>
  <c r="AG544" i="19"/>
  <c r="AG545" i="19"/>
  <c r="AG546" i="19"/>
  <c r="AG547" i="19"/>
  <c r="AG548" i="19"/>
  <c r="AG549" i="19"/>
  <c r="AG550" i="19"/>
  <c r="AG551" i="19"/>
  <c r="AG552" i="19"/>
  <c r="AG553" i="19"/>
  <c r="AG554" i="19"/>
  <c r="AG555" i="19"/>
  <c r="AG556" i="19"/>
  <c r="AG557" i="19"/>
  <c r="AG558" i="19"/>
  <c r="AG559" i="19"/>
  <c r="AG560" i="19"/>
  <c r="AG561" i="19"/>
  <c r="AG562" i="19"/>
  <c r="AG563" i="19"/>
  <c r="AG564" i="19"/>
  <c r="AG565" i="19"/>
  <c r="AG566" i="19"/>
  <c r="AG567" i="19"/>
  <c r="AG568" i="19"/>
  <c r="AG569" i="19"/>
  <c r="AG570" i="19"/>
  <c r="AG571" i="19"/>
  <c r="AG572" i="19"/>
  <c r="AG573" i="19"/>
  <c r="AG574" i="19"/>
  <c r="AG575" i="19"/>
  <c r="AG576" i="19"/>
  <c r="AG577" i="19"/>
  <c r="AG578" i="19"/>
  <c r="AG579" i="19"/>
  <c r="AG580" i="19"/>
  <c r="AG581" i="19"/>
  <c r="AG582" i="19"/>
  <c r="AG583" i="19"/>
  <c r="AG584" i="19"/>
  <c r="AG585" i="19"/>
  <c r="AG586" i="19"/>
  <c r="AG587" i="19"/>
  <c r="AG588" i="19"/>
  <c r="AG589" i="19"/>
  <c r="AG590" i="19"/>
  <c r="AG591" i="19"/>
  <c r="AG592" i="19"/>
  <c r="AG593" i="19"/>
  <c r="AG594" i="19"/>
  <c r="AG595" i="19"/>
  <c r="AG596" i="19"/>
  <c r="AG597" i="19"/>
  <c r="AG598" i="19"/>
  <c r="AG599" i="19"/>
  <c r="AG600" i="19"/>
  <c r="AG601" i="19"/>
  <c r="AG602" i="19"/>
  <c r="AG603" i="19"/>
  <c r="AG604" i="19"/>
  <c r="AG605" i="19"/>
  <c r="AG606" i="19"/>
  <c r="AG607" i="19"/>
  <c r="AG608" i="19"/>
  <c r="AG609" i="19"/>
  <c r="AG610" i="19"/>
  <c r="AG611" i="19"/>
  <c r="AG612" i="19"/>
  <c r="AG613" i="19"/>
  <c r="AG614" i="19"/>
  <c r="AG615" i="19"/>
  <c r="AG616" i="19"/>
  <c r="AG617" i="19"/>
  <c r="AG618" i="19"/>
  <c r="AG619" i="19"/>
  <c r="AG620" i="19"/>
  <c r="AG621" i="19"/>
  <c r="AG622" i="19"/>
  <c r="AG623" i="19"/>
  <c r="AG624" i="19"/>
  <c r="AG625" i="19"/>
  <c r="AG626" i="19"/>
  <c r="AG627" i="19"/>
  <c r="AG628" i="19"/>
  <c r="AG629" i="19"/>
  <c r="AG630" i="19"/>
  <c r="AG631" i="19"/>
  <c r="AG632" i="19"/>
  <c r="AG633" i="19"/>
  <c r="AG634" i="19"/>
  <c r="AG635" i="19"/>
  <c r="AG636" i="19"/>
  <c r="AG637" i="19"/>
  <c r="AG638" i="19"/>
  <c r="AG639" i="19"/>
  <c r="AG640" i="19"/>
  <c r="AG641" i="19"/>
  <c r="AG642" i="19"/>
  <c r="AG643" i="19"/>
  <c r="AG644" i="19"/>
  <c r="AG645" i="19"/>
  <c r="AG646" i="19"/>
  <c r="AG647" i="19"/>
  <c r="AG648" i="19"/>
  <c r="AG649" i="19"/>
  <c r="AG650" i="19"/>
  <c r="AG651" i="19"/>
  <c r="AG652" i="19"/>
  <c r="AG653" i="19"/>
  <c r="AG654" i="19"/>
  <c r="AG655" i="19"/>
  <c r="AG656" i="19"/>
  <c r="AG657" i="19"/>
  <c r="AG658" i="19"/>
  <c r="AG659" i="19"/>
  <c r="AG660" i="19"/>
  <c r="AG661" i="19"/>
  <c r="AG662" i="19"/>
  <c r="AG663" i="19"/>
  <c r="AG664" i="19"/>
  <c r="AG665" i="19"/>
  <c r="AG666" i="19"/>
  <c r="AG667" i="19"/>
  <c r="AG668" i="19"/>
  <c r="AG669" i="19"/>
  <c r="AG670" i="19"/>
  <c r="AG671" i="19"/>
  <c r="AG672" i="19"/>
  <c r="AG673" i="19"/>
  <c r="AG674" i="19"/>
  <c r="AG675" i="19"/>
  <c r="AG676" i="19"/>
  <c r="AG677" i="19"/>
  <c r="AG678" i="19"/>
  <c r="AG679" i="19"/>
  <c r="AG680" i="19"/>
  <c r="AG681" i="19"/>
  <c r="AG682" i="19"/>
  <c r="AG683" i="19"/>
  <c r="AG684" i="19"/>
  <c r="AG685" i="19"/>
  <c r="AG686" i="19"/>
  <c r="AG687" i="19"/>
  <c r="AG688" i="19"/>
  <c r="AG689" i="19"/>
  <c r="AG690" i="19"/>
  <c r="AG691" i="19"/>
  <c r="AG692" i="19"/>
  <c r="AG693" i="19"/>
  <c r="AG694" i="19"/>
  <c r="AG695" i="19"/>
  <c r="AG696" i="19"/>
  <c r="AG697" i="19"/>
  <c r="AG698" i="19"/>
  <c r="AG699" i="19"/>
  <c r="AG700" i="19"/>
  <c r="AG701" i="19"/>
  <c r="AG702" i="19"/>
  <c r="AG703" i="19"/>
  <c r="AG704" i="19"/>
  <c r="AG705" i="19"/>
  <c r="AG706" i="19"/>
  <c r="AG707" i="19"/>
  <c r="AG708" i="19"/>
  <c r="AG709" i="19"/>
  <c r="AG710" i="19"/>
  <c r="AG711" i="19"/>
  <c r="AG712" i="19"/>
  <c r="AG713" i="19"/>
  <c r="AG714" i="19"/>
  <c r="AG715" i="19"/>
  <c r="AG716" i="19"/>
  <c r="AG717" i="19"/>
  <c r="AG718" i="19"/>
  <c r="AG719" i="19"/>
  <c r="AG720" i="19"/>
  <c r="AG721" i="19"/>
  <c r="AG722" i="19"/>
  <c r="AG723" i="19"/>
  <c r="AG724" i="19"/>
  <c r="AG725" i="19"/>
  <c r="AG726" i="19"/>
  <c r="AG727" i="19"/>
  <c r="AG728" i="19"/>
  <c r="AG729" i="19"/>
  <c r="AG730" i="19"/>
  <c r="AG731" i="19"/>
  <c r="AG732" i="19"/>
  <c r="AG733" i="19"/>
  <c r="AG734" i="19"/>
  <c r="AG735" i="19"/>
  <c r="AG736" i="19"/>
  <c r="AG737" i="19"/>
  <c r="AG738" i="19"/>
  <c r="AG739" i="19"/>
  <c r="AG740" i="19"/>
  <c r="AG741" i="19"/>
  <c r="AG742" i="19"/>
  <c r="AG743" i="19"/>
  <c r="AG744" i="19"/>
  <c r="AG745" i="19"/>
  <c r="AG746" i="19"/>
  <c r="AG747" i="19"/>
  <c r="AG748" i="19"/>
  <c r="AG749" i="19"/>
  <c r="AG750" i="19"/>
  <c r="AG751" i="19"/>
  <c r="AG752" i="19"/>
  <c r="AG753" i="19"/>
  <c r="AG754" i="19"/>
  <c r="AG755" i="19"/>
  <c r="AG756" i="19"/>
  <c r="AG757" i="19"/>
  <c r="AG758" i="19"/>
  <c r="AG759" i="19"/>
  <c r="AG760" i="19"/>
  <c r="AG761" i="19"/>
  <c r="AG762" i="19"/>
  <c r="AG763" i="19"/>
  <c r="AG764" i="19"/>
  <c r="AG765" i="19"/>
  <c r="AG766" i="19"/>
  <c r="AG767" i="19"/>
  <c r="AG768" i="19"/>
  <c r="AG769" i="19"/>
  <c r="AG770" i="19"/>
  <c r="AG771" i="19"/>
  <c r="AG772" i="19"/>
  <c r="AG773" i="19"/>
  <c r="AG774" i="19"/>
  <c r="AG775" i="19"/>
  <c r="AG776" i="19"/>
  <c r="AG777" i="19"/>
  <c r="AG778" i="19"/>
  <c r="AG779" i="19"/>
  <c r="AG780" i="19"/>
  <c r="AG781" i="19"/>
  <c r="AG782" i="19"/>
  <c r="AG783" i="19"/>
  <c r="AG784" i="19"/>
  <c r="AG785" i="19"/>
  <c r="AG786" i="19"/>
  <c r="AG787" i="19"/>
  <c r="AG788" i="19"/>
  <c r="AG789" i="19"/>
  <c r="AG790" i="19"/>
  <c r="AG791" i="19"/>
  <c r="AG792" i="19"/>
  <c r="AG793" i="19"/>
  <c r="AG794" i="19"/>
  <c r="AG795" i="19"/>
  <c r="AG796" i="19"/>
  <c r="AG797" i="19"/>
  <c r="AG798" i="19"/>
  <c r="AG799" i="19"/>
  <c r="AG800" i="19"/>
  <c r="B44" i="59"/>
  <c r="C44" i="59" s="1"/>
  <c r="B45" i="59"/>
  <c r="C45" i="59" s="1"/>
  <c r="B36" i="59"/>
  <c r="B37" i="59"/>
  <c r="V37" i="59" s="1"/>
  <c r="W37" i="59" s="1"/>
  <c r="B38" i="59"/>
  <c r="L38" i="59" s="1"/>
  <c r="M38" i="59" s="1"/>
  <c r="B39" i="59"/>
  <c r="V39" i="59" s="1"/>
  <c r="W39" i="59" s="1"/>
  <c r="B40" i="59"/>
  <c r="L40" i="59" s="1"/>
  <c r="M40" i="59" s="1"/>
  <c r="B41" i="59"/>
  <c r="L41" i="59" s="1"/>
  <c r="M41" i="59" s="1"/>
  <c r="B42" i="59"/>
  <c r="L42" i="59" s="1"/>
  <c r="B43" i="59"/>
  <c r="L43" i="59" s="1"/>
  <c r="B2" i="59"/>
  <c r="V2" i="59" s="1"/>
  <c r="B3" i="59"/>
  <c r="V3" i="59" s="1"/>
  <c r="B4" i="59"/>
  <c r="V4" i="59" s="1"/>
  <c r="B5" i="59"/>
  <c r="L5" i="59" s="1"/>
  <c r="B6" i="59"/>
  <c r="L6" i="59" s="1"/>
  <c r="B7" i="59"/>
  <c r="V7" i="59" s="1"/>
  <c r="B8" i="59"/>
  <c r="L8" i="59" s="1"/>
  <c r="B9" i="59"/>
  <c r="V9" i="59" s="1"/>
  <c r="B10" i="59"/>
  <c r="L10" i="59" s="1"/>
  <c r="B11" i="59"/>
  <c r="V11" i="59" s="1"/>
  <c r="B12" i="59"/>
  <c r="L12" i="59" s="1"/>
  <c r="B13" i="59"/>
  <c r="L13" i="59" s="1"/>
  <c r="B14" i="59"/>
  <c r="V14" i="59" s="1"/>
  <c r="B15" i="59"/>
  <c r="V15" i="59" s="1"/>
  <c r="B16" i="59"/>
  <c r="V16" i="59" s="1"/>
  <c r="B17" i="59"/>
  <c r="L17" i="59" s="1"/>
  <c r="B18" i="59"/>
  <c r="L18" i="59" s="1"/>
  <c r="B19" i="59"/>
  <c r="L19" i="59" s="1"/>
  <c r="B20" i="59"/>
  <c r="V20" i="59" s="1"/>
  <c r="B21" i="59"/>
  <c r="V21" i="59" s="1"/>
  <c r="B22" i="59"/>
  <c r="V22" i="59" s="1"/>
  <c r="B23" i="59"/>
  <c r="V23" i="59" s="1"/>
  <c r="B24" i="59"/>
  <c r="L24" i="59" s="1"/>
  <c r="B25" i="59"/>
  <c r="L25" i="59" s="1"/>
  <c r="B26" i="59"/>
  <c r="L26" i="59" s="1"/>
  <c r="B27" i="59"/>
  <c r="V27" i="59" s="1"/>
  <c r="B28" i="59"/>
  <c r="V28" i="59" s="1"/>
  <c r="B29" i="59"/>
  <c r="L29" i="59" s="1"/>
  <c r="B30" i="59"/>
  <c r="L30" i="59" s="1"/>
  <c r="B31" i="59"/>
  <c r="L31" i="59" s="1"/>
  <c r="B32" i="59"/>
  <c r="V32" i="59" s="1"/>
  <c r="B33" i="59"/>
  <c r="L33" i="59" s="1"/>
  <c r="B34" i="59"/>
  <c r="V34" i="59" s="1"/>
  <c r="B35" i="59"/>
  <c r="V35" i="59" s="1"/>
  <c r="S2" i="76" l="1" a="1"/>
  <c r="S2" i="76" s="1"/>
  <c r="T2" i="76" a="1"/>
  <c r="T2" i="76" s="1"/>
  <c r="J13" i="46"/>
  <c r="H13" i="46"/>
  <c r="K13" i="46"/>
  <c r="F13" i="46"/>
  <c r="M13" i="46"/>
  <c r="I13" i="46"/>
  <c r="G13" i="46"/>
  <c r="P16" i="74"/>
  <c r="R4" i="74"/>
  <c r="AB3" i="74"/>
  <c r="AC3" i="74" s="1"/>
  <c r="AH15" i="74"/>
  <c r="P28" i="74"/>
  <c r="R16" i="74"/>
  <c r="V26" i="74"/>
  <c r="AT48" i="74"/>
  <c r="P40" i="74"/>
  <c r="T28" i="74"/>
  <c r="AR24" i="74"/>
  <c r="R40" i="74"/>
  <c r="AT36" i="74"/>
  <c r="T4" i="74"/>
  <c r="V16" i="74"/>
  <c r="AB22" i="27"/>
  <c r="H28" i="46"/>
  <c r="H44" i="46"/>
  <c r="J28" i="46"/>
  <c r="I31" i="46"/>
  <c r="K31" i="46"/>
  <c r="I28" i="46"/>
  <c r="K28" i="46"/>
  <c r="H12" i="46"/>
  <c r="J12" i="46"/>
  <c r="H31" i="46"/>
  <c r="J31" i="46"/>
  <c r="I12" i="46"/>
  <c r="K12" i="46"/>
  <c r="I44" i="46"/>
  <c r="J44" i="46"/>
  <c r="K44" i="46"/>
  <c r="F28" i="46"/>
  <c r="F44" i="46"/>
  <c r="M28" i="46"/>
  <c r="M44" i="46"/>
  <c r="M12" i="46"/>
  <c r="G28" i="46"/>
  <c r="F12" i="46"/>
  <c r="R132" i="75" s="1"/>
  <c r="F31" i="46"/>
  <c r="G44" i="46"/>
  <c r="M31" i="46"/>
  <c r="G12" i="46"/>
  <c r="S132" i="75" s="1"/>
  <c r="G31" i="46"/>
  <c r="F4" i="74"/>
  <c r="J4" i="74"/>
  <c r="AL4" i="74"/>
  <c r="AM4" i="74" s="1"/>
  <c r="AU4" i="74" s="1"/>
  <c r="F6" i="74"/>
  <c r="D6" i="74"/>
  <c r="H6" i="74"/>
  <c r="J6" i="74"/>
  <c r="F24" i="74"/>
  <c r="J24" i="74"/>
  <c r="H24" i="74"/>
  <c r="D24" i="74"/>
  <c r="V42" i="59"/>
  <c r="V43" i="59"/>
  <c r="V50" i="59"/>
  <c r="W50" i="59" s="1"/>
  <c r="V49" i="59"/>
  <c r="W49" i="59" s="1"/>
  <c r="V46" i="59"/>
  <c r="V45" i="59"/>
  <c r="V44" i="59"/>
  <c r="H40" i="74"/>
  <c r="H4" i="74"/>
  <c r="D4" i="74"/>
  <c r="L47" i="59"/>
  <c r="M47" i="59" s="1"/>
  <c r="L48" i="59"/>
  <c r="M48" i="59" s="1"/>
  <c r="L46" i="59"/>
  <c r="L45" i="59"/>
  <c r="L44" i="59"/>
  <c r="L34" i="59"/>
  <c r="V13" i="59"/>
  <c r="L32" i="59"/>
  <c r="V19" i="59"/>
  <c r="V8" i="59"/>
  <c r="V5" i="59"/>
  <c r="L22" i="59"/>
  <c r="L2" i="59"/>
  <c r="C47" i="59"/>
  <c r="L14" i="59"/>
  <c r="V31" i="59"/>
  <c r="C37" i="59"/>
  <c r="C48" i="59"/>
  <c r="V25" i="59"/>
  <c r="L7" i="59"/>
  <c r="L3" i="59"/>
  <c r="V26" i="59"/>
  <c r="L15" i="59"/>
  <c r="L27" i="59"/>
  <c r="V17" i="59"/>
  <c r="V51" i="74"/>
  <c r="AD27" i="74"/>
  <c r="AN38" i="74"/>
  <c r="AN51" i="74"/>
  <c r="T51" i="74"/>
  <c r="R51" i="74"/>
  <c r="AF51" i="74"/>
  <c r="AB51" i="74"/>
  <c r="AT51" i="74"/>
  <c r="AR51" i="74"/>
  <c r="N46" i="74"/>
  <c r="O46" i="74" s="1"/>
  <c r="S46" i="74" s="1"/>
  <c r="N24" i="74"/>
  <c r="O24" i="74" s="1"/>
  <c r="Q24" i="74" s="1"/>
  <c r="N39" i="74"/>
  <c r="O39" i="74" s="1"/>
  <c r="W39" i="74" s="1"/>
  <c r="G3" i="74"/>
  <c r="E3" i="74"/>
  <c r="I3" i="74"/>
  <c r="K3" i="74"/>
  <c r="W3" i="74"/>
  <c r="K25" i="74"/>
  <c r="E25" i="74"/>
  <c r="H43" i="74"/>
  <c r="H11" i="74"/>
  <c r="H39" i="74"/>
  <c r="H42" i="74"/>
  <c r="H45" i="74"/>
  <c r="H20" i="74"/>
  <c r="H38" i="74"/>
  <c r="H41" i="74"/>
  <c r="H7" i="74"/>
  <c r="H8" i="74"/>
  <c r="H35" i="74"/>
  <c r="H50" i="74"/>
  <c r="H51" i="74"/>
  <c r="H14" i="74"/>
  <c r="N51" i="74"/>
  <c r="O51" i="74" s="1"/>
  <c r="U3" i="74"/>
  <c r="H49" i="74"/>
  <c r="H36" i="74"/>
  <c r="H17" i="74"/>
  <c r="H44" i="74"/>
  <c r="Q3" i="74"/>
  <c r="H13" i="74"/>
  <c r="H22" i="74"/>
  <c r="H46" i="74"/>
  <c r="H48" i="74"/>
  <c r="H10" i="74"/>
  <c r="H28" i="74"/>
  <c r="H27" i="74"/>
  <c r="H30" i="74"/>
  <c r="H34" i="74"/>
  <c r="S3" i="74"/>
  <c r="H5" i="74"/>
  <c r="H12" i="74"/>
  <c r="H15" i="74"/>
  <c r="H21" i="74"/>
  <c r="H32" i="74"/>
  <c r="H37" i="74"/>
  <c r="G25" i="74"/>
  <c r="Z51" i="74"/>
  <c r="AA51" i="74" s="1"/>
  <c r="AE51" i="74" s="1"/>
  <c r="H29" i="74"/>
  <c r="H19" i="74"/>
  <c r="I25" i="74"/>
  <c r="AL51" i="74"/>
  <c r="AM51" i="74" s="1"/>
  <c r="H23" i="74"/>
  <c r="AL30" i="74"/>
  <c r="AM30" i="74" s="1"/>
  <c r="AU30" i="74" s="1"/>
  <c r="Z32" i="74"/>
  <c r="AA32" i="74" s="1"/>
  <c r="Z24" i="74"/>
  <c r="AA24" i="74" s="1"/>
  <c r="F7" i="74"/>
  <c r="AL46" i="74"/>
  <c r="AM46" i="74" s="1"/>
  <c r="AQ46" i="74" s="1"/>
  <c r="Z46" i="74"/>
  <c r="AA46" i="74" s="1"/>
  <c r="AC46" i="74" s="1"/>
  <c r="AL32" i="74"/>
  <c r="AM32" i="74" s="1"/>
  <c r="AH51" i="74"/>
  <c r="AH12" i="74"/>
  <c r="AT23" i="74"/>
  <c r="AT11" i="74"/>
  <c r="AD24" i="74"/>
  <c r="P50" i="74"/>
  <c r="AF48" i="74"/>
  <c r="AB12" i="74"/>
  <c r="AT47" i="74"/>
  <c r="AR35" i="74"/>
  <c r="AP23" i="74"/>
  <c r="AP11" i="74"/>
  <c r="AF50" i="74"/>
  <c r="AB48" i="74"/>
  <c r="AR47" i="74"/>
  <c r="AP35" i="74"/>
  <c r="AH36" i="74"/>
  <c r="AP47" i="74"/>
  <c r="AD36" i="74"/>
  <c r="AF36" i="74"/>
  <c r="AH24" i="74"/>
  <c r="AF24" i="74"/>
  <c r="AN15" i="74"/>
  <c r="N30" i="74"/>
  <c r="O30" i="74" s="1"/>
  <c r="Q30" i="74" s="1"/>
  <c r="AB24" i="74"/>
  <c r="V50" i="74"/>
  <c r="T50" i="74"/>
  <c r="N16" i="74"/>
  <c r="O16" i="74" s="1"/>
  <c r="AB50" i="74"/>
  <c r="AD28" i="74"/>
  <c r="AT50" i="74"/>
  <c r="N32" i="74"/>
  <c r="O32" i="74" s="1"/>
  <c r="J7" i="74"/>
  <c r="D7" i="74"/>
  <c r="V18" i="59"/>
  <c r="L9" i="59"/>
  <c r="V10" i="59"/>
  <c r="C42" i="59"/>
  <c r="W47" i="59"/>
  <c r="V6" i="59"/>
  <c r="C50" i="59"/>
  <c r="D8" i="74"/>
  <c r="J15" i="74"/>
  <c r="F15" i="74"/>
  <c r="N15" i="74"/>
  <c r="O15" i="74" s="1"/>
  <c r="W15" i="74" s="1"/>
  <c r="N20" i="74"/>
  <c r="O20" i="74" s="1"/>
  <c r="W20" i="74" s="1"/>
  <c r="N23" i="74"/>
  <c r="O23" i="74" s="1"/>
  <c r="W23" i="74" s="1"/>
  <c r="D15" i="74"/>
  <c r="F8" i="74"/>
  <c r="N42" i="74"/>
  <c r="O42" i="74" s="1"/>
  <c r="U42" i="74" s="1"/>
  <c r="J8" i="74"/>
  <c r="AL42" i="74"/>
  <c r="AM42" i="74" s="1"/>
  <c r="AO42" i="74" s="1"/>
  <c r="Z8" i="74"/>
  <c r="AA8" i="74" s="1"/>
  <c r="AG8" i="74" s="1"/>
  <c r="AL8" i="74"/>
  <c r="AM8" i="74" s="1"/>
  <c r="AU8" i="74" s="1"/>
  <c r="AL7" i="74"/>
  <c r="AM7" i="74" s="1"/>
  <c r="AS7" i="74" s="1"/>
  <c r="F50" i="74"/>
  <c r="F23" i="74"/>
  <c r="D23" i="74"/>
  <c r="J23" i="74"/>
  <c r="AL23" i="74"/>
  <c r="AM23" i="74" s="1"/>
  <c r="AS23" i="74" s="1"/>
  <c r="Z23" i="74"/>
  <c r="AA23" i="74" s="1"/>
  <c r="AE23" i="74" s="1"/>
  <c r="AL20" i="74"/>
  <c r="AM20" i="74" s="1"/>
  <c r="AU20" i="74" s="1"/>
  <c r="D33" i="74"/>
  <c r="F33" i="74"/>
  <c r="J33" i="74"/>
  <c r="N11" i="74"/>
  <c r="O11" i="74" s="1"/>
  <c r="Q11" i="74" s="1"/>
  <c r="AL41" i="74"/>
  <c r="AM41" i="74" s="1"/>
  <c r="AS41" i="74" s="1"/>
  <c r="D27" i="74"/>
  <c r="D5" i="74"/>
  <c r="N8" i="74"/>
  <c r="O8" i="74" s="1"/>
  <c r="W8" i="74" s="1"/>
  <c r="Z10" i="74"/>
  <c r="AA10" i="74" s="1"/>
  <c r="AG10" i="74" s="1"/>
  <c r="J5" i="74"/>
  <c r="F5" i="74"/>
  <c r="AL5" i="74"/>
  <c r="AM5" i="74" s="1"/>
  <c r="AU5" i="74" s="1"/>
  <c r="F51" i="74"/>
  <c r="N50" i="74"/>
  <c r="O50" i="74" s="1"/>
  <c r="S50" i="74" s="1"/>
  <c r="AL50" i="74"/>
  <c r="AM50" i="74" s="1"/>
  <c r="AO50" i="74" s="1"/>
  <c r="D20" i="74"/>
  <c r="D40" i="74"/>
  <c r="Z45" i="74"/>
  <c r="AA45" i="74" s="1"/>
  <c r="AE45" i="74" s="1"/>
  <c r="AL21" i="74"/>
  <c r="AM21" i="74" s="1"/>
  <c r="AU21" i="74" s="1"/>
  <c r="Z20" i="74"/>
  <c r="AA20" i="74" s="1"/>
  <c r="AG20" i="74" s="1"/>
  <c r="Z26" i="74"/>
  <c r="AA26" i="74" s="1"/>
  <c r="AG26" i="74" s="1"/>
  <c r="F27" i="74"/>
  <c r="J27" i="74"/>
  <c r="N26" i="74"/>
  <c r="O26" i="74" s="1"/>
  <c r="Q26" i="74" s="1"/>
  <c r="J20" i="74"/>
  <c r="F20" i="74"/>
  <c r="D29" i="74"/>
  <c r="F14" i="74"/>
  <c r="N31" i="74"/>
  <c r="O31" i="74" s="1"/>
  <c r="Q31" i="74" s="1"/>
  <c r="AL31" i="74"/>
  <c r="AM31" i="74" s="1"/>
  <c r="AQ31" i="74" s="1"/>
  <c r="D11" i="74"/>
  <c r="D37" i="74"/>
  <c r="J14" i="74"/>
  <c r="F40" i="74"/>
  <c r="J40" i="74"/>
  <c r="F29" i="74"/>
  <c r="AL28" i="74"/>
  <c r="AM28" i="74" s="1"/>
  <c r="AQ28" i="74" s="1"/>
  <c r="J29" i="74"/>
  <c r="Z28" i="74"/>
  <c r="AA28" i="74" s="1"/>
  <c r="AC28" i="74" s="1"/>
  <c r="Z30" i="74"/>
  <c r="AA30" i="74" s="1"/>
  <c r="AC30" i="74" s="1"/>
  <c r="AL38" i="74"/>
  <c r="AM38" i="74" s="1"/>
  <c r="Z15" i="74"/>
  <c r="AA15" i="74" s="1"/>
  <c r="D19" i="74"/>
  <c r="F41" i="74"/>
  <c r="J45" i="74"/>
  <c r="AM16" i="74"/>
  <c r="AQ16" i="74" s="1"/>
  <c r="J49" i="74"/>
  <c r="J12" i="74"/>
  <c r="J21" i="74"/>
  <c r="F11" i="74"/>
  <c r="J11" i="74"/>
  <c r="J19" i="74"/>
  <c r="O9" i="74"/>
  <c r="U9" i="74" s="1"/>
  <c r="N47" i="74"/>
  <c r="O47" i="74" s="1"/>
  <c r="Q47" i="74" s="1"/>
  <c r="Z27" i="74"/>
  <c r="AA27" i="74" s="1"/>
  <c r="AC27" i="74" s="1"/>
  <c r="N27" i="74"/>
  <c r="O27" i="74" s="1"/>
  <c r="U27" i="74" s="1"/>
  <c r="AL11" i="74"/>
  <c r="AM11" i="74" s="1"/>
  <c r="AS11" i="74" s="1"/>
  <c r="Z11" i="74"/>
  <c r="AA11" i="74" s="1"/>
  <c r="AI11" i="74" s="1"/>
  <c r="AL47" i="74"/>
  <c r="AM47" i="74" s="1"/>
  <c r="AO47" i="74" s="1"/>
  <c r="N35" i="74"/>
  <c r="O35" i="74" s="1"/>
  <c r="U35" i="74" s="1"/>
  <c r="AL35" i="74"/>
  <c r="AM35" i="74" s="1"/>
  <c r="AU35" i="74" s="1"/>
  <c r="AM9" i="74"/>
  <c r="AS9" i="74" s="1"/>
  <c r="N19" i="74"/>
  <c r="O19" i="74" s="1"/>
  <c r="U19" i="74" s="1"/>
  <c r="AL19" i="74"/>
  <c r="AM19" i="74" s="1"/>
  <c r="AQ19" i="74" s="1"/>
  <c r="Z38" i="74"/>
  <c r="AA38" i="74" s="1"/>
  <c r="AG38" i="74" s="1"/>
  <c r="N38" i="74"/>
  <c r="O38" i="74" s="1"/>
  <c r="W38" i="74" s="1"/>
  <c r="N44" i="74"/>
  <c r="O44" i="74" s="1"/>
  <c r="Q44" i="74" s="1"/>
  <c r="Z47" i="74"/>
  <c r="AA47" i="74" s="1"/>
  <c r="AI47" i="74" s="1"/>
  <c r="AL44" i="74"/>
  <c r="AM44" i="74" s="1"/>
  <c r="AO44" i="74" s="1"/>
  <c r="D12" i="74"/>
  <c r="D21" i="74"/>
  <c r="Z33" i="74"/>
  <c r="AA33" i="74" s="1"/>
  <c r="AC33" i="74" s="1"/>
  <c r="N14" i="74"/>
  <c r="O14" i="74" s="1"/>
  <c r="Q14" i="74" s="1"/>
  <c r="AL40" i="74"/>
  <c r="AM40" i="74" s="1"/>
  <c r="AU40" i="74" s="1"/>
  <c r="N43" i="74"/>
  <c r="O43" i="74" s="1"/>
  <c r="S43" i="74" s="1"/>
  <c r="AL43" i="74"/>
  <c r="AM43" i="74" s="1"/>
  <c r="AO43" i="74" s="1"/>
  <c r="Z44" i="74"/>
  <c r="AA44" i="74" s="1"/>
  <c r="AI44" i="74" s="1"/>
  <c r="D45" i="74"/>
  <c r="F12" i="74"/>
  <c r="F21" i="74"/>
  <c r="N33" i="74"/>
  <c r="O33" i="74" s="1"/>
  <c r="W33" i="74" s="1"/>
  <c r="AL29" i="74"/>
  <c r="AM29" i="74" s="1"/>
  <c r="AO29" i="74" s="1"/>
  <c r="AL33" i="74"/>
  <c r="AM33" i="74" s="1"/>
  <c r="AU33" i="74" s="1"/>
  <c r="D30" i="74"/>
  <c r="J41" i="74"/>
  <c r="F19" i="74"/>
  <c r="F37" i="74"/>
  <c r="J37" i="74"/>
  <c r="D48" i="74"/>
  <c r="D14" i="74"/>
  <c r="Z48" i="74"/>
  <c r="AA48" i="74" s="1"/>
  <c r="AL17" i="74"/>
  <c r="AM17" i="74" s="1"/>
  <c r="AU17" i="74" s="1"/>
  <c r="F44" i="74"/>
  <c r="F45" i="74"/>
  <c r="J44" i="74"/>
  <c r="D50" i="74"/>
  <c r="D22" i="74"/>
  <c r="N34" i="74"/>
  <c r="O34" i="74" s="1"/>
  <c r="W34" i="74" s="1"/>
  <c r="Z43" i="74"/>
  <c r="AA43" i="74" s="1"/>
  <c r="AI43" i="74" s="1"/>
  <c r="Z31" i="74"/>
  <c r="AA31" i="74" s="1"/>
  <c r="AI31" i="74" s="1"/>
  <c r="Z19" i="74"/>
  <c r="AA19" i="74" s="1"/>
  <c r="AI19" i="74" s="1"/>
  <c r="Z7" i="74"/>
  <c r="AA7" i="74" s="1"/>
  <c r="AI7" i="74" s="1"/>
  <c r="F22" i="74"/>
  <c r="Z34" i="74"/>
  <c r="AA34" i="74" s="1"/>
  <c r="AC34" i="74" s="1"/>
  <c r="N7" i="74"/>
  <c r="O7" i="74" s="1"/>
  <c r="W7" i="74" s="1"/>
  <c r="Z42" i="74"/>
  <c r="AA42" i="74" s="1"/>
  <c r="AC42" i="74" s="1"/>
  <c r="Z6" i="74"/>
  <c r="AA6" i="74" s="1"/>
  <c r="AG6" i="74" s="1"/>
  <c r="J10" i="74"/>
  <c r="D49" i="74"/>
  <c r="D10" i="74"/>
  <c r="Z41" i="74"/>
  <c r="AA41" i="74" s="1"/>
  <c r="AC41" i="74" s="1"/>
  <c r="Z29" i="74"/>
  <c r="AA29" i="74" s="1"/>
  <c r="AC29" i="74" s="1"/>
  <c r="Z17" i="74"/>
  <c r="AA17" i="74" s="1"/>
  <c r="AE17" i="74" s="1"/>
  <c r="Z5" i="74"/>
  <c r="AA5" i="74" s="1"/>
  <c r="AG5" i="74" s="1"/>
  <c r="D36" i="74"/>
  <c r="D38" i="74"/>
  <c r="J17" i="74"/>
  <c r="F17" i="74"/>
  <c r="AL45" i="74"/>
  <c r="AM45" i="74" s="1"/>
  <c r="AU45" i="74" s="1"/>
  <c r="AL6" i="74"/>
  <c r="AM6" i="74" s="1"/>
  <c r="AS6" i="74" s="1"/>
  <c r="N5" i="74"/>
  <c r="O5" i="74" s="1"/>
  <c r="AL27" i="74"/>
  <c r="AM27" i="74" s="1"/>
  <c r="AU27" i="74" s="1"/>
  <c r="AL26" i="74"/>
  <c r="AM26" i="74" s="1"/>
  <c r="AL14" i="74"/>
  <c r="AM14" i="74" s="1"/>
  <c r="AU14" i="74" s="1"/>
  <c r="J51" i="74"/>
  <c r="D44" i="74"/>
  <c r="D17" i="74"/>
  <c r="N10" i="74"/>
  <c r="O10" i="74" s="1"/>
  <c r="S10" i="74" s="1"/>
  <c r="Z14" i="74"/>
  <c r="AA14" i="74" s="1"/>
  <c r="AE14" i="74" s="1"/>
  <c r="Z50" i="74"/>
  <c r="AA50" i="74" s="1"/>
  <c r="AE50" i="74" s="1"/>
  <c r="D41" i="74"/>
  <c r="F30" i="74"/>
  <c r="J30" i="74"/>
  <c r="F10" i="74"/>
  <c r="N45" i="74"/>
  <c r="O45" i="74" s="1"/>
  <c r="W45" i="74" s="1"/>
  <c r="AL48" i="74"/>
  <c r="AM48" i="74" s="1"/>
  <c r="AL36" i="74"/>
  <c r="AM36" i="74" s="1"/>
  <c r="AL12" i="74"/>
  <c r="AM12" i="74" s="1"/>
  <c r="AQ12" i="74" s="1"/>
  <c r="N6" i="74"/>
  <c r="O6" i="74" s="1"/>
  <c r="U6" i="74" s="1"/>
  <c r="Z36" i="74"/>
  <c r="AA36" i="74" s="1"/>
  <c r="AC36" i="74" s="1"/>
  <c r="Z12" i="74"/>
  <c r="AA12" i="74" s="1"/>
  <c r="AE12" i="74" s="1"/>
  <c r="D51" i="74"/>
  <c r="F48" i="74"/>
  <c r="F49" i="74"/>
  <c r="J48" i="74"/>
  <c r="N22" i="74"/>
  <c r="O22" i="74" s="1"/>
  <c r="U22" i="74" s="1"/>
  <c r="Z22" i="74"/>
  <c r="AA22" i="74" s="1"/>
  <c r="AE22" i="74" s="1"/>
  <c r="N48" i="74"/>
  <c r="O48" i="74" s="1"/>
  <c r="N36" i="74"/>
  <c r="O36" i="74" s="1"/>
  <c r="Q36" i="74" s="1"/>
  <c r="N12" i="74"/>
  <c r="O12" i="74" s="1"/>
  <c r="Q12" i="74" s="1"/>
  <c r="Z35" i="74"/>
  <c r="AA35" i="74" s="1"/>
  <c r="AI35" i="74" s="1"/>
  <c r="AL34" i="74"/>
  <c r="AM34" i="74" s="1"/>
  <c r="AQ34" i="74" s="1"/>
  <c r="AL22" i="74"/>
  <c r="AM22" i="74" s="1"/>
  <c r="AQ22" i="74" s="1"/>
  <c r="AL10" i="74"/>
  <c r="AM10" i="74" s="1"/>
  <c r="AU10" i="74" s="1"/>
  <c r="F36" i="74"/>
  <c r="F38" i="74"/>
  <c r="J36" i="74"/>
  <c r="J38" i="74"/>
  <c r="J50" i="74"/>
  <c r="J22" i="74"/>
  <c r="N21" i="74"/>
  <c r="O21" i="74" s="1"/>
  <c r="W21" i="74" s="1"/>
  <c r="Z21" i="74"/>
  <c r="AA21" i="74" s="1"/>
  <c r="AG21" i="74" s="1"/>
  <c r="AR50" i="74"/>
  <c r="AP50" i="74"/>
  <c r="AH50" i="74"/>
  <c r="N17" i="74"/>
  <c r="O17" i="74" s="1"/>
  <c r="S17" i="74" s="1"/>
  <c r="R41" i="74"/>
  <c r="R28" i="74"/>
  <c r="T5" i="74"/>
  <c r="AF16" i="74"/>
  <c r="AP38" i="74"/>
  <c r="AP15" i="74"/>
  <c r="AD16" i="74"/>
  <c r="AD3" i="74"/>
  <c r="AE3" i="74" s="1"/>
  <c r="N4" i="74"/>
  <c r="O4" i="74" s="1"/>
  <c r="AL39" i="74"/>
  <c r="AM39" i="74" s="1"/>
  <c r="AO39" i="74" s="1"/>
  <c r="P5" i="74"/>
  <c r="AH28" i="74"/>
  <c r="AR27" i="74"/>
  <c r="AD40" i="74"/>
  <c r="P17" i="74"/>
  <c r="V5" i="74"/>
  <c r="AF3" i="74"/>
  <c r="AG3" i="74" s="1"/>
  <c r="AF28" i="74"/>
  <c r="AF15" i="74"/>
  <c r="AP27" i="74"/>
  <c r="AR14" i="74"/>
  <c r="AD39" i="74"/>
  <c r="N29" i="74"/>
  <c r="O29" i="74" s="1"/>
  <c r="S29" i="74" s="1"/>
  <c r="Z4" i="74"/>
  <c r="AA4" i="74" s="1"/>
  <c r="AE4" i="74" s="1"/>
  <c r="AL3" i="74"/>
  <c r="AM3" i="74" s="1"/>
  <c r="AU3" i="74" s="1"/>
  <c r="P29" i="74"/>
  <c r="T29" i="74"/>
  <c r="AH3" i="74"/>
  <c r="AI3" i="74" s="1"/>
  <c r="AB15" i="74"/>
  <c r="AN3" i="74"/>
  <c r="AN27" i="74"/>
  <c r="AP14" i="74"/>
  <c r="N28" i="74"/>
  <c r="O28" i="74" s="1"/>
  <c r="AA9" i="74"/>
  <c r="AG9" i="74" s="1"/>
  <c r="P41" i="74"/>
  <c r="V17" i="74"/>
  <c r="AH40" i="74"/>
  <c r="AH27" i="74"/>
  <c r="AP3" i="74"/>
  <c r="AT26" i="74"/>
  <c r="AN14" i="74"/>
  <c r="N41" i="74"/>
  <c r="O41" i="74" s="1"/>
  <c r="W41" i="74" s="1"/>
  <c r="T41" i="74"/>
  <c r="AF40" i="74"/>
  <c r="AF27" i="74"/>
  <c r="AR3" i="74"/>
  <c r="AT39" i="74"/>
  <c r="AR26" i="74"/>
  <c r="N40" i="74"/>
  <c r="O40" i="74" s="1"/>
  <c r="Z40" i="74"/>
  <c r="AA40" i="74" s="1"/>
  <c r="AC40" i="74" s="1"/>
  <c r="AL15" i="74"/>
  <c r="AM15" i="74" s="1"/>
  <c r="AS15" i="74" s="1"/>
  <c r="T40" i="74"/>
  <c r="V29" i="74"/>
  <c r="AR39" i="74"/>
  <c r="AP26" i="74"/>
  <c r="Z39" i="74"/>
  <c r="AA39" i="74" s="1"/>
  <c r="AC39" i="74" s="1"/>
  <c r="AH39" i="74"/>
  <c r="AH4" i="74"/>
  <c r="AP39" i="74"/>
  <c r="AN26" i="74"/>
  <c r="Z16" i="74"/>
  <c r="AA16" i="74" s="1"/>
  <c r="AI16" i="74" s="1"/>
  <c r="R5" i="74"/>
  <c r="AF39" i="74"/>
  <c r="AF4" i="74"/>
  <c r="T17" i="74"/>
  <c r="AB4" i="74"/>
  <c r="AT38" i="74"/>
  <c r="AT15" i="74"/>
  <c r="AN49" i="74"/>
  <c r="AN37" i="74"/>
  <c r="AT12" i="74"/>
  <c r="AR25" i="74"/>
  <c r="AP48" i="74"/>
  <c r="AP36" i="74"/>
  <c r="AP25" i="74"/>
  <c r="AN12" i="74"/>
  <c r="AL49" i="74"/>
  <c r="AM49" i="74" s="1"/>
  <c r="AQ49" i="74" s="1"/>
  <c r="AL37" i="74"/>
  <c r="AM37" i="74" s="1"/>
  <c r="AQ37" i="74" s="1"/>
  <c r="AL25" i="74"/>
  <c r="AM25" i="74" s="1"/>
  <c r="AO25" i="74" s="1"/>
  <c r="AL13" i="74"/>
  <c r="AM13" i="74" s="1"/>
  <c r="AO13" i="74" s="1"/>
  <c r="AN48" i="74"/>
  <c r="AN36" i="74"/>
  <c r="AL24" i="74"/>
  <c r="AM24" i="74" s="1"/>
  <c r="AT24" i="74"/>
  <c r="AP24" i="74"/>
  <c r="AT13" i="74"/>
  <c r="AT49" i="74"/>
  <c r="AT37" i="74"/>
  <c r="AR13" i="74"/>
  <c r="AR49" i="74"/>
  <c r="AR37" i="74"/>
  <c r="AP13" i="74"/>
  <c r="AB49" i="74"/>
  <c r="AB37" i="74"/>
  <c r="AB25" i="74"/>
  <c r="AB13" i="74"/>
  <c r="Z49" i="74"/>
  <c r="AA49" i="74" s="1"/>
  <c r="AG49" i="74" s="1"/>
  <c r="Z37" i="74"/>
  <c r="AA37" i="74" s="1"/>
  <c r="AG37" i="74" s="1"/>
  <c r="Z25" i="74"/>
  <c r="AA25" i="74" s="1"/>
  <c r="AG25" i="74" s="1"/>
  <c r="Z13" i="74"/>
  <c r="AA13" i="74" s="1"/>
  <c r="AG13" i="74" s="1"/>
  <c r="AD49" i="74"/>
  <c r="AD37" i="74"/>
  <c r="AD25" i="74"/>
  <c r="AD13" i="74"/>
  <c r="AH49" i="74"/>
  <c r="AH37" i="74"/>
  <c r="AH25" i="74"/>
  <c r="AH13" i="74"/>
  <c r="V49" i="74"/>
  <c r="V37" i="74"/>
  <c r="V25" i="74"/>
  <c r="V13" i="74"/>
  <c r="T49" i="74"/>
  <c r="T37" i="74"/>
  <c r="T25" i="74"/>
  <c r="T13" i="74"/>
  <c r="V48" i="74"/>
  <c r="V36" i="74"/>
  <c r="V24" i="74"/>
  <c r="V12" i="74"/>
  <c r="N49" i="74"/>
  <c r="O49" i="74" s="1"/>
  <c r="Q49" i="74" s="1"/>
  <c r="N37" i="74"/>
  <c r="O37" i="74" s="1"/>
  <c r="Q37" i="74" s="1"/>
  <c r="N25" i="74"/>
  <c r="O25" i="74" s="1"/>
  <c r="Q25" i="74" s="1"/>
  <c r="N13" i="74"/>
  <c r="O13" i="74" s="1"/>
  <c r="Q13" i="74" s="1"/>
  <c r="R49" i="74"/>
  <c r="R37" i="74"/>
  <c r="R25" i="74"/>
  <c r="R13" i="74"/>
  <c r="T48" i="74"/>
  <c r="T36" i="74"/>
  <c r="T24" i="74"/>
  <c r="T12" i="74"/>
  <c r="F18" i="74"/>
  <c r="F34" i="74"/>
  <c r="D47" i="74"/>
  <c r="M43" i="59"/>
  <c r="M42" i="59"/>
  <c r="V33" i="59"/>
  <c r="L11" i="59"/>
  <c r="V30" i="59"/>
  <c r="C43" i="59"/>
  <c r="L39" i="59"/>
  <c r="M39" i="59" s="1"/>
  <c r="W48" i="59"/>
  <c r="L23" i="59"/>
  <c r="C41" i="59"/>
  <c r="L37" i="59"/>
  <c r="M37" i="59" s="1"/>
  <c r="C40" i="59"/>
  <c r="L36" i="59"/>
  <c r="L21" i="59"/>
  <c r="L4" i="59"/>
  <c r="C39" i="59"/>
  <c r="V41" i="59"/>
  <c r="W41" i="59" s="1"/>
  <c r="L35" i="59"/>
  <c r="L20" i="59"/>
  <c r="C38" i="59"/>
  <c r="M49" i="59"/>
  <c r="V40" i="59"/>
  <c r="W40" i="59" s="1"/>
  <c r="L16" i="59"/>
  <c r="C36" i="59"/>
  <c r="C49" i="59"/>
  <c r="V38" i="59"/>
  <c r="V36" i="59"/>
  <c r="L28" i="59"/>
  <c r="AA18" i="74"/>
  <c r="AI18" i="74" s="1"/>
  <c r="J18" i="74"/>
  <c r="D18" i="74"/>
  <c r="O18" i="74"/>
  <c r="W18" i="74" s="1"/>
  <c r="AM18" i="74"/>
  <c r="AU18" i="74" s="1"/>
  <c r="J34" i="74"/>
  <c r="D34" i="74"/>
  <c r="J47" i="74"/>
  <c r="F47" i="74"/>
  <c r="J28" i="74"/>
  <c r="F28" i="74"/>
  <c r="D28" i="74"/>
  <c r="J43" i="74"/>
  <c r="D43" i="74"/>
  <c r="F13" i="74"/>
  <c r="J13" i="74"/>
  <c r="D39" i="74"/>
  <c r="D35" i="74"/>
  <c r="F42" i="74"/>
  <c r="F46" i="74"/>
  <c r="D46" i="74"/>
  <c r="D42" i="74"/>
  <c r="D13" i="74"/>
  <c r="J46" i="74"/>
  <c r="J35" i="74"/>
  <c r="F35" i="74"/>
  <c r="F43" i="74"/>
  <c r="J39" i="74"/>
  <c r="F39" i="74"/>
  <c r="J42" i="74"/>
  <c r="D32" i="74"/>
  <c r="F32" i="74"/>
  <c r="J32" i="74"/>
  <c r="V29" i="59"/>
  <c r="V24" i="59"/>
  <c r="V12" i="59"/>
  <c r="E61" i="3"/>
  <c r="N61" i="3" s="1"/>
  <c r="F61" i="3"/>
  <c r="U61" i="3"/>
  <c r="E62" i="3"/>
  <c r="N62" i="3" s="1"/>
  <c r="F62" i="3"/>
  <c r="U62" i="3"/>
  <c r="E63" i="3"/>
  <c r="N63" i="3" s="1"/>
  <c r="F63" i="3"/>
  <c r="U63" i="3"/>
  <c r="E64" i="3"/>
  <c r="N64" i="3" s="1"/>
  <c r="F64" i="3"/>
  <c r="U64" i="3"/>
  <c r="E65" i="3"/>
  <c r="N65" i="3" s="1"/>
  <c r="F65" i="3"/>
  <c r="U65" i="3"/>
  <c r="E66" i="3"/>
  <c r="N66" i="3" s="1"/>
  <c r="F66" i="3"/>
  <c r="U66" i="3"/>
  <c r="E67" i="3"/>
  <c r="N67" i="3" s="1"/>
  <c r="F67" i="3"/>
  <c r="U67" i="3"/>
  <c r="E68" i="3"/>
  <c r="N68" i="3" s="1"/>
  <c r="F68" i="3"/>
  <c r="U68" i="3"/>
  <c r="E69" i="3"/>
  <c r="N69" i="3" s="1"/>
  <c r="F69" i="3"/>
  <c r="L69" i="3"/>
  <c r="U69" i="3"/>
  <c r="E70" i="3"/>
  <c r="N70" i="3" s="1"/>
  <c r="F70" i="3"/>
  <c r="U70" i="3"/>
  <c r="E71" i="3"/>
  <c r="N71" i="3" s="1"/>
  <c r="F71" i="3"/>
  <c r="U71" i="3"/>
  <c r="E72" i="3"/>
  <c r="N72" i="3" s="1"/>
  <c r="F72" i="3"/>
  <c r="U72" i="3"/>
  <c r="E109" i="3"/>
  <c r="N109" i="3" s="1"/>
  <c r="E110" i="3"/>
  <c r="N110" i="3" s="1"/>
  <c r="E111" i="3"/>
  <c r="N111" i="3" s="1"/>
  <c r="E112" i="3"/>
  <c r="N112" i="3" s="1"/>
  <c r="F109" i="3"/>
  <c r="F110" i="3"/>
  <c r="F111" i="3"/>
  <c r="F112" i="3"/>
  <c r="U109" i="3"/>
  <c r="U110" i="3"/>
  <c r="U111" i="3"/>
  <c r="U112" i="3"/>
  <c r="E108" i="3"/>
  <c r="N108" i="3" s="1"/>
  <c r="F108" i="3"/>
  <c r="U108" i="3"/>
  <c r="E73" i="3"/>
  <c r="N73" i="3" s="1"/>
  <c r="F73" i="3"/>
  <c r="U73" i="3"/>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5" i="3"/>
  <c r="U106" i="3"/>
  <c r="U107" i="3"/>
  <c r="V27" i="3"/>
  <c r="V28" i="3"/>
  <c r="V29" i="3"/>
  <c r="V30" i="3"/>
  <c r="V31" i="3"/>
  <c r="V32" i="3"/>
  <c r="V33" i="3"/>
  <c r="E107" i="3"/>
  <c r="N107" i="3" s="1"/>
  <c r="F107" i="3"/>
  <c r="E106" i="3"/>
  <c r="N106" i="3" s="1"/>
  <c r="F106" i="3"/>
  <c r="E74" i="3"/>
  <c r="N74" i="3" s="1"/>
  <c r="F74" i="3"/>
  <c r="E75" i="3"/>
  <c r="N75" i="3" s="1"/>
  <c r="F75" i="3"/>
  <c r="E86" i="3"/>
  <c r="N86" i="3" s="1"/>
  <c r="E87" i="3"/>
  <c r="N87" i="3" s="1"/>
  <c r="E88" i="3"/>
  <c r="N88" i="3" s="1"/>
  <c r="E89" i="3"/>
  <c r="N89" i="3" s="1"/>
  <c r="E90" i="3"/>
  <c r="N90" i="3" s="1"/>
  <c r="E91" i="3"/>
  <c r="N91" i="3" s="1"/>
  <c r="E92" i="3"/>
  <c r="N92" i="3" s="1"/>
  <c r="E93" i="3"/>
  <c r="N93" i="3" s="1"/>
  <c r="E94" i="3"/>
  <c r="N94" i="3" s="1"/>
  <c r="E95" i="3"/>
  <c r="N95" i="3" s="1"/>
  <c r="E96" i="3"/>
  <c r="N96" i="3" s="1"/>
  <c r="E97" i="3"/>
  <c r="N97" i="3" s="1"/>
  <c r="E98" i="3"/>
  <c r="N98" i="3" s="1"/>
  <c r="E99" i="3"/>
  <c r="N99" i="3" s="1"/>
  <c r="E100" i="3"/>
  <c r="N100" i="3" s="1"/>
  <c r="E101" i="3"/>
  <c r="N101" i="3" s="1"/>
  <c r="E102" i="3"/>
  <c r="N102" i="3" s="1"/>
  <c r="E103" i="3"/>
  <c r="N103" i="3" s="1"/>
  <c r="E104" i="3"/>
  <c r="N104" i="3" s="1"/>
  <c r="E105" i="3"/>
  <c r="N105" i="3" s="1"/>
  <c r="F86" i="3"/>
  <c r="F87" i="3"/>
  <c r="F88" i="3"/>
  <c r="F89" i="3"/>
  <c r="F90" i="3"/>
  <c r="F91" i="3"/>
  <c r="F92" i="3"/>
  <c r="F93" i="3"/>
  <c r="F94" i="3"/>
  <c r="F95" i="3"/>
  <c r="F96" i="3"/>
  <c r="F97" i="3"/>
  <c r="F98" i="3"/>
  <c r="F99" i="3"/>
  <c r="F100" i="3"/>
  <c r="F101" i="3"/>
  <c r="F102" i="3"/>
  <c r="F103" i="3"/>
  <c r="F104" i="3"/>
  <c r="F105" i="3"/>
  <c r="E85" i="3"/>
  <c r="N85" i="3" s="1"/>
  <c r="F85" i="3"/>
  <c r="E84" i="3"/>
  <c r="N84" i="3" s="1"/>
  <c r="F84" i="3"/>
  <c r="AU36" i="74" l="1"/>
  <c r="L13" i="46"/>
  <c r="U4" i="74"/>
  <c r="Q16" i="74"/>
  <c r="Q28" i="74"/>
  <c r="AI15" i="74"/>
  <c r="S40" i="74"/>
  <c r="AS24" i="74"/>
  <c r="AO32" i="74"/>
  <c r="T7" i="49"/>
  <c r="W32" i="74"/>
  <c r="T5" i="49"/>
  <c r="AE32" i="74"/>
  <c r="T6" i="49"/>
  <c r="L28" i="46"/>
  <c r="L12" i="46"/>
  <c r="L31" i="46"/>
  <c r="L44" i="46"/>
  <c r="S48" i="74"/>
  <c r="AS48" i="74"/>
  <c r="AI48" i="74"/>
  <c r="AO4" i="74"/>
  <c r="AS4" i="74"/>
  <c r="AQ4" i="74"/>
  <c r="AO38" i="74"/>
  <c r="W42" i="59"/>
  <c r="W43" i="59"/>
  <c r="W44" i="59"/>
  <c r="M44" i="59"/>
  <c r="M45" i="59"/>
  <c r="M46" i="59"/>
  <c r="W51" i="74"/>
  <c r="AS51" i="74"/>
  <c r="U24" i="74"/>
  <c r="W24" i="74"/>
  <c r="AQ50" i="74"/>
  <c r="AG28" i="74"/>
  <c r="W17" i="74"/>
  <c r="AG15" i="74"/>
  <c r="U5" i="74"/>
  <c r="AI28" i="74"/>
  <c r="AS50" i="74"/>
  <c r="AO27" i="74"/>
  <c r="S24" i="74"/>
  <c r="AS27" i="74"/>
  <c r="AQ13" i="74"/>
  <c r="AQ38" i="74"/>
  <c r="W5" i="74"/>
  <c r="S5" i="74"/>
  <c r="Q5" i="74"/>
  <c r="U48" i="74"/>
  <c r="W48" i="74"/>
  <c r="AO48" i="74"/>
  <c r="AG27" i="74"/>
  <c r="AO14" i="74"/>
  <c r="AC15" i="74"/>
  <c r="AQ36" i="74"/>
  <c r="AI27" i="74"/>
  <c r="AQ48" i="74"/>
  <c r="U36" i="74"/>
  <c r="W36" i="74"/>
  <c r="AO36" i="74"/>
  <c r="AU38" i="74"/>
  <c r="AQ26" i="74"/>
  <c r="AU26" i="74"/>
  <c r="AO26" i="74"/>
  <c r="AS26" i="74"/>
  <c r="AQ39" i="74"/>
  <c r="AS39" i="74"/>
  <c r="W12" i="74"/>
  <c r="AU12" i="74"/>
  <c r="U12" i="74"/>
  <c r="AO12" i="74"/>
  <c r="AS13" i="74"/>
  <c r="AG39" i="74"/>
  <c r="Q51" i="74"/>
  <c r="W29" i="74"/>
  <c r="AG24" i="74"/>
  <c r="AU39" i="74"/>
  <c r="S51" i="74"/>
  <c r="AC24" i="74"/>
  <c r="AI51" i="74"/>
  <c r="U51" i="74"/>
  <c r="AC51" i="74"/>
  <c r="AG51" i="74"/>
  <c r="S37" i="74"/>
  <c r="U37" i="74"/>
  <c r="AE37" i="74"/>
  <c r="AS49" i="74"/>
  <c r="S9" i="74"/>
  <c r="AI24" i="74"/>
  <c r="W9" i="74"/>
  <c r="AU13" i="74"/>
  <c r="Q29" i="74"/>
  <c r="AU31" i="74"/>
  <c r="Q32" i="74"/>
  <c r="AG11" i="74"/>
  <c r="AI13" i="74"/>
  <c r="AC13" i="74"/>
  <c r="AU24" i="74"/>
  <c r="AS25" i="74"/>
  <c r="AE28" i="74"/>
  <c r="Q50" i="74"/>
  <c r="AU51" i="74"/>
  <c r="AE46" i="74"/>
  <c r="AO51" i="74"/>
  <c r="AE21" i="74"/>
  <c r="AI10" i="74"/>
  <c r="AS17" i="74"/>
  <c r="AS3" i="74"/>
  <c r="AE39" i="74"/>
  <c r="AI5" i="74"/>
  <c r="S21" i="74"/>
  <c r="AI30" i="74"/>
  <c r="AI49" i="74"/>
  <c r="AC49" i="74"/>
  <c r="AI39" i="74"/>
  <c r="AQ44" i="74"/>
  <c r="U32" i="74"/>
  <c r="Q22" i="74"/>
  <c r="W42" i="74"/>
  <c r="AE29" i="74"/>
  <c r="AQ51" i="74"/>
  <c r="AQ32" i="74"/>
  <c r="AC7" i="74"/>
  <c r="AE38" i="74"/>
  <c r="AO3" i="74"/>
  <c r="AE19" i="74"/>
  <c r="W11" i="74"/>
  <c r="U38" i="74"/>
  <c r="U26" i="74"/>
  <c r="S49" i="74"/>
  <c r="U49" i="74"/>
  <c r="AE49" i="74"/>
  <c r="AC5" i="74"/>
  <c r="AO8" i="74"/>
  <c r="U40" i="74"/>
  <c r="U11" i="74"/>
  <c r="AS19" i="74"/>
  <c r="AO11" i="74"/>
  <c r="AG19" i="74"/>
  <c r="AU49" i="74"/>
  <c r="AQ25" i="74"/>
  <c r="AQ3" i="74"/>
  <c r="U29" i="74"/>
  <c r="AG33" i="74"/>
  <c r="AE31" i="74"/>
  <c r="S12" i="74"/>
  <c r="W49" i="74"/>
  <c r="AQ24" i="74"/>
  <c r="AI40" i="74"/>
  <c r="S41" i="74"/>
  <c r="AU50" i="74"/>
  <c r="AE36" i="74"/>
  <c r="AG48" i="74"/>
  <c r="AQ41" i="74"/>
  <c r="W22" i="74"/>
  <c r="AS44" i="74"/>
  <c r="W43" i="74"/>
  <c r="AU28" i="74"/>
  <c r="AG44" i="74"/>
  <c r="Q43" i="74"/>
  <c r="AE5" i="74"/>
  <c r="AO45" i="74"/>
  <c r="U15" i="74"/>
  <c r="AQ29" i="74"/>
  <c r="AC45" i="74"/>
  <c r="Q45" i="74"/>
  <c r="AS16" i="74"/>
  <c r="AG29" i="74"/>
  <c r="Q18" i="74"/>
  <c r="AE27" i="74"/>
  <c r="AI6" i="74"/>
  <c r="S7" i="74"/>
  <c r="AE9" i="74"/>
  <c r="AO46" i="74"/>
  <c r="U21" i="74"/>
  <c r="AE10" i="74"/>
  <c r="AG7" i="74"/>
  <c r="U39" i="74"/>
  <c r="AS10" i="74"/>
  <c r="AI22" i="74"/>
  <c r="Q8" i="74"/>
  <c r="AE26" i="74"/>
  <c r="AU43" i="74"/>
  <c r="U8" i="74"/>
  <c r="AE34" i="74"/>
  <c r="AC14" i="74"/>
  <c r="U44" i="74"/>
  <c r="AQ47" i="74"/>
  <c r="AU46" i="74"/>
  <c r="AI25" i="74"/>
  <c r="AC25" i="74"/>
  <c r="Q41" i="74"/>
  <c r="AI50" i="74"/>
  <c r="AC50" i="74"/>
  <c r="AI36" i="74"/>
  <c r="AE24" i="74"/>
  <c r="AE18" i="74"/>
  <c r="AU48" i="74"/>
  <c r="U10" i="74"/>
  <c r="AE41" i="74"/>
  <c r="AC9" i="74"/>
  <c r="U30" i="74"/>
  <c r="AU34" i="74"/>
  <c r="W26" i="74"/>
  <c r="AE43" i="74"/>
  <c r="AI9" i="74"/>
  <c r="S18" i="74"/>
  <c r="AS36" i="74"/>
  <c r="W30" i="74"/>
  <c r="AS22" i="74"/>
  <c r="AG41" i="74"/>
  <c r="Q46" i="74"/>
  <c r="AU6" i="74"/>
  <c r="AI17" i="74"/>
  <c r="S36" i="74"/>
  <c r="AE47" i="74"/>
  <c r="AC11" i="74"/>
  <c r="S8" i="74"/>
  <c r="AO23" i="74"/>
  <c r="AQ7" i="74"/>
  <c r="AG18" i="74"/>
  <c r="S23" i="74"/>
  <c r="AS20" i="74"/>
  <c r="AI34" i="74"/>
  <c r="AE15" i="74"/>
  <c r="AC8" i="74"/>
  <c r="U43" i="74"/>
  <c r="AG23" i="74"/>
  <c r="S27" i="74"/>
  <c r="AI37" i="74"/>
  <c r="AC37" i="74"/>
  <c r="AO37" i="74"/>
  <c r="AI4" i="74"/>
  <c r="AQ35" i="74"/>
  <c r="AU11" i="74"/>
  <c r="AE35" i="74"/>
  <c r="AI8" i="74"/>
  <c r="U28" i="74"/>
  <c r="AQ5" i="74"/>
  <c r="AI14" i="74"/>
  <c r="U46" i="74"/>
  <c r="AS5" i="74"/>
  <c r="AU41" i="74"/>
  <c r="W44" i="74"/>
  <c r="AO6" i="74"/>
  <c r="AC16" i="74"/>
  <c r="S33" i="74"/>
  <c r="AQ42" i="74"/>
  <c r="W46" i="74"/>
  <c r="AS29" i="74"/>
  <c r="AG45" i="74"/>
  <c r="AU9" i="74"/>
  <c r="AI21" i="74"/>
  <c r="Q4" i="74"/>
  <c r="AO7" i="74"/>
  <c r="AC18" i="74"/>
  <c r="S22" i="74"/>
  <c r="AO35" i="74"/>
  <c r="AQ10" i="74"/>
  <c r="AG22" i="74"/>
  <c r="S39" i="74"/>
  <c r="AU25" i="74"/>
  <c r="AI42" i="74"/>
  <c r="AE33" i="74"/>
  <c r="AG12" i="74"/>
  <c r="S11" i="74"/>
  <c r="AO18" i="74"/>
  <c r="AG31" i="74"/>
  <c r="AO49" i="74"/>
  <c r="AS14" i="74"/>
  <c r="U50" i="74"/>
  <c r="AS47" i="74"/>
  <c r="AU23" i="74"/>
  <c r="AO5" i="74"/>
  <c r="AG14" i="74"/>
  <c r="U45" i="74"/>
  <c r="AS8" i="74"/>
  <c r="AC20" i="74"/>
  <c r="S15" i="74"/>
  <c r="AE30" i="74"/>
  <c r="AU44" i="74"/>
  <c r="U14" i="74"/>
  <c r="AO9" i="74"/>
  <c r="AI20" i="74"/>
  <c r="S47" i="74"/>
  <c r="AE6" i="74"/>
  <c r="AQ45" i="74"/>
  <c r="U18" i="74"/>
  <c r="AS32" i="74"/>
  <c r="W14" i="74"/>
  <c r="AU16" i="74"/>
  <c r="AI29" i="74"/>
  <c r="Q19" i="74"/>
  <c r="AO10" i="74"/>
  <c r="AC22" i="74"/>
  <c r="S38" i="74"/>
  <c r="AQ17" i="74"/>
  <c r="AG30" i="74"/>
  <c r="Q7" i="74"/>
  <c r="AO24" i="74"/>
  <c r="AS30" i="74"/>
  <c r="AI46" i="74"/>
  <c r="AU7" i="74"/>
  <c r="AC19" i="74"/>
  <c r="S26" i="74"/>
  <c r="AS38" i="74"/>
  <c r="AO21" i="74"/>
  <c r="AG35" i="74"/>
  <c r="Q10" i="74"/>
  <c r="S13" i="74"/>
  <c r="U13" i="74"/>
  <c r="AE13" i="74"/>
  <c r="AU15" i="74"/>
  <c r="AG40" i="74"/>
  <c r="AQ14" i="74"/>
  <c r="AQ27" i="74"/>
  <c r="W50" i="74"/>
  <c r="AC48" i="74"/>
  <c r="AI12" i="74"/>
  <c r="AQ8" i="74"/>
  <c r="S14" i="74"/>
  <c r="AS12" i="74"/>
  <c r="AC26" i="74"/>
  <c r="S31" i="74"/>
  <c r="AE20" i="74"/>
  <c r="U31" i="74"/>
  <c r="AO16" i="74"/>
  <c r="AI26" i="74"/>
  <c r="Q15" i="74"/>
  <c r="AC6" i="74"/>
  <c r="U33" i="74"/>
  <c r="W31" i="74"/>
  <c r="AU19" i="74"/>
  <c r="AI33" i="74"/>
  <c r="Q33" i="74"/>
  <c r="AO17" i="74"/>
  <c r="Q6" i="74"/>
  <c r="AQ20" i="74"/>
  <c r="AG34" i="74"/>
  <c r="Q21" i="74"/>
  <c r="AS33" i="74"/>
  <c r="W19" i="74"/>
  <c r="AC23" i="74"/>
  <c r="S42" i="74"/>
  <c r="AO28" i="74"/>
  <c r="AG43" i="74"/>
  <c r="Q39" i="74"/>
  <c r="S25" i="74"/>
  <c r="U25" i="74"/>
  <c r="AE25" i="74"/>
  <c r="AS37" i="74"/>
  <c r="U41" i="74"/>
  <c r="AE16" i="74"/>
  <c r="AG50" i="74"/>
  <c r="AI23" i="74"/>
  <c r="S30" i="74"/>
  <c r="AS18" i="74"/>
  <c r="AC32" i="74"/>
  <c r="S45" i="74"/>
  <c r="AE42" i="74"/>
  <c r="U47" i="74"/>
  <c r="AO19" i="74"/>
  <c r="AI32" i="74"/>
  <c r="AE44" i="74"/>
  <c r="AC10" i="74"/>
  <c r="S4" i="74"/>
  <c r="AS42" i="74"/>
  <c r="W47" i="74"/>
  <c r="AU22" i="74"/>
  <c r="AI41" i="74"/>
  <c r="AO20" i="74"/>
  <c r="Q20" i="74"/>
  <c r="AG42" i="74"/>
  <c r="Q35" i="74"/>
  <c r="AS40" i="74"/>
  <c r="W35" i="74"/>
  <c r="AC31" i="74"/>
  <c r="Q9" i="74"/>
  <c r="AO31" i="74"/>
  <c r="AG47" i="74"/>
  <c r="AC4" i="74"/>
  <c r="AQ15" i="74"/>
  <c r="AQ11" i="74"/>
  <c r="AQ18" i="74"/>
  <c r="S44" i="74"/>
  <c r="AS21" i="74"/>
  <c r="AC38" i="74"/>
  <c r="S16" i="74"/>
  <c r="AO22" i="74"/>
  <c r="AI38" i="74"/>
  <c r="AQ6" i="74"/>
  <c r="AC17" i="74"/>
  <c r="S19" i="74"/>
  <c r="AE7" i="74"/>
  <c r="AS45" i="74"/>
  <c r="AU29" i="74"/>
  <c r="AI45" i="74"/>
  <c r="Q34" i="74"/>
  <c r="AE48" i="74"/>
  <c r="AQ30" i="74"/>
  <c r="AG46" i="74"/>
  <c r="AS43" i="74"/>
  <c r="U7" i="74"/>
  <c r="AC35" i="74"/>
  <c r="Q23" i="74"/>
  <c r="W4" i="74"/>
  <c r="AO34" i="74"/>
  <c r="W6" i="74"/>
  <c r="U17" i="74"/>
  <c r="AO15" i="74"/>
  <c r="AQ23" i="74"/>
  <c r="AQ21" i="74"/>
  <c r="AS28" i="74"/>
  <c r="AC44" i="74"/>
  <c r="Q27" i="74"/>
  <c r="S32" i="74"/>
  <c r="AQ9" i="74"/>
  <c r="AC21" i="74"/>
  <c r="S34" i="74"/>
  <c r="U34" i="74"/>
  <c r="AU32" i="74"/>
  <c r="AO30" i="74"/>
  <c r="Q48" i="74"/>
  <c r="AQ33" i="74"/>
  <c r="AS46" i="74"/>
  <c r="U23" i="74"/>
  <c r="AC43" i="74"/>
  <c r="Q38" i="74"/>
  <c r="U16" i="74"/>
  <c r="AO41" i="74"/>
  <c r="W13" i="74"/>
  <c r="AU37" i="74"/>
  <c r="AG4" i="74"/>
  <c r="AG16" i="74"/>
  <c r="AS35" i="74"/>
  <c r="AS31" i="74"/>
  <c r="Q42" i="74"/>
  <c r="W10" i="74"/>
  <c r="S6" i="74"/>
  <c r="AO33" i="74"/>
  <c r="W16" i="74"/>
  <c r="AQ40" i="74"/>
  <c r="AE11" i="74"/>
  <c r="AC47" i="74"/>
  <c r="W28" i="74"/>
  <c r="W25" i="74"/>
  <c r="Q17" i="74"/>
  <c r="AU47" i="74"/>
  <c r="Q40" i="74"/>
  <c r="AS34" i="74"/>
  <c r="AG32" i="74"/>
  <c r="W27" i="74"/>
  <c r="AG17" i="74"/>
  <c r="S20" i="74"/>
  <c r="AU42" i="74"/>
  <c r="U20" i="74"/>
  <c r="AO40" i="74"/>
  <c r="AQ43" i="74"/>
  <c r="W40" i="74"/>
  <c r="W37" i="74"/>
  <c r="AE40" i="74"/>
  <c r="S28" i="74"/>
  <c r="AG36" i="74"/>
  <c r="AC12" i="74"/>
  <c r="S35" i="74"/>
  <c r="AE8" i="74"/>
  <c r="W36" i="59"/>
  <c r="W38" i="59"/>
  <c r="W45" i="59"/>
  <c r="M36" i="59"/>
  <c r="M50" i="59"/>
  <c r="W46" i="59"/>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C2" i="65" s="1" a="1"/>
  <c r="C2" i="65" s="1"/>
  <c r="F36" i="3"/>
  <c r="F37" i="3"/>
  <c r="F38" i="3"/>
  <c r="F39" i="3"/>
  <c r="F40" i="3"/>
  <c r="F41" i="3"/>
  <c r="F42" i="3"/>
  <c r="C40" i="65" s="1" a="1"/>
  <c r="C40" i="65" s="1"/>
  <c r="F43" i="3"/>
  <c r="F44" i="3"/>
  <c r="F45" i="3"/>
  <c r="F46" i="3"/>
  <c r="F47" i="3"/>
  <c r="F48" i="3"/>
  <c r="F49" i="3"/>
  <c r="F50" i="3"/>
  <c r="F51" i="3"/>
  <c r="F52" i="3"/>
  <c r="F53" i="3"/>
  <c r="F54" i="3"/>
  <c r="F55" i="3"/>
  <c r="F56" i="3"/>
  <c r="F57" i="3"/>
  <c r="F58" i="3"/>
  <c r="F59" i="3"/>
  <c r="F60" i="3"/>
  <c r="F76" i="3"/>
  <c r="F77" i="3"/>
  <c r="F78" i="3"/>
  <c r="F79" i="3"/>
  <c r="F80" i="3"/>
  <c r="F81" i="3"/>
  <c r="F82" i="3"/>
  <c r="F83" i="3"/>
  <c r="AA18" i="3"/>
  <c r="E48" i="27" l="1"/>
  <c r="F48" i="27"/>
  <c r="E64" i="27"/>
  <c r="F64" i="27"/>
  <c r="E65" i="27"/>
  <c r="F53" i="27"/>
  <c r="F62" i="27"/>
  <c r="E62" i="27"/>
  <c r="F61" i="27"/>
  <c r="E61" i="27"/>
  <c r="E53" i="27"/>
  <c r="F65" i="27"/>
  <c r="F52" i="27"/>
  <c r="F49" i="27"/>
  <c r="E52" i="27"/>
  <c r="E66" i="27"/>
  <c r="F51" i="27"/>
  <c r="E49" i="27"/>
  <c r="E51" i="27"/>
  <c r="F66" i="27"/>
  <c r="F50" i="27"/>
  <c r="E63" i="27"/>
  <c r="E50" i="27"/>
  <c r="F63" i="27"/>
  <c r="U6" i="49"/>
  <c r="V6" i="49"/>
  <c r="X6" i="49"/>
  <c r="W6" i="49"/>
  <c r="U5" i="49"/>
  <c r="V5" i="49"/>
  <c r="X5" i="49"/>
  <c r="W5" i="49"/>
  <c r="U7" i="49"/>
  <c r="V7" i="49"/>
  <c r="X7" i="49"/>
  <c r="W7" i="49"/>
  <c r="Q26" i="27"/>
  <c r="AA43" i="3" l="1"/>
  <c r="AA41" i="3"/>
  <c r="AA42" i="3"/>
  <c r="AA48" i="3"/>
  <c r="AA45" i="3"/>
  <c r="AA47" i="3"/>
  <c r="AA3" i="3"/>
  <c r="L75" i="3" s="1"/>
  <c r="AA4" i="3"/>
  <c r="AA5" i="3"/>
  <c r="AA6" i="3"/>
  <c r="AA7" i="3"/>
  <c r="AA8" i="3"/>
  <c r="AA9" i="3"/>
  <c r="AA10" i="3"/>
  <c r="AA12" i="3"/>
  <c r="AA13" i="3"/>
  <c r="AA14" i="3"/>
  <c r="AA15" i="3"/>
  <c r="AA16" i="3"/>
  <c r="AA17" i="3"/>
  <c r="AA20" i="3"/>
  <c r="AA22" i="3"/>
  <c r="AA23" i="3"/>
  <c r="AA24" i="3"/>
  <c r="AA25" i="3"/>
  <c r="AA26" i="3"/>
  <c r="L77" i="3" s="1"/>
  <c r="AA27" i="3"/>
  <c r="AA29" i="3"/>
  <c r="AA30" i="3"/>
  <c r="L78" i="3" s="1"/>
  <c r="AA31" i="3"/>
  <c r="AA32" i="3"/>
  <c r="AA33" i="3"/>
  <c r="AA34" i="3"/>
  <c r="AA35" i="3"/>
  <c r="AA36" i="3"/>
  <c r="AA37" i="3"/>
  <c r="AA38" i="3"/>
  <c r="AA39" i="3"/>
  <c r="AA40" i="3"/>
  <c r="AA44" i="3"/>
  <c r="AA46" i="3"/>
  <c r="AA49" i="3"/>
  <c r="AA50" i="3"/>
  <c r="AA52" i="3"/>
  <c r="AA53" i="3"/>
  <c r="AA54" i="3"/>
  <c r="AA55" i="3"/>
  <c r="AA56" i="3"/>
  <c r="AA57" i="3"/>
  <c r="AA58" i="3"/>
  <c r="AA59" i="3"/>
  <c r="AA60" i="3"/>
  <c r="AA61" i="3"/>
  <c r="AA63" i="3"/>
  <c r="L74" i="3" s="1"/>
  <c r="AA64" i="3"/>
  <c r="AA65" i="3"/>
  <c r="AA66" i="3"/>
  <c r="AA67" i="3"/>
  <c r="AA68" i="3"/>
  <c r="AA69" i="3"/>
  <c r="AA70" i="3"/>
  <c r="AA71" i="3"/>
  <c r="AA72" i="3"/>
  <c r="L81" i="3" s="1"/>
  <c r="AA73" i="3"/>
  <c r="AA74" i="3"/>
  <c r="AA75" i="3"/>
  <c r="AA76" i="3"/>
  <c r="L76" i="3" s="1"/>
  <c r="AA19" i="3"/>
  <c r="AA11" i="3"/>
  <c r="AA28" i="3"/>
  <c r="AA62" i="3"/>
  <c r="AA51" i="3"/>
  <c r="AA21" i="3"/>
  <c r="L8" i="3" s="1"/>
  <c r="E28" i="3"/>
  <c r="L89" i="3" l="1"/>
  <c r="L87" i="3"/>
  <c r="L88" i="3"/>
  <c r="L63" i="3"/>
  <c r="L73" i="3"/>
  <c r="L68" i="3"/>
  <c r="L62" i="3"/>
  <c r="L65" i="3"/>
  <c r="L71" i="3"/>
  <c r="L70" i="3"/>
  <c r="L64" i="3"/>
  <c r="L61" i="3"/>
  <c r="L67" i="3"/>
  <c r="L66" i="3"/>
  <c r="L72" i="3"/>
  <c r="B5" i="65"/>
  <c r="C5" i="65" s="1" a="1"/>
  <c r="C5" i="65" s="1"/>
  <c r="B4" i="65"/>
  <c r="C4" i="65" s="1" a="1"/>
  <c r="C4" i="65" s="1"/>
  <c r="A2" i="65"/>
  <c r="H2" i="65" s="1"/>
  <c r="AA2" i="63"/>
  <c r="A23" i="3"/>
  <c r="A4" i="3"/>
  <c r="B7" i="65" l="1"/>
  <c r="C7" i="65" s="1" a="1"/>
  <c r="C7" i="65" s="1"/>
  <c r="A4" i="65"/>
  <c r="H4" i="65" s="1"/>
  <c r="B6" i="65"/>
  <c r="C6" i="65" s="1" a="1"/>
  <c r="C6" i="65" s="1"/>
  <c r="B9" i="65" l="1"/>
  <c r="C9" i="65" s="1" a="1"/>
  <c r="C9" i="65" s="1"/>
  <c r="A6" i="65"/>
  <c r="H6" i="65" s="1"/>
  <c r="B8" i="65"/>
  <c r="C8" i="65" s="1" a="1"/>
  <c r="C8" i="65" s="1"/>
  <c r="C2" i="49"/>
  <c r="AF795" i="19"/>
  <c r="AZ795" i="19" s="1"/>
  <c r="AF796" i="19"/>
  <c r="AZ796" i="19" s="1"/>
  <c r="AF797" i="19"/>
  <c r="AZ797" i="19" s="1"/>
  <c r="AF798" i="19"/>
  <c r="AZ798" i="19" s="1"/>
  <c r="AF799" i="19"/>
  <c r="AZ799" i="19" s="1"/>
  <c r="AF800" i="19"/>
  <c r="AZ800" i="19" s="1"/>
  <c r="AK795" i="19"/>
  <c r="AK796" i="19"/>
  <c r="AK797" i="19"/>
  <c r="AK798" i="19"/>
  <c r="AK799" i="19"/>
  <c r="AK800" i="19"/>
  <c r="AL795" i="19"/>
  <c r="AM795" i="19" s="1"/>
  <c r="AL796" i="19"/>
  <c r="AM796" i="19" s="1"/>
  <c r="AL797" i="19"/>
  <c r="AM797" i="19" s="1"/>
  <c r="AL798" i="19"/>
  <c r="AM798" i="19" s="1"/>
  <c r="AL799" i="19"/>
  <c r="AM799" i="19" s="1"/>
  <c r="AL800" i="19"/>
  <c r="AM800" i="19" s="1"/>
  <c r="B795" i="19"/>
  <c r="B796" i="19"/>
  <c r="B797" i="19"/>
  <c r="B798" i="19"/>
  <c r="B799" i="19"/>
  <c r="B800" i="19"/>
  <c r="AJ5" i="46" a="1"/>
  <c r="AJ5" i="46" s="1"/>
  <c r="W2" i="59"/>
  <c r="W3" i="59"/>
  <c r="W4" i="59"/>
  <c r="W5" i="59"/>
  <c r="W6" i="59"/>
  <c r="W7" i="59"/>
  <c r="W8" i="59"/>
  <c r="W9" i="59"/>
  <c r="W10" i="59"/>
  <c r="W11" i="59"/>
  <c r="W12" i="59"/>
  <c r="W13" i="59"/>
  <c r="W14" i="59"/>
  <c r="W15" i="59"/>
  <c r="W16" i="59"/>
  <c r="W17" i="59"/>
  <c r="W18" i="59"/>
  <c r="W19" i="59"/>
  <c r="W20" i="59"/>
  <c r="W21" i="59"/>
  <c r="W22" i="59"/>
  <c r="W23" i="59"/>
  <c r="W24" i="59"/>
  <c r="W25" i="59"/>
  <c r="W26" i="59"/>
  <c r="W27" i="59"/>
  <c r="W28" i="59"/>
  <c r="W29" i="59"/>
  <c r="W30" i="59"/>
  <c r="W31" i="59"/>
  <c r="W32" i="59"/>
  <c r="W33" i="59"/>
  <c r="W34" i="59"/>
  <c r="W35" i="59"/>
  <c r="M2" i="59"/>
  <c r="M3" i="59"/>
  <c r="M4" i="59"/>
  <c r="M5" i="59"/>
  <c r="M6" i="59"/>
  <c r="M7" i="59"/>
  <c r="M8" i="59"/>
  <c r="M9" i="59"/>
  <c r="M10" i="59"/>
  <c r="M11" i="59"/>
  <c r="M12" i="59"/>
  <c r="M13" i="59"/>
  <c r="M14" i="59"/>
  <c r="M15" i="59"/>
  <c r="M16" i="59"/>
  <c r="M17" i="59"/>
  <c r="M18" i="59"/>
  <c r="M19" i="59"/>
  <c r="M20" i="59"/>
  <c r="M21" i="59"/>
  <c r="M22" i="59"/>
  <c r="M23" i="59"/>
  <c r="M24" i="59"/>
  <c r="M25" i="59"/>
  <c r="M26" i="59"/>
  <c r="M27" i="59"/>
  <c r="M28" i="59"/>
  <c r="M29" i="59"/>
  <c r="M30" i="59"/>
  <c r="M31" i="59"/>
  <c r="M32" i="59"/>
  <c r="M33" i="59"/>
  <c r="M34" i="59"/>
  <c r="M35" i="59"/>
  <c r="C2" i="59"/>
  <c r="C3" i="59"/>
  <c r="C4" i="59"/>
  <c r="C5" i="59"/>
  <c r="C6" i="59"/>
  <c r="C7" i="59"/>
  <c r="C8" i="59"/>
  <c r="C9" i="59"/>
  <c r="C10" i="59"/>
  <c r="C11" i="59"/>
  <c r="C12" i="59"/>
  <c r="C13" i="59"/>
  <c r="C14" i="59"/>
  <c r="C15" i="59"/>
  <c r="C16" i="59"/>
  <c r="C17" i="59"/>
  <c r="C18" i="59"/>
  <c r="C19" i="59"/>
  <c r="C20" i="59"/>
  <c r="C21" i="59"/>
  <c r="C22" i="59"/>
  <c r="C23" i="59"/>
  <c r="C24" i="59"/>
  <c r="C25" i="59"/>
  <c r="C26" i="59"/>
  <c r="C27" i="59"/>
  <c r="C28" i="59"/>
  <c r="C29" i="59"/>
  <c r="C30" i="59"/>
  <c r="C31" i="59"/>
  <c r="C32" i="59"/>
  <c r="C33" i="59"/>
  <c r="C34" i="59"/>
  <c r="C35" i="59"/>
  <c r="AU800" i="19" l="1"/>
  <c r="AU798" i="19"/>
  <c r="AU797" i="19"/>
  <c r="AU799" i="19"/>
  <c r="AU796" i="19"/>
  <c r="AU795" i="19"/>
  <c r="A8" i="65"/>
  <c r="H8" i="65" s="1"/>
  <c r="B11" i="65"/>
  <c r="C11" i="65" s="1" a="1"/>
  <c r="C11" i="65" s="1"/>
  <c r="B10" i="65"/>
  <c r="C10" i="65" s="1" a="1"/>
  <c r="C10" i="65" s="1"/>
  <c r="AF4" i="59" a="1"/>
  <c r="AF4" i="59" s="1"/>
  <c r="I2" i="26"/>
  <c r="J2" i="26"/>
  <c r="K2" i="26"/>
  <c r="H2" i="26"/>
  <c r="B12" i="65" l="1"/>
  <c r="C12" i="65" s="1" a="1"/>
  <c r="C12" i="65" s="1"/>
  <c r="A10" i="65"/>
  <c r="H10" i="65" s="1"/>
  <c r="B13" i="65"/>
  <c r="C13" i="65" s="1" a="1"/>
  <c r="C13" i="65" s="1"/>
  <c r="L53" i="46"/>
  <c r="L54" i="46"/>
  <c r="L55" i="46"/>
  <c r="I53" i="46"/>
  <c r="H53" i="46"/>
  <c r="G53" i="46"/>
  <c r="D53" i="46"/>
  <c r="E53" i="46" s="1"/>
  <c r="F53" i="46"/>
  <c r="B14" i="65" l="1"/>
  <c r="C14" i="65" s="1" a="1"/>
  <c r="C14" i="65" s="1"/>
  <c r="A12" i="65"/>
  <c r="H12" i="65" s="1"/>
  <c r="B15" i="65"/>
  <c r="C15" i="65" s="1" a="1"/>
  <c r="C15" i="65" s="1"/>
  <c r="J53" i="46"/>
  <c r="A35" i="3"/>
  <c r="B41" i="49"/>
  <c r="C53" i="46"/>
  <c r="B16" i="65" l="1"/>
  <c r="C16" i="65" s="1" a="1"/>
  <c r="C16" i="65" s="1"/>
  <c r="B17" i="65"/>
  <c r="C17" i="65" s="1" a="1"/>
  <c r="C17" i="65" s="1"/>
  <c r="A14" i="65"/>
  <c r="H14" i="65" s="1"/>
  <c r="B19" i="65"/>
  <c r="C19" i="65" s="1" a="1"/>
  <c r="C19" i="65" s="1"/>
  <c r="J18" i="53"/>
  <c r="K18" i="53"/>
  <c r="I18" i="53"/>
  <c r="E18" i="53"/>
  <c r="C18" i="53"/>
  <c r="A16" i="65" l="1"/>
  <c r="H16" i="65" s="1"/>
  <c r="B18" i="65"/>
  <c r="C18" i="65" s="1" a="1"/>
  <c r="C18" i="65" s="1"/>
  <c r="B21" i="65"/>
  <c r="C21" i="65" s="1" a="1"/>
  <c r="C21" i="65" s="1"/>
  <c r="B20" i="65"/>
  <c r="C20" i="65" s="1" a="1"/>
  <c r="C20" i="65" s="1"/>
  <c r="A18" i="65"/>
  <c r="H18" i="65" s="1"/>
  <c r="A26" i="3"/>
  <c r="E3" i="53"/>
  <c r="C3" i="53"/>
  <c r="E77" i="3"/>
  <c r="N77" i="3" s="1"/>
  <c r="E76" i="3"/>
  <c r="N76" i="3" s="1"/>
  <c r="E60" i="3"/>
  <c r="N60" i="3" s="1"/>
  <c r="E59" i="3"/>
  <c r="N59" i="3" s="1"/>
  <c r="L47" i="3"/>
  <c r="L15" i="3"/>
  <c r="L33" i="3"/>
  <c r="L20" i="3"/>
  <c r="L39" i="3"/>
  <c r="L12" i="3"/>
  <c r="L46" i="3"/>
  <c r="L32" i="3"/>
  <c r="L19" i="3"/>
  <c r="L34" i="3"/>
  <c r="L3" i="3"/>
  <c r="L11" i="3"/>
  <c r="L48" i="3"/>
  <c r="L30" i="3"/>
  <c r="L53" i="3"/>
  <c r="L22" i="3"/>
  <c r="L35" i="3"/>
  <c r="L5" i="3"/>
  <c r="L28" i="3"/>
  <c r="L37" i="3"/>
  <c r="L26" i="3"/>
  <c r="L60" i="3"/>
  <c r="L4" i="3"/>
  <c r="L6" i="3"/>
  <c r="L7" i="3"/>
  <c r="L13" i="3"/>
  <c r="L14" i="3"/>
  <c r="L16" i="3"/>
  <c r="L17" i="3"/>
  <c r="L18" i="3"/>
  <c r="L21" i="3"/>
  <c r="L23" i="3"/>
  <c r="L27" i="3"/>
  <c r="L31" i="3"/>
  <c r="L36" i="3"/>
  <c r="L40" i="3"/>
  <c r="L41" i="3"/>
  <c r="L42" i="3"/>
  <c r="L43" i="3"/>
  <c r="L44" i="3"/>
  <c r="L45" i="3"/>
  <c r="L49" i="3"/>
  <c r="L50" i="3"/>
  <c r="L51" i="3"/>
  <c r="L52" i="3"/>
  <c r="E58" i="3"/>
  <c r="N58" i="3" s="1"/>
  <c r="A6" i="3"/>
  <c r="A7" i="3"/>
  <c r="A32" i="3"/>
  <c r="A9" i="3"/>
  <c r="A28" i="3"/>
  <c r="A10" i="3"/>
  <c r="A11" i="3"/>
  <c r="A12" i="3"/>
  <c r="A13" i="3"/>
  <c r="A14" i="3"/>
  <c r="A15" i="3"/>
  <c r="A17" i="3"/>
  <c r="A16" i="3"/>
  <c r="A18" i="3"/>
  <c r="A20" i="3"/>
  <c r="A21" i="3"/>
  <c r="A22" i="3"/>
  <c r="A24" i="3"/>
  <c r="A5" i="3"/>
  <c r="A29" i="3"/>
  <c r="A33" i="3"/>
  <c r="A34" i="3"/>
  <c r="A36" i="3"/>
  <c r="A39" i="3"/>
  <c r="A37" i="3"/>
  <c r="A38" i="3"/>
  <c r="A40" i="3"/>
  <c r="A41" i="3"/>
  <c r="A42" i="3"/>
  <c r="A43" i="3"/>
  <c r="A44" i="3"/>
  <c r="A45" i="3"/>
  <c r="A46" i="3"/>
  <c r="A47" i="3"/>
  <c r="A48" i="3"/>
  <c r="A30" i="3"/>
  <c r="A49" i="3"/>
  <c r="A50" i="3"/>
  <c r="A51" i="3"/>
  <c r="A31" i="3"/>
  <c r="A52" i="3"/>
  <c r="A53" i="3"/>
  <c r="A3" i="3"/>
  <c r="N37" i="46"/>
  <c r="N21" i="46"/>
  <c r="N25" i="46"/>
  <c r="N34" i="46"/>
  <c r="N6" i="46"/>
  <c r="N42" i="46"/>
  <c r="N7" i="46"/>
  <c r="N10" i="46"/>
  <c r="N20" i="46"/>
  <c r="N32" i="46"/>
  <c r="N36" i="46"/>
  <c r="N5" i="46"/>
  <c r="N24" i="46"/>
  <c r="N22" i="46"/>
  <c r="N3" i="46"/>
  <c r="N38" i="46"/>
  <c r="N8" i="46"/>
  <c r="N33" i="46"/>
  <c r="N48" i="46"/>
  <c r="N30" i="46"/>
  <c r="N43" i="46"/>
  <c r="N27" i="46"/>
  <c r="N40" i="46"/>
  <c r="N18" i="46"/>
  <c r="N17" i="46"/>
  <c r="N29" i="46"/>
  <c r="N15" i="46"/>
  <c r="N9" i="46"/>
  <c r="N45" i="46"/>
  <c r="N26" i="46"/>
  <c r="N50" i="46"/>
  <c r="N23" i="46"/>
  <c r="N39" i="46"/>
  <c r="N11" i="46"/>
  <c r="N49" i="46"/>
  <c r="N4" i="46"/>
  <c r="N51" i="46"/>
  <c r="N46" i="46"/>
  <c r="N35" i="46"/>
  <c r="N41" i="46"/>
  <c r="N16" i="46"/>
  <c r="N47" i="46"/>
  <c r="N19" i="46"/>
  <c r="N14" i="46"/>
  <c r="M37" i="46"/>
  <c r="M21" i="46"/>
  <c r="M25" i="46"/>
  <c r="M34" i="46"/>
  <c r="M6" i="46"/>
  <c r="M42" i="46"/>
  <c r="M7" i="46"/>
  <c r="M10" i="46"/>
  <c r="M20" i="46"/>
  <c r="M32" i="46"/>
  <c r="M36" i="46"/>
  <c r="M5" i="46"/>
  <c r="M24" i="46"/>
  <c r="M22" i="46"/>
  <c r="M3" i="46"/>
  <c r="M38" i="46"/>
  <c r="M8" i="46"/>
  <c r="M33" i="46"/>
  <c r="M48" i="46"/>
  <c r="M30" i="46"/>
  <c r="M43" i="46"/>
  <c r="M27" i="46"/>
  <c r="M40" i="46"/>
  <c r="M18" i="46"/>
  <c r="M17" i="46"/>
  <c r="M29" i="46"/>
  <c r="M15" i="46"/>
  <c r="M9" i="46"/>
  <c r="M45" i="46"/>
  <c r="M26" i="46"/>
  <c r="M50" i="46"/>
  <c r="M23" i="46"/>
  <c r="M39" i="46"/>
  <c r="M11" i="46"/>
  <c r="M49" i="46"/>
  <c r="M4" i="46"/>
  <c r="M51" i="46"/>
  <c r="M46" i="46"/>
  <c r="M35" i="46"/>
  <c r="M41" i="46"/>
  <c r="M16" i="46"/>
  <c r="M47" i="46"/>
  <c r="M19" i="46"/>
  <c r="M14" i="46"/>
  <c r="K37" i="46"/>
  <c r="K21" i="46"/>
  <c r="K25" i="46"/>
  <c r="K34" i="46"/>
  <c r="K6" i="46"/>
  <c r="K42" i="46"/>
  <c r="K7" i="46"/>
  <c r="K10" i="46"/>
  <c r="K20" i="46"/>
  <c r="K32" i="46"/>
  <c r="K36" i="46"/>
  <c r="K5" i="46"/>
  <c r="K24" i="46"/>
  <c r="K22" i="46"/>
  <c r="K3" i="46"/>
  <c r="K38" i="46"/>
  <c r="K8" i="46"/>
  <c r="K33" i="46"/>
  <c r="K48" i="46"/>
  <c r="K30" i="46"/>
  <c r="K43" i="46"/>
  <c r="K27" i="46"/>
  <c r="K40" i="46"/>
  <c r="K18" i="46"/>
  <c r="K17" i="46"/>
  <c r="K29" i="46"/>
  <c r="K15" i="46"/>
  <c r="K9" i="46"/>
  <c r="K45" i="46"/>
  <c r="K26" i="46"/>
  <c r="K50" i="46"/>
  <c r="K23" i="46"/>
  <c r="K39" i="46"/>
  <c r="K11" i="46"/>
  <c r="K49" i="46"/>
  <c r="K4" i="46"/>
  <c r="K51" i="46"/>
  <c r="K46" i="46"/>
  <c r="K35" i="46"/>
  <c r="K41" i="46"/>
  <c r="K16" i="46"/>
  <c r="K47" i="46"/>
  <c r="K19" i="46"/>
  <c r="K14" i="46"/>
  <c r="J37" i="46"/>
  <c r="J21" i="46"/>
  <c r="J25" i="46"/>
  <c r="J34" i="46"/>
  <c r="J6" i="46"/>
  <c r="J42" i="46"/>
  <c r="J7" i="46"/>
  <c r="J10" i="46"/>
  <c r="J20" i="46"/>
  <c r="J32" i="46"/>
  <c r="J36" i="46"/>
  <c r="J5" i="46"/>
  <c r="J24" i="46"/>
  <c r="J22" i="46"/>
  <c r="J3" i="46"/>
  <c r="J38" i="46"/>
  <c r="J8" i="46"/>
  <c r="J33" i="46"/>
  <c r="J48" i="46"/>
  <c r="J30" i="46"/>
  <c r="J43" i="46"/>
  <c r="J27" i="46"/>
  <c r="J40" i="46"/>
  <c r="J18" i="46"/>
  <c r="J17" i="46"/>
  <c r="J29" i="46"/>
  <c r="J15" i="46"/>
  <c r="J9" i="46"/>
  <c r="J45" i="46"/>
  <c r="J26" i="46"/>
  <c r="J50" i="46"/>
  <c r="J23" i="46"/>
  <c r="J39" i="46"/>
  <c r="J11" i="46"/>
  <c r="J49" i="46"/>
  <c r="J4" i="46"/>
  <c r="J51" i="46"/>
  <c r="J46" i="46"/>
  <c r="J35" i="46"/>
  <c r="J41" i="46"/>
  <c r="J16" i="46"/>
  <c r="J47" i="46"/>
  <c r="J19" i="46"/>
  <c r="J14" i="46"/>
  <c r="I37" i="46"/>
  <c r="I21" i="46"/>
  <c r="I25" i="46"/>
  <c r="I34" i="46"/>
  <c r="I6" i="46"/>
  <c r="I42" i="46"/>
  <c r="I7" i="46"/>
  <c r="I10" i="46"/>
  <c r="I20" i="46"/>
  <c r="I32" i="46"/>
  <c r="I36" i="46"/>
  <c r="I5" i="46"/>
  <c r="I24" i="46"/>
  <c r="I22" i="46"/>
  <c r="I3" i="46"/>
  <c r="I38" i="46"/>
  <c r="I8" i="46"/>
  <c r="I33" i="46"/>
  <c r="I48" i="46"/>
  <c r="I30" i="46"/>
  <c r="I43" i="46"/>
  <c r="I27" i="46"/>
  <c r="I40" i="46"/>
  <c r="I18" i="46"/>
  <c r="I17" i="46"/>
  <c r="I29" i="46"/>
  <c r="I15" i="46"/>
  <c r="I9" i="46"/>
  <c r="I45" i="46"/>
  <c r="I26" i="46"/>
  <c r="I50" i="46"/>
  <c r="I23" i="46"/>
  <c r="I39" i="46"/>
  <c r="I11" i="46"/>
  <c r="I49" i="46"/>
  <c r="I4" i="46"/>
  <c r="I51" i="46"/>
  <c r="I46" i="46"/>
  <c r="I35" i="46"/>
  <c r="I41" i="46"/>
  <c r="I16" i="46"/>
  <c r="I47" i="46"/>
  <c r="I19" i="46"/>
  <c r="I14" i="46"/>
  <c r="H37" i="46"/>
  <c r="H21" i="46"/>
  <c r="H25" i="46"/>
  <c r="H34" i="46"/>
  <c r="H6" i="46"/>
  <c r="H42" i="46"/>
  <c r="H7" i="46"/>
  <c r="H10" i="46"/>
  <c r="H20" i="46"/>
  <c r="H32" i="46"/>
  <c r="H36" i="46"/>
  <c r="H5" i="46"/>
  <c r="H24" i="46"/>
  <c r="H22" i="46"/>
  <c r="H3" i="46"/>
  <c r="H38" i="46"/>
  <c r="H8" i="46"/>
  <c r="H33" i="46"/>
  <c r="H48" i="46"/>
  <c r="H30" i="46"/>
  <c r="H43" i="46"/>
  <c r="H27" i="46"/>
  <c r="H40" i="46"/>
  <c r="H18" i="46"/>
  <c r="H17" i="46"/>
  <c r="H29" i="46"/>
  <c r="H15" i="46"/>
  <c r="H9" i="46"/>
  <c r="H45" i="46"/>
  <c r="H26" i="46"/>
  <c r="H50" i="46"/>
  <c r="H23" i="46"/>
  <c r="H39" i="46"/>
  <c r="H11" i="46"/>
  <c r="H49" i="46"/>
  <c r="H4" i="46"/>
  <c r="H51" i="46"/>
  <c r="H46" i="46"/>
  <c r="H35" i="46"/>
  <c r="H41" i="46"/>
  <c r="H16" i="46"/>
  <c r="H47" i="46"/>
  <c r="H19" i="46"/>
  <c r="H14" i="46"/>
  <c r="G37" i="46"/>
  <c r="G21" i="46"/>
  <c r="G25" i="46"/>
  <c r="G34" i="46"/>
  <c r="G6" i="46"/>
  <c r="S62" i="75" s="1"/>
  <c r="G42" i="46"/>
  <c r="G7" i="46"/>
  <c r="S82" i="75" s="1"/>
  <c r="G10" i="46"/>
  <c r="G20" i="46"/>
  <c r="G32" i="46"/>
  <c r="G36" i="46"/>
  <c r="G5" i="46"/>
  <c r="S37" i="75" s="1"/>
  <c r="G24" i="46"/>
  <c r="G22" i="46"/>
  <c r="G3" i="46"/>
  <c r="G38" i="46"/>
  <c r="G8" i="46"/>
  <c r="S97" i="75" s="1"/>
  <c r="G33" i="46"/>
  <c r="G48" i="46"/>
  <c r="G30" i="46"/>
  <c r="G43" i="46"/>
  <c r="G27" i="46"/>
  <c r="G40" i="46"/>
  <c r="G18" i="46"/>
  <c r="G17" i="46"/>
  <c r="G29" i="46"/>
  <c r="G15" i="46"/>
  <c r="G9" i="46"/>
  <c r="S117" i="75" s="1"/>
  <c r="G45" i="46"/>
  <c r="G26" i="46"/>
  <c r="G50" i="46"/>
  <c r="G23" i="46"/>
  <c r="G39" i="46"/>
  <c r="G11" i="46"/>
  <c r="S122" i="75" s="1"/>
  <c r="G49" i="46"/>
  <c r="G4" i="46"/>
  <c r="G51" i="46"/>
  <c r="G46" i="46"/>
  <c r="G35" i="46"/>
  <c r="G41" i="46"/>
  <c r="G16" i="46"/>
  <c r="G47" i="46"/>
  <c r="G19" i="46"/>
  <c r="G14" i="46"/>
  <c r="F37" i="46"/>
  <c r="F21" i="46"/>
  <c r="F25" i="46"/>
  <c r="F34" i="46"/>
  <c r="F6" i="46"/>
  <c r="R62" i="75" s="1"/>
  <c r="F42" i="46"/>
  <c r="F7" i="46"/>
  <c r="R82" i="75" s="1"/>
  <c r="F10" i="46"/>
  <c r="F20" i="46"/>
  <c r="F32" i="46"/>
  <c r="F36" i="46"/>
  <c r="F5" i="46"/>
  <c r="R37" i="75" s="1"/>
  <c r="F24" i="46"/>
  <c r="F22" i="46"/>
  <c r="F3" i="46"/>
  <c r="F38" i="46"/>
  <c r="F8" i="46"/>
  <c r="R97" i="75" s="1"/>
  <c r="F33" i="46"/>
  <c r="F48" i="46"/>
  <c r="F30" i="46"/>
  <c r="F43" i="46"/>
  <c r="F27" i="46"/>
  <c r="F40" i="46"/>
  <c r="F18" i="46"/>
  <c r="F17" i="46"/>
  <c r="F29" i="46"/>
  <c r="F15" i="46"/>
  <c r="F9" i="46"/>
  <c r="R117" i="75" s="1"/>
  <c r="F45" i="46"/>
  <c r="F26" i="46"/>
  <c r="F50" i="46"/>
  <c r="F23" i="46"/>
  <c r="F39" i="46"/>
  <c r="F11" i="46"/>
  <c r="R122" i="75" s="1"/>
  <c r="F49" i="46"/>
  <c r="F4" i="46"/>
  <c r="F51" i="46"/>
  <c r="F46" i="46"/>
  <c r="F35" i="46"/>
  <c r="F41" i="46"/>
  <c r="F16" i="46"/>
  <c r="F47" i="46"/>
  <c r="F19" i="46"/>
  <c r="F14" i="46"/>
  <c r="C58" i="46"/>
  <c r="C60" i="46"/>
  <c r="E26" i="3"/>
  <c r="N26" i="3" s="1"/>
  <c r="AL357" i="19"/>
  <c r="AM357" i="19" s="1"/>
  <c r="AL358" i="19"/>
  <c r="AM358" i="19" s="1"/>
  <c r="AL359" i="19"/>
  <c r="AM359" i="19" s="1"/>
  <c r="AL360" i="19"/>
  <c r="AM360" i="19" s="1"/>
  <c r="AL361" i="19"/>
  <c r="AM361" i="19" s="1"/>
  <c r="AL362" i="19"/>
  <c r="AM362" i="19" s="1"/>
  <c r="AL393" i="19"/>
  <c r="AM393" i="19" s="1"/>
  <c r="AL394" i="19"/>
  <c r="AM394" i="19" s="1"/>
  <c r="AL395" i="19"/>
  <c r="AM395" i="19" s="1"/>
  <c r="AL396" i="19"/>
  <c r="AM396" i="19" s="1"/>
  <c r="AL397" i="19"/>
  <c r="AM397" i="19" s="1"/>
  <c r="AL398" i="19"/>
  <c r="AM398" i="19" s="1"/>
  <c r="AL417" i="19"/>
  <c r="AM417" i="19" s="1"/>
  <c r="AL418" i="19"/>
  <c r="AM418" i="19" s="1"/>
  <c r="AL419" i="19"/>
  <c r="AM419" i="19" s="1"/>
  <c r="AL420" i="19"/>
  <c r="AM420" i="19" s="1"/>
  <c r="AL421" i="19"/>
  <c r="AM421" i="19" s="1"/>
  <c r="AL422" i="19"/>
  <c r="AM422" i="19" s="1"/>
  <c r="AL423" i="19"/>
  <c r="AM423" i="19" s="1"/>
  <c r="AL424" i="19"/>
  <c r="AM424" i="19" s="1"/>
  <c r="AL425" i="19"/>
  <c r="AM425" i="19" s="1"/>
  <c r="AL426" i="19"/>
  <c r="AM426" i="19" s="1"/>
  <c r="AL427" i="19"/>
  <c r="AM427" i="19" s="1"/>
  <c r="AL428" i="19"/>
  <c r="AM428" i="19" s="1"/>
  <c r="AL429" i="19"/>
  <c r="AM429" i="19" s="1"/>
  <c r="AL430" i="19"/>
  <c r="AM430" i="19" s="1"/>
  <c r="AL431" i="19"/>
  <c r="AM431" i="19" s="1"/>
  <c r="AL432" i="19"/>
  <c r="AM432" i="19" s="1"/>
  <c r="AL433" i="19"/>
  <c r="AM433" i="19" s="1"/>
  <c r="AL434" i="19"/>
  <c r="AM434" i="19" s="1"/>
  <c r="AL435" i="19"/>
  <c r="AM435" i="19" s="1"/>
  <c r="AL436" i="19"/>
  <c r="AM436" i="19" s="1"/>
  <c r="AL437" i="19"/>
  <c r="AM437" i="19" s="1"/>
  <c r="AL438" i="19"/>
  <c r="AM438" i="19" s="1"/>
  <c r="AL439" i="19"/>
  <c r="AM439" i="19" s="1"/>
  <c r="AL440" i="19"/>
  <c r="AM440" i="19" s="1"/>
  <c r="AL441" i="19"/>
  <c r="AM441" i="19" s="1"/>
  <c r="AL442" i="19"/>
  <c r="AM442" i="19" s="1"/>
  <c r="AL443" i="19"/>
  <c r="AM443" i="19" s="1"/>
  <c r="AL444" i="19"/>
  <c r="AM444" i="19" s="1"/>
  <c r="AL445" i="19"/>
  <c r="AM445" i="19" s="1"/>
  <c r="AL446" i="19"/>
  <c r="AM446" i="19" s="1"/>
  <c r="AL447" i="19"/>
  <c r="AM447" i="19" s="1"/>
  <c r="AL448" i="19"/>
  <c r="AM448" i="19" s="1"/>
  <c r="AL449" i="19"/>
  <c r="AM449" i="19" s="1"/>
  <c r="AL450" i="19"/>
  <c r="AM450" i="19" s="1"/>
  <c r="AL451" i="19"/>
  <c r="AM451" i="19" s="1"/>
  <c r="AL452" i="19"/>
  <c r="AM452" i="19" s="1"/>
  <c r="AL453" i="19"/>
  <c r="AM453" i="19" s="1"/>
  <c r="AL454" i="19"/>
  <c r="AM454" i="19" s="1"/>
  <c r="AL455" i="19"/>
  <c r="AM455" i="19" s="1"/>
  <c r="AL456" i="19"/>
  <c r="AM456" i="19" s="1"/>
  <c r="AL457" i="19"/>
  <c r="AM457" i="19" s="1"/>
  <c r="AL458" i="19"/>
  <c r="AM458" i="19" s="1"/>
  <c r="AL459" i="19"/>
  <c r="AM459" i="19" s="1"/>
  <c r="AL460" i="19"/>
  <c r="AM460" i="19" s="1"/>
  <c r="AL461" i="19"/>
  <c r="AM461" i="19" s="1"/>
  <c r="AL462" i="19"/>
  <c r="AM462" i="19" s="1"/>
  <c r="AL463" i="19"/>
  <c r="AM463" i="19" s="1"/>
  <c r="AL464" i="19"/>
  <c r="AM464" i="19" s="1"/>
  <c r="AL471" i="19"/>
  <c r="AM471" i="19" s="1"/>
  <c r="AL472" i="19"/>
  <c r="AM472" i="19" s="1"/>
  <c r="AL473" i="19"/>
  <c r="AM473" i="19" s="1"/>
  <c r="AL474" i="19"/>
  <c r="AM474" i="19" s="1"/>
  <c r="AL475" i="19"/>
  <c r="AM475" i="19" s="1"/>
  <c r="AL476" i="19"/>
  <c r="AM476" i="19" s="1"/>
  <c r="AL477" i="19"/>
  <c r="AM477" i="19" s="1"/>
  <c r="AL478" i="19"/>
  <c r="AM478" i="19" s="1"/>
  <c r="AL479" i="19"/>
  <c r="AM479" i="19" s="1"/>
  <c r="AL480" i="19"/>
  <c r="AM480" i="19" s="1"/>
  <c r="AL481" i="19"/>
  <c r="AM481" i="19" s="1"/>
  <c r="AL482" i="19"/>
  <c r="AM482" i="19" s="1"/>
  <c r="AL513" i="19"/>
  <c r="AM513" i="19" s="1"/>
  <c r="AL514" i="19"/>
  <c r="AM514" i="19" s="1"/>
  <c r="AL515" i="19"/>
  <c r="AM515" i="19" s="1"/>
  <c r="AL516" i="19"/>
  <c r="AM516" i="19" s="1"/>
  <c r="AL517" i="19"/>
  <c r="AM517" i="19" s="1"/>
  <c r="AL518" i="19"/>
  <c r="AM518" i="19" s="1"/>
  <c r="AL519" i="19"/>
  <c r="AM519" i="19" s="1"/>
  <c r="AL520" i="19"/>
  <c r="AM520" i="19" s="1"/>
  <c r="AL521" i="19"/>
  <c r="AM521" i="19" s="1"/>
  <c r="AL522" i="19"/>
  <c r="AM522" i="19" s="1"/>
  <c r="AL523" i="19"/>
  <c r="AM523" i="19" s="1"/>
  <c r="AL524" i="19"/>
  <c r="AM524" i="19" s="1"/>
  <c r="AL531" i="19"/>
  <c r="AM531" i="19" s="1"/>
  <c r="AL532" i="19"/>
  <c r="AM532" i="19" s="1"/>
  <c r="AL533" i="19"/>
  <c r="AM533" i="19" s="1"/>
  <c r="AL534" i="19"/>
  <c r="AM534" i="19" s="1"/>
  <c r="AL535" i="19"/>
  <c r="AM535" i="19" s="1"/>
  <c r="AL536" i="19"/>
  <c r="AM536" i="19" s="1"/>
  <c r="AL537" i="19"/>
  <c r="AM537" i="19" s="1"/>
  <c r="AL538" i="19"/>
  <c r="AM538" i="19" s="1"/>
  <c r="AL539" i="19"/>
  <c r="AM539" i="19" s="1"/>
  <c r="AL540" i="19"/>
  <c r="AM540" i="19" s="1"/>
  <c r="AL541" i="19"/>
  <c r="AM541" i="19" s="1"/>
  <c r="AL542" i="19"/>
  <c r="AM542" i="19" s="1"/>
  <c r="AL567" i="19"/>
  <c r="AM567" i="19" s="1"/>
  <c r="AL568" i="19"/>
  <c r="AM568" i="19" s="1"/>
  <c r="AL569" i="19"/>
  <c r="AM569" i="19" s="1"/>
  <c r="AL570" i="19"/>
  <c r="AM570" i="19" s="1"/>
  <c r="AL571" i="19"/>
  <c r="AM571" i="19" s="1"/>
  <c r="AL572" i="19"/>
  <c r="AM572" i="19" s="1"/>
  <c r="AL573" i="19"/>
  <c r="AM573" i="19" s="1"/>
  <c r="AL574" i="19"/>
  <c r="AM574" i="19" s="1"/>
  <c r="AL575" i="19"/>
  <c r="AM575" i="19" s="1"/>
  <c r="AL576" i="19"/>
  <c r="AM576" i="19" s="1"/>
  <c r="AL577" i="19"/>
  <c r="AM577" i="19" s="1"/>
  <c r="AL578" i="19"/>
  <c r="AM578" i="19" s="1"/>
  <c r="AL579" i="19"/>
  <c r="AM579" i="19" s="1"/>
  <c r="AL580" i="19"/>
  <c r="AM580" i="19" s="1"/>
  <c r="AL581" i="19"/>
  <c r="AM581" i="19" s="1"/>
  <c r="AL582" i="19"/>
  <c r="AM582" i="19" s="1"/>
  <c r="AL583" i="19"/>
  <c r="AM583" i="19" s="1"/>
  <c r="AL584" i="19"/>
  <c r="AM584" i="19" s="1"/>
  <c r="AL585" i="19"/>
  <c r="AM585" i="19" s="1"/>
  <c r="AL586" i="19"/>
  <c r="AM586" i="19" s="1"/>
  <c r="AL587" i="19"/>
  <c r="AM587" i="19" s="1"/>
  <c r="AL588" i="19"/>
  <c r="AM588" i="19" s="1"/>
  <c r="AL589" i="19"/>
  <c r="AM589" i="19" s="1"/>
  <c r="AL590" i="19"/>
  <c r="AM590" i="19" s="1"/>
  <c r="AL591" i="19"/>
  <c r="AM591" i="19" s="1"/>
  <c r="AL592" i="19"/>
  <c r="AM592" i="19" s="1"/>
  <c r="AL593" i="19"/>
  <c r="AM593" i="19" s="1"/>
  <c r="AL594" i="19"/>
  <c r="AM594" i="19" s="1"/>
  <c r="AL595" i="19"/>
  <c r="AM595" i="19" s="1"/>
  <c r="AL596" i="19"/>
  <c r="AM596" i="19" s="1"/>
  <c r="AL597" i="19"/>
  <c r="AM597" i="19" s="1"/>
  <c r="AL598" i="19"/>
  <c r="AM598" i="19" s="1"/>
  <c r="AL599" i="19"/>
  <c r="AM599" i="19" s="1"/>
  <c r="AL600" i="19"/>
  <c r="AM600" i="19" s="1"/>
  <c r="AL601" i="19"/>
  <c r="AM601" i="19" s="1"/>
  <c r="AL602" i="19"/>
  <c r="AM602" i="19" s="1"/>
  <c r="AL603" i="19"/>
  <c r="AM603" i="19" s="1"/>
  <c r="AL604" i="19"/>
  <c r="AM604" i="19" s="1"/>
  <c r="AL605" i="19"/>
  <c r="AM605" i="19" s="1"/>
  <c r="AL606" i="19"/>
  <c r="AM606" i="19" s="1"/>
  <c r="AL607" i="19"/>
  <c r="AM607" i="19" s="1"/>
  <c r="AL608" i="19"/>
  <c r="AM608" i="19" s="1"/>
  <c r="AL645" i="19"/>
  <c r="AM645" i="19" s="1"/>
  <c r="AL646" i="19"/>
  <c r="AM646" i="19" s="1"/>
  <c r="AL647" i="19"/>
  <c r="AM647" i="19" s="1"/>
  <c r="AL648" i="19"/>
  <c r="AM648" i="19" s="1"/>
  <c r="AL649" i="19"/>
  <c r="AM649" i="19" s="1"/>
  <c r="AL650" i="19"/>
  <c r="AM650" i="19" s="1"/>
  <c r="AL651" i="19"/>
  <c r="AM651" i="19" s="1"/>
  <c r="AL652" i="19"/>
  <c r="AM652" i="19" s="1"/>
  <c r="AL653" i="19"/>
  <c r="AM653" i="19" s="1"/>
  <c r="AL654" i="19"/>
  <c r="AM654" i="19" s="1"/>
  <c r="AL655" i="19"/>
  <c r="AM655" i="19" s="1"/>
  <c r="AL656" i="19"/>
  <c r="AM656" i="19" s="1"/>
  <c r="AL669" i="19"/>
  <c r="AM669" i="19" s="1"/>
  <c r="AL670" i="19"/>
  <c r="AM670" i="19" s="1"/>
  <c r="AL671" i="19"/>
  <c r="AM671" i="19" s="1"/>
  <c r="AL672" i="19"/>
  <c r="AM672" i="19" s="1"/>
  <c r="AL673" i="19"/>
  <c r="AM673" i="19" s="1"/>
  <c r="AL674" i="19"/>
  <c r="AM674" i="19" s="1"/>
  <c r="AL675" i="19"/>
  <c r="AM675" i="19" s="1"/>
  <c r="AL676" i="19"/>
  <c r="AM676" i="19" s="1"/>
  <c r="AL677" i="19"/>
  <c r="AM677" i="19" s="1"/>
  <c r="AL678" i="19"/>
  <c r="AM678" i="19" s="1"/>
  <c r="AL679" i="19"/>
  <c r="AM679" i="19" s="1"/>
  <c r="AL680" i="19"/>
  <c r="AM680" i="19" s="1"/>
  <c r="AL681" i="19"/>
  <c r="AM681" i="19" s="1"/>
  <c r="AL682" i="19"/>
  <c r="AM682" i="19" s="1"/>
  <c r="AL683" i="19"/>
  <c r="AM683" i="19" s="1"/>
  <c r="AL684" i="19"/>
  <c r="AM684" i="19" s="1"/>
  <c r="AL685" i="19"/>
  <c r="AM685" i="19" s="1"/>
  <c r="AL686" i="19"/>
  <c r="AM686" i="19" s="1"/>
  <c r="AL693" i="19"/>
  <c r="AM693" i="19" s="1"/>
  <c r="AL694" i="19"/>
  <c r="AM694" i="19" s="1"/>
  <c r="AL695" i="19"/>
  <c r="AM695" i="19" s="1"/>
  <c r="AL696" i="19"/>
  <c r="AM696" i="19" s="1"/>
  <c r="AL697" i="19"/>
  <c r="AM697" i="19" s="1"/>
  <c r="AL698" i="19"/>
  <c r="AM698" i="19" s="1"/>
  <c r="AL711" i="19"/>
  <c r="AM711" i="19" s="1"/>
  <c r="AL712" i="19"/>
  <c r="AM712" i="19" s="1"/>
  <c r="AL713" i="19"/>
  <c r="AM713" i="19" s="1"/>
  <c r="AL714" i="19"/>
  <c r="AM714" i="19" s="1"/>
  <c r="AL715" i="19"/>
  <c r="AM715" i="19" s="1"/>
  <c r="AL716" i="19"/>
  <c r="AM716" i="19" s="1"/>
  <c r="AL729" i="19"/>
  <c r="AM729" i="19" s="1"/>
  <c r="AL730" i="19"/>
  <c r="AM730" i="19" s="1"/>
  <c r="AL731" i="19"/>
  <c r="AM731" i="19" s="1"/>
  <c r="AL732" i="19"/>
  <c r="AM732" i="19" s="1"/>
  <c r="AL733" i="19"/>
  <c r="AM733" i="19" s="1"/>
  <c r="AL734" i="19"/>
  <c r="AM734" i="19" s="1"/>
  <c r="AL735" i="19"/>
  <c r="AM735" i="19" s="1"/>
  <c r="AL736" i="19"/>
  <c r="AM736" i="19" s="1"/>
  <c r="AL737" i="19"/>
  <c r="AM737" i="19" s="1"/>
  <c r="AL738" i="19"/>
  <c r="AM738" i="19" s="1"/>
  <c r="AL739" i="19"/>
  <c r="AM739" i="19" s="1"/>
  <c r="AL740" i="19"/>
  <c r="AM740" i="19" s="1"/>
  <c r="AL741" i="19"/>
  <c r="AM741" i="19" s="1"/>
  <c r="AL742" i="19"/>
  <c r="AM742" i="19" s="1"/>
  <c r="AL743" i="19"/>
  <c r="AM743" i="19" s="1"/>
  <c r="AL744" i="19"/>
  <c r="AM744" i="19" s="1"/>
  <c r="AL745" i="19"/>
  <c r="AM745" i="19" s="1"/>
  <c r="AL746" i="19"/>
  <c r="AM746" i="19" s="1"/>
  <c r="AL747" i="19"/>
  <c r="AM747" i="19" s="1"/>
  <c r="AL748" i="19"/>
  <c r="AM748" i="19" s="1"/>
  <c r="AL749" i="19"/>
  <c r="AM749" i="19" s="1"/>
  <c r="AL750" i="19"/>
  <c r="AM750" i="19" s="1"/>
  <c r="AL751" i="19"/>
  <c r="AM751" i="19" s="1"/>
  <c r="AL752" i="19"/>
  <c r="AM752" i="19" s="1"/>
  <c r="AL753" i="19"/>
  <c r="AM753" i="19" s="1"/>
  <c r="AL754" i="19"/>
  <c r="AM754" i="19" s="1"/>
  <c r="AL755" i="19"/>
  <c r="AM755" i="19" s="1"/>
  <c r="AL756" i="19"/>
  <c r="AM756" i="19" s="1"/>
  <c r="AL757" i="19"/>
  <c r="AM757" i="19" s="1"/>
  <c r="AL758" i="19"/>
  <c r="AM758" i="19" s="1"/>
  <c r="AL759" i="19"/>
  <c r="AM759" i="19" s="1"/>
  <c r="AL760" i="19"/>
  <c r="AM760" i="19" s="1"/>
  <c r="AL761" i="19"/>
  <c r="AM761" i="19" s="1"/>
  <c r="AL762" i="19"/>
  <c r="AM762" i="19" s="1"/>
  <c r="AL763" i="19"/>
  <c r="AM763" i="19" s="1"/>
  <c r="AL764" i="19"/>
  <c r="AM764" i="19" s="1"/>
  <c r="AL765" i="19"/>
  <c r="AM765" i="19" s="1"/>
  <c r="AL766" i="19"/>
  <c r="AM766" i="19" s="1"/>
  <c r="AL767" i="19"/>
  <c r="AM767" i="19" s="1"/>
  <c r="AL768" i="19"/>
  <c r="AM768" i="19" s="1"/>
  <c r="AL769" i="19"/>
  <c r="AM769" i="19" s="1"/>
  <c r="AL770" i="19"/>
  <c r="AM770" i="19" s="1"/>
  <c r="AL771" i="19"/>
  <c r="AM771" i="19" s="1"/>
  <c r="AL772" i="19"/>
  <c r="AM772" i="19" s="1"/>
  <c r="AL773" i="19"/>
  <c r="AM773" i="19" s="1"/>
  <c r="AL774" i="19"/>
  <c r="AM774" i="19" s="1"/>
  <c r="AL775" i="19"/>
  <c r="AM775" i="19" s="1"/>
  <c r="AL776" i="19"/>
  <c r="AM776" i="19" s="1"/>
  <c r="AL777" i="19"/>
  <c r="AM777" i="19" s="1"/>
  <c r="AL778" i="19"/>
  <c r="AM778" i="19" s="1"/>
  <c r="AL779" i="19"/>
  <c r="AM779" i="19" s="1"/>
  <c r="AL780" i="19"/>
  <c r="AM780" i="19" s="1"/>
  <c r="AL781" i="19"/>
  <c r="AM781" i="19" s="1"/>
  <c r="AL782" i="19"/>
  <c r="AM782" i="19" s="1"/>
  <c r="AL783" i="19"/>
  <c r="AM783" i="19" s="1"/>
  <c r="AL784" i="19"/>
  <c r="AM784" i="19" s="1"/>
  <c r="AL785" i="19"/>
  <c r="AM785" i="19" s="1"/>
  <c r="AL786" i="19"/>
  <c r="AM786" i="19" s="1"/>
  <c r="AL787" i="19"/>
  <c r="AM787" i="19" s="1"/>
  <c r="AL788" i="19"/>
  <c r="AM788" i="19" s="1"/>
  <c r="AL789" i="19"/>
  <c r="AM789" i="19" s="1"/>
  <c r="AL790" i="19"/>
  <c r="AM790" i="19" s="1"/>
  <c r="AL791" i="19"/>
  <c r="AM791" i="19" s="1"/>
  <c r="AL792" i="19"/>
  <c r="AM792" i="19" s="1"/>
  <c r="AL793" i="19"/>
  <c r="AM793" i="19" s="1"/>
  <c r="AL794" i="19"/>
  <c r="AM794" i="19" s="1"/>
  <c r="L56" i="46"/>
  <c r="I58" i="46"/>
  <c r="I59" i="46"/>
  <c r="I60" i="46"/>
  <c r="I61" i="46"/>
  <c r="I62" i="46"/>
  <c r="I63" i="46"/>
  <c r="I64" i="46"/>
  <c r="I65" i="46"/>
  <c r="I66" i="46"/>
  <c r="I67" i="46"/>
  <c r="I68" i="46"/>
  <c r="I69" i="46"/>
  <c r="I70" i="46"/>
  <c r="I71" i="46"/>
  <c r="I72" i="46"/>
  <c r="I73" i="46"/>
  <c r="I74" i="46"/>
  <c r="I75" i="46"/>
  <c r="I76" i="46"/>
  <c r="I77" i="46"/>
  <c r="I78" i="46"/>
  <c r="I79" i="46"/>
  <c r="I80" i="46"/>
  <c r="I81" i="46"/>
  <c r="I82" i="46"/>
  <c r="I83" i="46"/>
  <c r="I84" i="46"/>
  <c r="I85" i="46"/>
  <c r="I86" i="46"/>
  <c r="I87" i="46"/>
  <c r="I88" i="46"/>
  <c r="I89" i="46"/>
  <c r="I90" i="46"/>
  <c r="I91" i="46"/>
  <c r="I92" i="46"/>
  <c r="I93" i="46"/>
  <c r="I94" i="46"/>
  <c r="I95" i="46"/>
  <c r="I96" i="46"/>
  <c r="I97" i="46"/>
  <c r="I98" i="46"/>
  <c r="I99" i="46"/>
  <c r="I100" i="46"/>
  <c r="I101" i="46"/>
  <c r="I102" i="46"/>
  <c r="I103" i="46"/>
  <c r="I104" i="46"/>
  <c r="I105" i="46"/>
  <c r="I106" i="46"/>
  <c r="I107" i="46"/>
  <c r="I108" i="46"/>
  <c r="I109" i="46"/>
  <c r="I110" i="46"/>
  <c r="I111" i="46"/>
  <c r="I112" i="46"/>
  <c r="I113" i="46"/>
  <c r="I114" i="46"/>
  <c r="I115" i="46"/>
  <c r="I116" i="46"/>
  <c r="I117" i="46"/>
  <c r="I118" i="46"/>
  <c r="I119" i="46"/>
  <c r="I120" i="46"/>
  <c r="I121" i="46"/>
  <c r="I122" i="46"/>
  <c r="I123" i="46"/>
  <c r="I124" i="46"/>
  <c r="I125" i="46"/>
  <c r="I126" i="46"/>
  <c r="I127" i="46"/>
  <c r="I128" i="46"/>
  <c r="I129" i="46"/>
  <c r="I130" i="46"/>
  <c r="I131" i="46"/>
  <c r="I132" i="46"/>
  <c r="I133" i="46"/>
  <c r="I134" i="46"/>
  <c r="I135" i="46"/>
  <c r="I136" i="46"/>
  <c r="I137" i="46"/>
  <c r="I138" i="46"/>
  <c r="I139" i="46"/>
  <c r="I140" i="46"/>
  <c r="I141" i="46"/>
  <c r="I142" i="46"/>
  <c r="I143" i="46"/>
  <c r="I144" i="46"/>
  <c r="I145" i="46"/>
  <c r="I146" i="46"/>
  <c r="I147" i="46"/>
  <c r="I148" i="46"/>
  <c r="I149" i="46"/>
  <c r="I150" i="46"/>
  <c r="I151" i="46"/>
  <c r="I152" i="46"/>
  <c r="I153" i="46"/>
  <c r="I154" i="46"/>
  <c r="I155" i="46"/>
  <c r="I156" i="46"/>
  <c r="I157" i="46"/>
  <c r="I158" i="46"/>
  <c r="I159" i="46"/>
  <c r="I160" i="46"/>
  <c r="I161" i="46"/>
  <c r="I162" i="46"/>
  <c r="I163" i="46"/>
  <c r="I164" i="46"/>
  <c r="I165" i="46"/>
  <c r="I166" i="46"/>
  <c r="I167" i="46"/>
  <c r="I168" i="46"/>
  <c r="I169" i="46"/>
  <c r="I170" i="46"/>
  <c r="I171" i="46"/>
  <c r="I172" i="46"/>
  <c r="I173" i="46"/>
  <c r="I174" i="46"/>
  <c r="I175" i="46"/>
  <c r="I176" i="46"/>
  <c r="I177" i="46"/>
  <c r="I178" i="46"/>
  <c r="I179" i="46"/>
  <c r="I180" i="46"/>
  <c r="I181" i="46"/>
  <c r="I182" i="46"/>
  <c r="I183" i="46"/>
  <c r="I184" i="46"/>
  <c r="I185" i="46"/>
  <c r="I186" i="46"/>
  <c r="I187" i="46"/>
  <c r="I188" i="46"/>
  <c r="I189" i="46"/>
  <c r="I190" i="46"/>
  <c r="I191" i="46"/>
  <c r="I192" i="46"/>
  <c r="I193" i="46"/>
  <c r="I194" i="46"/>
  <c r="I195" i="46"/>
  <c r="I196" i="46"/>
  <c r="I197" i="46"/>
  <c r="I198" i="46"/>
  <c r="I199" i="46"/>
  <c r="I200" i="46"/>
  <c r="I201" i="46"/>
  <c r="I202" i="46"/>
  <c r="I203" i="46"/>
  <c r="I204" i="46"/>
  <c r="I205" i="46"/>
  <c r="I206" i="46"/>
  <c r="I207" i="46"/>
  <c r="I208" i="46"/>
  <c r="I209" i="46"/>
  <c r="I210" i="46"/>
  <c r="I211" i="46"/>
  <c r="I212" i="46"/>
  <c r="I213" i="46"/>
  <c r="I214" i="46"/>
  <c r="I215" i="46"/>
  <c r="I216" i="46"/>
  <c r="I217" i="46"/>
  <c r="I218" i="46"/>
  <c r="I219" i="46"/>
  <c r="I220" i="46"/>
  <c r="I221" i="46"/>
  <c r="I222" i="46"/>
  <c r="I223" i="46"/>
  <c r="I224" i="46"/>
  <c r="I225" i="46"/>
  <c r="I226" i="46"/>
  <c r="I227" i="46"/>
  <c r="I228" i="46"/>
  <c r="I229" i="46"/>
  <c r="I230" i="46"/>
  <c r="I231" i="46"/>
  <c r="I232" i="46"/>
  <c r="I233" i="46"/>
  <c r="I234" i="46"/>
  <c r="I235" i="46"/>
  <c r="I236" i="46"/>
  <c r="I237" i="46"/>
  <c r="I238" i="46"/>
  <c r="I239" i="46"/>
  <c r="I240" i="46"/>
  <c r="I241" i="46"/>
  <c r="I242" i="46"/>
  <c r="I243" i="46"/>
  <c r="I244" i="46"/>
  <c r="I245" i="46"/>
  <c r="I246" i="46"/>
  <c r="I247" i="46"/>
  <c r="I248" i="46"/>
  <c r="I249" i="46"/>
  <c r="I250" i="46"/>
  <c r="I251" i="46"/>
  <c r="I252" i="46"/>
  <c r="I253" i="46"/>
  <c r="I254" i="46"/>
  <c r="I255" i="46"/>
  <c r="I256" i="46"/>
  <c r="I257" i="46"/>
  <c r="I258" i="46"/>
  <c r="I259" i="46"/>
  <c r="I260" i="46"/>
  <c r="I261" i="46"/>
  <c r="I262" i="46"/>
  <c r="I263" i="46"/>
  <c r="I264" i="46"/>
  <c r="I265" i="46"/>
  <c r="I266" i="46"/>
  <c r="I267" i="46"/>
  <c r="I268" i="46"/>
  <c r="I269" i="46"/>
  <c r="I270" i="46"/>
  <c r="I271" i="46"/>
  <c r="I272" i="46"/>
  <c r="I273" i="46"/>
  <c r="I274" i="46"/>
  <c r="I275" i="46"/>
  <c r="I276" i="46"/>
  <c r="I277" i="46"/>
  <c r="I278" i="46"/>
  <c r="I279" i="46"/>
  <c r="I280" i="46"/>
  <c r="I281" i="46"/>
  <c r="I282" i="46"/>
  <c r="I283" i="46"/>
  <c r="I284" i="46"/>
  <c r="I285" i="46"/>
  <c r="I286" i="46"/>
  <c r="I287" i="46"/>
  <c r="I288" i="46"/>
  <c r="I289" i="46"/>
  <c r="I290" i="46"/>
  <c r="I291" i="46"/>
  <c r="I292" i="46"/>
  <c r="I293" i="46"/>
  <c r="I294" i="46"/>
  <c r="I295" i="46"/>
  <c r="I296" i="46"/>
  <c r="I297" i="46"/>
  <c r="I298" i="46"/>
  <c r="I299" i="46"/>
  <c r="I300" i="46"/>
  <c r="I301" i="46"/>
  <c r="I302" i="46"/>
  <c r="I303" i="46"/>
  <c r="I304" i="46"/>
  <c r="I305" i="46"/>
  <c r="I306" i="46"/>
  <c r="I307" i="46"/>
  <c r="I308" i="46"/>
  <c r="I309" i="46"/>
  <c r="I310" i="46"/>
  <c r="I311" i="46"/>
  <c r="I312" i="46"/>
  <c r="I313" i="46"/>
  <c r="I314" i="46"/>
  <c r="I315" i="46"/>
  <c r="I316" i="46"/>
  <c r="I317" i="46"/>
  <c r="I318" i="46"/>
  <c r="I319" i="46"/>
  <c r="I320" i="46"/>
  <c r="I321" i="46"/>
  <c r="I322" i="46"/>
  <c r="I323" i="46"/>
  <c r="I324" i="46"/>
  <c r="I325" i="46"/>
  <c r="I326" i="46"/>
  <c r="I327" i="46"/>
  <c r="I328" i="46"/>
  <c r="I329" i="46"/>
  <c r="I330" i="46"/>
  <c r="I331" i="46"/>
  <c r="I332" i="46"/>
  <c r="I333" i="46"/>
  <c r="I334" i="46"/>
  <c r="I335" i="46"/>
  <c r="I336" i="46"/>
  <c r="I337" i="46"/>
  <c r="I338" i="46"/>
  <c r="I339" i="46"/>
  <c r="I340" i="46"/>
  <c r="I341" i="46"/>
  <c r="I342" i="46"/>
  <c r="I343" i="46"/>
  <c r="I344" i="46"/>
  <c r="I345" i="46"/>
  <c r="I346" i="46"/>
  <c r="I347" i="46"/>
  <c r="I348" i="46"/>
  <c r="I349" i="46"/>
  <c r="I350" i="46"/>
  <c r="I351" i="46"/>
  <c r="I352" i="46"/>
  <c r="I353" i="46"/>
  <c r="I354" i="46"/>
  <c r="I355" i="46"/>
  <c r="I356" i="46"/>
  <c r="I357" i="46"/>
  <c r="I358" i="46"/>
  <c r="I359" i="46"/>
  <c r="I360" i="46"/>
  <c r="I361" i="46"/>
  <c r="I362" i="46"/>
  <c r="I363" i="46"/>
  <c r="I364" i="46"/>
  <c r="I365" i="46"/>
  <c r="I366" i="46"/>
  <c r="I367" i="46"/>
  <c r="I368" i="46"/>
  <c r="I369" i="46"/>
  <c r="I370" i="46"/>
  <c r="I371" i="46"/>
  <c r="I372" i="46"/>
  <c r="I373" i="46"/>
  <c r="I374" i="46"/>
  <c r="I375" i="46"/>
  <c r="I376" i="46"/>
  <c r="I377" i="46"/>
  <c r="I378" i="46"/>
  <c r="I379" i="46"/>
  <c r="I380" i="46"/>
  <c r="I381" i="46"/>
  <c r="I382" i="46"/>
  <c r="I383" i="46"/>
  <c r="I384" i="46"/>
  <c r="I385" i="46"/>
  <c r="I386" i="46"/>
  <c r="I387" i="46"/>
  <c r="I388" i="46"/>
  <c r="I389" i="46"/>
  <c r="I390" i="46"/>
  <c r="I391" i="46"/>
  <c r="I392" i="46"/>
  <c r="I393" i="46"/>
  <c r="I394" i="46"/>
  <c r="I395" i="46"/>
  <c r="I396" i="46"/>
  <c r="I397" i="46"/>
  <c r="I398" i="46"/>
  <c r="I399" i="46"/>
  <c r="I400" i="46"/>
  <c r="I401" i="46"/>
  <c r="I402" i="46"/>
  <c r="I403" i="46"/>
  <c r="I404" i="46"/>
  <c r="I405" i="46"/>
  <c r="I406" i="46"/>
  <c r="I407" i="46"/>
  <c r="I408" i="46"/>
  <c r="I409" i="46"/>
  <c r="I410" i="46"/>
  <c r="I411" i="46"/>
  <c r="I412" i="46"/>
  <c r="I413" i="46"/>
  <c r="I414" i="46"/>
  <c r="I415" i="46"/>
  <c r="I416" i="46"/>
  <c r="I417" i="46"/>
  <c r="I418" i="46"/>
  <c r="I419" i="46"/>
  <c r="I420" i="46"/>
  <c r="I421" i="46"/>
  <c r="I422" i="46"/>
  <c r="I423" i="46"/>
  <c r="I424" i="46"/>
  <c r="I425" i="46"/>
  <c r="I426" i="46"/>
  <c r="I427" i="46"/>
  <c r="I428" i="46"/>
  <c r="I429" i="46"/>
  <c r="I430" i="46"/>
  <c r="I431" i="46"/>
  <c r="I432" i="46"/>
  <c r="I433" i="46"/>
  <c r="I434" i="46"/>
  <c r="I435" i="46"/>
  <c r="I436" i="46"/>
  <c r="I437" i="46"/>
  <c r="I438" i="46"/>
  <c r="I439" i="46"/>
  <c r="I440" i="46"/>
  <c r="I441" i="46"/>
  <c r="I442" i="46"/>
  <c r="I443" i="46"/>
  <c r="I444" i="46"/>
  <c r="I445" i="46"/>
  <c r="I446" i="46"/>
  <c r="I447" i="46"/>
  <c r="I448" i="46"/>
  <c r="I449" i="46"/>
  <c r="I450" i="46"/>
  <c r="I451" i="46"/>
  <c r="I452" i="46"/>
  <c r="I453" i="46"/>
  <c r="I454" i="46"/>
  <c r="I455" i="46"/>
  <c r="I456" i="46"/>
  <c r="I457" i="46"/>
  <c r="I458" i="46"/>
  <c r="I459" i="46"/>
  <c r="I460" i="46"/>
  <c r="I461" i="46"/>
  <c r="I462" i="46"/>
  <c r="I463" i="46"/>
  <c r="I464" i="46"/>
  <c r="I465" i="46"/>
  <c r="I466" i="46"/>
  <c r="I467" i="46"/>
  <c r="I468" i="46"/>
  <c r="I469" i="46"/>
  <c r="I470" i="46"/>
  <c r="I471" i="46"/>
  <c r="I472" i="46"/>
  <c r="I473" i="46"/>
  <c r="I474" i="46"/>
  <c r="I475" i="46"/>
  <c r="I476" i="46"/>
  <c r="I477" i="46"/>
  <c r="I478" i="46"/>
  <c r="I479" i="46"/>
  <c r="I480" i="46"/>
  <c r="I481" i="46"/>
  <c r="I482" i="46"/>
  <c r="I483" i="46"/>
  <c r="I484" i="46"/>
  <c r="I485" i="46"/>
  <c r="I486" i="46"/>
  <c r="I487" i="46"/>
  <c r="I488" i="46"/>
  <c r="I489" i="46"/>
  <c r="I490" i="46"/>
  <c r="I491" i="46"/>
  <c r="I492" i="46"/>
  <c r="I493" i="46"/>
  <c r="I494" i="46"/>
  <c r="I495" i="46"/>
  <c r="I496" i="46"/>
  <c r="I497" i="46"/>
  <c r="I498" i="46"/>
  <c r="I499" i="46"/>
  <c r="I500" i="46"/>
  <c r="I501" i="46"/>
  <c r="I502" i="46"/>
  <c r="I503" i="46"/>
  <c r="I504" i="46"/>
  <c r="I505" i="46"/>
  <c r="I506" i="46"/>
  <c r="I507" i="46"/>
  <c r="I508" i="46"/>
  <c r="I509" i="46"/>
  <c r="I510" i="46"/>
  <c r="I511" i="46"/>
  <c r="I512" i="46"/>
  <c r="I513" i="46"/>
  <c r="I514" i="46"/>
  <c r="I515" i="46"/>
  <c r="I516" i="46"/>
  <c r="I517" i="46"/>
  <c r="I518" i="46"/>
  <c r="I519" i="46"/>
  <c r="I520" i="46"/>
  <c r="I521" i="46"/>
  <c r="I522" i="46"/>
  <c r="I523" i="46"/>
  <c r="I524" i="46"/>
  <c r="I525" i="46"/>
  <c r="I526" i="46"/>
  <c r="I527" i="46"/>
  <c r="I528" i="46"/>
  <c r="I529" i="46"/>
  <c r="I530" i="46"/>
  <c r="I531" i="46"/>
  <c r="I532" i="46"/>
  <c r="I533" i="46"/>
  <c r="I534" i="46"/>
  <c r="I535" i="46"/>
  <c r="I536" i="46"/>
  <c r="I537" i="46"/>
  <c r="I538" i="46"/>
  <c r="I539" i="46"/>
  <c r="I540" i="46"/>
  <c r="I541" i="46"/>
  <c r="I542" i="46"/>
  <c r="I543" i="46"/>
  <c r="I544" i="46"/>
  <c r="I545" i="46"/>
  <c r="I546" i="46"/>
  <c r="I547" i="46"/>
  <c r="I548" i="46"/>
  <c r="I549" i="46"/>
  <c r="I550" i="46"/>
  <c r="I551" i="46"/>
  <c r="I552" i="46"/>
  <c r="I553" i="46"/>
  <c r="I554" i="46"/>
  <c r="I555" i="46"/>
  <c r="I556" i="46"/>
  <c r="I557" i="46"/>
  <c r="I558" i="46"/>
  <c r="I559" i="46"/>
  <c r="I560" i="46"/>
  <c r="I561" i="46"/>
  <c r="I562" i="46"/>
  <c r="I563" i="46"/>
  <c r="I564" i="46"/>
  <c r="I565" i="46"/>
  <c r="I566" i="46"/>
  <c r="I567" i="46"/>
  <c r="I568" i="46"/>
  <c r="I569" i="46"/>
  <c r="I570" i="46"/>
  <c r="I571" i="46"/>
  <c r="I572" i="46"/>
  <c r="I573" i="46"/>
  <c r="I574" i="46"/>
  <c r="I575" i="46"/>
  <c r="I576" i="46"/>
  <c r="I577" i="46"/>
  <c r="I578" i="46"/>
  <c r="I579" i="46"/>
  <c r="I580" i="46"/>
  <c r="I581" i="46"/>
  <c r="I582" i="46"/>
  <c r="I583" i="46"/>
  <c r="I584" i="46"/>
  <c r="I585" i="46"/>
  <c r="I586" i="46"/>
  <c r="I587" i="46"/>
  <c r="I588" i="46"/>
  <c r="I589" i="46"/>
  <c r="I590" i="46"/>
  <c r="I591" i="46"/>
  <c r="I592" i="46"/>
  <c r="I593" i="46"/>
  <c r="I594" i="46"/>
  <c r="I595" i="46"/>
  <c r="I596" i="46"/>
  <c r="I597" i="46"/>
  <c r="I598" i="46"/>
  <c r="I599" i="46"/>
  <c r="I600" i="46"/>
  <c r="I601" i="46"/>
  <c r="I602" i="46"/>
  <c r="I603" i="46"/>
  <c r="I604" i="46"/>
  <c r="I605" i="46"/>
  <c r="I606" i="46"/>
  <c r="I607" i="46"/>
  <c r="I608" i="46"/>
  <c r="I609" i="46"/>
  <c r="I610" i="46"/>
  <c r="I611" i="46"/>
  <c r="I612" i="46"/>
  <c r="I613" i="46"/>
  <c r="I614" i="46"/>
  <c r="I615" i="46"/>
  <c r="I616" i="46"/>
  <c r="I617" i="46"/>
  <c r="I618" i="46"/>
  <c r="I619" i="46"/>
  <c r="I620" i="46"/>
  <c r="I621" i="46"/>
  <c r="I622" i="46"/>
  <c r="I623" i="46"/>
  <c r="I624" i="46"/>
  <c r="I625" i="46"/>
  <c r="I626" i="46"/>
  <c r="I627" i="46"/>
  <c r="I628" i="46"/>
  <c r="I629" i="46"/>
  <c r="I630" i="46"/>
  <c r="I631" i="46"/>
  <c r="I632" i="46"/>
  <c r="I633" i="46"/>
  <c r="I634" i="46"/>
  <c r="I635" i="46"/>
  <c r="I636" i="46"/>
  <c r="I637" i="46"/>
  <c r="I638" i="46"/>
  <c r="I639" i="46"/>
  <c r="I640" i="46"/>
  <c r="I641" i="46"/>
  <c r="I642" i="46"/>
  <c r="I643" i="46"/>
  <c r="I644" i="46"/>
  <c r="I645" i="46"/>
  <c r="I646" i="46"/>
  <c r="I647" i="46"/>
  <c r="I648" i="46"/>
  <c r="I649" i="46"/>
  <c r="I650" i="46"/>
  <c r="I651" i="46"/>
  <c r="I652" i="46"/>
  <c r="I653" i="46"/>
  <c r="I654" i="46"/>
  <c r="I655" i="46"/>
  <c r="I656" i="46"/>
  <c r="I657" i="46"/>
  <c r="I658" i="46"/>
  <c r="I659" i="46"/>
  <c r="I660" i="46"/>
  <c r="I661" i="46"/>
  <c r="I662" i="46"/>
  <c r="I663" i="46"/>
  <c r="I664" i="46"/>
  <c r="I665" i="46"/>
  <c r="I666" i="46"/>
  <c r="I667" i="46"/>
  <c r="I668" i="46"/>
  <c r="I669" i="46"/>
  <c r="I670" i="46"/>
  <c r="I671" i="46"/>
  <c r="I672" i="46"/>
  <c r="I673" i="46"/>
  <c r="I674" i="46"/>
  <c r="I675" i="46"/>
  <c r="I676" i="46"/>
  <c r="I677" i="46"/>
  <c r="I678" i="46"/>
  <c r="I679" i="46"/>
  <c r="I680" i="46"/>
  <c r="I681" i="46"/>
  <c r="I682" i="46"/>
  <c r="I683" i="46"/>
  <c r="I684" i="46"/>
  <c r="I685" i="46"/>
  <c r="I686" i="46"/>
  <c r="I687" i="46"/>
  <c r="I688" i="46"/>
  <c r="I689" i="46"/>
  <c r="I690" i="46"/>
  <c r="I691" i="46"/>
  <c r="I692" i="46"/>
  <c r="I693" i="46"/>
  <c r="I694" i="46"/>
  <c r="I695" i="46"/>
  <c r="I696" i="46"/>
  <c r="I697" i="46"/>
  <c r="I698" i="46"/>
  <c r="I699" i="46"/>
  <c r="I700" i="46"/>
  <c r="I701" i="46"/>
  <c r="I702" i="46"/>
  <c r="I703" i="46"/>
  <c r="I704" i="46"/>
  <c r="I705" i="46"/>
  <c r="I706" i="46"/>
  <c r="I707" i="46"/>
  <c r="I708" i="46"/>
  <c r="I709" i="46"/>
  <c r="I710" i="46"/>
  <c r="I711" i="46"/>
  <c r="I712" i="46"/>
  <c r="I713" i="46"/>
  <c r="I714" i="46"/>
  <c r="I715" i="46"/>
  <c r="I716" i="46"/>
  <c r="I717" i="46"/>
  <c r="I718" i="46"/>
  <c r="I719" i="46"/>
  <c r="I720" i="46"/>
  <c r="I721" i="46"/>
  <c r="I722" i="46"/>
  <c r="I723" i="46"/>
  <c r="I724" i="46"/>
  <c r="I725" i="46"/>
  <c r="I726" i="46"/>
  <c r="I727" i="46"/>
  <c r="I728" i="46"/>
  <c r="I729" i="46"/>
  <c r="I730" i="46"/>
  <c r="I731" i="46"/>
  <c r="I732" i="46"/>
  <c r="I733" i="46"/>
  <c r="I734" i="46"/>
  <c r="I735" i="46"/>
  <c r="I736" i="46"/>
  <c r="I737" i="46"/>
  <c r="I738" i="46"/>
  <c r="I739" i="46"/>
  <c r="I740" i="46"/>
  <c r="I741" i="46"/>
  <c r="I742" i="46"/>
  <c r="I743" i="46"/>
  <c r="I744" i="46"/>
  <c r="I745" i="46"/>
  <c r="I746" i="46"/>
  <c r="I747" i="46"/>
  <c r="I748" i="46"/>
  <c r="I749" i="46"/>
  <c r="I750" i="46"/>
  <c r="I751" i="46"/>
  <c r="I752" i="46"/>
  <c r="I753" i="46"/>
  <c r="I754" i="46"/>
  <c r="I755" i="46"/>
  <c r="I756" i="46"/>
  <c r="I757" i="46"/>
  <c r="H58" i="46"/>
  <c r="H59" i="46"/>
  <c r="H60" i="46"/>
  <c r="H61" i="46"/>
  <c r="H62" i="46"/>
  <c r="H63" i="46"/>
  <c r="H64" i="46"/>
  <c r="H65" i="46"/>
  <c r="H66" i="46"/>
  <c r="H67" i="46"/>
  <c r="H68" i="46"/>
  <c r="H69" i="46"/>
  <c r="H70" i="46"/>
  <c r="H71" i="46"/>
  <c r="H72" i="46"/>
  <c r="H73" i="46"/>
  <c r="H74" i="46"/>
  <c r="H75" i="46"/>
  <c r="H76" i="46"/>
  <c r="H77" i="46"/>
  <c r="H78" i="46"/>
  <c r="H79" i="46"/>
  <c r="H80" i="46"/>
  <c r="H81" i="46"/>
  <c r="H82" i="46"/>
  <c r="H83" i="46"/>
  <c r="H84" i="46"/>
  <c r="H85" i="46"/>
  <c r="H86" i="46"/>
  <c r="H87" i="46"/>
  <c r="H88" i="46"/>
  <c r="H89" i="46"/>
  <c r="H90" i="46"/>
  <c r="H91" i="46"/>
  <c r="H92" i="46"/>
  <c r="H93" i="46"/>
  <c r="H94" i="46"/>
  <c r="H95" i="46"/>
  <c r="H96" i="46"/>
  <c r="H97" i="46"/>
  <c r="H98" i="46"/>
  <c r="H99" i="46"/>
  <c r="H100" i="46"/>
  <c r="H101" i="46"/>
  <c r="H102" i="46"/>
  <c r="H103" i="46"/>
  <c r="H104" i="46"/>
  <c r="H105" i="46"/>
  <c r="H106" i="46"/>
  <c r="H107" i="46"/>
  <c r="H108" i="46"/>
  <c r="H109" i="46"/>
  <c r="H110" i="46"/>
  <c r="H111" i="46"/>
  <c r="H112" i="46"/>
  <c r="H113" i="46"/>
  <c r="H114" i="46"/>
  <c r="H115" i="46"/>
  <c r="H116" i="46"/>
  <c r="H117" i="46"/>
  <c r="H118" i="46"/>
  <c r="H119" i="46"/>
  <c r="H120" i="46"/>
  <c r="H121" i="46"/>
  <c r="H122" i="46"/>
  <c r="H123" i="46"/>
  <c r="H124" i="46"/>
  <c r="H125" i="46"/>
  <c r="H126" i="46"/>
  <c r="H127" i="46"/>
  <c r="H128" i="46"/>
  <c r="H129" i="46"/>
  <c r="H130" i="46"/>
  <c r="H131" i="46"/>
  <c r="H132" i="46"/>
  <c r="H133" i="46"/>
  <c r="H134" i="46"/>
  <c r="H135" i="46"/>
  <c r="H136" i="46"/>
  <c r="H137" i="46"/>
  <c r="H138" i="46"/>
  <c r="H139" i="46"/>
  <c r="H140" i="46"/>
  <c r="H141" i="46"/>
  <c r="H142" i="46"/>
  <c r="H143" i="46"/>
  <c r="H144" i="46"/>
  <c r="H145" i="46"/>
  <c r="H146" i="46"/>
  <c r="H147" i="46"/>
  <c r="H148" i="46"/>
  <c r="H149" i="46"/>
  <c r="H150" i="46"/>
  <c r="H151" i="46"/>
  <c r="H152" i="46"/>
  <c r="H153" i="46"/>
  <c r="H154" i="46"/>
  <c r="H155" i="46"/>
  <c r="H156" i="46"/>
  <c r="H157" i="46"/>
  <c r="H158" i="46"/>
  <c r="H159" i="46"/>
  <c r="H160" i="46"/>
  <c r="H161" i="46"/>
  <c r="H162" i="46"/>
  <c r="H163" i="46"/>
  <c r="H164" i="46"/>
  <c r="H165" i="46"/>
  <c r="H166" i="46"/>
  <c r="H167" i="46"/>
  <c r="H168" i="46"/>
  <c r="H169" i="46"/>
  <c r="H170" i="46"/>
  <c r="H171" i="46"/>
  <c r="H172" i="46"/>
  <c r="H173" i="46"/>
  <c r="H174" i="46"/>
  <c r="H175" i="46"/>
  <c r="H176" i="46"/>
  <c r="H177" i="46"/>
  <c r="H178" i="46"/>
  <c r="H179" i="46"/>
  <c r="H180" i="46"/>
  <c r="H181" i="46"/>
  <c r="H182" i="46"/>
  <c r="H183" i="46"/>
  <c r="H184" i="46"/>
  <c r="H185" i="46"/>
  <c r="H186" i="46"/>
  <c r="H187" i="46"/>
  <c r="H188" i="46"/>
  <c r="H189" i="46"/>
  <c r="H190" i="46"/>
  <c r="H191" i="46"/>
  <c r="H192" i="46"/>
  <c r="H193" i="46"/>
  <c r="H194" i="46"/>
  <c r="H195" i="46"/>
  <c r="H196" i="46"/>
  <c r="H197" i="46"/>
  <c r="H198" i="46"/>
  <c r="H199" i="46"/>
  <c r="H200" i="46"/>
  <c r="H201" i="46"/>
  <c r="H202" i="46"/>
  <c r="H203" i="46"/>
  <c r="H204" i="46"/>
  <c r="H205" i="46"/>
  <c r="H206" i="46"/>
  <c r="H207" i="46"/>
  <c r="H208" i="46"/>
  <c r="H209" i="46"/>
  <c r="H210" i="46"/>
  <c r="H211" i="46"/>
  <c r="H212" i="46"/>
  <c r="H213" i="46"/>
  <c r="H214" i="46"/>
  <c r="H215" i="46"/>
  <c r="H216" i="46"/>
  <c r="H217" i="46"/>
  <c r="H218" i="46"/>
  <c r="H219" i="46"/>
  <c r="H220" i="46"/>
  <c r="H221" i="46"/>
  <c r="H222" i="46"/>
  <c r="H223" i="46"/>
  <c r="H224" i="46"/>
  <c r="H225" i="46"/>
  <c r="H226" i="46"/>
  <c r="H227" i="46"/>
  <c r="H228" i="46"/>
  <c r="H229" i="46"/>
  <c r="H230" i="46"/>
  <c r="H231" i="46"/>
  <c r="H232" i="46"/>
  <c r="H233" i="46"/>
  <c r="H234" i="46"/>
  <c r="H235" i="46"/>
  <c r="H236" i="46"/>
  <c r="H237" i="46"/>
  <c r="H238" i="46"/>
  <c r="H239" i="46"/>
  <c r="H240" i="46"/>
  <c r="H241" i="46"/>
  <c r="H242" i="46"/>
  <c r="H243" i="46"/>
  <c r="H244" i="46"/>
  <c r="H245" i="46"/>
  <c r="H246" i="46"/>
  <c r="H247" i="46"/>
  <c r="H248" i="46"/>
  <c r="H249" i="46"/>
  <c r="H250" i="46"/>
  <c r="H251" i="46"/>
  <c r="H252" i="46"/>
  <c r="H253" i="46"/>
  <c r="H254" i="46"/>
  <c r="H255" i="46"/>
  <c r="H256" i="46"/>
  <c r="H257" i="46"/>
  <c r="H258" i="46"/>
  <c r="H259" i="46"/>
  <c r="H260" i="46"/>
  <c r="H261" i="46"/>
  <c r="H262" i="46"/>
  <c r="H263" i="46"/>
  <c r="H264" i="46"/>
  <c r="H265" i="46"/>
  <c r="H266" i="46"/>
  <c r="H267" i="46"/>
  <c r="H268" i="46"/>
  <c r="H269" i="46"/>
  <c r="H270" i="46"/>
  <c r="H271" i="46"/>
  <c r="H272" i="46"/>
  <c r="H273" i="46"/>
  <c r="H274" i="46"/>
  <c r="H275" i="46"/>
  <c r="H276" i="46"/>
  <c r="H277" i="46"/>
  <c r="H278" i="46"/>
  <c r="H279" i="46"/>
  <c r="H280" i="46"/>
  <c r="H281" i="46"/>
  <c r="H282" i="46"/>
  <c r="H283" i="46"/>
  <c r="H284" i="46"/>
  <c r="H285" i="46"/>
  <c r="H286" i="46"/>
  <c r="H287" i="46"/>
  <c r="H288" i="46"/>
  <c r="H289" i="46"/>
  <c r="H290" i="46"/>
  <c r="H291" i="46"/>
  <c r="H292" i="46"/>
  <c r="H293" i="46"/>
  <c r="H294" i="46"/>
  <c r="H295" i="46"/>
  <c r="H296" i="46"/>
  <c r="H297" i="46"/>
  <c r="H298" i="46"/>
  <c r="H299" i="46"/>
  <c r="H300" i="46"/>
  <c r="H301" i="46"/>
  <c r="H302" i="46"/>
  <c r="H303" i="46"/>
  <c r="H304" i="46"/>
  <c r="H305" i="46"/>
  <c r="H306" i="46"/>
  <c r="H307" i="46"/>
  <c r="H308" i="46"/>
  <c r="H309" i="46"/>
  <c r="H310" i="46"/>
  <c r="H311" i="46"/>
  <c r="H312" i="46"/>
  <c r="H313" i="46"/>
  <c r="H314" i="46"/>
  <c r="H315" i="46"/>
  <c r="H316" i="46"/>
  <c r="H317" i="46"/>
  <c r="H318" i="46"/>
  <c r="H319" i="46"/>
  <c r="H320" i="46"/>
  <c r="H321" i="46"/>
  <c r="H322" i="46"/>
  <c r="H323" i="46"/>
  <c r="H324" i="46"/>
  <c r="H325" i="46"/>
  <c r="H326" i="46"/>
  <c r="H327" i="46"/>
  <c r="H328" i="46"/>
  <c r="H329" i="46"/>
  <c r="H330" i="46"/>
  <c r="H331" i="46"/>
  <c r="H332" i="46"/>
  <c r="H333" i="46"/>
  <c r="H334" i="46"/>
  <c r="H335" i="46"/>
  <c r="H336" i="46"/>
  <c r="H337" i="46"/>
  <c r="H338" i="46"/>
  <c r="H339" i="46"/>
  <c r="H340" i="46"/>
  <c r="H341" i="46"/>
  <c r="H342" i="46"/>
  <c r="H343" i="46"/>
  <c r="H344" i="46"/>
  <c r="H345" i="46"/>
  <c r="H346" i="46"/>
  <c r="H347" i="46"/>
  <c r="H348" i="46"/>
  <c r="H349" i="46"/>
  <c r="H350" i="46"/>
  <c r="H351" i="46"/>
  <c r="H352" i="46"/>
  <c r="H353" i="46"/>
  <c r="H354" i="46"/>
  <c r="H355" i="46"/>
  <c r="H356" i="46"/>
  <c r="H357" i="46"/>
  <c r="H358" i="46"/>
  <c r="H359" i="46"/>
  <c r="H360" i="46"/>
  <c r="H361" i="46"/>
  <c r="H362" i="46"/>
  <c r="H363" i="46"/>
  <c r="H364" i="46"/>
  <c r="H365" i="46"/>
  <c r="H366" i="46"/>
  <c r="H367" i="46"/>
  <c r="H368" i="46"/>
  <c r="H369" i="46"/>
  <c r="H370" i="46"/>
  <c r="H371" i="46"/>
  <c r="H372" i="46"/>
  <c r="H373" i="46"/>
  <c r="H374" i="46"/>
  <c r="H375" i="46"/>
  <c r="H376" i="46"/>
  <c r="H377" i="46"/>
  <c r="H378" i="46"/>
  <c r="H379" i="46"/>
  <c r="H380" i="46"/>
  <c r="H381" i="46"/>
  <c r="H382" i="46"/>
  <c r="H383" i="46"/>
  <c r="H384" i="46"/>
  <c r="H385" i="46"/>
  <c r="H386" i="46"/>
  <c r="H387" i="46"/>
  <c r="H388" i="46"/>
  <c r="H389" i="46"/>
  <c r="H390" i="46"/>
  <c r="H391" i="46"/>
  <c r="H392" i="46"/>
  <c r="H393" i="46"/>
  <c r="H394" i="46"/>
  <c r="H395" i="46"/>
  <c r="H396" i="46"/>
  <c r="H397" i="46"/>
  <c r="H398" i="46"/>
  <c r="H399" i="46"/>
  <c r="H400" i="46"/>
  <c r="H401" i="46"/>
  <c r="H402" i="46"/>
  <c r="H403" i="46"/>
  <c r="H404" i="46"/>
  <c r="H405" i="46"/>
  <c r="H406" i="46"/>
  <c r="H407" i="46"/>
  <c r="H408" i="46"/>
  <c r="H409" i="46"/>
  <c r="H410" i="46"/>
  <c r="H411" i="46"/>
  <c r="H412" i="46"/>
  <c r="H413" i="46"/>
  <c r="H414" i="46"/>
  <c r="H415" i="46"/>
  <c r="H416" i="46"/>
  <c r="H417" i="46"/>
  <c r="H418" i="46"/>
  <c r="H419" i="46"/>
  <c r="H420" i="46"/>
  <c r="H421" i="46"/>
  <c r="H422" i="46"/>
  <c r="H423" i="46"/>
  <c r="H424" i="46"/>
  <c r="H425" i="46"/>
  <c r="H426" i="46"/>
  <c r="H427" i="46"/>
  <c r="H428" i="46"/>
  <c r="H429" i="46"/>
  <c r="H430" i="46"/>
  <c r="H431" i="46"/>
  <c r="H432" i="46"/>
  <c r="H433" i="46"/>
  <c r="H434" i="46"/>
  <c r="H435" i="46"/>
  <c r="H436" i="46"/>
  <c r="H437" i="46"/>
  <c r="H438" i="46"/>
  <c r="H439" i="46"/>
  <c r="H440" i="46"/>
  <c r="H441" i="46"/>
  <c r="H442" i="46"/>
  <c r="H443" i="46"/>
  <c r="H444" i="46"/>
  <c r="H445" i="46"/>
  <c r="H446" i="46"/>
  <c r="H447" i="46"/>
  <c r="H448" i="46"/>
  <c r="H449" i="46"/>
  <c r="H450" i="46"/>
  <c r="H451" i="46"/>
  <c r="H452" i="46"/>
  <c r="H453" i="46"/>
  <c r="H454" i="46"/>
  <c r="H455" i="46"/>
  <c r="H456" i="46"/>
  <c r="H457" i="46"/>
  <c r="H458" i="46"/>
  <c r="H459" i="46"/>
  <c r="H460" i="46"/>
  <c r="H461" i="46"/>
  <c r="H462" i="46"/>
  <c r="H463" i="46"/>
  <c r="H464" i="46"/>
  <c r="H465" i="46"/>
  <c r="H466" i="46"/>
  <c r="H467" i="46"/>
  <c r="H468" i="46"/>
  <c r="H469" i="46"/>
  <c r="H470" i="46"/>
  <c r="H471" i="46"/>
  <c r="H472" i="46"/>
  <c r="H473" i="46"/>
  <c r="H474" i="46"/>
  <c r="H475" i="46"/>
  <c r="H476" i="46"/>
  <c r="H477" i="46"/>
  <c r="H478" i="46"/>
  <c r="H479" i="46"/>
  <c r="H480" i="46"/>
  <c r="H481" i="46"/>
  <c r="H482" i="46"/>
  <c r="H483" i="46"/>
  <c r="H484" i="46"/>
  <c r="H485" i="46"/>
  <c r="H486" i="46"/>
  <c r="H487" i="46"/>
  <c r="H488" i="46"/>
  <c r="H489" i="46"/>
  <c r="H490" i="46"/>
  <c r="H491" i="46"/>
  <c r="H492" i="46"/>
  <c r="H493" i="46"/>
  <c r="H494" i="46"/>
  <c r="H495" i="46"/>
  <c r="H496" i="46"/>
  <c r="H497" i="46"/>
  <c r="H498" i="46"/>
  <c r="H499" i="46"/>
  <c r="H500" i="46"/>
  <c r="H501" i="46"/>
  <c r="H502" i="46"/>
  <c r="H503" i="46"/>
  <c r="H504" i="46"/>
  <c r="H505" i="46"/>
  <c r="H506" i="46"/>
  <c r="H507" i="46"/>
  <c r="H508" i="46"/>
  <c r="H509" i="46"/>
  <c r="H510" i="46"/>
  <c r="H511" i="46"/>
  <c r="H512" i="46"/>
  <c r="H513" i="46"/>
  <c r="H514" i="46"/>
  <c r="H515" i="46"/>
  <c r="H516" i="46"/>
  <c r="H517" i="46"/>
  <c r="H518" i="46"/>
  <c r="H519" i="46"/>
  <c r="H520" i="46"/>
  <c r="H521" i="46"/>
  <c r="H522" i="46"/>
  <c r="H523" i="46"/>
  <c r="H524" i="46"/>
  <c r="H525" i="46"/>
  <c r="H526" i="46"/>
  <c r="H527" i="46"/>
  <c r="H528" i="46"/>
  <c r="H529" i="46"/>
  <c r="H530" i="46"/>
  <c r="H531" i="46"/>
  <c r="H532" i="46"/>
  <c r="H533" i="46"/>
  <c r="H534" i="46"/>
  <c r="H535" i="46"/>
  <c r="H536" i="46"/>
  <c r="H537" i="46"/>
  <c r="H538" i="46"/>
  <c r="H539" i="46"/>
  <c r="H540" i="46"/>
  <c r="H541" i="46"/>
  <c r="H542" i="46"/>
  <c r="H543" i="46"/>
  <c r="H544" i="46"/>
  <c r="H545" i="46"/>
  <c r="H546" i="46"/>
  <c r="H547" i="46"/>
  <c r="H548" i="46"/>
  <c r="H549" i="46"/>
  <c r="H550" i="46"/>
  <c r="H551" i="46"/>
  <c r="H552" i="46"/>
  <c r="H553" i="46"/>
  <c r="H554" i="46"/>
  <c r="H555" i="46"/>
  <c r="H556" i="46"/>
  <c r="H557" i="46"/>
  <c r="H558" i="46"/>
  <c r="H559" i="46"/>
  <c r="H560" i="46"/>
  <c r="H561" i="46"/>
  <c r="H562" i="46"/>
  <c r="H563" i="46"/>
  <c r="H564" i="46"/>
  <c r="H565" i="46"/>
  <c r="H566" i="46"/>
  <c r="H567" i="46"/>
  <c r="H568" i="46"/>
  <c r="H569" i="46"/>
  <c r="H570" i="46"/>
  <c r="H571" i="46"/>
  <c r="H572" i="46"/>
  <c r="H573" i="46"/>
  <c r="H574" i="46"/>
  <c r="H575" i="46"/>
  <c r="H576" i="46"/>
  <c r="H577" i="46"/>
  <c r="H578" i="46"/>
  <c r="H579" i="46"/>
  <c r="H580" i="46"/>
  <c r="H581" i="46"/>
  <c r="H582" i="46"/>
  <c r="H583" i="46"/>
  <c r="H584" i="46"/>
  <c r="H585" i="46"/>
  <c r="H586" i="46"/>
  <c r="H587" i="46"/>
  <c r="H588" i="46"/>
  <c r="H589" i="46"/>
  <c r="H590" i="46"/>
  <c r="H591" i="46"/>
  <c r="H592" i="46"/>
  <c r="H593" i="46"/>
  <c r="H594" i="46"/>
  <c r="H595" i="46"/>
  <c r="H596" i="46"/>
  <c r="H597" i="46"/>
  <c r="H598" i="46"/>
  <c r="H599" i="46"/>
  <c r="H600" i="46"/>
  <c r="H601" i="46"/>
  <c r="H602" i="46"/>
  <c r="H603" i="46"/>
  <c r="H604" i="46"/>
  <c r="H605" i="46"/>
  <c r="H606" i="46"/>
  <c r="H607" i="46"/>
  <c r="H608" i="46"/>
  <c r="H609" i="46"/>
  <c r="H610" i="46"/>
  <c r="H611" i="46"/>
  <c r="H612" i="46"/>
  <c r="H613" i="46"/>
  <c r="H614" i="46"/>
  <c r="H615" i="46"/>
  <c r="H616" i="46"/>
  <c r="H617" i="46"/>
  <c r="H618" i="46"/>
  <c r="H619" i="46"/>
  <c r="H620" i="46"/>
  <c r="H621" i="46"/>
  <c r="H622" i="46"/>
  <c r="H623" i="46"/>
  <c r="H624" i="46"/>
  <c r="H625" i="46"/>
  <c r="H626" i="46"/>
  <c r="H627" i="46"/>
  <c r="H628" i="46"/>
  <c r="H629" i="46"/>
  <c r="H630" i="46"/>
  <c r="H631" i="46"/>
  <c r="H632" i="46"/>
  <c r="H633" i="46"/>
  <c r="H634" i="46"/>
  <c r="H635" i="46"/>
  <c r="H636" i="46"/>
  <c r="H637" i="46"/>
  <c r="H638" i="46"/>
  <c r="H639" i="46"/>
  <c r="H640" i="46"/>
  <c r="H641" i="46"/>
  <c r="H642" i="46"/>
  <c r="H643" i="46"/>
  <c r="H644" i="46"/>
  <c r="H645" i="46"/>
  <c r="H646" i="46"/>
  <c r="H647" i="46"/>
  <c r="H648" i="46"/>
  <c r="H649" i="46"/>
  <c r="H650" i="46"/>
  <c r="H651" i="46"/>
  <c r="H652" i="46"/>
  <c r="H653" i="46"/>
  <c r="H654" i="46"/>
  <c r="H655" i="46"/>
  <c r="H656" i="46"/>
  <c r="H657" i="46"/>
  <c r="H658" i="46"/>
  <c r="H659" i="46"/>
  <c r="H660" i="46"/>
  <c r="H661" i="46"/>
  <c r="H662" i="46"/>
  <c r="H663" i="46"/>
  <c r="H664" i="46"/>
  <c r="H665" i="46"/>
  <c r="H666" i="46"/>
  <c r="H667" i="46"/>
  <c r="H668" i="46"/>
  <c r="H669" i="46"/>
  <c r="H670" i="46"/>
  <c r="H671" i="46"/>
  <c r="H672" i="46"/>
  <c r="H673" i="46"/>
  <c r="H674" i="46"/>
  <c r="H675" i="46"/>
  <c r="H676" i="46"/>
  <c r="H677" i="46"/>
  <c r="H678" i="46"/>
  <c r="H679" i="46"/>
  <c r="H680" i="46"/>
  <c r="H681" i="46"/>
  <c r="H682" i="46"/>
  <c r="H683" i="46"/>
  <c r="H684" i="46"/>
  <c r="H685" i="46"/>
  <c r="H686" i="46"/>
  <c r="H687" i="46"/>
  <c r="H688" i="46"/>
  <c r="H689" i="46"/>
  <c r="H690" i="46"/>
  <c r="H691" i="46"/>
  <c r="H692" i="46"/>
  <c r="H693" i="46"/>
  <c r="H694" i="46"/>
  <c r="H695" i="46"/>
  <c r="H696" i="46"/>
  <c r="H697" i="46"/>
  <c r="H698" i="46"/>
  <c r="H699" i="46"/>
  <c r="H700" i="46"/>
  <c r="H701" i="46"/>
  <c r="H702" i="46"/>
  <c r="H703" i="46"/>
  <c r="H704" i="46"/>
  <c r="H705" i="46"/>
  <c r="H706" i="46"/>
  <c r="H707" i="46"/>
  <c r="H708" i="46"/>
  <c r="H709" i="46"/>
  <c r="H710" i="46"/>
  <c r="H711" i="46"/>
  <c r="H712" i="46"/>
  <c r="H713" i="46"/>
  <c r="H714" i="46"/>
  <c r="H715" i="46"/>
  <c r="H716" i="46"/>
  <c r="H717" i="46"/>
  <c r="H718" i="46"/>
  <c r="H719" i="46"/>
  <c r="H720" i="46"/>
  <c r="H721" i="46"/>
  <c r="H722" i="46"/>
  <c r="H723" i="46"/>
  <c r="H724" i="46"/>
  <c r="H725" i="46"/>
  <c r="H726" i="46"/>
  <c r="H727" i="46"/>
  <c r="H728" i="46"/>
  <c r="H729" i="46"/>
  <c r="H730" i="46"/>
  <c r="H731" i="46"/>
  <c r="H732" i="46"/>
  <c r="H733" i="46"/>
  <c r="H734" i="46"/>
  <c r="H735" i="46"/>
  <c r="H736" i="46"/>
  <c r="H737" i="46"/>
  <c r="H738" i="46"/>
  <c r="H739" i="46"/>
  <c r="H740" i="46"/>
  <c r="H741" i="46"/>
  <c r="H742" i="46"/>
  <c r="H743" i="46"/>
  <c r="H744" i="46"/>
  <c r="H745" i="46"/>
  <c r="H746" i="46"/>
  <c r="H747" i="46"/>
  <c r="H748" i="46"/>
  <c r="H749" i="46"/>
  <c r="H750" i="46"/>
  <c r="H751" i="46"/>
  <c r="H752" i="46"/>
  <c r="H753" i="46"/>
  <c r="H754" i="46"/>
  <c r="H755" i="46"/>
  <c r="H756" i="46"/>
  <c r="H757" i="46"/>
  <c r="G58" i="46"/>
  <c r="G59" i="46"/>
  <c r="G60" i="46"/>
  <c r="G61" i="46"/>
  <c r="G62" i="46"/>
  <c r="G63" i="46"/>
  <c r="G64" i="46"/>
  <c r="G65" i="46"/>
  <c r="G66" i="46"/>
  <c r="G67" i="46"/>
  <c r="G68" i="46"/>
  <c r="G69" i="46"/>
  <c r="G70" i="46"/>
  <c r="G71" i="46"/>
  <c r="G72" i="46"/>
  <c r="G73" i="46"/>
  <c r="G74" i="46"/>
  <c r="G75" i="46"/>
  <c r="G76" i="46"/>
  <c r="G77" i="46"/>
  <c r="G78" i="46"/>
  <c r="G79" i="46"/>
  <c r="G80" i="46"/>
  <c r="G81" i="46"/>
  <c r="G82" i="46"/>
  <c r="G83" i="46"/>
  <c r="G84" i="46"/>
  <c r="G85" i="46"/>
  <c r="G86" i="46"/>
  <c r="G87" i="46"/>
  <c r="G88" i="46"/>
  <c r="G89" i="46"/>
  <c r="G90" i="46"/>
  <c r="G91" i="46"/>
  <c r="G92" i="46"/>
  <c r="G93" i="46"/>
  <c r="G94" i="46"/>
  <c r="G95" i="46"/>
  <c r="G96" i="46"/>
  <c r="G97" i="46"/>
  <c r="G98" i="46"/>
  <c r="G99" i="46"/>
  <c r="G100" i="46"/>
  <c r="G101" i="46"/>
  <c r="G102" i="46"/>
  <c r="G103" i="46"/>
  <c r="G104" i="46"/>
  <c r="G105" i="46"/>
  <c r="G106" i="46"/>
  <c r="G107" i="46"/>
  <c r="G108" i="46"/>
  <c r="G109" i="46"/>
  <c r="G110" i="46"/>
  <c r="G111" i="46"/>
  <c r="G112" i="46"/>
  <c r="G113" i="46"/>
  <c r="G114" i="46"/>
  <c r="G115" i="46"/>
  <c r="G116" i="46"/>
  <c r="G117" i="46"/>
  <c r="G118" i="46"/>
  <c r="G119" i="46"/>
  <c r="G120" i="46"/>
  <c r="G121" i="46"/>
  <c r="G122" i="46"/>
  <c r="G123" i="46"/>
  <c r="G124" i="46"/>
  <c r="G125" i="46"/>
  <c r="G126" i="46"/>
  <c r="G127" i="46"/>
  <c r="G128" i="46"/>
  <c r="G129" i="46"/>
  <c r="G130" i="46"/>
  <c r="G131" i="46"/>
  <c r="G132" i="46"/>
  <c r="G133" i="46"/>
  <c r="G134" i="46"/>
  <c r="G135" i="46"/>
  <c r="G136" i="46"/>
  <c r="G137" i="46"/>
  <c r="G138" i="46"/>
  <c r="G139" i="46"/>
  <c r="G140" i="46"/>
  <c r="G141" i="46"/>
  <c r="G142" i="46"/>
  <c r="G143" i="46"/>
  <c r="G144" i="46"/>
  <c r="G145" i="46"/>
  <c r="G146" i="46"/>
  <c r="G147" i="46"/>
  <c r="G148" i="46"/>
  <c r="G149" i="46"/>
  <c r="G150" i="46"/>
  <c r="G151" i="46"/>
  <c r="G152" i="46"/>
  <c r="G153" i="46"/>
  <c r="G154" i="46"/>
  <c r="G155" i="46"/>
  <c r="G156" i="46"/>
  <c r="G157" i="46"/>
  <c r="G158" i="46"/>
  <c r="G159" i="46"/>
  <c r="G160" i="46"/>
  <c r="G161" i="46"/>
  <c r="G162" i="46"/>
  <c r="G163" i="46"/>
  <c r="G164" i="46"/>
  <c r="G165" i="46"/>
  <c r="G166" i="46"/>
  <c r="G167" i="46"/>
  <c r="G168" i="46"/>
  <c r="G169" i="46"/>
  <c r="G170" i="46"/>
  <c r="G171" i="46"/>
  <c r="G172" i="46"/>
  <c r="G173" i="46"/>
  <c r="G174" i="46"/>
  <c r="G175" i="46"/>
  <c r="G176" i="46"/>
  <c r="G177" i="46"/>
  <c r="G178" i="46"/>
  <c r="G179" i="46"/>
  <c r="G180" i="46"/>
  <c r="G181" i="46"/>
  <c r="G182" i="46"/>
  <c r="G183" i="46"/>
  <c r="G184" i="46"/>
  <c r="G185" i="46"/>
  <c r="G186" i="46"/>
  <c r="G187" i="46"/>
  <c r="G188" i="46"/>
  <c r="G189" i="46"/>
  <c r="G190" i="46"/>
  <c r="G191" i="46"/>
  <c r="G192" i="46"/>
  <c r="G193" i="46"/>
  <c r="G194" i="46"/>
  <c r="G195" i="46"/>
  <c r="G196" i="46"/>
  <c r="G197" i="46"/>
  <c r="G198" i="46"/>
  <c r="G199" i="46"/>
  <c r="G200" i="46"/>
  <c r="G201" i="46"/>
  <c r="G202" i="46"/>
  <c r="G203" i="46"/>
  <c r="G204" i="46"/>
  <c r="G205" i="46"/>
  <c r="G206" i="46"/>
  <c r="G207" i="46"/>
  <c r="G208" i="46"/>
  <c r="G209" i="46"/>
  <c r="G210" i="46"/>
  <c r="G211" i="46"/>
  <c r="G212" i="46"/>
  <c r="G213" i="46"/>
  <c r="G214" i="46"/>
  <c r="G215" i="46"/>
  <c r="G216" i="46"/>
  <c r="G217" i="46"/>
  <c r="G218" i="46"/>
  <c r="G219" i="46"/>
  <c r="G220" i="46"/>
  <c r="G221" i="46"/>
  <c r="G222" i="46"/>
  <c r="G223" i="46"/>
  <c r="G224" i="46"/>
  <c r="G225" i="46"/>
  <c r="G226" i="46"/>
  <c r="G227" i="46"/>
  <c r="G228" i="46"/>
  <c r="G229" i="46"/>
  <c r="G230" i="46"/>
  <c r="G231" i="46"/>
  <c r="G232" i="46"/>
  <c r="G233" i="46"/>
  <c r="G234" i="46"/>
  <c r="G235" i="46"/>
  <c r="G236" i="46"/>
  <c r="G237" i="46"/>
  <c r="G238" i="46"/>
  <c r="G239" i="46"/>
  <c r="G240" i="46"/>
  <c r="G241" i="46"/>
  <c r="G242" i="46"/>
  <c r="G243" i="46"/>
  <c r="G244" i="46"/>
  <c r="G245" i="46"/>
  <c r="G246" i="46"/>
  <c r="G247" i="46"/>
  <c r="G248" i="46"/>
  <c r="G249" i="46"/>
  <c r="G250" i="46"/>
  <c r="G251" i="46"/>
  <c r="G252" i="46"/>
  <c r="G253" i="46"/>
  <c r="G254" i="46"/>
  <c r="G255" i="46"/>
  <c r="G256" i="46"/>
  <c r="G257" i="46"/>
  <c r="G258" i="46"/>
  <c r="G259" i="46"/>
  <c r="G260" i="46"/>
  <c r="G261" i="46"/>
  <c r="G262" i="46"/>
  <c r="G263" i="46"/>
  <c r="G264" i="46"/>
  <c r="G265" i="46"/>
  <c r="G266" i="46"/>
  <c r="G267" i="46"/>
  <c r="G268" i="46"/>
  <c r="G269" i="46"/>
  <c r="G270" i="46"/>
  <c r="G271" i="46"/>
  <c r="G272" i="46"/>
  <c r="G273" i="46"/>
  <c r="G274" i="46"/>
  <c r="G275" i="46"/>
  <c r="G276" i="46"/>
  <c r="G277" i="46"/>
  <c r="G278" i="46"/>
  <c r="G279" i="46"/>
  <c r="G280" i="46"/>
  <c r="G281" i="46"/>
  <c r="G282" i="46"/>
  <c r="G283" i="46"/>
  <c r="G284" i="46"/>
  <c r="G285" i="46"/>
  <c r="G286" i="46"/>
  <c r="G287" i="46"/>
  <c r="G288" i="46"/>
  <c r="G289" i="46"/>
  <c r="G290" i="46"/>
  <c r="G291" i="46"/>
  <c r="G292" i="46"/>
  <c r="G293" i="46"/>
  <c r="G294" i="46"/>
  <c r="G295" i="46"/>
  <c r="G296" i="46"/>
  <c r="G297" i="46"/>
  <c r="G298" i="46"/>
  <c r="G299" i="46"/>
  <c r="G300" i="46"/>
  <c r="G301" i="46"/>
  <c r="G302" i="46"/>
  <c r="G303" i="46"/>
  <c r="G304" i="46"/>
  <c r="G305" i="46"/>
  <c r="G306" i="46"/>
  <c r="G307" i="46"/>
  <c r="G308" i="46"/>
  <c r="G309" i="46"/>
  <c r="G310" i="46"/>
  <c r="G311" i="46"/>
  <c r="G312" i="46"/>
  <c r="G313" i="46"/>
  <c r="G314" i="46"/>
  <c r="G315" i="46"/>
  <c r="G316" i="46"/>
  <c r="G317" i="46"/>
  <c r="G318" i="46"/>
  <c r="G319" i="46"/>
  <c r="G320" i="46"/>
  <c r="G321" i="46"/>
  <c r="G322" i="46"/>
  <c r="G323" i="46"/>
  <c r="G324" i="46"/>
  <c r="G325" i="46"/>
  <c r="G326" i="46"/>
  <c r="G327" i="46"/>
  <c r="G328" i="46"/>
  <c r="G329" i="46"/>
  <c r="G330" i="46"/>
  <c r="G331" i="46"/>
  <c r="G332" i="46"/>
  <c r="G333" i="46"/>
  <c r="G334" i="46"/>
  <c r="G335" i="46"/>
  <c r="G336" i="46"/>
  <c r="G337" i="46"/>
  <c r="G338" i="46"/>
  <c r="G339" i="46"/>
  <c r="G340" i="46"/>
  <c r="G341" i="46"/>
  <c r="G342" i="46"/>
  <c r="G343" i="46"/>
  <c r="G344" i="46"/>
  <c r="G345" i="46"/>
  <c r="G346" i="46"/>
  <c r="G347" i="46"/>
  <c r="G348" i="46"/>
  <c r="G349" i="46"/>
  <c r="G350" i="46"/>
  <c r="G351" i="46"/>
  <c r="G352" i="46"/>
  <c r="G353" i="46"/>
  <c r="G354" i="46"/>
  <c r="G355" i="46"/>
  <c r="G356" i="46"/>
  <c r="G357" i="46"/>
  <c r="G358" i="46"/>
  <c r="G359" i="46"/>
  <c r="G360" i="46"/>
  <c r="G361" i="46"/>
  <c r="G362" i="46"/>
  <c r="G363" i="46"/>
  <c r="G364" i="46"/>
  <c r="G365" i="46"/>
  <c r="G366" i="46"/>
  <c r="G367" i="46"/>
  <c r="G368" i="46"/>
  <c r="G369" i="46"/>
  <c r="G370" i="46"/>
  <c r="G371" i="46"/>
  <c r="G372" i="46"/>
  <c r="G373" i="46"/>
  <c r="G374" i="46"/>
  <c r="G375" i="46"/>
  <c r="G376" i="46"/>
  <c r="G377" i="46"/>
  <c r="G378" i="46"/>
  <c r="G379" i="46"/>
  <c r="G380" i="46"/>
  <c r="G381" i="46"/>
  <c r="G382" i="46"/>
  <c r="G383" i="46"/>
  <c r="G384" i="46"/>
  <c r="G385" i="46"/>
  <c r="G386" i="46"/>
  <c r="G387" i="46"/>
  <c r="G388" i="46"/>
  <c r="G389" i="46"/>
  <c r="G390" i="46"/>
  <c r="G391" i="46"/>
  <c r="G392" i="46"/>
  <c r="G393" i="46"/>
  <c r="G394" i="46"/>
  <c r="G395" i="46"/>
  <c r="G396" i="46"/>
  <c r="G397" i="46"/>
  <c r="G398" i="46"/>
  <c r="G399" i="46"/>
  <c r="G400" i="46"/>
  <c r="G401" i="46"/>
  <c r="G402" i="46"/>
  <c r="G403" i="46"/>
  <c r="G404" i="46"/>
  <c r="G405" i="46"/>
  <c r="G406" i="46"/>
  <c r="G407" i="46"/>
  <c r="G408" i="46"/>
  <c r="G409" i="46"/>
  <c r="G410" i="46"/>
  <c r="G411" i="46"/>
  <c r="G412" i="46"/>
  <c r="G413" i="46"/>
  <c r="G414" i="46"/>
  <c r="G415" i="46"/>
  <c r="G416" i="46"/>
  <c r="G417" i="46"/>
  <c r="G418" i="46"/>
  <c r="G419" i="46"/>
  <c r="G420" i="46"/>
  <c r="G421" i="46"/>
  <c r="G422" i="46"/>
  <c r="G423" i="46"/>
  <c r="G424" i="46"/>
  <c r="G425" i="46"/>
  <c r="G426" i="46"/>
  <c r="G427" i="46"/>
  <c r="G428" i="46"/>
  <c r="G429" i="46"/>
  <c r="G430" i="46"/>
  <c r="G431" i="46"/>
  <c r="G432" i="46"/>
  <c r="G433" i="46"/>
  <c r="G434" i="46"/>
  <c r="G435" i="46"/>
  <c r="G436" i="46"/>
  <c r="G437" i="46"/>
  <c r="G438" i="46"/>
  <c r="G439" i="46"/>
  <c r="G440" i="46"/>
  <c r="G441" i="46"/>
  <c r="G442" i="46"/>
  <c r="G443" i="46"/>
  <c r="G444" i="46"/>
  <c r="G445" i="46"/>
  <c r="G446" i="46"/>
  <c r="G447" i="46"/>
  <c r="G448" i="46"/>
  <c r="G449" i="46"/>
  <c r="G450" i="46"/>
  <c r="G451" i="46"/>
  <c r="G452" i="46"/>
  <c r="G453" i="46"/>
  <c r="G454" i="46"/>
  <c r="G455" i="46"/>
  <c r="G456" i="46"/>
  <c r="G457" i="46"/>
  <c r="G458" i="46"/>
  <c r="G459" i="46"/>
  <c r="G460" i="46"/>
  <c r="G461" i="46"/>
  <c r="G462" i="46"/>
  <c r="G463" i="46"/>
  <c r="G464" i="46"/>
  <c r="G465" i="46"/>
  <c r="G466" i="46"/>
  <c r="G467" i="46"/>
  <c r="G468" i="46"/>
  <c r="G469" i="46"/>
  <c r="G470" i="46"/>
  <c r="G471" i="46"/>
  <c r="G472" i="46"/>
  <c r="G473" i="46"/>
  <c r="G474" i="46"/>
  <c r="G475" i="46"/>
  <c r="G476" i="46"/>
  <c r="G477" i="46"/>
  <c r="G478" i="46"/>
  <c r="G479" i="46"/>
  <c r="G480" i="46"/>
  <c r="G481" i="46"/>
  <c r="G482" i="46"/>
  <c r="G483" i="46"/>
  <c r="G484" i="46"/>
  <c r="G485" i="46"/>
  <c r="G486" i="46"/>
  <c r="G487" i="46"/>
  <c r="G488" i="46"/>
  <c r="G489" i="46"/>
  <c r="G490" i="46"/>
  <c r="G491" i="46"/>
  <c r="G492" i="46"/>
  <c r="G493" i="46"/>
  <c r="G494" i="46"/>
  <c r="G495" i="46"/>
  <c r="G496" i="46"/>
  <c r="G497" i="46"/>
  <c r="G498" i="46"/>
  <c r="G499" i="46"/>
  <c r="G500" i="46"/>
  <c r="G501" i="46"/>
  <c r="G502" i="46"/>
  <c r="G503" i="46"/>
  <c r="G504" i="46"/>
  <c r="G505" i="46"/>
  <c r="G506" i="46"/>
  <c r="G507" i="46"/>
  <c r="G508" i="46"/>
  <c r="G509" i="46"/>
  <c r="G510" i="46"/>
  <c r="G511" i="46"/>
  <c r="G512" i="46"/>
  <c r="G513" i="46"/>
  <c r="G514" i="46"/>
  <c r="G515" i="46"/>
  <c r="G516" i="46"/>
  <c r="G517" i="46"/>
  <c r="G518" i="46"/>
  <c r="G519" i="46"/>
  <c r="G520" i="46"/>
  <c r="G521" i="46"/>
  <c r="G522" i="46"/>
  <c r="G523" i="46"/>
  <c r="G524" i="46"/>
  <c r="G525" i="46"/>
  <c r="G526" i="46"/>
  <c r="G527" i="46"/>
  <c r="G528" i="46"/>
  <c r="G529" i="46"/>
  <c r="G530" i="46"/>
  <c r="G531" i="46"/>
  <c r="G532" i="46"/>
  <c r="G533" i="46"/>
  <c r="G534" i="46"/>
  <c r="G535" i="46"/>
  <c r="G536" i="46"/>
  <c r="G537" i="46"/>
  <c r="G538" i="46"/>
  <c r="G539" i="46"/>
  <c r="G540" i="46"/>
  <c r="G541" i="46"/>
  <c r="G542" i="46"/>
  <c r="G543" i="46"/>
  <c r="G544" i="46"/>
  <c r="G545" i="46"/>
  <c r="G546" i="46"/>
  <c r="G547" i="46"/>
  <c r="G548" i="46"/>
  <c r="G549" i="46"/>
  <c r="G550" i="46"/>
  <c r="G551" i="46"/>
  <c r="G552" i="46"/>
  <c r="G553" i="46"/>
  <c r="G554" i="46"/>
  <c r="G555" i="46"/>
  <c r="G556" i="46"/>
  <c r="G557" i="46"/>
  <c r="G558" i="46"/>
  <c r="G559" i="46"/>
  <c r="G560" i="46"/>
  <c r="G561" i="46"/>
  <c r="G562" i="46"/>
  <c r="G563" i="46"/>
  <c r="G564" i="46"/>
  <c r="G565" i="46"/>
  <c r="G566" i="46"/>
  <c r="G567" i="46"/>
  <c r="G568" i="46"/>
  <c r="G569" i="46"/>
  <c r="G570" i="46"/>
  <c r="G571" i="46"/>
  <c r="G572" i="46"/>
  <c r="G573" i="46"/>
  <c r="G574" i="46"/>
  <c r="G575" i="46"/>
  <c r="G576" i="46"/>
  <c r="G577" i="46"/>
  <c r="G578" i="46"/>
  <c r="G579" i="46"/>
  <c r="G580" i="46"/>
  <c r="G581" i="46"/>
  <c r="G582" i="46"/>
  <c r="G583" i="46"/>
  <c r="G584" i="46"/>
  <c r="G585" i="46"/>
  <c r="G586" i="46"/>
  <c r="G587" i="46"/>
  <c r="G588" i="46"/>
  <c r="G589" i="46"/>
  <c r="G590" i="46"/>
  <c r="G591" i="46"/>
  <c r="G592" i="46"/>
  <c r="G593" i="46"/>
  <c r="G594" i="46"/>
  <c r="G595" i="46"/>
  <c r="G596" i="46"/>
  <c r="G597" i="46"/>
  <c r="G598" i="46"/>
  <c r="G599" i="46"/>
  <c r="G600" i="46"/>
  <c r="G601" i="46"/>
  <c r="G602" i="46"/>
  <c r="G603" i="46"/>
  <c r="G604" i="46"/>
  <c r="G605" i="46"/>
  <c r="G606" i="46"/>
  <c r="G607" i="46"/>
  <c r="G608" i="46"/>
  <c r="G609" i="46"/>
  <c r="G610" i="46"/>
  <c r="G611" i="46"/>
  <c r="G612" i="46"/>
  <c r="G613" i="46"/>
  <c r="G614" i="46"/>
  <c r="G615" i="46"/>
  <c r="G616" i="46"/>
  <c r="G617" i="46"/>
  <c r="G618" i="46"/>
  <c r="G619" i="46"/>
  <c r="G620" i="46"/>
  <c r="G621" i="46"/>
  <c r="G622" i="46"/>
  <c r="G623" i="46"/>
  <c r="G624" i="46"/>
  <c r="G625" i="46"/>
  <c r="G626" i="46"/>
  <c r="G627" i="46"/>
  <c r="G628" i="46"/>
  <c r="G629" i="46"/>
  <c r="G630" i="46"/>
  <c r="G631" i="46"/>
  <c r="G632" i="46"/>
  <c r="G633" i="46"/>
  <c r="G634" i="46"/>
  <c r="G635" i="46"/>
  <c r="G636" i="46"/>
  <c r="G637" i="46"/>
  <c r="G638" i="46"/>
  <c r="G639" i="46"/>
  <c r="G640" i="46"/>
  <c r="G641" i="46"/>
  <c r="G642" i="46"/>
  <c r="G643" i="46"/>
  <c r="G644" i="46"/>
  <c r="G645" i="46"/>
  <c r="G646" i="46"/>
  <c r="G647" i="46"/>
  <c r="G648" i="46"/>
  <c r="G649" i="46"/>
  <c r="G650" i="46"/>
  <c r="G651" i="46"/>
  <c r="G652" i="46"/>
  <c r="G653" i="46"/>
  <c r="G654" i="46"/>
  <c r="G655" i="46"/>
  <c r="G656" i="46"/>
  <c r="G657" i="46"/>
  <c r="G658" i="46"/>
  <c r="G659" i="46"/>
  <c r="G660" i="46"/>
  <c r="G661" i="46"/>
  <c r="G662" i="46"/>
  <c r="G663" i="46"/>
  <c r="G664" i="46"/>
  <c r="G665" i="46"/>
  <c r="G666" i="46"/>
  <c r="G667" i="46"/>
  <c r="G668" i="46"/>
  <c r="G669" i="46"/>
  <c r="G670" i="46"/>
  <c r="G671" i="46"/>
  <c r="G672" i="46"/>
  <c r="G673" i="46"/>
  <c r="G674" i="46"/>
  <c r="G675" i="46"/>
  <c r="G676" i="46"/>
  <c r="G677" i="46"/>
  <c r="G678" i="46"/>
  <c r="G679" i="46"/>
  <c r="G680" i="46"/>
  <c r="G681" i="46"/>
  <c r="G682" i="46"/>
  <c r="G683" i="46"/>
  <c r="G684" i="46"/>
  <c r="G685" i="46"/>
  <c r="G686" i="46"/>
  <c r="G687" i="46"/>
  <c r="G688" i="46"/>
  <c r="G689" i="46"/>
  <c r="G690" i="46"/>
  <c r="G691" i="46"/>
  <c r="G692" i="46"/>
  <c r="G693" i="46"/>
  <c r="G694" i="46"/>
  <c r="G695" i="46"/>
  <c r="G696" i="46"/>
  <c r="G697" i="46"/>
  <c r="G698" i="46"/>
  <c r="G699" i="46"/>
  <c r="G700" i="46"/>
  <c r="G701" i="46"/>
  <c r="G702" i="46"/>
  <c r="G703" i="46"/>
  <c r="G704" i="46"/>
  <c r="G705" i="46"/>
  <c r="G706" i="46"/>
  <c r="G707" i="46"/>
  <c r="G708" i="46"/>
  <c r="G709" i="46"/>
  <c r="G710" i="46"/>
  <c r="G711" i="46"/>
  <c r="G712" i="46"/>
  <c r="G713" i="46"/>
  <c r="G714" i="46"/>
  <c r="G715" i="46"/>
  <c r="G716" i="46"/>
  <c r="G717" i="46"/>
  <c r="G718" i="46"/>
  <c r="G719" i="46"/>
  <c r="G720" i="46"/>
  <c r="G721" i="46"/>
  <c r="G722" i="46"/>
  <c r="G723" i="46"/>
  <c r="G724" i="46"/>
  <c r="G725" i="46"/>
  <c r="G726" i="46"/>
  <c r="G727" i="46"/>
  <c r="G728" i="46"/>
  <c r="G729" i="46"/>
  <c r="G730" i="46"/>
  <c r="G731" i="46"/>
  <c r="G732" i="46"/>
  <c r="G733" i="46"/>
  <c r="G734" i="46"/>
  <c r="G735" i="46"/>
  <c r="G736" i="46"/>
  <c r="G737" i="46"/>
  <c r="G738" i="46"/>
  <c r="G739" i="46"/>
  <c r="G740" i="46"/>
  <c r="G741" i="46"/>
  <c r="G742" i="46"/>
  <c r="G743" i="46"/>
  <c r="G744" i="46"/>
  <c r="G745" i="46"/>
  <c r="G746" i="46"/>
  <c r="G747" i="46"/>
  <c r="G748" i="46"/>
  <c r="G749" i="46"/>
  <c r="G750" i="46"/>
  <c r="G751" i="46"/>
  <c r="G752" i="46"/>
  <c r="G753" i="46"/>
  <c r="G754" i="46"/>
  <c r="G755" i="46"/>
  <c r="G756" i="46"/>
  <c r="G757" i="46"/>
  <c r="F58" i="46"/>
  <c r="F59" i="46"/>
  <c r="F60" i="46"/>
  <c r="F61" i="46"/>
  <c r="F62" i="46"/>
  <c r="F63" i="46"/>
  <c r="F64" i="46"/>
  <c r="F65" i="46"/>
  <c r="F66" i="46"/>
  <c r="F67" i="46"/>
  <c r="F68" i="46"/>
  <c r="F69" i="46"/>
  <c r="F70" i="46"/>
  <c r="F71" i="46"/>
  <c r="F72" i="46"/>
  <c r="F73" i="46"/>
  <c r="F74" i="46"/>
  <c r="F75" i="46"/>
  <c r="F76" i="46"/>
  <c r="F77" i="46"/>
  <c r="F78" i="46"/>
  <c r="F79" i="46"/>
  <c r="F80" i="46"/>
  <c r="F81" i="46"/>
  <c r="F82" i="46"/>
  <c r="F83" i="46"/>
  <c r="F84" i="46"/>
  <c r="F85" i="46"/>
  <c r="F86" i="46"/>
  <c r="F87" i="46"/>
  <c r="F88" i="46"/>
  <c r="F89" i="46"/>
  <c r="F90" i="46"/>
  <c r="F91" i="46"/>
  <c r="F92" i="46"/>
  <c r="F93" i="46"/>
  <c r="F94" i="46"/>
  <c r="F95" i="46"/>
  <c r="F96" i="46"/>
  <c r="F97" i="46"/>
  <c r="F98" i="46"/>
  <c r="F99" i="46"/>
  <c r="F100" i="46"/>
  <c r="F101" i="46"/>
  <c r="F102" i="46"/>
  <c r="F103" i="46"/>
  <c r="F104" i="46"/>
  <c r="F105" i="46"/>
  <c r="F106" i="46"/>
  <c r="F107" i="46"/>
  <c r="F108" i="46"/>
  <c r="F109" i="46"/>
  <c r="F110" i="46"/>
  <c r="F111" i="46"/>
  <c r="F112" i="46"/>
  <c r="F113" i="46"/>
  <c r="F114" i="46"/>
  <c r="F115" i="46"/>
  <c r="F116" i="46"/>
  <c r="F117" i="46"/>
  <c r="F118" i="46"/>
  <c r="F119" i="46"/>
  <c r="F120" i="46"/>
  <c r="F121" i="46"/>
  <c r="F122" i="46"/>
  <c r="F123" i="46"/>
  <c r="F124" i="46"/>
  <c r="F125" i="46"/>
  <c r="F126" i="46"/>
  <c r="F127" i="46"/>
  <c r="F128" i="46"/>
  <c r="F129" i="46"/>
  <c r="F130" i="46"/>
  <c r="F131" i="46"/>
  <c r="F132" i="46"/>
  <c r="F133" i="46"/>
  <c r="F134" i="46"/>
  <c r="F135" i="46"/>
  <c r="F136" i="46"/>
  <c r="F137" i="46"/>
  <c r="F138" i="46"/>
  <c r="F139" i="46"/>
  <c r="F140" i="46"/>
  <c r="F141" i="46"/>
  <c r="F142" i="46"/>
  <c r="F143" i="46"/>
  <c r="F144" i="46"/>
  <c r="F145" i="46"/>
  <c r="F146" i="46"/>
  <c r="F147" i="46"/>
  <c r="F148" i="46"/>
  <c r="F149" i="46"/>
  <c r="F150" i="46"/>
  <c r="F151" i="46"/>
  <c r="F152" i="46"/>
  <c r="F153" i="46"/>
  <c r="F154" i="46"/>
  <c r="F155" i="46"/>
  <c r="F156" i="46"/>
  <c r="F157" i="46"/>
  <c r="F158" i="46"/>
  <c r="F159" i="46"/>
  <c r="F160" i="46"/>
  <c r="F161" i="46"/>
  <c r="F162" i="46"/>
  <c r="F163" i="46"/>
  <c r="F164" i="46"/>
  <c r="F165" i="46"/>
  <c r="F166" i="46"/>
  <c r="F167" i="46"/>
  <c r="F168" i="46"/>
  <c r="F169" i="46"/>
  <c r="F170" i="46"/>
  <c r="F171" i="46"/>
  <c r="F172" i="46"/>
  <c r="F173" i="46"/>
  <c r="F174" i="46"/>
  <c r="F175" i="46"/>
  <c r="F176" i="46"/>
  <c r="F177" i="46"/>
  <c r="F178" i="46"/>
  <c r="F179" i="46"/>
  <c r="F180" i="46"/>
  <c r="F181" i="46"/>
  <c r="F182" i="46"/>
  <c r="F183" i="46"/>
  <c r="F184" i="46"/>
  <c r="F185" i="46"/>
  <c r="F186" i="46"/>
  <c r="F187" i="46"/>
  <c r="F188" i="46"/>
  <c r="F189" i="46"/>
  <c r="F190" i="46"/>
  <c r="F191" i="46"/>
  <c r="F192" i="46"/>
  <c r="F193" i="46"/>
  <c r="F194" i="46"/>
  <c r="F195" i="46"/>
  <c r="F196" i="46"/>
  <c r="F197" i="46"/>
  <c r="F198" i="46"/>
  <c r="F199" i="46"/>
  <c r="F200" i="46"/>
  <c r="F201" i="46"/>
  <c r="F202" i="46"/>
  <c r="F203" i="46"/>
  <c r="F204" i="46"/>
  <c r="F205" i="46"/>
  <c r="F206" i="46"/>
  <c r="F207" i="46"/>
  <c r="F208" i="46"/>
  <c r="F209" i="46"/>
  <c r="F210" i="46"/>
  <c r="F211" i="46"/>
  <c r="F212" i="46"/>
  <c r="F213" i="46"/>
  <c r="F214" i="46"/>
  <c r="F215" i="46"/>
  <c r="F216" i="46"/>
  <c r="F217" i="46"/>
  <c r="F218" i="46"/>
  <c r="F219" i="46"/>
  <c r="F220" i="46"/>
  <c r="F221" i="46"/>
  <c r="F222" i="46"/>
  <c r="F223" i="46"/>
  <c r="F224" i="46"/>
  <c r="F225" i="46"/>
  <c r="F226" i="46"/>
  <c r="F227" i="46"/>
  <c r="F228" i="46"/>
  <c r="F229" i="46"/>
  <c r="F230" i="46"/>
  <c r="F231" i="46"/>
  <c r="F232" i="46"/>
  <c r="F233" i="46"/>
  <c r="F234" i="46"/>
  <c r="F235" i="46"/>
  <c r="F236" i="46"/>
  <c r="F237" i="46"/>
  <c r="F238" i="46"/>
  <c r="F239" i="46"/>
  <c r="F240" i="46"/>
  <c r="F241" i="46"/>
  <c r="F242" i="46"/>
  <c r="F243" i="46"/>
  <c r="F244" i="46"/>
  <c r="F245" i="46"/>
  <c r="F246" i="46"/>
  <c r="F247" i="46"/>
  <c r="F248" i="46"/>
  <c r="F249" i="46"/>
  <c r="F250" i="46"/>
  <c r="F251" i="46"/>
  <c r="F252" i="46"/>
  <c r="F253" i="46"/>
  <c r="F254" i="46"/>
  <c r="F255" i="46"/>
  <c r="F256" i="46"/>
  <c r="F257" i="46"/>
  <c r="F258" i="46"/>
  <c r="F259" i="46"/>
  <c r="F260" i="46"/>
  <c r="F261" i="46"/>
  <c r="F262" i="46"/>
  <c r="F263" i="46"/>
  <c r="F264" i="46"/>
  <c r="F265" i="46"/>
  <c r="F266" i="46"/>
  <c r="F267" i="46"/>
  <c r="F268" i="46"/>
  <c r="F269" i="46"/>
  <c r="F270" i="46"/>
  <c r="F271" i="46"/>
  <c r="F272" i="46"/>
  <c r="F273" i="46"/>
  <c r="F274" i="46"/>
  <c r="F275" i="46"/>
  <c r="F276" i="46"/>
  <c r="F277" i="46"/>
  <c r="F278" i="46"/>
  <c r="F279" i="46"/>
  <c r="F280" i="46"/>
  <c r="F281" i="46"/>
  <c r="F282" i="46"/>
  <c r="F283" i="46"/>
  <c r="F284" i="46"/>
  <c r="F285" i="46"/>
  <c r="F286" i="46"/>
  <c r="F287" i="46"/>
  <c r="F288" i="46"/>
  <c r="F289" i="46"/>
  <c r="F290" i="46"/>
  <c r="F291" i="46"/>
  <c r="F292" i="46"/>
  <c r="F293" i="46"/>
  <c r="F294" i="46"/>
  <c r="F295" i="46"/>
  <c r="F296" i="46"/>
  <c r="F297" i="46"/>
  <c r="F298" i="46"/>
  <c r="F299" i="46"/>
  <c r="F300" i="46"/>
  <c r="F301" i="46"/>
  <c r="F302" i="46"/>
  <c r="F303" i="46"/>
  <c r="F304" i="46"/>
  <c r="F305" i="46"/>
  <c r="F306" i="46"/>
  <c r="F307" i="46"/>
  <c r="F308" i="46"/>
  <c r="F309" i="46"/>
  <c r="F310" i="46"/>
  <c r="F311" i="46"/>
  <c r="F312" i="46"/>
  <c r="F313" i="46"/>
  <c r="F314" i="46"/>
  <c r="F315" i="46"/>
  <c r="F316" i="46"/>
  <c r="F317" i="46"/>
  <c r="F318" i="46"/>
  <c r="F319" i="46"/>
  <c r="F320" i="46"/>
  <c r="F321" i="46"/>
  <c r="F322" i="46"/>
  <c r="F323" i="46"/>
  <c r="F324" i="46"/>
  <c r="F325" i="46"/>
  <c r="F326" i="46"/>
  <c r="F327" i="46"/>
  <c r="F328" i="46"/>
  <c r="F329" i="46"/>
  <c r="F330" i="46"/>
  <c r="F331" i="46"/>
  <c r="F332" i="46"/>
  <c r="F333" i="46"/>
  <c r="F334" i="46"/>
  <c r="F335" i="46"/>
  <c r="F336" i="46"/>
  <c r="F337" i="46"/>
  <c r="F338" i="46"/>
  <c r="F339" i="46"/>
  <c r="F340" i="46"/>
  <c r="F341" i="46"/>
  <c r="F342" i="46"/>
  <c r="F343" i="46"/>
  <c r="F344" i="46"/>
  <c r="F345" i="46"/>
  <c r="F346" i="46"/>
  <c r="F347" i="46"/>
  <c r="F348" i="46"/>
  <c r="F349" i="46"/>
  <c r="F350" i="46"/>
  <c r="F351" i="46"/>
  <c r="F352" i="46"/>
  <c r="F353" i="46"/>
  <c r="F354" i="46"/>
  <c r="F355" i="46"/>
  <c r="F356" i="46"/>
  <c r="F357" i="46"/>
  <c r="F358" i="46"/>
  <c r="F359" i="46"/>
  <c r="F360" i="46"/>
  <c r="F361" i="46"/>
  <c r="F362" i="46"/>
  <c r="F363" i="46"/>
  <c r="F364" i="46"/>
  <c r="F365" i="46"/>
  <c r="F366" i="46"/>
  <c r="F367" i="46"/>
  <c r="F368" i="46"/>
  <c r="F369" i="46"/>
  <c r="F370" i="46"/>
  <c r="F371" i="46"/>
  <c r="F372" i="46"/>
  <c r="F373" i="46"/>
  <c r="F374" i="46"/>
  <c r="F375" i="46"/>
  <c r="F376" i="46"/>
  <c r="F377" i="46"/>
  <c r="F378" i="46"/>
  <c r="F379" i="46"/>
  <c r="F380" i="46"/>
  <c r="F381" i="46"/>
  <c r="F382" i="46"/>
  <c r="F383" i="46"/>
  <c r="F384" i="46"/>
  <c r="F385" i="46"/>
  <c r="F386" i="46"/>
  <c r="F387" i="46"/>
  <c r="F388" i="46"/>
  <c r="F389" i="46"/>
  <c r="F390" i="46"/>
  <c r="F391" i="46"/>
  <c r="F392" i="46"/>
  <c r="F393" i="46"/>
  <c r="F394" i="46"/>
  <c r="F395" i="46"/>
  <c r="F396" i="46"/>
  <c r="F397" i="46"/>
  <c r="F398" i="46"/>
  <c r="F399" i="46"/>
  <c r="F400" i="46"/>
  <c r="F401" i="46"/>
  <c r="F402" i="46"/>
  <c r="F403" i="46"/>
  <c r="F404" i="46"/>
  <c r="F405" i="46"/>
  <c r="F406" i="46"/>
  <c r="F407" i="46"/>
  <c r="F408" i="46"/>
  <c r="F409" i="46"/>
  <c r="F410" i="46"/>
  <c r="F411" i="46"/>
  <c r="F412" i="46"/>
  <c r="F413" i="46"/>
  <c r="F414" i="46"/>
  <c r="F415" i="46"/>
  <c r="F416" i="46"/>
  <c r="F417" i="46"/>
  <c r="F418" i="46"/>
  <c r="F419" i="46"/>
  <c r="F420" i="46"/>
  <c r="F421" i="46"/>
  <c r="F422" i="46"/>
  <c r="F423" i="46"/>
  <c r="F424" i="46"/>
  <c r="F425" i="46"/>
  <c r="F426" i="46"/>
  <c r="F427" i="46"/>
  <c r="F428" i="46"/>
  <c r="F429" i="46"/>
  <c r="F430" i="46"/>
  <c r="F431" i="46"/>
  <c r="F432" i="46"/>
  <c r="F433" i="46"/>
  <c r="F434" i="46"/>
  <c r="F435" i="46"/>
  <c r="F436" i="46"/>
  <c r="F437" i="46"/>
  <c r="F438" i="46"/>
  <c r="F439" i="46"/>
  <c r="F440" i="46"/>
  <c r="F441" i="46"/>
  <c r="F442" i="46"/>
  <c r="F443" i="46"/>
  <c r="F444" i="46"/>
  <c r="F445" i="46"/>
  <c r="F446" i="46"/>
  <c r="F447" i="46"/>
  <c r="F448" i="46"/>
  <c r="F449" i="46"/>
  <c r="F450" i="46"/>
  <c r="F451" i="46"/>
  <c r="F452" i="46"/>
  <c r="F453" i="46"/>
  <c r="F454" i="46"/>
  <c r="F455" i="46"/>
  <c r="F456" i="46"/>
  <c r="F457" i="46"/>
  <c r="F458" i="46"/>
  <c r="F459" i="46"/>
  <c r="F460" i="46"/>
  <c r="F461" i="46"/>
  <c r="F462" i="46"/>
  <c r="F463" i="46"/>
  <c r="F464" i="46"/>
  <c r="F465" i="46"/>
  <c r="F466" i="46"/>
  <c r="F467" i="46"/>
  <c r="F468" i="46"/>
  <c r="F469" i="46"/>
  <c r="F470" i="46"/>
  <c r="F471" i="46"/>
  <c r="F472" i="46"/>
  <c r="F473" i="46"/>
  <c r="F474" i="46"/>
  <c r="F475" i="46"/>
  <c r="F476" i="46"/>
  <c r="F477" i="46"/>
  <c r="F478" i="46"/>
  <c r="F479" i="46"/>
  <c r="F480" i="46"/>
  <c r="F481" i="46"/>
  <c r="F482" i="46"/>
  <c r="F483" i="46"/>
  <c r="F484" i="46"/>
  <c r="F485" i="46"/>
  <c r="F486" i="46"/>
  <c r="F487" i="46"/>
  <c r="F488" i="46"/>
  <c r="F489" i="46"/>
  <c r="F490" i="46"/>
  <c r="F491" i="46"/>
  <c r="F492" i="46"/>
  <c r="F493" i="46"/>
  <c r="F494" i="46"/>
  <c r="F495" i="46"/>
  <c r="F496" i="46"/>
  <c r="F497" i="46"/>
  <c r="F498" i="46"/>
  <c r="F499" i="46"/>
  <c r="F500" i="46"/>
  <c r="F501" i="46"/>
  <c r="F502" i="46"/>
  <c r="F503" i="46"/>
  <c r="F504" i="46"/>
  <c r="F505" i="46"/>
  <c r="F506" i="46"/>
  <c r="F507" i="46"/>
  <c r="F508" i="46"/>
  <c r="F509" i="46"/>
  <c r="F510" i="46"/>
  <c r="F511" i="46"/>
  <c r="F512" i="46"/>
  <c r="F513" i="46"/>
  <c r="F514" i="46"/>
  <c r="F515" i="46"/>
  <c r="F516" i="46"/>
  <c r="F517" i="46"/>
  <c r="F518" i="46"/>
  <c r="F519" i="46"/>
  <c r="F520" i="46"/>
  <c r="F521" i="46"/>
  <c r="F522" i="46"/>
  <c r="F523" i="46"/>
  <c r="F524" i="46"/>
  <c r="F525" i="46"/>
  <c r="F526" i="46"/>
  <c r="F527" i="46"/>
  <c r="F528" i="46"/>
  <c r="F529" i="46"/>
  <c r="F530" i="46"/>
  <c r="F531" i="46"/>
  <c r="F532" i="46"/>
  <c r="F533" i="46"/>
  <c r="F534" i="46"/>
  <c r="F535" i="46"/>
  <c r="F536" i="46"/>
  <c r="F537" i="46"/>
  <c r="F538" i="46"/>
  <c r="F539" i="46"/>
  <c r="F540" i="46"/>
  <c r="F541" i="46"/>
  <c r="F542" i="46"/>
  <c r="F543" i="46"/>
  <c r="F544" i="46"/>
  <c r="F545" i="46"/>
  <c r="F546" i="46"/>
  <c r="F547" i="46"/>
  <c r="F548" i="46"/>
  <c r="F549" i="46"/>
  <c r="F550" i="46"/>
  <c r="F551" i="46"/>
  <c r="F552" i="46"/>
  <c r="F553" i="46"/>
  <c r="F554" i="46"/>
  <c r="F555" i="46"/>
  <c r="F556" i="46"/>
  <c r="F557" i="46"/>
  <c r="F558" i="46"/>
  <c r="F559" i="46"/>
  <c r="F560" i="46"/>
  <c r="F561" i="46"/>
  <c r="F562" i="46"/>
  <c r="F563" i="46"/>
  <c r="F564" i="46"/>
  <c r="F565" i="46"/>
  <c r="F566" i="46"/>
  <c r="F567" i="46"/>
  <c r="F568" i="46"/>
  <c r="F569" i="46"/>
  <c r="F570" i="46"/>
  <c r="F571" i="46"/>
  <c r="F572" i="46"/>
  <c r="F573" i="46"/>
  <c r="F574" i="46"/>
  <c r="F575" i="46"/>
  <c r="F576" i="46"/>
  <c r="F577" i="46"/>
  <c r="F578" i="46"/>
  <c r="F579" i="46"/>
  <c r="F580" i="46"/>
  <c r="F581" i="46"/>
  <c r="F582" i="46"/>
  <c r="F583" i="46"/>
  <c r="F584" i="46"/>
  <c r="F585" i="46"/>
  <c r="F586" i="46"/>
  <c r="F587" i="46"/>
  <c r="F588" i="46"/>
  <c r="F589" i="46"/>
  <c r="F590" i="46"/>
  <c r="F591" i="46"/>
  <c r="F592" i="46"/>
  <c r="F593" i="46"/>
  <c r="F594" i="46"/>
  <c r="F595" i="46"/>
  <c r="F596" i="46"/>
  <c r="F597" i="46"/>
  <c r="F598" i="46"/>
  <c r="F599" i="46"/>
  <c r="F600" i="46"/>
  <c r="F601" i="46"/>
  <c r="F602" i="46"/>
  <c r="F603" i="46"/>
  <c r="F604" i="46"/>
  <c r="F605" i="46"/>
  <c r="F606" i="46"/>
  <c r="F607" i="46"/>
  <c r="F608" i="46"/>
  <c r="F609" i="46"/>
  <c r="F610" i="46"/>
  <c r="F611" i="46"/>
  <c r="F612" i="46"/>
  <c r="F613" i="46"/>
  <c r="F614" i="46"/>
  <c r="F615" i="46"/>
  <c r="F616" i="46"/>
  <c r="F617" i="46"/>
  <c r="F618" i="46"/>
  <c r="F619" i="46"/>
  <c r="F620" i="46"/>
  <c r="F621" i="46"/>
  <c r="F622" i="46"/>
  <c r="F623" i="46"/>
  <c r="F624" i="46"/>
  <c r="F625" i="46"/>
  <c r="F626" i="46"/>
  <c r="F627" i="46"/>
  <c r="F628" i="46"/>
  <c r="F629" i="46"/>
  <c r="F630" i="46"/>
  <c r="F631" i="46"/>
  <c r="F632" i="46"/>
  <c r="F633" i="46"/>
  <c r="F634" i="46"/>
  <c r="F635" i="46"/>
  <c r="F636" i="46"/>
  <c r="F637" i="46"/>
  <c r="F638" i="46"/>
  <c r="F639" i="46"/>
  <c r="F640" i="46"/>
  <c r="F641" i="46"/>
  <c r="F642" i="46"/>
  <c r="F643" i="46"/>
  <c r="F644" i="46"/>
  <c r="F645" i="46"/>
  <c r="F646" i="46"/>
  <c r="F647" i="46"/>
  <c r="F648" i="46"/>
  <c r="F649" i="46"/>
  <c r="F650" i="46"/>
  <c r="F651" i="46"/>
  <c r="F652" i="46"/>
  <c r="F653" i="46"/>
  <c r="F654" i="46"/>
  <c r="F655" i="46"/>
  <c r="F656" i="46"/>
  <c r="F657" i="46"/>
  <c r="F658" i="46"/>
  <c r="F659" i="46"/>
  <c r="F660" i="46"/>
  <c r="F661" i="46"/>
  <c r="F662" i="46"/>
  <c r="F663" i="46"/>
  <c r="F664" i="46"/>
  <c r="F665" i="46"/>
  <c r="F666" i="46"/>
  <c r="F667" i="46"/>
  <c r="F668" i="46"/>
  <c r="F669" i="46"/>
  <c r="F670" i="46"/>
  <c r="F671" i="46"/>
  <c r="F672" i="46"/>
  <c r="F673" i="46"/>
  <c r="F674" i="46"/>
  <c r="F675" i="46"/>
  <c r="F676" i="46"/>
  <c r="F677" i="46"/>
  <c r="F678" i="46"/>
  <c r="F679" i="46"/>
  <c r="F680" i="46"/>
  <c r="F681" i="46"/>
  <c r="F682" i="46"/>
  <c r="F683" i="46"/>
  <c r="F684" i="46"/>
  <c r="F685" i="46"/>
  <c r="F686" i="46"/>
  <c r="F687" i="46"/>
  <c r="F688" i="46"/>
  <c r="F689" i="46"/>
  <c r="F690" i="46"/>
  <c r="F691" i="46"/>
  <c r="F692" i="46"/>
  <c r="F693" i="46"/>
  <c r="F694" i="46"/>
  <c r="F695" i="46"/>
  <c r="F696" i="46"/>
  <c r="F697" i="46"/>
  <c r="F698" i="46"/>
  <c r="F699" i="46"/>
  <c r="F700" i="46"/>
  <c r="F701" i="46"/>
  <c r="F702" i="46"/>
  <c r="F703" i="46"/>
  <c r="F704" i="46"/>
  <c r="F705" i="46"/>
  <c r="F706" i="46"/>
  <c r="F707" i="46"/>
  <c r="F708" i="46"/>
  <c r="F709" i="46"/>
  <c r="F710" i="46"/>
  <c r="F711" i="46"/>
  <c r="F712" i="46"/>
  <c r="F713" i="46"/>
  <c r="F714" i="46"/>
  <c r="F715" i="46"/>
  <c r="F716" i="46"/>
  <c r="F717" i="46"/>
  <c r="F718" i="46"/>
  <c r="F719" i="46"/>
  <c r="F720" i="46"/>
  <c r="F721" i="46"/>
  <c r="F722" i="46"/>
  <c r="F723" i="46"/>
  <c r="F724" i="46"/>
  <c r="F725" i="46"/>
  <c r="F726" i="46"/>
  <c r="F727" i="46"/>
  <c r="F728" i="46"/>
  <c r="F729" i="46"/>
  <c r="F730" i="46"/>
  <c r="F731" i="46"/>
  <c r="F732" i="46"/>
  <c r="F733" i="46"/>
  <c r="F734" i="46"/>
  <c r="F735" i="46"/>
  <c r="F736" i="46"/>
  <c r="F737" i="46"/>
  <c r="F738" i="46"/>
  <c r="F739" i="46"/>
  <c r="F740" i="46"/>
  <c r="F741" i="46"/>
  <c r="F742" i="46"/>
  <c r="F743" i="46"/>
  <c r="F744" i="46"/>
  <c r="F745" i="46"/>
  <c r="F746" i="46"/>
  <c r="F747" i="46"/>
  <c r="F748" i="46"/>
  <c r="F749" i="46"/>
  <c r="F750" i="46"/>
  <c r="F751" i="46"/>
  <c r="F752" i="46"/>
  <c r="F753" i="46"/>
  <c r="F754" i="46"/>
  <c r="F755" i="46"/>
  <c r="F756" i="46"/>
  <c r="F757" i="46"/>
  <c r="J59" i="46"/>
  <c r="J60" i="46"/>
  <c r="J61" i="46"/>
  <c r="J62" i="46"/>
  <c r="J63" i="46"/>
  <c r="J64" i="46"/>
  <c r="J65" i="46"/>
  <c r="J66" i="46"/>
  <c r="J67" i="46"/>
  <c r="J68" i="46"/>
  <c r="J69" i="46"/>
  <c r="J70" i="46"/>
  <c r="J71" i="46"/>
  <c r="J72" i="46"/>
  <c r="J73" i="46"/>
  <c r="J74" i="46"/>
  <c r="J75" i="46"/>
  <c r="J76" i="46"/>
  <c r="J77" i="46"/>
  <c r="J78" i="46"/>
  <c r="J79" i="46"/>
  <c r="J80" i="46"/>
  <c r="J81" i="46"/>
  <c r="J82" i="46"/>
  <c r="J83" i="46"/>
  <c r="J84" i="46"/>
  <c r="J85" i="46"/>
  <c r="J86" i="46"/>
  <c r="J87" i="46"/>
  <c r="J88" i="46"/>
  <c r="J89" i="46"/>
  <c r="J90" i="46"/>
  <c r="J91" i="46"/>
  <c r="J92" i="46"/>
  <c r="J93" i="46"/>
  <c r="J94" i="46"/>
  <c r="J95" i="46"/>
  <c r="J96" i="46"/>
  <c r="J97" i="46"/>
  <c r="J98" i="46"/>
  <c r="J99" i="46"/>
  <c r="J100" i="46"/>
  <c r="J101" i="46"/>
  <c r="J102" i="46"/>
  <c r="J103" i="46"/>
  <c r="J104" i="46"/>
  <c r="J105" i="46"/>
  <c r="J106" i="46"/>
  <c r="J107" i="46"/>
  <c r="J108" i="46"/>
  <c r="J109" i="46"/>
  <c r="J110" i="46"/>
  <c r="J111" i="46"/>
  <c r="J112" i="46"/>
  <c r="J113" i="46"/>
  <c r="J114" i="46"/>
  <c r="J115" i="46"/>
  <c r="J116" i="46"/>
  <c r="J117" i="46"/>
  <c r="J118" i="46"/>
  <c r="J119" i="46"/>
  <c r="J120" i="46"/>
  <c r="J121" i="46"/>
  <c r="J122" i="46"/>
  <c r="J123" i="46"/>
  <c r="J124" i="46"/>
  <c r="J125" i="46"/>
  <c r="J126" i="46"/>
  <c r="J127" i="46"/>
  <c r="J128" i="46"/>
  <c r="J129" i="46"/>
  <c r="J130" i="46"/>
  <c r="J131" i="46"/>
  <c r="J132" i="46"/>
  <c r="J133" i="46"/>
  <c r="J134" i="46"/>
  <c r="J135" i="46"/>
  <c r="J136" i="46"/>
  <c r="J137" i="46"/>
  <c r="J138" i="46"/>
  <c r="J139" i="46"/>
  <c r="J140" i="46"/>
  <c r="J141" i="46"/>
  <c r="J142" i="46"/>
  <c r="J143" i="46"/>
  <c r="J144" i="46"/>
  <c r="J145" i="46"/>
  <c r="J146" i="46"/>
  <c r="J147" i="46"/>
  <c r="J148" i="46"/>
  <c r="J149" i="46"/>
  <c r="J150" i="46"/>
  <c r="J151" i="46"/>
  <c r="J152" i="46"/>
  <c r="J153" i="46"/>
  <c r="J154" i="46"/>
  <c r="J155" i="46"/>
  <c r="J156" i="46"/>
  <c r="J157" i="46"/>
  <c r="J158" i="46"/>
  <c r="J159" i="46"/>
  <c r="J160" i="46"/>
  <c r="J161" i="46"/>
  <c r="J162" i="46"/>
  <c r="J163" i="46"/>
  <c r="J164" i="46"/>
  <c r="J165" i="46"/>
  <c r="J166" i="46"/>
  <c r="J167" i="46"/>
  <c r="J168" i="46"/>
  <c r="J169" i="46"/>
  <c r="J170" i="46"/>
  <c r="J171" i="46"/>
  <c r="J172" i="46"/>
  <c r="J173" i="46"/>
  <c r="J174" i="46"/>
  <c r="J175" i="46"/>
  <c r="J176" i="46"/>
  <c r="J177" i="46"/>
  <c r="J178" i="46"/>
  <c r="J179" i="46"/>
  <c r="J180" i="46"/>
  <c r="J181" i="46"/>
  <c r="J182" i="46"/>
  <c r="J183" i="46"/>
  <c r="J184" i="46"/>
  <c r="J185" i="46"/>
  <c r="J186" i="46"/>
  <c r="J187" i="46"/>
  <c r="J188" i="46"/>
  <c r="J189" i="46"/>
  <c r="J190" i="46"/>
  <c r="J191" i="46"/>
  <c r="J192" i="46"/>
  <c r="J193" i="46"/>
  <c r="J194" i="46"/>
  <c r="J195" i="46"/>
  <c r="J196" i="46"/>
  <c r="J197" i="46"/>
  <c r="J198" i="46"/>
  <c r="J199" i="46"/>
  <c r="J200" i="46"/>
  <c r="J201" i="46"/>
  <c r="J202" i="46"/>
  <c r="J203" i="46"/>
  <c r="J204" i="46"/>
  <c r="J205" i="46"/>
  <c r="J206" i="46"/>
  <c r="J207" i="46"/>
  <c r="J208" i="46"/>
  <c r="J209" i="46"/>
  <c r="J210" i="46"/>
  <c r="J211" i="46"/>
  <c r="J212" i="46"/>
  <c r="J213" i="46"/>
  <c r="J214" i="46"/>
  <c r="J215" i="46"/>
  <c r="J216" i="46"/>
  <c r="J217" i="46"/>
  <c r="J218" i="46"/>
  <c r="J219" i="46"/>
  <c r="J220" i="46"/>
  <c r="J221" i="46"/>
  <c r="J222" i="46"/>
  <c r="J223" i="46"/>
  <c r="J224" i="46"/>
  <c r="J225" i="46"/>
  <c r="J226" i="46"/>
  <c r="J227" i="46"/>
  <c r="J228" i="46"/>
  <c r="J229" i="46"/>
  <c r="J230" i="46"/>
  <c r="J231" i="46"/>
  <c r="J232" i="46"/>
  <c r="J233" i="46"/>
  <c r="J234" i="46"/>
  <c r="J235" i="46"/>
  <c r="J236" i="46"/>
  <c r="J237" i="46"/>
  <c r="J238" i="46"/>
  <c r="J239" i="46"/>
  <c r="J240" i="46"/>
  <c r="J241" i="46"/>
  <c r="J242" i="46"/>
  <c r="J243" i="46"/>
  <c r="J244" i="46"/>
  <c r="J245" i="46"/>
  <c r="J246" i="46"/>
  <c r="J247" i="46"/>
  <c r="J248" i="46"/>
  <c r="J249" i="46"/>
  <c r="J250" i="46"/>
  <c r="J251" i="46"/>
  <c r="J252" i="46"/>
  <c r="J253" i="46"/>
  <c r="J254" i="46"/>
  <c r="J255" i="46"/>
  <c r="J256" i="46"/>
  <c r="J257" i="46"/>
  <c r="J258" i="46"/>
  <c r="J259" i="46"/>
  <c r="J260" i="46"/>
  <c r="J261" i="46"/>
  <c r="J262" i="46"/>
  <c r="J263" i="46"/>
  <c r="J264" i="46"/>
  <c r="J265" i="46"/>
  <c r="J266" i="46"/>
  <c r="J267" i="46"/>
  <c r="J268" i="46"/>
  <c r="J269" i="46"/>
  <c r="J270" i="46"/>
  <c r="J271" i="46"/>
  <c r="J272" i="46"/>
  <c r="J273" i="46"/>
  <c r="J274" i="46"/>
  <c r="J275" i="46"/>
  <c r="J276" i="46"/>
  <c r="J277" i="46"/>
  <c r="J278" i="46"/>
  <c r="J279" i="46"/>
  <c r="J280" i="46"/>
  <c r="J281" i="46"/>
  <c r="J282" i="46"/>
  <c r="J283" i="46"/>
  <c r="J284" i="46"/>
  <c r="J285" i="46"/>
  <c r="J286" i="46"/>
  <c r="J287" i="46"/>
  <c r="J288" i="46"/>
  <c r="J289" i="46"/>
  <c r="J290" i="46"/>
  <c r="J291" i="46"/>
  <c r="J292" i="46"/>
  <c r="J293" i="46"/>
  <c r="J294" i="46"/>
  <c r="J295" i="46"/>
  <c r="J296" i="46"/>
  <c r="J297" i="46"/>
  <c r="J298" i="46"/>
  <c r="J299" i="46"/>
  <c r="J300" i="46"/>
  <c r="J301" i="46"/>
  <c r="J302" i="46"/>
  <c r="J303" i="46"/>
  <c r="J304" i="46"/>
  <c r="J305" i="46"/>
  <c r="J306" i="46"/>
  <c r="J307" i="46"/>
  <c r="J308" i="46"/>
  <c r="J309" i="46"/>
  <c r="J310" i="46"/>
  <c r="J311" i="46"/>
  <c r="J312" i="46"/>
  <c r="J313" i="46"/>
  <c r="J314" i="46"/>
  <c r="J315" i="46"/>
  <c r="J316" i="46"/>
  <c r="J317" i="46"/>
  <c r="J318" i="46"/>
  <c r="J319" i="46"/>
  <c r="J320" i="46"/>
  <c r="J321" i="46"/>
  <c r="J322" i="46"/>
  <c r="J323" i="46"/>
  <c r="J324" i="46"/>
  <c r="J325" i="46"/>
  <c r="J326" i="46"/>
  <c r="J327" i="46"/>
  <c r="J328" i="46"/>
  <c r="J329" i="46"/>
  <c r="J330" i="46"/>
  <c r="J331" i="46"/>
  <c r="J332" i="46"/>
  <c r="J333" i="46"/>
  <c r="J334" i="46"/>
  <c r="J335" i="46"/>
  <c r="J336" i="46"/>
  <c r="J337" i="46"/>
  <c r="J338" i="46"/>
  <c r="J339" i="46"/>
  <c r="J340" i="46"/>
  <c r="J341" i="46"/>
  <c r="J342" i="46"/>
  <c r="J343" i="46"/>
  <c r="J344" i="46"/>
  <c r="J345" i="46"/>
  <c r="J346" i="46"/>
  <c r="J347" i="46"/>
  <c r="J348" i="46"/>
  <c r="J349" i="46"/>
  <c r="J350" i="46"/>
  <c r="J351" i="46"/>
  <c r="J352" i="46"/>
  <c r="J353" i="46"/>
  <c r="J354" i="46"/>
  <c r="J355" i="46"/>
  <c r="J356" i="46"/>
  <c r="J357" i="46"/>
  <c r="J358" i="46"/>
  <c r="J359" i="46"/>
  <c r="J360" i="46"/>
  <c r="J361" i="46"/>
  <c r="J362" i="46"/>
  <c r="J363" i="46"/>
  <c r="J364" i="46"/>
  <c r="J365" i="46"/>
  <c r="J366" i="46"/>
  <c r="J367" i="46"/>
  <c r="J368" i="46"/>
  <c r="J369" i="46"/>
  <c r="J370" i="46"/>
  <c r="J371" i="46"/>
  <c r="J372" i="46"/>
  <c r="J373" i="46"/>
  <c r="J374" i="46"/>
  <c r="J375" i="46"/>
  <c r="J376" i="46"/>
  <c r="J377" i="46"/>
  <c r="J378" i="46"/>
  <c r="J379" i="46"/>
  <c r="J380" i="46"/>
  <c r="J381" i="46"/>
  <c r="J382" i="46"/>
  <c r="J383" i="46"/>
  <c r="J384" i="46"/>
  <c r="J385" i="46"/>
  <c r="J386" i="46"/>
  <c r="J387" i="46"/>
  <c r="J388" i="46"/>
  <c r="J389" i="46"/>
  <c r="J390" i="46"/>
  <c r="J391" i="46"/>
  <c r="J392" i="46"/>
  <c r="J393" i="46"/>
  <c r="J394" i="46"/>
  <c r="J395" i="46"/>
  <c r="J396" i="46"/>
  <c r="J397" i="46"/>
  <c r="J398" i="46"/>
  <c r="J399" i="46"/>
  <c r="J400" i="46"/>
  <c r="J401" i="46"/>
  <c r="J402" i="46"/>
  <c r="J403" i="46"/>
  <c r="J404" i="46"/>
  <c r="J405" i="46"/>
  <c r="J406" i="46"/>
  <c r="J407" i="46"/>
  <c r="J408" i="46"/>
  <c r="J409" i="46"/>
  <c r="J410" i="46"/>
  <c r="J411" i="46"/>
  <c r="J412" i="46"/>
  <c r="J413" i="46"/>
  <c r="J414" i="46"/>
  <c r="J415" i="46"/>
  <c r="J416" i="46"/>
  <c r="J417" i="46"/>
  <c r="J418" i="46"/>
  <c r="J419" i="46"/>
  <c r="J420" i="46"/>
  <c r="J421" i="46"/>
  <c r="J422" i="46"/>
  <c r="J423" i="46"/>
  <c r="J424" i="46"/>
  <c r="J425" i="46"/>
  <c r="J426" i="46"/>
  <c r="J427" i="46"/>
  <c r="J428" i="46"/>
  <c r="J429" i="46"/>
  <c r="J430" i="46"/>
  <c r="J431" i="46"/>
  <c r="J432" i="46"/>
  <c r="J433" i="46"/>
  <c r="J434" i="46"/>
  <c r="J435" i="46"/>
  <c r="J436" i="46"/>
  <c r="J437" i="46"/>
  <c r="J438" i="46"/>
  <c r="J439" i="46"/>
  <c r="J440" i="46"/>
  <c r="J441" i="46"/>
  <c r="J442" i="46"/>
  <c r="J443" i="46"/>
  <c r="J444" i="46"/>
  <c r="J445" i="46"/>
  <c r="J446" i="46"/>
  <c r="J447" i="46"/>
  <c r="J448" i="46"/>
  <c r="J449" i="46"/>
  <c r="J450" i="46"/>
  <c r="J451" i="46"/>
  <c r="J452" i="46"/>
  <c r="J453" i="46"/>
  <c r="J454" i="46"/>
  <c r="J455" i="46"/>
  <c r="J456" i="46"/>
  <c r="J457" i="46"/>
  <c r="J458" i="46"/>
  <c r="J459" i="46"/>
  <c r="J460" i="46"/>
  <c r="J461" i="46"/>
  <c r="J462" i="46"/>
  <c r="J463" i="46"/>
  <c r="J464" i="46"/>
  <c r="J465" i="46"/>
  <c r="J466" i="46"/>
  <c r="J467" i="46"/>
  <c r="J468" i="46"/>
  <c r="J469" i="46"/>
  <c r="J470" i="46"/>
  <c r="J471" i="46"/>
  <c r="J472" i="46"/>
  <c r="J473" i="46"/>
  <c r="J474" i="46"/>
  <c r="J475" i="46"/>
  <c r="J476" i="46"/>
  <c r="J477" i="46"/>
  <c r="J478" i="46"/>
  <c r="J479" i="46"/>
  <c r="J480" i="46"/>
  <c r="J481" i="46"/>
  <c r="J482" i="46"/>
  <c r="J483" i="46"/>
  <c r="J484" i="46"/>
  <c r="J485" i="46"/>
  <c r="J486" i="46"/>
  <c r="J487" i="46"/>
  <c r="J488" i="46"/>
  <c r="J489" i="46"/>
  <c r="J490" i="46"/>
  <c r="J491" i="46"/>
  <c r="J492" i="46"/>
  <c r="J493" i="46"/>
  <c r="J494" i="46"/>
  <c r="J495" i="46"/>
  <c r="J496" i="46"/>
  <c r="J497" i="46"/>
  <c r="J498" i="46"/>
  <c r="J499" i="46"/>
  <c r="J500" i="46"/>
  <c r="J501" i="46"/>
  <c r="J502" i="46"/>
  <c r="J503" i="46"/>
  <c r="J504" i="46"/>
  <c r="J505" i="46"/>
  <c r="J506" i="46"/>
  <c r="J507" i="46"/>
  <c r="J508" i="46"/>
  <c r="J509" i="46"/>
  <c r="J510" i="46"/>
  <c r="J511" i="46"/>
  <c r="J512" i="46"/>
  <c r="J513" i="46"/>
  <c r="J514" i="46"/>
  <c r="J515" i="46"/>
  <c r="J516" i="46"/>
  <c r="J517" i="46"/>
  <c r="J518" i="46"/>
  <c r="J519" i="46"/>
  <c r="J520" i="46"/>
  <c r="J521" i="46"/>
  <c r="J522" i="46"/>
  <c r="J523" i="46"/>
  <c r="J524" i="46"/>
  <c r="J525" i="46"/>
  <c r="J526" i="46"/>
  <c r="J527" i="46"/>
  <c r="J528" i="46"/>
  <c r="J529" i="46"/>
  <c r="J530" i="46"/>
  <c r="J531" i="46"/>
  <c r="J532" i="46"/>
  <c r="J533" i="46"/>
  <c r="J534" i="46"/>
  <c r="J535" i="46"/>
  <c r="J536" i="46"/>
  <c r="J537" i="46"/>
  <c r="J538" i="46"/>
  <c r="J539" i="46"/>
  <c r="J540" i="46"/>
  <c r="J541" i="46"/>
  <c r="J542" i="46"/>
  <c r="J543" i="46"/>
  <c r="J544" i="46"/>
  <c r="J545" i="46"/>
  <c r="J546" i="46"/>
  <c r="J547" i="46"/>
  <c r="J548" i="46"/>
  <c r="J549" i="46"/>
  <c r="J550" i="46"/>
  <c r="J551" i="46"/>
  <c r="J552" i="46"/>
  <c r="J553" i="46"/>
  <c r="J554" i="46"/>
  <c r="J555" i="46"/>
  <c r="J556" i="46"/>
  <c r="J557" i="46"/>
  <c r="J558" i="46"/>
  <c r="J559" i="46"/>
  <c r="J560" i="46"/>
  <c r="J561" i="46"/>
  <c r="J562" i="46"/>
  <c r="J563" i="46"/>
  <c r="J564" i="46"/>
  <c r="J565" i="46"/>
  <c r="J566" i="46"/>
  <c r="J567" i="46"/>
  <c r="J568" i="46"/>
  <c r="J569" i="46"/>
  <c r="J570" i="46"/>
  <c r="J571" i="46"/>
  <c r="J572" i="46"/>
  <c r="J573" i="46"/>
  <c r="J574" i="46"/>
  <c r="J575" i="46"/>
  <c r="J576" i="46"/>
  <c r="J577" i="46"/>
  <c r="J578" i="46"/>
  <c r="J579" i="46"/>
  <c r="J580" i="46"/>
  <c r="J581" i="46"/>
  <c r="J582" i="46"/>
  <c r="J583" i="46"/>
  <c r="J584" i="46"/>
  <c r="J585" i="46"/>
  <c r="J586" i="46"/>
  <c r="J587" i="46"/>
  <c r="J588" i="46"/>
  <c r="J589" i="46"/>
  <c r="J590" i="46"/>
  <c r="J591" i="46"/>
  <c r="J592" i="46"/>
  <c r="J593" i="46"/>
  <c r="J594" i="46"/>
  <c r="J595" i="46"/>
  <c r="J596" i="46"/>
  <c r="J597" i="46"/>
  <c r="J598" i="46"/>
  <c r="J599" i="46"/>
  <c r="J600" i="46"/>
  <c r="J601" i="46"/>
  <c r="J602" i="46"/>
  <c r="J603" i="46"/>
  <c r="J604" i="46"/>
  <c r="J605" i="46"/>
  <c r="J606" i="46"/>
  <c r="J607" i="46"/>
  <c r="J608" i="46"/>
  <c r="J609" i="46"/>
  <c r="J610" i="46"/>
  <c r="J611" i="46"/>
  <c r="J612" i="46"/>
  <c r="J613" i="46"/>
  <c r="J614" i="46"/>
  <c r="J615" i="46"/>
  <c r="J616" i="46"/>
  <c r="J617" i="46"/>
  <c r="J618" i="46"/>
  <c r="J619" i="46"/>
  <c r="J620" i="46"/>
  <c r="J621" i="46"/>
  <c r="J622" i="46"/>
  <c r="J623" i="46"/>
  <c r="J624" i="46"/>
  <c r="J625" i="46"/>
  <c r="J626" i="46"/>
  <c r="J627" i="46"/>
  <c r="J628" i="46"/>
  <c r="J629" i="46"/>
  <c r="J630" i="46"/>
  <c r="J631" i="46"/>
  <c r="J632" i="46"/>
  <c r="J633" i="46"/>
  <c r="J634" i="46"/>
  <c r="J635" i="46"/>
  <c r="J636" i="46"/>
  <c r="J637" i="46"/>
  <c r="J638" i="46"/>
  <c r="J639" i="46"/>
  <c r="J640" i="46"/>
  <c r="J641" i="46"/>
  <c r="J642" i="46"/>
  <c r="J643" i="46"/>
  <c r="J644" i="46"/>
  <c r="J645" i="46"/>
  <c r="J646" i="46"/>
  <c r="J647" i="46"/>
  <c r="J648" i="46"/>
  <c r="J649" i="46"/>
  <c r="J650" i="46"/>
  <c r="J651" i="46"/>
  <c r="J652" i="46"/>
  <c r="J653" i="46"/>
  <c r="J654" i="46"/>
  <c r="J655" i="46"/>
  <c r="J656" i="46"/>
  <c r="J657" i="46"/>
  <c r="J658" i="46"/>
  <c r="J659" i="46"/>
  <c r="J660" i="46"/>
  <c r="J661" i="46"/>
  <c r="J662" i="46"/>
  <c r="J663" i="46"/>
  <c r="J664" i="46"/>
  <c r="J665" i="46"/>
  <c r="J666" i="46"/>
  <c r="J667" i="46"/>
  <c r="J668" i="46"/>
  <c r="J669" i="46"/>
  <c r="J670" i="46"/>
  <c r="J671" i="46"/>
  <c r="J672" i="46"/>
  <c r="J673" i="46"/>
  <c r="J674" i="46"/>
  <c r="J675" i="46"/>
  <c r="J676" i="46"/>
  <c r="J677" i="46"/>
  <c r="J678" i="46"/>
  <c r="J679" i="46"/>
  <c r="J680" i="46"/>
  <c r="J681" i="46"/>
  <c r="J682" i="46"/>
  <c r="J683" i="46"/>
  <c r="J684" i="46"/>
  <c r="J685" i="46"/>
  <c r="J686" i="46"/>
  <c r="J687" i="46"/>
  <c r="J688" i="46"/>
  <c r="J689" i="46"/>
  <c r="J690" i="46"/>
  <c r="J691" i="46"/>
  <c r="J692" i="46"/>
  <c r="J693" i="46"/>
  <c r="J694" i="46"/>
  <c r="J695" i="46"/>
  <c r="J696" i="46"/>
  <c r="J697" i="46"/>
  <c r="J698" i="46"/>
  <c r="J699" i="46"/>
  <c r="J700" i="46"/>
  <c r="J701" i="46"/>
  <c r="J702" i="46"/>
  <c r="J703" i="46"/>
  <c r="J704" i="46"/>
  <c r="J705" i="46"/>
  <c r="J706" i="46"/>
  <c r="J707" i="46"/>
  <c r="J708" i="46"/>
  <c r="J709" i="46"/>
  <c r="J710" i="46"/>
  <c r="J711" i="46"/>
  <c r="J712" i="46"/>
  <c r="J713" i="46"/>
  <c r="J714" i="46"/>
  <c r="J715" i="46"/>
  <c r="J716" i="46"/>
  <c r="J717" i="46"/>
  <c r="J718" i="46"/>
  <c r="J719" i="46"/>
  <c r="J720" i="46"/>
  <c r="J721" i="46"/>
  <c r="J722" i="46"/>
  <c r="J723" i="46"/>
  <c r="J724" i="46"/>
  <c r="J725" i="46"/>
  <c r="J726" i="46"/>
  <c r="J727" i="46"/>
  <c r="J728" i="46"/>
  <c r="J729" i="46"/>
  <c r="J730" i="46"/>
  <c r="J731" i="46"/>
  <c r="J732" i="46"/>
  <c r="J733" i="46"/>
  <c r="J734" i="46"/>
  <c r="J735" i="46"/>
  <c r="J736" i="46"/>
  <c r="J737" i="46"/>
  <c r="J738" i="46"/>
  <c r="J739" i="46"/>
  <c r="J740" i="46"/>
  <c r="J741" i="46"/>
  <c r="J742" i="46"/>
  <c r="J743" i="46"/>
  <c r="J744" i="46"/>
  <c r="J745" i="46"/>
  <c r="J746" i="46"/>
  <c r="J747" i="46"/>
  <c r="J748" i="46"/>
  <c r="J749" i="46"/>
  <c r="J750" i="46"/>
  <c r="J751" i="46"/>
  <c r="J752" i="46"/>
  <c r="J753" i="46"/>
  <c r="J754" i="46"/>
  <c r="J755" i="46"/>
  <c r="J756" i="46"/>
  <c r="J757" i="46"/>
  <c r="J58" i="46"/>
  <c r="D59" i="46"/>
  <c r="E59" i="46"/>
  <c r="D60" i="46"/>
  <c r="E60" i="46"/>
  <c r="D61" i="46"/>
  <c r="E61" i="46"/>
  <c r="D62" i="46"/>
  <c r="E62" i="46"/>
  <c r="D63" i="46"/>
  <c r="E63" i="46"/>
  <c r="D64" i="46"/>
  <c r="E64" i="46"/>
  <c r="D65" i="46"/>
  <c r="E65" i="46"/>
  <c r="D66" i="46"/>
  <c r="E66" i="46"/>
  <c r="D67" i="46"/>
  <c r="E67" i="46"/>
  <c r="D68" i="46"/>
  <c r="E68" i="46"/>
  <c r="D69" i="46"/>
  <c r="E69" i="46"/>
  <c r="D70" i="46"/>
  <c r="E70" i="46"/>
  <c r="D71" i="46"/>
  <c r="E71" i="46"/>
  <c r="D72" i="46"/>
  <c r="E72" i="46"/>
  <c r="D73" i="46"/>
  <c r="E73" i="46"/>
  <c r="D74" i="46"/>
  <c r="E74" i="46"/>
  <c r="D75" i="46"/>
  <c r="E75" i="46"/>
  <c r="D76" i="46"/>
  <c r="E76" i="46"/>
  <c r="D77" i="46"/>
  <c r="E77" i="46"/>
  <c r="D78" i="46"/>
  <c r="E78" i="46"/>
  <c r="D79" i="46"/>
  <c r="E79" i="46"/>
  <c r="D80" i="46"/>
  <c r="E80" i="46"/>
  <c r="D81" i="46"/>
  <c r="E81" i="46"/>
  <c r="D82" i="46"/>
  <c r="E82" i="46"/>
  <c r="D83" i="46"/>
  <c r="E83" i="46"/>
  <c r="D84" i="46"/>
  <c r="E84" i="46"/>
  <c r="D85" i="46"/>
  <c r="E85" i="46"/>
  <c r="D86" i="46"/>
  <c r="E86" i="46"/>
  <c r="D87" i="46"/>
  <c r="E87" i="46"/>
  <c r="D88" i="46"/>
  <c r="E88" i="46"/>
  <c r="D89" i="46"/>
  <c r="E89" i="46"/>
  <c r="D90" i="46"/>
  <c r="E90" i="46"/>
  <c r="D91" i="46"/>
  <c r="E91" i="46"/>
  <c r="D92" i="46"/>
  <c r="E92" i="46"/>
  <c r="D93" i="46"/>
  <c r="E93" i="46"/>
  <c r="D94" i="46"/>
  <c r="E94" i="46"/>
  <c r="D95" i="46"/>
  <c r="E95" i="46"/>
  <c r="D96" i="46"/>
  <c r="E96" i="46"/>
  <c r="D97" i="46"/>
  <c r="E97" i="46"/>
  <c r="D98" i="46"/>
  <c r="E98" i="46"/>
  <c r="D99" i="46"/>
  <c r="E99" i="46"/>
  <c r="D100" i="46"/>
  <c r="E100" i="46"/>
  <c r="D101" i="46"/>
  <c r="E101" i="46"/>
  <c r="D102" i="46"/>
  <c r="E102" i="46"/>
  <c r="D103" i="46"/>
  <c r="E103" i="46"/>
  <c r="D104" i="46"/>
  <c r="E104" i="46"/>
  <c r="D105" i="46"/>
  <c r="E105" i="46"/>
  <c r="D106" i="46"/>
  <c r="E106" i="46"/>
  <c r="D107" i="46"/>
  <c r="E107" i="46"/>
  <c r="D108" i="46"/>
  <c r="E108" i="46"/>
  <c r="D109" i="46"/>
  <c r="E109" i="46"/>
  <c r="D110" i="46"/>
  <c r="E110" i="46"/>
  <c r="D111" i="46"/>
  <c r="E111" i="46"/>
  <c r="D112" i="46"/>
  <c r="E112" i="46"/>
  <c r="D113" i="46"/>
  <c r="E113" i="46"/>
  <c r="D114" i="46"/>
  <c r="E114" i="46"/>
  <c r="D115" i="46"/>
  <c r="E115" i="46"/>
  <c r="D116" i="46"/>
  <c r="E116" i="46"/>
  <c r="D117" i="46"/>
  <c r="E117" i="46"/>
  <c r="D118" i="46"/>
  <c r="E118" i="46"/>
  <c r="D119" i="46"/>
  <c r="E119" i="46"/>
  <c r="D120" i="46"/>
  <c r="E120" i="46"/>
  <c r="D121" i="46"/>
  <c r="E121" i="46"/>
  <c r="D122" i="46"/>
  <c r="E122" i="46"/>
  <c r="D123" i="46"/>
  <c r="E123" i="46"/>
  <c r="D124" i="46"/>
  <c r="E124" i="46"/>
  <c r="D125" i="46"/>
  <c r="E125" i="46"/>
  <c r="D126" i="46"/>
  <c r="E126" i="46"/>
  <c r="D127" i="46"/>
  <c r="E127" i="46"/>
  <c r="D128" i="46"/>
  <c r="E128" i="46"/>
  <c r="D129" i="46"/>
  <c r="E129" i="46"/>
  <c r="D130" i="46"/>
  <c r="E130" i="46"/>
  <c r="D131" i="46"/>
  <c r="E131" i="46"/>
  <c r="D132" i="46"/>
  <c r="E132" i="46"/>
  <c r="D133" i="46"/>
  <c r="E133" i="46"/>
  <c r="D134" i="46"/>
  <c r="E134" i="46"/>
  <c r="D135" i="46"/>
  <c r="E135" i="46"/>
  <c r="D136" i="46"/>
  <c r="E136" i="46"/>
  <c r="D137" i="46"/>
  <c r="E137" i="46"/>
  <c r="D138" i="46"/>
  <c r="E138" i="46"/>
  <c r="D139" i="46"/>
  <c r="E139" i="46"/>
  <c r="D140" i="46"/>
  <c r="E140" i="46"/>
  <c r="D141" i="46"/>
  <c r="E141" i="46"/>
  <c r="D142" i="46"/>
  <c r="E142" i="46"/>
  <c r="D143" i="46"/>
  <c r="E143" i="46"/>
  <c r="D144" i="46"/>
  <c r="E144" i="46"/>
  <c r="D145" i="46"/>
  <c r="E145" i="46"/>
  <c r="D146" i="46"/>
  <c r="E146" i="46"/>
  <c r="D147" i="46"/>
  <c r="E147" i="46"/>
  <c r="D148" i="46"/>
  <c r="E148" i="46"/>
  <c r="D149" i="46"/>
  <c r="E149" i="46"/>
  <c r="D150" i="46"/>
  <c r="E150" i="46"/>
  <c r="D151" i="46"/>
  <c r="E151" i="46"/>
  <c r="D152" i="46"/>
  <c r="E152" i="46"/>
  <c r="D153" i="46"/>
  <c r="E153" i="46"/>
  <c r="D154" i="46"/>
  <c r="E154" i="46"/>
  <c r="D155" i="46"/>
  <c r="E155" i="46"/>
  <c r="D156" i="46"/>
  <c r="E156" i="46"/>
  <c r="D157" i="46"/>
  <c r="E157" i="46"/>
  <c r="D158" i="46"/>
  <c r="E158" i="46"/>
  <c r="D159" i="46"/>
  <c r="E159" i="46"/>
  <c r="D160" i="46"/>
  <c r="E160" i="46"/>
  <c r="D161" i="46"/>
  <c r="E161" i="46"/>
  <c r="D162" i="46"/>
  <c r="E162" i="46"/>
  <c r="D163" i="46"/>
  <c r="E163" i="46"/>
  <c r="D164" i="46"/>
  <c r="E164" i="46"/>
  <c r="D165" i="46"/>
  <c r="E165" i="46"/>
  <c r="D166" i="46"/>
  <c r="E166" i="46"/>
  <c r="D167" i="46"/>
  <c r="E167" i="46"/>
  <c r="D168" i="46"/>
  <c r="E168" i="46"/>
  <c r="D169" i="46"/>
  <c r="E169" i="46"/>
  <c r="D170" i="46"/>
  <c r="E170" i="46"/>
  <c r="D171" i="46"/>
  <c r="E171" i="46"/>
  <c r="D172" i="46"/>
  <c r="E172" i="46"/>
  <c r="D173" i="46"/>
  <c r="E173" i="46"/>
  <c r="D174" i="46"/>
  <c r="E174" i="46"/>
  <c r="D175" i="46"/>
  <c r="E175" i="46"/>
  <c r="D176" i="46"/>
  <c r="E176" i="46"/>
  <c r="D177" i="46"/>
  <c r="E177" i="46"/>
  <c r="D178" i="46"/>
  <c r="E178" i="46"/>
  <c r="D179" i="46"/>
  <c r="E179" i="46"/>
  <c r="D180" i="46"/>
  <c r="E180" i="46"/>
  <c r="D181" i="46"/>
  <c r="E181" i="46"/>
  <c r="D182" i="46"/>
  <c r="E182" i="46"/>
  <c r="D183" i="46"/>
  <c r="E183" i="46"/>
  <c r="D184" i="46"/>
  <c r="E184" i="46"/>
  <c r="D185" i="46"/>
  <c r="E185" i="46"/>
  <c r="D186" i="46"/>
  <c r="E186" i="46"/>
  <c r="D187" i="46"/>
  <c r="E187" i="46"/>
  <c r="D188" i="46"/>
  <c r="E188" i="46"/>
  <c r="D189" i="46"/>
  <c r="E189" i="46"/>
  <c r="D190" i="46"/>
  <c r="E190" i="46"/>
  <c r="D191" i="46"/>
  <c r="E191" i="46"/>
  <c r="D192" i="46"/>
  <c r="E192" i="46"/>
  <c r="D193" i="46"/>
  <c r="E193" i="46"/>
  <c r="D194" i="46"/>
  <c r="E194" i="46"/>
  <c r="D195" i="46"/>
  <c r="E195" i="46"/>
  <c r="D196" i="46"/>
  <c r="E196" i="46"/>
  <c r="D197" i="46"/>
  <c r="E197" i="46"/>
  <c r="D198" i="46"/>
  <c r="E198" i="46"/>
  <c r="D199" i="46"/>
  <c r="E199" i="46"/>
  <c r="D200" i="46"/>
  <c r="E200" i="46"/>
  <c r="D201" i="46"/>
  <c r="E201" i="46"/>
  <c r="D202" i="46"/>
  <c r="E202" i="46"/>
  <c r="D203" i="46"/>
  <c r="E203" i="46"/>
  <c r="D204" i="46"/>
  <c r="E204" i="46"/>
  <c r="D205" i="46"/>
  <c r="E205" i="46"/>
  <c r="D206" i="46"/>
  <c r="E206" i="46"/>
  <c r="D207" i="46"/>
  <c r="E207" i="46"/>
  <c r="D208" i="46"/>
  <c r="E208" i="46"/>
  <c r="D209" i="46"/>
  <c r="E209" i="46"/>
  <c r="D210" i="46"/>
  <c r="E210" i="46"/>
  <c r="D211" i="46"/>
  <c r="E211" i="46"/>
  <c r="D212" i="46"/>
  <c r="E212" i="46"/>
  <c r="D213" i="46"/>
  <c r="E213" i="46"/>
  <c r="D214" i="46"/>
  <c r="E214" i="46"/>
  <c r="D215" i="46"/>
  <c r="E215" i="46"/>
  <c r="D216" i="46"/>
  <c r="E216" i="46"/>
  <c r="D217" i="46"/>
  <c r="E217" i="46"/>
  <c r="D218" i="46"/>
  <c r="E218" i="46"/>
  <c r="D219" i="46"/>
  <c r="E219" i="46"/>
  <c r="D220" i="46"/>
  <c r="E220" i="46"/>
  <c r="D221" i="46"/>
  <c r="E221" i="46"/>
  <c r="D222" i="46"/>
  <c r="E222" i="46"/>
  <c r="D223" i="46"/>
  <c r="E223" i="46"/>
  <c r="D224" i="46"/>
  <c r="E224" i="46"/>
  <c r="D225" i="46"/>
  <c r="E225" i="46"/>
  <c r="D226" i="46"/>
  <c r="E226" i="46"/>
  <c r="D227" i="46"/>
  <c r="E227" i="46"/>
  <c r="D228" i="46"/>
  <c r="E228" i="46"/>
  <c r="D229" i="46"/>
  <c r="E229" i="46"/>
  <c r="D230" i="46"/>
  <c r="E230" i="46"/>
  <c r="D231" i="46"/>
  <c r="E231" i="46"/>
  <c r="D232" i="46"/>
  <c r="E232" i="46"/>
  <c r="D233" i="46"/>
  <c r="E233" i="46"/>
  <c r="D234" i="46"/>
  <c r="E234" i="46"/>
  <c r="D235" i="46"/>
  <c r="E235" i="46"/>
  <c r="D236" i="46"/>
  <c r="E236" i="46"/>
  <c r="D237" i="46"/>
  <c r="E237" i="46"/>
  <c r="D238" i="46"/>
  <c r="E238" i="46"/>
  <c r="D239" i="46"/>
  <c r="E239" i="46"/>
  <c r="D240" i="46"/>
  <c r="E240" i="46"/>
  <c r="D241" i="46"/>
  <c r="E241" i="46"/>
  <c r="D242" i="46"/>
  <c r="E242" i="46"/>
  <c r="D243" i="46"/>
  <c r="E243" i="46"/>
  <c r="D244" i="46"/>
  <c r="E244" i="46"/>
  <c r="D245" i="46"/>
  <c r="E245" i="46"/>
  <c r="D246" i="46"/>
  <c r="E246" i="46"/>
  <c r="D247" i="46"/>
  <c r="E247" i="46"/>
  <c r="D248" i="46"/>
  <c r="E248" i="46"/>
  <c r="D249" i="46"/>
  <c r="E249" i="46"/>
  <c r="D250" i="46"/>
  <c r="E250" i="46"/>
  <c r="D251" i="46"/>
  <c r="E251" i="46"/>
  <c r="D252" i="46"/>
  <c r="E252" i="46"/>
  <c r="D253" i="46"/>
  <c r="E253" i="46"/>
  <c r="D254" i="46"/>
  <c r="E254" i="46"/>
  <c r="D255" i="46"/>
  <c r="E255" i="46"/>
  <c r="D256" i="46"/>
  <c r="E256" i="46"/>
  <c r="D257" i="46"/>
  <c r="E257" i="46"/>
  <c r="D258" i="46"/>
  <c r="E258" i="46"/>
  <c r="D259" i="46"/>
  <c r="E259" i="46"/>
  <c r="D260" i="46"/>
  <c r="E260" i="46"/>
  <c r="D261" i="46"/>
  <c r="E261" i="46"/>
  <c r="D262" i="46"/>
  <c r="E262" i="46"/>
  <c r="D263" i="46"/>
  <c r="E263" i="46"/>
  <c r="D264" i="46"/>
  <c r="E264" i="46"/>
  <c r="D265" i="46"/>
  <c r="E265" i="46"/>
  <c r="D266" i="46"/>
  <c r="E266" i="46"/>
  <c r="D267" i="46"/>
  <c r="E267" i="46"/>
  <c r="D268" i="46"/>
  <c r="E268" i="46"/>
  <c r="D269" i="46"/>
  <c r="E269" i="46"/>
  <c r="D270" i="46"/>
  <c r="E270" i="46"/>
  <c r="D271" i="46"/>
  <c r="E271" i="46"/>
  <c r="D272" i="46"/>
  <c r="E272" i="46"/>
  <c r="D273" i="46"/>
  <c r="E273" i="46"/>
  <c r="D274" i="46"/>
  <c r="E274" i="46"/>
  <c r="D275" i="46"/>
  <c r="E275" i="46"/>
  <c r="D276" i="46"/>
  <c r="E276" i="46"/>
  <c r="D277" i="46"/>
  <c r="E277" i="46"/>
  <c r="D278" i="46"/>
  <c r="E278" i="46"/>
  <c r="D279" i="46"/>
  <c r="E279" i="46"/>
  <c r="D280" i="46"/>
  <c r="E280" i="46"/>
  <c r="D281" i="46"/>
  <c r="E281" i="46"/>
  <c r="D282" i="46"/>
  <c r="E282" i="46"/>
  <c r="D283" i="46"/>
  <c r="E283" i="46"/>
  <c r="D284" i="46"/>
  <c r="E284" i="46"/>
  <c r="D285" i="46"/>
  <c r="E285" i="46"/>
  <c r="D286" i="46"/>
  <c r="E286" i="46"/>
  <c r="D287" i="46"/>
  <c r="E287" i="46"/>
  <c r="D288" i="46"/>
  <c r="E288" i="46"/>
  <c r="D289" i="46"/>
  <c r="E289" i="46"/>
  <c r="D290" i="46"/>
  <c r="E290" i="46"/>
  <c r="D291" i="46"/>
  <c r="E291" i="46"/>
  <c r="D292" i="46"/>
  <c r="E292" i="46"/>
  <c r="D293" i="46"/>
  <c r="E293" i="46"/>
  <c r="D294" i="46"/>
  <c r="E294" i="46"/>
  <c r="D295" i="46"/>
  <c r="E295" i="46"/>
  <c r="D296" i="46"/>
  <c r="E296" i="46"/>
  <c r="D297" i="46"/>
  <c r="E297" i="46"/>
  <c r="D298" i="46"/>
  <c r="E298" i="46"/>
  <c r="D299" i="46"/>
  <c r="E299" i="46"/>
  <c r="D300" i="46"/>
  <c r="E300" i="46"/>
  <c r="D301" i="46"/>
  <c r="E301" i="46"/>
  <c r="D302" i="46"/>
  <c r="E302" i="46"/>
  <c r="D303" i="46"/>
  <c r="E303" i="46"/>
  <c r="D304" i="46"/>
  <c r="E304" i="46"/>
  <c r="D305" i="46"/>
  <c r="E305" i="46"/>
  <c r="D306" i="46"/>
  <c r="E306" i="46"/>
  <c r="D307" i="46"/>
  <c r="E307" i="46"/>
  <c r="D308" i="46"/>
  <c r="E308" i="46"/>
  <c r="D309" i="46"/>
  <c r="E309" i="46"/>
  <c r="D310" i="46"/>
  <c r="E310" i="46"/>
  <c r="D311" i="46"/>
  <c r="E311" i="46"/>
  <c r="D312" i="46"/>
  <c r="E312" i="46"/>
  <c r="D313" i="46"/>
  <c r="E313" i="46"/>
  <c r="D314" i="46"/>
  <c r="E314" i="46"/>
  <c r="D315" i="46"/>
  <c r="E315" i="46"/>
  <c r="D316" i="46"/>
  <c r="E316" i="46"/>
  <c r="D317" i="46"/>
  <c r="E317" i="46"/>
  <c r="D318" i="46"/>
  <c r="E318" i="46"/>
  <c r="D319" i="46"/>
  <c r="E319" i="46"/>
  <c r="D320" i="46"/>
  <c r="E320" i="46"/>
  <c r="D321" i="46"/>
  <c r="E321" i="46"/>
  <c r="D322" i="46"/>
  <c r="E322" i="46"/>
  <c r="D323" i="46"/>
  <c r="E323" i="46"/>
  <c r="D324" i="46"/>
  <c r="E324" i="46"/>
  <c r="D325" i="46"/>
  <c r="E325" i="46"/>
  <c r="D326" i="46"/>
  <c r="E326" i="46"/>
  <c r="D327" i="46"/>
  <c r="E327" i="46"/>
  <c r="D328" i="46"/>
  <c r="E328" i="46"/>
  <c r="D329" i="46"/>
  <c r="E329" i="46"/>
  <c r="D330" i="46"/>
  <c r="E330" i="46"/>
  <c r="D331" i="46"/>
  <c r="E331" i="46"/>
  <c r="D332" i="46"/>
  <c r="E332" i="46"/>
  <c r="D333" i="46"/>
  <c r="E333" i="46"/>
  <c r="D334" i="46"/>
  <c r="E334" i="46"/>
  <c r="D335" i="46"/>
  <c r="E335" i="46"/>
  <c r="D336" i="46"/>
  <c r="E336" i="46"/>
  <c r="D337" i="46"/>
  <c r="E337" i="46"/>
  <c r="D338" i="46"/>
  <c r="E338" i="46"/>
  <c r="D339" i="46"/>
  <c r="E339" i="46"/>
  <c r="D340" i="46"/>
  <c r="E340" i="46"/>
  <c r="D341" i="46"/>
  <c r="E341" i="46"/>
  <c r="D342" i="46"/>
  <c r="E342" i="46"/>
  <c r="D343" i="46"/>
  <c r="E343" i="46"/>
  <c r="D344" i="46"/>
  <c r="E344" i="46"/>
  <c r="D345" i="46"/>
  <c r="E345" i="46"/>
  <c r="D346" i="46"/>
  <c r="E346" i="46"/>
  <c r="D347" i="46"/>
  <c r="E347" i="46"/>
  <c r="D348" i="46"/>
  <c r="E348" i="46"/>
  <c r="D349" i="46"/>
  <c r="E349" i="46"/>
  <c r="D350" i="46"/>
  <c r="E350" i="46"/>
  <c r="D351" i="46"/>
  <c r="E351" i="46"/>
  <c r="D352" i="46"/>
  <c r="E352" i="46"/>
  <c r="D353" i="46"/>
  <c r="E353" i="46"/>
  <c r="D354" i="46"/>
  <c r="E354" i="46"/>
  <c r="D355" i="46"/>
  <c r="E355" i="46"/>
  <c r="D356" i="46"/>
  <c r="E356" i="46"/>
  <c r="D357" i="46"/>
  <c r="E357" i="46"/>
  <c r="D358" i="46"/>
  <c r="E358" i="46"/>
  <c r="D359" i="46"/>
  <c r="E359" i="46"/>
  <c r="D360" i="46"/>
  <c r="E360" i="46"/>
  <c r="D361" i="46"/>
  <c r="E361" i="46"/>
  <c r="D362" i="46"/>
  <c r="E362" i="46"/>
  <c r="D363" i="46"/>
  <c r="E363" i="46"/>
  <c r="D364" i="46"/>
  <c r="E364" i="46"/>
  <c r="D365" i="46"/>
  <c r="E365" i="46"/>
  <c r="D366" i="46"/>
  <c r="E366" i="46"/>
  <c r="D367" i="46"/>
  <c r="E367" i="46"/>
  <c r="D368" i="46"/>
  <c r="E368" i="46"/>
  <c r="D369" i="46"/>
  <c r="E369" i="46"/>
  <c r="D370" i="46"/>
  <c r="E370" i="46"/>
  <c r="D371" i="46"/>
  <c r="E371" i="46"/>
  <c r="D372" i="46"/>
  <c r="E372" i="46"/>
  <c r="D373" i="46"/>
  <c r="E373" i="46"/>
  <c r="D374" i="46"/>
  <c r="E374" i="46"/>
  <c r="D375" i="46"/>
  <c r="E375" i="46"/>
  <c r="D376" i="46"/>
  <c r="E376" i="46"/>
  <c r="D377" i="46"/>
  <c r="E377" i="46"/>
  <c r="D378" i="46"/>
  <c r="E378" i="46"/>
  <c r="D379" i="46"/>
  <c r="E379" i="46"/>
  <c r="D380" i="46"/>
  <c r="E380" i="46"/>
  <c r="D381" i="46"/>
  <c r="E381" i="46"/>
  <c r="D382" i="46"/>
  <c r="E382" i="46"/>
  <c r="D383" i="46"/>
  <c r="E383" i="46"/>
  <c r="D384" i="46"/>
  <c r="E384" i="46"/>
  <c r="D385" i="46"/>
  <c r="E385" i="46"/>
  <c r="D386" i="46"/>
  <c r="E386" i="46"/>
  <c r="D387" i="46"/>
  <c r="E387" i="46"/>
  <c r="D388" i="46"/>
  <c r="E388" i="46"/>
  <c r="D389" i="46"/>
  <c r="E389" i="46"/>
  <c r="D390" i="46"/>
  <c r="E390" i="46"/>
  <c r="D391" i="46"/>
  <c r="E391" i="46"/>
  <c r="D392" i="46"/>
  <c r="E392" i="46"/>
  <c r="D393" i="46"/>
  <c r="E393" i="46"/>
  <c r="D394" i="46"/>
  <c r="E394" i="46"/>
  <c r="D395" i="46"/>
  <c r="E395" i="46"/>
  <c r="D396" i="46"/>
  <c r="E396" i="46"/>
  <c r="D397" i="46"/>
  <c r="E397" i="46"/>
  <c r="D398" i="46"/>
  <c r="E398" i="46"/>
  <c r="D399" i="46"/>
  <c r="E399" i="46"/>
  <c r="D400" i="46"/>
  <c r="E400" i="46"/>
  <c r="D401" i="46"/>
  <c r="E401" i="46"/>
  <c r="D402" i="46"/>
  <c r="E402" i="46"/>
  <c r="D403" i="46"/>
  <c r="E403" i="46"/>
  <c r="D404" i="46"/>
  <c r="E404" i="46"/>
  <c r="D405" i="46"/>
  <c r="E405" i="46"/>
  <c r="D406" i="46"/>
  <c r="E406" i="46"/>
  <c r="D407" i="46"/>
  <c r="E407" i="46"/>
  <c r="D408" i="46"/>
  <c r="E408" i="46"/>
  <c r="D409" i="46"/>
  <c r="E409" i="46"/>
  <c r="D410" i="46"/>
  <c r="E410" i="46"/>
  <c r="D411" i="46"/>
  <c r="E411" i="46"/>
  <c r="D412" i="46"/>
  <c r="E412" i="46"/>
  <c r="D413" i="46"/>
  <c r="E413" i="46"/>
  <c r="D414" i="46"/>
  <c r="E414" i="46"/>
  <c r="D415" i="46"/>
  <c r="E415" i="46"/>
  <c r="D416" i="46"/>
  <c r="E416" i="46"/>
  <c r="D417" i="46"/>
  <c r="E417" i="46"/>
  <c r="D418" i="46"/>
  <c r="E418" i="46"/>
  <c r="D419" i="46"/>
  <c r="E419" i="46"/>
  <c r="D420" i="46"/>
  <c r="E420" i="46"/>
  <c r="D421" i="46"/>
  <c r="E421" i="46"/>
  <c r="D422" i="46"/>
  <c r="E422" i="46"/>
  <c r="D423" i="46"/>
  <c r="E423" i="46"/>
  <c r="D424" i="46"/>
  <c r="E424" i="46"/>
  <c r="D425" i="46"/>
  <c r="E425" i="46"/>
  <c r="D426" i="46"/>
  <c r="E426" i="46"/>
  <c r="D427" i="46"/>
  <c r="E427" i="46"/>
  <c r="D428" i="46"/>
  <c r="E428" i="46"/>
  <c r="D429" i="46"/>
  <c r="E429" i="46"/>
  <c r="D430" i="46"/>
  <c r="E430" i="46"/>
  <c r="D431" i="46"/>
  <c r="E431" i="46"/>
  <c r="D432" i="46"/>
  <c r="E432" i="46"/>
  <c r="D433" i="46"/>
  <c r="E433" i="46"/>
  <c r="D434" i="46"/>
  <c r="E434" i="46"/>
  <c r="D435" i="46"/>
  <c r="E435" i="46"/>
  <c r="D436" i="46"/>
  <c r="E436" i="46"/>
  <c r="D437" i="46"/>
  <c r="E437" i="46"/>
  <c r="D438" i="46"/>
  <c r="E438" i="46"/>
  <c r="D439" i="46"/>
  <c r="E439" i="46"/>
  <c r="D440" i="46"/>
  <c r="E440" i="46"/>
  <c r="D441" i="46"/>
  <c r="E441" i="46"/>
  <c r="D442" i="46"/>
  <c r="E442" i="46"/>
  <c r="D443" i="46"/>
  <c r="E443" i="46"/>
  <c r="D444" i="46"/>
  <c r="E444" i="46"/>
  <c r="D445" i="46"/>
  <c r="E445" i="46"/>
  <c r="D446" i="46"/>
  <c r="E446" i="46"/>
  <c r="D447" i="46"/>
  <c r="E447" i="46"/>
  <c r="D448" i="46"/>
  <c r="E448" i="46"/>
  <c r="D449" i="46"/>
  <c r="E449" i="46"/>
  <c r="D450" i="46"/>
  <c r="E450" i="46"/>
  <c r="D451" i="46"/>
  <c r="E451" i="46"/>
  <c r="D452" i="46"/>
  <c r="E452" i="46"/>
  <c r="D453" i="46"/>
  <c r="E453" i="46"/>
  <c r="D454" i="46"/>
  <c r="E454" i="46"/>
  <c r="D455" i="46"/>
  <c r="E455" i="46"/>
  <c r="D456" i="46"/>
  <c r="E456" i="46"/>
  <c r="D457" i="46"/>
  <c r="E457" i="46"/>
  <c r="D458" i="46"/>
  <c r="E458" i="46"/>
  <c r="D459" i="46"/>
  <c r="E459" i="46"/>
  <c r="D460" i="46"/>
  <c r="E460" i="46"/>
  <c r="D461" i="46"/>
  <c r="E461" i="46"/>
  <c r="D462" i="46"/>
  <c r="E462" i="46"/>
  <c r="D463" i="46"/>
  <c r="E463" i="46"/>
  <c r="D464" i="46"/>
  <c r="E464" i="46"/>
  <c r="D465" i="46"/>
  <c r="E465" i="46"/>
  <c r="D466" i="46"/>
  <c r="E466" i="46"/>
  <c r="D467" i="46"/>
  <c r="E467" i="46"/>
  <c r="D468" i="46"/>
  <c r="E468" i="46"/>
  <c r="D469" i="46"/>
  <c r="E469" i="46"/>
  <c r="D470" i="46"/>
  <c r="E470" i="46"/>
  <c r="D471" i="46"/>
  <c r="E471" i="46"/>
  <c r="D472" i="46"/>
  <c r="E472" i="46"/>
  <c r="D473" i="46"/>
  <c r="E473" i="46"/>
  <c r="D474" i="46"/>
  <c r="E474" i="46"/>
  <c r="D475" i="46"/>
  <c r="E475" i="46"/>
  <c r="D476" i="46"/>
  <c r="E476" i="46"/>
  <c r="D477" i="46"/>
  <c r="E477" i="46"/>
  <c r="D478" i="46"/>
  <c r="E478" i="46"/>
  <c r="D479" i="46"/>
  <c r="E479" i="46"/>
  <c r="D480" i="46"/>
  <c r="E480" i="46"/>
  <c r="D481" i="46"/>
  <c r="E481" i="46"/>
  <c r="D482" i="46"/>
  <c r="E482" i="46"/>
  <c r="D483" i="46"/>
  <c r="E483" i="46"/>
  <c r="D484" i="46"/>
  <c r="E484" i="46"/>
  <c r="D485" i="46"/>
  <c r="E485" i="46"/>
  <c r="D486" i="46"/>
  <c r="E486" i="46"/>
  <c r="D487" i="46"/>
  <c r="E487" i="46"/>
  <c r="D488" i="46"/>
  <c r="E488" i="46"/>
  <c r="D489" i="46"/>
  <c r="E489" i="46"/>
  <c r="D490" i="46"/>
  <c r="E490" i="46"/>
  <c r="D491" i="46"/>
  <c r="E491" i="46"/>
  <c r="D492" i="46"/>
  <c r="E492" i="46"/>
  <c r="D493" i="46"/>
  <c r="E493" i="46"/>
  <c r="D494" i="46"/>
  <c r="E494" i="46"/>
  <c r="D495" i="46"/>
  <c r="E495" i="46"/>
  <c r="D496" i="46"/>
  <c r="E496" i="46"/>
  <c r="D497" i="46"/>
  <c r="E497" i="46"/>
  <c r="D498" i="46"/>
  <c r="E498" i="46"/>
  <c r="D499" i="46"/>
  <c r="E499" i="46"/>
  <c r="D500" i="46"/>
  <c r="E500" i="46"/>
  <c r="D501" i="46"/>
  <c r="E501" i="46"/>
  <c r="D502" i="46"/>
  <c r="E502" i="46"/>
  <c r="D503" i="46"/>
  <c r="E503" i="46"/>
  <c r="D504" i="46"/>
  <c r="E504" i="46"/>
  <c r="D505" i="46"/>
  <c r="E505" i="46"/>
  <c r="D506" i="46"/>
  <c r="E506" i="46"/>
  <c r="D507" i="46"/>
  <c r="E507" i="46"/>
  <c r="D508" i="46"/>
  <c r="E508" i="46"/>
  <c r="D509" i="46"/>
  <c r="E509" i="46"/>
  <c r="D510" i="46"/>
  <c r="E510" i="46"/>
  <c r="D511" i="46"/>
  <c r="E511" i="46"/>
  <c r="D512" i="46"/>
  <c r="E512" i="46"/>
  <c r="D513" i="46"/>
  <c r="E513" i="46"/>
  <c r="D514" i="46"/>
  <c r="E514" i="46"/>
  <c r="D515" i="46"/>
  <c r="E515" i="46"/>
  <c r="D516" i="46"/>
  <c r="E516" i="46"/>
  <c r="D517" i="46"/>
  <c r="E517" i="46"/>
  <c r="D518" i="46"/>
  <c r="E518" i="46"/>
  <c r="D519" i="46"/>
  <c r="E519" i="46"/>
  <c r="D520" i="46"/>
  <c r="E520" i="46"/>
  <c r="D521" i="46"/>
  <c r="E521" i="46"/>
  <c r="D522" i="46"/>
  <c r="E522" i="46"/>
  <c r="D523" i="46"/>
  <c r="E523" i="46"/>
  <c r="D524" i="46"/>
  <c r="E524" i="46"/>
  <c r="D525" i="46"/>
  <c r="E525" i="46"/>
  <c r="D526" i="46"/>
  <c r="E526" i="46"/>
  <c r="D527" i="46"/>
  <c r="E527" i="46"/>
  <c r="D528" i="46"/>
  <c r="E528" i="46"/>
  <c r="D529" i="46"/>
  <c r="E529" i="46"/>
  <c r="D530" i="46"/>
  <c r="E530" i="46"/>
  <c r="D531" i="46"/>
  <c r="E531" i="46"/>
  <c r="D532" i="46"/>
  <c r="E532" i="46"/>
  <c r="D533" i="46"/>
  <c r="E533" i="46"/>
  <c r="D534" i="46"/>
  <c r="E534" i="46"/>
  <c r="D535" i="46"/>
  <c r="E535" i="46"/>
  <c r="D536" i="46"/>
  <c r="E536" i="46"/>
  <c r="D537" i="46"/>
  <c r="E537" i="46"/>
  <c r="D538" i="46"/>
  <c r="E538" i="46"/>
  <c r="D539" i="46"/>
  <c r="E539" i="46"/>
  <c r="D540" i="46"/>
  <c r="E540" i="46"/>
  <c r="D541" i="46"/>
  <c r="E541" i="46"/>
  <c r="D542" i="46"/>
  <c r="E542" i="46"/>
  <c r="D543" i="46"/>
  <c r="E543" i="46"/>
  <c r="D544" i="46"/>
  <c r="E544" i="46"/>
  <c r="D545" i="46"/>
  <c r="E545" i="46"/>
  <c r="D546" i="46"/>
  <c r="E546" i="46"/>
  <c r="D547" i="46"/>
  <c r="E547" i="46"/>
  <c r="D548" i="46"/>
  <c r="E548" i="46"/>
  <c r="D549" i="46"/>
  <c r="E549" i="46"/>
  <c r="D550" i="46"/>
  <c r="E550" i="46"/>
  <c r="D551" i="46"/>
  <c r="E551" i="46"/>
  <c r="D552" i="46"/>
  <c r="E552" i="46"/>
  <c r="D553" i="46"/>
  <c r="E553" i="46"/>
  <c r="D554" i="46"/>
  <c r="E554" i="46"/>
  <c r="D555" i="46"/>
  <c r="E555" i="46"/>
  <c r="D556" i="46"/>
  <c r="E556" i="46"/>
  <c r="D557" i="46"/>
  <c r="E557" i="46"/>
  <c r="D558" i="46"/>
  <c r="E558" i="46"/>
  <c r="D559" i="46"/>
  <c r="E559" i="46"/>
  <c r="D560" i="46"/>
  <c r="E560" i="46"/>
  <c r="D561" i="46"/>
  <c r="E561" i="46"/>
  <c r="D562" i="46"/>
  <c r="E562" i="46"/>
  <c r="D563" i="46"/>
  <c r="E563" i="46"/>
  <c r="D564" i="46"/>
  <c r="E564" i="46"/>
  <c r="D565" i="46"/>
  <c r="E565" i="46"/>
  <c r="D566" i="46"/>
  <c r="E566" i="46"/>
  <c r="D567" i="46"/>
  <c r="E567" i="46"/>
  <c r="D568" i="46"/>
  <c r="E568" i="46"/>
  <c r="D569" i="46"/>
  <c r="E569" i="46"/>
  <c r="D570" i="46"/>
  <c r="E570" i="46"/>
  <c r="D571" i="46"/>
  <c r="E571" i="46"/>
  <c r="D572" i="46"/>
  <c r="E572" i="46"/>
  <c r="D573" i="46"/>
  <c r="E573" i="46"/>
  <c r="D574" i="46"/>
  <c r="E574" i="46"/>
  <c r="D575" i="46"/>
  <c r="E575" i="46"/>
  <c r="D576" i="46"/>
  <c r="E576" i="46"/>
  <c r="D577" i="46"/>
  <c r="E577" i="46"/>
  <c r="D578" i="46"/>
  <c r="E578" i="46"/>
  <c r="D579" i="46"/>
  <c r="E579" i="46"/>
  <c r="D580" i="46"/>
  <c r="E580" i="46"/>
  <c r="D581" i="46"/>
  <c r="E581" i="46"/>
  <c r="D582" i="46"/>
  <c r="E582" i="46"/>
  <c r="D583" i="46"/>
  <c r="E583" i="46"/>
  <c r="D584" i="46"/>
  <c r="E584" i="46"/>
  <c r="D585" i="46"/>
  <c r="E585" i="46"/>
  <c r="D586" i="46"/>
  <c r="E586" i="46"/>
  <c r="D587" i="46"/>
  <c r="E587" i="46"/>
  <c r="D588" i="46"/>
  <c r="E588" i="46"/>
  <c r="D589" i="46"/>
  <c r="E589" i="46"/>
  <c r="D590" i="46"/>
  <c r="E590" i="46"/>
  <c r="D591" i="46"/>
  <c r="E591" i="46"/>
  <c r="D592" i="46"/>
  <c r="E592" i="46"/>
  <c r="D593" i="46"/>
  <c r="E593" i="46"/>
  <c r="D594" i="46"/>
  <c r="E594" i="46"/>
  <c r="D595" i="46"/>
  <c r="E595" i="46"/>
  <c r="D596" i="46"/>
  <c r="E596" i="46"/>
  <c r="D597" i="46"/>
  <c r="E597" i="46"/>
  <c r="D598" i="46"/>
  <c r="E598" i="46"/>
  <c r="D599" i="46"/>
  <c r="E599" i="46"/>
  <c r="D600" i="46"/>
  <c r="E600" i="46"/>
  <c r="D601" i="46"/>
  <c r="E601" i="46"/>
  <c r="D602" i="46"/>
  <c r="E602" i="46"/>
  <c r="D603" i="46"/>
  <c r="E603" i="46"/>
  <c r="D604" i="46"/>
  <c r="E604" i="46"/>
  <c r="D605" i="46"/>
  <c r="E605" i="46"/>
  <c r="D606" i="46"/>
  <c r="E606" i="46"/>
  <c r="D607" i="46"/>
  <c r="E607" i="46"/>
  <c r="D608" i="46"/>
  <c r="E608" i="46"/>
  <c r="D609" i="46"/>
  <c r="E609" i="46"/>
  <c r="D610" i="46"/>
  <c r="E610" i="46"/>
  <c r="D611" i="46"/>
  <c r="E611" i="46"/>
  <c r="D612" i="46"/>
  <c r="E612" i="46"/>
  <c r="D613" i="46"/>
  <c r="E613" i="46"/>
  <c r="D614" i="46"/>
  <c r="E614" i="46"/>
  <c r="D615" i="46"/>
  <c r="E615" i="46"/>
  <c r="D616" i="46"/>
  <c r="E616" i="46"/>
  <c r="D617" i="46"/>
  <c r="E617" i="46"/>
  <c r="D618" i="46"/>
  <c r="E618" i="46"/>
  <c r="D619" i="46"/>
  <c r="E619" i="46"/>
  <c r="D620" i="46"/>
  <c r="E620" i="46"/>
  <c r="D621" i="46"/>
  <c r="E621" i="46"/>
  <c r="D622" i="46"/>
  <c r="E622" i="46"/>
  <c r="D623" i="46"/>
  <c r="E623" i="46"/>
  <c r="D624" i="46"/>
  <c r="E624" i="46"/>
  <c r="D625" i="46"/>
  <c r="E625" i="46"/>
  <c r="D626" i="46"/>
  <c r="E626" i="46"/>
  <c r="D627" i="46"/>
  <c r="E627" i="46"/>
  <c r="D628" i="46"/>
  <c r="E628" i="46"/>
  <c r="D629" i="46"/>
  <c r="E629" i="46"/>
  <c r="D630" i="46"/>
  <c r="E630" i="46"/>
  <c r="D631" i="46"/>
  <c r="E631" i="46"/>
  <c r="D632" i="46"/>
  <c r="E632" i="46"/>
  <c r="D633" i="46"/>
  <c r="E633" i="46"/>
  <c r="D634" i="46"/>
  <c r="E634" i="46"/>
  <c r="D635" i="46"/>
  <c r="E635" i="46"/>
  <c r="D636" i="46"/>
  <c r="E636" i="46"/>
  <c r="D637" i="46"/>
  <c r="E637" i="46"/>
  <c r="D638" i="46"/>
  <c r="E638" i="46"/>
  <c r="D639" i="46"/>
  <c r="E639" i="46"/>
  <c r="D640" i="46"/>
  <c r="E640" i="46"/>
  <c r="D641" i="46"/>
  <c r="E641" i="46"/>
  <c r="D642" i="46"/>
  <c r="E642" i="46"/>
  <c r="D643" i="46"/>
  <c r="E643" i="46"/>
  <c r="D644" i="46"/>
  <c r="E644" i="46"/>
  <c r="D645" i="46"/>
  <c r="E645" i="46"/>
  <c r="D646" i="46"/>
  <c r="E646" i="46"/>
  <c r="D647" i="46"/>
  <c r="E647" i="46"/>
  <c r="D648" i="46"/>
  <c r="E648" i="46"/>
  <c r="D649" i="46"/>
  <c r="E649" i="46"/>
  <c r="D650" i="46"/>
  <c r="E650" i="46"/>
  <c r="D651" i="46"/>
  <c r="E651" i="46"/>
  <c r="D652" i="46"/>
  <c r="E652" i="46"/>
  <c r="D653" i="46"/>
  <c r="E653" i="46"/>
  <c r="D654" i="46"/>
  <c r="E654" i="46"/>
  <c r="D655" i="46"/>
  <c r="E655" i="46"/>
  <c r="D656" i="46"/>
  <c r="E656" i="46"/>
  <c r="D657" i="46"/>
  <c r="E657" i="46"/>
  <c r="D658" i="46"/>
  <c r="E658" i="46"/>
  <c r="D659" i="46"/>
  <c r="E659" i="46"/>
  <c r="D660" i="46"/>
  <c r="E660" i="46"/>
  <c r="D661" i="46"/>
  <c r="E661" i="46"/>
  <c r="D662" i="46"/>
  <c r="E662" i="46"/>
  <c r="D663" i="46"/>
  <c r="E663" i="46"/>
  <c r="D664" i="46"/>
  <c r="E664" i="46"/>
  <c r="D665" i="46"/>
  <c r="E665" i="46"/>
  <c r="D666" i="46"/>
  <c r="E666" i="46"/>
  <c r="D667" i="46"/>
  <c r="E667" i="46"/>
  <c r="D668" i="46"/>
  <c r="E668" i="46"/>
  <c r="D669" i="46"/>
  <c r="E669" i="46"/>
  <c r="D670" i="46"/>
  <c r="E670" i="46"/>
  <c r="D671" i="46"/>
  <c r="E671" i="46"/>
  <c r="D672" i="46"/>
  <c r="E672" i="46"/>
  <c r="D673" i="46"/>
  <c r="E673" i="46"/>
  <c r="D674" i="46"/>
  <c r="E674" i="46"/>
  <c r="D675" i="46"/>
  <c r="E675" i="46"/>
  <c r="D676" i="46"/>
  <c r="E676" i="46"/>
  <c r="D677" i="46"/>
  <c r="E677" i="46"/>
  <c r="D678" i="46"/>
  <c r="E678" i="46"/>
  <c r="D679" i="46"/>
  <c r="E679" i="46"/>
  <c r="D680" i="46"/>
  <c r="E680" i="46"/>
  <c r="D681" i="46"/>
  <c r="E681" i="46"/>
  <c r="D682" i="46"/>
  <c r="E682" i="46"/>
  <c r="D683" i="46"/>
  <c r="E683" i="46"/>
  <c r="D684" i="46"/>
  <c r="E684" i="46"/>
  <c r="D685" i="46"/>
  <c r="E685" i="46"/>
  <c r="D686" i="46"/>
  <c r="E686" i="46"/>
  <c r="D687" i="46"/>
  <c r="E687" i="46"/>
  <c r="D688" i="46"/>
  <c r="E688" i="46"/>
  <c r="D689" i="46"/>
  <c r="E689" i="46"/>
  <c r="D690" i="46"/>
  <c r="E690" i="46"/>
  <c r="D691" i="46"/>
  <c r="E691" i="46"/>
  <c r="D692" i="46"/>
  <c r="E692" i="46"/>
  <c r="D693" i="46"/>
  <c r="E693" i="46"/>
  <c r="D694" i="46"/>
  <c r="E694" i="46"/>
  <c r="D695" i="46"/>
  <c r="E695" i="46"/>
  <c r="D696" i="46"/>
  <c r="E696" i="46"/>
  <c r="D697" i="46"/>
  <c r="E697" i="46"/>
  <c r="D698" i="46"/>
  <c r="E698" i="46"/>
  <c r="D699" i="46"/>
  <c r="E699" i="46"/>
  <c r="D700" i="46"/>
  <c r="E700" i="46"/>
  <c r="D701" i="46"/>
  <c r="E701" i="46"/>
  <c r="D702" i="46"/>
  <c r="E702" i="46"/>
  <c r="D703" i="46"/>
  <c r="E703" i="46"/>
  <c r="D704" i="46"/>
  <c r="E704" i="46"/>
  <c r="D705" i="46"/>
  <c r="E705" i="46"/>
  <c r="D706" i="46"/>
  <c r="E706" i="46"/>
  <c r="D707" i="46"/>
  <c r="E707" i="46"/>
  <c r="D708" i="46"/>
  <c r="E708" i="46"/>
  <c r="D709" i="46"/>
  <c r="E709" i="46"/>
  <c r="D710" i="46"/>
  <c r="E710" i="46"/>
  <c r="D711" i="46"/>
  <c r="E711" i="46"/>
  <c r="D712" i="46"/>
  <c r="E712" i="46"/>
  <c r="D713" i="46"/>
  <c r="E713" i="46"/>
  <c r="D714" i="46"/>
  <c r="E714" i="46"/>
  <c r="D715" i="46"/>
  <c r="E715" i="46"/>
  <c r="D716" i="46"/>
  <c r="E716" i="46"/>
  <c r="D717" i="46"/>
  <c r="E717" i="46"/>
  <c r="D718" i="46"/>
  <c r="E718" i="46"/>
  <c r="D719" i="46"/>
  <c r="E719" i="46"/>
  <c r="D720" i="46"/>
  <c r="E720" i="46"/>
  <c r="D721" i="46"/>
  <c r="E721" i="46"/>
  <c r="D722" i="46"/>
  <c r="E722" i="46"/>
  <c r="D723" i="46"/>
  <c r="E723" i="46"/>
  <c r="D724" i="46"/>
  <c r="E724" i="46"/>
  <c r="D725" i="46"/>
  <c r="E725" i="46"/>
  <c r="D726" i="46"/>
  <c r="E726" i="46"/>
  <c r="D727" i="46"/>
  <c r="E727" i="46"/>
  <c r="D728" i="46"/>
  <c r="E728" i="46"/>
  <c r="D729" i="46"/>
  <c r="E729" i="46"/>
  <c r="D730" i="46"/>
  <c r="E730" i="46"/>
  <c r="D731" i="46"/>
  <c r="E731" i="46"/>
  <c r="D732" i="46"/>
  <c r="E732" i="46"/>
  <c r="D733" i="46"/>
  <c r="E733" i="46"/>
  <c r="D734" i="46"/>
  <c r="E734" i="46"/>
  <c r="D735" i="46"/>
  <c r="E735" i="46"/>
  <c r="D736" i="46"/>
  <c r="E736" i="46"/>
  <c r="D737" i="46"/>
  <c r="E737" i="46"/>
  <c r="D738" i="46"/>
  <c r="E738" i="46"/>
  <c r="D739" i="46"/>
  <c r="E739" i="46"/>
  <c r="D740" i="46"/>
  <c r="E740" i="46"/>
  <c r="D741" i="46"/>
  <c r="E741" i="46"/>
  <c r="D742" i="46"/>
  <c r="E742" i="46"/>
  <c r="D743" i="46"/>
  <c r="E743" i="46"/>
  <c r="D744" i="46"/>
  <c r="E744" i="46"/>
  <c r="D745" i="46"/>
  <c r="E745" i="46"/>
  <c r="D746" i="46"/>
  <c r="E746" i="46"/>
  <c r="D747" i="46"/>
  <c r="E747" i="46"/>
  <c r="D748" i="46"/>
  <c r="E748" i="46"/>
  <c r="D749" i="46"/>
  <c r="E749" i="46"/>
  <c r="D750" i="46"/>
  <c r="E750" i="46"/>
  <c r="D751" i="46"/>
  <c r="E751" i="46"/>
  <c r="D752" i="46"/>
  <c r="E752" i="46"/>
  <c r="D753" i="46"/>
  <c r="E753" i="46"/>
  <c r="D754" i="46"/>
  <c r="E754" i="46"/>
  <c r="D755" i="46"/>
  <c r="E755" i="46"/>
  <c r="D756" i="46"/>
  <c r="E756" i="46"/>
  <c r="D757" i="46"/>
  <c r="E757" i="46"/>
  <c r="E58" i="46"/>
  <c r="D58" i="46"/>
  <c r="L58" i="46"/>
  <c r="L59" i="46"/>
  <c r="L60" i="46"/>
  <c r="L61" i="46"/>
  <c r="L62" i="46"/>
  <c r="L63" i="46"/>
  <c r="L64" i="46"/>
  <c r="L65" i="46"/>
  <c r="L66" i="46"/>
  <c r="L67" i="46"/>
  <c r="L68" i="46"/>
  <c r="L69" i="46"/>
  <c r="L70" i="46"/>
  <c r="L71" i="46"/>
  <c r="L72" i="46"/>
  <c r="L73" i="46"/>
  <c r="L74" i="46"/>
  <c r="L75" i="46"/>
  <c r="L76" i="46"/>
  <c r="L77" i="46"/>
  <c r="L78" i="46"/>
  <c r="L79" i="46"/>
  <c r="L80" i="46"/>
  <c r="L81" i="46"/>
  <c r="L82" i="46"/>
  <c r="L83" i="46"/>
  <c r="L84" i="46"/>
  <c r="L85" i="46"/>
  <c r="L86" i="46"/>
  <c r="L87" i="46"/>
  <c r="L88" i="46"/>
  <c r="L89" i="46"/>
  <c r="L90" i="46"/>
  <c r="L91" i="46"/>
  <c r="L92" i="46"/>
  <c r="L93" i="46"/>
  <c r="L94" i="46"/>
  <c r="L95" i="46"/>
  <c r="L96" i="46"/>
  <c r="L97" i="46"/>
  <c r="L98" i="46"/>
  <c r="L99" i="46"/>
  <c r="L100" i="46"/>
  <c r="L101" i="46"/>
  <c r="L102" i="46"/>
  <c r="L103" i="46"/>
  <c r="L104" i="46"/>
  <c r="L105" i="46"/>
  <c r="L106" i="46"/>
  <c r="L107" i="46"/>
  <c r="L108" i="46"/>
  <c r="L109" i="46"/>
  <c r="L110" i="46"/>
  <c r="L111" i="46"/>
  <c r="L112" i="46"/>
  <c r="L113" i="46"/>
  <c r="L114" i="46"/>
  <c r="L115" i="46"/>
  <c r="L116" i="46"/>
  <c r="L117" i="46"/>
  <c r="L118" i="46"/>
  <c r="L119" i="46"/>
  <c r="L120" i="46"/>
  <c r="L121" i="46"/>
  <c r="L122" i="46"/>
  <c r="L123" i="46"/>
  <c r="L124" i="46"/>
  <c r="L125" i="46"/>
  <c r="L126" i="46"/>
  <c r="L127" i="46"/>
  <c r="L128" i="46"/>
  <c r="L129" i="46"/>
  <c r="L130" i="46"/>
  <c r="L131" i="46"/>
  <c r="L132" i="46"/>
  <c r="L133" i="46"/>
  <c r="L134" i="46"/>
  <c r="L135" i="46"/>
  <c r="L136" i="46"/>
  <c r="L137" i="46"/>
  <c r="L138" i="46"/>
  <c r="L139" i="46"/>
  <c r="L140" i="46"/>
  <c r="L141" i="46"/>
  <c r="L142" i="46"/>
  <c r="L143" i="46"/>
  <c r="L144" i="46"/>
  <c r="L145" i="46"/>
  <c r="L146" i="46"/>
  <c r="L147" i="46"/>
  <c r="L148" i="46"/>
  <c r="L149" i="46"/>
  <c r="L150" i="46"/>
  <c r="L151" i="46"/>
  <c r="L152" i="46"/>
  <c r="L153" i="46"/>
  <c r="L154" i="46"/>
  <c r="L155" i="46"/>
  <c r="L156" i="46"/>
  <c r="L157" i="46"/>
  <c r="L158" i="46"/>
  <c r="L159" i="46"/>
  <c r="L160" i="46"/>
  <c r="L161" i="46"/>
  <c r="L162" i="46"/>
  <c r="L163" i="46"/>
  <c r="L164" i="46"/>
  <c r="L165" i="46"/>
  <c r="L166" i="46"/>
  <c r="L167" i="46"/>
  <c r="L168" i="46"/>
  <c r="L169" i="46"/>
  <c r="L170" i="46"/>
  <c r="L171" i="46"/>
  <c r="L172" i="46"/>
  <c r="L173" i="46"/>
  <c r="L174" i="46"/>
  <c r="L175" i="46"/>
  <c r="L176" i="46"/>
  <c r="L177" i="46"/>
  <c r="L178" i="46"/>
  <c r="L179" i="46"/>
  <c r="L180" i="46"/>
  <c r="L181" i="46"/>
  <c r="L182" i="46"/>
  <c r="L183" i="46"/>
  <c r="L184" i="46"/>
  <c r="L185" i="46"/>
  <c r="L186" i="46"/>
  <c r="L187" i="46"/>
  <c r="L188" i="46"/>
  <c r="L189" i="46"/>
  <c r="L190" i="46"/>
  <c r="L191" i="46"/>
  <c r="L192" i="46"/>
  <c r="L193" i="46"/>
  <c r="L194" i="46"/>
  <c r="L195" i="46"/>
  <c r="L196" i="46"/>
  <c r="L197" i="46"/>
  <c r="L198" i="46"/>
  <c r="L199" i="46"/>
  <c r="L200" i="46"/>
  <c r="L201" i="46"/>
  <c r="L202" i="46"/>
  <c r="L203" i="46"/>
  <c r="L204" i="46"/>
  <c r="L205" i="46"/>
  <c r="L206" i="46"/>
  <c r="L207" i="46"/>
  <c r="L208" i="46"/>
  <c r="L209" i="46"/>
  <c r="L210" i="46"/>
  <c r="L211" i="46"/>
  <c r="L212" i="46"/>
  <c r="L213" i="46"/>
  <c r="L214" i="46"/>
  <c r="L215" i="46"/>
  <c r="L216" i="46"/>
  <c r="L217" i="46"/>
  <c r="L218" i="46"/>
  <c r="L219" i="46"/>
  <c r="L220" i="46"/>
  <c r="L221" i="46"/>
  <c r="L222" i="46"/>
  <c r="L223" i="46"/>
  <c r="L224" i="46"/>
  <c r="L225" i="46"/>
  <c r="L226" i="46"/>
  <c r="L227" i="46"/>
  <c r="L228" i="46"/>
  <c r="L229" i="46"/>
  <c r="L230" i="46"/>
  <c r="L231" i="46"/>
  <c r="L232" i="46"/>
  <c r="L233" i="46"/>
  <c r="L234" i="46"/>
  <c r="L235" i="46"/>
  <c r="L236" i="46"/>
  <c r="L237" i="46"/>
  <c r="L238" i="46"/>
  <c r="L239" i="46"/>
  <c r="L240" i="46"/>
  <c r="L241" i="46"/>
  <c r="L242" i="46"/>
  <c r="L243" i="46"/>
  <c r="L244" i="46"/>
  <c r="L245" i="46"/>
  <c r="L246" i="46"/>
  <c r="L247" i="46"/>
  <c r="L248" i="46"/>
  <c r="L249" i="46"/>
  <c r="L250" i="46"/>
  <c r="L251" i="46"/>
  <c r="L252" i="46"/>
  <c r="L253" i="46"/>
  <c r="L254" i="46"/>
  <c r="L255" i="46"/>
  <c r="L256" i="46"/>
  <c r="L257" i="46"/>
  <c r="L258" i="46"/>
  <c r="L259" i="46"/>
  <c r="L260" i="46"/>
  <c r="L261" i="46"/>
  <c r="L262" i="46"/>
  <c r="L263" i="46"/>
  <c r="L264" i="46"/>
  <c r="L265" i="46"/>
  <c r="L266" i="46"/>
  <c r="L267" i="46"/>
  <c r="L268" i="46"/>
  <c r="L269" i="46"/>
  <c r="L270" i="46"/>
  <c r="L271" i="46"/>
  <c r="L272" i="46"/>
  <c r="L273" i="46"/>
  <c r="L274" i="46"/>
  <c r="L275" i="46"/>
  <c r="L276" i="46"/>
  <c r="L277" i="46"/>
  <c r="L278" i="46"/>
  <c r="L279" i="46"/>
  <c r="L280" i="46"/>
  <c r="L281" i="46"/>
  <c r="L282" i="46"/>
  <c r="L283" i="46"/>
  <c r="L284" i="46"/>
  <c r="L285" i="46"/>
  <c r="L286" i="46"/>
  <c r="L287" i="46"/>
  <c r="L288" i="46"/>
  <c r="L289" i="46"/>
  <c r="L290" i="46"/>
  <c r="L291" i="46"/>
  <c r="L292" i="46"/>
  <c r="L293" i="46"/>
  <c r="L294" i="46"/>
  <c r="L295" i="46"/>
  <c r="L296" i="46"/>
  <c r="L297" i="46"/>
  <c r="L298" i="46"/>
  <c r="L299" i="46"/>
  <c r="L300" i="46"/>
  <c r="L301" i="46"/>
  <c r="L302" i="46"/>
  <c r="L303" i="46"/>
  <c r="L304" i="46"/>
  <c r="L305" i="46"/>
  <c r="L306" i="46"/>
  <c r="L307" i="46"/>
  <c r="L308" i="46"/>
  <c r="L309" i="46"/>
  <c r="L310" i="46"/>
  <c r="L311" i="46"/>
  <c r="L312" i="46"/>
  <c r="L313" i="46"/>
  <c r="L314" i="46"/>
  <c r="L315" i="46"/>
  <c r="L316" i="46"/>
  <c r="L317" i="46"/>
  <c r="L318" i="46"/>
  <c r="L319" i="46"/>
  <c r="L320" i="46"/>
  <c r="L321" i="46"/>
  <c r="L322" i="46"/>
  <c r="L323" i="46"/>
  <c r="L324" i="46"/>
  <c r="L325" i="46"/>
  <c r="L326" i="46"/>
  <c r="L327" i="46"/>
  <c r="L328" i="46"/>
  <c r="L329" i="46"/>
  <c r="L330" i="46"/>
  <c r="L331" i="46"/>
  <c r="L332" i="46"/>
  <c r="L333" i="46"/>
  <c r="L334" i="46"/>
  <c r="L335" i="46"/>
  <c r="L336" i="46"/>
  <c r="L337" i="46"/>
  <c r="L338" i="46"/>
  <c r="L339" i="46"/>
  <c r="L340" i="46"/>
  <c r="L341" i="46"/>
  <c r="L342" i="46"/>
  <c r="L343" i="46"/>
  <c r="L344" i="46"/>
  <c r="L345" i="46"/>
  <c r="L346" i="46"/>
  <c r="L347" i="46"/>
  <c r="L348" i="46"/>
  <c r="L349" i="46"/>
  <c r="L350" i="46"/>
  <c r="L351" i="46"/>
  <c r="L352" i="46"/>
  <c r="L353" i="46"/>
  <c r="L354" i="46"/>
  <c r="L355" i="46"/>
  <c r="L356" i="46"/>
  <c r="L357" i="46"/>
  <c r="L358" i="46"/>
  <c r="L359" i="46"/>
  <c r="L360" i="46"/>
  <c r="L361" i="46"/>
  <c r="L362" i="46"/>
  <c r="L363" i="46"/>
  <c r="L364" i="46"/>
  <c r="L365" i="46"/>
  <c r="L366" i="46"/>
  <c r="L367" i="46"/>
  <c r="L368" i="46"/>
  <c r="L369" i="46"/>
  <c r="L370" i="46"/>
  <c r="L371" i="46"/>
  <c r="L372" i="46"/>
  <c r="L373" i="46"/>
  <c r="L374" i="46"/>
  <c r="L375" i="46"/>
  <c r="L376" i="46"/>
  <c r="L377" i="46"/>
  <c r="L378" i="46"/>
  <c r="L379" i="46"/>
  <c r="L380" i="46"/>
  <c r="L381" i="46"/>
  <c r="L382" i="46"/>
  <c r="L383" i="46"/>
  <c r="L384" i="46"/>
  <c r="L385" i="46"/>
  <c r="L386" i="46"/>
  <c r="L387" i="46"/>
  <c r="L388" i="46"/>
  <c r="L389" i="46"/>
  <c r="L390" i="46"/>
  <c r="L391" i="46"/>
  <c r="L392" i="46"/>
  <c r="L393" i="46"/>
  <c r="L394" i="46"/>
  <c r="L395" i="46"/>
  <c r="L396" i="46"/>
  <c r="L397" i="46"/>
  <c r="L398" i="46"/>
  <c r="L399" i="46"/>
  <c r="L400" i="46"/>
  <c r="L401" i="46"/>
  <c r="L402" i="46"/>
  <c r="L403" i="46"/>
  <c r="L404" i="46"/>
  <c r="L405" i="46"/>
  <c r="L406" i="46"/>
  <c r="L407" i="46"/>
  <c r="L408" i="46"/>
  <c r="L409" i="46"/>
  <c r="L410" i="46"/>
  <c r="L411" i="46"/>
  <c r="L412" i="46"/>
  <c r="L413" i="46"/>
  <c r="L414" i="46"/>
  <c r="L415" i="46"/>
  <c r="L416" i="46"/>
  <c r="L417" i="46"/>
  <c r="L418" i="46"/>
  <c r="L419" i="46"/>
  <c r="L420" i="46"/>
  <c r="L421" i="46"/>
  <c r="L422" i="46"/>
  <c r="L423" i="46"/>
  <c r="L424" i="46"/>
  <c r="L425" i="46"/>
  <c r="L426" i="46"/>
  <c r="L427" i="46"/>
  <c r="L428" i="46"/>
  <c r="L429" i="46"/>
  <c r="L430" i="46"/>
  <c r="L431" i="46"/>
  <c r="L432" i="46"/>
  <c r="L433" i="46"/>
  <c r="L434" i="46"/>
  <c r="L435" i="46"/>
  <c r="L436" i="46"/>
  <c r="L437" i="46"/>
  <c r="L438" i="46"/>
  <c r="L439" i="46"/>
  <c r="L440" i="46"/>
  <c r="L441" i="46"/>
  <c r="L442" i="46"/>
  <c r="L443" i="46"/>
  <c r="L444" i="46"/>
  <c r="L445" i="46"/>
  <c r="L446" i="46"/>
  <c r="L447" i="46"/>
  <c r="L448" i="46"/>
  <c r="L449" i="46"/>
  <c r="L450" i="46"/>
  <c r="L451" i="46"/>
  <c r="L452" i="46"/>
  <c r="L453" i="46"/>
  <c r="L454" i="46"/>
  <c r="L455" i="46"/>
  <c r="L456" i="46"/>
  <c r="L457" i="46"/>
  <c r="L458" i="46"/>
  <c r="L459" i="46"/>
  <c r="L460" i="46"/>
  <c r="L461" i="46"/>
  <c r="L462" i="46"/>
  <c r="L463" i="46"/>
  <c r="L464" i="46"/>
  <c r="L465" i="46"/>
  <c r="L466" i="46"/>
  <c r="L467" i="46"/>
  <c r="L468" i="46"/>
  <c r="L469" i="46"/>
  <c r="L470" i="46"/>
  <c r="L471" i="46"/>
  <c r="L472" i="46"/>
  <c r="L473" i="46"/>
  <c r="L474" i="46"/>
  <c r="L475" i="46"/>
  <c r="L476" i="46"/>
  <c r="L477" i="46"/>
  <c r="L478" i="46"/>
  <c r="L479" i="46"/>
  <c r="L480" i="46"/>
  <c r="L481" i="46"/>
  <c r="L482" i="46"/>
  <c r="L483" i="46"/>
  <c r="L484" i="46"/>
  <c r="L485" i="46"/>
  <c r="L486" i="46"/>
  <c r="L487" i="46"/>
  <c r="L488" i="46"/>
  <c r="L489" i="46"/>
  <c r="L490" i="46"/>
  <c r="L491" i="46"/>
  <c r="L492" i="46"/>
  <c r="L493" i="46"/>
  <c r="L494" i="46"/>
  <c r="L495" i="46"/>
  <c r="L496" i="46"/>
  <c r="L497" i="46"/>
  <c r="L498" i="46"/>
  <c r="L499" i="46"/>
  <c r="L500" i="46"/>
  <c r="L501" i="46"/>
  <c r="L502" i="46"/>
  <c r="L503" i="46"/>
  <c r="L504" i="46"/>
  <c r="L505" i="46"/>
  <c r="L506" i="46"/>
  <c r="L507" i="46"/>
  <c r="L508" i="46"/>
  <c r="L509" i="46"/>
  <c r="L510" i="46"/>
  <c r="L511" i="46"/>
  <c r="L512" i="46"/>
  <c r="L513" i="46"/>
  <c r="L514" i="46"/>
  <c r="L515" i="46"/>
  <c r="L516" i="46"/>
  <c r="L517" i="46"/>
  <c r="L518" i="46"/>
  <c r="L519" i="46"/>
  <c r="L520" i="46"/>
  <c r="L521" i="46"/>
  <c r="L522" i="46"/>
  <c r="L523" i="46"/>
  <c r="L524" i="46"/>
  <c r="L525" i="46"/>
  <c r="L526" i="46"/>
  <c r="L527" i="46"/>
  <c r="L528" i="46"/>
  <c r="L529" i="46"/>
  <c r="L530" i="46"/>
  <c r="L531" i="46"/>
  <c r="L532" i="46"/>
  <c r="L533" i="46"/>
  <c r="L534" i="46"/>
  <c r="L535" i="46"/>
  <c r="L536" i="46"/>
  <c r="L537" i="46"/>
  <c r="L538" i="46"/>
  <c r="L539" i="46"/>
  <c r="L540" i="46"/>
  <c r="L541" i="46"/>
  <c r="L542" i="46"/>
  <c r="L543" i="46"/>
  <c r="L544" i="46"/>
  <c r="L545" i="46"/>
  <c r="L546" i="46"/>
  <c r="L547" i="46"/>
  <c r="L548" i="46"/>
  <c r="L549" i="46"/>
  <c r="L550" i="46"/>
  <c r="L551" i="46"/>
  <c r="L552" i="46"/>
  <c r="L553" i="46"/>
  <c r="L554" i="46"/>
  <c r="L555" i="46"/>
  <c r="L556" i="46"/>
  <c r="L557" i="46"/>
  <c r="L558" i="46"/>
  <c r="L559" i="46"/>
  <c r="L560" i="46"/>
  <c r="L561" i="46"/>
  <c r="L562" i="46"/>
  <c r="L563" i="46"/>
  <c r="L564" i="46"/>
  <c r="L565" i="46"/>
  <c r="L566" i="46"/>
  <c r="L567" i="46"/>
  <c r="L568" i="46"/>
  <c r="L569" i="46"/>
  <c r="L570" i="46"/>
  <c r="L571" i="46"/>
  <c r="L572" i="46"/>
  <c r="L573" i="46"/>
  <c r="L574" i="46"/>
  <c r="L575" i="46"/>
  <c r="L576" i="46"/>
  <c r="L577" i="46"/>
  <c r="L578" i="46"/>
  <c r="L579" i="46"/>
  <c r="L580" i="46"/>
  <c r="L581" i="46"/>
  <c r="L582" i="46"/>
  <c r="L583" i="46"/>
  <c r="L584" i="46"/>
  <c r="L585" i="46"/>
  <c r="L586" i="46"/>
  <c r="L587" i="46"/>
  <c r="L588" i="46"/>
  <c r="L589" i="46"/>
  <c r="L590" i="46"/>
  <c r="L591" i="46"/>
  <c r="L592" i="46"/>
  <c r="L593" i="46"/>
  <c r="L594" i="46"/>
  <c r="L595" i="46"/>
  <c r="L596" i="46"/>
  <c r="L597" i="46"/>
  <c r="L598" i="46"/>
  <c r="L599" i="46"/>
  <c r="L600" i="46"/>
  <c r="L601" i="46"/>
  <c r="L602" i="46"/>
  <c r="L603" i="46"/>
  <c r="L604" i="46"/>
  <c r="L605" i="46"/>
  <c r="L606" i="46"/>
  <c r="L607" i="46"/>
  <c r="L608" i="46"/>
  <c r="L609" i="46"/>
  <c r="L610" i="46"/>
  <c r="L611" i="46"/>
  <c r="L612" i="46"/>
  <c r="L613" i="46"/>
  <c r="L614" i="46"/>
  <c r="L615" i="46"/>
  <c r="L616" i="46"/>
  <c r="L617" i="46"/>
  <c r="L618" i="46"/>
  <c r="L619" i="46"/>
  <c r="L620" i="46"/>
  <c r="L621" i="46"/>
  <c r="L622" i="46"/>
  <c r="L623" i="46"/>
  <c r="L624" i="46"/>
  <c r="L625" i="46"/>
  <c r="L626" i="46"/>
  <c r="L627" i="46"/>
  <c r="L628" i="46"/>
  <c r="L629" i="46"/>
  <c r="L630" i="46"/>
  <c r="L631" i="46"/>
  <c r="L632" i="46"/>
  <c r="L633" i="46"/>
  <c r="L634" i="46"/>
  <c r="L635" i="46"/>
  <c r="L636" i="46"/>
  <c r="L637" i="46"/>
  <c r="L638" i="46"/>
  <c r="L639" i="46"/>
  <c r="L640" i="46"/>
  <c r="L641" i="46"/>
  <c r="L642" i="46"/>
  <c r="L643" i="46"/>
  <c r="L644" i="46"/>
  <c r="L645" i="46"/>
  <c r="L646" i="46"/>
  <c r="L647" i="46"/>
  <c r="L648" i="46"/>
  <c r="L649" i="46"/>
  <c r="L650" i="46"/>
  <c r="L651" i="46"/>
  <c r="L652" i="46"/>
  <c r="L653" i="46"/>
  <c r="L654" i="46"/>
  <c r="L655" i="46"/>
  <c r="L656" i="46"/>
  <c r="L657" i="46"/>
  <c r="L658" i="46"/>
  <c r="L659" i="46"/>
  <c r="L660" i="46"/>
  <c r="L661" i="46"/>
  <c r="L662" i="46"/>
  <c r="L663" i="46"/>
  <c r="L664" i="46"/>
  <c r="L665" i="46"/>
  <c r="L666" i="46"/>
  <c r="L667" i="46"/>
  <c r="L668" i="46"/>
  <c r="L669" i="46"/>
  <c r="L670" i="46"/>
  <c r="L671" i="46"/>
  <c r="L672" i="46"/>
  <c r="L673" i="46"/>
  <c r="L674" i="46"/>
  <c r="L675" i="46"/>
  <c r="L676" i="46"/>
  <c r="L677" i="46"/>
  <c r="L678" i="46"/>
  <c r="L679" i="46"/>
  <c r="L680" i="46"/>
  <c r="L681" i="46"/>
  <c r="L682" i="46"/>
  <c r="L683" i="46"/>
  <c r="L684" i="46"/>
  <c r="L685" i="46"/>
  <c r="L686" i="46"/>
  <c r="L687" i="46"/>
  <c r="L688" i="46"/>
  <c r="L689" i="46"/>
  <c r="L690" i="46"/>
  <c r="L691" i="46"/>
  <c r="L692" i="46"/>
  <c r="L693" i="46"/>
  <c r="L694" i="46"/>
  <c r="L695" i="46"/>
  <c r="L696" i="46"/>
  <c r="L697" i="46"/>
  <c r="L698" i="46"/>
  <c r="L699" i="46"/>
  <c r="L700" i="46"/>
  <c r="L701" i="46"/>
  <c r="L702" i="46"/>
  <c r="L703" i="46"/>
  <c r="L704" i="46"/>
  <c r="L705" i="46"/>
  <c r="L706" i="46"/>
  <c r="L707" i="46"/>
  <c r="L708" i="46"/>
  <c r="L709" i="46"/>
  <c r="L710" i="46"/>
  <c r="L711" i="46"/>
  <c r="L712" i="46"/>
  <c r="L713" i="46"/>
  <c r="L714" i="46"/>
  <c r="L715" i="46"/>
  <c r="L716" i="46"/>
  <c r="L717" i="46"/>
  <c r="L718" i="46"/>
  <c r="L719" i="46"/>
  <c r="L720" i="46"/>
  <c r="L721" i="46"/>
  <c r="L722" i="46"/>
  <c r="L723" i="46"/>
  <c r="L724" i="46"/>
  <c r="L725" i="46"/>
  <c r="L726" i="46"/>
  <c r="L727" i="46"/>
  <c r="L728" i="46"/>
  <c r="L729" i="46"/>
  <c r="L730" i="46"/>
  <c r="L731" i="46"/>
  <c r="L732" i="46"/>
  <c r="L733" i="46"/>
  <c r="L734" i="46"/>
  <c r="L735" i="46"/>
  <c r="L736" i="46"/>
  <c r="L737" i="46"/>
  <c r="L738" i="46"/>
  <c r="L739" i="46"/>
  <c r="L740" i="46"/>
  <c r="L741" i="46"/>
  <c r="L742" i="46"/>
  <c r="L743" i="46"/>
  <c r="L744" i="46"/>
  <c r="L745" i="46"/>
  <c r="L746" i="46"/>
  <c r="L747" i="46"/>
  <c r="L748" i="46"/>
  <c r="L749" i="46"/>
  <c r="L750" i="46"/>
  <c r="L751" i="46"/>
  <c r="L752" i="46"/>
  <c r="L753" i="46"/>
  <c r="L754" i="46"/>
  <c r="L755" i="46"/>
  <c r="L756" i="46"/>
  <c r="L757" i="46"/>
  <c r="C61" i="46"/>
  <c r="C62" i="46"/>
  <c r="C63" i="46"/>
  <c r="C64" i="46"/>
  <c r="C65" i="46"/>
  <c r="C66" i="46"/>
  <c r="C67" i="46"/>
  <c r="C68" i="46"/>
  <c r="C69" i="46"/>
  <c r="C70" i="46"/>
  <c r="C71" i="46"/>
  <c r="C72" i="46"/>
  <c r="C73" i="46"/>
  <c r="C74" i="46"/>
  <c r="C75" i="46"/>
  <c r="C76" i="46"/>
  <c r="C77" i="46"/>
  <c r="C78" i="46"/>
  <c r="C79" i="46"/>
  <c r="C80" i="46"/>
  <c r="C81" i="46"/>
  <c r="C82" i="46"/>
  <c r="C83" i="46"/>
  <c r="C84" i="46"/>
  <c r="C85" i="46"/>
  <c r="C86" i="46"/>
  <c r="C87" i="46"/>
  <c r="C88" i="46"/>
  <c r="C89" i="46"/>
  <c r="C90" i="46"/>
  <c r="C91" i="46"/>
  <c r="C92" i="46"/>
  <c r="C93" i="46"/>
  <c r="C94" i="46"/>
  <c r="C95" i="46"/>
  <c r="C96" i="46"/>
  <c r="C97" i="46"/>
  <c r="C98" i="46"/>
  <c r="C99" i="46"/>
  <c r="C100" i="46"/>
  <c r="C101" i="46"/>
  <c r="C102" i="46"/>
  <c r="C103" i="46"/>
  <c r="C104" i="46"/>
  <c r="C105" i="46"/>
  <c r="C106" i="46"/>
  <c r="C107" i="46"/>
  <c r="C108" i="46"/>
  <c r="C109" i="46"/>
  <c r="C110" i="46"/>
  <c r="C111" i="46"/>
  <c r="C112" i="46"/>
  <c r="C113" i="46"/>
  <c r="C114" i="46"/>
  <c r="C115" i="46"/>
  <c r="C116" i="46"/>
  <c r="C117" i="46"/>
  <c r="C118" i="46"/>
  <c r="C119" i="46"/>
  <c r="C120" i="46"/>
  <c r="C121" i="46"/>
  <c r="C122" i="46"/>
  <c r="C123" i="46"/>
  <c r="C124" i="46"/>
  <c r="C125" i="46"/>
  <c r="C126" i="46"/>
  <c r="C127" i="46"/>
  <c r="C128" i="46"/>
  <c r="C129" i="46"/>
  <c r="C130" i="46"/>
  <c r="C131" i="46"/>
  <c r="C132" i="46"/>
  <c r="C133" i="46"/>
  <c r="C134" i="46"/>
  <c r="C135" i="46"/>
  <c r="C136" i="46"/>
  <c r="C137" i="46"/>
  <c r="C138" i="46"/>
  <c r="C139" i="46"/>
  <c r="C140" i="46"/>
  <c r="C141" i="46"/>
  <c r="C142" i="46"/>
  <c r="C143" i="46"/>
  <c r="C144" i="46"/>
  <c r="C145" i="46"/>
  <c r="C146" i="46"/>
  <c r="C147" i="46"/>
  <c r="C148" i="46"/>
  <c r="C149" i="46"/>
  <c r="C150" i="46"/>
  <c r="C151" i="46"/>
  <c r="C152" i="46"/>
  <c r="C153" i="46"/>
  <c r="C154" i="46"/>
  <c r="C155" i="46"/>
  <c r="C156" i="46"/>
  <c r="C157" i="46"/>
  <c r="C158" i="46"/>
  <c r="C159" i="46"/>
  <c r="C160" i="46"/>
  <c r="C161" i="46"/>
  <c r="C162" i="46"/>
  <c r="C163" i="46"/>
  <c r="C164" i="46"/>
  <c r="C165" i="46"/>
  <c r="C166" i="46"/>
  <c r="C167" i="46"/>
  <c r="C168" i="46"/>
  <c r="C169" i="46"/>
  <c r="C170" i="46"/>
  <c r="C171" i="46"/>
  <c r="C172" i="46"/>
  <c r="C173" i="46"/>
  <c r="C174" i="46"/>
  <c r="C175" i="46"/>
  <c r="C176" i="46"/>
  <c r="C177" i="46"/>
  <c r="C178" i="46"/>
  <c r="C179" i="46"/>
  <c r="C180" i="46"/>
  <c r="C181" i="46"/>
  <c r="C182" i="46"/>
  <c r="C183" i="46"/>
  <c r="C184" i="46"/>
  <c r="C185" i="46"/>
  <c r="C186" i="46"/>
  <c r="C187" i="46"/>
  <c r="C188" i="46"/>
  <c r="C189" i="46"/>
  <c r="C190" i="46"/>
  <c r="C191" i="46"/>
  <c r="C192" i="46"/>
  <c r="C193" i="46"/>
  <c r="C194" i="46"/>
  <c r="C195" i="46"/>
  <c r="C196" i="46"/>
  <c r="C197" i="46"/>
  <c r="C198" i="46"/>
  <c r="C199" i="46"/>
  <c r="C200" i="46"/>
  <c r="C201" i="46"/>
  <c r="C202" i="46"/>
  <c r="C203" i="46"/>
  <c r="C204" i="46"/>
  <c r="C205" i="46"/>
  <c r="C206" i="46"/>
  <c r="C207" i="46"/>
  <c r="C208" i="46"/>
  <c r="C209" i="46"/>
  <c r="C210" i="46"/>
  <c r="C211" i="46"/>
  <c r="C212" i="46"/>
  <c r="C213" i="46"/>
  <c r="C214" i="46"/>
  <c r="C215" i="46"/>
  <c r="C216" i="46"/>
  <c r="C217" i="46"/>
  <c r="C218" i="46"/>
  <c r="C219" i="46"/>
  <c r="C220" i="46"/>
  <c r="C221" i="46"/>
  <c r="C222" i="46"/>
  <c r="C223" i="46"/>
  <c r="C224" i="46"/>
  <c r="C225" i="46"/>
  <c r="C226" i="46"/>
  <c r="C227" i="46"/>
  <c r="C228" i="46"/>
  <c r="C229" i="46"/>
  <c r="C230" i="46"/>
  <c r="C231" i="46"/>
  <c r="C232" i="46"/>
  <c r="C233" i="46"/>
  <c r="C234" i="46"/>
  <c r="C235" i="46"/>
  <c r="C236" i="46"/>
  <c r="C237" i="46"/>
  <c r="C238" i="46"/>
  <c r="C239" i="46"/>
  <c r="C240" i="46"/>
  <c r="C241" i="46"/>
  <c r="C242" i="46"/>
  <c r="C243" i="46"/>
  <c r="C244" i="46"/>
  <c r="C245" i="46"/>
  <c r="C246" i="46"/>
  <c r="C247" i="46"/>
  <c r="C248" i="46"/>
  <c r="C249" i="46"/>
  <c r="C250" i="46"/>
  <c r="C251" i="46"/>
  <c r="C252" i="46"/>
  <c r="C253" i="46"/>
  <c r="C254" i="46"/>
  <c r="C255" i="46"/>
  <c r="C256" i="46"/>
  <c r="C257" i="46"/>
  <c r="C258" i="46"/>
  <c r="C259" i="46"/>
  <c r="C260" i="46"/>
  <c r="C261" i="46"/>
  <c r="C262" i="46"/>
  <c r="C263" i="46"/>
  <c r="C264" i="46"/>
  <c r="C265" i="46"/>
  <c r="C266" i="46"/>
  <c r="C267" i="46"/>
  <c r="C268" i="46"/>
  <c r="C269" i="46"/>
  <c r="C270" i="46"/>
  <c r="C271" i="46"/>
  <c r="C272" i="46"/>
  <c r="C273" i="46"/>
  <c r="C274" i="46"/>
  <c r="C275" i="46"/>
  <c r="C276" i="46"/>
  <c r="C277" i="46"/>
  <c r="C278" i="46"/>
  <c r="C279" i="46"/>
  <c r="C280" i="46"/>
  <c r="C281" i="46"/>
  <c r="C282" i="46"/>
  <c r="C283" i="46"/>
  <c r="C284" i="46"/>
  <c r="C285" i="46"/>
  <c r="C286" i="46"/>
  <c r="C287" i="46"/>
  <c r="C288" i="46"/>
  <c r="C289" i="46"/>
  <c r="C290" i="46"/>
  <c r="C291" i="46"/>
  <c r="C292" i="46"/>
  <c r="C293" i="46"/>
  <c r="C294" i="46"/>
  <c r="C295" i="46"/>
  <c r="C296" i="46"/>
  <c r="C297" i="46"/>
  <c r="C298" i="46"/>
  <c r="C299" i="46"/>
  <c r="C300" i="46"/>
  <c r="C301" i="46"/>
  <c r="C302" i="46"/>
  <c r="C303" i="46"/>
  <c r="C304" i="46"/>
  <c r="C305" i="46"/>
  <c r="C306" i="46"/>
  <c r="C307" i="46"/>
  <c r="C308" i="46"/>
  <c r="C309" i="46"/>
  <c r="C310" i="46"/>
  <c r="C311" i="46"/>
  <c r="C312" i="46"/>
  <c r="C313" i="46"/>
  <c r="C314" i="46"/>
  <c r="C315" i="46"/>
  <c r="C316" i="46"/>
  <c r="C317" i="46"/>
  <c r="C318" i="46"/>
  <c r="C319" i="46"/>
  <c r="C320" i="46"/>
  <c r="C321" i="46"/>
  <c r="C322" i="46"/>
  <c r="C323" i="46"/>
  <c r="C324" i="46"/>
  <c r="C325" i="46"/>
  <c r="C326" i="46"/>
  <c r="C327" i="46"/>
  <c r="C328" i="46"/>
  <c r="C329" i="46"/>
  <c r="C330" i="46"/>
  <c r="C331" i="46"/>
  <c r="C332" i="46"/>
  <c r="C333" i="46"/>
  <c r="C334" i="46"/>
  <c r="C335" i="46"/>
  <c r="C336" i="46"/>
  <c r="C337" i="46"/>
  <c r="C338" i="46"/>
  <c r="C339" i="46"/>
  <c r="C340" i="46"/>
  <c r="C341" i="46"/>
  <c r="C342" i="46"/>
  <c r="C343" i="46"/>
  <c r="C344" i="46"/>
  <c r="C345" i="46"/>
  <c r="C346" i="46"/>
  <c r="C347" i="46"/>
  <c r="C348" i="46"/>
  <c r="C349" i="46"/>
  <c r="C350" i="46"/>
  <c r="C351" i="46"/>
  <c r="C352" i="46"/>
  <c r="C353" i="46"/>
  <c r="C354" i="46"/>
  <c r="C355" i="46"/>
  <c r="C356" i="46"/>
  <c r="C357" i="46"/>
  <c r="C358" i="46"/>
  <c r="C359" i="46"/>
  <c r="C360" i="46"/>
  <c r="C361" i="46"/>
  <c r="C362" i="46"/>
  <c r="C363" i="46"/>
  <c r="C364" i="46"/>
  <c r="C365" i="46"/>
  <c r="C366" i="46"/>
  <c r="C367" i="46"/>
  <c r="C368" i="46"/>
  <c r="C369" i="46"/>
  <c r="C370" i="46"/>
  <c r="C371" i="46"/>
  <c r="C372" i="46"/>
  <c r="C373" i="46"/>
  <c r="C374" i="46"/>
  <c r="C375" i="46"/>
  <c r="C376" i="46"/>
  <c r="C377" i="46"/>
  <c r="C378" i="46"/>
  <c r="C379" i="46"/>
  <c r="C380" i="46"/>
  <c r="C381" i="46"/>
  <c r="C382" i="46"/>
  <c r="C383" i="46"/>
  <c r="C384" i="46"/>
  <c r="C385" i="46"/>
  <c r="C386" i="46"/>
  <c r="C387" i="46"/>
  <c r="C388" i="46"/>
  <c r="C389" i="46"/>
  <c r="C390" i="46"/>
  <c r="C391" i="46"/>
  <c r="C392" i="46"/>
  <c r="C393" i="46"/>
  <c r="C394" i="46"/>
  <c r="C395" i="46"/>
  <c r="C396" i="46"/>
  <c r="C397" i="46"/>
  <c r="C398" i="46"/>
  <c r="C399" i="46"/>
  <c r="C400" i="46"/>
  <c r="C401" i="46"/>
  <c r="C402" i="46"/>
  <c r="C403" i="46"/>
  <c r="C404" i="46"/>
  <c r="C405" i="46"/>
  <c r="C406" i="46"/>
  <c r="C407" i="46"/>
  <c r="C408" i="46"/>
  <c r="C409" i="46"/>
  <c r="C410" i="46"/>
  <c r="C411" i="46"/>
  <c r="C412" i="46"/>
  <c r="C413" i="46"/>
  <c r="C414" i="46"/>
  <c r="C415" i="46"/>
  <c r="C416" i="46"/>
  <c r="C417" i="46"/>
  <c r="C418" i="46"/>
  <c r="C419" i="46"/>
  <c r="C420" i="46"/>
  <c r="C421" i="46"/>
  <c r="C422" i="46"/>
  <c r="C423" i="46"/>
  <c r="C424" i="46"/>
  <c r="C425" i="46"/>
  <c r="C426" i="46"/>
  <c r="C427" i="46"/>
  <c r="C428" i="46"/>
  <c r="C429" i="46"/>
  <c r="C430" i="46"/>
  <c r="C431" i="46"/>
  <c r="C432" i="46"/>
  <c r="C433" i="46"/>
  <c r="C434" i="46"/>
  <c r="C435" i="46"/>
  <c r="C436" i="46"/>
  <c r="C437" i="46"/>
  <c r="C438" i="46"/>
  <c r="C439" i="46"/>
  <c r="C440" i="46"/>
  <c r="C441" i="46"/>
  <c r="C442" i="46"/>
  <c r="C443" i="46"/>
  <c r="C444" i="46"/>
  <c r="C445" i="46"/>
  <c r="C446" i="46"/>
  <c r="C447" i="46"/>
  <c r="C448" i="46"/>
  <c r="C449" i="46"/>
  <c r="C450" i="46"/>
  <c r="C451" i="46"/>
  <c r="C452" i="46"/>
  <c r="C453" i="46"/>
  <c r="C454" i="46"/>
  <c r="C455" i="46"/>
  <c r="C456" i="46"/>
  <c r="C457" i="46"/>
  <c r="C458" i="46"/>
  <c r="C459" i="46"/>
  <c r="C460" i="46"/>
  <c r="C461" i="46"/>
  <c r="C462" i="46"/>
  <c r="C463" i="46"/>
  <c r="C464" i="46"/>
  <c r="C465" i="46"/>
  <c r="C466" i="46"/>
  <c r="C467" i="46"/>
  <c r="C468" i="46"/>
  <c r="C469" i="46"/>
  <c r="C470" i="46"/>
  <c r="C471" i="46"/>
  <c r="C472" i="46"/>
  <c r="C473" i="46"/>
  <c r="C474" i="46"/>
  <c r="C475" i="46"/>
  <c r="C476" i="46"/>
  <c r="C477" i="46"/>
  <c r="C478" i="46"/>
  <c r="C479" i="46"/>
  <c r="C480" i="46"/>
  <c r="C481" i="46"/>
  <c r="C482" i="46"/>
  <c r="C483" i="46"/>
  <c r="C484" i="46"/>
  <c r="C485" i="46"/>
  <c r="C486" i="46"/>
  <c r="C487" i="46"/>
  <c r="C488" i="46"/>
  <c r="C489" i="46"/>
  <c r="C490" i="46"/>
  <c r="C491" i="46"/>
  <c r="C492" i="46"/>
  <c r="C493" i="46"/>
  <c r="C494" i="46"/>
  <c r="C495" i="46"/>
  <c r="C496" i="46"/>
  <c r="C497" i="46"/>
  <c r="C498" i="46"/>
  <c r="C499" i="46"/>
  <c r="C500" i="46"/>
  <c r="C501" i="46"/>
  <c r="C502" i="46"/>
  <c r="C503" i="46"/>
  <c r="C504" i="46"/>
  <c r="C505" i="46"/>
  <c r="C506" i="46"/>
  <c r="C507" i="46"/>
  <c r="C508" i="46"/>
  <c r="C509" i="46"/>
  <c r="C510" i="46"/>
  <c r="C511" i="46"/>
  <c r="C512" i="46"/>
  <c r="C513" i="46"/>
  <c r="C514" i="46"/>
  <c r="C515" i="46"/>
  <c r="C516" i="46"/>
  <c r="C517" i="46"/>
  <c r="C518" i="46"/>
  <c r="C519" i="46"/>
  <c r="C520" i="46"/>
  <c r="C521" i="46"/>
  <c r="C522" i="46"/>
  <c r="C523" i="46"/>
  <c r="C524" i="46"/>
  <c r="C525" i="46"/>
  <c r="C526" i="46"/>
  <c r="C527" i="46"/>
  <c r="C528" i="46"/>
  <c r="C529" i="46"/>
  <c r="C530" i="46"/>
  <c r="C531" i="46"/>
  <c r="C532" i="46"/>
  <c r="C533" i="46"/>
  <c r="C534" i="46"/>
  <c r="C535" i="46"/>
  <c r="C536" i="46"/>
  <c r="C537" i="46"/>
  <c r="C538" i="46"/>
  <c r="C539" i="46"/>
  <c r="C540" i="46"/>
  <c r="C541" i="46"/>
  <c r="C542" i="46"/>
  <c r="C543" i="46"/>
  <c r="C544" i="46"/>
  <c r="C545" i="46"/>
  <c r="C546" i="46"/>
  <c r="C547" i="46"/>
  <c r="C548" i="46"/>
  <c r="C549" i="46"/>
  <c r="C550" i="46"/>
  <c r="C551" i="46"/>
  <c r="C552" i="46"/>
  <c r="C553" i="46"/>
  <c r="C554" i="46"/>
  <c r="C555" i="46"/>
  <c r="C556" i="46"/>
  <c r="C557" i="46"/>
  <c r="C558" i="46"/>
  <c r="C559" i="46"/>
  <c r="C560" i="46"/>
  <c r="C561" i="46"/>
  <c r="C562" i="46"/>
  <c r="C563" i="46"/>
  <c r="C564" i="46"/>
  <c r="C565" i="46"/>
  <c r="C566" i="46"/>
  <c r="C567" i="46"/>
  <c r="C568" i="46"/>
  <c r="C569" i="46"/>
  <c r="C570" i="46"/>
  <c r="C571" i="46"/>
  <c r="C572" i="46"/>
  <c r="C573" i="46"/>
  <c r="C574" i="46"/>
  <c r="C575" i="46"/>
  <c r="C576" i="46"/>
  <c r="C577" i="46"/>
  <c r="C578" i="46"/>
  <c r="C579" i="46"/>
  <c r="C580" i="46"/>
  <c r="C581" i="46"/>
  <c r="C582" i="46"/>
  <c r="C583" i="46"/>
  <c r="C584" i="46"/>
  <c r="C585" i="46"/>
  <c r="C586" i="46"/>
  <c r="C587" i="46"/>
  <c r="C588" i="46"/>
  <c r="C589" i="46"/>
  <c r="C590" i="46"/>
  <c r="C591" i="46"/>
  <c r="C592" i="46"/>
  <c r="C593" i="46"/>
  <c r="C594" i="46"/>
  <c r="C595" i="46"/>
  <c r="C596" i="46"/>
  <c r="C597" i="46"/>
  <c r="C598" i="46"/>
  <c r="C599" i="46"/>
  <c r="C600" i="46"/>
  <c r="C601" i="46"/>
  <c r="C602" i="46"/>
  <c r="C603" i="46"/>
  <c r="C604" i="46"/>
  <c r="C605" i="46"/>
  <c r="C606" i="46"/>
  <c r="C607" i="46"/>
  <c r="C608" i="46"/>
  <c r="C609" i="46"/>
  <c r="C610" i="46"/>
  <c r="C611" i="46"/>
  <c r="C612" i="46"/>
  <c r="C613" i="46"/>
  <c r="C614" i="46"/>
  <c r="C615" i="46"/>
  <c r="C616" i="46"/>
  <c r="C617" i="46"/>
  <c r="C618" i="46"/>
  <c r="C619" i="46"/>
  <c r="C620" i="46"/>
  <c r="C621" i="46"/>
  <c r="C622" i="46"/>
  <c r="C623" i="46"/>
  <c r="C624" i="46"/>
  <c r="C625" i="46"/>
  <c r="C626" i="46"/>
  <c r="C627" i="46"/>
  <c r="C628" i="46"/>
  <c r="C629" i="46"/>
  <c r="C630" i="46"/>
  <c r="C631" i="46"/>
  <c r="C632" i="46"/>
  <c r="C633" i="46"/>
  <c r="C634" i="46"/>
  <c r="C635" i="46"/>
  <c r="C636" i="46"/>
  <c r="C637" i="46"/>
  <c r="C638" i="46"/>
  <c r="C639" i="46"/>
  <c r="C640" i="46"/>
  <c r="C641" i="46"/>
  <c r="C642" i="46"/>
  <c r="C643" i="46"/>
  <c r="C644" i="46"/>
  <c r="C645" i="46"/>
  <c r="C646" i="46"/>
  <c r="C647" i="46"/>
  <c r="C648" i="46"/>
  <c r="C649" i="46"/>
  <c r="C650" i="46"/>
  <c r="C651" i="46"/>
  <c r="C652" i="46"/>
  <c r="C653" i="46"/>
  <c r="C654" i="46"/>
  <c r="C655" i="46"/>
  <c r="C656" i="46"/>
  <c r="C657" i="46"/>
  <c r="C658" i="46"/>
  <c r="C659" i="46"/>
  <c r="C660" i="46"/>
  <c r="C661" i="46"/>
  <c r="C662" i="46"/>
  <c r="C663" i="46"/>
  <c r="C664" i="46"/>
  <c r="C665" i="46"/>
  <c r="C666" i="46"/>
  <c r="C667" i="46"/>
  <c r="C668" i="46"/>
  <c r="C669" i="46"/>
  <c r="C670" i="46"/>
  <c r="C671" i="46"/>
  <c r="C672" i="46"/>
  <c r="C673" i="46"/>
  <c r="C674" i="46"/>
  <c r="C675" i="46"/>
  <c r="C676" i="46"/>
  <c r="C677" i="46"/>
  <c r="C678" i="46"/>
  <c r="C679" i="46"/>
  <c r="C680" i="46"/>
  <c r="C681" i="46"/>
  <c r="C682" i="46"/>
  <c r="C683" i="46"/>
  <c r="C684" i="46"/>
  <c r="C685" i="46"/>
  <c r="C686" i="46"/>
  <c r="C687" i="46"/>
  <c r="C688" i="46"/>
  <c r="C689" i="46"/>
  <c r="C690" i="46"/>
  <c r="C691" i="46"/>
  <c r="C692" i="46"/>
  <c r="C693" i="46"/>
  <c r="C694" i="46"/>
  <c r="C695" i="46"/>
  <c r="C696" i="46"/>
  <c r="C697" i="46"/>
  <c r="C698" i="46"/>
  <c r="C699" i="46"/>
  <c r="C700" i="46"/>
  <c r="C701" i="46"/>
  <c r="C702" i="46"/>
  <c r="C703" i="46"/>
  <c r="C704" i="46"/>
  <c r="C705" i="46"/>
  <c r="C706" i="46"/>
  <c r="C707" i="46"/>
  <c r="C708" i="46"/>
  <c r="C709" i="46"/>
  <c r="C710" i="46"/>
  <c r="C711" i="46"/>
  <c r="C712" i="46"/>
  <c r="C713" i="46"/>
  <c r="C714" i="46"/>
  <c r="C715" i="46"/>
  <c r="C716" i="46"/>
  <c r="C717" i="46"/>
  <c r="C718" i="46"/>
  <c r="C719" i="46"/>
  <c r="C720" i="46"/>
  <c r="C721" i="46"/>
  <c r="C722" i="46"/>
  <c r="C723" i="46"/>
  <c r="C724" i="46"/>
  <c r="C725" i="46"/>
  <c r="C726" i="46"/>
  <c r="C727" i="46"/>
  <c r="C728" i="46"/>
  <c r="C729" i="46"/>
  <c r="C730" i="46"/>
  <c r="C731" i="46"/>
  <c r="C732" i="46"/>
  <c r="C733" i="46"/>
  <c r="C734" i="46"/>
  <c r="C735" i="46"/>
  <c r="C736" i="46"/>
  <c r="C737" i="46"/>
  <c r="C738" i="46"/>
  <c r="C739" i="46"/>
  <c r="C740" i="46"/>
  <c r="C741" i="46"/>
  <c r="C742" i="46"/>
  <c r="C743" i="46"/>
  <c r="C744" i="46"/>
  <c r="C745" i="46"/>
  <c r="C746" i="46"/>
  <c r="C747" i="46"/>
  <c r="C748" i="46"/>
  <c r="C749" i="46"/>
  <c r="C750" i="46"/>
  <c r="C751" i="46"/>
  <c r="C752" i="46"/>
  <c r="C753" i="46"/>
  <c r="C754" i="46"/>
  <c r="C755" i="46"/>
  <c r="C756" i="46"/>
  <c r="C757" i="46"/>
  <c r="AF3" i="19"/>
  <c r="AZ3" i="19" s="1"/>
  <c r="AF4" i="19"/>
  <c r="AZ4" i="19" s="1"/>
  <c r="AF5" i="19"/>
  <c r="AZ5" i="19" s="1"/>
  <c r="AF6" i="19"/>
  <c r="AZ6" i="19" s="1"/>
  <c r="AF7" i="19"/>
  <c r="AZ7" i="19" s="1"/>
  <c r="AF8" i="19"/>
  <c r="AZ8" i="19" s="1"/>
  <c r="AF9" i="19"/>
  <c r="AZ9" i="19" s="1"/>
  <c r="AF10" i="19"/>
  <c r="AZ10" i="19" s="1"/>
  <c r="AF11" i="19"/>
  <c r="AZ11" i="19" s="1"/>
  <c r="AF12" i="19"/>
  <c r="AZ12" i="19" s="1"/>
  <c r="AF13" i="19"/>
  <c r="AZ13" i="19" s="1"/>
  <c r="AF14" i="19"/>
  <c r="AZ14" i="19" s="1"/>
  <c r="AF15" i="19"/>
  <c r="AZ15" i="19" s="1"/>
  <c r="AF16" i="19"/>
  <c r="AZ16" i="19" s="1"/>
  <c r="AF17" i="19"/>
  <c r="AZ17" i="19" s="1"/>
  <c r="AF18" i="19"/>
  <c r="AZ18" i="19" s="1"/>
  <c r="AF19" i="19"/>
  <c r="AZ19" i="19" s="1"/>
  <c r="AF20" i="19"/>
  <c r="AZ20" i="19" s="1"/>
  <c r="AF21" i="19"/>
  <c r="AZ21" i="19" s="1"/>
  <c r="AF22" i="19"/>
  <c r="AZ22" i="19" s="1"/>
  <c r="AF23" i="19"/>
  <c r="AZ23" i="19" s="1"/>
  <c r="AF24" i="19"/>
  <c r="AZ24" i="19" s="1"/>
  <c r="AF25" i="19"/>
  <c r="AZ25" i="19" s="1"/>
  <c r="AF26" i="19"/>
  <c r="AZ26" i="19" s="1"/>
  <c r="AF27" i="19"/>
  <c r="AZ27" i="19" s="1"/>
  <c r="AF28" i="19"/>
  <c r="AZ28" i="19" s="1"/>
  <c r="AF29" i="19"/>
  <c r="AZ29" i="19" s="1"/>
  <c r="AF30" i="19"/>
  <c r="AZ30" i="19" s="1"/>
  <c r="AF31" i="19"/>
  <c r="AZ31" i="19" s="1"/>
  <c r="AF32" i="19"/>
  <c r="AZ32" i="19" s="1"/>
  <c r="AF33" i="19"/>
  <c r="AZ33" i="19" s="1"/>
  <c r="AF34" i="19"/>
  <c r="AZ34" i="19" s="1"/>
  <c r="AF35" i="19"/>
  <c r="AF36" i="19"/>
  <c r="AZ36" i="19" s="1"/>
  <c r="AF37" i="19"/>
  <c r="AZ37" i="19" s="1"/>
  <c r="AF38" i="19"/>
  <c r="AZ38" i="19" s="1"/>
  <c r="AF39" i="19"/>
  <c r="AZ39" i="19" s="1"/>
  <c r="AF40" i="19"/>
  <c r="AZ40" i="19" s="1"/>
  <c r="AF41" i="19"/>
  <c r="AZ41" i="19" s="1"/>
  <c r="AF42" i="19"/>
  <c r="AZ42" i="19" s="1"/>
  <c r="AF43" i="19"/>
  <c r="AZ43" i="19" s="1"/>
  <c r="AF44" i="19"/>
  <c r="AZ44" i="19" s="1"/>
  <c r="AF45" i="19"/>
  <c r="AZ45" i="19" s="1"/>
  <c r="AF46" i="19"/>
  <c r="AZ46" i="19" s="1"/>
  <c r="AF47" i="19"/>
  <c r="AZ47" i="19" s="1"/>
  <c r="AF48" i="19"/>
  <c r="AZ48" i="19" s="1"/>
  <c r="AF49" i="19"/>
  <c r="AZ49" i="19" s="1"/>
  <c r="AF50" i="19"/>
  <c r="AZ50" i="19" s="1"/>
  <c r="AF51" i="19"/>
  <c r="AZ51" i="19" s="1"/>
  <c r="AF52" i="19"/>
  <c r="AZ52" i="19" s="1"/>
  <c r="AF53" i="19"/>
  <c r="AZ53" i="19" s="1"/>
  <c r="AF54" i="19"/>
  <c r="AZ54" i="19" s="1"/>
  <c r="AF55" i="19"/>
  <c r="AZ55" i="19" s="1"/>
  <c r="AF56" i="19"/>
  <c r="AZ56" i="19" s="1"/>
  <c r="AF57" i="19"/>
  <c r="AZ57" i="19" s="1"/>
  <c r="AF58" i="19"/>
  <c r="AZ58" i="19" s="1"/>
  <c r="AF59" i="19"/>
  <c r="AZ59" i="19" s="1"/>
  <c r="AF60" i="19"/>
  <c r="AZ60" i="19" s="1"/>
  <c r="AF61" i="19"/>
  <c r="AZ61" i="19" s="1"/>
  <c r="AF62" i="19"/>
  <c r="AZ62" i="19" s="1"/>
  <c r="AF63" i="19"/>
  <c r="AZ63" i="19" s="1"/>
  <c r="AF64" i="19"/>
  <c r="AZ64" i="19" s="1"/>
  <c r="AF65" i="19"/>
  <c r="AZ65" i="19" s="1"/>
  <c r="AF66" i="19"/>
  <c r="AZ66" i="19" s="1"/>
  <c r="AF67" i="19"/>
  <c r="AZ67" i="19" s="1"/>
  <c r="AF68" i="19"/>
  <c r="AZ68" i="19" s="1"/>
  <c r="AF69" i="19"/>
  <c r="AZ69" i="19" s="1"/>
  <c r="AF70" i="19"/>
  <c r="AZ70" i="19" s="1"/>
  <c r="AF71" i="19"/>
  <c r="AZ71" i="19" s="1"/>
  <c r="AF72" i="19"/>
  <c r="AZ72" i="19" s="1"/>
  <c r="AF73" i="19"/>
  <c r="AZ73" i="19" s="1"/>
  <c r="AF74" i="19"/>
  <c r="AZ74" i="19" s="1"/>
  <c r="AF75" i="19"/>
  <c r="AZ75" i="19" s="1"/>
  <c r="AF76" i="19"/>
  <c r="AZ76" i="19" s="1"/>
  <c r="AF77" i="19"/>
  <c r="AZ77" i="19" s="1"/>
  <c r="AF78" i="19"/>
  <c r="AZ78" i="19" s="1"/>
  <c r="AF79" i="19"/>
  <c r="AZ79" i="19" s="1"/>
  <c r="AF80" i="19"/>
  <c r="AZ80" i="19" s="1"/>
  <c r="AF81" i="19"/>
  <c r="AZ81" i="19" s="1"/>
  <c r="AF82" i="19"/>
  <c r="AZ82" i="19" s="1"/>
  <c r="AF83" i="19"/>
  <c r="AZ83" i="19" s="1"/>
  <c r="AF84" i="19"/>
  <c r="AZ84" i="19" s="1"/>
  <c r="AF85" i="19"/>
  <c r="AZ85" i="19" s="1"/>
  <c r="AF86" i="19"/>
  <c r="AZ86" i="19" s="1"/>
  <c r="AF87" i="19"/>
  <c r="AZ87" i="19" s="1"/>
  <c r="AF88" i="19"/>
  <c r="AZ88" i="19" s="1"/>
  <c r="AF89" i="19"/>
  <c r="AZ89" i="19" s="1"/>
  <c r="AF90" i="19"/>
  <c r="AZ90" i="19" s="1"/>
  <c r="AF91" i="19"/>
  <c r="AZ91" i="19" s="1"/>
  <c r="AF92" i="19"/>
  <c r="AZ92" i="19" s="1"/>
  <c r="AF93" i="19"/>
  <c r="AZ93" i="19" s="1"/>
  <c r="AF94" i="19"/>
  <c r="AZ94" i="19" s="1"/>
  <c r="AF95" i="19"/>
  <c r="AZ95" i="19" s="1"/>
  <c r="AF96" i="19"/>
  <c r="AZ96" i="19" s="1"/>
  <c r="AF97" i="19"/>
  <c r="AZ97" i="19" s="1"/>
  <c r="AF98" i="19"/>
  <c r="AZ98" i="19" s="1"/>
  <c r="AF99" i="19"/>
  <c r="AZ99" i="19" s="1"/>
  <c r="AF100" i="19"/>
  <c r="AZ100" i="19" s="1"/>
  <c r="AF101" i="19"/>
  <c r="AZ101" i="19" s="1"/>
  <c r="AF102" i="19"/>
  <c r="AZ102" i="19" s="1"/>
  <c r="AF103" i="19"/>
  <c r="AZ103" i="19" s="1"/>
  <c r="AF104" i="19"/>
  <c r="AZ104" i="19" s="1"/>
  <c r="AF105" i="19"/>
  <c r="AZ105" i="19" s="1"/>
  <c r="AF106" i="19"/>
  <c r="AZ106" i="19" s="1"/>
  <c r="AF107" i="19"/>
  <c r="AZ107" i="19" s="1"/>
  <c r="AF108" i="19"/>
  <c r="AZ108" i="19" s="1"/>
  <c r="AF109" i="19"/>
  <c r="AZ109" i="19" s="1"/>
  <c r="AF110" i="19"/>
  <c r="AZ110" i="19" s="1"/>
  <c r="AF111" i="19"/>
  <c r="AZ111" i="19" s="1"/>
  <c r="AF112" i="19"/>
  <c r="AZ112" i="19" s="1"/>
  <c r="AF113" i="19"/>
  <c r="AZ113" i="19" s="1"/>
  <c r="AF114" i="19"/>
  <c r="AZ114" i="19" s="1"/>
  <c r="AF115" i="19"/>
  <c r="AZ115" i="19" s="1"/>
  <c r="AF116" i="19"/>
  <c r="AZ116" i="19" s="1"/>
  <c r="AF117" i="19"/>
  <c r="AZ117" i="19" s="1"/>
  <c r="AF118" i="19"/>
  <c r="AZ118" i="19" s="1"/>
  <c r="AF119" i="19"/>
  <c r="AZ119" i="19" s="1"/>
  <c r="AF120" i="19"/>
  <c r="AZ120" i="19" s="1"/>
  <c r="AF121" i="19"/>
  <c r="AZ121" i="19" s="1"/>
  <c r="AF122" i="19"/>
  <c r="AZ122" i="19" s="1"/>
  <c r="AF123" i="19"/>
  <c r="AZ123" i="19" s="1"/>
  <c r="AF124" i="19"/>
  <c r="AZ124" i="19" s="1"/>
  <c r="AF125" i="19"/>
  <c r="AZ125" i="19" s="1"/>
  <c r="AF126" i="19"/>
  <c r="AZ126" i="19" s="1"/>
  <c r="AF127" i="19"/>
  <c r="AZ127" i="19" s="1"/>
  <c r="AF128" i="19"/>
  <c r="AZ128" i="19" s="1"/>
  <c r="AF129" i="19"/>
  <c r="AZ129" i="19" s="1"/>
  <c r="AF130" i="19"/>
  <c r="AZ130" i="19" s="1"/>
  <c r="AF131" i="19"/>
  <c r="AZ131" i="19" s="1"/>
  <c r="AF132" i="19"/>
  <c r="AZ132" i="19" s="1"/>
  <c r="AF133" i="19"/>
  <c r="AZ133" i="19" s="1"/>
  <c r="AF134" i="19"/>
  <c r="AZ134" i="19" s="1"/>
  <c r="AF135" i="19"/>
  <c r="AZ135" i="19" s="1"/>
  <c r="AF136" i="19"/>
  <c r="AZ136" i="19" s="1"/>
  <c r="AF137" i="19"/>
  <c r="AZ137" i="19" s="1"/>
  <c r="AF138" i="19"/>
  <c r="AZ138" i="19" s="1"/>
  <c r="AF139" i="19"/>
  <c r="AZ139" i="19" s="1"/>
  <c r="AF140" i="19"/>
  <c r="AZ140" i="19" s="1"/>
  <c r="AF141" i="19"/>
  <c r="AZ141" i="19" s="1"/>
  <c r="AF142" i="19"/>
  <c r="AZ142" i="19" s="1"/>
  <c r="AF143" i="19"/>
  <c r="AZ143" i="19" s="1"/>
  <c r="AF144" i="19"/>
  <c r="AZ144" i="19" s="1"/>
  <c r="AF145" i="19"/>
  <c r="AZ145" i="19" s="1"/>
  <c r="AF146" i="19"/>
  <c r="AZ146" i="19" s="1"/>
  <c r="AF147" i="19"/>
  <c r="AZ147" i="19" s="1"/>
  <c r="AF148" i="19"/>
  <c r="AZ148" i="19" s="1"/>
  <c r="AF149" i="19"/>
  <c r="AZ149" i="19" s="1"/>
  <c r="AF150" i="19"/>
  <c r="AZ150" i="19" s="1"/>
  <c r="AF151" i="19"/>
  <c r="AZ151" i="19" s="1"/>
  <c r="AF152" i="19"/>
  <c r="AZ152" i="19" s="1"/>
  <c r="AF153" i="19"/>
  <c r="AZ153" i="19" s="1"/>
  <c r="AF154" i="19"/>
  <c r="AZ154" i="19" s="1"/>
  <c r="AF155" i="19"/>
  <c r="AZ155" i="19" s="1"/>
  <c r="AF156" i="19"/>
  <c r="AZ156" i="19" s="1"/>
  <c r="AF157" i="19"/>
  <c r="AZ157" i="19" s="1"/>
  <c r="AF158" i="19"/>
  <c r="AZ158" i="19" s="1"/>
  <c r="AF159" i="19"/>
  <c r="AZ159" i="19" s="1"/>
  <c r="AF160" i="19"/>
  <c r="AZ160" i="19" s="1"/>
  <c r="AF161" i="19"/>
  <c r="AZ161" i="19" s="1"/>
  <c r="AF162" i="19"/>
  <c r="AZ162" i="19" s="1"/>
  <c r="AF163" i="19"/>
  <c r="AZ163" i="19" s="1"/>
  <c r="AF164" i="19"/>
  <c r="AZ164" i="19" s="1"/>
  <c r="AF165" i="19"/>
  <c r="AZ165" i="19" s="1"/>
  <c r="AF166" i="19"/>
  <c r="AZ166" i="19" s="1"/>
  <c r="AF167" i="19"/>
  <c r="AZ167" i="19" s="1"/>
  <c r="AF168" i="19"/>
  <c r="AZ168" i="19" s="1"/>
  <c r="AF169" i="19"/>
  <c r="AZ169" i="19" s="1"/>
  <c r="AF170" i="19"/>
  <c r="AZ170" i="19" s="1"/>
  <c r="AF171" i="19"/>
  <c r="AZ171" i="19" s="1"/>
  <c r="AF172" i="19"/>
  <c r="AZ172" i="19" s="1"/>
  <c r="AF173" i="19"/>
  <c r="AZ173" i="19" s="1"/>
  <c r="AF174" i="19"/>
  <c r="AZ174" i="19" s="1"/>
  <c r="AF175" i="19"/>
  <c r="AZ175" i="19" s="1"/>
  <c r="AF176" i="19"/>
  <c r="AZ176" i="19" s="1"/>
  <c r="AF177" i="19"/>
  <c r="AZ177" i="19" s="1"/>
  <c r="AF178" i="19"/>
  <c r="AZ178" i="19" s="1"/>
  <c r="AF179" i="19"/>
  <c r="AZ179" i="19" s="1"/>
  <c r="AF180" i="19"/>
  <c r="AZ180" i="19" s="1"/>
  <c r="AF181" i="19"/>
  <c r="AZ181" i="19" s="1"/>
  <c r="AF182" i="19"/>
  <c r="AZ182" i="19" s="1"/>
  <c r="AF183" i="19"/>
  <c r="AZ183" i="19" s="1"/>
  <c r="AF184" i="19"/>
  <c r="AZ184" i="19" s="1"/>
  <c r="AF185" i="19"/>
  <c r="AZ185" i="19" s="1"/>
  <c r="AF186" i="19"/>
  <c r="AZ186" i="19" s="1"/>
  <c r="AF187" i="19"/>
  <c r="AZ187" i="19" s="1"/>
  <c r="AF188" i="19"/>
  <c r="AZ188" i="19" s="1"/>
  <c r="AF189" i="19"/>
  <c r="AZ189" i="19" s="1"/>
  <c r="AF190" i="19"/>
  <c r="AZ190" i="19" s="1"/>
  <c r="AF191" i="19"/>
  <c r="AZ191" i="19" s="1"/>
  <c r="AF192" i="19"/>
  <c r="AZ192" i="19" s="1"/>
  <c r="AF193" i="19"/>
  <c r="AZ193" i="19" s="1"/>
  <c r="AF194" i="19"/>
  <c r="AZ194" i="19" s="1"/>
  <c r="AF195" i="19"/>
  <c r="AZ195" i="19" s="1"/>
  <c r="AF196" i="19"/>
  <c r="AZ196" i="19" s="1"/>
  <c r="AF197" i="19"/>
  <c r="AZ197" i="19" s="1"/>
  <c r="AF198" i="19"/>
  <c r="AZ198" i="19" s="1"/>
  <c r="AF199" i="19"/>
  <c r="AZ199" i="19" s="1"/>
  <c r="AF200" i="19"/>
  <c r="AZ200" i="19" s="1"/>
  <c r="AF201" i="19"/>
  <c r="AZ201" i="19" s="1"/>
  <c r="AF202" i="19"/>
  <c r="AZ202" i="19" s="1"/>
  <c r="AF203" i="19"/>
  <c r="AZ203" i="19" s="1"/>
  <c r="AF204" i="19"/>
  <c r="AZ204" i="19" s="1"/>
  <c r="AF205" i="19"/>
  <c r="AZ205" i="19" s="1"/>
  <c r="AF206" i="19"/>
  <c r="AZ206" i="19" s="1"/>
  <c r="AF207" i="19"/>
  <c r="AZ207" i="19" s="1"/>
  <c r="AF208" i="19"/>
  <c r="AZ208" i="19" s="1"/>
  <c r="AF209" i="19"/>
  <c r="AZ209" i="19" s="1"/>
  <c r="AF210" i="19"/>
  <c r="AZ210" i="19" s="1"/>
  <c r="AF211" i="19"/>
  <c r="AZ211" i="19" s="1"/>
  <c r="AF212" i="19"/>
  <c r="AZ212" i="19" s="1"/>
  <c r="AF213" i="19"/>
  <c r="AZ213" i="19" s="1"/>
  <c r="AF214" i="19"/>
  <c r="AZ214" i="19" s="1"/>
  <c r="AF215" i="19"/>
  <c r="AZ215" i="19" s="1"/>
  <c r="AF216" i="19"/>
  <c r="AZ216" i="19" s="1"/>
  <c r="AF217" i="19"/>
  <c r="AZ217" i="19" s="1"/>
  <c r="AF218" i="19"/>
  <c r="AZ218" i="19" s="1"/>
  <c r="AF219" i="19"/>
  <c r="AZ219" i="19" s="1"/>
  <c r="AF220" i="19"/>
  <c r="AZ220" i="19" s="1"/>
  <c r="AF221" i="19"/>
  <c r="AZ221" i="19" s="1"/>
  <c r="AF222" i="19"/>
  <c r="AZ222" i="19" s="1"/>
  <c r="AF223" i="19"/>
  <c r="AZ223" i="19" s="1"/>
  <c r="AF224" i="19"/>
  <c r="AZ224" i="19" s="1"/>
  <c r="AF225" i="19"/>
  <c r="AZ225" i="19" s="1"/>
  <c r="AF226" i="19"/>
  <c r="AZ226" i="19" s="1"/>
  <c r="AF227" i="19"/>
  <c r="AZ227" i="19" s="1"/>
  <c r="AF228" i="19"/>
  <c r="AZ228" i="19" s="1"/>
  <c r="AF229" i="19"/>
  <c r="AZ229" i="19" s="1"/>
  <c r="AF230" i="19"/>
  <c r="AZ230" i="19" s="1"/>
  <c r="AF231" i="19"/>
  <c r="AZ231" i="19" s="1"/>
  <c r="AF232" i="19"/>
  <c r="AZ232" i="19" s="1"/>
  <c r="AF233" i="19"/>
  <c r="AZ233" i="19" s="1"/>
  <c r="AF234" i="19"/>
  <c r="AZ234" i="19" s="1"/>
  <c r="AF235" i="19"/>
  <c r="AZ235" i="19" s="1"/>
  <c r="AF236" i="19"/>
  <c r="AZ236" i="19" s="1"/>
  <c r="AF237" i="19"/>
  <c r="AZ237" i="19" s="1"/>
  <c r="AF238" i="19"/>
  <c r="AZ238" i="19" s="1"/>
  <c r="AF239" i="19"/>
  <c r="AZ239" i="19" s="1"/>
  <c r="AF240" i="19"/>
  <c r="AZ240" i="19" s="1"/>
  <c r="AF241" i="19"/>
  <c r="AZ241" i="19" s="1"/>
  <c r="AF242" i="19"/>
  <c r="AZ242" i="19" s="1"/>
  <c r="AF243" i="19"/>
  <c r="AZ243" i="19" s="1"/>
  <c r="AF244" i="19"/>
  <c r="AZ244" i="19" s="1"/>
  <c r="AF245" i="19"/>
  <c r="AZ245" i="19" s="1"/>
  <c r="AF246" i="19"/>
  <c r="AZ246" i="19" s="1"/>
  <c r="AF247" i="19"/>
  <c r="AZ247" i="19" s="1"/>
  <c r="AF248" i="19"/>
  <c r="AZ248" i="19" s="1"/>
  <c r="AF249" i="19"/>
  <c r="AZ249" i="19" s="1"/>
  <c r="AF250" i="19"/>
  <c r="AZ250" i="19" s="1"/>
  <c r="AF251" i="19"/>
  <c r="AZ251" i="19" s="1"/>
  <c r="AF252" i="19"/>
  <c r="AZ252" i="19" s="1"/>
  <c r="AF253" i="19"/>
  <c r="AZ253" i="19" s="1"/>
  <c r="AF254" i="19"/>
  <c r="AZ254" i="19" s="1"/>
  <c r="AF255" i="19"/>
  <c r="AZ255" i="19" s="1"/>
  <c r="AF256" i="19"/>
  <c r="AZ256" i="19" s="1"/>
  <c r="AF257" i="19"/>
  <c r="AZ257" i="19" s="1"/>
  <c r="AF258" i="19"/>
  <c r="AZ258" i="19" s="1"/>
  <c r="AF259" i="19"/>
  <c r="AZ259" i="19" s="1"/>
  <c r="AF260" i="19"/>
  <c r="AZ260" i="19" s="1"/>
  <c r="AF261" i="19"/>
  <c r="AZ261" i="19" s="1"/>
  <c r="AF262" i="19"/>
  <c r="AZ262" i="19" s="1"/>
  <c r="AF263" i="19"/>
  <c r="AZ263" i="19" s="1"/>
  <c r="AF264" i="19"/>
  <c r="AZ264" i="19" s="1"/>
  <c r="AF265" i="19"/>
  <c r="AZ265" i="19" s="1"/>
  <c r="AF266" i="19"/>
  <c r="AZ266" i="19" s="1"/>
  <c r="AF267" i="19"/>
  <c r="AZ267" i="19" s="1"/>
  <c r="AF268" i="19"/>
  <c r="AZ268" i="19" s="1"/>
  <c r="AF269" i="19"/>
  <c r="AZ269" i="19" s="1"/>
  <c r="AF270" i="19"/>
  <c r="AZ270" i="19" s="1"/>
  <c r="AF271" i="19"/>
  <c r="AZ271" i="19" s="1"/>
  <c r="AF272" i="19"/>
  <c r="AZ272" i="19" s="1"/>
  <c r="AF273" i="19"/>
  <c r="AZ273" i="19" s="1"/>
  <c r="AF274" i="19"/>
  <c r="AZ274" i="19" s="1"/>
  <c r="AF275" i="19"/>
  <c r="AZ275" i="19" s="1"/>
  <c r="AF276" i="19"/>
  <c r="AZ276" i="19" s="1"/>
  <c r="AF277" i="19"/>
  <c r="AZ277" i="19" s="1"/>
  <c r="AF278" i="19"/>
  <c r="AZ278" i="19" s="1"/>
  <c r="AF279" i="19"/>
  <c r="AZ279" i="19" s="1"/>
  <c r="AF280" i="19"/>
  <c r="AZ280" i="19" s="1"/>
  <c r="AF281" i="19"/>
  <c r="AZ281" i="19" s="1"/>
  <c r="AF282" i="19"/>
  <c r="AZ282" i="19" s="1"/>
  <c r="AF283" i="19"/>
  <c r="AZ283" i="19" s="1"/>
  <c r="AF284" i="19"/>
  <c r="AZ284" i="19" s="1"/>
  <c r="AF285" i="19"/>
  <c r="AZ285" i="19" s="1"/>
  <c r="AF286" i="19"/>
  <c r="AZ286" i="19" s="1"/>
  <c r="AF287" i="19"/>
  <c r="AZ287" i="19" s="1"/>
  <c r="AF288" i="19"/>
  <c r="AZ288" i="19" s="1"/>
  <c r="AF289" i="19"/>
  <c r="AZ289" i="19" s="1"/>
  <c r="AF290" i="19"/>
  <c r="AZ290" i="19" s="1"/>
  <c r="AF291" i="19"/>
  <c r="AZ291" i="19" s="1"/>
  <c r="AF292" i="19"/>
  <c r="AZ292" i="19" s="1"/>
  <c r="AF293" i="19"/>
  <c r="AZ293" i="19" s="1"/>
  <c r="AF294" i="19"/>
  <c r="AZ294" i="19" s="1"/>
  <c r="AF295" i="19"/>
  <c r="AZ295" i="19" s="1"/>
  <c r="AF296" i="19"/>
  <c r="AZ296" i="19" s="1"/>
  <c r="AF297" i="19"/>
  <c r="AZ297" i="19" s="1"/>
  <c r="AF298" i="19"/>
  <c r="AZ298" i="19" s="1"/>
  <c r="AF299" i="19"/>
  <c r="AZ299" i="19" s="1"/>
  <c r="AF300" i="19"/>
  <c r="AZ300" i="19" s="1"/>
  <c r="AF301" i="19"/>
  <c r="AZ301" i="19" s="1"/>
  <c r="AF302" i="19"/>
  <c r="AZ302" i="19" s="1"/>
  <c r="AF303" i="19"/>
  <c r="AZ303" i="19" s="1"/>
  <c r="AF304" i="19"/>
  <c r="AZ304" i="19" s="1"/>
  <c r="AF305" i="19"/>
  <c r="AZ305" i="19" s="1"/>
  <c r="AF306" i="19"/>
  <c r="AZ306" i="19" s="1"/>
  <c r="AF307" i="19"/>
  <c r="AZ307" i="19" s="1"/>
  <c r="AF308" i="19"/>
  <c r="AZ308" i="19" s="1"/>
  <c r="AF309" i="19"/>
  <c r="AZ309" i="19" s="1"/>
  <c r="AF310" i="19"/>
  <c r="AZ310" i="19" s="1"/>
  <c r="AF311" i="19"/>
  <c r="AZ311" i="19" s="1"/>
  <c r="AF312" i="19"/>
  <c r="AZ312" i="19" s="1"/>
  <c r="AF313" i="19"/>
  <c r="AZ313" i="19" s="1"/>
  <c r="AF314" i="19"/>
  <c r="AZ314" i="19" s="1"/>
  <c r="AF315" i="19"/>
  <c r="AZ315" i="19" s="1"/>
  <c r="AF316" i="19"/>
  <c r="AZ316" i="19" s="1"/>
  <c r="AF317" i="19"/>
  <c r="AZ317" i="19" s="1"/>
  <c r="AF318" i="19"/>
  <c r="AZ318" i="19" s="1"/>
  <c r="AF319" i="19"/>
  <c r="AZ319" i="19" s="1"/>
  <c r="AF320" i="19"/>
  <c r="AZ320" i="19" s="1"/>
  <c r="AF321" i="19"/>
  <c r="AZ321" i="19" s="1"/>
  <c r="AF322" i="19"/>
  <c r="AZ322" i="19" s="1"/>
  <c r="AF323" i="19"/>
  <c r="AZ323" i="19" s="1"/>
  <c r="AF324" i="19"/>
  <c r="AZ324" i="19" s="1"/>
  <c r="AF325" i="19"/>
  <c r="AZ325" i="19" s="1"/>
  <c r="AF326" i="19"/>
  <c r="AZ326" i="19" s="1"/>
  <c r="AF327" i="19"/>
  <c r="AZ327" i="19" s="1"/>
  <c r="AF328" i="19"/>
  <c r="AZ328" i="19" s="1"/>
  <c r="AF329" i="19"/>
  <c r="AZ329" i="19" s="1"/>
  <c r="AF330" i="19"/>
  <c r="AZ330" i="19" s="1"/>
  <c r="AF331" i="19"/>
  <c r="AZ331" i="19" s="1"/>
  <c r="AF332" i="19"/>
  <c r="AZ332" i="19" s="1"/>
  <c r="AF333" i="19"/>
  <c r="AZ333" i="19" s="1"/>
  <c r="AF334" i="19"/>
  <c r="AZ334" i="19" s="1"/>
  <c r="AF335" i="19"/>
  <c r="AZ335" i="19" s="1"/>
  <c r="AF336" i="19"/>
  <c r="AZ336" i="19" s="1"/>
  <c r="AF337" i="19"/>
  <c r="AZ337" i="19" s="1"/>
  <c r="AF338" i="19"/>
  <c r="AZ338" i="19" s="1"/>
  <c r="AF339" i="19"/>
  <c r="AZ339" i="19" s="1"/>
  <c r="AF340" i="19"/>
  <c r="AZ340" i="19" s="1"/>
  <c r="AF341" i="19"/>
  <c r="AZ341" i="19" s="1"/>
  <c r="AF342" i="19"/>
  <c r="AZ342" i="19" s="1"/>
  <c r="AF343" i="19"/>
  <c r="AZ343" i="19" s="1"/>
  <c r="AF344" i="19"/>
  <c r="AZ344" i="19" s="1"/>
  <c r="AF345" i="19"/>
  <c r="AZ345" i="19" s="1"/>
  <c r="AF346" i="19"/>
  <c r="AZ346" i="19" s="1"/>
  <c r="AF347" i="19"/>
  <c r="AZ347" i="19" s="1"/>
  <c r="AF348" i="19"/>
  <c r="AZ348" i="19" s="1"/>
  <c r="AF349" i="19"/>
  <c r="AZ349" i="19" s="1"/>
  <c r="AF350" i="19"/>
  <c r="AZ350" i="19" s="1"/>
  <c r="AF351" i="19"/>
  <c r="AZ351" i="19" s="1"/>
  <c r="AF352" i="19"/>
  <c r="AZ352" i="19" s="1"/>
  <c r="AF353" i="19"/>
  <c r="AZ353" i="19" s="1"/>
  <c r="AF354" i="19"/>
  <c r="AZ354" i="19" s="1"/>
  <c r="AF355" i="19"/>
  <c r="AZ355" i="19" s="1"/>
  <c r="AF356" i="19"/>
  <c r="AZ356" i="19" s="1"/>
  <c r="AF357" i="19"/>
  <c r="AZ357" i="19" s="1"/>
  <c r="AF358" i="19"/>
  <c r="AZ358" i="19" s="1"/>
  <c r="AF359" i="19"/>
  <c r="AZ359" i="19" s="1"/>
  <c r="AF360" i="19"/>
  <c r="AZ360" i="19" s="1"/>
  <c r="AF361" i="19"/>
  <c r="AZ361" i="19" s="1"/>
  <c r="AF362" i="19"/>
  <c r="AZ362" i="19" s="1"/>
  <c r="AF363" i="19"/>
  <c r="AZ363" i="19" s="1"/>
  <c r="AF364" i="19"/>
  <c r="AZ364" i="19" s="1"/>
  <c r="AF365" i="19"/>
  <c r="AZ365" i="19" s="1"/>
  <c r="AF366" i="19"/>
  <c r="AZ366" i="19" s="1"/>
  <c r="AF367" i="19"/>
  <c r="AZ367" i="19" s="1"/>
  <c r="AF368" i="19"/>
  <c r="AZ368" i="19" s="1"/>
  <c r="AF369" i="19"/>
  <c r="AZ369" i="19" s="1"/>
  <c r="AF370" i="19"/>
  <c r="AZ370" i="19" s="1"/>
  <c r="AF371" i="19"/>
  <c r="AZ371" i="19" s="1"/>
  <c r="AF372" i="19"/>
  <c r="AZ372" i="19" s="1"/>
  <c r="AF373" i="19"/>
  <c r="AZ373" i="19" s="1"/>
  <c r="AF374" i="19"/>
  <c r="AZ374" i="19" s="1"/>
  <c r="AF375" i="19"/>
  <c r="AZ375" i="19" s="1"/>
  <c r="AF376" i="19"/>
  <c r="AZ376" i="19" s="1"/>
  <c r="AF377" i="19"/>
  <c r="AZ377" i="19" s="1"/>
  <c r="AF378" i="19"/>
  <c r="AZ378" i="19" s="1"/>
  <c r="AF379" i="19"/>
  <c r="AZ379" i="19" s="1"/>
  <c r="AF380" i="19"/>
  <c r="AZ380" i="19" s="1"/>
  <c r="AF381" i="19"/>
  <c r="AZ381" i="19" s="1"/>
  <c r="AF382" i="19"/>
  <c r="AZ382" i="19" s="1"/>
  <c r="AF383" i="19"/>
  <c r="AZ383" i="19" s="1"/>
  <c r="AF384" i="19"/>
  <c r="AZ384" i="19" s="1"/>
  <c r="AF385" i="19"/>
  <c r="AZ385" i="19" s="1"/>
  <c r="AF386" i="19"/>
  <c r="AZ386" i="19" s="1"/>
  <c r="AF387" i="19"/>
  <c r="AZ387" i="19" s="1"/>
  <c r="AF388" i="19"/>
  <c r="AZ388" i="19" s="1"/>
  <c r="AF389" i="19"/>
  <c r="AZ389" i="19" s="1"/>
  <c r="AF390" i="19"/>
  <c r="AZ390" i="19" s="1"/>
  <c r="AF391" i="19"/>
  <c r="AZ391" i="19" s="1"/>
  <c r="AF392" i="19"/>
  <c r="AZ392" i="19" s="1"/>
  <c r="AF393" i="19"/>
  <c r="AZ393" i="19" s="1"/>
  <c r="AF394" i="19"/>
  <c r="AZ394" i="19" s="1"/>
  <c r="AF395" i="19"/>
  <c r="AZ395" i="19" s="1"/>
  <c r="AF396" i="19"/>
  <c r="AZ396" i="19" s="1"/>
  <c r="AF397" i="19"/>
  <c r="AZ397" i="19" s="1"/>
  <c r="AF398" i="19"/>
  <c r="AZ398" i="19" s="1"/>
  <c r="AF399" i="19"/>
  <c r="AZ399" i="19" s="1"/>
  <c r="AF400" i="19"/>
  <c r="AZ400" i="19" s="1"/>
  <c r="AF401" i="19"/>
  <c r="AZ401" i="19" s="1"/>
  <c r="AF402" i="19"/>
  <c r="AZ402" i="19" s="1"/>
  <c r="AF403" i="19"/>
  <c r="AZ403" i="19" s="1"/>
  <c r="AF404" i="19"/>
  <c r="AZ404" i="19" s="1"/>
  <c r="AF405" i="19"/>
  <c r="AZ405" i="19" s="1"/>
  <c r="AF406" i="19"/>
  <c r="AZ406" i="19" s="1"/>
  <c r="AF407" i="19"/>
  <c r="AZ407" i="19" s="1"/>
  <c r="AF408" i="19"/>
  <c r="AZ408" i="19" s="1"/>
  <c r="AF409" i="19"/>
  <c r="AZ409" i="19" s="1"/>
  <c r="AF410" i="19"/>
  <c r="AZ410" i="19" s="1"/>
  <c r="AF411" i="19"/>
  <c r="AZ411" i="19" s="1"/>
  <c r="AF412" i="19"/>
  <c r="AZ412" i="19" s="1"/>
  <c r="AF413" i="19"/>
  <c r="AZ413" i="19" s="1"/>
  <c r="AF414" i="19"/>
  <c r="AZ414" i="19" s="1"/>
  <c r="AF415" i="19"/>
  <c r="AZ415" i="19" s="1"/>
  <c r="AF416" i="19"/>
  <c r="AZ416" i="19" s="1"/>
  <c r="AF417" i="19"/>
  <c r="AZ417" i="19" s="1"/>
  <c r="AF418" i="19"/>
  <c r="AZ418" i="19" s="1"/>
  <c r="AF419" i="19"/>
  <c r="AZ419" i="19" s="1"/>
  <c r="AF420" i="19"/>
  <c r="AZ420" i="19" s="1"/>
  <c r="AF421" i="19"/>
  <c r="AZ421" i="19" s="1"/>
  <c r="AF422" i="19"/>
  <c r="AZ422" i="19" s="1"/>
  <c r="AF423" i="19"/>
  <c r="AZ423" i="19" s="1"/>
  <c r="AF424" i="19"/>
  <c r="AZ424" i="19" s="1"/>
  <c r="AF425" i="19"/>
  <c r="AZ425" i="19" s="1"/>
  <c r="AF426" i="19"/>
  <c r="AZ426" i="19" s="1"/>
  <c r="AF427" i="19"/>
  <c r="AZ427" i="19" s="1"/>
  <c r="AF428" i="19"/>
  <c r="AZ428" i="19" s="1"/>
  <c r="AF429" i="19"/>
  <c r="AZ429" i="19" s="1"/>
  <c r="AF430" i="19"/>
  <c r="AZ430" i="19" s="1"/>
  <c r="AF431" i="19"/>
  <c r="AZ431" i="19" s="1"/>
  <c r="AF432" i="19"/>
  <c r="AZ432" i="19" s="1"/>
  <c r="AF433" i="19"/>
  <c r="AZ433" i="19" s="1"/>
  <c r="AF434" i="19"/>
  <c r="AZ434" i="19" s="1"/>
  <c r="AF435" i="19"/>
  <c r="AZ435" i="19" s="1"/>
  <c r="AF436" i="19"/>
  <c r="AZ436" i="19" s="1"/>
  <c r="AF437" i="19"/>
  <c r="AZ437" i="19" s="1"/>
  <c r="AF438" i="19"/>
  <c r="AZ438" i="19" s="1"/>
  <c r="AF439" i="19"/>
  <c r="AZ439" i="19" s="1"/>
  <c r="AF440" i="19"/>
  <c r="AZ440" i="19" s="1"/>
  <c r="AF441" i="19"/>
  <c r="AZ441" i="19" s="1"/>
  <c r="AF442" i="19"/>
  <c r="AZ442" i="19" s="1"/>
  <c r="AF443" i="19"/>
  <c r="AZ443" i="19" s="1"/>
  <c r="AF444" i="19"/>
  <c r="AZ444" i="19" s="1"/>
  <c r="AF445" i="19"/>
  <c r="AZ445" i="19" s="1"/>
  <c r="AF446" i="19"/>
  <c r="AZ446" i="19" s="1"/>
  <c r="AF447" i="19"/>
  <c r="AZ447" i="19" s="1"/>
  <c r="AF448" i="19"/>
  <c r="AZ448" i="19" s="1"/>
  <c r="AF449" i="19"/>
  <c r="AZ449" i="19" s="1"/>
  <c r="AF450" i="19"/>
  <c r="AZ450" i="19" s="1"/>
  <c r="AF451" i="19"/>
  <c r="AZ451" i="19" s="1"/>
  <c r="AF452" i="19"/>
  <c r="AZ452" i="19" s="1"/>
  <c r="AF453" i="19"/>
  <c r="AZ453" i="19" s="1"/>
  <c r="AF454" i="19"/>
  <c r="AZ454" i="19" s="1"/>
  <c r="AF455" i="19"/>
  <c r="AZ455" i="19" s="1"/>
  <c r="AF456" i="19"/>
  <c r="AZ456" i="19" s="1"/>
  <c r="AF457" i="19"/>
  <c r="AZ457" i="19" s="1"/>
  <c r="AF458" i="19"/>
  <c r="AZ458" i="19" s="1"/>
  <c r="AF459" i="19"/>
  <c r="AZ459" i="19" s="1"/>
  <c r="AF460" i="19"/>
  <c r="AZ460" i="19" s="1"/>
  <c r="AF461" i="19"/>
  <c r="AZ461" i="19" s="1"/>
  <c r="AF462" i="19"/>
  <c r="AZ462" i="19" s="1"/>
  <c r="AF463" i="19"/>
  <c r="AZ463" i="19" s="1"/>
  <c r="AF464" i="19"/>
  <c r="AZ464" i="19" s="1"/>
  <c r="AF465" i="19"/>
  <c r="AZ465" i="19" s="1"/>
  <c r="AF466" i="19"/>
  <c r="AZ466" i="19" s="1"/>
  <c r="AF467" i="19"/>
  <c r="AZ467" i="19" s="1"/>
  <c r="AF468" i="19"/>
  <c r="AZ468" i="19" s="1"/>
  <c r="AF469" i="19"/>
  <c r="AZ469" i="19" s="1"/>
  <c r="AF470" i="19"/>
  <c r="AZ470" i="19" s="1"/>
  <c r="AF471" i="19"/>
  <c r="AZ471" i="19" s="1"/>
  <c r="AF472" i="19"/>
  <c r="AZ472" i="19" s="1"/>
  <c r="AF473" i="19"/>
  <c r="AZ473" i="19" s="1"/>
  <c r="AF474" i="19"/>
  <c r="AZ474" i="19" s="1"/>
  <c r="AF475" i="19"/>
  <c r="AZ475" i="19" s="1"/>
  <c r="AF476" i="19"/>
  <c r="AZ476" i="19" s="1"/>
  <c r="AF477" i="19"/>
  <c r="AZ477" i="19" s="1"/>
  <c r="AF478" i="19"/>
  <c r="AZ478" i="19" s="1"/>
  <c r="AF479" i="19"/>
  <c r="AZ479" i="19" s="1"/>
  <c r="AF480" i="19"/>
  <c r="AZ480" i="19" s="1"/>
  <c r="AF481" i="19"/>
  <c r="AZ481" i="19" s="1"/>
  <c r="AF482" i="19"/>
  <c r="AZ482" i="19" s="1"/>
  <c r="AF483" i="19"/>
  <c r="AZ483" i="19" s="1"/>
  <c r="AF484" i="19"/>
  <c r="AZ484" i="19" s="1"/>
  <c r="AF485" i="19"/>
  <c r="AZ485" i="19" s="1"/>
  <c r="AF486" i="19"/>
  <c r="AZ486" i="19" s="1"/>
  <c r="AF487" i="19"/>
  <c r="AZ487" i="19" s="1"/>
  <c r="AF488" i="19"/>
  <c r="AZ488" i="19" s="1"/>
  <c r="AF489" i="19"/>
  <c r="AZ489" i="19" s="1"/>
  <c r="AF490" i="19"/>
  <c r="AZ490" i="19" s="1"/>
  <c r="AF491" i="19"/>
  <c r="AZ491" i="19" s="1"/>
  <c r="AF492" i="19"/>
  <c r="AZ492" i="19" s="1"/>
  <c r="AF493" i="19"/>
  <c r="AZ493" i="19" s="1"/>
  <c r="AF494" i="19"/>
  <c r="AZ494" i="19" s="1"/>
  <c r="AF495" i="19"/>
  <c r="AZ495" i="19" s="1"/>
  <c r="AF496" i="19"/>
  <c r="AZ496" i="19" s="1"/>
  <c r="AF497" i="19"/>
  <c r="AZ497" i="19" s="1"/>
  <c r="AF498" i="19"/>
  <c r="AZ498" i="19" s="1"/>
  <c r="AF499" i="19"/>
  <c r="AZ499" i="19" s="1"/>
  <c r="AF500" i="19"/>
  <c r="AZ500" i="19" s="1"/>
  <c r="AF501" i="19"/>
  <c r="AZ501" i="19" s="1"/>
  <c r="AF502" i="19"/>
  <c r="AZ502" i="19" s="1"/>
  <c r="AF503" i="19"/>
  <c r="AZ503" i="19" s="1"/>
  <c r="AF504" i="19"/>
  <c r="AZ504" i="19" s="1"/>
  <c r="AF505" i="19"/>
  <c r="AZ505" i="19" s="1"/>
  <c r="AF506" i="19"/>
  <c r="AZ506" i="19" s="1"/>
  <c r="AF507" i="19"/>
  <c r="AZ507" i="19" s="1"/>
  <c r="AF508" i="19"/>
  <c r="AZ508" i="19" s="1"/>
  <c r="AF509" i="19"/>
  <c r="AZ509" i="19" s="1"/>
  <c r="AF510" i="19"/>
  <c r="AZ510" i="19" s="1"/>
  <c r="AF511" i="19"/>
  <c r="AZ511" i="19" s="1"/>
  <c r="AF512" i="19"/>
  <c r="AZ512" i="19" s="1"/>
  <c r="AF513" i="19"/>
  <c r="AZ513" i="19" s="1"/>
  <c r="AF514" i="19"/>
  <c r="AZ514" i="19" s="1"/>
  <c r="AF515" i="19"/>
  <c r="AZ515" i="19" s="1"/>
  <c r="AF516" i="19"/>
  <c r="AZ516" i="19" s="1"/>
  <c r="AF517" i="19"/>
  <c r="AZ517" i="19" s="1"/>
  <c r="AF518" i="19"/>
  <c r="AZ518" i="19" s="1"/>
  <c r="AF519" i="19"/>
  <c r="AZ519" i="19" s="1"/>
  <c r="AF520" i="19"/>
  <c r="AZ520" i="19" s="1"/>
  <c r="AF521" i="19"/>
  <c r="AZ521" i="19" s="1"/>
  <c r="AF522" i="19"/>
  <c r="AZ522" i="19" s="1"/>
  <c r="AF523" i="19"/>
  <c r="AZ523" i="19" s="1"/>
  <c r="AF524" i="19"/>
  <c r="AZ524" i="19" s="1"/>
  <c r="AF525" i="19"/>
  <c r="AZ525" i="19" s="1"/>
  <c r="AF526" i="19"/>
  <c r="AZ526" i="19" s="1"/>
  <c r="AF527" i="19"/>
  <c r="AZ527" i="19" s="1"/>
  <c r="AF528" i="19"/>
  <c r="AZ528" i="19" s="1"/>
  <c r="AF529" i="19"/>
  <c r="AZ529" i="19" s="1"/>
  <c r="AF530" i="19"/>
  <c r="AZ530" i="19" s="1"/>
  <c r="AF531" i="19"/>
  <c r="AZ531" i="19" s="1"/>
  <c r="AF532" i="19"/>
  <c r="AZ532" i="19" s="1"/>
  <c r="AF533" i="19"/>
  <c r="AZ533" i="19" s="1"/>
  <c r="AF534" i="19"/>
  <c r="AZ534" i="19" s="1"/>
  <c r="AF535" i="19"/>
  <c r="AZ535" i="19" s="1"/>
  <c r="AF536" i="19"/>
  <c r="AZ536" i="19" s="1"/>
  <c r="AF537" i="19"/>
  <c r="AZ537" i="19" s="1"/>
  <c r="AF538" i="19"/>
  <c r="AZ538" i="19" s="1"/>
  <c r="AF539" i="19"/>
  <c r="AZ539" i="19" s="1"/>
  <c r="AF540" i="19"/>
  <c r="AZ540" i="19" s="1"/>
  <c r="AF541" i="19"/>
  <c r="AZ541" i="19" s="1"/>
  <c r="AF542" i="19"/>
  <c r="AZ542" i="19" s="1"/>
  <c r="AF543" i="19"/>
  <c r="AZ543" i="19" s="1"/>
  <c r="AF544" i="19"/>
  <c r="AZ544" i="19" s="1"/>
  <c r="AF545" i="19"/>
  <c r="AZ545" i="19" s="1"/>
  <c r="AF546" i="19"/>
  <c r="AZ546" i="19" s="1"/>
  <c r="AF547" i="19"/>
  <c r="AZ547" i="19" s="1"/>
  <c r="AF548" i="19"/>
  <c r="AZ548" i="19" s="1"/>
  <c r="AF549" i="19"/>
  <c r="AZ549" i="19" s="1"/>
  <c r="AF550" i="19"/>
  <c r="AZ550" i="19" s="1"/>
  <c r="AF551" i="19"/>
  <c r="AZ551" i="19" s="1"/>
  <c r="AF552" i="19"/>
  <c r="AZ552" i="19" s="1"/>
  <c r="AF553" i="19"/>
  <c r="AZ553" i="19" s="1"/>
  <c r="AF554" i="19"/>
  <c r="AZ554" i="19" s="1"/>
  <c r="AF555" i="19"/>
  <c r="AZ555" i="19" s="1"/>
  <c r="AF556" i="19"/>
  <c r="AZ556" i="19" s="1"/>
  <c r="AF557" i="19"/>
  <c r="AZ557" i="19" s="1"/>
  <c r="AF558" i="19"/>
  <c r="AZ558" i="19" s="1"/>
  <c r="AF559" i="19"/>
  <c r="AZ559" i="19" s="1"/>
  <c r="AF560" i="19"/>
  <c r="AZ560" i="19" s="1"/>
  <c r="AF561" i="19"/>
  <c r="AZ561" i="19" s="1"/>
  <c r="AF562" i="19"/>
  <c r="AZ562" i="19" s="1"/>
  <c r="AF563" i="19"/>
  <c r="AZ563" i="19" s="1"/>
  <c r="AF564" i="19"/>
  <c r="AZ564" i="19" s="1"/>
  <c r="AF565" i="19"/>
  <c r="AZ565" i="19" s="1"/>
  <c r="AF566" i="19"/>
  <c r="AZ566" i="19" s="1"/>
  <c r="AF567" i="19"/>
  <c r="AZ567" i="19" s="1"/>
  <c r="AF568" i="19"/>
  <c r="AZ568" i="19" s="1"/>
  <c r="AF569" i="19"/>
  <c r="AZ569" i="19" s="1"/>
  <c r="AF570" i="19"/>
  <c r="AZ570" i="19" s="1"/>
  <c r="AF571" i="19"/>
  <c r="AZ571" i="19" s="1"/>
  <c r="AF572" i="19"/>
  <c r="AZ572" i="19" s="1"/>
  <c r="AF573" i="19"/>
  <c r="AZ573" i="19" s="1"/>
  <c r="AF574" i="19"/>
  <c r="AZ574" i="19" s="1"/>
  <c r="AF575" i="19"/>
  <c r="AZ575" i="19" s="1"/>
  <c r="AF576" i="19"/>
  <c r="AZ576" i="19" s="1"/>
  <c r="AF577" i="19"/>
  <c r="AZ577" i="19" s="1"/>
  <c r="AF578" i="19"/>
  <c r="AZ578" i="19" s="1"/>
  <c r="AF579" i="19"/>
  <c r="AZ579" i="19" s="1"/>
  <c r="AF580" i="19"/>
  <c r="AZ580" i="19" s="1"/>
  <c r="AF581" i="19"/>
  <c r="AZ581" i="19" s="1"/>
  <c r="AF582" i="19"/>
  <c r="AZ582" i="19" s="1"/>
  <c r="AF583" i="19"/>
  <c r="AZ583" i="19" s="1"/>
  <c r="AF584" i="19"/>
  <c r="AZ584" i="19" s="1"/>
  <c r="AF585" i="19"/>
  <c r="AZ585" i="19" s="1"/>
  <c r="AF586" i="19"/>
  <c r="AZ586" i="19" s="1"/>
  <c r="AF587" i="19"/>
  <c r="AZ587" i="19" s="1"/>
  <c r="AF588" i="19"/>
  <c r="AZ588" i="19" s="1"/>
  <c r="AF589" i="19"/>
  <c r="AZ589" i="19" s="1"/>
  <c r="AF590" i="19"/>
  <c r="AZ590" i="19" s="1"/>
  <c r="AF591" i="19"/>
  <c r="AZ591" i="19" s="1"/>
  <c r="AF592" i="19"/>
  <c r="AZ592" i="19" s="1"/>
  <c r="AF593" i="19"/>
  <c r="AZ593" i="19" s="1"/>
  <c r="AF594" i="19"/>
  <c r="AZ594" i="19" s="1"/>
  <c r="AF595" i="19"/>
  <c r="AZ595" i="19" s="1"/>
  <c r="AF596" i="19"/>
  <c r="AZ596" i="19" s="1"/>
  <c r="AF597" i="19"/>
  <c r="AZ597" i="19" s="1"/>
  <c r="AF598" i="19"/>
  <c r="AZ598" i="19" s="1"/>
  <c r="AF599" i="19"/>
  <c r="AZ599" i="19" s="1"/>
  <c r="AF600" i="19"/>
  <c r="AZ600" i="19" s="1"/>
  <c r="AF601" i="19"/>
  <c r="AZ601" i="19" s="1"/>
  <c r="AF602" i="19"/>
  <c r="AZ602" i="19" s="1"/>
  <c r="AF603" i="19"/>
  <c r="AZ603" i="19" s="1"/>
  <c r="AF604" i="19"/>
  <c r="AZ604" i="19" s="1"/>
  <c r="AF605" i="19"/>
  <c r="AZ605" i="19" s="1"/>
  <c r="AF606" i="19"/>
  <c r="AZ606" i="19" s="1"/>
  <c r="AF607" i="19"/>
  <c r="AZ607" i="19" s="1"/>
  <c r="AF608" i="19"/>
  <c r="AZ608" i="19" s="1"/>
  <c r="AF609" i="19"/>
  <c r="AZ609" i="19" s="1"/>
  <c r="AF610" i="19"/>
  <c r="AZ610" i="19" s="1"/>
  <c r="AF611" i="19"/>
  <c r="AZ611" i="19" s="1"/>
  <c r="AF612" i="19"/>
  <c r="AZ612" i="19" s="1"/>
  <c r="AF613" i="19"/>
  <c r="AZ613" i="19" s="1"/>
  <c r="AF614" i="19"/>
  <c r="AZ614" i="19" s="1"/>
  <c r="AF615" i="19"/>
  <c r="AZ615" i="19" s="1"/>
  <c r="AF616" i="19"/>
  <c r="AZ616" i="19" s="1"/>
  <c r="AF617" i="19"/>
  <c r="AZ617" i="19" s="1"/>
  <c r="AF618" i="19"/>
  <c r="AZ618" i="19" s="1"/>
  <c r="AF619" i="19"/>
  <c r="AZ619" i="19" s="1"/>
  <c r="AF620" i="19"/>
  <c r="AZ620" i="19" s="1"/>
  <c r="AF621" i="19"/>
  <c r="AZ621" i="19" s="1"/>
  <c r="AF622" i="19"/>
  <c r="AZ622" i="19" s="1"/>
  <c r="AF623" i="19"/>
  <c r="AZ623" i="19" s="1"/>
  <c r="AF624" i="19"/>
  <c r="AZ624" i="19" s="1"/>
  <c r="AF625" i="19"/>
  <c r="AZ625" i="19" s="1"/>
  <c r="AF626" i="19"/>
  <c r="AZ626" i="19" s="1"/>
  <c r="AF627" i="19"/>
  <c r="AZ627" i="19" s="1"/>
  <c r="AF628" i="19"/>
  <c r="AZ628" i="19" s="1"/>
  <c r="AF629" i="19"/>
  <c r="AZ629" i="19" s="1"/>
  <c r="AF630" i="19"/>
  <c r="AZ630" i="19" s="1"/>
  <c r="AF631" i="19"/>
  <c r="AZ631" i="19" s="1"/>
  <c r="AF632" i="19"/>
  <c r="AZ632" i="19" s="1"/>
  <c r="AF633" i="19"/>
  <c r="AZ633" i="19" s="1"/>
  <c r="AF634" i="19"/>
  <c r="AZ634" i="19" s="1"/>
  <c r="AF635" i="19"/>
  <c r="AZ635" i="19" s="1"/>
  <c r="AF636" i="19"/>
  <c r="AZ636" i="19" s="1"/>
  <c r="AF637" i="19"/>
  <c r="AZ637" i="19" s="1"/>
  <c r="AF638" i="19"/>
  <c r="AZ638" i="19" s="1"/>
  <c r="AF639" i="19"/>
  <c r="AZ639" i="19" s="1"/>
  <c r="AF640" i="19"/>
  <c r="AZ640" i="19" s="1"/>
  <c r="AF641" i="19"/>
  <c r="AZ641" i="19" s="1"/>
  <c r="AF642" i="19"/>
  <c r="AZ642" i="19" s="1"/>
  <c r="AF643" i="19"/>
  <c r="AZ643" i="19" s="1"/>
  <c r="AF644" i="19"/>
  <c r="AZ644" i="19" s="1"/>
  <c r="AF645" i="19"/>
  <c r="AZ645" i="19" s="1"/>
  <c r="AF646" i="19"/>
  <c r="AZ646" i="19" s="1"/>
  <c r="AF647" i="19"/>
  <c r="AZ647" i="19" s="1"/>
  <c r="AF648" i="19"/>
  <c r="AZ648" i="19" s="1"/>
  <c r="AF649" i="19"/>
  <c r="AZ649" i="19" s="1"/>
  <c r="AF650" i="19"/>
  <c r="AZ650" i="19" s="1"/>
  <c r="AF651" i="19"/>
  <c r="AZ651" i="19" s="1"/>
  <c r="AF652" i="19"/>
  <c r="AZ652" i="19" s="1"/>
  <c r="AF653" i="19"/>
  <c r="AZ653" i="19" s="1"/>
  <c r="AF654" i="19"/>
  <c r="AZ654" i="19" s="1"/>
  <c r="AF655" i="19"/>
  <c r="AZ655" i="19" s="1"/>
  <c r="AF656" i="19"/>
  <c r="AZ656" i="19" s="1"/>
  <c r="AF657" i="19"/>
  <c r="AZ657" i="19" s="1"/>
  <c r="AF658" i="19"/>
  <c r="AZ658" i="19" s="1"/>
  <c r="AF659" i="19"/>
  <c r="AZ659" i="19" s="1"/>
  <c r="AF660" i="19"/>
  <c r="AZ660" i="19" s="1"/>
  <c r="AF661" i="19"/>
  <c r="AZ661" i="19" s="1"/>
  <c r="AF662" i="19"/>
  <c r="AZ662" i="19" s="1"/>
  <c r="AF663" i="19"/>
  <c r="AZ663" i="19" s="1"/>
  <c r="AF664" i="19"/>
  <c r="AZ664" i="19" s="1"/>
  <c r="AF665" i="19"/>
  <c r="AZ665" i="19" s="1"/>
  <c r="AF666" i="19"/>
  <c r="AZ666" i="19" s="1"/>
  <c r="AF667" i="19"/>
  <c r="AZ667" i="19" s="1"/>
  <c r="AF668" i="19"/>
  <c r="AZ668" i="19" s="1"/>
  <c r="AF669" i="19"/>
  <c r="AZ669" i="19" s="1"/>
  <c r="AF670" i="19"/>
  <c r="AZ670" i="19" s="1"/>
  <c r="AF671" i="19"/>
  <c r="AZ671" i="19" s="1"/>
  <c r="AF672" i="19"/>
  <c r="AZ672" i="19" s="1"/>
  <c r="AF673" i="19"/>
  <c r="AZ673" i="19" s="1"/>
  <c r="AF674" i="19"/>
  <c r="AZ674" i="19" s="1"/>
  <c r="AF675" i="19"/>
  <c r="AZ675" i="19" s="1"/>
  <c r="AF676" i="19"/>
  <c r="AZ676" i="19" s="1"/>
  <c r="AF677" i="19"/>
  <c r="AZ677" i="19" s="1"/>
  <c r="AF678" i="19"/>
  <c r="AZ678" i="19" s="1"/>
  <c r="AF679" i="19"/>
  <c r="AZ679" i="19" s="1"/>
  <c r="AF680" i="19"/>
  <c r="AZ680" i="19" s="1"/>
  <c r="AF681" i="19"/>
  <c r="AZ681" i="19" s="1"/>
  <c r="AF682" i="19"/>
  <c r="AZ682" i="19" s="1"/>
  <c r="AF683" i="19"/>
  <c r="AZ683" i="19" s="1"/>
  <c r="AF684" i="19"/>
  <c r="AZ684" i="19" s="1"/>
  <c r="AF685" i="19"/>
  <c r="AZ685" i="19" s="1"/>
  <c r="AF686" i="19"/>
  <c r="AZ686" i="19" s="1"/>
  <c r="AF687" i="19"/>
  <c r="AZ687" i="19" s="1"/>
  <c r="AF688" i="19"/>
  <c r="AZ688" i="19" s="1"/>
  <c r="AF689" i="19"/>
  <c r="AZ689" i="19" s="1"/>
  <c r="AF690" i="19"/>
  <c r="AZ690" i="19" s="1"/>
  <c r="AF691" i="19"/>
  <c r="AZ691" i="19" s="1"/>
  <c r="AF692" i="19"/>
  <c r="AZ692" i="19" s="1"/>
  <c r="AF693" i="19"/>
  <c r="AZ693" i="19" s="1"/>
  <c r="AF694" i="19"/>
  <c r="AZ694" i="19" s="1"/>
  <c r="AF695" i="19"/>
  <c r="AZ695" i="19" s="1"/>
  <c r="AF696" i="19"/>
  <c r="AZ696" i="19" s="1"/>
  <c r="AF697" i="19"/>
  <c r="AZ697" i="19" s="1"/>
  <c r="AF698" i="19"/>
  <c r="AZ698" i="19" s="1"/>
  <c r="AF699" i="19"/>
  <c r="AZ699" i="19" s="1"/>
  <c r="AF700" i="19"/>
  <c r="AZ700" i="19" s="1"/>
  <c r="AF701" i="19"/>
  <c r="AZ701" i="19" s="1"/>
  <c r="AF702" i="19"/>
  <c r="AZ702" i="19" s="1"/>
  <c r="AF703" i="19"/>
  <c r="AZ703" i="19" s="1"/>
  <c r="AF704" i="19"/>
  <c r="AZ704" i="19" s="1"/>
  <c r="AF705" i="19"/>
  <c r="AZ705" i="19" s="1"/>
  <c r="AF706" i="19"/>
  <c r="AZ706" i="19" s="1"/>
  <c r="AF707" i="19"/>
  <c r="AZ707" i="19" s="1"/>
  <c r="AF708" i="19"/>
  <c r="AZ708" i="19" s="1"/>
  <c r="AF709" i="19"/>
  <c r="AZ709" i="19" s="1"/>
  <c r="AF710" i="19"/>
  <c r="AZ710" i="19" s="1"/>
  <c r="AF711" i="19"/>
  <c r="AZ711" i="19" s="1"/>
  <c r="AF712" i="19"/>
  <c r="AZ712" i="19" s="1"/>
  <c r="AF713" i="19"/>
  <c r="AZ713" i="19" s="1"/>
  <c r="AF714" i="19"/>
  <c r="AZ714" i="19" s="1"/>
  <c r="AF715" i="19"/>
  <c r="AZ715" i="19" s="1"/>
  <c r="AF716" i="19"/>
  <c r="AZ716" i="19" s="1"/>
  <c r="AF717" i="19"/>
  <c r="AZ717" i="19" s="1"/>
  <c r="AF718" i="19"/>
  <c r="AZ718" i="19" s="1"/>
  <c r="AF719" i="19"/>
  <c r="AZ719" i="19" s="1"/>
  <c r="AF720" i="19"/>
  <c r="AZ720" i="19" s="1"/>
  <c r="AF721" i="19"/>
  <c r="AZ721" i="19" s="1"/>
  <c r="AF722" i="19"/>
  <c r="AZ722" i="19" s="1"/>
  <c r="AF723" i="19"/>
  <c r="AZ723" i="19" s="1"/>
  <c r="AF724" i="19"/>
  <c r="AZ724" i="19" s="1"/>
  <c r="AF725" i="19"/>
  <c r="AZ725" i="19" s="1"/>
  <c r="AF726" i="19"/>
  <c r="AZ726" i="19" s="1"/>
  <c r="AF727" i="19"/>
  <c r="AZ727" i="19" s="1"/>
  <c r="AF728" i="19"/>
  <c r="AZ728" i="19" s="1"/>
  <c r="AF729" i="19"/>
  <c r="AZ729" i="19" s="1"/>
  <c r="AF730" i="19"/>
  <c r="AZ730" i="19" s="1"/>
  <c r="AF731" i="19"/>
  <c r="AZ731" i="19" s="1"/>
  <c r="AF732" i="19"/>
  <c r="AZ732" i="19" s="1"/>
  <c r="AF733" i="19"/>
  <c r="AZ733" i="19" s="1"/>
  <c r="AF734" i="19"/>
  <c r="AZ734" i="19" s="1"/>
  <c r="AF735" i="19"/>
  <c r="AZ735" i="19" s="1"/>
  <c r="AF736" i="19"/>
  <c r="AZ736" i="19" s="1"/>
  <c r="AF737" i="19"/>
  <c r="AZ737" i="19" s="1"/>
  <c r="AF738" i="19"/>
  <c r="AZ738" i="19" s="1"/>
  <c r="AF739" i="19"/>
  <c r="AZ739" i="19" s="1"/>
  <c r="AF740" i="19"/>
  <c r="AZ740" i="19" s="1"/>
  <c r="AF741" i="19"/>
  <c r="AZ741" i="19" s="1"/>
  <c r="AF742" i="19"/>
  <c r="AZ742" i="19" s="1"/>
  <c r="AF743" i="19"/>
  <c r="AZ743" i="19" s="1"/>
  <c r="AF744" i="19"/>
  <c r="AZ744" i="19" s="1"/>
  <c r="AF745" i="19"/>
  <c r="AZ745" i="19" s="1"/>
  <c r="AF746" i="19"/>
  <c r="AZ746" i="19" s="1"/>
  <c r="AF747" i="19"/>
  <c r="AZ747" i="19" s="1"/>
  <c r="AF748" i="19"/>
  <c r="AZ748" i="19" s="1"/>
  <c r="AF749" i="19"/>
  <c r="AZ749" i="19" s="1"/>
  <c r="AF750" i="19"/>
  <c r="AZ750" i="19" s="1"/>
  <c r="AF751" i="19"/>
  <c r="AZ751" i="19" s="1"/>
  <c r="AF752" i="19"/>
  <c r="AZ752" i="19" s="1"/>
  <c r="AF753" i="19"/>
  <c r="AZ753" i="19" s="1"/>
  <c r="AF754" i="19"/>
  <c r="AZ754" i="19" s="1"/>
  <c r="AF755" i="19"/>
  <c r="AZ755" i="19" s="1"/>
  <c r="AF756" i="19"/>
  <c r="AZ756" i="19" s="1"/>
  <c r="AF757" i="19"/>
  <c r="AZ757" i="19" s="1"/>
  <c r="AF758" i="19"/>
  <c r="AZ758" i="19" s="1"/>
  <c r="AF759" i="19"/>
  <c r="AZ759" i="19" s="1"/>
  <c r="AF760" i="19"/>
  <c r="AZ760" i="19" s="1"/>
  <c r="AF761" i="19"/>
  <c r="AZ761" i="19" s="1"/>
  <c r="AF762" i="19"/>
  <c r="AZ762" i="19" s="1"/>
  <c r="AF763" i="19"/>
  <c r="AZ763" i="19" s="1"/>
  <c r="AF764" i="19"/>
  <c r="AZ764" i="19" s="1"/>
  <c r="AF765" i="19"/>
  <c r="AZ765" i="19" s="1"/>
  <c r="AF766" i="19"/>
  <c r="AZ766" i="19" s="1"/>
  <c r="AF767" i="19"/>
  <c r="AZ767" i="19" s="1"/>
  <c r="AF768" i="19"/>
  <c r="AZ768" i="19" s="1"/>
  <c r="AF769" i="19"/>
  <c r="AZ769" i="19" s="1"/>
  <c r="AF770" i="19"/>
  <c r="AZ770" i="19" s="1"/>
  <c r="AF771" i="19"/>
  <c r="AZ771" i="19" s="1"/>
  <c r="AF772" i="19"/>
  <c r="AZ772" i="19" s="1"/>
  <c r="AF773" i="19"/>
  <c r="AZ773" i="19" s="1"/>
  <c r="AF774" i="19"/>
  <c r="AZ774" i="19" s="1"/>
  <c r="AF775" i="19"/>
  <c r="AZ775" i="19" s="1"/>
  <c r="AF776" i="19"/>
  <c r="AZ776" i="19" s="1"/>
  <c r="AF791" i="19"/>
  <c r="AZ791" i="19" s="1"/>
  <c r="AF792" i="19"/>
  <c r="AZ792" i="19" s="1"/>
  <c r="AF793" i="19"/>
  <c r="AZ793" i="19" s="1"/>
  <c r="AF794" i="19"/>
  <c r="AZ794" i="19" s="1"/>
  <c r="AK3" i="19"/>
  <c r="AK4" i="19"/>
  <c r="AK5" i="19"/>
  <c r="AK6" i="19"/>
  <c r="AK7" i="19"/>
  <c r="AL7" i="19" s="1"/>
  <c r="AM7" i="19" s="1"/>
  <c r="AK8" i="19"/>
  <c r="AL8" i="19" s="1"/>
  <c r="AM8" i="19" s="1"/>
  <c r="AK9" i="19"/>
  <c r="AK10" i="19"/>
  <c r="AL10" i="19" s="1"/>
  <c r="AM10" i="19" s="1"/>
  <c r="AK11" i="19"/>
  <c r="AK12" i="19"/>
  <c r="AK13" i="19"/>
  <c r="AL13" i="19" s="1"/>
  <c r="AM13" i="19" s="1"/>
  <c r="AK14" i="19"/>
  <c r="AK15" i="19"/>
  <c r="AL15" i="19" s="1"/>
  <c r="AM15" i="19" s="1"/>
  <c r="AK16" i="19"/>
  <c r="AK17" i="19"/>
  <c r="AK18" i="19"/>
  <c r="AK19" i="19"/>
  <c r="AK20" i="19"/>
  <c r="AL20" i="19" s="1"/>
  <c r="AK21" i="19"/>
  <c r="AK22" i="19"/>
  <c r="AK23" i="19"/>
  <c r="AL23" i="19" s="1"/>
  <c r="AM23" i="19" s="1"/>
  <c r="AK24" i="19"/>
  <c r="AK25" i="19"/>
  <c r="AK26" i="19"/>
  <c r="AK27" i="19"/>
  <c r="AK28" i="19"/>
  <c r="AK29" i="19"/>
  <c r="AL29" i="19" s="1"/>
  <c r="AM29" i="19" s="1"/>
  <c r="AK30" i="19"/>
  <c r="AK31" i="19"/>
  <c r="AL31" i="19" s="1"/>
  <c r="AM31" i="19" s="1"/>
  <c r="AK32" i="19"/>
  <c r="AK33" i="19"/>
  <c r="AK34" i="19"/>
  <c r="AK35" i="19"/>
  <c r="AK36" i="19"/>
  <c r="AL36" i="19" s="1"/>
  <c r="AM36" i="19" s="1"/>
  <c r="AK37" i="19"/>
  <c r="AK38" i="19"/>
  <c r="AK39" i="19"/>
  <c r="AK40" i="19"/>
  <c r="AK41" i="19"/>
  <c r="AK42" i="19"/>
  <c r="AK43" i="19"/>
  <c r="AK44" i="19"/>
  <c r="AK45" i="19"/>
  <c r="AK46" i="19"/>
  <c r="AK47" i="19"/>
  <c r="AL47" i="19" s="1"/>
  <c r="AM47" i="19" s="1"/>
  <c r="AK48" i="19"/>
  <c r="AL48" i="19" s="1"/>
  <c r="AM48" i="19" s="1"/>
  <c r="AK49" i="19"/>
  <c r="AK50" i="19"/>
  <c r="AL50" i="19" s="1"/>
  <c r="AM50" i="19" s="1"/>
  <c r="AK51" i="19"/>
  <c r="AK52" i="19"/>
  <c r="AL52" i="19" s="1"/>
  <c r="AM52" i="19" s="1"/>
  <c r="AK53" i="19"/>
  <c r="AK54" i="19"/>
  <c r="AL54" i="19" s="1"/>
  <c r="AM54" i="19" s="1"/>
  <c r="AK55" i="19"/>
  <c r="AK56" i="19"/>
  <c r="AL56" i="19" s="1"/>
  <c r="AM56" i="19" s="1"/>
  <c r="AK57" i="19"/>
  <c r="AK58" i="19"/>
  <c r="AL58" i="19" s="1"/>
  <c r="AM58" i="19" s="1"/>
  <c r="AK59" i="19"/>
  <c r="AK60" i="19"/>
  <c r="AK61" i="19"/>
  <c r="AL61" i="19" s="1"/>
  <c r="AM61" i="19" s="1"/>
  <c r="AK62" i="19"/>
  <c r="AK63" i="19"/>
  <c r="AK64" i="19"/>
  <c r="AK65" i="19"/>
  <c r="AK66" i="19"/>
  <c r="AK67" i="19"/>
  <c r="AK68" i="19"/>
  <c r="AK69" i="19"/>
  <c r="AL69" i="19" s="1"/>
  <c r="AM69" i="19" s="1"/>
  <c r="AK70" i="19"/>
  <c r="AL70" i="19" s="1"/>
  <c r="AM70" i="19" s="1"/>
  <c r="AK71" i="19"/>
  <c r="AL71" i="19" s="1"/>
  <c r="AM71" i="19" s="1"/>
  <c r="AK72" i="19"/>
  <c r="AK73" i="19"/>
  <c r="AL73" i="19" s="1"/>
  <c r="AM73" i="19" s="1"/>
  <c r="AK74" i="19"/>
  <c r="AL74" i="19" s="1"/>
  <c r="AM74" i="19" s="1"/>
  <c r="AK75" i="19"/>
  <c r="AK76" i="19"/>
  <c r="AK77" i="19"/>
  <c r="AL77" i="19" s="1"/>
  <c r="AM77" i="19" s="1"/>
  <c r="AK78" i="19"/>
  <c r="AL78" i="19" s="1"/>
  <c r="AM78" i="19" s="1"/>
  <c r="AK79" i="19"/>
  <c r="AK80" i="19"/>
  <c r="AL80" i="19" s="1"/>
  <c r="AM80" i="19" s="1"/>
  <c r="AK81" i="19"/>
  <c r="AK82" i="19"/>
  <c r="AK83" i="19"/>
  <c r="AK84" i="19"/>
  <c r="AK85" i="19"/>
  <c r="AL85" i="19" s="1"/>
  <c r="AM85" i="19" s="1"/>
  <c r="AK86" i="19"/>
  <c r="AK87" i="19"/>
  <c r="AK88" i="19"/>
  <c r="AK89" i="19"/>
  <c r="AK90" i="19"/>
  <c r="AK91" i="19"/>
  <c r="AK92" i="19"/>
  <c r="AL92" i="19" s="1"/>
  <c r="AM92" i="19" s="1"/>
  <c r="AK93" i="19"/>
  <c r="AL93" i="19" s="1"/>
  <c r="AM93" i="19" s="1"/>
  <c r="AK94" i="19"/>
  <c r="AL94" i="19" s="1"/>
  <c r="AM94" i="19" s="1"/>
  <c r="AK95" i="19"/>
  <c r="AK96" i="19"/>
  <c r="AL96" i="19" s="1"/>
  <c r="AM96" i="19" s="1"/>
  <c r="AK97" i="19"/>
  <c r="AL97" i="19" s="1"/>
  <c r="AM97" i="19" s="1"/>
  <c r="AK98" i="19"/>
  <c r="AL98" i="19" s="1"/>
  <c r="AK99" i="19"/>
  <c r="AK100" i="19"/>
  <c r="AK101" i="19"/>
  <c r="AK102" i="19"/>
  <c r="AL102" i="19" s="1"/>
  <c r="AM102" i="19" s="1"/>
  <c r="AK103" i="19"/>
  <c r="AL103" i="19" s="1"/>
  <c r="AM103" i="19" s="1"/>
  <c r="AK104" i="19"/>
  <c r="AL104" i="19" s="1"/>
  <c r="AM104" i="19" s="1"/>
  <c r="AK105" i="19"/>
  <c r="AK106" i="19"/>
  <c r="AL106" i="19" s="1"/>
  <c r="AM106" i="19" s="1"/>
  <c r="AK107" i="19"/>
  <c r="AL107" i="19" s="1"/>
  <c r="AM107" i="19" s="1"/>
  <c r="AK108" i="19"/>
  <c r="AL108" i="19" s="1"/>
  <c r="AM108" i="19" s="1"/>
  <c r="AK109" i="19"/>
  <c r="AK110" i="19"/>
  <c r="AL110" i="19" s="1"/>
  <c r="AM110" i="19" s="1"/>
  <c r="AK111" i="19"/>
  <c r="AL111" i="19" s="1"/>
  <c r="AM111" i="19" s="1"/>
  <c r="AK112" i="19"/>
  <c r="AK113" i="19"/>
  <c r="AK114" i="19"/>
  <c r="AK115" i="19"/>
  <c r="AK116" i="19"/>
  <c r="AL116" i="19" s="1"/>
  <c r="AM116" i="19" s="1"/>
  <c r="AK117" i="19"/>
  <c r="AL117" i="19" s="1"/>
  <c r="AM117" i="19" s="1"/>
  <c r="AK118" i="19"/>
  <c r="AK119" i="19"/>
  <c r="AK120" i="19"/>
  <c r="AK121" i="19"/>
  <c r="AK122" i="19"/>
  <c r="AL122" i="19" s="1"/>
  <c r="AM122" i="19" s="1"/>
  <c r="AK123" i="19"/>
  <c r="AL123" i="19" s="1"/>
  <c r="AK124" i="19"/>
  <c r="AL124" i="19" s="1"/>
  <c r="AM124" i="19" s="1"/>
  <c r="AK125" i="19"/>
  <c r="AL125" i="19" s="1"/>
  <c r="AM125" i="19" s="1"/>
  <c r="AK126" i="19"/>
  <c r="AK127" i="19"/>
  <c r="AL127" i="19" s="1"/>
  <c r="AM127" i="19" s="1"/>
  <c r="AK128" i="19"/>
  <c r="AL128" i="19" s="1"/>
  <c r="AM128" i="19" s="1"/>
  <c r="AK129" i="19"/>
  <c r="AL129" i="19" s="1"/>
  <c r="AM129" i="19" s="1"/>
  <c r="AK130" i="19"/>
  <c r="AL130" i="19" s="1"/>
  <c r="AM130" i="19" s="1"/>
  <c r="AK131" i="19"/>
  <c r="AL131" i="19" s="1"/>
  <c r="AM131" i="19" s="1"/>
  <c r="AK132" i="19"/>
  <c r="AL132" i="19" s="1"/>
  <c r="AM132" i="19" s="1"/>
  <c r="AK133" i="19"/>
  <c r="AK134" i="19"/>
  <c r="AK135" i="19"/>
  <c r="AK136" i="19"/>
  <c r="AL136" i="19" s="1"/>
  <c r="AM136" i="19" s="1"/>
  <c r="AK137" i="19"/>
  <c r="AL137" i="19" s="1"/>
  <c r="AM137" i="19" s="1"/>
  <c r="AK138" i="19"/>
  <c r="AL138" i="19" s="1"/>
  <c r="AM138" i="19" s="1"/>
  <c r="AK139" i="19"/>
  <c r="AK140" i="19"/>
  <c r="AK141" i="19"/>
  <c r="AK142" i="19"/>
  <c r="AK143" i="19"/>
  <c r="AL143" i="19" s="1"/>
  <c r="AM143" i="19" s="1"/>
  <c r="AK144" i="19"/>
  <c r="AL144" i="19" s="1"/>
  <c r="AM144" i="19" s="1"/>
  <c r="AK145" i="19"/>
  <c r="AK146" i="19"/>
  <c r="AK147" i="19"/>
  <c r="AK148" i="19"/>
  <c r="AL148" i="19" s="1"/>
  <c r="AM148" i="19" s="1"/>
  <c r="AK149" i="19"/>
  <c r="AK150" i="19"/>
  <c r="AK151" i="19"/>
  <c r="AK152" i="19"/>
  <c r="AK153" i="19"/>
  <c r="AK154" i="19"/>
  <c r="AK155" i="19"/>
  <c r="AL155" i="19" s="1"/>
  <c r="AM155" i="19" s="1"/>
  <c r="AK156" i="19"/>
  <c r="AL156" i="19" s="1"/>
  <c r="AM156" i="19" s="1"/>
  <c r="AK157" i="19"/>
  <c r="AL157" i="19" s="1"/>
  <c r="AM157" i="19" s="1"/>
  <c r="AK158" i="19"/>
  <c r="AL158" i="19" s="1"/>
  <c r="AM158" i="19" s="1"/>
  <c r="AK159" i="19"/>
  <c r="AL159" i="19" s="1"/>
  <c r="AM159" i="19" s="1"/>
  <c r="AK160" i="19"/>
  <c r="AL160" i="19" s="1"/>
  <c r="AM160" i="19" s="1"/>
  <c r="AK161" i="19"/>
  <c r="AK162" i="19"/>
  <c r="AK163" i="19"/>
  <c r="AL163" i="19" s="1"/>
  <c r="AM163" i="19" s="1"/>
  <c r="AK164" i="19"/>
  <c r="AL164" i="19" s="1"/>
  <c r="AM164" i="19" s="1"/>
  <c r="AK165" i="19"/>
  <c r="AK166" i="19"/>
  <c r="AK167" i="19"/>
  <c r="AL167" i="19" s="1"/>
  <c r="AM167" i="19" s="1"/>
  <c r="AK168" i="19"/>
  <c r="AL168" i="19" s="1"/>
  <c r="AM168" i="19" s="1"/>
  <c r="AK169" i="19"/>
  <c r="AL169" i="19" s="1"/>
  <c r="AM169" i="19" s="1"/>
  <c r="AK170" i="19"/>
  <c r="AK171" i="19"/>
  <c r="AK172" i="19"/>
  <c r="AL172" i="19" s="1"/>
  <c r="AM172" i="19" s="1"/>
  <c r="AK173" i="19"/>
  <c r="AL173" i="19" s="1"/>
  <c r="AM173" i="19" s="1"/>
  <c r="AK174" i="19"/>
  <c r="AL174" i="19" s="1"/>
  <c r="AM174" i="19" s="1"/>
  <c r="AK175" i="19"/>
  <c r="AL175" i="19" s="1"/>
  <c r="AM175" i="19" s="1"/>
  <c r="AK176" i="19"/>
  <c r="AK177" i="19"/>
  <c r="AL177" i="19" s="1"/>
  <c r="AM177" i="19" s="1"/>
  <c r="AK178" i="19"/>
  <c r="AK179" i="19"/>
  <c r="AL179" i="19" s="1"/>
  <c r="AM179" i="19" s="1"/>
  <c r="AK180" i="19"/>
  <c r="AL180" i="19" s="1"/>
  <c r="AM180" i="19" s="1"/>
  <c r="AK181" i="19"/>
  <c r="AL181" i="19" s="1"/>
  <c r="AM181" i="19" s="1"/>
  <c r="AK182" i="19"/>
  <c r="AK183" i="19"/>
  <c r="AL183" i="19" s="1"/>
  <c r="AM183" i="19" s="1"/>
  <c r="AK184" i="19"/>
  <c r="AK185" i="19"/>
  <c r="AK186" i="19"/>
  <c r="AK187" i="19"/>
  <c r="AL187" i="19" s="1"/>
  <c r="AK188" i="19"/>
  <c r="AL188" i="19" s="1"/>
  <c r="AM188" i="19" s="1"/>
  <c r="AK189" i="19"/>
  <c r="AL189" i="19" s="1"/>
  <c r="AM189" i="19" s="1"/>
  <c r="AK190" i="19"/>
  <c r="AL190" i="19" s="1"/>
  <c r="AM190" i="19" s="1"/>
  <c r="AK191" i="19"/>
  <c r="AK192" i="19"/>
  <c r="AL192" i="19" s="1"/>
  <c r="AM192" i="19" s="1"/>
  <c r="AK193" i="19"/>
  <c r="AK194" i="19"/>
  <c r="AL194" i="19" s="1"/>
  <c r="AM194" i="19" s="1"/>
  <c r="AK195" i="19"/>
  <c r="AK196" i="19"/>
  <c r="AL196" i="19" s="1"/>
  <c r="AM196" i="19" s="1"/>
  <c r="AK197" i="19"/>
  <c r="AK198" i="19"/>
  <c r="AL198" i="19" s="1"/>
  <c r="AM198" i="19" s="1"/>
  <c r="AK199" i="19"/>
  <c r="AK200" i="19"/>
  <c r="AK201" i="19"/>
  <c r="AL201" i="19" s="1"/>
  <c r="AM201" i="19" s="1"/>
  <c r="AK202" i="19"/>
  <c r="AL202" i="19" s="1"/>
  <c r="AM202" i="19" s="1"/>
  <c r="AK203" i="19"/>
  <c r="AL203" i="19" s="1"/>
  <c r="AM203" i="19" s="1"/>
  <c r="AK204" i="19"/>
  <c r="AL204" i="19" s="1"/>
  <c r="AM204" i="19" s="1"/>
  <c r="AK205" i="19"/>
  <c r="AK206" i="19"/>
  <c r="AK207" i="19"/>
  <c r="AL207" i="19" s="1"/>
  <c r="AM207" i="19" s="1"/>
  <c r="AK208" i="19"/>
  <c r="AL208" i="19" s="1"/>
  <c r="AM208" i="19" s="1"/>
  <c r="AK209" i="19"/>
  <c r="AL209" i="19" s="1"/>
  <c r="AM209" i="19" s="1"/>
  <c r="AK210" i="19"/>
  <c r="AK211" i="19"/>
  <c r="AK212" i="19"/>
  <c r="AK213" i="19"/>
  <c r="AL213" i="19" s="1"/>
  <c r="AM213" i="19" s="1"/>
  <c r="AK214" i="19"/>
  <c r="AL214" i="19" s="1"/>
  <c r="AM214" i="19" s="1"/>
  <c r="AK215" i="19"/>
  <c r="AL215" i="19" s="1"/>
  <c r="AM215" i="19" s="1"/>
  <c r="AK216" i="19"/>
  <c r="AL216" i="19" s="1"/>
  <c r="AM216" i="19" s="1"/>
  <c r="AK217" i="19"/>
  <c r="AK218" i="19"/>
  <c r="AK219" i="19"/>
  <c r="AL219" i="19" s="1"/>
  <c r="AM219" i="19" s="1"/>
  <c r="AK220" i="19"/>
  <c r="AL220" i="19" s="1"/>
  <c r="AM220" i="19" s="1"/>
  <c r="AK221" i="19"/>
  <c r="AK222" i="19"/>
  <c r="AL222" i="19" s="1"/>
  <c r="AM222" i="19" s="1"/>
  <c r="AK223" i="19"/>
  <c r="AK224" i="19"/>
  <c r="AK225" i="19"/>
  <c r="AK226" i="19"/>
  <c r="AL226" i="19" s="1"/>
  <c r="AM226" i="19" s="1"/>
  <c r="AK227" i="19"/>
  <c r="AL227" i="19" s="1"/>
  <c r="AM227" i="19" s="1"/>
  <c r="AK228" i="19"/>
  <c r="AL228" i="19" s="1"/>
  <c r="AM228" i="19" s="1"/>
  <c r="AK229" i="19"/>
  <c r="AL229" i="19" s="1"/>
  <c r="AM229" i="19" s="1"/>
  <c r="AK230" i="19"/>
  <c r="AK231" i="19"/>
  <c r="AL231" i="19" s="1"/>
  <c r="AM231" i="19" s="1"/>
  <c r="AK232" i="19"/>
  <c r="AL232" i="19" s="1"/>
  <c r="AM232" i="19" s="1"/>
  <c r="AK233" i="19"/>
  <c r="AK234" i="19"/>
  <c r="AK235" i="19"/>
  <c r="AK236" i="19"/>
  <c r="AL236" i="19" s="1"/>
  <c r="AM236" i="19" s="1"/>
  <c r="AK237" i="19"/>
  <c r="AK238" i="19"/>
  <c r="AL238" i="19" s="1"/>
  <c r="AM238" i="19" s="1"/>
  <c r="AK239" i="19"/>
  <c r="AK240" i="19"/>
  <c r="AL240" i="19" s="1"/>
  <c r="AM240" i="19" s="1"/>
  <c r="AK241" i="19"/>
  <c r="AK242" i="19"/>
  <c r="AL242" i="19" s="1"/>
  <c r="AM242" i="19" s="1"/>
  <c r="AK243" i="19"/>
  <c r="AL243" i="19" s="1"/>
  <c r="AM243" i="19" s="1"/>
  <c r="AK244" i="19"/>
  <c r="AL244" i="19" s="1"/>
  <c r="AM244" i="19" s="1"/>
  <c r="AK245" i="19"/>
  <c r="AK246" i="19"/>
  <c r="AK247" i="19"/>
  <c r="AL247" i="19" s="1"/>
  <c r="AM247" i="19" s="1"/>
  <c r="AK248" i="19"/>
  <c r="AL248" i="19" s="1"/>
  <c r="AM248" i="19" s="1"/>
  <c r="AK249" i="19"/>
  <c r="AL249" i="19" s="1"/>
  <c r="AM249" i="19" s="1"/>
  <c r="AK250" i="19"/>
  <c r="AL250" i="19" s="1"/>
  <c r="AM250" i="19" s="1"/>
  <c r="AK251" i="19"/>
  <c r="AL251" i="19" s="1"/>
  <c r="AM251" i="19" s="1"/>
  <c r="AK252" i="19"/>
  <c r="AK253" i="19"/>
  <c r="AK254" i="19"/>
  <c r="AL254" i="19" s="1"/>
  <c r="AM254" i="19" s="1"/>
  <c r="AK255" i="19"/>
  <c r="AK256" i="19"/>
  <c r="AL256" i="19" s="1"/>
  <c r="AM256" i="19" s="1"/>
  <c r="AK257" i="19"/>
  <c r="AK258" i="19"/>
  <c r="AL258" i="19" s="1"/>
  <c r="AM258" i="19" s="1"/>
  <c r="AK259" i="19"/>
  <c r="AL259" i="19" s="1"/>
  <c r="AM259" i="19" s="1"/>
  <c r="AK260" i="19"/>
  <c r="AL260" i="19" s="1"/>
  <c r="AM260" i="19" s="1"/>
  <c r="AK261" i="19"/>
  <c r="AK262" i="19"/>
  <c r="AK263" i="19"/>
  <c r="AK264" i="19"/>
  <c r="AK265" i="19"/>
  <c r="AL265" i="19" s="1"/>
  <c r="AM265" i="19" s="1"/>
  <c r="AK266" i="19"/>
  <c r="AL266" i="19" s="1"/>
  <c r="AM266" i="19" s="1"/>
  <c r="AK267" i="19"/>
  <c r="AK268" i="19"/>
  <c r="AK269" i="19"/>
  <c r="AL269" i="19" s="1"/>
  <c r="AM269" i="19" s="1"/>
  <c r="AK270" i="19"/>
  <c r="AK271" i="19"/>
  <c r="AK272" i="19"/>
  <c r="AK273" i="19"/>
  <c r="AK274" i="19"/>
  <c r="AK275" i="19"/>
  <c r="AL275" i="19" s="1"/>
  <c r="AM275" i="19" s="1"/>
  <c r="AK276" i="19"/>
  <c r="AK277" i="19"/>
  <c r="AK278" i="19"/>
  <c r="AL278" i="19" s="1"/>
  <c r="AM278" i="19" s="1"/>
  <c r="AK279" i="19"/>
  <c r="AL279" i="19" s="1"/>
  <c r="AM279" i="19" s="1"/>
  <c r="AK280" i="19"/>
  <c r="AL280" i="19" s="1"/>
  <c r="AM280" i="19" s="1"/>
  <c r="AK281" i="19"/>
  <c r="AK282" i="19"/>
  <c r="AK283" i="19"/>
  <c r="AL283" i="19" s="1"/>
  <c r="AM283" i="19" s="1"/>
  <c r="AK284" i="19"/>
  <c r="AK285" i="19"/>
  <c r="AK286" i="19"/>
  <c r="AK287" i="19"/>
  <c r="AK288" i="19"/>
  <c r="AL288" i="19" s="1"/>
  <c r="AM288" i="19" s="1"/>
  <c r="AK289" i="19"/>
  <c r="AK290" i="19"/>
  <c r="AL290" i="19" s="1"/>
  <c r="AM290" i="19" s="1"/>
  <c r="AK291" i="19"/>
  <c r="AK292" i="19"/>
  <c r="AK293" i="19"/>
  <c r="AL293" i="19" s="1"/>
  <c r="AM293" i="19" s="1"/>
  <c r="AK294" i="19"/>
  <c r="AK295" i="19"/>
  <c r="AL295" i="19" s="1"/>
  <c r="AM295" i="19" s="1"/>
  <c r="AK296" i="19"/>
  <c r="AK297" i="19"/>
  <c r="AK298" i="19"/>
  <c r="AK299" i="19"/>
  <c r="AK300" i="19"/>
  <c r="AK301" i="19"/>
  <c r="AL301" i="19" s="1"/>
  <c r="AM301" i="19" s="1"/>
  <c r="AK302" i="19"/>
  <c r="AK303" i="19"/>
  <c r="AK304" i="19"/>
  <c r="AK305" i="19"/>
  <c r="AL305" i="19" s="1"/>
  <c r="AM305" i="19" s="1"/>
  <c r="AK306" i="19"/>
  <c r="AK307" i="19"/>
  <c r="AK308" i="19"/>
  <c r="AK309" i="19"/>
  <c r="AL309" i="19" s="1"/>
  <c r="AM309" i="19" s="1"/>
  <c r="AK310" i="19"/>
  <c r="AL310" i="19" s="1"/>
  <c r="AM310" i="19" s="1"/>
  <c r="AK311" i="19"/>
  <c r="AK312" i="19"/>
  <c r="AK313" i="19"/>
  <c r="AK314" i="19"/>
  <c r="AL314" i="19" s="1"/>
  <c r="AM314" i="19" s="1"/>
  <c r="AK315" i="19"/>
  <c r="AL315" i="19" s="1"/>
  <c r="AM315" i="19" s="1"/>
  <c r="AK316" i="19"/>
  <c r="AL316" i="19" s="1"/>
  <c r="AM316" i="19" s="1"/>
  <c r="AK317" i="19"/>
  <c r="AL317" i="19" s="1"/>
  <c r="AM317" i="19" s="1"/>
  <c r="AK318" i="19"/>
  <c r="AL318" i="19" s="1"/>
  <c r="AM318" i="19" s="1"/>
  <c r="AK319" i="19"/>
  <c r="AK320" i="19"/>
  <c r="AK321" i="19"/>
  <c r="AL321" i="19" s="1"/>
  <c r="AM321" i="19" s="1"/>
  <c r="AK322" i="19"/>
  <c r="AL322" i="19" s="1"/>
  <c r="AM322" i="19" s="1"/>
  <c r="AK323" i="19"/>
  <c r="AL323" i="19" s="1"/>
  <c r="AM323" i="19" s="1"/>
  <c r="AK324" i="19"/>
  <c r="AL324" i="19" s="1"/>
  <c r="AM324" i="19" s="1"/>
  <c r="AK325" i="19"/>
  <c r="AK326" i="19"/>
  <c r="AL326" i="19" s="1"/>
  <c r="AM326" i="19" s="1"/>
  <c r="AK327" i="19"/>
  <c r="AL327" i="19" s="1"/>
  <c r="AM327" i="19" s="1"/>
  <c r="AK328" i="19"/>
  <c r="AL328" i="19" s="1"/>
  <c r="AM328" i="19" s="1"/>
  <c r="AK329" i="19"/>
  <c r="AL329" i="19" s="1"/>
  <c r="AM329" i="19" s="1"/>
  <c r="AK330" i="19"/>
  <c r="AL330" i="19" s="1"/>
  <c r="AM330" i="19" s="1"/>
  <c r="AK331" i="19"/>
  <c r="AL331" i="19" s="1"/>
  <c r="AM331" i="19" s="1"/>
  <c r="AK332" i="19"/>
  <c r="AK333" i="19"/>
  <c r="AL333" i="19" s="1"/>
  <c r="AM333" i="19" s="1"/>
  <c r="AK334" i="19"/>
  <c r="AK335" i="19"/>
  <c r="AL335" i="19" s="1"/>
  <c r="AM335" i="19" s="1"/>
  <c r="AK336" i="19"/>
  <c r="AL336" i="19" s="1"/>
  <c r="AM336" i="19" s="1"/>
  <c r="AK337" i="19"/>
  <c r="AK338" i="19"/>
  <c r="AL338" i="19" s="1"/>
  <c r="AM338" i="19" s="1"/>
  <c r="AK339" i="19"/>
  <c r="AK340" i="19"/>
  <c r="AL340" i="19" s="1"/>
  <c r="AM340" i="19" s="1"/>
  <c r="AK341" i="19"/>
  <c r="AL341" i="19" s="1"/>
  <c r="AM341" i="19" s="1"/>
  <c r="AK342" i="19"/>
  <c r="AL342" i="19" s="1"/>
  <c r="AM342" i="19" s="1"/>
  <c r="AK343" i="19"/>
  <c r="AL343" i="19" s="1"/>
  <c r="AM343" i="19" s="1"/>
  <c r="AK344" i="19"/>
  <c r="AL344" i="19" s="1"/>
  <c r="AM344" i="19" s="1"/>
  <c r="AK345" i="19"/>
  <c r="AK346" i="19"/>
  <c r="AL346" i="19" s="1"/>
  <c r="AM346" i="19" s="1"/>
  <c r="AK347" i="19"/>
  <c r="AL347" i="19" s="1"/>
  <c r="AM347" i="19" s="1"/>
  <c r="AK348" i="19"/>
  <c r="AK349" i="19"/>
  <c r="AL349" i="19" s="1"/>
  <c r="AM349" i="19" s="1"/>
  <c r="AK350" i="19"/>
  <c r="AL350" i="19" s="1"/>
  <c r="AM350" i="19" s="1"/>
  <c r="AK351" i="19"/>
  <c r="AK352" i="19"/>
  <c r="AL352" i="19" s="1"/>
  <c r="AM352" i="19" s="1"/>
  <c r="AK353" i="19"/>
  <c r="AL353" i="19" s="1"/>
  <c r="AM353" i="19" s="1"/>
  <c r="AK354" i="19"/>
  <c r="AK355" i="19"/>
  <c r="AK356" i="19"/>
  <c r="AL356" i="19" s="1"/>
  <c r="AM356" i="19" s="1"/>
  <c r="AK357" i="19"/>
  <c r="AK358" i="19"/>
  <c r="AK359" i="19"/>
  <c r="AK360" i="19"/>
  <c r="AK361" i="19"/>
  <c r="AK362" i="19"/>
  <c r="AK363" i="19"/>
  <c r="AL363" i="19" s="1"/>
  <c r="AM363" i="19" s="1"/>
  <c r="AK364" i="19"/>
  <c r="AL364" i="19" s="1"/>
  <c r="AM364" i="19" s="1"/>
  <c r="AK365" i="19"/>
  <c r="AK366" i="19"/>
  <c r="AK367" i="19"/>
  <c r="AL367" i="19" s="1"/>
  <c r="AM367" i="19" s="1"/>
  <c r="AK368" i="19"/>
  <c r="AL368" i="19" s="1"/>
  <c r="AM368" i="19" s="1"/>
  <c r="AK369" i="19"/>
  <c r="AL369" i="19" s="1"/>
  <c r="AM369" i="19" s="1"/>
  <c r="AK370" i="19"/>
  <c r="AL370" i="19" s="1"/>
  <c r="AM370" i="19" s="1"/>
  <c r="AK371" i="19"/>
  <c r="AL371" i="19" s="1"/>
  <c r="AM371" i="19" s="1"/>
  <c r="AK372" i="19"/>
  <c r="AK373" i="19"/>
  <c r="AL373" i="19" s="1"/>
  <c r="AM373" i="19" s="1"/>
  <c r="AK374" i="19"/>
  <c r="AL374" i="19" s="1"/>
  <c r="AM374" i="19" s="1"/>
  <c r="AK375" i="19"/>
  <c r="AL375" i="19" s="1"/>
  <c r="AM375" i="19" s="1"/>
  <c r="AK376" i="19"/>
  <c r="AL376" i="19" s="1"/>
  <c r="AM376" i="19" s="1"/>
  <c r="AK377" i="19"/>
  <c r="AL377" i="19" s="1"/>
  <c r="AM377" i="19" s="1"/>
  <c r="AK378" i="19"/>
  <c r="AK379" i="19"/>
  <c r="AL379" i="19" s="1"/>
  <c r="AM379" i="19" s="1"/>
  <c r="AK380" i="19"/>
  <c r="AL380" i="19" s="1"/>
  <c r="AM380" i="19" s="1"/>
  <c r="AK381" i="19"/>
  <c r="AL381" i="19" s="1"/>
  <c r="AM381" i="19" s="1"/>
  <c r="AK382" i="19"/>
  <c r="AK383" i="19"/>
  <c r="AK384" i="19"/>
  <c r="AL384" i="19" s="1"/>
  <c r="AM384" i="19" s="1"/>
  <c r="AK385" i="19"/>
  <c r="AL385" i="19" s="1"/>
  <c r="AM385" i="19" s="1"/>
  <c r="AK386" i="19"/>
  <c r="AL386" i="19" s="1"/>
  <c r="AM386" i="19" s="1"/>
  <c r="AK387" i="19"/>
  <c r="AL387" i="19" s="1"/>
  <c r="AM387" i="19" s="1"/>
  <c r="AK388" i="19"/>
  <c r="AL388" i="19" s="1"/>
  <c r="AM388" i="19" s="1"/>
  <c r="AK389" i="19"/>
  <c r="AL389" i="19" s="1"/>
  <c r="AM389" i="19" s="1"/>
  <c r="AK390" i="19"/>
  <c r="AL390" i="19" s="1"/>
  <c r="AM390" i="19" s="1"/>
  <c r="AK391" i="19"/>
  <c r="AL391" i="19" s="1"/>
  <c r="AM391" i="19" s="1"/>
  <c r="AK392" i="19"/>
  <c r="AL392" i="19" s="1"/>
  <c r="AM392" i="19" s="1"/>
  <c r="AK393" i="19"/>
  <c r="AK394" i="19"/>
  <c r="AK395" i="19"/>
  <c r="AK396" i="19"/>
  <c r="AK397" i="19"/>
  <c r="AK398" i="19"/>
  <c r="AK399" i="19"/>
  <c r="AK400" i="19"/>
  <c r="AL400" i="19" s="1"/>
  <c r="AM400" i="19" s="1"/>
  <c r="AK401" i="19"/>
  <c r="AL401" i="19" s="1"/>
  <c r="AM401" i="19" s="1"/>
  <c r="AK402" i="19"/>
  <c r="AL402" i="19" s="1"/>
  <c r="AM402" i="19" s="1"/>
  <c r="AK403" i="19"/>
  <c r="AK404" i="19"/>
  <c r="AL404" i="19" s="1"/>
  <c r="AM404" i="19" s="1"/>
  <c r="AK405" i="19"/>
  <c r="AK406" i="19"/>
  <c r="AL406" i="19" s="1"/>
  <c r="AM406" i="19" s="1"/>
  <c r="AK407" i="19"/>
  <c r="AL407" i="19" s="1"/>
  <c r="AM407" i="19" s="1"/>
  <c r="AK408" i="19"/>
  <c r="AL408" i="19" s="1"/>
  <c r="AM408" i="19" s="1"/>
  <c r="AK409" i="19"/>
  <c r="AK410" i="19"/>
  <c r="AL410" i="19" s="1"/>
  <c r="AM410" i="19" s="1"/>
  <c r="AK411" i="19"/>
  <c r="AL411" i="19" s="1"/>
  <c r="AM411" i="19" s="1"/>
  <c r="AK412" i="19"/>
  <c r="AK413" i="19"/>
  <c r="AL413" i="19" s="1"/>
  <c r="AM413" i="19" s="1"/>
  <c r="AK414" i="19"/>
  <c r="AL414" i="19" s="1"/>
  <c r="AM414" i="19" s="1"/>
  <c r="AK415" i="19"/>
  <c r="AK416" i="19"/>
  <c r="AL416" i="19" s="1"/>
  <c r="AM416" i="19" s="1"/>
  <c r="AK417" i="19"/>
  <c r="AK418" i="19"/>
  <c r="AK419" i="19"/>
  <c r="AK420" i="19"/>
  <c r="AK421" i="19"/>
  <c r="AK422" i="19"/>
  <c r="AK423" i="19"/>
  <c r="AK424" i="19"/>
  <c r="AK425" i="19"/>
  <c r="AK426" i="19"/>
  <c r="AK427" i="19"/>
  <c r="AK428" i="19"/>
  <c r="AK429" i="19"/>
  <c r="AK430" i="19"/>
  <c r="AK431" i="19"/>
  <c r="AK432" i="19"/>
  <c r="AK433" i="19"/>
  <c r="AK434" i="19"/>
  <c r="AK435" i="19"/>
  <c r="AK436" i="19"/>
  <c r="AK437" i="19"/>
  <c r="AK438" i="19"/>
  <c r="AK439" i="19"/>
  <c r="AK440" i="19"/>
  <c r="AK441" i="19"/>
  <c r="AK442" i="19"/>
  <c r="AK443" i="19"/>
  <c r="AK444" i="19"/>
  <c r="AK445" i="19"/>
  <c r="AK446" i="19"/>
  <c r="AK447" i="19"/>
  <c r="AK448" i="19"/>
  <c r="AK449" i="19"/>
  <c r="AK450" i="19"/>
  <c r="AK451" i="19"/>
  <c r="AK452" i="19"/>
  <c r="AK453" i="19"/>
  <c r="AK454" i="19"/>
  <c r="AK455" i="19"/>
  <c r="AK456" i="19"/>
  <c r="AK457" i="19"/>
  <c r="AK458" i="19"/>
  <c r="AK459" i="19"/>
  <c r="AK460" i="19"/>
  <c r="AK461" i="19"/>
  <c r="AK462" i="19"/>
  <c r="AK463" i="19"/>
  <c r="AK464" i="19"/>
  <c r="AK465" i="19"/>
  <c r="AL465" i="19" s="1"/>
  <c r="AM465" i="19" s="1"/>
  <c r="AK466" i="19"/>
  <c r="AL466" i="19" s="1"/>
  <c r="AM466" i="19" s="1"/>
  <c r="AK467" i="19"/>
  <c r="AK468" i="19"/>
  <c r="AL468" i="19" s="1"/>
  <c r="AM468" i="19" s="1"/>
  <c r="AK469" i="19"/>
  <c r="AK470" i="19"/>
  <c r="AL470" i="19" s="1"/>
  <c r="AM470" i="19" s="1"/>
  <c r="AK471" i="19"/>
  <c r="AK472" i="19"/>
  <c r="AK473" i="19"/>
  <c r="AK474" i="19"/>
  <c r="AK475" i="19"/>
  <c r="AK476" i="19"/>
  <c r="AK477" i="19"/>
  <c r="AK478" i="19"/>
  <c r="AK479" i="19"/>
  <c r="AK480" i="19"/>
  <c r="AK481" i="19"/>
  <c r="AK482" i="19"/>
  <c r="AK483" i="19"/>
  <c r="AL483" i="19" s="1"/>
  <c r="AM483" i="19" s="1"/>
  <c r="AK484" i="19"/>
  <c r="AL484" i="19" s="1"/>
  <c r="AM484" i="19" s="1"/>
  <c r="AK485" i="19"/>
  <c r="AK486" i="19"/>
  <c r="AL486" i="19" s="1"/>
  <c r="AM486" i="19" s="1"/>
  <c r="AK487" i="19"/>
  <c r="AK488" i="19"/>
  <c r="AK489" i="19"/>
  <c r="AK490" i="19"/>
  <c r="AL490" i="19" s="1"/>
  <c r="AM490" i="19" s="1"/>
  <c r="AK491" i="19"/>
  <c r="AL491" i="19" s="1"/>
  <c r="AM491" i="19" s="1"/>
  <c r="AK492" i="19"/>
  <c r="AL492" i="19" s="1"/>
  <c r="AM492" i="19" s="1"/>
  <c r="AK493" i="19"/>
  <c r="AK494" i="19"/>
  <c r="AL494" i="19" s="1"/>
  <c r="AM494" i="19" s="1"/>
  <c r="AK495" i="19"/>
  <c r="AL495" i="19" s="1"/>
  <c r="AM495" i="19" s="1"/>
  <c r="AK496" i="19"/>
  <c r="AL496" i="19" s="1"/>
  <c r="AM496" i="19" s="1"/>
  <c r="AK497" i="19"/>
  <c r="AL497" i="19" s="1"/>
  <c r="AM497" i="19" s="1"/>
  <c r="AK498" i="19"/>
  <c r="AL498" i="19" s="1"/>
  <c r="AM498" i="19" s="1"/>
  <c r="AK499" i="19"/>
  <c r="AL499" i="19" s="1"/>
  <c r="AM499" i="19" s="1"/>
  <c r="AK500" i="19"/>
  <c r="AK501" i="19"/>
  <c r="AK502" i="19"/>
  <c r="AK503" i="19"/>
  <c r="AL503" i="19" s="1"/>
  <c r="AM503" i="19" s="1"/>
  <c r="AK504" i="19"/>
  <c r="AK505" i="19"/>
  <c r="AK506" i="19"/>
  <c r="AK507" i="19"/>
  <c r="AL507" i="19" s="1"/>
  <c r="AM507" i="19" s="1"/>
  <c r="AK508" i="19"/>
  <c r="AL508" i="19" s="1"/>
  <c r="AM508" i="19" s="1"/>
  <c r="AK509" i="19"/>
  <c r="AL509" i="19" s="1"/>
  <c r="AM509" i="19" s="1"/>
  <c r="AK510" i="19"/>
  <c r="AL510" i="19" s="1"/>
  <c r="AM510" i="19" s="1"/>
  <c r="AK511" i="19"/>
  <c r="AL511" i="19" s="1"/>
  <c r="AM511" i="19" s="1"/>
  <c r="AK512" i="19"/>
  <c r="AL512" i="19" s="1"/>
  <c r="AM512" i="19" s="1"/>
  <c r="AK513" i="19"/>
  <c r="AK514" i="19"/>
  <c r="AK515" i="19"/>
  <c r="AK516" i="19"/>
  <c r="AK517" i="19"/>
  <c r="AK518" i="19"/>
  <c r="AK519" i="19"/>
  <c r="AK520" i="19"/>
  <c r="AK521" i="19"/>
  <c r="AK522" i="19"/>
  <c r="AK523" i="19"/>
  <c r="AK524" i="19"/>
  <c r="AK525" i="19"/>
  <c r="AK526" i="19"/>
  <c r="AL526" i="19" s="1"/>
  <c r="AM526" i="19" s="1"/>
  <c r="AK527" i="19"/>
  <c r="AK528" i="19"/>
  <c r="AL528" i="19" s="1"/>
  <c r="AM528" i="19" s="1"/>
  <c r="AK529" i="19"/>
  <c r="AK530" i="19"/>
  <c r="AL530" i="19" s="1"/>
  <c r="AM530" i="19" s="1"/>
  <c r="AK531" i="19"/>
  <c r="AK532" i="19"/>
  <c r="AK533" i="19"/>
  <c r="AK534" i="19"/>
  <c r="AK535" i="19"/>
  <c r="AK536" i="19"/>
  <c r="AK537" i="19"/>
  <c r="AK538" i="19"/>
  <c r="AK539" i="19"/>
  <c r="AK540" i="19"/>
  <c r="AK541" i="19"/>
  <c r="AK542" i="19"/>
  <c r="AK543" i="19"/>
  <c r="AK544" i="19"/>
  <c r="AL544" i="19" s="1"/>
  <c r="AM544" i="19" s="1"/>
  <c r="AK545" i="19"/>
  <c r="AL545" i="19" s="1"/>
  <c r="AM545" i="19" s="1"/>
  <c r="AK546" i="19"/>
  <c r="AL546" i="19" s="1"/>
  <c r="AM546" i="19" s="1"/>
  <c r="AK547" i="19"/>
  <c r="AK548" i="19"/>
  <c r="AL548" i="19" s="1"/>
  <c r="AM548" i="19" s="1"/>
  <c r="AK549" i="19"/>
  <c r="AK550" i="19"/>
  <c r="AK551" i="19"/>
  <c r="AL551" i="19" s="1"/>
  <c r="AM551" i="19" s="1"/>
  <c r="AK552" i="19"/>
  <c r="AK553" i="19"/>
  <c r="AL553" i="19" s="1"/>
  <c r="AM553" i="19" s="1"/>
  <c r="AK554" i="19"/>
  <c r="AL554" i="19" s="1"/>
  <c r="AM554" i="19" s="1"/>
  <c r="AK555" i="19"/>
  <c r="AK556" i="19"/>
  <c r="AL556" i="19" s="1"/>
  <c r="AM556" i="19" s="1"/>
  <c r="AK557" i="19"/>
  <c r="AL557" i="19" s="1"/>
  <c r="AM557" i="19" s="1"/>
  <c r="AK558" i="19"/>
  <c r="AK559" i="19"/>
  <c r="AK560" i="19"/>
  <c r="AK561" i="19"/>
  <c r="AL561" i="19" s="1"/>
  <c r="AM561" i="19" s="1"/>
  <c r="AK562" i="19"/>
  <c r="AL562" i="19" s="1"/>
  <c r="AM562" i="19" s="1"/>
  <c r="AK563" i="19"/>
  <c r="AL563" i="19" s="1"/>
  <c r="AM563" i="19" s="1"/>
  <c r="AK564" i="19"/>
  <c r="AK565" i="19"/>
  <c r="AL565" i="19" s="1"/>
  <c r="AM565" i="19" s="1"/>
  <c r="AK566" i="19"/>
  <c r="AK567" i="19"/>
  <c r="AK568" i="19"/>
  <c r="AK569" i="19"/>
  <c r="AK570" i="19"/>
  <c r="AK571" i="19"/>
  <c r="AK572" i="19"/>
  <c r="AK573" i="19"/>
  <c r="AK574" i="19"/>
  <c r="AK575" i="19"/>
  <c r="AK576" i="19"/>
  <c r="AK577" i="19"/>
  <c r="AK578" i="19"/>
  <c r="AK579" i="19"/>
  <c r="AK580" i="19"/>
  <c r="AK581" i="19"/>
  <c r="AK582" i="19"/>
  <c r="AK583" i="19"/>
  <c r="AK584" i="19"/>
  <c r="AK585" i="19"/>
  <c r="AK586" i="19"/>
  <c r="AK587" i="19"/>
  <c r="AK588" i="19"/>
  <c r="AK589" i="19"/>
  <c r="AK590" i="19"/>
  <c r="AK591" i="19"/>
  <c r="AK592" i="19"/>
  <c r="AK593" i="19"/>
  <c r="AK594" i="19"/>
  <c r="AK595" i="19"/>
  <c r="AK596" i="19"/>
  <c r="AK597" i="19"/>
  <c r="AK598" i="19"/>
  <c r="AK599" i="19"/>
  <c r="AK600" i="19"/>
  <c r="AK601" i="19"/>
  <c r="AK602" i="19"/>
  <c r="AK603" i="19"/>
  <c r="AK604" i="19"/>
  <c r="AK605" i="19"/>
  <c r="AK606" i="19"/>
  <c r="AK607" i="19"/>
  <c r="AK608" i="19"/>
  <c r="AK609" i="19"/>
  <c r="AK610" i="19"/>
  <c r="AL610" i="19" s="1"/>
  <c r="AM610" i="19" s="1"/>
  <c r="AK611" i="19"/>
  <c r="AL611" i="19" s="1"/>
  <c r="AM611" i="19" s="1"/>
  <c r="AK612" i="19"/>
  <c r="AL612" i="19" s="1"/>
  <c r="AM612" i="19" s="1"/>
  <c r="AK613" i="19"/>
  <c r="AL613" i="19" s="1"/>
  <c r="AM613" i="19" s="1"/>
  <c r="AK614" i="19"/>
  <c r="AL614" i="19" s="1"/>
  <c r="AM614" i="19" s="1"/>
  <c r="AK615" i="19"/>
  <c r="AL615" i="19" s="1"/>
  <c r="AM615" i="19" s="1"/>
  <c r="AK616" i="19"/>
  <c r="AL616" i="19" s="1"/>
  <c r="AM616" i="19" s="1"/>
  <c r="AK617" i="19"/>
  <c r="AK618" i="19"/>
  <c r="AK619" i="19"/>
  <c r="AL619" i="19" s="1"/>
  <c r="AM619" i="19" s="1"/>
  <c r="AK620" i="19"/>
  <c r="AL620" i="19" s="1"/>
  <c r="AM620" i="19" s="1"/>
  <c r="AK621" i="19"/>
  <c r="AL621" i="19" s="1"/>
  <c r="AM621" i="19" s="1"/>
  <c r="AK622" i="19"/>
  <c r="AK623" i="19"/>
  <c r="AK624" i="19"/>
  <c r="AL624" i="19" s="1"/>
  <c r="AM624" i="19" s="1"/>
  <c r="AK625" i="19"/>
  <c r="AK626" i="19"/>
  <c r="AK627" i="19"/>
  <c r="AL627" i="19" s="1"/>
  <c r="AM627" i="19" s="1"/>
  <c r="AK628" i="19"/>
  <c r="AL628" i="19" s="1"/>
  <c r="AM628" i="19" s="1"/>
  <c r="AK629" i="19"/>
  <c r="AL629" i="19" s="1"/>
  <c r="AM629" i="19" s="1"/>
  <c r="AK630" i="19"/>
  <c r="AK631" i="19"/>
  <c r="AL631" i="19" s="1"/>
  <c r="AM631" i="19" s="1"/>
  <c r="AK632" i="19"/>
  <c r="AL632" i="19" s="1"/>
  <c r="AM632" i="19" s="1"/>
  <c r="AK633" i="19"/>
  <c r="AL633" i="19" s="1"/>
  <c r="AK634" i="19"/>
  <c r="AL634" i="19" s="1"/>
  <c r="AK635" i="19"/>
  <c r="AK636" i="19"/>
  <c r="AK637" i="19"/>
  <c r="AL637" i="19" s="1"/>
  <c r="AM637" i="19" s="1"/>
  <c r="AK638" i="19"/>
  <c r="AL638" i="19" s="1"/>
  <c r="AK639" i="19"/>
  <c r="AK640" i="19"/>
  <c r="AL640" i="19" s="1"/>
  <c r="AM640" i="19" s="1"/>
  <c r="AK641" i="19"/>
  <c r="AL641" i="19" s="1"/>
  <c r="AK642" i="19"/>
  <c r="AL642" i="19" s="1"/>
  <c r="AK643" i="19"/>
  <c r="AL643" i="19" s="1"/>
  <c r="AK644" i="19"/>
  <c r="AL644" i="19" s="1"/>
  <c r="AK645" i="19"/>
  <c r="AK646" i="19"/>
  <c r="AK647" i="19"/>
  <c r="AK648" i="19"/>
  <c r="AK649" i="19"/>
  <c r="AK650" i="19"/>
  <c r="AK651" i="19"/>
  <c r="AK652" i="19"/>
  <c r="AK653" i="19"/>
  <c r="AK654" i="19"/>
  <c r="AK655" i="19"/>
  <c r="AK656" i="19"/>
  <c r="AK657" i="19"/>
  <c r="AL657" i="19" s="1"/>
  <c r="AK658" i="19"/>
  <c r="AK659" i="19"/>
  <c r="AL659" i="19" s="1"/>
  <c r="AK660" i="19"/>
  <c r="AK661" i="19"/>
  <c r="AL661" i="19" s="1"/>
  <c r="AM661" i="19" s="1"/>
  <c r="AK662" i="19"/>
  <c r="AK663" i="19"/>
  <c r="AK664" i="19"/>
  <c r="AK665" i="19"/>
  <c r="AK666" i="19"/>
  <c r="AL666" i="19" s="1"/>
  <c r="AM666" i="19" s="1"/>
  <c r="AK667" i="19"/>
  <c r="AK668" i="19"/>
  <c r="AL668" i="19" s="1"/>
  <c r="AK669" i="19"/>
  <c r="AK670" i="19"/>
  <c r="AK671" i="19"/>
  <c r="AK672" i="19"/>
  <c r="AK673" i="19"/>
  <c r="AK674" i="19"/>
  <c r="AK675" i="19"/>
  <c r="AK676" i="19"/>
  <c r="AK677" i="19"/>
  <c r="AK678" i="19"/>
  <c r="AK679" i="19"/>
  <c r="AK680" i="19"/>
  <c r="AK681" i="19"/>
  <c r="AK682" i="19"/>
  <c r="AK683" i="19"/>
  <c r="AK684" i="19"/>
  <c r="AK685" i="19"/>
  <c r="AK686" i="19"/>
  <c r="AK687" i="19"/>
  <c r="AL687" i="19" s="1"/>
  <c r="AM687" i="19" s="1"/>
  <c r="AK688" i="19"/>
  <c r="AK689" i="19"/>
  <c r="AK690" i="19"/>
  <c r="AK691" i="19"/>
  <c r="AL691" i="19" s="1"/>
  <c r="AK692" i="19"/>
  <c r="AL692" i="19" s="1"/>
  <c r="AK693" i="19"/>
  <c r="AK694" i="19"/>
  <c r="AK695" i="19"/>
  <c r="AK696" i="19"/>
  <c r="AK697" i="19"/>
  <c r="AK698" i="19"/>
  <c r="AK699" i="19"/>
  <c r="AL699" i="19" s="1"/>
  <c r="AM699" i="19" s="1"/>
  <c r="AK700" i="19"/>
  <c r="AK701" i="19"/>
  <c r="AL701" i="19" s="1"/>
  <c r="AK702" i="19"/>
  <c r="AL702" i="19" s="1"/>
  <c r="AK703" i="19"/>
  <c r="AK704" i="19"/>
  <c r="AL704" i="19" s="1"/>
  <c r="AM704" i="19" s="1"/>
  <c r="AK705" i="19"/>
  <c r="AL705" i="19" s="1"/>
  <c r="AM705" i="19" s="1"/>
  <c r="AK706" i="19"/>
  <c r="AL706" i="19" s="1"/>
  <c r="AM706" i="19" s="1"/>
  <c r="AK707" i="19"/>
  <c r="AL707" i="19" s="1"/>
  <c r="AM707" i="19" s="1"/>
  <c r="AK708" i="19"/>
  <c r="AL708" i="19" s="1"/>
  <c r="AM708" i="19" s="1"/>
  <c r="AK709" i="19"/>
  <c r="AL709" i="19" s="1"/>
  <c r="AM709" i="19" s="1"/>
  <c r="AK710" i="19"/>
  <c r="AK711" i="19"/>
  <c r="AK712" i="19"/>
  <c r="AK713" i="19"/>
  <c r="AK714" i="19"/>
  <c r="AK715" i="19"/>
  <c r="AK716" i="19"/>
  <c r="AK717" i="19"/>
  <c r="AL717" i="19" s="1"/>
  <c r="AM717" i="19" s="1"/>
  <c r="AK718" i="19"/>
  <c r="AL718" i="19" s="1"/>
  <c r="AM718" i="19" s="1"/>
  <c r="AK719" i="19"/>
  <c r="AK720" i="19"/>
  <c r="AL720" i="19" s="1"/>
  <c r="AM720" i="19" s="1"/>
  <c r="AK721" i="19"/>
  <c r="AL721" i="19" s="1"/>
  <c r="AM721" i="19" s="1"/>
  <c r="AK722" i="19"/>
  <c r="AL722" i="19" s="1"/>
  <c r="AM722" i="19" s="1"/>
  <c r="AK723" i="19"/>
  <c r="AK724" i="19"/>
  <c r="AL724" i="19" s="1"/>
  <c r="AM724" i="19" s="1"/>
  <c r="AK725" i="19"/>
  <c r="AK726" i="19"/>
  <c r="AK727" i="19"/>
  <c r="AK728" i="19"/>
  <c r="AK729" i="19"/>
  <c r="AK730" i="19"/>
  <c r="AK731" i="19"/>
  <c r="AK732" i="19"/>
  <c r="AK733" i="19"/>
  <c r="AK734" i="19"/>
  <c r="AK735" i="19"/>
  <c r="AK736" i="19"/>
  <c r="AK737" i="19"/>
  <c r="AK738" i="19"/>
  <c r="AK739" i="19"/>
  <c r="AK740" i="19"/>
  <c r="AK741" i="19"/>
  <c r="AK742" i="19"/>
  <c r="AK743" i="19"/>
  <c r="AK744" i="19"/>
  <c r="AK745" i="19"/>
  <c r="AK746" i="19"/>
  <c r="AK747" i="19"/>
  <c r="AK748" i="19"/>
  <c r="AK749" i="19"/>
  <c r="AK750" i="19"/>
  <c r="AK751" i="19"/>
  <c r="AK752" i="19"/>
  <c r="AK753" i="19"/>
  <c r="AK754" i="19"/>
  <c r="AK755" i="19"/>
  <c r="AK756" i="19"/>
  <c r="AK757" i="19"/>
  <c r="AK758" i="19"/>
  <c r="AK759" i="19"/>
  <c r="AK760" i="19"/>
  <c r="AK761" i="19"/>
  <c r="AK762" i="19"/>
  <c r="AK763" i="19"/>
  <c r="AK764" i="19"/>
  <c r="AK765" i="19"/>
  <c r="AK766" i="19"/>
  <c r="AK767" i="19"/>
  <c r="AK768" i="19"/>
  <c r="AK769" i="19"/>
  <c r="AK770" i="19"/>
  <c r="AK771" i="19"/>
  <c r="AK772" i="19"/>
  <c r="AK773" i="19"/>
  <c r="AK774" i="19"/>
  <c r="AK775" i="19"/>
  <c r="AK776" i="19"/>
  <c r="AK777" i="19"/>
  <c r="AK778" i="19"/>
  <c r="AK779" i="19"/>
  <c r="AK780" i="19"/>
  <c r="AK781" i="19"/>
  <c r="AK782" i="19"/>
  <c r="AK783" i="19"/>
  <c r="AK784" i="19"/>
  <c r="AK785" i="19"/>
  <c r="AK786" i="19"/>
  <c r="AK787" i="19"/>
  <c r="AK788" i="19"/>
  <c r="AK789" i="19"/>
  <c r="AK790" i="19"/>
  <c r="AK791" i="19"/>
  <c r="AK792" i="19"/>
  <c r="AK793" i="19"/>
  <c r="AK794" i="19"/>
  <c r="B783" i="19"/>
  <c r="B784" i="19"/>
  <c r="B785" i="19"/>
  <c r="B786" i="19"/>
  <c r="B787" i="19"/>
  <c r="B788" i="19"/>
  <c r="B789" i="19"/>
  <c r="B790" i="19"/>
  <c r="B791" i="19"/>
  <c r="B792" i="19"/>
  <c r="B793" i="19"/>
  <c r="B794" i="19"/>
  <c r="E39" i="3"/>
  <c r="N39" i="3" s="1"/>
  <c r="E80" i="3"/>
  <c r="N80" i="3" s="1"/>
  <c r="E38" i="3"/>
  <c r="N38" i="3" s="1"/>
  <c r="E29" i="3"/>
  <c r="N29" i="3" s="1"/>
  <c r="E25" i="3"/>
  <c r="N25" i="3" s="1"/>
  <c r="E9" i="3"/>
  <c r="N9" i="3" s="1"/>
  <c r="B777" i="19"/>
  <c r="B778" i="19"/>
  <c r="B779" i="19"/>
  <c r="B780" i="19"/>
  <c r="B781" i="19"/>
  <c r="B782" i="19"/>
  <c r="B699" i="19"/>
  <c r="B700" i="19"/>
  <c r="B701" i="19"/>
  <c r="B702" i="19"/>
  <c r="B703" i="19"/>
  <c r="B704" i="19"/>
  <c r="B705" i="19"/>
  <c r="B706" i="19"/>
  <c r="B707" i="19"/>
  <c r="B708" i="19"/>
  <c r="B709" i="19"/>
  <c r="B710" i="19"/>
  <c r="B711" i="19"/>
  <c r="B712" i="19"/>
  <c r="B713" i="19"/>
  <c r="B714" i="19"/>
  <c r="B715" i="19"/>
  <c r="B716" i="19"/>
  <c r="B717" i="19"/>
  <c r="B718" i="19"/>
  <c r="B719" i="19"/>
  <c r="B720" i="19"/>
  <c r="B721" i="19"/>
  <c r="B722" i="19"/>
  <c r="B723" i="19"/>
  <c r="B724" i="19"/>
  <c r="B725" i="19"/>
  <c r="B726" i="19"/>
  <c r="B727" i="19"/>
  <c r="B728" i="19"/>
  <c r="B729" i="19"/>
  <c r="B730" i="19"/>
  <c r="B731" i="19"/>
  <c r="B732" i="19"/>
  <c r="B733" i="19"/>
  <c r="B734" i="19"/>
  <c r="B735" i="19"/>
  <c r="B736" i="19"/>
  <c r="B737" i="19"/>
  <c r="B738" i="19"/>
  <c r="B739" i="19"/>
  <c r="B740" i="19"/>
  <c r="B741" i="19"/>
  <c r="B742" i="19"/>
  <c r="B743" i="19"/>
  <c r="B744" i="19"/>
  <c r="B745" i="19"/>
  <c r="B746" i="19"/>
  <c r="B747" i="19"/>
  <c r="B748" i="19"/>
  <c r="B749" i="19"/>
  <c r="B750" i="19"/>
  <c r="B751" i="19"/>
  <c r="B752" i="19"/>
  <c r="B753" i="19"/>
  <c r="B754" i="19"/>
  <c r="B755" i="19"/>
  <c r="B756" i="19"/>
  <c r="B757" i="19"/>
  <c r="B758" i="19"/>
  <c r="B759" i="19"/>
  <c r="B760" i="19"/>
  <c r="B761" i="19"/>
  <c r="B762" i="19"/>
  <c r="B763" i="19"/>
  <c r="B764" i="19"/>
  <c r="B765" i="19"/>
  <c r="B766" i="19"/>
  <c r="B767" i="19"/>
  <c r="B768" i="19"/>
  <c r="B769" i="19"/>
  <c r="B770" i="19"/>
  <c r="B771" i="19"/>
  <c r="B772" i="19"/>
  <c r="B773" i="19"/>
  <c r="B774" i="19"/>
  <c r="B775" i="19"/>
  <c r="B776" i="19"/>
  <c r="E56" i="3"/>
  <c r="N56" i="3" s="1"/>
  <c r="E54" i="3"/>
  <c r="N54" i="3" s="1"/>
  <c r="E42" i="3"/>
  <c r="N42" i="3" s="1"/>
  <c r="E40" i="3"/>
  <c r="N40" i="3" s="1"/>
  <c r="B603" i="19"/>
  <c r="B604" i="19"/>
  <c r="B605" i="19"/>
  <c r="B606" i="19"/>
  <c r="B607" i="19"/>
  <c r="B608" i="19"/>
  <c r="B609" i="19"/>
  <c r="B610" i="19"/>
  <c r="B611" i="19"/>
  <c r="B612" i="19"/>
  <c r="B613" i="19"/>
  <c r="B614" i="19"/>
  <c r="B615" i="19"/>
  <c r="B616" i="19"/>
  <c r="B617" i="19"/>
  <c r="B618" i="19"/>
  <c r="B619" i="19"/>
  <c r="B620" i="19"/>
  <c r="B621" i="19"/>
  <c r="B622" i="19"/>
  <c r="B623" i="19"/>
  <c r="B624" i="19"/>
  <c r="B625" i="19"/>
  <c r="B626" i="19"/>
  <c r="B627" i="19"/>
  <c r="B628" i="19"/>
  <c r="B629" i="19"/>
  <c r="B630" i="19"/>
  <c r="B631" i="19"/>
  <c r="B632" i="19"/>
  <c r="B633" i="19"/>
  <c r="B634" i="19"/>
  <c r="B635" i="19"/>
  <c r="B636" i="19"/>
  <c r="B637" i="19"/>
  <c r="B638" i="19"/>
  <c r="B639" i="19"/>
  <c r="B640" i="19"/>
  <c r="B641" i="19"/>
  <c r="B642" i="19"/>
  <c r="B643" i="19"/>
  <c r="B644" i="19"/>
  <c r="B645" i="19"/>
  <c r="B646" i="19"/>
  <c r="B647" i="19"/>
  <c r="B648" i="19"/>
  <c r="B649" i="19"/>
  <c r="B650" i="19"/>
  <c r="B651" i="19"/>
  <c r="B652" i="19"/>
  <c r="B653" i="19"/>
  <c r="B654" i="19"/>
  <c r="B655" i="19"/>
  <c r="B656" i="19"/>
  <c r="B657" i="19"/>
  <c r="B658" i="19"/>
  <c r="B659" i="19"/>
  <c r="B660" i="19"/>
  <c r="B661" i="19"/>
  <c r="B662" i="19"/>
  <c r="B663" i="19"/>
  <c r="B664" i="19"/>
  <c r="B665" i="19"/>
  <c r="B666" i="19"/>
  <c r="B667" i="19"/>
  <c r="B668" i="19"/>
  <c r="B669" i="19"/>
  <c r="B670" i="19"/>
  <c r="B671" i="19"/>
  <c r="B672" i="19"/>
  <c r="B673" i="19"/>
  <c r="B674" i="19"/>
  <c r="B675" i="19"/>
  <c r="B676" i="19"/>
  <c r="B677" i="19"/>
  <c r="B678" i="19"/>
  <c r="B679" i="19"/>
  <c r="B680" i="19"/>
  <c r="B681" i="19"/>
  <c r="B682" i="19"/>
  <c r="B683" i="19"/>
  <c r="B684" i="19"/>
  <c r="B685" i="19"/>
  <c r="B686" i="19"/>
  <c r="B687" i="19"/>
  <c r="B688" i="19"/>
  <c r="B689" i="19"/>
  <c r="B690" i="19"/>
  <c r="B691" i="19"/>
  <c r="B692" i="19"/>
  <c r="B693" i="19"/>
  <c r="B694" i="19"/>
  <c r="B695" i="19"/>
  <c r="B696" i="19"/>
  <c r="B697" i="19"/>
  <c r="B698" i="19"/>
  <c r="N28" i="3"/>
  <c r="E37" i="3"/>
  <c r="N37" i="3" s="1"/>
  <c r="E79" i="3"/>
  <c r="N79" i="3" s="1"/>
  <c r="E41" i="3"/>
  <c r="N41" i="3" s="1"/>
  <c r="E55" i="3"/>
  <c r="N55" i="3" s="1"/>
  <c r="E10" i="3"/>
  <c r="N10" i="3" s="1"/>
  <c r="E24" i="3"/>
  <c r="N24" i="3" s="1"/>
  <c r="AL547" i="19" l="1"/>
  <c r="AM547" i="19" s="1"/>
  <c r="AE107" i="56" a="1"/>
  <c r="AE107" i="56" s="1"/>
  <c r="AZ35" i="19"/>
  <c r="AL68" i="19"/>
  <c r="AM68" i="19" s="1"/>
  <c r="AL67" i="19"/>
  <c r="AM67" i="19" s="1"/>
  <c r="R137" i="75"/>
  <c r="S137" i="75"/>
  <c r="AL161" i="19"/>
  <c r="AM161" i="19" s="1"/>
  <c r="AL154" i="19"/>
  <c r="AM154" i="19" s="1"/>
  <c r="AL153" i="19"/>
  <c r="AM153" i="19" s="1"/>
  <c r="AL320" i="19"/>
  <c r="AM320" i="19" s="1"/>
  <c r="AL378" i="19"/>
  <c r="AM378" i="19" s="1"/>
  <c r="AL60" i="19"/>
  <c r="AM60" i="19" s="1"/>
  <c r="AL59" i="19"/>
  <c r="AM59" i="19" s="1"/>
  <c r="J2" i="76" a="1"/>
  <c r="J2" i="76" s="1"/>
  <c r="AU741" i="19"/>
  <c r="AU669" i="19"/>
  <c r="AU597" i="19"/>
  <c r="AU453" i="19"/>
  <c r="AU357" i="19"/>
  <c r="AU93" i="19"/>
  <c r="AU763" i="19"/>
  <c r="AU679" i="19"/>
  <c r="AU595" i="19"/>
  <c r="AU523" i="19"/>
  <c r="AU427" i="19"/>
  <c r="AU772" i="19"/>
  <c r="AU760" i="19"/>
  <c r="AU748" i="19"/>
  <c r="AU736" i="19"/>
  <c r="AU724" i="19"/>
  <c r="AU712" i="19"/>
  <c r="AU700" i="19"/>
  <c r="AU688" i="19"/>
  <c r="AU676" i="19"/>
  <c r="AU664" i="19"/>
  <c r="AU652" i="19"/>
  <c r="AU640" i="19"/>
  <c r="AU628" i="19"/>
  <c r="AU616" i="19"/>
  <c r="AU604" i="19"/>
  <c r="AU592" i="19"/>
  <c r="AU580" i="19"/>
  <c r="AU460" i="19"/>
  <c r="AU388" i="19"/>
  <c r="AU340" i="19"/>
  <c r="AU328" i="19"/>
  <c r="AU256" i="19"/>
  <c r="AU184" i="19"/>
  <c r="AU172" i="19"/>
  <c r="AU148" i="19"/>
  <c r="AU100" i="19"/>
  <c r="AU88" i="19"/>
  <c r="AU76" i="19"/>
  <c r="AU705" i="19"/>
  <c r="AU249" i="19"/>
  <c r="AU165" i="19"/>
  <c r="AU105" i="19"/>
  <c r="AU69" i="19"/>
  <c r="AU739" i="19"/>
  <c r="AU571" i="19"/>
  <c r="AU235" i="19"/>
  <c r="AU187" i="19"/>
  <c r="AU91" i="19"/>
  <c r="AU771" i="19"/>
  <c r="AU759" i="19"/>
  <c r="AU747" i="19"/>
  <c r="AU735" i="19"/>
  <c r="AU723" i="19"/>
  <c r="AU711" i="19"/>
  <c r="AU699" i="19"/>
  <c r="AU687" i="19"/>
  <c r="AU675" i="19"/>
  <c r="AU663" i="19"/>
  <c r="AU651" i="19"/>
  <c r="AU639" i="19"/>
  <c r="AU627" i="19"/>
  <c r="AU615" i="19"/>
  <c r="AU603" i="19"/>
  <c r="AU591" i="19"/>
  <c r="AU579" i="19"/>
  <c r="AU459" i="19"/>
  <c r="AU387" i="19"/>
  <c r="AE93" i="56" a="1"/>
  <c r="AE93" i="56" s="1"/>
  <c r="AU339" i="19"/>
  <c r="AU327" i="19"/>
  <c r="AU255" i="19"/>
  <c r="AU183" i="19"/>
  <c r="AU171" i="19"/>
  <c r="AU159" i="19"/>
  <c r="AU147" i="19"/>
  <c r="AU99" i="19"/>
  <c r="AU87" i="19"/>
  <c r="AU75" i="19"/>
  <c r="AU765" i="19"/>
  <c r="AU609" i="19"/>
  <c r="AU477" i="19"/>
  <c r="AU667" i="19"/>
  <c r="AU391" i="19"/>
  <c r="AU211" i="19"/>
  <c r="AU79" i="19"/>
  <c r="AU770" i="19"/>
  <c r="AU734" i="19"/>
  <c r="AU698" i="19"/>
  <c r="AU686" i="19"/>
  <c r="AU674" i="19"/>
  <c r="AU662" i="19"/>
  <c r="AU650" i="19"/>
  <c r="AU638" i="19"/>
  <c r="AU626" i="19"/>
  <c r="AU614" i="19"/>
  <c r="AU602" i="19"/>
  <c r="AU590" i="19"/>
  <c r="AU530" i="19"/>
  <c r="AU518" i="19"/>
  <c r="AU506" i="19"/>
  <c r="AU482" i="19"/>
  <c r="AU470" i="19"/>
  <c r="AU458" i="19"/>
  <c r="AU446" i="19"/>
  <c r="AU434" i="19"/>
  <c r="AU422" i="19"/>
  <c r="AU398" i="19"/>
  <c r="AU386" i="19"/>
  <c r="AU362" i="19"/>
  <c r="AU350" i="19"/>
  <c r="AU338" i="19"/>
  <c r="AU266" i="19"/>
  <c r="AU254" i="19"/>
  <c r="AU242" i="19"/>
  <c r="AU230" i="19"/>
  <c r="AU218" i="19"/>
  <c r="AU206" i="19"/>
  <c r="AU194" i="19"/>
  <c r="AU182" i="19"/>
  <c r="AU170" i="19"/>
  <c r="AU110" i="19"/>
  <c r="AU98" i="19"/>
  <c r="AU86" i="19"/>
  <c r="AU74" i="19"/>
  <c r="AU791" i="19"/>
  <c r="AU657" i="19"/>
  <c r="AU393" i="19"/>
  <c r="AU751" i="19"/>
  <c r="AU655" i="19"/>
  <c r="AU559" i="19"/>
  <c r="AU475" i="19"/>
  <c r="AE89" i="56" a="1"/>
  <c r="AE89" i="56" s="1"/>
  <c r="AU175" i="19"/>
  <c r="AU722" i="19"/>
  <c r="AU578" i="19"/>
  <c r="AU769" i="19"/>
  <c r="AU757" i="19"/>
  <c r="AU745" i="19"/>
  <c r="AU733" i="19"/>
  <c r="AU721" i="19"/>
  <c r="AU709" i="19"/>
  <c r="AU697" i="19"/>
  <c r="AU685" i="19"/>
  <c r="AU673" i="19"/>
  <c r="AU661" i="19"/>
  <c r="AU649" i="19"/>
  <c r="AU637" i="19"/>
  <c r="AU625" i="19"/>
  <c r="AU613" i="19"/>
  <c r="AU601" i="19"/>
  <c r="AU589" i="19"/>
  <c r="AU577" i="19"/>
  <c r="AU565" i="19"/>
  <c r="AU553" i="19"/>
  <c r="AU541" i="19"/>
  <c r="AU529" i="19"/>
  <c r="AU517" i="19"/>
  <c r="AU505" i="19"/>
  <c r="AU481" i="19"/>
  <c r="AU469" i="19"/>
  <c r="AU457" i="19"/>
  <c r="AU445" i="19"/>
  <c r="AU433" i="19"/>
  <c r="AU421" i="19"/>
  <c r="AU397" i="19"/>
  <c r="AU385" i="19"/>
  <c r="AU361" i="19"/>
  <c r="AU349" i="19"/>
  <c r="AU337" i="19"/>
  <c r="AU265" i="19"/>
  <c r="AU253" i="19"/>
  <c r="AU241" i="19"/>
  <c r="AU229" i="19"/>
  <c r="AU217" i="19"/>
  <c r="AU205" i="19"/>
  <c r="AU193" i="19"/>
  <c r="AU181" i="19"/>
  <c r="AU169" i="19"/>
  <c r="AU109" i="19"/>
  <c r="AU97" i="19"/>
  <c r="AU85" i="19"/>
  <c r="AU73" i="19"/>
  <c r="AU717" i="19"/>
  <c r="AU621" i="19"/>
  <c r="AU333" i="19"/>
  <c r="AU189" i="19"/>
  <c r="AU703" i="19"/>
  <c r="AU619" i="19"/>
  <c r="AU535" i="19"/>
  <c r="AU451" i="19"/>
  <c r="AU343" i="19"/>
  <c r="AU746" i="19"/>
  <c r="AU566" i="19"/>
  <c r="AU794" i="19"/>
  <c r="AU768" i="19"/>
  <c r="AU756" i="19"/>
  <c r="AU744" i="19"/>
  <c r="AU732" i="19"/>
  <c r="AU720" i="19"/>
  <c r="AU708" i="19"/>
  <c r="AU696" i="19"/>
  <c r="AU684" i="19"/>
  <c r="AU672" i="19"/>
  <c r="AU660" i="19"/>
  <c r="AU648" i="19"/>
  <c r="AU636" i="19"/>
  <c r="AU624" i="19"/>
  <c r="AU612" i="19"/>
  <c r="AU600" i="19"/>
  <c r="AU588" i="19"/>
  <c r="AU576" i="19"/>
  <c r="AU564" i="19"/>
  <c r="AU552" i="19"/>
  <c r="AU528" i="19"/>
  <c r="AU516" i="19"/>
  <c r="AU480" i="19"/>
  <c r="AU468" i="19"/>
  <c r="AU456" i="19"/>
  <c r="AU444" i="19"/>
  <c r="AU396" i="19"/>
  <c r="AU384" i="19"/>
  <c r="AU360" i="19"/>
  <c r="AU348" i="19"/>
  <c r="AU336" i="19"/>
  <c r="AU264" i="19"/>
  <c r="AU252" i="19"/>
  <c r="AU216" i="19"/>
  <c r="AU192" i="19"/>
  <c r="AU180" i="19"/>
  <c r="AU168" i="19"/>
  <c r="AU108" i="19"/>
  <c r="AU96" i="19"/>
  <c r="AU84" i="19"/>
  <c r="AU72" i="19"/>
  <c r="AU753" i="19"/>
  <c r="AU681" i="19"/>
  <c r="AU573" i="19"/>
  <c r="AU381" i="19"/>
  <c r="AU345" i="19"/>
  <c r="AU261" i="19"/>
  <c r="AU81" i="19"/>
  <c r="AU775" i="19"/>
  <c r="AU691" i="19"/>
  <c r="AU583" i="19"/>
  <c r="AU511" i="19"/>
  <c r="AU223" i="19"/>
  <c r="AU103" i="19"/>
  <c r="AU710" i="19"/>
  <c r="AU542" i="19"/>
  <c r="AU793" i="19"/>
  <c r="AU767" i="19"/>
  <c r="AU755" i="19"/>
  <c r="AU743" i="19"/>
  <c r="AU731" i="19"/>
  <c r="AU719" i="19"/>
  <c r="AU707" i="19"/>
  <c r="AU695" i="19"/>
  <c r="AU683" i="19"/>
  <c r="AU671" i="19"/>
  <c r="AU659" i="19"/>
  <c r="AU647" i="19"/>
  <c r="AU635" i="19"/>
  <c r="AU623" i="19"/>
  <c r="AU611" i="19"/>
  <c r="AU599" i="19"/>
  <c r="AU587" i="19"/>
  <c r="AU575" i="19"/>
  <c r="AU563" i="19"/>
  <c r="AU515" i="19"/>
  <c r="AU479" i="19"/>
  <c r="AU467" i="19"/>
  <c r="AU455" i="19"/>
  <c r="AU395" i="19"/>
  <c r="AU383" i="19"/>
  <c r="AU359" i="19"/>
  <c r="AU347" i="19"/>
  <c r="AU335" i="19"/>
  <c r="AU263" i="19"/>
  <c r="AU251" i="19"/>
  <c r="AU215" i="19"/>
  <c r="AU191" i="19"/>
  <c r="AU179" i="19"/>
  <c r="AU167" i="19"/>
  <c r="AU107" i="19"/>
  <c r="AU95" i="19"/>
  <c r="AU83" i="19"/>
  <c r="AU71" i="19"/>
  <c r="AU633" i="19"/>
  <c r="AU715" i="19"/>
  <c r="AU643" i="19"/>
  <c r="AU415" i="19"/>
  <c r="AU259" i="19"/>
  <c r="AU199" i="19"/>
  <c r="AU151" i="19"/>
  <c r="AU758" i="19"/>
  <c r="AU554" i="19"/>
  <c r="AU792" i="19"/>
  <c r="AU766" i="19"/>
  <c r="AU754" i="19"/>
  <c r="AU742" i="19"/>
  <c r="AU730" i="19"/>
  <c r="AU718" i="19"/>
  <c r="AU706" i="19"/>
  <c r="AU694" i="19"/>
  <c r="AU682" i="19"/>
  <c r="AU670" i="19"/>
  <c r="AU658" i="19"/>
  <c r="AU646" i="19"/>
  <c r="AU634" i="19"/>
  <c r="AU622" i="19"/>
  <c r="AU610" i="19"/>
  <c r="AU598" i="19"/>
  <c r="AU586" i="19"/>
  <c r="AU574" i="19"/>
  <c r="AU562" i="19"/>
  <c r="AU478" i="19"/>
  <c r="AU466" i="19"/>
  <c r="AU454" i="19"/>
  <c r="AU394" i="19"/>
  <c r="AU382" i="19"/>
  <c r="AU358" i="19"/>
  <c r="AU346" i="19"/>
  <c r="AU334" i="19"/>
  <c r="AU262" i="19"/>
  <c r="AU250" i="19"/>
  <c r="AU214" i="19"/>
  <c r="AU190" i="19"/>
  <c r="AU178" i="19"/>
  <c r="AU166" i="19"/>
  <c r="AU106" i="19"/>
  <c r="AU94" i="19"/>
  <c r="AU82" i="19"/>
  <c r="AU70" i="19"/>
  <c r="AU645" i="19"/>
  <c r="AU213" i="19"/>
  <c r="AU776" i="19"/>
  <c r="AU764" i="19"/>
  <c r="AU752" i="19"/>
  <c r="AU740" i="19"/>
  <c r="AU728" i="19"/>
  <c r="AU716" i="19"/>
  <c r="AU704" i="19"/>
  <c r="AU692" i="19"/>
  <c r="AU680" i="19"/>
  <c r="AU668" i="19"/>
  <c r="AU656" i="19"/>
  <c r="AU644" i="19"/>
  <c r="AU632" i="19"/>
  <c r="AU620" i="19"/>
  <c r="AU608" i="19"/>
  <c r="AU596" i="19"/>
  <c r="AU584" i="19"/>
  <c r="AU572" i="19"/>
  <c r="AU560" i="19"/>
  <c r="AU536" i="19"/>
  <c r="AU524" i="19"/>
  <c r="AU512" i="19"/>
  <c r="AU500" i="19"/>
  <c r="AU476" i="19"/>
  <c r="AU464" i="19"/>
  <c r="AU452" i="19"/>
  <c r="AU440" i="19"/>
  <c r="AU428" i="19"/>
  <c r="AU416" i="19"/>
  <c r="AU392" i="19"/>
  <c r="AU344" i="19"/>
  <c r="AU332" i="19"/>
  <c r="AU260" i="19"/>
  <c r="AU248" i="19"/>
  <c r="AU236" i="19"/>
  <c r="AU224" i="19"/>
  <c r="AU212" i="19"/>
  <c r="AU200" i="19"/>
  <c r="AU188" i="19"/>
  <c r="AU176" i="19"/>
  <c r="AU152" i="19"/>
  <c r="AU104" i="19"/>
  <c r="AU92" i="19"/>
  <c r="AU80" i="19"/>
  <c r="AU693" i="19"/>
  <c r="AU607" i="19"/>
  <c r="AU774" i="19"/>
  <c r="AU762" i="19"/>
  <c r="AU750" i="19"/>
  <c r="AU738" i="19"/>
  <c r="AU726" i="19"/>
  <c r="AU714" i="19"/>
  <c r="AU702" i="19"/>
  <c r="AU690" i="19"/>
  <c r="AU678" i="19"/>
  <c r="AU666" i="19"/>
  <c r="AU654" i="19"/>
  <c r="AU642" i="19"/>
  <c r="AU630" i="19"/>
  <c r="AU618" i="19"/>
  <c r="AU606" i="19"/>
  <c r="AU594" i="19"/>
  <c r="AU582" i="19"/>
  <c r="AU570" i="19"/>
  <c r="AU558" i="19"/>
  <c r="AU522" i="19"/>
  <c r="AU510" i="19"/>
  <c r="AU474" i="19"/>
  <c r="AU462" i="19"/>
  <c r="AU450" i="19"/>
  <c r="AU390" i="19"/>
  <c r="AU342" i="19"/>
  <c r="AU330" i="19"/>
  <c r="AU258" i="19"/>
  <c r="AU186" i="19"/>
  <c r="AU174" i="19"/>
  <c r="AU150" i="19"/>
  <c r="AU102" i="19"/>
  <c r="AU90" i="19"/>
  <c r="AU78" i="19"/>
  <c r="AU729" i="19"/>
  <c r="AU585" i="19"/>
  <c r="AU177" i="19"/>
  <c r="AU727" i="19"/>
  <c r="AU631" i="19"/>
  <c r="AU463" i="19"/>
  <c r="AU331" i="19"/>
  <c r="AU247" i="19"/>
  <c r="AU773" i="19"/>
  <c r="AU761" i="19"/>
  <c r="AU749" i="19"/>
  <c r="AU737" i="19"/>
  <c r="AU725" i="19"/>
  <c r="AU713" i="19"/>
  <c r="AU701" i="19"/>
  <c r="AU689" i="19"/>
  <c r="AU677" i="19"/>
  <c r="AU665" i="19"/>
  <c r="AU653" i="19"/>
  <c r="AU641" i="19"/>
  <c r="AU629" i="19"/>
  <c r="AU617" i="19"/>
  <c r="AU605" i="19"/>
  <c r="AU593" i="19"/>
  <c r="AU581" i="19"/>
  <c r="AU569" i="19"/>
  <c r="AU557" i="19"/>
  <c r="AU521" i="19"/>
  <c r="AU473" i="19"/>
  <c r="AU461" i="19"/>
  <c r="AU389" i="19"/>
  <c r="AU341" i="19"/>
  <c r="AU329" i="19"/>
  <c r="AU257" i="19"/>
  <c r="AU185" i="19"/>
  <c r="AU173" i="19"/>
  <c r="AU149" i="19"/>
  <c r="AU101" i="19"/>
  <c r="AU89" i="19"/>
  <c r="AU77" i="19"/>
  <c r="AE70" i="56" a="1"/>
  <c r="AE70" i="56" s="1"/>
  <c r="AE95" i="56" a="1"/>
  <c r="AE95" i="56" s="1"/>
  <c r="AE68" i="56" a="1"/>
  <c r="AE68" i="56" s="1"/>
  <c r="AE77" i="56" a="1"/>
  <c r="AE77" i="56" s="1"/>
  <c r="AC92" i="56" a="1"/>
  <c r="AC92" i="56" s="1"/>
  <c r="AC98" i="56" a="1"/>
  <c r="AC98" i="56" s="1"/>
  <c r="AC71" i="56" a="1"/>
  <c r="AC71" i="56" s="1"/>
  <c r="AL372" i="19"/>
  <c r="AM372" i="19" s="1"/>
  <c r="S107" i="75"/>
  <c r="R107" i="75"/>
  <c r="AL489" i="19"/>
  <c r="AM489" i="19" s="1"/>
  <c r="AL308" i="19"/>
  <c r="AM308" i="19" s="1"/>
  <c r="S27" i="75"/>
  <c r="R27" i="75"/>
  <c r="AL49" i="19"/>
  <c r="AM49" i="19" s="1"/>
  <c r="AL488" i="19"/>
  <c r="AM488" i="19" s="1"/>
  <c r="R172" i="75"/>
  <c r="R167" i="75"/>
  <c r="S42" i="75"/>
  <c r="S92" i="75"/>
  <c r="R87" i="75"/>
  <c r="S17" i="75"/>
  <c r="S52" i="75"/>
  <c r="R12" i="75"/>
  <c r="R197" i="75"/>
  <c r="S147" i="75"/>
  <c r="R162" i="75"/>
  <c r="R47" i="75"/>
  <c r="R177" i="75"/>
  <c r="S157" i="75"/>
  <c r="S152" i="75"/>
  <c r="R42" i="75"/>
  <c r="R92" i="75"/>
  <c r="S7" i="75"/>
  <c r="S77" i="75"/>
  <c r="S102" i="75"/>
  <c r="S72" i="75"/>
  <c r="S32" i="75"/>
  <c r="R17" i="75"/>
  <c r="R52" i="75"/>
  <c r="S127" i="75"/>
  <c r="S57" i="75"/>
  <c r="S182" i="75"/>
  <c r="R147" i="75"/>
  <c r="S22" i="75"/>
  <c r="S192" i="75"/>
  <c r="S112" i="75"/>
  <c r="S142" i="75"/>
  <c r="R157" i="75"/>
  <c r="R152" i="75"/>
  <c r="S187" i="75"/>
  <c r="R7" i="75"/>
  <c r="R77" i="75"/>
  <c r="R102" i="75"/>
  <c r="R72" i="75"/>
  <c r="R32" i="75"/>
  <c r="S172" i="75"/>
  <c r="S167" i="75"/>
  <c r="R127" i="75"/>
  <c r="R57" i="75"/>
  <c r="R182" i="75"/>
  <c r="S87" i="75"/>
  <c r="R22" i="75"/>
  <c r="R192" i="75"/>
  <c r="R112" i="75"/>
  <c r="R142" i="75"/>
  <c r="S12" i="75"/>
  <c r="S197" i="75"/>
  <c r="R187" i="75"/>
  <c r="S162" i="75"/>
  <c r="S47" i="75"/>
  <c r="S177" i="75"/>
  <c r="AL45" i="19"/>
  <c r="AM45" i="19" s="1"/>
  <c r="AL399" i="19"/>
  <c r="AM399" i="19" s="1"/>
  <c r="AL140" i="19"/>
  <c r="AM140" i="19" s="1"/>
  <c r="AL139" i="19"/>
  <c r="AM139" i="19" s="1"/>
  <c r="AL133" i="19"/>
  <c r="AM133" i="19" s="1"/>
  <c r="AL41" i="19"/>
  <c r="AM41" i="19" s="1"/>
  <c r="AL39" i="19"/>
  <c r="AM39" i="19" s="1"/>
  <c r="AL34" i="19"/>
  <c r="AM34" i="19" s="1"/>
  <c r="AL33" i="19"/>
  <c r="AM33" i="19" s="1"/>
  <c r="AL366" i="19"/>
  <c r="AM366" i="19" s="1"/>
  <c r="AL365" i="19"/>
  <c r="AM365" i="19" s="1"/>
  <c r="AL287" i="19"/>
  <c r="AM287" i="19" s="1"/>
  <c r="AL286" i="19"/>
  <c r="AM286" i="19" s="1"/>
  <c r="AL355" i="19"/>
  <c r="AM355" i="19" s="1"/>
  <c r="AL354" i="19"/>
  <c r="AM354" i="19" s="1"/>
  <c r="AL351" i="19"/>
  <c r="AM351" i="19" s="1"/>
  <c r="AL24" i="19"/>
  <c r="AM24" i="19" s="1"/>
  <c r="AL276" i="19"/>
  <c r="AM276" i="19" s="1"/>
  <c r="AL282" i="19"/>
  <c r="AM282" i="19" s="1"/>
  <c r="AL274" i="19"/>
  <c r="AM274" i="19" s="1"/>
  <c r="AL14" i="19"/>
  <c r="AM14" i="19" s="1"/>
  <c r="E13" i="46"/>
  <c r="AL11" i="19"/>
  <c r="AM11" i="19" s="1"/>
  <c r="AL9" i="19"/>
  <c r="AM9" i="19" s="1"/>
  <c r="B52" i="56"/>
  <c r="AB19" i="27"/>
  <c r="AB20" i="27" s="1"/>
  <c r="AB23" i="27"/>
  <c r="AB21" i="27"/>
  <c r="AL728" i="19"/>
  <c r="AM728" i="19" s="1"/>
  <c r="AL727" i="19"/>
  <c r="AM727" i="19" s="1"/>
  <c r="AL726" i="19"/>
  <c r="AM726" i="19" s="1"/>
  <c r="AL725" i="19"/>
  <c r="AM725" i="19" s="1"/>
  <c r="AL723" i="19"/>
  <c r="AM723" i="19" s="1"/>
  <c r="AL719" i="19"/>
  <c r="AM719" i="19" s="1"/>
  <c r="E28" i="46"/>
  <c r="E12" i="46"/>
  <c r="D132" i="75" s="1"/>
  <c r="E31" i="46"/>
  <c r="E44" i="46"/>
  <c r="AL710" i="19"/>
  <c r="AM710" i="19" s="1"/>
  <c r="AL171" i="19"/>
  <c r="AM171" i="19" s="1"/>
  <c r="AL100" i="19"/>
  <c r="AM100" i="19" s="1"/>
  <c r="AL91" i="19"/>
  <c r="AM91" i="19" s="1"/>
  <c r="AL89" i="19"/>
  <c r="AM89" i="19" s="1"/>
  <c r="AL83" i="19"/>
  <c r="AM83" i="19" s="1"/>
  <c r="AL79" i="19"/>
  <c r="AM79" i="19" s="1"/>
  <c r="AL76" i="19"/>
  <c r="AM76" i="19" s="1"/>
  <c r="AL170" i="19"/>
  <c r="AM170" i="19" s="1"/>
  <c r="AL166" i="19"/>
  <c r="AM166" i="19" s="1"/>
  <c r="AL165" i="19"/>
  <c r="AM165" i="19" s="1"/>
  <c r="AL162" i="19"/>
  <c r="AM162" i="19" s="1"/>
  <c r="AL348" i="19"/>
  <c r="AM348" i="19" s="1"/>
  <c r="AL345" i="19"/>
  <c r="AM345" i="19" s="1"/>
  <c r="AL263" i="19"/>
  <c r="AM263" i="19" s="1"/>
  <c r="AL262" i="19"/>
  <c r="AM262" i="19" s="1"/>
  <c r="AL261" i="19"/>
  <c r="AM261" i="19" s="1"/>
  <c r="AL255" i="19"/>
  <c r="AM255" i="19" s="1"/>
  <c r="AL339" i="19"/>
  <c r="AM339" i="19" s="1"/>
  <c r="B48" i="55"/>
  <c r="B51" i="56"/>
  <c r="B105" i="56" s="1"/>
  <c r="AE105" i="56" s="1" a="1"/>
  <c r="AE105" i="56" s="1"/>
  <c r="B46" i="55"/>
  <c r="A1" i="75"/>
  <c r="R2" i="75" s="1"/>
  <c r="B47" i="55"/>
  <c r="AL337" i="19"/>
  <c r="AM337" i="19" s="1"/>
  <c r="AL334" i="19"/>
  <c r="AM334" i="19" s="1"/>
  <c r="AL332" i="19"/>
  <c r="AM332" i="19" s="1"/>
  <c r="B4" i="74"/>
  <c r="C4" i="74" s="1"/>
  <c r="AL253" i="19"/>
  <c r="AM253" i="19" s="1"/>
  <c r="AL246" i="19"/>
  <c r="AM246" i="19" s="1"/>
  <c r="AL245" i="19"/>
  <c r="AM245" i="19" s="1"/>
  <c r="AL66" i="19"/>
  <c r="AM66" i="19" s="1"/>
  <c r="AL65" i="19"/>
  <c r="AM65" i="19" s="1"/>
  <c r="AL241" i="19"/>
  <c r="AM241" i="19" s="1"/>
  <c r="AL239" i="19"/>
  <c r="AM239" i="19" s="1"/>
  <c r="AL237" i="19"/>
  <c r="AM237" i="19" s="1"/>
  <c r="AL151" i="19"/>
  <c r="AM151" i="19" s="1"/>
  <c r="AL146" i="19"/>
  <c r="AM146" i="19" s="1"/>
  <c r="AL145" i="19"/>
  <c r="AM145" i="19" s="1"/>
  <c r="AL142" i="19"/>
  <c r="AM142" i="19" s="1"/>
  <c r="AL141" i="19"/>
  <c r="AM141" i="19" s="1"/>
  <c r="AL62" i="19"/>
  <c r="AM62" i="19" s="1"/>
  <c r="AL325" i="19"/>
  <c r="AM325" i="19" s="1"/>
  <c r="AL319" i="19"/>
  <c r="AM319" i="19" s="1"/>
  <c r="AL313" i="19"/>
  <c r="AM313" i="19" s="1"/>
  <c r="AL311" i="19"/>
  <c r="AM311" i="19" s="1"/>
  <c r="AL312" i="19"/>
  <c r="AM312" i="19" s="1"/>
  <c r="B47" i="74"/>
  <c r="C47" i="74" s="1"/>
  <c r="AL609" i="19"/>
  <c r="AM609" i="19" s="1"/>
  <c r="AL51" i="19"/>
  <c r="AM51" i="19" s="1"/>
  <c r="AL235" i="19"/>
  <c r="AM235" i="19" s="1"/>
  <c r="AL233" i="19"/>
  <c r="AM233" i="19" s="1"/>
  <c r="AL234" i="19"/>
  <c r="AM234" i="19" s="1"/>
  <c r="B33" i="74"/>
  <c r="C33" i="74" s="1"/>
  <c r="B24" i="74"/>
  <c r="C24" i="74" s="1"/>
  <c r="G24" i="74" s="1"/>
  <c r="B31" i="74"/>
  <c r="C31" i="74" s="1"/>
  <c r="I31" i="74" s="1"/>
  <c r="AL230" i="19"/>
  <c r="AM230" i="19" s="1"/>
  <c r="AL225" i="19"/>
  <c r="AM225" i="19" s="1"/>
  <c r="AL135" i="19"/>
  <c r="AM135" i="19" s="1"/>
  <c r="AL46" i="19"/>
  <c r="AM46" i="19" s="1"/>
  <c r="B50" i="56"/>
  <c r="B104" i="56" s="1"/>
  <c r="AC104" i="56" s="1" a="1"/>
  <c r="AC104" i="56" s="1"/>
  <c r="B49" i="56"/>
  <c r="B103" i="56" s="1"/>
  <c r="AC103" i="56" s="1" a="1"/>
  <c r="AC103" i="56" s="1"/>
  <c r="AL221" i="19"/>
  <c r="AM221" i="19" s="1"/>
  <c r="AL304" i="19"/>
  <c r="AM304" i="19" s="1"/>
  <c r="AL294" i="19"/>
  <c r="AM294" i="19" s="1"/>
  <c r="AL302" i="19"/>
  <c r="AM302" i="19" s="1"/>
  <c r="AL134" i="19"/>
  <c r="AM134" i="19" s="1"/>
  <c r="AL292" i="19"/>
  <c r="AM292" i="19" s="1"/>
  <c r="AL296" i="19"/>
  <c r="AM296" i="19" s="1"/>
  <c r="B15" i="74"/>
  <c r="C15" i="74" s="1"/>
  <c r="AL44" i="19"/>
  <c r="AM44" i="19" s="1"/>
  <c r="AL43" i="19"/>
  <c r="AM43" i="19" s="1"/>
  <c r="AL42" i="19"/>
  <c r="AM42" i="19" s="1"/>
  <c r="AL40" i="19"/>
  <c r="AM40" i="19" s="1"/>
  <c r="B8" i="74"/>
  <c r="C8" i="74" s="1"/>
  <c r="AL218" i="19"/>
  <c r="AM218" i="19" s="1"/>
  <c r="AL217" i="19"/>
  <c r="AM217" i="19" s="1"/>
  <c r="B7" i="74"/>
  <c r="C7" i="74" s="1"/>
  <c r="AL212" i="19"/>
  <c r="AM212" i="19" s="1"/>
  <c r="AL211" i="19"/>
  <c r="AM211" i="19" s="1"/>
  <c r="AL210" i="19"/>
  <c r="AM210" i="19" s="1"/>
  <c r="B23" i="74"/>
  <c r="C23" i="74" s="1"/>
  <c r="B20" i="74"/>
  <c r="C20" i="74" s="1"/>
  <c r="AL35" i="19"/>
  <c r="AM35" i="19" s="1"/>
  <c r="AL285" i="19"/>
  <c r="AM285" i="19" s="1"/>
  <c r="B11" i="74"/>
  <c r="C11" i="74" s="1"/>
  <c r="AL206" i="19"/>
  <c r="AM206" i="19" s="1"/>
  <c r="AL32" i="19"/>
  <c r="AM32" i="19" s="1"/>
  <c r="AL205" i="19"/>
  <c r="AM205" i="19" s="1"/>
  <c r="AL30" i="19"/>
  <c r="AM30" i="19" s="1"/>
  <c r="AL27" i="19"/>
  <c r="AM27" i="19" s="1"/>
  <c r="AL119" i="19"/>
  <c r="AM119" i="19" s="1"/>
  <c r="B27" i="74"/>
  <c r="C27" i="74" s="1"/>
  <c r="AL200" i="19"/>
  <c r="AM200" i="19" s="1"/>
  <c r="AL199" i="19"/>
  <c r="AM199" i="19" s="1"/>
  <c r="B29" i="74"/>
  <c r="C29" i="74" s="1"/>
  <c r="B39" i="74"/>
  <c r="C39" i="74" s="1"/>
  <c r="AL26" i="19"/>
  <c r="AM26" i="19" s="1"/>
  <c r="AL21" i="19"/>
  <c r="AM21" i="19" s="1"/>
  <c r="B14" i="74"/>
  <c r="C14" i="74" s="1"/>
  <c r="B49" i="74"/>
  <c r="C49" i="74" s="1"/>
  <c r="B36" i="74"/>
  <c r="C36" i="74" s="1"/>
  <c r="B30" i="74"/>
  <c r="C30" i="74" s="1"/>
  <c r="B44" i="74"/>
  <c r="C44" i="74" s="1"/>
  <c r="C9" i="74"/>
  <c r="B10" i="74"/>
  <c r="C10" i="74" s="1"/>
  <c r="B43" i="74"/>
  <c r="C43" i="74" s="1"/>
  <c r="C26" i="74"/>
  <c r="B28" i="74"/>
  <c r="C28" i="74" s="1"/>
  <c r="B34" i="74"/>
  <c r="C34" i="74" s="1"/>
  <c r="B5" i="74"/>
  <c r="C5" i="74" s="1"/>
  <c r="B12" i="74"/>
  <c r="C12" i="74" s="1"/>
  <c r="B6" i="74"/>
  <c r="C6" i="74" s="1"/>
  <c r="B21" i="74"/>
  <c r="C21" i="74" s="1"/>
  <c r="B19" i="74"/>
  <c r="C19" i="74" s="1"/>
  <c r="B37" i="74"/>
  <c r="C37" i="74" s="1"/>
  <c r="B45" i="74"/>
  <c r="C45" i="74" s="1"/>
  <c r="B32" i="74"/>
  <c r="C32" i="74" s="1"/>
  <c r="B50" i="74"/>
  <c r="C50" i="74" s="1"/>
  <c r="B51" i="74"/>
  <c r="C51" i="74" s="1"/>
  <c r="B38" i="74"/>
  <c r="C38" i="74" s="1"/>
  <c r="B40" i="74"/>
  <c r="C40" i="74" s="1"/>
  <c r="B41" i="74"/>
  <c r="C41" i="74" s="1"/>
  <c r="B42" i="74"/>
  <c r="C42" i="74" s="1"/>
  <c r="B35" i="74"/>
  <c r="C35" i="74" s="1"/>
  <c r="C16" i="74"/>
  <c r="B17" i="74"/>
  <c r="C17" i="74" s="1"/>
  <c r="B13" i="74"/>
  <c r="C13" i="74" s="1"/>
  <c r="B22" i="74"/>
  <c r="C22" i="74" s="1"/>
  <c r="B46" i="74"/>
  <c r="C46" i="74" s="1"/>
  <c r="B48" i="74"/>
  <c r="C48" i="74" s="1"/>
  <c r="AL17" i="19"/>
  <c r="AM17" i="19" s="1"/>
  <c r="AL16" i="19"/>
  <c r="AM16" i="19" s="1"/>
  <c r="AM187" i="19"/>
  <c r="C18" i="74"/>
  <c r="AL193" i="19"/>
  <c r="AM193" i="19" s="1"/>
  <c r="AL271" i="19"/>
  <c r="AM271" i="19" s="1"/>
  <c r="AL184" i="19"/>
  <c r="AM184" i="19" s="1"/>
  <c r="AL112" i="19"/>
  <c r="AM112" i="19" s="1"/>
  <c r="AL4" i="19"/>
  <c r="AM4" i="19" s="1"/>
  <c r="AL3" i="19"/>
  <c r="AM3" i="19" s="1"/>
  <c r="B22" i="65"/>
  <c r="C22" i="65" s="1" a="1"/>
  <c r="C22" i="65" s="1"/>
  <c r="A20" i="65"/>
  <c r="H20" i="65" s="1"/>
  <c r="B23" i="65"/>
  <c r="C23" i="65" s="1" a="1"/>
  <c r="C23" i="65" s="1"/>
  <c r="B45" i="55"/>
  <c r="B49" i="55"/>
  <c r="B47" i="56"/>
  <c r="B101" i="56" s="1"/>
  <c r="AC101" i="56" s="1" a="1"/>
  <c r="AC101" i="56" s="1"/>
  <c r="B48" i="56"/>
  <c r="B102" i="56" s="1"/>
  <c r="AE102" i="56" s="1" a="1"/>
  <c r="AE102" i="56" s="1"/>
  <c r="AM98" i="19"/>
  <c r="K53" i="46"/>
  <c r="AM20" i="19"/>
  <c r="B24" i="61" a="1"/>
  <c r="AL662" i="19"/>
  <c r="AM662" i="19" s="1"/>
  <c r="L24" i="3"/>
  <c r="AL689" i="19"/>
  <c r="AM689" i="19" s="1"/>
  <c r="AL665" i="19"/>
  <c r="AM665" i="19" s="1"/>
  <c r="AL688" i="19"/>
  <c r="AL639" i="19"/>
  <c r="AL555" i="19"/>
  <c r="AM555" i="19" s="1"/>
  <c r="AL690" i="19"/>
  <c r="AL552" i="19"/>
  <c r="AM552" i="19" s="1"/>
  <c r="AL703" i="19"/>
  <c r="AM702" i="19"/>
  <c r="AM701" i="19"/>
  <c r="AL700" i="19"/>
  <c r="AM692" i="19"/>
  <c r="AM691" i="19"/>
  <c r="AM668" i="19"/>
  <c r="AL667" i="19"/>
  <c r="AL664" i="19"/>
  <c r="AL663" i="19"/>
  <c r="AM663" i="19" s="1"/>
  <c r="AL558" i="19"/>
  <c r="AM558" i="19" s="1"/>
  <c r="AL625" i="19"/>
  <c r="AL660" i="19"/>
  <c r="AM660" i="19" s="1"/>
  <c r="AM659" i="19"/>
  <c r="AL658" i="19"/>
  <c r="AM657" i="19"/>
  <c r="AL623" i="19"/>
  <c r="AL635" i="19"/>
  <c r="AL636" i="19"/>
  <c r="AM638" i="19"/>
  <c r="AM634" i="19"/>
  <c r="AM633" i="19"/>
  <c r="AL622" i="19"/>
  <c r="AL550" i="19"/>
  <c r="AM550" i="19" s="1"/>
  <c r="AL502" i="19"/>
  <c r="AM502" i="19" s="1"/>
  <c r="AM644" i="19"/>
  <c r="AM643" i="19"/>
  <c r="AM642" i="19"/>
  <c r="AM641" i="19"/>
  <c r="E17" i="46"/>
  <c r="AL617" i="19"/>
  <c r="AM617" i="19" s="1"/>
  <c r="AL559" i="19"/>
  <c r="AM559" i="19" s="1"/>
  <c r="H3" i="59"/>
  <c r="D3" i="59"/>
  <c r="I3" i="59"/>
  <c r="R3" i="59"/>
  <c r="AA3" i="59"/>
  <c r="Q3" i="59"/>
  <c r="AB3" i="59"/>
  <c r="S3" i="59"/>
  <c r="AC3" i="59"/>
  <c r="F3" i="59"/>
  <c r="E3" i="59"/>
  <c r="G3" i="59"/>
  <c r="L9" i="3"/>
  <c r="B44" i="55"/>
  <c r="B27" i="56"/>
  <c r="B81" i="56" s="1"/>
  <c r="AL630" i="19"/>
  <c r="AL618" i="19"/>
  <c r="AL626" i="19"/>
  <c r="E36" i="27"/>
  <c r="F36" i="27"/>
  <c r="AL566" i="19"/>
  <c r="AM566" i="19" s="1"/>
  <c r="AL564" i="19"/>
  <c r="AM564" i="19" s="1"/>
  <c r="AL560" i="19"/>
  <c r="AM560" i="19" s="1"/>
  <c r="AL549" i="19"/>
  <c r="AM549" i="19" s="1"/>
  <c r="AL543" i="19"/>
  <c r="AM543" i="19" s="1"/>
  <c r="AL529" i="19"/>
  <c r="AM529" i="19" s="1"/>
  <c r="AL527" i="19"/>
  <c r="AM527" i="19" s="1"/>
  <c r="AL525" i="19"/>
  <c r="AM525" i="19" s="1"/>
  <c r="AL506" i="19"/>
  <c r="AM506" i="19" s="1"/>
  <c r="AL505" i="19"/>
  <c r="AM505" i="19" s="1"/>
  <c r="AL504" i="19"/>
  <c r="AM504" i="19" s="1"/>
  <c r="AL501" i="19"/>
  <c r="AM501" i="19" s="1"/>
  <c r="B9" i="56"/>
  <c r="B21" i="56"/>
  <c r="B75" i="56" s="1"/>
  <c r="AE75" i="56" s="1" a="1"/>
  <c r="AE75" i="56" s="1"/>
  <c r="B34" i="56"/>
  <c r="B88" i="56" s="1"/>
  <c r="B46" i="56"/>
  <c r="B100" i="56" s="1"/>
  <c r="AE100" i="56" s="1" a="1"/>
  <c r="AE100" i="56" s="1"/>
  <c r="B10" i="56"/>
  <c r="B22" i="56"/>
  <c r="B76" i="56" s="1"/>
  <c r="AE76" i="56" s="1" a="1"/>
  <c r="AE76" i="56" s="1"/>
  <c r="B35" i="56"/>
  <c r="B89" i="56" s="1"/>
  <c r="AC89" i="56" s="1" a="1"/>
  <c r="AC89" i="56" s="1"/>
  <c r="B53" i="56"/>
  <c r="B107" i="56" s="1"/>
  <c r="B11" i="56"/>
  <c r="B23" i="56"/>
  <c r="B77" i="56" s="1"/>
  <c r="AC77" i="56" s="1" a="1"/>
  <c r="AC77" i="56" s="1"/>
  <c r="B36" i="56"/>
  <c r="B90" i="56" s="1"/>
  <c r="B12" i="56"/>
  <c r="B24" i="56"/>
  <c r="B78" i="56" s="1"/>
  <c r="B37" i="56"/>
  <c r="B91" i="56" s="1"/>
  <c r="B13" i="56"/>
  <c r="B25" i="56"/>
  <c r="B79" i="56" s="1"/>
  <c r="AC79" i="56" s="1" a="1"/>
  <c r="AC79" i="56" s="1"/>
  <c r="B38" i="56"/>
  <c r="B92" i="56" s="1"/>
  <c r="AE92" i="56" s="1" a="1"/>
  <c r="AE92" i="56" s="1"/>
  <c r="B14" i="56"/>
  <c r="B68" i="56" s="1"/>
  <c r="AC68" i="56" s="1" a="1"/>
  <c r="AC68" i="56" s="1"/>
  <c r="B15" i="56"/>
  <c r="B69" i="56" s="1"/>
  <c r="AE69" i="56" s="1" a="1"/>
  <c r="AE69" i="56" s="1"/>
  <c r="B28" i="56"/>
  <c r="B82" i="56" s="1"/>
  <c r="AE82" i="56" s="1" a="1"/>
  <c r="AE82" i="56" s="1"/>
  <c r="B40" i="56"/>
  <c r="B94" i="56" s="1"/>
  <c r="AE94" i="56" s="1" a="1"/>
  <c r="AE94" i="56" s="1"/>
  <c r="B4" i="56"/>
  <c r="B58" i="56" s="1"/>
  <c r="B16" i="56"/>
  <c r="B70" i="56" s="1"/>
  <c r="AC70" i="56" s="1" a="1"/>
  <c r="AC70" i="56" s="1"/>
  <c r="B29" i="56"/>
  <c r="B83" i="56" s="1"/>
  <c r="AC83" i="56" s="1" a="1"/>
  <c r="AC83" i="56" s="1"/>
  <c r="B41" i="56"/>
  <c r="B95" i="56" s="1"/>
  <c r="AC95" i="56" s="1" a="1"/>
  <c r="AC95" i="56" s="1"/>
  <c r="B5" i="56"/>
  <c r="B17" i="56"/>
  <c r="B71" i="56" s="1"/>
  <c r="AE71" i="56" s="1" a="1"/>
  <c r="AE71" i="56" s="1"/>
  <c r="B30" i="56"/>
  <c r="B84" i="56" s="1"/>
  <c r="AC84" i="56" s="1" a="1"/>
  <c r="AC84" i="56" s="1"/>
  <c r="B42" i="56"/>
  <c r="B96" i="56" s="1"/>
  <c r="AE96" i="56" s="1" a="1"/>
  <c r="AE96" i="56" s="1"/>
  <c r="B6" i="56"/>
  <c r="B18" i="56"/>
  <c r="B72" i="56" s="1"/>
  <c r="AE72" i="56" s="1" a="1"/>
  <c r="AE72" i="56" s="1"/>
  <c r="B31" i="56"/>
  <c r="B85" i="56" s="1"/>
  <c r="AE85" i="56" s="1" a="1"/>
  <c r="AE85" i="56" s="1"/>
  <c r="B43" i="56"/>
  <c r="B97" i="56" s="1"/>
  <c r="AC97" i="56" s="1" a="1"/>
  <c r="AC97" i="56" s="1"/>
  <c r="B8" i="56"/>
  <c r="B20" i="56"/>
  <c r="B74" i="56" s="1"/>
  <c r="AE74" i="56" s="1" a="1"/>
  <c r="AE74" i="56" s="1"/>
  <c r="B33" i="56"/>
  <c r="B87" i="56" s="1"/>
  <c r="B45" i="56"/>
  <c r="B99" i="56" s="1"/>
  <c r="AC99" i="56" s="1" a="1"/>
  <c r="AC99" i="56" s="1"/>
  <c r="B7" i="56"/>
  <c r="B19" i="56"/>
  <c r="B73" i="56" s="1"/>
  <c r="B26" i="56"/>
  <c r="B80" i="56" s="1"/>
  <c r="AC80" i="56" s="1" a="1"/>
  <c r="AC80" i="56" s="1"/>
  <c r="B32" i="56"/>
  <c r="B86" i="56" s="1"/>
  <c r="B39" i="56"/>
  <c r="B93" i="56" s="1"/>
  <c r="AC93" i="56" s="1" a="1"/>
  <c r="AC93" i="56" s="1"/>
  <c r="B44" i="56"/>
  <c r="B98" i="56" s="1"/>
  <c r="AE98" i="56" s="1" a="1"/>
  <c r="AE98" i="56" s="1"/>
  <c r="E43" i="46"/>
  <c r="AL182" i="19"/>
  <c r="AM182" i="19" s="1"/>
  <c r="AL38" i="19"/>
  <c r="AM38" i="19" s="1"/>
  <c r="AL86" i="19"/>
  <c r="AM86" i="19" s="1"/>
  <c r="B13" i="55"/>
  <c r="B65" i="55" s="1"/>
  <c r="B117" i="55" s="1"/>
  <c r="B25" i="55"/>
  <c r="B37" i="55"/>
  <c r="B38" i="55"/>
  <c r="B20" i="55"/>
  <c r="B72" i="55" s="1"/>
  <c r="B124" i="55" s="1"/>
  <c r="B2" i="55"/>
  <c r="B54" i="55" s="1"/>
  <c r="B14" i="55"/>
  <c r="B66" i="55" s="1"/>
  <c r="B118" i="55" s="1"/>
  <c r="B26" i="55"/>
  <c r="B40" i="55"/>
  <c r="B42" i="55"/>
  <c r="B3" i="55"/>
  <c r="B55" i="55" s="1"/>
  <c r="B107" i="55" s="1"/>
  <c r="B15" i="55"/>
  <c r="B67" i="55" s="1"/>
  <c r="B119" i="55" s="1"/>
  <c r="B27" i="55"/>
  <c r="B18" i="55"/>
  <c r="B70" i="55" s="1"/>
  <c r="B122" i="55" s="1"/>
  <c r="B4" i="55"/>
  <c r="B56" i="55" s="1"/>
  <c r="B108" i="55" s="1"/>
  <c r="B16" i="55"/>
  <c r="B68" i="55" s="1"/>
  <c r="B120" i="55" s="1"/>
  <c r="B28" i="55"/>
  <c r="B32" i="55"/>
  <c r="B5" i="55"/>
  <c r="B57" i="55" s="1"/>
  <c r="B109" i="55" s="1"/>
  <c r="B17" i="55"/>
  <c r="B69" i="55" s="1"/>
  <c r="B121" i="55" s="1"/>
  <c r="B29" i="55"/>
  <c r="B41" i="55"/>
  <c r="B21" i="55"/>
  <c r="B73" i="55" s="1"/>
  <c r="B125" i="55" s="1"/>
  <c r="B30" i="55"/>
  <c r="B7" i="55"/>
  <c r="B59" i="55" s="1"/>
  <c r="B111" i="55" s="1"/>
  <c r="B19" i="55"/>
  <c r="B71" i="55" s="1"/>
  <c r="B123" i="55" s="1"/>
  <c r="B31" i="55"/>
  <c r="B43" i="55"/>
  <c r="B8" i="55"/>
  <c r="B60" i="55" s="1"/>
  <c r="B112" i="55" s="1"/>
  <c r="B9" i="55"/>
  <c r="B61" i="55" s="1"/>
  <c r="B113" i="55" s="1"/>
  <c r="B23" i="55"/>
  <c r="B75" i="55" s="1"/>
  <c r="B127" i="55" s="1"/>
  <c r="B33" i="55"/>
  <c r="B11" i="55"/>
  <c r="B63" i="55" s="1"/>
  <c r="B115" i="55" s="1"/>
  <c r="B35" i="55"/>
  <c r="B10" i="55"/>
  <c r="B62" i="55" s="1"/>
  <c r="B114" i="55" s="1"/>
  <c r="B22" i="55"/>
  <c r="B74" i="55" s="1"/>
  <c r="B126" i="55" s="1"/>
  <c r="B34" i="55"/>
  <c r="B12" i="55"/>
  <c r="B64" i="55" s="1"/>
  <c r="B116" i="55" s="1"/>
  <c r="B24" i="55"/>
  <c r="B36" i="55"/>
  <c r="B39" i="55"/>
  <c r="B6" i="55"/>
  <c r="B58" i="55" s="1"/>
  <c r="B110" i="55" s="1"/>
  <c r="B51" i="55"/>
  <c r="AL469" i="19"/>
  <c r="AM469" i="19" s="1"/>
  <c r="AL409" i="19"/>
  <c r="AM409" i="19" s="1"/>
  <c r="AL487" i="19"/>
  <c r="AM487" i="19" s="1"/>
  <c r="AL485" i="19"/>
  <c r="AM485" i="19" s="1"/>
  <c r="AL412" i="19"/>
  <c r="AM412" i="19" s="1"/>
  <c r="AL268" i="19"/>
  <c r="AM268" i="19" s="1"/>
  <c r="AL88" i="19"/>
  <c r="AM88" i="19" s="1"/>
  <c r="AL64" i="19"/>
  <c r="AM64" i="19" s="1"/>
  <c r="AL28" i="19"/>
  <c r="AM28" i="19" s="1"/>
  <c r="AL303" i="19"/>
  <c r="AM303" i="19" s="1"/>
  <c r="AL297" i="19"/>
  <c r="AM297" i="19" s="1"/>
  <c r="AL273" i="19"/>
  <c r="AM273" i="19" s="1"/>
  <c r="AL383" i="19"/>
  <c r="AM383" i="19" s="1"/>
  <c r="AL493" i="19"/>
  <c r="AM493" i="19" s="1"/>
  <c r="AL500" i="19"/>
  <c r="AM500" i="19" s="1"/>
  <c r="AL467" i="19"/>
  <c r="AM467" i="19" s="1"/>
  <c r="AL415" i="19"/>
  <c r="AM415" i="19" s="1"/>
  <c r="AL403" i="19"/>
  <c r="AM403" i="19" s="1"/>
  <c r="AL307" i="19"/>
  <c r="AM307" i="19" s="1"/>
  <c r="AL382" i="19"/>
  <c r="AM382" i="19" s="1"/>
  <c r="AL405" i="19"/>
  <c r="AM405" i="19" s="1"/>
  <c r="AL299" i="19"/>
  <c r="AM299" i="19" s="1"/>
  <c r="AL306" i="19"/>
  <c r="AM306" i="19" s="1"/>
  <c r="L57" i="3"/>
  <c r="L58" i="3"/>
  <c r="L55" i="3"/>
  <c r="L10" i="3"/>
  <c r="L54" i="3"/>
  <c r="L25" i="3"/>
  <c r="L56" i="3"/>
  <c r="L59" i="3"/>
  <c r="F29" i="27"/>
  <c r="L29" i="3"/>
  <c r="L38" i="3"/>
  <c r="AL298" i="19"/>
  <c r="AM298" i="19" s="1"/>
  <c r="AL300" i="19"/>
  <c r="AM300" i="19" s="1"/>
  <c r="AL270" i="19"/>
  <c r="AM270" i="19" s="1"/>
  <c r="AL186" i="19"/>
  <c r="AM186" i="19" s="1"/>
  <c r="AL191" i="19"/>
  <c r="AM191" i="19" s="1"/>
  <c r="AL95" i="19"/>
  <c r="AM95" i="19" s="1"/>
  <c r="AL223" i="19"/>
  <c r="AM223" i="19" s="1"/>
  <c r="AL115" i="19"/>
  <c r="AM115" i="19" s="1"/>
  <c r="AL55" i="19"/>
  <c r="AM55" i="19" s="1"/>
  <c r="AL19" i="19"/>
  <c r="AM19" i="19" s="1"/>
  <c r="AL281" i="19"/>
  <c r="AM281" i="19" s="1"/>
  <c r="AL257" i="19"/>
  <c r="AM257" i="19" s="1"/>
  <c r="AL197" i="19"/>
  <c r="AM197" i="19" s="1"/>
  <c r="AL267" i="19"/>
  <c r="AM267" i="19" s="1"/>
  <c r="AL195" i="19"/>
  <c r="AM195" i="19" s="1"/>
  <c r="AL277" i="19"/>
  <c r="AM277" i="19" s="1"/>
  <c r="AL121" i="19"/>
  <c r="AM121" i="19" s="1"/>
  <c r="AL109" i="19"/>
  <c r="AM109" i="19" s="1"/>
  <c r="AL37" i="19"/>
  <c r="AM37" i="19" s="1"/>
  <c r="AL25" i="19"/>
  <c r="AL264" i="19"/>
  <c r="AM264" i="19" s="1"/>
  <c r="AL252" i="19"/>
  <c r="AM252" i="19" s="1"/>
  <c r="AL120" i="19"/>
  <c r="AM120" i="19" s="1"/>
  <c r="AL84" i="19"/>
  <c r="AM84" i="19" s="1"/>
  <c r="AL72" i="19"/>
  <c r="AM72" i="19" s="1"/>
  <c r="AL12" i="19"/>
  <c r="AM12" i="19" s="1"/>
  <c r="AL224" i="19"/>
  <c r="AM224" i="19" s="1"/>
  <c r="AL176" i="19"/>
  <c r="AM176" i="19" s="1"/>
  <c r="AL152" i="19"/>
  <c r="AM152" i="19" s="1"/>
  <c r="F12" i="27"/>
  <c r="R15" i="27"/>
  <c r="R39" i="27"/>
  <c r="R27" i="27"/>
  <c r="F28" i="27"/>
  <c r="R14" i="27"/>
  <c r="R38" i="27"/>
  <c r="R26" i="27"/>
  <c r="F27" i="27"/>
  <c r="F11" i="27"/>
  <c r="R13" i="27"/>
  <c r="R37" i="27"/>
  <c r="F26" i="27"/>
  <c r="F21" i="27"/>
  <c r="F10" i="27"/>
  <c r="R12" i="27"/>
  <c r="R36" i="27"/>
  <c r="F38" i="27"/>
  <c r="F25" i="27"/>
  <c r="F20" i="27"/>
  <c r="F9" i="27"/>
  <c r="R11" i="27"/>
  <c r="R35" i="27"/>
  <c r="F37" i="27"/>
  <c r="F19" i="27"/>
  <c r="F8" i="27"/>
  <c r="R10" i="27"/>
  <c r="R34" i="27"/>
  <c r="F35" i="27"/>
  <c r="F18" i="27"/>
  <c r="F7" i="27"/>
  <c r="R9" i="27"/>
  <c r="R33" i="27"/>
  <c r="F34" i="27"/>
  <c r="F17" i="27"/>
  <c r="F6" i="27"/>
  <c r="R8" i="27"/>
  <c r="R32" i="27"/>
  <c r="F33" i="27"/>
  <c r="F16" i="27"/>
  <c r="F5" i="27"/>
  <c r="R7" i="27"/>
  <c r="R31" i="27"/>
  <c r="F32" i="27"/>
  <c r="F15" i="27"/>
  <c r="F4" i="27"/>
  <c r="R6" i="27"/>
  <c r="R30" i="27"/>
  <c r="F31" i="27"/>
  <c r="F14" i="27"/>
  <c r="R17" i="27"/>
  <c r="R5" i="27"/>
  <c r="R29" i="27"/>
  <c r="F30" i="27"/>
  <c r="F13" i="27"/>
  <c r="R16" i="27"/>
  <c r="R4" i="27"/>
  <c r="R28" i="27"/>
  <c r="L7" i="46"/>
  <c r="L9" i="46"/>
  <c r="L33" i="46"/>
  <c r="L8" i="46"/>
  <c r="L42" i="46"/>
  <c r="L15" i="46"/>
  <c r="L38" i="46"/>
  <c r="L41" i="46"/>
  <c r="L16" i="46"/>
  <c r="L45" i="46"/>
  <c r="L51" i="46"/>
  <c r="L17" i="46"/>
  <c r="L34" i="46"/>
  <c r="L35" i="46"/>
  <c r="AL291" i="19"/>
  <c r="AM291" i="19" s="1"/>
  <c r="L39" i="46"/>
  <c r="L43" i="46"/>
  <c r="L5" i="46"/>
  <c r="L37" i="46"/>
  <c r="L14" i="46"/>
  <c r="L11" i="46"/>
  <c r="L27" i="46"/>
  <c r="L24" i="46"/>
  <c r="L19" i="46"/>
  <c r="L36" i="46"/>
  <c r="L47" i="46"/>
  <c r="L50" i="46"/>
  <c r="L32" i="46"/>
  <c r="L49" i="46"/>
  <c r="L40" i="46"/>
  <c r="L22" i="46"/>
  <c r="L21" i="46"/>
  <c r="L23" i="46"/>
  <c r="L30" i="46"/>
  <c r="L26" i="46"/>
  <c r="L48" i="46"/>
  <c r="L20" i="46"/>
  <c r="L46" i="46"/>
  <c r="L29" i="46"/>
  <c r="L6" i="46"/>
  <c r="L4" i="46"/>
  <c r="L18" i="46"/>
  <c r="L3" i="46"/>
  <c r="L25" i="46"/>
  <c r="L10" i="46"/>
  <c r="E19" i="46"/>
  <c r="E6" i="46"/>
  <c r="D62" i="75" s="1"/>
  <c r="E35" i="46"/>
  <c r="E24" i="46"/>
  <c r="E25" i="46"/>
  <c r="A753" i="19"/>
  <c r="A741" i="19"/>
  <c r="A705" i="19"/>
  <c r="A777" i="19"/>
  <c r="A687" i="19"/>
  <c r="A675" i="19"/>
  <c r="A663" i="19"/>
  <c r="A651" i="19"/>
  <c r="A639" i="19"/>
  <c r="A627" i="19"/>
  <c r="A615" i="19"/>
  <c r="A603" i="19"/>
  <c r="A789" i="19"/>
  <c r="A693" i="19"/>
  <c r="A681" i="19"/>
  <c r="A669" i="19"/>
  <c r="A657" i="19"/>
  <c r="A645" i="19"/>
  <c r="A633" i="19"/>
  <c r="A621" i="19"/>
  <c r="A609" i="19"/>
  <c r="AL284" i="19"/>
  <c r="AM284" i="19" s="1"/>
  <c r="AL289" i="19"/>
  <c r="AM289" i="19" s="1"/>
  <c r="AL272" i="19"/>
  <c r="E30" i="46"/>
  <c r="E42" i="46"/>
  <c r="AL185" i="19"/>
  <c r="AM185" i="19" s="1"/>
  <c r="AL105" i="19"/>
  <c r="AM105" i="19" s="1"/>
  <c r="AL81" i="19"/>
  <c r="AM81" i="19" s="1"/>
  <c r="AL57" i="19"/>
  <c r="AL150" i="19"/>
  <c r="AM150" i="19" s="1"/>
  <c r="AL126" i="19"/>
  <c r="AM126" i="19" s="1"/>
  <c r="AL114" i="19"/>
  <c r="AM114" i="19" s="1"/>
  <c r="AL90" i="19"/>
  <c r="AM90" i="19" s="1"/>
  <c r="AL18" i="19"/>
  <c r="AL6" i="19"/>
  <c r="AL118" i="19"/>
  <c r="AM118" i="19" s="1"/>
  <c r="I17" i="59" s="1"/>
  <c r="AL82" i="19"/>
  <c r="AM82" i="19" s="1"/>
  <c r="AL22" i="19"/>
  <c r="AL149" i="19"/>
  <c r="AM149" i="19" s="1"/>
  <c r="AL113" i="19"/>
  <c r="AL101" i="19"/>
  <c r="AM101" i="19" s="1"/>
  <c r="AL53" i="19"/>
  <c r="AM53" i="19" s="1"/>
  <c r="AL5" i="19"/>
  <c r="AL147" i="19"/>
  <c r="AM147" i="19" s="1"/>
  <c r="AL99" i="19"/>
  <c r="AM99" i="19" s="1"/>
  <c r="AL87" i="19"/>
  <c r="AM87" i="19" s="1"/>
  <c r="AL75" i="19"/>
  <c r="AM75" i="19" s="1"/>
  <c r="AL63" i="19"/>
  <c r="AM63" i="19" s="1"/>
  <c r="E50" i="46"/>
  <c r="E10" i="46"/>
  <c r="E49" i="46"/>
  <c r="E8" i="46"/>
  <c r="D97" i="75" s="1"/>
  <c r="E33" i="46"/>
  <c r="E7" i="46"/>
  <c r="D82" i="75" s="1"/>
  <c r="E41" i="46"/>
  <c r="E27" i="46"/>
  <c r="E11" i="46"/>
  <c r="D122" i="75" s="1"/>
  <c r="E47" i="46"/>
  <c r="E39" i="46"/>
  <c r="E3" i="46"/>
  <c r="E40" i="46"/>
  <c r="E4" i="46"/>
  <c r="E26" i="46"/>
  <c r="E51" i="46"/>
  <c r="E9" i="46"/>
  <c r="D117" i="75" s="1"/>
  <c r="E34" i="46"/>
  <c r="E5" i="46"/>
  <c r="D37" i="75" s="1"/>
  <c r="E29" i="46"/>
  <c r="E46" i="46"/>
  <c r="E16" i="46"/>
  <c r="E37" i="46"/>
  <c r="E36" i="46"/>
  <c r="E38" i="46"/>
  <c r="E32" i="46"/>
  <c r="E14" i="46"/>
  <c r="E22" i="46"/>
  <c r="E21" i="46"/>
  <c r="E20" i="46"/>
  <c r="E45" i="46"/>
  <c r="E48" i="46"/>
  <c r="E15" i="46"/>
  <c r="E18" i="46"/>
  <c r="E23" i="46"/>
  <c r="AL178" i="19"/>
  <c r="AM178" i="19" s="1"/>
  <c r="C54" i="46"/>
  <c r="C55" i="46" s="1"/>
  <c r="C56" i="46"/>
  <c r="AM123" i="19"/>
  <c r="E33" i="27"/>
  <c r="Q5" i="27"/>
  <c r="Q11" i="27"/>
  <c r="Q17" i="27"/>
  <c r="Q31" i="27"/>
  <c r="Q37" i="27"/>
  <c r="E28" i="27"/>
  <c r="E34" i="27"/>
  <c r="Q6" i="27"/>
  <c r="Q12" i="27"/>
  <c r="Q32" i="27"/>
  <c r="Q38" i="27"/>
  <c r="E29" i="27"/>
  <c r="E35" i="27"/>
  <c r="Q7" i="27"/>
  <c r="Q13" i="27"/>
  <c r="Q27" i="27"/>
  <c r="Q33" i="27"/>
  <c r="Q39" i="27"/>
  <c r="E30" i="27"/>
  <c r="E37" i="27"/>
  <c r="Q8" i="27"/>
  <c r="Q14" i="27"/>
  <c r="Q28" i="27"/>
  <c r="Q34" i="27"/>
  <c r="E25" i="27"/>
  <c r="E31" i="27"/>
  <c r="E38" i="27"/>
  <c r="Q9" i="27"/>
  <c r="Q15" i="27"/>
  <c r="Q29" i="27"/>
  <c r="Q35" i="27"/>
  <c r="E26" i="27"/>
  <c r="E32" i="27"/>
  <c r="Q4" i="27"/>
  <c r="Q10" i="27"/>
  <c r="Q16" i="27"/>
  <c r="Q30" i="27"/>
  <c r="Q36" i="27"/>
  <c r="E27" i="27"/>
  <c r="G54" i="46"/>
  <c r="G55" i="46" s="1"/>
  <c r="H54" i="46"/>
  <c r="H55" i="46" s="1"/>
  <c r="K96" i="46"/>
  <c r="K144" i="46"/>
  <c r="I54" i="46"/>
  <c r="I55" i="46" s="1"/>
  <c r="E56" i="46"/>
  <c r="K557" i="46"/>
  <c r="K544" i="46"/>
  <c r="K531" i="46"/>
  <c r="K509" i="46"/>
  <c r="K496" i="46"/>
  <c r="K483" i="46"/>
  <c r="K461" i="46"/>
  <c r="K448" i="46"/>
  <c r="K435" i="46"/>
  <c r="K413" i="46"/>
  <c r="K400" i="46"/>
  <c r="K387" i="46"/>
  <c r="K365" i="46"/>
  <c r="K352" i="46"/>
  <c r="K328" i="46"/>
  <c r="K304" i="46"/>
  <c r="K280" i="46"/>
  <c r="K256" i="46"/>
  <c r="K251" i="46"/>
  <c r="K513" i="46"/>
  <c r="K500" i="46"/>
  <c r="K439" i="46"/>
  <c r="K356" i="46"/>
  <c r="K337" i="46"/>
  <c r="K313" i="46"/>
  <c r="K289" i="46"/>
  <c r="K265" i="46"/>
  <c r="K240" i="46"/>
  <c r="K229" i="46"/>
  <c r="K109" i="46"/>
  <c r="K58" i="46"/>
  <c r="K561" i="46"/>
  <c r="K548" i="46"/>
  <c r="K535" i="46"/>
  <c r="K487" i="46"/>
  <c r="K465" i="46"/>
  <c r="K452" i="46"/>
  <c r="K417" i="46"/>
  <c r="K404" i="46"/>
  <c r="K391" i="46"/>
  <c r="K369" i="46"/>
  <c r="K63" i="46"/>
  <c r="K67" i="46"/>
  <c r="K71" i="46"/>
  <c r="K75" i="46"/>
  <c r="K79" i="46"/>
  <c r="K83" i="46"/>
  <c r="K87" i="46"/>
  <c r="K91" i="46"/>
  <c r="K95" i="46"/>
  <c r="K99" i="46"/>
  <c r="K103" i="46"/>
  <c r="K107" i="46"/>
  <c r="K111" i="46"/>
  <c r="K115" i="46"/>
  <c r="K119" i="46"/>
  <c r="K123" i="46"/>
  <c r="K127" i="46"/>
  <c r="K131" i="46"/>
  <c r="K135" i="46"/>
  <c r="K139" i="46"/>
  <c r="K143" i="46"/>
  <c r="K147" i="46"/>
  <c r="K151" i="46"/>
  <c r="K155" i="46"/>
  <c r="K159" i="46"/>
  <c r="K163" i="46"/>
  <c r="K167" i="46"/>
  <c r="K171" i="46"/>
  <c r="K175" i="46"/>
  <c r="K179" i="46"/>
  <c r="K183" i="46"/>
  <c r="K187" i="46"/>
  <c r="K191" i="46"/>
  <c r="K195" i="46"/>
  <c r="K199" i="46"/>
  <c r="K203" i="46"/>
  <c r="K207" i="46"/>
  <c r="K211" i="46"/>
  <c r="K215" i="46"/>
  <c r="K219" i="46"/>
  <c r="K223" i="46"/>
  <c r="K227" i="46"/>
  <c r="K231" i="46"/>
  <c r="K235" i="46"/>
  <c r="K62" i="46"/>
  <c r="K66" i="46"/>
  <c r="K70" i="46"/>
  <c r="K74" i="46"/>
  <c r="K78" i="46"/>
  <c r="K82" i="46"/>
  <c r="K86" i="46"/>
  <c r="K90" i="46"/>
  <c r="K94" i="46"/>
  <c r="K98" i="46"/>
  <c r="K102" i="46"/>
  <c r="K106" i="46"/>
  <c r="K110" i="46"/>
  <c r="K114" i="46"/>
  <c r="K118" i="46"/>
  <c r="K122" i="46"/>
  <c r="K126" i="46"/>
  <c r="K130" i="46"/>
  <c r="K134" i="46"/>
  <c r="K138" i="46"/>
  <c r="K142" i="46"/>
  <c r="K146" i="46"/>
  <c r="K150" i="46"/>
  <c r="K154" i="46"/>
  <c r="K158" i="46"/>
  <c r="K162" i="46"/>
  <c r="K166" i="46"/>
  <c r="K170" i="46"/>
  <c r="K174" i="46"/>
  <c r="K178" i="46"/>
  <c r="K182" i="46"/>
  <c r="K186" i="46"/>
  <c r="K190" i="46"/>
  <c r="K194" i="46"/>
  <c r="K198" i="46"/>
  <c r="K202" i="46"/>
  <c r="K206" i="46"/>
  <c r="K210" i="46"/>
  <c r="K214" i="46"/>
  <c r="K218" i="46"/>
  <c r="K222" i="46"/>
  <c r="K226" i="46"/>
  <c r="K230" i="46"/>
  <c r="K234" i="46"/>
  <c r="K238" i="46"/>
  <c r="K242" i="46"/>
  <c r="K246" i="46"/>
  <c r="K250" i="46"/>
  <c r="K254" i="46"/>
  <c r="K68" i="46"/>
  <c r="K92" i="46"/>
  <c r="K116" i="46"/>
  <c r="K140" i="46"/>
  <c r="K164" i="46"/>
  <c r="K188" i="46"/>
  <c r="K212" i="46"/>
  <c r="K236" i="46"/>
  <c r="K249" i="46"/>
  <c r="K73" i="46"/>
  <c r="K97" i="46"/>
  <c r="K121" i="46"/>
  <c r="K145" i="46"/>
  <c r="K169" i="46"/>
  <c r="K193" i="46"/>
  <c r="K217" i="46"/>
  <c r="K245" i="46"/>
  <c r="K258" i="46"/>
  <c r="K262" i="46"/>
  <c r="K266" i="46"/>
  <c r="K270" i="46"/>
  <c r="K274" i="46"/>
  <c r="K278" i="46"/>
  <c r="K282" i="46"/>
  <c r="K286" i="46"/>
  <c r="K290" i="46"/>
  <c r="K294" i="46"/>
  <c r="K298" i="46"/>
  <c r="K302" i="46"/>
  <c r="K306" i="46"/>
  <c r="K310" i="46"/>
  <c r="K314" i="46"/>
  <c r="K318" i="46"/>
  <c r="K322" i="46"/>
  <c r="K326" i="46"/>
  <c r="K330" i="46"/>
  <c r="K334" i="46"/>
  <c r="K338" i="46"/>
  <c r="K342" i="46"/>
  <c r="K346" i="46"/>
  <c r="K350" i="46"/>
  <c r="K354" i="46"/>
  <c r="K358" i="46"/>
  <c r="K362" i="46"/>
  <c r="K366" i="46"/>
  <c r="K370" i="46"/>
  <c r="K374" i="46"/>
  <c r="K378" i="46"/>
  <c r="K382" i="46"/>
  <c r="K386" i="46"/>
  <c r="K390" i="46"/>
  <c r="K394" i="46"/>
  <c r="K398" i="46"/>
  <c r="K402" i="46"/>
  <c r="K406" i="46"/>
  <c r="K410" i="46"/>
  <c r="K414" i="46"/>
  <c r="K418" i="46"/>
  <c r="K422" i="46"/>
  <c r="K426" i="46"/>
  <c r="K430" i="46"/>
  <c r="K434" i="46"/>
  <c r="K438" i="46"/>
  <c r="K442" i="46"/>
  <c r="K446" i="46"/>
  <c r="K450" i="46"/>
  <c r="K454" i="46"/>
  <c r="K458" i="46"/>
  <c r="K462" i="46"/>
  <c r="K466" i="46"/>
  <c r="K470" i="46"/>
  <c r="K474" i="46"/>
  <c r="K478" i="46"/>
  <c r="K482" i="46"/>
  <c r="K486" i="46"/>
  <c r="K490" i="46"/>
  <c r="K494" i="46"/>
  <c r="K498" i="46"/>
  <c r="K502" i="46"/>
  <c r="K506" i="46"/>
  <c r="K510" i="46"/>
  <c r="K514" i="46"/>
  <c r="K518" i="46"/>
  <c r="K522" i="46"/>
  <c r="K526" i="46"/>
  <c r="K530" i="46"/>
  <c r="K534" i="46"/>
  <c r="K538" i="46"/>
  <c r="K542" i="46"/>
  <c r="K546" i="46"/>
  <c r="K550" i="46"/>
  <c r="K554" i="46"/>
  <c r="K558" i="46"/>
  <c r="K562" i="46"/>
  <c r="K64" i="46"/>
  <c r="K88" i="46"/>
  <c r="K112" i="46"/>
  <c r="K136" i="46"/>
  <c r="K160" i="46"/>
  <c r="K184" i="46"/>
  <c r="K208" i="46"/>
  <c r="K232" i="46"/>
  <c r="K241" i="46"/>
  <c r="K69" i="46"/>
  <c r="K93" i="46"/>
  <c r="K117" i="46"/>
  <c r="K141" i="46"/>
  <c r="K165" i="46"/>
  <c r="K189" i="46"/>
  <c r="K213" i="46"/>
  <c r="K237" i="46"/>
  <c r="K60" i="46"/>
  <c r="K84" i="46"/>
  <c r="K108" i="46"/>
  <c r="K132" i="46"/>
  <c r="K156" i="46"/>
  <c r="K180" i="46"/>
  <c r="K204" i="46"/>
  <c r="K228" i="46"/>
  <c r="K255" i="46"/>
  <c r="K259" i="46"/>
  <c r="K263" i="46"/>
  <c r="K267" i="46"/>
  <c r="K271" i="46"/>
  <c r="K275" i="46"/>
  <c r="K279" i="46"/>
  <c r="K283" i="46"/>
  <c r="K287" i="46"/>
  <c r="K291" i="46"/>
  <c r="K295" i="46"/>
  <c r="K299" i="46"/>
  <c r="K303" i="46"/>
  <c r="K307" i="46"/>
  <c r="K311" i="46"/>
  <c r="K315" i="46"/>
  <c r="K319" i="46"/>
  <c r="K323" i="46"/>
  <c r="K327" i="46"/>
  <c r="K331" i="46"/>
  <c r="K335" i="46"/>
  <c r="K339" i="46"/>
  <c r="K343" i="46"/>
  <c r="K347" i="46"/>
  <c r="K351" i="46"/>
  <c r="K65" i="46"/>
  <c r="K89" i="46"/>
  <c r="K113" i="46"/>
  <c r="K137" i="46"/>
  <c r="K161" i="46"/>
  <c r="K185" i="46"/>
  <c r="K80" i="46"/>
  <c r="K104" i="46"/>
  <c r="K128" i="46"/>
  <c r="K152" i="46"/>
  <c r="K176" i="46"/>
  <c r="K200" i="46"/>
  <c r="K224" i="46"/>
  <c r="K247" i="46"/>
  <c r="K76" i="46"/>
  <c r="K100" i="46"/>
  <c r="K124" i="46"/>
  <c r="K148" i="46"/>
  <c r="K172" i="46"/>
  <c r="K196" i="46"/>
  <c r="K220" i="46"/>
  <c r="K239" i="46"/>
  <c r="K252" i="46"/>
  <c r="K81" i="46"/>
  <c r="K105" i="46"/>
  <c r="K129" i="46"/>
  <c r="K153" i="46"/>
  <c r="K177" i="46"/>
  <c r="K201" i="46"/>
  <c r="K225" i="46"/>
  <c r="K248" i="46"/>
  <c r="K77" i="46"/>
  <c r="K101" i="46"/>
  <c r="K125" i="46"/>
  <c r="K149" i="46"/>
  <c r="K173" i="46"/>
  <c r="K197" i="46"/>
  <c r="K757" i="46"/>
  <c r="K753" i="46"/>
  <c r="K749" i="46"/>
  <c r="K745" i="46"/>
  <c r="K741" i="46"/>
  <c r="K737" i="46"/>
  <c r="K733" i="46"/>
  <c r="K729" i="46"/>
  <c r="K725" i="46"/>
  <c r="K721" i="46"/>
  <c r="K717" i="46"/>
  <c r="K713" i="46"/>
  <c r="K709" i="46"/>
  <c r="K705" i="46"/>
  <c r="K701" i="46"/>
  <c r="K697" i="46"/>
  <c r="K693" i="46"/>
  <c r="K689" i="46"/>
  <c r="K685" i="46"/>
  <c r="K681" i="46"/>
  <c r="K677" i="46"/>
  <c r="K673" i="46"/>
  <c r="K669" i="46"/>
  <c r="K665" i="46"/>
  <c r="K661" i="46"/>
  <c r="K657" i="46"/>
  <c r="K653" i="46"/>
  <c r="K649" i="46"/>
  <c r="K645" i="46"/>
  <c r="K641" i="46"/>
  <c r="K637" i="46"/>
  <c r="K633" i="46"/>
  <c r="K629" i="46"/>
  <c r="K625" i="46"/>
  <c r="K621" i="46"/>
  <c r="K617" i="46"/>
  <c r="K613" i="46"/>
  <c r="K609" i="46"/>
  <c r="K605" i="46"/>
  <c r="K601" i="46"/>
  <c r="K597" i="46"/>
  <c r="K593" i="46"/>
  <c r="K589" i="46"/>
  <c r="K585" i="46"/>
  <c r="K581" i="46"/>
  <c r="K577" i="46"/>
  <c r="K573" i="46"/>
  <c r="K569" i="46"/>
  <c r="K565" i="46"/>
  <c r="K552" i="46"/>
  <c r="K539" i="46"/>
  <c r="K517" i="46"/>
  <c r="K504" i="46"/>
  <c r="K491" i="46"/>
  <c r="K469" i="46"/>
  <c r="K456" i="46"/>
  <c r="K443" i="46"/>
  <c r="K421" i="46"/>
  <c r="K408" i="46"/>
  <c r="K395" i="46"/>
  <c r="K373" i="46"/>
  <c r="K360" i="46"/>
  <c r="K332" i="46"/>
  <c r="K308" i="46"/>
  <c r="K284" i="46"/>
  <c r="K260" i="46"/>
  <c r="K120" i="46"/>
  <c r="K556" i="46"/>
  <c r="K543" i="46"/>
  <c r="K521" i="46"/>
  <c r="K508" i="46"/>
  <c r="K495" i="46"/>
  <c r="K473" i="46"/>
  <c r="K460" i="46"/>
  <c r="K447" i="46"/>
  <c r="K425" i="46"/>
  <c r="K412" i="46"/>
  <c r="K399" i="46"/>
  <c r="K377" i="46"/>
  <c r="K364" i="46"/>
  <c r="K341" i="46"/>
  <c r="K317" i="46"/>
  <c r="K293" i="46"/>
  <c r="K269" i="46"/>
  <c r="K244" i="46"/>
  <c r="K85" i="46"/>
  <c r="K560" i="46"/>
  <c r="K547" i="46"/>
  <c r="K525" i="46"/>
  <c r="K512" i="46"/>
  <c r="K499" i="46"/>
  <c r="K477" i="46"/>
  <c r="K464" i="46"/>
  <c r="K451" i="46"/>
  <c r="K429" i="46"/>
  <c r="K416" i="46"/>
  <c r="K403" i="46"/>
  <c r="K381" i="46"/>
  <c r="K368" i="46"/>
  <c r="K355" i="46"/>
  <c r="K336" i="46"/>
  <c r="K312" i="46"/>
  <c r="K288" i="46"/>
  <c r="K264" i="46"/>
  <c r="K233" i="46"/>
  <c r="K756" i="46"/>
  <c r="K752" i="46"/>
  <c r="K748" i="46"/>
  <c r="K744" i="46"/>
  <c r="K740" i="46"/>
  <c r="K736" i="46"/>
  <c r="K732" i="46"/>
  <c r="K728" i="46"/>
  <c r="K724" i="46"/>
  <c r="K720" i="46"/>
  <c r="K716" i="46"/>
  <c r="K712" i="46"/>
  <c r="K708" i="46"/>
  <c r="K704" i="46"/>
  <c r="K700" i="46"/>
  <c r="K696" i="46"/>
  <c r="K692" i="46"/>
  <c r="K688" i="46"/>
  <c r="K684" i="46"/>
  <c r="K680" i="46"/>
  <c r="K676" i="46"/>
  <c r="K672" i="46"/>
  <c r="K668" i="46"/>
  <c r="K664" i="46"/>
  <c r="K660" i="46"/>
  <c r="K656" i="46"/>
  <c r="K652" i="46"/>
  <c r="K648" i="46"/>
  <c r="K644" i="46"/>
  <c r="K640" i="46"/>
  <c r="K636" i="46"/>
  <c r="K632" i="46"/>
  <c r="K628" i="46"/>
  <c r="K624" i="46"/>
  <c r="K620" i="46"/>
  <c r="K616" i="46"/>
  <c r="K612" i="46"/>
  <c r="K608" i="46"/>
  <c r="K604" i="46"/>
  <c r="K600" i="46"/>
  <c r="K596" i="46"/>
  <c r="K592" i="46"/>
  <c r="K588" i="46"/>
  <c r="K584" i="46"/>
  <c r="K580" i="46"/>
  <c r="K576" i="46"/>
  <c r="K572" i="46"/>
  <c r="K568" i="46"/>
  <c r="K564" i="46"/>
  <c r="K551" i="46"/>
  <c r="K529" i="46"/>
  <c r="K516" i="46"/>
  <c r="K503" i="46"/>
  <c r="K481" i="46"/>
  <c r="K468" i="46"/>
  <c r="K455" i="46"/>
  <c r="K433" i="46"/>
  <c r="K420" i="46"/>
  <c r="K407" i="46"/>
  <c r="K385" i="46"/>
  <c r="K372" i="46"/>
  <c r="K359" i="46"/>
  <c r="K345" i="46"/>
  <c r="K321" i="46"/>
  <c r="K297" i="46"/>
  <c r="K273" i="46"/>
  <c r="K216" i="46"/>
  <c r="K205" i="46"/>
  <c r="K61" i="46"/>
  <c r="K555" i="46"/>
  <c r="K533" i="46"/>
  <c r="K520" i="46"/>
  <c r="K507" i="46"/>
  <c r="K485" i="46"/>
  <c r="K472" i="46"/>
  <c r="K459" i="46"/>
  <c r="K437" i="46"/>
  <c r="K424" i="46"/>
  <c r="K411" i="46"/>
  <c r="K389" i="46"/>
  <c r="K376" i="46"/>
  <c r="K363" i="46"/>
  <c r="K340" i="46"/>
  <c r="K316" i="46"/>
  <c r="K292" i="46"/>
  <c r="K268" i="46"/>
  <c r="K243" i="46"/>
  <c r="K221" i="46"/>
  <c r="K72" i="46"/>
  <c r="K559" i="46"/>
  <c r="K537" i="46"/>
  <c r="K524" i="46"/>
  <c r="K511" i="46"/>
  <c r="K489" i="46"/>
  <c r="K476" i="46"/>
  <c r="K463" i="46"/>
  <c r="K441" i="46"/>
  <c r="K428" i="46"/>
  <c r="K415" i="46"/>
  <c r="K393" i="46"/>
  <c r="K380" i="46"/>
  <c r="K367" i="46"/>
  <c r="K349" i="46"/>
  <c r="K325" i="46"/>
  <c r="K301" i="46"/>
  <c r="K277" i="46"/>
  <c r="K253" i="46"/>
  <c r="K181" i="46"/>
  <c r="K755" i="46"/>
  <c r="K751" i="46"/>
  <c r="K747" i="46"/>
  <c r="K743" i="46"/>
  <c r="K739" i="46"/>
  <c r="K735" i="46"/>
  <c r="K731" i="46"/>
  <c r="K727" i="46"/>
  <c r="K723" i="46"/>
  <c r="K719" i="46"/>
  <c r="K715" i="46"/>
  <c r="K711" i="46"/>
  <c r="K707" i="46"/>
  <c r="K703" i="46"/>
  <c r="K699" i="46"/>
  <c r="K695" i="46"/>
  <c r="K691" i="46"/>
  <c r="K687" i="46"/>
  <c r="K683" i="46"/>
  <c r="K679" i="46"/>
  <c r="K675" i="46"/>
  <c r="K671" i="46"/>
  <c r="K667" i="46"/>
  <c r="K663" i="46"/>
  <c r="K659" i="46"/>
  <c r="K655" i="46"/>
  <c r="K651" i="46"/>
  <c r="K647" i="46"/>
  <c r="K643" i="46"/>
  <c r="K639" i="46"/>
  <c r="K635" i="46"/>
  <c r="K631" i="46"/>
  <c r="K627" i="46"/>
  <c r="K623" i="46"/>
  <c r="K619" i="46"/>
  <c r="K615" i="46"/>
  <c r="K611" i="46"/>
  <c r="K607" i="46"/>
  <c r="K603" i="46"/>
  <c r="K599" i="46"/>
  <c r="K595" i="46"/>
  <c r="K591" i="46"/>
  <c r="K587" i="46"/>
  <c r="K583" i="46"/>
  <c r="K579" i="46"/>
  <c r="K575" i="46"/>
  <c r="K571" i="46"/>
  <c r="K567" i="46"/>
  <c r="K563" i="46"/>
  <c r="K541" i="46"/>
  <c r="K528" i="46"/>
  <c r="K515" i="46"/>
  <c r="K493" i="46"/>
  <c r="K480" i="46"/>
  <c r="K467" i="46"/>
  <c r="K445" i="46"/>
  <c r="K432" i="46"/>
  <c r="K419" i="46"/>
  <c r="K397" i="46"/>
  <c r="K384" i="46"/>
  <c r="K371" i="46"/>
  <c r="K344" i="46"/>
  <c r="K320" i="46"/>
  <c r="K296" i="46"/>
  <c r="K272" i="46"/>
  <c r="K209" i="46"/>
  <c r="K192" i="46"/>
  <c r="K545" i="46"/>
  <c r="K532" i="46"/>
  <c r="K519" i="46"/>
  <c r="K497" i="46"/>
  <c r="K484" i="46"/>
  <c r="K471" i="46"/>
  <c r="K449" i="46"/>
  <c r="K436" i="46"/>
  <c r="K423" i="46"/>
  <c r="K401" i="46"/>
  <c r="K388" i="46"/>
  <c r="K375" i="46"/>
  <c r="K353" i="46"/>
  <c r="K329" i="46"/>
  <c r="K305" i="46"/>
  <c r="K281" i="46"/>
  <c r="K257" i="46"/>
  <c r="K157" i="46"/>
  <c r="K549" i="46"/>
  <c r="K536" i="46"/>
  <c r="K523" i="46"/>
  <c r="K501" i="46"/>
  <c r="K488" i="46"/>
  <c r="K475" i="46"/>
  <c r="K453" i="46"/>
  <c r="K440" i="46"/>
  <c r="K427" i="46"/>
  <c r="K405" i="46"/>
  <c r="K392" i="46"/>
  <c r="K379" i="46"/>
  <c r="K357" i="46"/>
  <c r="K348" i="46"/>
  <c r="K324" i="46"/>
  <c r="K300" i="46"/>
  <c r="K276" i="46"/>
  <c r="K168" i="46"/>
  <c r="D56" i="46"/>
  <c r="K754" i="46"/>
  <c r="K750" i="46"/>
  <c r="K746" i="46"/>
  <c r="K742" i="46"/>
  <c r="K738" i="46"/>
  <c r="K734" i="46"/>
  <c r="K730" i="46"/>
  <c r="K726" i="46"/>
  <c r="K722" i="46"/>
  <c r="K718" i="46"/>
  <c r="K714" i="46"/>
  <c r="K710" i="46"/>
  <c r="K706" i="46"/>
  <c r="K702" i="46"/>
  <c r="K698" i="46"/>
  <c r="K694" i="46"/>
  <c r="K690" i="46"/>
  <c r="K686" i="46"/>
  <c r="K682" i="46"/>
  <c r="K678" i="46"/>
  <c r="K674" i="46"/>
  <c r="K670" i="46"/>
  <c r="K666" i="46"/>
  <c r="K662" i="46"/>
  <c r="K658" i="46"/>
  <c r="K654" i="46"/>
  <c r="K650" i="46"/>
  <c r="K646" i="46"/>
  <c r="K642" i="46"/>
  <c r="K638" i="46"/>
  <c r="K634" i="46"/>
  <c r="K630" i="46"/>
  <c r="K626" i="46"/>
  <c r="K622" i="46"/>
  <c r="K618" i="46"/>
  <c r="K614" i="46"/>
  <c r="K610" i="46"/>
  <c r="K606" i="46"/>
  <c r="K602" i="46"/>
  <c r="K598" i="46"/>
  <c r="K594" i="46"/>
  <c r="K590" i="46"/>
  <c r="K586" i="46"/>
  <c r="K582" i="46"/>
  <c r="K578" i="46"/>
  <c r="K574" i="46"/>
  <c r="K570" i="46"/>
  <c r="K566" i="46"/>
  <c r="K553" i="46"/>
  <c r="K540" i="46"/>
  <c r="K527" i="46"/>
  <c r="K505" i="46"/>
  <c r="K492" i="46"/>
  <c r="K479" i="46"/>
  <c r="K457" i="46"/>
  <c r="K444" i="46"/>
  <c r="K431" i="46"/>
  <c r="K409" i="46"/>
  <c r="K396" i="46"/>
  <c r="K383" i="46"/>
  <c r="K361" i="46"/>
  <c r="K333" i="46"/>
  <c r="K309" i="46"/>
  <c r="K285" i="46"/>
  <c r="K261" i="46"/>
  <c r="K133" i="46"/>
  <c r="F56" i="46"/>
  <c r="F54" i="46"/>
  <c r="F55" i="46" s="1"/>
  <c r="G56" i="46"/>
  <c r="H56" i="46"/>
  <c r="I56" i="46"/>
  <c r="J54" i="46"/>
  <c r="J55" i="46" s="1"/>
  <c r="E54" i="46"/>
  <c r="E55" i="46" s="1"/>
  <c r="D54" i="46"/>
  <c r="D55" i="46" s="1"/>
  <c r="J56" i="46"/>
  <c r="A783" i="19"/>
  <c r="A729" i="19"/>
  <c r="A759" i="19"/>
  <c r="A717" i="19"/>
  <c r="A771" i="19"/>
  <c r="A765" i="19"/>
  <c r="A735" i="19"/>
  <c r="A723" i="19"/>
  <c r="A711" i="19"/>
  <c r="A699" i="19"/>
  <c r="A747" i="19"/>
  <c r="D137" i="75" l="1"/>
  <c r="AC91" i="56" a="1"/>
  <c r="AC91" i="56" s="1"/>
  <c r="AE91" i="56" a="1"/>
  <c r="AE91" i="56" s="1"/>
  <c r="AC82" i="56" a="1"/>
  <c r="AC82" i="56" s="1"/>
  <c r="AC107" i="56" a="1"/>
  <c r="AC107" i="56" s="1"/>
  <c r="AC74" i="56" a="1"/>
  <c r="AC74" i="56" s="1"/>
  <c r="AE104" i="56" a="1"/>
  <c r="AE104" i="56" s="1"/>
  <c r="AE83" i="56" a="1"/>
  <c r="AE83" i="56" s="1"/>
  <c r="AE97" i="56" a="1"/>
  <c r="AE97" i="56" s="1"/>
  <c r="AE78" i="56" a="1"/>
  <c r="AE78" i="56" s="1"/>
  <c r="AC78" i="56" a="1"/>
  <c r="AC78" i="56" s="1"/>
  <c r="AC69" i="56" a="1"/>
  <c r="AC69" i="56" s="1"/>
  <c r="AC85" i="56" a="1"/>
  <c r="AC85" i="56" s="1"/>
  <c r="AE79" i="56" a="1"/>
  <c r="AE79" i="56" s="1"/>
  <c r="AE87" i="56" a="1"/>
  <c r="AE87" i="56" s="1"/>
  <c r="AC87" i="56" a="1"/>
  <c r="AC87" i="56" s="1"/>
  <c r="AC72" i="56" a="1"/>
  <c r="AC72" i="56" s="1"/>
  <c r="AC102" i="56" a="1"/>
  <c r="AC102" i="56" s="1"/>
  <c r="AC75" i="56" a="1"/>
  <c r="AC75" i="56" s="1"/>
  <c r="AE99" i="56" a="1"/>
  <c r="AE99" i="56" s="1"/>
  <c r="AC90" i="56" a="1"/>
  <c r="AC90" i="56" s="1"/>
  <c r="AE90" i="56" a="1"/>
  <c r="AE90" i="56" s="1"/>
  <c r="AC76" i="56" a="1"/>
  <c r="AC76" i="56" s="1"/>
  <c r="AC100" i="56" a="1"/>
  <c r="AC100" i="56" s="1"/>
  <c r="AE84" i="56" a="1"/>
  <c r="AE84" i="56" s="1"/>
  <c r="AC73" i="56" a="1"/>
  <c r="AC73" i="56" s="1"/>
  <c r="AE73" i="56" a="1"/>
  <c r="AE73" i="56" s="1"/>
  <c r="AE80" i="56" a="1"/>
  <c r="AE80" i="56" s="1"/>
  <c r="AC58" i="56" a="1"/>
  <c r="AC58" i="56" s="1"/>
  <c r="AE58" i="56" a="1"/>
  <c r="AE58" i="56" s="1"/>
  <c r="AC105" i="56" a="1"/>
  <c r="AC105" i="56" s="1"/>
  <c r="AC96" i="56" a="1"/>
  <c r="AC96" i="56" s="1"/>
  <c r="AE103" i="56" a="1"/>
  <c r="AE103" i="56" s="1"/>
  <c r="AE101" i="56" a="1"/>
  <c r="AE101" i="56" s="1"/>
  <c r="AC94" i="56" a="1"/>
  <c r="AC94" i="56" s="1"/>
  <c r="AE81" i="56" a="1"/>
  <c r="AE81" i="56" s="1"/>
  <c r="AC81" i="56" a="1"/>
  <c r="AC81" i="56" s="1"/>
  <c r="AC88" i="56" a="1"/>
  <c r="AC88" i="56" s="1"/>
  <c r="AE88" i="56" a="1"/>
  <c r="AE88" i="56" s="1"/>
  <c r="AC86" i="56" a="1"/>
  <c r="AC86" i="56" s="1"/>
  <c r="AE86" i="56" a="1"/>
  <c r="AE86" i="56" s="1"/>
  <c r="AM6" i="19"/>
  <c r="T4" i="49"/>
  <c r="X4" i="49" s="1"/>
  <c r="D107" i="75"/>
  <c r="D27" i="75"/>
  <c r="D162" i="75"/>
  <c r="D172" i="75"/>
  <c r="D152" i="75"/>
  <c r="D167" i="75"/>
  <c r="D52" i="75"/>
  <c r="D177" i="75"/>
  <c r="D47" i="75"/>
  <c r="D142" i="75"/>
  <c r="D12" i="75"/>
  <c r="D32" i="75"/>
  <c r="D187" i="75"/>
  <c r="D147" i="75"/>
  <c r="D112" i="75"/>
  <c r="D197" i="75"/>
  <c r="D127" i="75"/>
  <c r="D7" i="75"/>
  <c r="D92" i="75"/>
  <c r="D57" i="75"/>
  <c r="D87" i="75"/>
  <c r="D72" i="75"/>
  <c r="D157" i="75"/>
  <c r="D42" i="75"/>
  <c r="D77" i="75"/>
  <c r="D17" i="75"/>
  <c r="D102" i="75"/>
  <c r="D182" i="75"/>
  <c r="D22" i="75"/>
  <c r="D192" i="75"/>
  <c r="B86" i="55"/>
  <c r="B138" i="55" s="1"/>
  <c r="B79" i="55"/>
  <c r="B131" i="55" s="1"/>
  <c r="B77" i="55"/>
  <c r="B129" i="55" s="1"/>
  <c r="B82" i="55"/>
  <c r="B134" i="55" s="1"/>
  <c r="B89" i="55"/>
  <c r="B141" i="55" s="1"/>
  <c r="B76" i="55"/>
  <c r="B128" i="55" s="1"/>
  <c r="B87" i="55"/>
  <c r="B139" i="55" s="1"/>
  <c r="B93" i="55"/>
  <c r="B145" i="55" s="1"/>
  <c r="B94" i="55"/>
  <c r="B146" i="55" s="1"/>
  <c r="B99" i="55"/>
  <c r="B151" i="55" s="1"/>
  <c r="B98" i="55"/>
  <c r="B150" i="55" s="1"/>
  <c r="B81" i="55"/>
  <c r="B133" i="55" s="1"/>
  <c r="B92" i="55"/>
  <c r="B144" i="55" s="1"/>
  <c r="B97" i="55"/>
  <c r="B149" i="55" s="1"/>
  <c r="B85" i="55"/>
  <c r="B137" i="55" s="1"/>
  <c r="B78" i="55"/>
  <c r="B130" i="55" s="1"/>
  <c r="B103" i="55"/>
  <c r="B155" i="55" s="1"/>
  <c r="B96" i="55"/>
  <c r="B148" i="55" s="1"/>
  <c r="B83" i="55"/>
  <c r="B135" i="55" s="1"/>
  <c r="B101" i="55"/>
  <c r="B153" i="55" s="1"/>
  <c r="B84" i="55"/>
  <c r="B136" i="55" s="1"/>
  <c r="B91" i="55"/>
  <c r="B143" i="55" s="1"/>
  <c r="B80" i="55"/>
  <c r="B132" i="55" s="1"/>
  <c r="B100" i="55"/>
  <c r="B152" i="55" s="1"/>
  <c r="B88" i="55"/>
  <c r="B140" i="55" s="1"/>
  <c r="B95" i="55"/>
  <c r="B147" i="55" s="1"/>
  <c r="B90" i="55"/>
  <c r="B142" i="55" s="1"/>
  <c r="AA42" i="59"/>
  <c r="Y42" i="59"/>
  <c r="B138" i="56"/>
  <c r="B191" i="56"/>
  <c r="B135" i="56"/>
  <c r="B188" i="56"/>
  <c r="B160" i="56"/>
  <c r="C160" i="56" s="1"/>
  <c r="B213" i="56"/>
  <c r="C213" i="56" s="1"/>
  <c r="B151" i="56"/>
  <c r="B204" i="56"/>
  <c r="B125" i="56"/>
  <c r="B178" i="56"/>
  <c r="B122" i="56"/>
  <c r="B175" i="56"/>
  <c r="B142" i="56"/>
  <c r="B195" i="56"/>
  <c r="B134" i="56"/>
  <c r="B187" i="56"/>
  <c r="B146" i="56"/>
  <c r="B199" i="56"/>
  <c r="B121" i="56"/>
  <c r="B174" i="56"/>
  <c r="B129" i="56"/>
  <c r="B182" i="56"/>
  <c r="B139" i="56"/>
  <c r="B192" i="56"/>
  <c r="B149" i="56"/>
  <c r="B202" i="56"/>
  <c r="B145" i="56"/>
  <c r="B198" i="56"/>
  <c r="B133" i="56"/>
  <c r="B186" i="56"/>
  <c r="B137" i="56"/>
  <c r="B190" i="56"/>
  <c r="B132" i="56"/>
  <c r="B185" i="56"/>
  <c r="B153" i="56"/>
  <c r="B206" i="56"/>
  <c r="B147" i="56"/>
  <c r="B200" i="56"/>
  <c r="B126" i="56"/>
  <c r="B179" i="56"/>
  <c r="B124" i="56"/>
  <c r="B177" i="56"/>
  <c r="B141" i="56"/>
  <c r="B194" i="56"/>
  <c r="B144" i="56"/>
  <c r="B197" i="56"/>
  <c r="B128" i="56"/>
  <c r="B181" i="56"/>
  <c r="B152" i="56"/>
  <c r="B205" i="56"/>
  <c r="B148" i="56"/>
  <c r="B201" i="56"/>
  <c r="B131" i="56"/>
  <c r="B184" i="56"/>
  <c r="B158" i="56"/>
  <c r="C158" i="56" s="1"/>
  <c r="B211" i="56"/>
  <c r="B157" i="56"/>
  <c r="B210" i="56"/>
  <c r="B140" i="56"/>
  <c r="B193" i="56"/>
  <c r="B136" i="56"/>
  <c r="B189" i="56"/>
  <c r="B155" i="56"/>
  <c r="B208" i="56"/>
  <c r="B127" i="56"/>
  <c r="B180" i="56"/>
  <c r="B123" i="56"/>
  <c r="B176" i="56"/>
  <c r="B143" i="56"/>
  <c r="B196" i="56"/>
  <c r="B154" i="56"/>
  <c r="B207" i="56"/>
  <c r="B150" i="56"/>
  <c r="B203" i="56"/>
  <c r="B130" i="56"/>
  <c r="B183" i="56"/>
  <c r="B156" i="56"/>
  <c r="B209" i="56"/>
  <c r="C52" i="56"/>
  <c r="B106" i="56"/>
  <c r="D52" i="56"/>
  <c r="N72" i="56"/>
  <c r="C72" i="56"/>
  <c r="O72" i="56"/>
  <c r="D72" i="56"/>
  <c r="M72" i="56"/>
  <c r="L72" i="56"/>
  <c r="C44" i="61"/>
  <c r="C45" i="61"/>
  <c r="C43" i="61"/>
  <c r="D2" i="75"/>
  <c r="N99" i="56"/>
  <c r="L99" i="56"/>
  <c r="O99" i="56"/>
  <c r="M99" i="56"/>
  <c r="M97" i="56"/>
  <c r="O97" i="56"/>
  <c r="L97" i="56"/>
  <c r="N97" i="56"/>
  <c r="C51" i="56"/>
  <c r="D51" i="56"/>
  <c r="E51" i="56" s="1"/>
  <c r="M80" i="56"/>
  <c r="N80" i="56"/>
  <c r="L80" i="56"/>
  <c r="O80" i="56"/>
  <c r="L101" i="56"/>
  <c r="N101" i="56"/>
  <c r="M101" i="56"/>
  <c r="O101" i="56"/>
  <c r="C4" i="75"/>
  <c r="C2" i="75"/>
  <c r="C3" i="75"/>
  <c r="M100" i="56"/>
  <c r="O100" i="56"/>
  <c r="N100" i="56"/>
  <c r="L100" i="56"/>
  <c r="L96" i="56"/>
  <c r="O96" i="56"/>
  <c r="M96" i="56"/>
  <c r="N96" i="56"/>
  <c r="M103" i="56"/>
  <c r="O103" i="56"/>
  <c r="N103" i="56"/>
  <c r="L103" i="56"/>
  <c r="N102" i="56"/>
  <c r="O102" i="56"/>
  <c r="M102" i="56"/>
  <c r="L102" i="56"/>
  <c r="L107" i="56"/>
  <c r="M107" i="56"/>
  <c r="O107" i="56"/>
  <c r="N107" i="56"/>
  <c r="D58" i="56"/>
  <c r="L58" i="56"/>
  <c r="K2" i="75" s="1"/>
  <c r="O58" i="56"/>
  <c r="M58" i="56"/>
  <c r="N58" i="56"/>
  <c r="S2" i="75"/>
  <c r="O98" i="56"/>
  <c r="N98" i="56"/>
  <c r="L98" i="56"/>
  <c r="M98" i="56"/>
  <c r="E4" i="74"/>
  <c r="G4" i="74"/>
  <c r="K4" i="74"/>
  <c r="I4" i="74"/>
  <c r="AB44" i="59"/>
  <c r="AC44" i="59"/>
  <c r="S44" i="59"/>
  <c r="R44" i="59"/>
  <c r="E31" i="74"/>
  <c r="K24" i="74"/>
  <c r="K31" i="74"/>
  <c r="E24" i="74"/>
  <c r="I24" i="74"/>
  <c r="G31" i="74"/>
  <c r="I41" i="74"/>
  <c r="K41" i="74"/>
  <c r="E41" i="74"/>
  <c r="G41" i="74"/>
  <c r="I5" i="74"/>
  <c r="G5" i="74"/>
  <c r="K5" i="74"/>
  <c r="E5" i="74"/>
  <c r="I8" i="74"/>
  <c r="G8" i="74"/>
  <c r="K8" i="74"/>
  <c r="E8" i="74"/>
  <c r="I40" i="74"/>
  <c r="E40" i="74"/>
  <c r="K40" i="74"/>
  <c r="G40" i="74"/>
  <c r="I34" i="74"/>
  <c r="K34" i="74"/>
  <c r="E34" i="74"/>
  <c r="G34" i="74"/>
  <c r="I11" i="74"/>
  <c r="G11" i="74"/>
  <c r="K11" i="74"/>
  <c r="E11" i="74"/>
  <c r="I38" i="74"/>
  <c r="K38" i="74"/>
  <c r="G38" i="74"/>
  <c r="E38" i="74"/>
  <c r="I28" i="74"/>
  <c r="K28" i="74"/>
  <c r="E28" i="74"/>
  <c r="G28" i="74"/>
  <c r="I39" i="74"/>
  <c r="G39" i="74"/>
  <c r="K39" i="74"/>
  <c r="E39" i="74"/>
  <c r="I48" i="74"/>
  <c r="G48" i="74"/>
  <c r="K48" i="74"/>
  <c r="E48" i="74"/>
  <c r="I51" i="74"/>
  <c r="E51" i="74"/>
  <c r="K51" i="74"/>
  <c r="G51" i="74"/>
  <c r="E26" i="74"/>
  <c r="I26" i="74"/>
  <c r="K26" i="74"/>
  <c r="G26" i="74"/>
  <c r="I29" i="74"/>
  <c r="E29" i="74"/>
  <c r="K29" i="74"/>
  <c r="G29" i="74"/>
  <c r="I46" i="74"/>
  <c r="K46" i="74"/>
  <c r="G46" i="74"/>
  <c r="E46" i="74"/>
  <c r="I50" i="74"/>
  <c r="E50" i="74"/>
  <c r="G50" i="74"/>
  <c r="K50" i="74"/>
  <c r="I43" i="74"/>
  <c r="E43" i="74"/>
  <c r="K43" i="74"/>
  <c r="G43" i="74"/>
  <c r="I20" i="74"/>
  <c r="K20" i="74"/>
  <c r="G20" i="74"/>
  <c r="E20" i="74"/>
  <c r="I22" i="74"/>
  <c r="K22" i="74"/>
  <c r="G22" i="74"/>
  <c r="E22" i="74"/>
  <c r="I32" i="74"/>
  <c r="G32" i="74"/>
  <c r="E32" i="74"/>
  <c r="K32" i="74"/>
  <c r="I10" i="74"/>
  <c r="K10" i="74"/>
  <c r="E10" i="74"/>
  <c r="G10" i="74"/>
  <c r="I23" i="74"/>
  <c r="K23" i="74"/>
  <c r="E23" i="74"/>
  <c r="G23" i="74"/>
  <c r="I15" i="74"/>
  <c r="E15" i="74"/>
  <c r="K15" i="74"/>
  <c r="G15" i="74"/>
  <c r="I13" i="74"/>
  <c r="G13" i="74"/>
  <c r="E13" i="74"/>
  <c r="K13" i="74"/>
  <c r="I45" i="74"/>
  <c r="E45" i="74"/>
  <c r="K45" i="74"/>
  <c r="G45" i="74"/>
  <c r="K9" i="74"/>
  <c r="E9" i="74"/>
  <c r="I9" i="74"/>
  <c r="G9" i="74"/>
  <c r="I27" i="74"/>
  <c r="E27" i="74"/>
  <c r="K27" i="74"/>
  <c r="G27" i="74"/>
  <c r="I17" i="74"/>
  <c r="G17" i="74"/>
  <c r="K17" i="74"/>
  <c r="E17" i="74"/>
  <c r="I37" i="74"/>
  <c r="K37" i="74"/>
  <c r="E37" i="74"/>
  <c r="G37" i="74"/>
  <c r="I44" i="74"/>
  <c r="K44" i="74"/>
  <c r="E44" i="74"/>
  <c r="G44" i="74"/>
  <c r="G16" i="74"/>
  <c r="E16" i="74"/>
  <c r="K16" i="74"/>
  <c r="I16" i="74"/>
  <c r="I19" i="74"/>
  <c r="G19" i="74"/>
  <c r="K19" i="74"/>
  <c r="E19" i="74"/>
  <c r="I30" i="74"/>
  <c r="K30" i="74"/>
  <c r="E30" i="74"/>
  <c r="G30" i="74"/>
  <c r="I47" i="74"/>
  <c r="G47" i="74"/>
  <c r="K47" i="74"/>
  <c r="E47" i="74"/>
  <c r="I35" i="74"/>
  <c r="G35" i="74"/>
  <c r="E35" i="74"/>
  <c r="K35" i="74"/>
  <c r="I21" i="74"/>
  <c r="K21" i="74"/>
  <c r="E21" i="74"/>
  <c r="G21" i="74"/>
  <c r="I36" i="74"/>
  <c r="E36" i="74"/>
  <c r="G36" i="74"/>
  <c r="K36" i="74"/>
  <c r="I7" i="74"/>
  <c r="G7" i="74"/>
  <c r="K7" i="74"/>
  <c r="E7" i="74"/>
  <c r="I33" i="74"/>
  <c r="E33" i="74"/>
  <c r="K33" i="74"/>
  <c r="G33" i="74"/>
  <c r="G6" i="74"/>
  <c r="E6" i="74"/>
  <c r="K6" i="74"/>
  <c r="I6" i="74"/>
  <c r="I49" i="74"/>
  <c r="E49" i="74"/>
  <c r="G49" i="74"/>
  <c r="K49" i="74"/>
  <c r="I18" i="74"/>
  <c r="K18" i="74"/>
  <c r="G18" i="74"/>
  <c r="E18" i="74"/>
  <c r="I42" i="74"/>
  <c r="G42" i="74"/>
  <c r="K42" i="74"/>
  <c r="E42" i="74"/>
  <c r="I12" i="74"/>
  <c r="K12" i="74"/>
  <c r="G12" i="74"/>
  <c r="E12" i="74"/>
  <c r="I14" i="74"/>
  <c r="E14" i="74"/>
  <c r="G14" i="74"/>
  <c r="K14" i="74"/>
  <c r="AM272" i="19"/>
  <c r="C49" i="56"/>
  <c r="C104" i="56"/>
  <c r="D49" i="56"/>
  <c r="E49" i="56" s="1"/>
  <c r="C50" i="56"/>
  <c r="D50" i="56"/>
  <c r="E50" i="56" s="1"/>
  <c r="D37" i="59"/>
  <c r="I37" i="59"/>
  <c r="G37" i="59"/>
  <c r="H37" i="59"/>
  <c r="E37" i="59"/>
  <c r="F37" i="59"/>
  <c r="G39" i="59"/>
  <c r="I39" i="59"/>
  <c r="D39" i="59"/>
  <c r="F39" i="59"/>
  <c r="H39" i="59"/>
  <c r="E39" i="59"/>
  <c r="G42" i="59"/>
  <c r="D42" i="59"/>
  <c r="F42" i="59"/>
  <c r="I42" i="59"/>
  <c r="H42" i="59"/>
  <c r="E42" i="59"/>
  <c r="O5" i="59"/>
  <c r="G5" i="59"/>
  <c r="F5" i="59"/>
  <c r="E5" i="59"/>
  <c r="H5" i="59"/>
  <c r="Y5" i="59"/>
  <c r="D5" i="59"/>
  <c r="I5" i="59"/>
  <c r="F40" i="59"/>
  <c r="I40" i="59"/>
  <c r="E40" i="59"/>
  <c r="H40" i="59"/>
  <c r="D40" i="59"/>
  <c r="G40" i="59"/>
  <c r="B25" i="65"/>
  <c r="C25" i="65" s="1" a="1"/>
  <c r="C25" i="65" s="1"/>
  <c r="B24" i="65"/>
  <c r="C24" i="65" s="1" a="1"/>
  <c r="C24" i="65" s="1"/>
  <c r="A22" i="65"/>
  <c r="H22" i="65" s="1"/>
  <c r="D97" i="56"/>
  <c r="U97" i="56" s="1" a="1"/>
  <c r="U97" i="56" s="1"/>
  <c r="C48" i="56"/>
  <c r="D48" i="56"/>
  <c r="D101" i="56"/>
  <c r="D80" i="56"/>
  <c r="D100" i="56"/>
  <c r="D96" i="56"/>
  <c r="C47" i="56"/>
  <c r="D47" i="56"/>
  <c r="E47" i="56" s="1"/>
  <c r="D98" i="56"/>
  <c r="D107" i="56"/>
  <c r="D99" i="56"/>
  <c r="F18" i="59"/>
  <c r="B63" i="56"/>
  <c r="B62" i="56"/>
  <c r="B65" i="56"/>
  <c r="C73" i="56"/>
  <c r="B60" i="56"/>
  <c r="B66" i="56"/>
  <c r="C97" i="56"/>
  <c r="B64" i="56"/>
  <c r="B67" i="56"/>
  <c r="B61" i="56"/>
  <c r="B59" i="56"/>
  <c r="C92" i="56"/>
  <c r="B24" i="61"/>
  <c r="C24" i="61" s="1"/>
  <c r="C29" i="61"/>
  <c r="C27" i="61"/>
  <c r="C32" i="61"/>
  <c r="C39" i="61"/>
  <c r="C34" i="61"/>
  <c r="C40" i="61"/>
  <c r="C33" i="61"/>
  <c r="C41" i="61"/>
  <c r="C36" i="61"/>
  <c r="C30" i="61"/>
  <c r="C35" i="61"/>
  <c r="C42" i="61"/>
  <c r="C25" i="61"/>
  <c r="C31" i="61"/>
  <c r="C37" i="61"/>
  <c r="C26" i="61"/>
  <c r="C38" i="61"/>
  <c r="C28" i="61"/>
  <c r="AM623" i="19"/>
  <c r="AM688" i="19"/>
  <c r="E30" i="59" s="1"/>
  <c r="AM690" i="19"/>
  <c r="E6" i="59" s="1"/>
  <c r="AA4" i="59"/>
  <c r="E10" i="59"/>
  <c r="AM639" i="19"/>
  <c r="AN5" i="46" a="1"/>
  <c r="AN5" i="46" s="1"/>
  <c r="AK5" i="46" a="1"/>
  <c r="AK5" i="46" s="1"/>
  <c r="AM703" i="19"/>
  <c r="O12" i="59" s="1"/>
  <c r="AM700" i="19"/>
  <c r="AM667" i="19"/>
  <c r="AM664" i="19"/>
  <c r="AM625" i="19"/>
  <c r="AM658" i="19"/>
  <c r="AM636" i="19"/>
  <c r="AM635" i="19"/>
  <c r="AM622" i="19"/>
  <c r="X2" i="59"/>
  <c r="H34" i="59"/>
  <c r="E22" i="59"/>
  <c r="AM630" i="19"/>
  <c r="G22" i="59"/>
  <c r="G17" i="59"/>
  <c r="H4" i="59"/>
  <c r="I31" i="59"/>
  <c r="E18" i="59"/>
  <c r="F34" i="59"/>
  <c r="I13" i="59"/>
  <c r="S2" i="59"/>
  <c r="R24" i="59"/>
  <c r="AB24" i="59"/>
  <c r="S24" i="59"/>
  <c r="I24" i="59"/>
  <c r="AC24" i="59"/>
  <c r="E24" i="59"/>
  <c r="F24" i="59"/>
  <c r="G24" i="59"/>
  <c r="H24" i="59"/>
  <c r="D24" i="59"/>
  <c r="AM618" i="19"/>
  <c r="D22" i="59"/>
  <c r="F17" i="59"/>
  <c r="G4" i="59"/>
  <c r="H31" i="59"/>
  <c r="D23" i="59"/>
  <c r="E34" i="59"/>
  <c r="D13" i="59"/>
  <c r="D10" i="59"/>
  <c r="I2" i="59"/>
  <c r="I22" i="59"/>
  <c r="E17" i="59"/>
  <c r="G31" i="59"/>
  <c r="D34" i="59"/>
  <c r="H13" i="59"/>
  <c r="G10" i="59"/>
  <c r="G8" i="59"/>
  <c r="H8" i="59"/>
  <c r="I8" i="59"/>
  <c r="S8" i="59"/>
  <c r="E8" i="59"/>
  <c r="D8" i="59"/>
  <c r="AC8" i="59"/>
  <c r="F8" i="59"/>
  <c r="F4" i="59"/>
  <c r="E31" i="59"/>
  <c r="I23" i="59"/>
  <c r="I10" i="59"/>
  <c r="H17" i="59"/>
  <c r="I4" i="59"/>
  <c r="H23" i="59"/>
  <c r="R30" i="59"/>
  <c r="G13" i="59"/>
  <c r="E2" i="59"/>
  <c r="D17" i="59"/>
  <c r="E4" i="59"/>
  <c r="D31" i="59"/>
  <c r="G23" i="59"/>
  <c r="I30" i="59"/>
  <c r="D2" i="59"/>
  <c r="D4" i="59"/>
  <c r="F31" i="59"/>
  <c r="D30" i="59"/>
  <c r="F2" i="59"/>
  <c r="F23" i="59"/>
  <c r="I18" i="59"/>
  <c r="G34" i="59"/>
  <c r="H30" i="59"/>
  <c r="F13" i="59"/>
  <c r="G2" i="59"/>
  <c r="Q4" i="59"/>
  <c r="E23" i="59"/>
  <c r="D18" i="59"/>
  <c r="I34" i="59"/>
  <c r="AB30" i="59"/>
  <c r="H10" i="59"/>
  <c r="H2" i="59"/>
  <c r="H22" i="59"/>
  <c r="H18" i="59"/>
  <c r="G30" i="59"/>
  <c r="F10" i="59"/>
  <c r="AC2" i="59"/>
  <c r="F22" i="59"/>
  <c r="G18" i="59"/>
  <c r="F30" i="59"/>
  <c r="E13" i="59"/>
  <c r="N2" i="59"/>
  <c r="B164" i="56"/>
  <c r="B111" i="56"/>
  <c r="C27" i="56"/>
  <c r="D27" i="56"/>
  <c r="AM626" i="19"/>
  <c r="C44" i="56"/>
  <c r="D44" i="56"/>
  <c r="I44" i="56" s="1"/>
  <c r="C5" i="56"/>
  <c r="D5" i="56"/>
  <c r="C28" i="56"/>
  <c r="D28" i="56"/>
  <c r="I28" i="56" s="1"/>
  <c r="D25" i="56"/>
  <c r="I25" i="56" s="1"/>
  <c r="C25" i="56"/>
  <c r="D39" i="56"/>
  <c r="I39" i="56" s="1"/>
  <c r="C39" i="56"/>
  <c r="D43" i="56"/>
  <c r="I43" i="56" s="1"/>
  <c r="C43" i="56"/>
  <c r="C58" i="56"/>
  <c r="C101" i="56"/>
  <c r="C23" i="56"/>
  <c r="D23" i="56"/>
  <c r="C36" i="56"/>
  <c r="D36" i="56"/>
  <c r="I36" i="56" s="1"/>
  <c r="D32" i="56"/>
  <c r="I32" i="56" s="1"/>
  <c r="C32" i="56"/>
  <c r="D31" i="56"/>
  <c r="I31" i="56" s="1"/>
  <c r="C31" i="56"/>
  <c r="C11" i="56"/>
  <c r="D11" i="56"/>
  <c r="I11" i="56" s="1"/>
  <c r="C15" i="56"/>
  <c r="D15" i="56"/>
  <c r="I15" i="56" s="1"/>
  <c r="C26" i="56"/>
  <c r="D26" i="56"/>
  <c r="I26" i="56" s="1"/>
  <c r="D18" i="56"/>
  <c r="I18" i="56" s="1"/>
  <c r="C18" i="56"/>
  <c r="C41" i="56"/>
  <c r="D41" i="56"/>
  <c r="I41" i="56" s="1"/>
  <c r="C99" i="56"/>
  <c r="C46" i="56"/>
  <c r="D46" i="56"/>
  <c r="D13" i="56"/>
  <c r="C13" i="56"/>
  <c r="D19" i="56"/>
  <c r="I19" i="56" s="1"/>
  <c r="C19" i="56"/>
  <c r="D6" i="56"/>
  <c r="C6" i="56"/>
  <c r="C29" i="56"/>
  <c r="D29" i="56"/>
  <c r="I29" i="56" s="1"/>
  <c r="C34" i="56"/>
  <c r="D34" i="56"/>
  <c r="I34" i="56" s="1"/>
  <c r="C7" i="56"/>
  <c r="D7" i="56"/>
  <c r="I7" i="56" s="1"/>
  <c r="C16" i="56"/>
  <c r="D16" i="56"/>
  <c r="C14" i="56"/>
  <c r="D14" i="56"/>
  <c r="I14" i="56" s="1"/>
  <c r="D37" i="56"/>
  <c r="C37" i="56"/>
  <c r="C21" i="56"/>
  <c r="D21" i="56"/>
  <c r="I21" i="56" s="1"/>
  <c r="D45" i="56"/>
  <c r="I45" i="56" s="1"/>
  <c r="C45" i="56"/>
  <c r="C4" i="56"/>
  <c r="D4" i="56"/>
  <c r="I4" i="56" s="1"/>
  <c r="C107" i="56"/>
  <c r="C24" i="56"/>
  <c r="D24" i="56"/>
  <c r="C9" i="56"/>
  <c r="D9" i="56"/>
  <c r="D33" i="56"/>
  <c r="I33" i="56" s="1"/>
  <c r="C33" i="56"/>
  <c r="C12" i="56"/>
  <c r="D12" i="56"/>
  <c r="C53" i="56"/>
  <c r="D53" i="56"/>
  <c r="C20" i="56"/>
  <c r="D20" i="56"/>
  <c r="I20" i="56" s="1"/>
  <c r="D42" i="56"/>
  <c r="C42" i="56"/>
  <c r="C80" i="56"/>
  <c r="C100" i="56"/>
  <c r="D35" i="56"/>
  <c r="C35" i="56"/>
  <c r="C8" i="56"/>
  <c r="D8" i="56"/>
  <c r="D30" i="56"/>
  <c r="I30" i="56" s="1"/>
  <c r="C30" i="56"/>
  <c r="D22" i="56"/>
  <c r="I22" i="56" s="1"/>
  <c r="C22" i="56"/>
  <c r="C96" i="56"/>
  <c r="C17" i="56"/>
  <c r="D17" i="56"/>
  <c r="I17" i="56" s="1"/>
  <c r="C40" i="56"/>
  <c r="D40" i="56"/>
  <c r="I40" i="56" s="1"/>
  <c r="C38" i="56"/>
  <c r="D38" i="56"/>
  <c r="C10" i="56"/>
  <c r="D10" i="56"/>
  <c r="AM5" i="19"/>
  <c r="AM57" i="19"/>
  <c r="E27" i="59" s="1"/>
  <c r="AM22" i="19"/>
  <c r="N15" i="59" s="1"/>
  <c r="AM25" i="19"/>
  <c r="I35" i="59" s="1"/>
  <c r="AM18" i="19"/>
  <c r="AM113" i="19"/>
  <c r="K54" i="46"/>
  <c r="K55" i="46" s="1"/>
  <c r="K56" i="46"/>
  <c r="B602" i="19"/>
  <c r="G27" i="59" l="1"/>
  <c r="H27" i="59"/>
  <c r="D27" i="59"/>
  <c r="I27" i="59"/>
  <c r="F27" i="59"/>
  <c r="E167" i="75"/>
  <c r="L172" i="75"/>
  <c r="AC66" i="56" a="1"/>
  <c r="AC66" i="56" s="1"/>
  <c r="AE66" i="56" a="1"/>
  <c r="AE66" i="56" s="1"/>
  <c r="K182" i="75"/>
  <c r="B113" i="56"/>
  <c r="AC60" i="56" a="1"/>
  <c r="AC60" i="56" s="1"/>
  <c r="AE60" i="56" a="1"/>
  <c r="AE60" i="56" s="1"/>
  <c r="E162" i="75"/>
  <c r="M182" i="75"/>
  <c r="N182" i="75"/>
  <c r="AE65" i="56" a="1"/>
  <c r="AE65" i="56" s="1"/>
  <c r="AC65" i="56" a="1"/>
  <c r="AC65" i="56" s="1"/>
  <c r="L182" i="75"/>
  <c r="N177" i="75"/>
  <c r="B115" i="56"/>
  <c r="AC62" i="56" a="1"/>
  <c r="AC62" i="56" s="1"/>
  <c r="AE62" i="56" a="1"/>
  <c r="AE62" i="56" s="1"/>
  <c r="M157" i="75"/>
  <c r="L177" i="75"/>
  <c r="AE63" i="56" a="1"/>
  <c r="AE63" i="56" s="1"/>
  <c r="AC63" i="56" a="1"/>
  <c r="AC63" i="56" s="1"/>
  <c r="E172" i="75"/>
  <c r="L157" i="75"/>
  <c r="M177" i="75"/>
  <c r="L167" i="75"/>
  <c r="E92" i="75"/>
  <c r="L162" i="75"/>
  <c r="N157" i="75"/>
  <c r="K177" i="75"/>
  <c r="N167" i="75"/>
  <c r="B112" i="56"/>
  <c r="AE59" i="56" a="1"/>
  <c r="AE59" i="56" s="1"/>
  <c r="AC59" i="56" a="1"/>
  <c r="AC59" i="56" s="1"/>
  <c r="E177" i="75"/>
  <c r="K162" i="75"/>
  <c r="K157" i="75"/>
  <c r="N92" i="75"/>
  <c r="K167" i="75"/>
  <c r="B114" i="56"/>
  <c r="AE61" i="56" a="1"/>
  <c r="AE61" i="56" s="1"/>
  <c r="AC61" i="56" a="1"/>
  <c r="AC61" i="56" s="1"/>
  <c r="M162" i="75"/>
  <c r="K172" i="75"/>
  <c r="K92" i="75"/>
  <c r="M167" i="75"/>
  <c r="AE106" i="56" a="1"/>
  <c r="AE106" i="56" s="1"/>
  <c r="AC106" i="56" a="1"/>
  <c r="AC106" i="56" s="1"/>
  <c r="N162" i="75"/>
  <c r="M172" i="75"/>
  <c r="M92" i="75"/>
  <c r="AC67" i="56" a="1"/>
  <c r="AC67" i="56" s="1"/>
  <c r="AE67" i="56" a="1"/>
  <c r="AE67" i="56" s="1"/>
  <c r="B170" i="56"/>
  <c r="AC64" i="56" a="1"/>
  <c r="AC64" i="56" s="1"/>
  <c r="AE64" i="56" a="1"/>
  <c r="AE64" i="56" s="1"/>
  <c r="N172" i="75"/>
  <c r="L92" i="75"/>
  <c r="U58" i="56" a="1"/>
  <c r="U58" i="56" s="1"/>
  <c r="G58" i="56"/>
  <c r="G2" i="75" s="1"/>
  <c r="E157" i="75"/>
  <c r="U96" i="56" a="1"/>
  <c r="U96" i="56" s="1"/>
  <c r="H38" i="59"/>
  <c r="F48" i="59"/>
  <c r="D38" i="59"/>
  <c r="E38" i="59"/>
  <c r="G38" i="59"/>
  <c r="F38" i="59"/>
  <c r="I38" i="59"/>
  <c r="D15" i="59"/>
  <c r="E15" i="59"/>
  <c r="H15" i="59"/>
  <c r="G15" i="59"/>
  <c r="F15" i="59"/>
  <c r="I15" i="59"/>
  <c r="X15" i="59"/>
  <c r="I48" i="59"/>
  <c r="G48" i="59"/>
  <c r="E48" i="59"/>
  <c r="H48" i="59"/>
  <c r="D48" i="59"/>
  <c r="B118" i="56"/>
  <c r="C118" i="56" s="1"/>
  <c r="B171" i="56"/>
  <c r="B159" i="56"/>
  <c r="C159" i="56" s="1"/>
  <c r="B212" i="56"/>
  <c r="C212" i="56" s="1"/>
  <c r="B116" i="56"/>
  <c r="C116" i="56" s="1"/>
  <c r="B169" i="56"/>
  <c r="C169" i="56" s="1"/>
  <c r="B120" i="56"/>
  <c r="C120" i="56" s="1"/>
  <c r="B173" i="56"/>
  <c r="C173" i="56" s="1"/>
  <c r="E52" i="56"/>
  <c r="F52" i="56"/>
  <c r="G52" i="56"/>
  <c r="H52" i="56"/>
  <c r="I52" i="56"/>
  <c r="B119" i="56"/>
  <c r="C119" i="56" s="1"/>
  <c r="B172" i="56"/>
  <c r="C172" i="56" s="1"/>
  <c r="B117" i="56"/>
  <c r="E72" i="56"/>
  <c r="F72" i="56"/>
  <c r="G72" i="56"/>
  <c r="H72" i="56"/>
  <c r="AH72" i="56" s="1"/>
  <c r="I72" i="56"/>
  <c r="V72" i="56" a="1"/>
  <c r="V72" i="56" s="1"/>
  <c r="E2" i="75"/>
  <c r="W4" i="49"/>
  <c r="V4" i="49"/>
  <c r="U4" i="49"/>
  <c r="F6" i="59"/>
  <c r="AB20" i="59"/>
  <c r="G6" i="59"/>
  <c r="H6" i="59"/>
  <c r="S6" i="59"/>
  <c r="AC6" i="59"/>
  <c r="AA6" i="59"/>
  <c r="Q6" i="59"/>
  <c r="I6" i="59"/>
  <c r="D6" i="59"/>
  <c r="E9" i="59"/>
  <c r="I9" i="59"/>
  <c r="AB9" i="59"/>
  <c r="D9" i="59"/>
  <c r="R9" i="59"/>
  <c r="F9" i="59"/>
  <c r="H9" i="59"/>
  <c r="G9" i="59"/>
  <c r="AC9" i="59"/>
  <c r="S9" i="59"/>
  <c r="D104" i="56"/>
  <c r="E187" i="75" s="1"/>
  <c r="N67" i="56"/>
  <c r="L67" i="56"/>
  <c r="M67" i="56"/>
  <c r="O67" i="56"/>
  <c r="M68" i="56"/>
  <c r="L42" i="75" s="1"/>
  <c r="O68" i="56"/>
  <c r="N42" i="75" s="1"/>
  <c r="L68" i="56"/>
  <c r="K42" i="75" s="1"/>
  <c r="N68" i="56"/>
  <c r="M42" i="75" s="1"/>
  <c r="C95" i="56"/>
  <c r="O95" i="56"/>
  <c r="N152" i="75" s="1"/>
  <c r="M95" i="56"/>
  <c r="L152" i="75" s="1"/>
  <c r="N95" i="56"/>
  <c r="M152" i="75" s="1"/>
  <c r="L95" i="56"/>
  <c r="K152" i="75" s="1"/>
  <c r="N71" i="56"/>
  <c r="M57" i="75" s="1"/>
  <c r="L71" i="56"/>
  <c r="K57" i="75" s="1"/>
  <c r="O71" i="56"/>
  <c r="N57" i="75" s="1"/>
  <c r="M71" i="56"/>
  <c r="L57" i="75" s="1"/>
  <c r="C60" i="56"/>
  <c r="O60" i="56"/>
  <c r="N12" i="75" s="1"/>
  <c r="M60" i="56"/>
  <c r="L12" i="75" s="1"/>
  <c r="N60" i="56"/>
  <c r="M12" i="75" s="1"/>
  <c r="L60" i="56"/>
  <c r="K12" i="75" s="1"/>
  <c r="L75" i="56"/>
  <c r="K72" i="75" s="1"/>
  <c r="N75" i="56"/>
  <c r="M72" i="75" s="1"/>
  <c r="O75" i="56"/>
  <c r="N72" i="75" s="1"/>
  <c r="M75" i="56"/>
  <c r="L72" i="75" s="1"/>
  <c r="C74" i="56"/>
  <c r="N74" i="56"/>
  <c r="M67" i="75" s="1"/>
  <c r="L74" i="56"/>
  <c r="K67" i="75" s="1"/>
  <c r="O74" i="56"/>
  <c r="N67" i="75" s="1"/>
  <c r="M74" i="56"/>
  <c r="L67" i="75" s="1"/>
  <c r="C94" i="56"/>
  <c r="L94" i="56"/>
  <c r="K147" i="75" s="1"/>
  <c r="M94" i="56"/>
  <c r="L147" i="75" s="1"/>
  <c r="O94" i="56"/>
  <c r="N147" i="75" s="1"/>
  <c r="N94" i="56"/>
  <c r="M147" i="75" s="1"/>
  <c r="C78" i="56"/>
  <c r="L78" i="56"/>
  <c r="K82" i="75" s="1"/>
  <c r="O78" i="56"/>
  <c r="N82" i="75" s="1"/>
  <c r="M78" i="56"/>
  <c r="L82" i="75" s="1"/>
  <c r="N78" i="56"/>
  <c r="M82" i="75" s="1"/>
  <c r="F51" i="56"/>
  <c r="G51" i="56"/>
  <c r="H51" i="56"/>
  <c r="I51" i="56"/>
  <c r="C70" i="56"/>
  <c r="N70" i="56"/>
  <c r="M52" i="75" s="1"/>
  <c r="M70" i="56"/>
  <c r="L52" i="75" s="1"/>
  <c r="L70" i="56"/>
  <c r="K52" i="75" s="1"/>
  <c r="O70" i="56"/>
  <c r="N52" i="75" s="1"/>
  <c r="C88" i="56"/>
  <c r="O88" i="56"/>
  <c r="N122" i="75" s="1"/>
  <c r="L88" i="56"/>
  <c r="K122" i="75" s="1"/>
  <c r="M88" i="56"/>
  <c r="L122" i="75" s="1"/>
  <c r="N88" i="56"/>
  <c r="M122" i="75" s="1"/>
  <c r="M62" i="56"/>
  <c r="O62" i="56"/>
  <c r="N62" i="56"/>
  <c r="L62" i="56"/>
  <c r="L105" i="56"/>
  <c r="K192" i="75" s="1"/>
  <c r="M105" i="56"/>
  <c r="L192" i="75" s="1"/>
  <c r="N105" i="56"/>
  <c r="M192" i="75" s="1"/>
  <c r="O105" i="56"/>
  <c r="N192" i="75" s="1"/>
  <c r="O106" i="56"/>
  <c r="N197" i="75" s="1"/>
  <c r="M106" i="56"/>
  <c r="L197" i="75" s="1"/>
  <c r="N106" i="56"/>
  <c r="M197" i="75" s="1"/>
  <c r="L106" i="56"/>
  <c r="K197" i="75" s="1"/>
  <c r="C85" i="56"/>
  <c r="L85" i="56"/>
  <c r="K112" i="75" s="1"/>
  <c r="M85" i="56"/>
  <c r="L112" i="75" s="1"/>
  <c r="N85" i="56"/>
  <c r="M112" i="75" s="1"/>
  <c r="O85" i="56"/>
  <c r="N112" i="75" s="1"/>
  <c r="N82" i="56"/>
  <c r="L82" i="56"/>
  <c r="O82" i="56"/>
  <c r="M82" i="56"/>
  <c r="C63" i="56"/>
  <c r="O63" i="56"/>
  <c r="N22" i="75" s="1"/>
  <c r="L63" i="56"/>
  <c r="K22" i="75" s="1"/>
  <c r="M63" i="56"/>
  <c r="L22" i="75" s="1"/>
  <c r="N63" i="56"/>
  <c r="M22" i="75" s="1"/>
  <c r="C65" i="56"/>
  <c r="L65" i="56"/>
  <c r="K32" i="75" s="1"/>
  <c r="M65" i="56"/>
  <c r="L32" i="75" s="1"/>
  <c r="O65" i="56"/>
  <c r="N32" i="75" s="1"/>
  <c r="N65" i="56"/>
  <c r="M32" i="75" s="1"/>
  <c r="M81" i="56"/>
  <c r="L97" i="75" s="1"/>
  <c r="N81" i="56"/>
  <c r="M97" i="75" s="1"/>
  <c r="L81" i="56"/>
  <c r="K97" i="75" s="1"/>
  <c r="O81" i="56"/>
  <c r="N97" i="75" s="1"/>
  <c r="M90" i="56"/>
  <c r="L132" i="75" s="1"/>
  <c r="O90" i="56"/>
  <c r="N132" i="75" s="1"/>
  <c r="L90" i="56"/>
  <c r="K132" i="75" s="1"/>
  <c r="N90" i="56"/>
  <c r="M132" i="75" s="1"/>
  <c r="C79" i="56"/>
  <c r="L79" i="56"/>
  <c r="K87" i="75" s="1"/>
  <c r="N79" i="56"/>
  <c r="M87" i="75" s="1"/>
  <c r="M79" i="56"/>
  <c r="L87" i="75" s="1"/>
  <c r="O79" i="56"/>
  <c r="N87" i="75" s="1"/>
  <c r="O89" i="56"/>
  <c r="N127" i="75" s="1"/>
  <c r="M89" i="56"/>
  <c r="L127" i="75" s="1"/>
  <c r="L89" i="56"/>
  <c r="K127" i="75" s="1"/>
  <c r="N89" i="56"/>
  <c r="M127" i="75" s="1"/>
  <c r="N77" i="56"/>
  <c r="L77" i="56"/>
  <c r="O77" i="56"/>
  <c r="M77" i="56"/>
  <c r="O76" i="56"/>
  <c r="N77" i="75" s="1"/>
  <c r="M76" i="56"/>
  <c r="L77" i="75" s="1"/>
  <c r="N76" i="56"/>
  <c r="M77" i="75" s="1"/>
  <c r="L76" i="56"/>
  <c r="K77" i="75" s="1"/>
  <c r="C64" i="56"/>
  <c r="N64" i="56"/>
  <c r="M27" i="75" s="1"/>
  <c r="L64" i="56"/>
  <c r="K27" i="75" s="1"/>
  <c r="O64" i="56"/>
  <c r="N27" i="75" s="1"/>
  <c r="M64" i="56"/>
  <c r="L27" i="75" s="1"/>
  <c r="M69" i="56"/>
  <c r="L47" i="75" s="1"/>
  <c r="L69" i="56"/>
  <c r="K47" i="75" s="1"/>
  <c r="O69" i="56"/>
  <c r="N47" i="75" s="1"/>
  <c r="N69" i="56"/>
  <c r="M47" i="75" s="1"/>
  <c r="N104" i="56"/>
  <c r="M187" i="75" s="1"/>
  <c r="M104" i="56"/>
  <c r="L187" i="75" s="1"/>
  <c r="L104" i="56"/>
  <c r="K187" i="75" s="1"/>
  <c r="O104" i="56"/>
  <c r="N187" i="75" s="1"/>
  <c r="L164" i="56"/>
  <c r="O164" i="56"/>
  <c r="M164" i="56"/>
  <c r="N164" i="56"/>
  <c r="L92" i="56"/>
  <c r="N92" i="56"/>
  <c r="M92" i="56"/>
  <c r="O92" i="56"/>
  <c r="C93" i="56"/>
  <c r="O93" i="56"/>
  <c r="N142" i="75" s="1"/>
  <c r="M93" i="56"/>
  <c r="L142" i="75" s="1"/>
  <c r="L93" i="56"/>
  <c r="K142" i="75" s="1"/>
  <c r="N93" i="56"/>
  <c r="M142" i="75" s="1"/>
  <c r="O73" i="56"/>
  <c r="N62" i="75" s="1"/>
  <c r="M73" i="56"/>
  <c r="L62" i="75" s="1"/>
  <c r="L73" i="56"/>
  <c r="K62" i="75" s="1"/>
  <c r="N73" i="56"/>
  <c r="M62" i="75" s="1"/>
  <c r="I58" i="56"/>
  <c r="C59" i="56"/>
  <c r="O59" i="56"/>
  <c r="N7" i="75" s="1"/>
  <c r="M59" i="56"/>
  <c r="L7" i="75" s="1"/>
  <c r="N59" i="56"/>
  <c r="M7" i="75" s="1"/>
  <c r="L59" i="56"/>
  <c r="K7" i="75" s="1"/>
  <c r="C84" i="56"/>
  <c r="N84" i="56"/>
  <c r="M107" i="75" s="1"/>
  <c r="M84" i="56"/>
  <c r="L107" i="75" s="1"/>
  <c r="O84" i="56"/>
  <c r="N107" i="75" s="1"/>
  <c r="L84" i="56"/>
  <c r="K107" i="75" s="1"/>
  <c r="H58" i="56"/>
  <c r="AH58" i="56" s="1"/>
  <c r="C61" i="56"/>
  <c r="N61" i="56"/>
  <c r="M17" i="75" s="1"/>
  <c r="M61" i="56"/>
  <c r="L17" i="75" s="1"/>
  <c r="L61" i="56"/>
  <c r="K17" i="75" s="1"/>
  <c r="O61" i="56"/>
  <c r="N17" i="75" s="1"/>
  <c r="M87" i="56"/>
  <c r="N87" i="56"/>
  <c r="O87" i="56"/>
  <c r="L87" i="56"/>
  <c r="L83" i="56"/>
  <c r="K102" i="75" s="1"/>
  <c r="M83" i="56"/>
  <c r="L102" i="75" s="1"/>
  <c r="O83" i="56"/>
  <c r="N102" i="75" s="1"/>
  <c r="N83" i="56"/>
  <c r="M102" i="75" s="1"/>
  <c r="C91" i="56"/>
  <c r="M91" i="56"/>
  <c r="L137" i="75" s="1"/>
  <c r="L91" i="56"/>
  <c r="K137" i="75" s="1"/>
  <c r="N91" i="56"/>
  <c r="M137" i="75" s="1"/>
  <c r="O91" i="56"/>
  <c r="N137" i="75" s="1"/>
  <c r="M66" i="56"/>
  <c r="L37" i="75" s="1"/>
  <c r="O66" i="56"/>
  <c r="N37" i="75" s="1"/>
  <c r="N66" i="56"/>
  <c r="M37" i="75" s="1"/>
  <c r="L66" i="56"/>
  <c r="K37" i="75" s="1"/>
  <c r="L86" i="56"/>
  <c r="K117" i="75" s="1"/>
  <c r="O86" i="56"/>
  <c r="N117" i="75" s="1"/>
  <c r="M86" i="56"/>
  <c r="L117" i="75" s="1"/>
  <c r="N86" i="56"/>
  <c r="M117" i="75" s="1"/>
  <c r="F58" i="56"/>
  <c r="S43" i="59"/>
  <c r="H43" i="59"/>
  <c r="AC43" i="59"/>
  <c r="D43" i="59"/>
  <c r="G43" i="59"/>
  <c r="E43" i="59"/>
  <c r="I43" i="59"/>
  <c r="F43" i="59"/>
  <c r="AC46" i="59"/>
  <c r="G46" i="59"/>
  <c r="I46" i="59"/>
  <c r="F46" i="59"/>
  <c r="E46" i="59"/>
  <c r="D46" i="59"/>
  <c r="H46" i="59"/>
  <c r="S46" i="59"/>
  <c r="I20" i="59"/>
  <c r="G20" i="59"/>
  <c r="R20" i="59"/>
  <c r="H20" i="59"/>
  <c r="D20" i="59"/>
  <c r="E20" i="59"/>
  <c r="F20" i="59"/>
  <c r="H45" i="59"/>
  <c r="R45" i="59"/>
  <c r="G47" i="59"/>
  <c r="F47" i="59"/>
  <c r="I47" i="59"/>
  <c r="H47" i="59"/>
  <c r="E47" i="59"/>
  <c r="D47" i="59"/>
  <c r="AB45" i="59"/>
  <c r="G50" i="59"/>
  <c r="N51" i="56"/>
  <c r="O51" i="56"/>
  <c r="P51" i="56"/>
  <c r="Q51" i="56"/>
  <c r="R51" i="56"/>
  <c r="S51" i="56"/>
  <c r="T51" i="56"/>
  <c r="J51" i="56"/>
  <c r="K51" i="56"/>
  <c r="L51" i="56"/>
  <c r="M51" i="56"/>
  <c r="C106" i="56"/>
  <c r="D106" i="56"/>
  <c r="E197" i="75" s="1"/>
  <c r="D36" i="59"/>
  <c r="G45" i="59"/>
  <c r="G36" i="59"/>
  <c r="F45" i="59"/>
  <c r="N50" i="59"/>
  <c r="X50" i="59"/>
  <c r="H50" i="59"/>
  <c r="I45" i="59"/>
  <c r="F50" i="56"/>
  <c r="G50" i="56"/>
  <c r="H50" i="56"/>
  <c r="I50" i="56"/>
  <c r="N48" i="59"/>
  <c r="E45" i="59"/>
  <c r="C157" i="56"/>
  <c r="C211" i="56"/>
  <c r="E36" i="59"/>
  <c r="D50" i="59"/>
  <c r="X48" i="59"/>
  <c r="E50" i="59"/>
  <c r="H36" i="59"/>
  <c r="F49" i="56"/>
  <c r="G49" i="56"/>
  <c r="H49" i="56"/>
  <c r="I49" i="56"/>
  <c r="D45" i="59"/>
  <c r="I50" i="59"/>
  <c r="F50" i="59"/>
  <c r="F36" i="59"/>
  <c r="C156" i="56"/>
  <c r="C210" i="56"/>
  <c r="I36" i="59"/>
  <c r="H35" i="59"/>
  <c r="D35" i="59"/>
  <c r="E35" i="59"/>
  <c r="F35" i="59"/>
  <c r="P35" i="59"/>
  <c r="Z35" i="59"/>
  <c r="G35" i="59"/>
  <c r="H49" i="59"/>
  <c r="C209" i="56"/>
  <c r="N49" i="56"/>
  <c r="O49" i="56"/>
  <c r="P49" i="56"/>
  <c r="Q49" i="56"/>
  <c r="R49" i="56"/>
  <c r="S49" i="56"/>
  <c r="T49" i="56"/>
  <c r="J49" i="56"/>
  <c r="K49" i="56"/>
  <c r="L49" i="56"/>
  <c r="M49" i="56"/>
  <c r="N50" i="56"/>
  <c r="O50" i="56"/>
  <c r="P50" i="56"/>
  <c r="Q50" i="56"/>
  <c r="R50" i="56"/>
  <c r="S50" i="56"/>
  <c r="T50" i="56"/>
  <c r="J50" i="56"/>
  <c r="K50" i="56"/>
  <c r="L50" i="56"/>
  <c r="M50" i="56"/>
  <c r="C105" i="56"/>
  <c r="D105" i="56"/>
  <c r="E192" i="75" s="1"/>
  <c r="N49" i="59"/>
  <c r="G49" i="59"/>
  <c r="D49" i="59"/>
  <c r="F49" i="59"/>
  <c r="X49" i="59"/>
  <c r="I49" i="59"/>
  <c r="E49" i="59"/>
  <c r="E21" i="59"/>
  <c r="O41" i="59"/>
  <c r="S41" i="59"/>
  <c r="E41" i="59"/>
  <c r="G41" i="59"/>
  <c r="I41" i="59"/>
  <c r="N41" i="59"/>
  <c r="R41" i="59"/>
  <c r="Y41" i="59"/>
  <c r="AC41" i="59"/>
  <c r="D41" i="59"/>
  <c r="F41" i="59"/>
  <c r="H41" i="59"/>
  <c r="X41" i="59"/>
  <c r="AB41" i="59"/>
  <c r="E44" i="59"/>
  <c r="H44" i="59"/>
  <c r="F44" i="59"/>
  <c r="I44" i="59"/>
  <c r="D44" i="59"/>
  <c r="G44" i="59"/>
  <c r="B26" i="65"/>
  <c r="C26" i="65" s="1" a="1"/>
  <c r="C26" i="65" s="1"/>
  <c r="A24" i="65"/>
  <c r="H24" i="65" s="1"/>
  <c r="B27" i="65"/>
  <c r="C27" i="65" s="1" a="1"/>
  <c r="C27" i="65" s="1"/>
  <c r="C68" i="56"/>
  <c r="D85" i="56"/>
  <c r="E112" i="75" s="1"/>
  <c r="C191" i="56"/>
  <c r="D82" i="56"/>
  <c r="D63" i="56"/>
  <c r="E22" i="75" s="1"/>
  <c r="D81" i="56"/>
  <c r="D90" i="56"/>
  <c r="C196" i="56"/>
  <c r="D79" i="56"/>
  <c r="E87" i="75" s="1"/>
  <c r="C185" i="56"/>
  <c r="F96" i="56"/>
  <c r="G96" i="56"/>
  <c r="H96" i="56"/>
  <c r="AH96" i="56" s="1"/>
  <c r="I96" i="56"/>
  <c r="G80" i="56"/>
  <c r="H80" i="56"/>
  <c r="AH80" i="56" s="1"/>
  <c r="I80" i="56"/>
  <c r="F80" i="56"/>
  <c r="C155" i="56"/>
  <c r="D103" i="56"/>
  <c r="E182" i="75" s="1"/>
  <c r="C103" i="56"/>
  <c r="G48" i="56"/>
  <c r="F48" i="56"/>
  <c r="H48" i="56"/>
  <c r="E48" i="56"/>
  <c r="I48" i="56"/>
  <c r="G107" i="56"/>
  <c r="H107" i="56"/>
  <c r="AH107" i="56" s="1"/>
  <c r="I107" i="56"/>
  <c r="AL107" i="56" s="1" a="1"/>
  <c r="AL107" i="56" s="1"/>
  <c r="F107" i="56"/>
  <c r="D92" i="56"/>
  <c r="C198" i="56"/>
  <c r="D93" i="56"/>
  <c r="C199" i="56"/>
  <c r="D73" i="56"/>
  <c r="U73" i="56" s="1" a="1"/>
  <c r="U73" i="56" s="1"/>
  <c r="C179" i="56"/>
  <c r="D59" i="56"/>
  <c r="B165" i="56"/>
  <c r="C165" i="56" s="1"/>
  <c r="D84" i="56"/>
  <c r="C190" i="56"/>
  <c r="I100" i="56"/>
  <c r="F100" i="56"/>
  <c r="G100" i="56"/>
  <c r="H100" i="56"/>
  <c r="AH100" i="56" s="1"/>
  <c r="C128" i="56"/>
  <c r="D76" i="56"/>
  <c r="E77" i="75" s="1"/>
  <c r="C182" i="56"/>
  <c r="D64" i="56"/>
  <c r="E27" i="75" s="1"/>
  <c r="D69" i="56"/>
  <c r="E47" i="75" s="1"/>
  <c r="C176" i="56"/>
  <c r="D61" i="56"/>
  <c r="E17" i="75" s="1"/>
  <c r="B167" i="56"/>
  <c r="C167" i="56" s="1"/>
  <c r="D87" i="56"/>
  <c r="U87" i="56" s="1" a="1"/>
  <c r="U87" i="56" s="1"/>
  <c r="C193" i="56"/>
  <c r="D83" i="56"/>
  <c r="F98" i="56"/>
  <c r="G98" i="56"/>
  <c r="H98" i="56"/>
  <c r="AH98" i="56" s="1"/>
  <c r="I98" i="56"/>
  <c r="I101" i="56"/>
  <c r="F101" i="56"/>
  <c r="G101" i="56"/>
  <c r="H101" i="56"/>
  <c r="AH101" i="56" s="1"/>
  <c r="D91" i="56"/>
  <c r="C197" i="56"/>
  <c r="D66" i="56"/>
  <c r="D86" i="56"/>
  <c r="C192" i="56"/>
  <c r="C89" i="56"/>
  <c r="D89" i="56"/>
  <c r="C195" i="56"/>
  <c r="C129" i="56"/>
  <c r="D77" i="56"/>
  <c r="C183" i="56"/>
  <c r="D65" i="56"/>
  <c r="E32" i="75" s="1"/>
  <c r="D71" i="56"/>
  <c r="E57" i="75" s="1"/>
  <c r="D60" i="56"/>
  <c r="E12" i="75" s="1"/>
  <c r="B166" i="56"/>
  <c r="D75" i="56"/>
  <c r="E72" i="75" s="1"/>
  <c r="C181" i="56"/>
  <c r="D70" i="56"/>
  <c r="E52" i="75" s="1"/>
  <c r="C177" i="56"/>
  <c r="D88" i="56"/>
  <c r="U88" i="56" s="1" a="1"/>
  <c r="U88" i="56" s="1"/>
  <c r="C194" i="56"/>
  <c r="D62" i="56"/>
  <c r="B168" i="56"/>
  <c r="C168" i="56" s="1"/>
  <c r="D67" i="56"/>
  <c r="E67" i="56" s="1"/>
  <c r="C174" i="56"/>
  <c r="D68" i="56"/>
  <c r="E42" i="75" s="1"/>
  <c r="C175" i="56"/>
  <c r="D95" i="56"/>
  <c r="E152" i="75" s="1"/>
  <c r="C201" i="56"/>
  <c r="F99" i="56"/>
  <c r="G99" i="56"/>
  <c r="H99" i="56"/>
  <c r="AH99" i="56" s="1"/>
  <c r="I99" i="56"/>
  <c r="F47" i="56"/>
  <c r="G47" i="56"/>
  <c r="H47" i="56"/>
  <c r="I47" i="56"/>
  <c r="C82" i="56"/>
  <c r="D74" i="56"/>
  <c r="E67" i="75" s="1"/>
  <c r="C146" i="56"/>
  <c r="D94" i="56"/>
  <c r="E147" i="75" s="1"/>
  <c r="C200" i="56"/>
  <c r="C130" i="56"/>
  <c r="D78" i="56"/>
  <c r="U78" i="56" s="1" a="1"/>
  <c r="U78" i="56" s="1"/>
  <c r="C184" i="56"/>
  <c r="C154" i="56"/>
  <c r="D102" i="56"/>
  <c r="C208" i="56"/>
  <c r="C102" i="56"/>
  <c r="F97" i="56"/>
  <c r="G97" i="56"/>
  <c r="H97" i="56"/>
  <c r="AH97" i="56" s="1"/>
  <c r="I97" i="56"/>
  <c r="M47" i="56"/>
  <c r="N47" i="56"/>
  <c r="O47" i="56"/>
  <c r="P47" i="56"/>
  <c r="Q47" i="56"/>
  <c r="K47" i="56"/>
  <c r="R47" i="56"/>
  <c r="S47" i="56"/>
  <c r="T47" i="56"/>
  <c r="J47" i="56"/>
  <c r="L47" i="56"/>
  <c r="C147" i="56"/>
  <c r="C141" i="56"/>
  <c r="C86" i="56"/>
  <c r="C138" i="56"/>
  <c r="C114" i="56"/>
  <c r="C126" i="56"/>
  <c r="C137" i="56"/>
  <c r="C66" i="56"/>
  <c r="C81" i="56"/>
  <c r="C133" i="56"/>
  <c r="C90" i="56"/>
  <c r="C142" i="56"/>
  <c r="C144" i="56"/>
  <c r="C145" i="56"/>
  <c r="C83" i="56"/>
  <c r="C139" i="56"/>
  <c r="C136" i="56"/>
  <c r="C123" i="56"/>
  <c r="C112" i="56"/>
  <c r="C113" i="56"/>
  <c r="C186" i="56"/>
  <c r="C125" i="56"/>
  <c r="C87" i="56"/>
  <c r="C124" i="56"/>
  <c r="C152" i="56"/>
  <c r="C71" i="56"/>
  <c r="C69" i="56"/>
  <c r="C98" i="56"/>
  <c r="C122" i="56"/>
  <c r="C205" i="56"/>
  <c r="C75" i="56"/>
  <c r="C127" i="56"/>
  <c r="C67" i="56"/>
  <c r="C62" i="56"/>
  <c r="C76" i="56"/>
  <c r="C77" i="56"/>
  <c r="C115" i="56"/>
  <c r="V107" i="56" a="1"/>
  <c r="V107" i="56" s="1"/>
  <c r="V80" i="56" a="1"/>
  <c r="V80" i="56" s="1"/>
  <c r="V96" i="56" a="1"/>
  <c r="V96" i="56" s="1"/>
  <c r="V101" i="56" a="1"/>
  <c r="V101" i="56" s="1"/>
  <c r="V97" i="56" a="1"/>
  <c r="V97" i="56" s="1"/>
  <c r="C153" i="56"/>
  <c r="V100" i="56" a="1"/>
  <c r="V100" i="56" s="1"/>
  <c r="V58" i="56" a="1"/>
  <c r="V58" i="56" s="1"/>
  <c r="E58" i="56"/>
  <c r="V99" i="56" a="1"/>
  <c r="V99" i="56" s="1"/>
  <c r="C132" i="56"/>
  <c r="I5" i="56"/>
  <c r="I27" i="56"/>
  <c r="I42" i="56"/>
  <c r="I23" i="56"/>
  <c r="I37" i="56"/>
  <c r="I13" i="56"/>
  <c r="I46" i="56"/>
  <c r="I35" i="56"/>
  <c r="I38" i="56"/>
  <c r="I53" i="56"/>
  <c r="I16" i="56"/>
  <c r="I9" i="56"/>
  <c r="I10" i="56"/>
  <c r="I8" i="56"/>
  <c r="I12" i="56"/>
  <c r="I24" i="56"/>
  <c r="I6" i="56"/>
  <c r="E40" i="56"/>
  <c r="E34" i="56"/>
  <c r="E41" i="56"/>
  <c r="E19" i="56"/>
  <c r="E20" i="56"/>
  <c r="E18" i="56"/>
  <c r="E14" i="56"/>
  <c r="E26" i="56"/>
  <c r="E39" i="56"/>
  <c r="E17" i="56"/>
  <c r="E33" i="56"/>
  <c r="E4" i="56"/>
  <c r="E15" i="56"/>
  <c r="E44" i="56"/>
  <c r="E30" i="56"/>
  <c r="E45" i="56"/>
  <c r="E31" i="56"/>
  <c r="E32" i="56"/>
  <c r="E25" i="56"/>
  <c r="E21" i="56"/>
  <c r="E7" i="56"/>
  <c r="E11" i="56"/>
  <c r="E36" i="56"/>
  <c r="E28" i="56"/>
  <c r="E29" i="56"/>
  <c r="E22" i="56"/>
  <c r="E43" i="56"/>
  <c r="D11" i="59"/>
  <c r="D12" i="59"/>
  <c r="H12" i="59"/>
  <c r="I12" i="59"/>
  <c r="G12" i="59"/>
  <c r="F12" i="59"/>
  <c r="Y12" i="59"/>
  <c r="E12" i="59"/>
  <c r="X16" i="59"/>
  <c r="O7" i="59"/>
  <c r="H16" i="59"/>
  <c r="G16" i="59"/>
  <c r="E16" i="59"/>
  <c r="D26" i="59"/>
  <c r="F7" i="59"/>
  <c r="D7" i="59"/>
  <c r="Y7" i="59"/>
  <c r="I26" i="59"/>
  <c r="H26" i="59"/>
  <c r="F26" i="59"/>
  <c r="E7" i="59"/>
  <c r="G7" i="59"/>
  <c r="H7" i="59"/>
  <c r="G26" i="59"/>
  <c r="E26" i="59"/>
  <c r="I7" i="59"/>
  <c r="G11" i="59"/>
  <c r="I29" i="59"/>
  <c r="E11" i="59"/>
  <c r="E29" i="59"/>
  <c r="G29" i="59"/>
  <c r="D29" i="59"/>
  <c r="H29" i="59"/>
  <c r="F29" i="59"/>
  <c r="H11" i="59"/>
  <c r="I11" i="59"/>
  <c r="F11" i="59"/>
  <c r="F16" i="59"/>
  <c r="I16" i="59"/>
  <c r="D16" i="59"/>
  <c r="N16" i="59"/>
  <c r="E96" i="56"/>
  <c r="E100" i="56"/>
  <c r="E99" i="56"/>
  <c r="D28" i="59"/>
  <c r="E28" i="59"/>
  <c r="F28" i="59"/>
  <c r="G28" i="59"/>
  <c r="H28" i="59"/>
  <c r="I28" i="59"/>
  <c r="I21" i="59"/>
  <c r="G32" i="59"/>
  <c r="H32" i="59"/>
  <c r="I32" i="59"/>
  <c r="D32" i="59"/>
  <c r="E32" i="59"/>
  <c r="F32" i="59"/>
  <c r="R14" i="59"/>
  <c r="E14" i="59"/>
  <c r="G14" i="59"/>
  <c r="F14" i="59"/>
  <c r="H14" i="59"/>
  <c r="AB14" i="59"/>
  <c r="I14" i="59"/>
  <c r="D14" i="59"/>
  <c r="F19" i="59"/>
  <c r="E33" i="59"/>
  <c r="F33" i="59"/>
  <c r="G33" i="59"/>
  <c r="H33" i="59"/>
  <c r="I33" i="59"/>
  <c r="D33" i="59"/>
  <c r="D21" i="59"/>
  <c r="H21" i="59"/>
  <c r="I19" i="59"/>
  <c r="G19" i="59"/>
  <c r="F21" i="59"/>
  <c r="D19" i="59"/>
  <c r="H19" i="59"/>
  <c r="G21" i="59"/>
  <c r="E19" i="59"/>
  <c r="F25" i="59"/>
  <c r="G25" i="59"/>
  <c r="H25" i="59"/>
  <c r="I25" i="59"/>
  <c r="D25" i="59"/>
  <c r="E25" i="59"/>
  <c r="E27" i="56"/>
  <c r="F27" i="56"/>
  <c r="G27" i="56"/>
  <c r="H27" i="56"/>
  <c r="F37" i="56"/>
  <c r="H37" i="56"/>
  <c r="E37" i="56"/>
  <c r="G37" i="56"/>
  <c r="H30" i="56"/>
  <c r="F30" i="56"/>
  <c r="G30" i="56"/>
  <c r="G12" i="56"/>
  <c r="H12" i="56"/>
  <c r="E12" i="56"/>
  <c r="F12" i="56"/>
  <c r="F38" i="56"/>
  <c r="G38" i="56"/>
  <c r="E38" i="56"/>
  <c r="H38" i="56"/>
  <c r="F29" i="56"/>
  <c r="H29" i="56"/>
  <c r="G29" i="56"/>
  <c r="G46" i="56"/>
  <c r="F46" i="56"/>
  <c r="E46" i="56"/>
  <c r="H46" i="56"/>
  <c r="H26" i="56"/>
  <c r="F26" i="56"/>
  <c r="G26" i="56"/>
  <c r="H11" i="56"/>
  <c r="G11" i="56"/>
  <c r="F11" i="56"/>
  <c r="H5" i="56"/>
  <c r="G5" i="56"/>
  <c r="E5" i="56"/>
  <c r="F5" i="56"/>
  <c r="H40" i="56"/>
  <c r="F40" i="56"/>
  <c r="G40" i="56"/>
  <c r="H8" i="56"/>
  <c r="G8" i="56"/>
  <c r="F8" i="56"/>
  <c r="E8" i="56"/>
  <c r="G42" i="56"/>
  <c r="E42" i="56"/>
  <c r="H42" i="56"/>
  <c r="F42" i="56"/>
  <c r="H14" i="56"/>
  <c r="F14" i="56"/>
  <c r="G14" i="56"/>
  <c r="H20" i="56"/>
  <c r="F20" i="56"/>
  <c r="G20" i="56"/>
  <c r="E9" i="56"/>
  <c r="G9" i="56"/>
  <c r="H9" i="56"/>
  <c r="F9" i="56"/>
  <c r="H6" i="56"/>
  <c r="G6" i="56"/>
  <c r="F6" i="56"/>
  <c r="E6" i="56"/>
  <c r="G17" i="56"/>
  <c r="F17" i="56"/>
  <c r="H17" i="56"/>
  <c r="H45" i="56"/>
  <c r="F45" i="56"/>
  <c r="G45" i="56"/>
  <c r="H16" i="56"/>
  <c r="G16" i="56"/>
  <c r="F16" i="56"/>
  <c r="E16" i="56"/>
  <c r="G34" i="56"/>
  <c r="F34" i="56"/>
  <c r="H34" i="56"/>
  <c r="G22" i="56"/>
  <c r="H22" i="56"/>
  <c r="F22" i="56"/>
  <c r="G19" i="56"/>
  <c r="H19" i="56"/>
  <c r="F19" i="56"/>
  <c r="F36" i="56"/>
  <c r="G36" i="56"/>
  <c r="H36" i="56"/>
  <c r="F43" i="56"/>
  <c r="G43" i="56"/>
  <c r="H43" i="56"/>
  <c r="F35" i="56"/>
  <c r="H35" i="56"/>
  <c r="G35" i="56"/>
  <c r="E35" i="56"/>
  <c r="H24" i="56"/>
  <c r="F24" i="56"/>
  <c r="G24" i="56"/>
  <c r="E24" i="56"/>
  <c r="F39" i="56"/>
  <c r="H39" i="56"/>
  <c r="G39" i="56"/>
  <c r="H10" i="56"/>
  <c r="F10" i="56"/>
  <c r="G10" i="56"/>
  <c r="E10" i="56"/>
  <c r="H21" i="56"/>
  <c r="G21" i="56"/>
  <c r="F21" i="56"/>
  <c r="H7" i="56"/>
  <c r="G7" i="56"/>
  <c r="F7" i="56"/>
  <c r="F41" i="56"/>
  <c r="G41" i="56"/>
  <c r="H41" i="56"/>
  <c r="F15" i="56"/>
  <c r="H15" i="56"/>
  <c r="G15" i="56"/>
  <c r="E97" i="56"/>
  <c r="E107" i="56"/>
  <c r="H31" i="56"/>
  <c r="F31" i="56"/>
  <c r="G31" i="56"/>
  <c r="F23" i="56"/>
  <c r="H23" i="56"/>
  <c r="G23" i="56"/>
  <c r="E23" i="56"/>
  <c r="H25" i="56"/>
  <c r="F25" i="56"/>
  <c r="G25" i="56"/>
  <c r="H44" i="56"/>
  <c r="G44" i="56"/>
  <c r="F44" i="56"/>
  <c r="G33" i="56"/>
  <c r="F33" i="56"/>
  <c r="H33" i="56"/>
  <c r="G28" i="56"/>
  <c r="H28" i="56"/>
  <c r="F28" i="56"/>
  <c r="E80" i="56"/>
  <c r="F53" i="56"/>
  <c r="G53" i="56"/>
  <c r="E53" i="56"/>
  <c r="H53" i="56"/>
  <c r="F4" i="56"/>
  <c r="H4" i="56"/>
  <c r="G4" i="56"/>
  <c r="D54" i="56"/>
  <c r="G13" i="56"/>
  <c r="H13" i="56"/>
  <c r="E13" i="56"/>
  <c r="F13" i="56"/>
  <c r="H18" i="56"/>
  <c r="F18" i="56"/>
  <c r="G18" i="56"/>
  <c r="G32" i="56"/>
  <c r="H32" i="56"/>
  <c r="F32" i="56"/>
  <c r="E101" i="56"/>
  <c r="B106" i="55"/>
  <c r="C111" i="56"/>
  <c r="C148" i="56"/>
  <c r="C149" i="56"/>
  <c r="C121" i="56"/>
  <c r="C150" i="56"/>
  <c r="C206" i="56"/>
  <c r="C151" i="56"/>
  <c r="C207" i="56"/>
  <c r="C203" i="56"/>
  <c r="C202" i="56"/>
  <c r="C164" i="56"/>
  <c r="C204" i="56"/>
  <c r="AC1" i="19"/>
  <c r="AI107" i="56" l="1" a="1"/>
  <c r="AI107" i="56" s="1"/>
  <c r="AK107" i="56" a="1"/>
  <c r="AK107" i="56" s="1"/>
  <c r="AG107" i="56"/>
  <c r="AD107" i="56"/>
  <c r="AF107" i="56" s="1"/>
  <c r="AL98" i="56" a="1"/>
  <c r="AL98" i="56" s="1"/>
  <c r="AK98" i="56" a="1"/>
  <c r="AK98" i="56" s="1"/>
  <c r="AL58" i="56" a="1"/>
  <c r="AL58" i="56" s="1"/>
  <c r="AK58" i="56" a="1"/>
  <c r="AK58" i="56" s="1"/>
  <c r="AL72" i="56" a="1"/>
  <c r="AL72" i="56" s="1"/>
  <c r="AK72" i="56" a="1"/>
  <c r="AK72" i="56" s="1"/>
  <c r="AL100" i="56" a="1"/>
  <c r="AL100" i="56" s="1"/>
  <c r="AK100" i="56" a="1"/>
  <c r="AK100" i="56" s="1"/>
  <c r="AL80" i="56" a="1"/>
  <c r="AL80" i="56" s="1"/>
  <c r="AK80" i="56" a="1"/>
  <c r="AK80" i="56" s="1"/>
  <c r="AL97" i="56" a="1"/>
  <c r="AL97" i="56" s="1"/>
  <c r="AK97" i="56" a="1"/>
  <c r="AK97" i="56" s="1"/>
  <c r="AL96" i="56" a="1"/>
  <c r="AL96" i="56" s="1"/>
  <c r="AK96" i="56" a="1"/>
  <c r="AK96" i="56" s="1"/>
  <c r="AL99" i="56" a="1"/>
  <c r="AL99" i="56" s="1"/>
  <c r="AK99" i="56" a="1"/>
  <c r="AK99" i="56" s="1"/>
  <c r="AL101" i="56" a="1"/>
  <c r="AL101" i="56" s="1"/>
  <c r="AK101" i="56" a="1"/>
  <c r="AK101" i="56" s="1"/>
  <c r="AG58" i="56"/>
  <c r="AG80" i="56"/>
  <c r="AG97" i="56"/>
  <c r="AG101" i="56"/>
  <c r="AI100" i="56" a="1"/>
  <c r="AI100" i="56" s="1"/>
  <c r="AG100" i="56"/>
  <c r="AG72" i="56"/>
  <c r="AG96" i="56"/>
  <c r="AG99" i="56"/>
  <c r="AG98" i="56"/>
  <c r="AI97" i="56" a="1"/>
  <c r="AI97" i="56" s="1"/>
  <c r="AI58" i="56" a="1"/>
  <c r="AI58" i="56" s="1"/>
  <c r="AI72" i="56" a="1"/>
  <c r="AI72" i="56" s="1"/>
  <c r="AI80" i="56" a="1"/>
  <c r="AI80" i="56" s="1"/>
  <c r="AI99" i="56" a="1"/>
  <c r="AI99" i="56" s="1"/>
  <c r="AI101" i="56" a="1"/>
  <c r="AI101" i="56" s="1"/>
  <c r="AI96" i="56" a="1"/>
  <c r="AI96" i="56" s="1"/>
  <c r="AD72" i="56"/>
  <c r="AF72" i="56" s="1"/>
  <c r="B2" i="75"/>
  <c r="AD97" i="56"/>
  <c r="AF97" i="56" s="1"/>
  <c r="AD80" i="56"/>
  <c r="AF80" i="56" s="1"/>
  <c r="AD100" i="56"/>
  <c r="AF100" i="56" s="1"/>
  <c r="H2" i="75"/>
  <c r="F2" i="75"/>
  <c r="AD99" i="56"/>
  <c r="AF99" i="56" s="1"/>
  <c r="AD101" i="56"/>
  <c r="AF101" i="56" s="1"/>
  <c r="AD96" i="56"/>
  <c r="AF96" i="56" s="1"/>
  <c r="AD58" i="56"/>
  <c r="AF58" i="56" s="1"/>
  <c r="E107" i="75"/>
  <c r="V62" i="56" a="1"/>
  <c r="V62" i="56" s="1"/>
  <c r="U62" i="56" a="1"/>
  <c r="U62" i="56" s="1"/>
  <c r="E7" i="75"/>
  <c r="U59" i="56" a="1"/>
  <c r="U59" i="56" s="1"/>
  <c r="E127" i="75"/>
  <c r="U89" i="56" a="1"/>
  <c r="U89" i="56" s="1"/>
  <c r="E117" i="75"/>
  <c r="U86" i="56" a="1"/>
  <c r="U86" i="56" s="1"/>
  <c r="E132" i="75"/>
  <c r="U90" i="56" a="1"/>
  <c r="U90" i="56" s="1"/>
  <c r="E37" i="75"/>
  <c r="U66" i="56" a="1"/>
  <c r="U66" i="56" s="1"/>
  <c r="E97" i="75"/>
  <c r="U81" i="56" a="1"/>
  <c r="U81" i="56" s="1"/>
  <c r="E137" i="75"/>
  <c r="U91" i="56" a="1"/>
  <c r="U91" i="56" s="1"/>
  <c r="E78" i="56"/>
  <c r="K78" i="56" s="1"/>
  <c r="AJ78" i="56" s="1"/>
  <c r="E82" i="75"/>
  <c r="V88" i="56" a="1"/>
  <c r="V88" i="56" s="1"/>
  <c r="E122" i="75"/>
  <c r="V73" i="56" a="1"/>
  <c r="V73" i="56" s="1"/>
  <c r="E62" i="75"/>
  <c r="E93" i="56"/>
  <c r="W93" i="56" s="1"/>
  <c r="E142" i="75"/>
  <c r="V83" i="56" a="1"/>
  <c r="V83" i="56" s="1"/>
  <c r="E102" i="75"/>
  <c r="P52" i="56"/>
  <c r="Q52" i="56"/>
  <c r="R52" i="56"/>
  <c r="S52" i="56"/>
  <c r="T52" i="56"/>
  <c r="K52" i="56"/>
  <c r="J52" i="56"/>
  <c r="M52" i="56"/>
  <c r="L52" i="56"/>
  <c r="O52" i="56"/>
  <c r="N52" i="56"/>
  <c r="C170" i="56"/>
  <c r="W72" i="56"/>
  <c r="P72" i="56"/>
  <c r="Q72" i="56"/>
  <c r="R72" i="56"/>
  <c r="S72" i="56"/>
  <c r="J72" i="56"/>
  <c r="K72" i="56"/>
  <c r="AJ72" i="56" s="1"/>
  <c r="F104" i="56"/>
  <c r="C7" i="49"/>
  <c r="E104" i="56"/>
  <c r="S104" i="56" s="1"/>
  <c r="V104" i="56" a="1"/>
  <c r="V104" i="56" s="1"/>
  <c r="I104" i="56"/>
  <c r="H104" i="56"/>
  <c r="AH104" i="56" s="1"/>
  <c r="G104" i="56"/>
  <c r="C171" i="56"/>
  <c r="C188" i="56"/>
  <c r="C180" i="56"/>
  <c r="C178" i="56"/>
  <c r="C189" i="56"/>
  <c r="C135" i="56"/>
  <c r="C187" i="56"/>
  <c r="N187" i="56"/>
  <c r="M99" i="75" s="1"/>
  <c r="L187" i="56"/>
  <c r="K99" i="75" s="1"/>
  <c r="O187" i="56"/>
  <c r="N99" i="75" s="1"/>
  <c r="M187" i="56"/>
  <c r="L99" i="75" s="1"/>
  <c r="V95" i="56" a="1"/>
  <c r="V95" i="56" s="1"/>
  <c r="V75" i="56" a="1"/>
  <c r="V75" i="56" s="1"/>
  <c r="V64" i="56" a="1"/>
  <c r="V64" i="56" s="1"/>
  <c r="V82" i="56" a="1"/>
  <c r="V82" i="56" s="1"/>
  <c r="V74" i="56" a="1"/>
  <c r="V74" i="56" s="1"/>
  <c r="E76" i="56"/>
  <c r="Q76" i="56" s="1"/>
  <c r="E85" i="56"/>
  <c r="Q85" i="56" s="1"/>
  <c r="E71" i="56"/>
  <c r="V79" i="56" a="1"/>
  <c r="V79" i="56" s="1"/>
  <c r="V92" i="56" a="1"/>
  <c r="V92" i="56" s="1"/>
  <c r="V91" i="56" a="1"/>
  <c r="V91" i="56" s="1"/>
  <c r="E87" i="56"/>
  <c r="E90" i="56"/>
  <c r="K90" i="56" s="1"/>
  <c r="AJ90" i="56" s="1"/>
  <c r="V61" i="56" a="1"/>
  <c r="V61" i="56" s="1"/>
  <c r="V94" i="56" a="1"/>
  <c r="V94" i="56" s="1"/>
  <c r="E70" i="56"/>
  <c r="P70" i="56" s="1"/>
  <c r="V63" i="56" a="1"/>
  <c r="V63" i="56" s="1"/>
  <c r="E89" i="56"/>
  <c r="S89" i="56" s="1"/>
  <c r="E106" i="56"/>
  <c r="C50" i="55" s="1"/>
  <c r="F106" i="56"/>
  <c r="G106" i="56"/>
  <c r="H106" i="56"/>
  <c r="AH106" i="56" s="1"/>
  <c r="I106" i="56"/>
  <c r="V106" i="56" a="1"/>
  <c r="V106" i="56" s="1"/>
  <c r="E105" i="56"/>
  <c r="F105" i="56"/>
  <c r="G105" i="56"/>
  <c r="H105" i="56"/>
  <c r="AH105" i="56" s="1"/>
  <c r="I105" i="56"/>
  <c r="V105" i="56" a="1"/>
  <c r="V105" i="56" s="1"/>
  <c r="E73" i="56"/>
  <c r="V89" i="56" a="1"/>
  <c r="V89" i="56" s="1"/>
  <c r="E64" i="56"/>
  <c r="E95" i="56"/>
  <c r="K95" i="56" s="1"/>
  <c r="AJ95" i="56" s="1"/>
  <c r="E74" i="56"/>
  <c r="P74" i="56" s="1"/>
  <c r="E88" i="56"/>
  <c r="E61" i="56"/>
  <c r="S61" i="56" s="1"/>
  <c r="V59" i="56" a="1"/>
  <c r="V59" i="56" s="1"/>
  <c r="E63" i="56"/>
  <c r="P63" i="56" s="1"/>
  <c r="B29" i="65"/>
  <c r="B28" i="65"/>
  <c r="A26" i="65"/>
  <c r="H26" i="65" s="1"/>
  <c r="E59" i="56"/>
  <c r="S59" i="56" s="1"/>
  <c r="E94" i="56"/>
  <c r="R94" i="56" s="1"/>
  <c r="V85" i="56" a="1"/>
  <c r="V85" i="56" s="1"/>
  <c r="E82" i="56"/>
  <c r="E75" i="56"/>
  <c r="J75" i="56" s="1"/>
  <c r="I72" i="75" s="1"/>
  <c r="V78" i="56" a="1"/>
  <c r="V78" i="56" s="1"/>
  <c r="V90" i="56" a="1"/>
  <c r="V90" i="56" s="1"/>
  <c r="E62" i="56"/>
  <c r="V93" i="56" a="1"/>
  <c r="V93" i="56" s="1"/>
  <c r="E79" i="56"/>
  <c r="E91" i="56"/>
  <c r="Q91" i="56" s="1"/>
  <c r="E92" i="56"/>
  <c r="V67" i="56" a="1"/>
  <c r="V67" i="56" s="1"/>
  <c r="E83" i="56"/>
  <c r="J83" i="56" s="1"/>
  <c r="I102" i="75" s="1"/>
  <c r="C143" i="56"/>
  <c r="F86" i="56"/>
  <c r="G86" i="56"/>
  <c r="G117" i="75" s="1"/>
  <c r="H86" i="56"/>
  <c r="AH86" i="56" s="1"/>
  <c r="I86" i="56"/>
  <c r="G68" i="56"/>
  <c r="H68" i="56"/>
  <c r="AH68" i="56" s="1"/>
  <c r="I68" i="56"/>
  <c r="F68" i="56"/>
  <c r="F69" i="56"/>
  <c r="G69" i="56"/>
  <c r="H69" i="56"/>
  <c r="AH69" i="56" s="1"/>
  <c r="I69" i="56"/>
  <c r="G67" i="56"/>
  <c r="H67" i="56"/>
  <c r="AH67" i="56" s="1"/>
  <c r="I67" i="56"/>
  <c r="F67" i="56"/>
  <c r="F71" i="56"/>
  <c r="G71" i="56"/>
  <c r="H71" i="56"/>
  <c r="AH71" i="56" s="1"/>
  <c r="I71" i="56"/>
  <c r="AV156" i="19" s="1"/>
  <c r="I64" i="56"/>
  <c r="AV436" i="19" s="1"/>
  <c r="F64" i="56"/>
  <c r="G64" i="56"/>
  <c r="H64" i="56"/>
  <c r="AH64" i="56" s="1"/>
  <c r="F59" i="56"/>
  <c r="G59" i="56"/>
  <c r="H59" i="56"/>
  <c r="AH59" i="56" s="1"/>
  <c r="I59" i="56"/>
  <c r="G81" i="56"/>
  <c r="G97" i="75" s="1"/>
  <c r="H81" i="56"/>
  <c r="AH81" i="56" s="1"/>
  <c r="I81" i="56"/>
  <c r="F81" i="56"/>
  <c r="C134" i="56"/>
  <c r="H102" i="56"/>
  <c r="AH102" i="56" s="1"/>
  <c r="I102" i="56"/>
  <c r="F102" i="56"/>
  <c r="G102" i="56"/>
  <c r="V102" i="56" a="1"/>
  <c r="V102" i="56" s="1"/>
  <c r="E102" i="56"/>
  <c r="F60" i="56"/>
  <c r="G60" i="56"/>
  <c r="H60" i="56"/>
  <c r="AH60" i="56" s="1"/>
  <c r="I60" i="56"/>
  <c r="F84" i="56"/>
  <c r="G84" i="56"/>
  <c r="H84" i="56"/>
  <c r="AH84" i="56" s="1"/>
  <c r="I84" i="56"/>
  <c r="H90" i="56"/>
  <c r="AH90" i="56" s="1"/>
  <c r="I90" i="56"/>
  <c r="F90" i="56"/>
  <c r="G90" i="56"/>
  <c r="G132" i="75" s="1"/>
  <c r="C140" i="56"/>
  <c r="H78" i="56"/>
  <c r="AH78" i="56" s="1"/>
  <c r="I78" i="56"/>
  <c r="F78" i="56"/>
  <c r="G78" i="56"/>
  <c r="G82" i="75" s="1"/>
  <c r="H66" i="56"/>
  <c r="AH66" i="56" s="1"/>
  <c r="I66" i="56"/>
  <c r="F66" i="56"/>
  <c r="G66" i="56"/>
  <c r="G37" i="75" s="1"/>
  <c r="R48" i="56"/>
  <c r="S48" i="56"/>
  <c r="Q48" i="56"/>
  <c r="K48" i="56"/>
  <c r="O48" i="56"/>
  <c r="L48" i="56"/>
  <c r="M48" i="56"/>
  <c r="N48" i="56"/>
  <c r="T48" i="56"/>
  <c r="J48" i="56"/>
  <c r="P48" i="56"/>
  <c r="F62" i="56"/>
  <c r="G62" i="56"/>
  <c r="H62" i="56"/>
  <c r="AH62" i="56" s="1"/>
  <c r="I62" i="56"/>
  <c r="I76" i="56"/>
  <c r="F76" i="56"/>
  <c r="G76" i="56"/>
  <c r="H76" i="56"/>
  <c r="AH76" i="56" s="1"/>
  <c r="F73" i="56"/>
  <c r="G73" i="56"/>
  <c r="G62" i="75" s="1"/>
  <c r="H73" i="56"/>
  <c r="AH73" i="56" s="1"/>
  <c r="I73" i="56"/>
  <c r="I63" i="56"/>
  <c r="F63" i="56"/>
  <c r="G63" i="56"/>
  <c r="H63" i="56"/>
  <c r="AH63" i="56" s="1"/>
  <c r="H65" i="56"/>
  <c r="AH65" i="56" s="1"/>
  <c r="I65" i="56"/>
  <c r="F65" i="56"/>
  <c r="G65" i="56"/>
  <c r="H91" i="56"/>
  <c r="AH91" i="56" s="1"/>
  <c r="I91" i="56"/>
  <c r="F91" i="56"/>
  <c r="G91" i="56"/>
  <c r="V60" i="56" a="1"/>
  <c r="V60" i="56" s="1"/>
  <c r="F94" i="56"/>
  <c r="G94" i="56"/>
  <c r="H94" i="56"/>
  <c r="AH94" i="56" s="1"/>
  <c r="I94" i="56"/>
  <c r="I88" i="56"/>
  <c r="F88" i="56"/>
  <c r="G88" i="56"/>
  <c r="G122" i="75" s="1"/>
  <c r="H88" i="56"/>
  <c r="AH88" i="56" s="1"/>
  <c r="F83" i="56"/>
  <c r="G83" i="56"/>
  <c r="H83" i="56"/>
  <c r="AH83" i="56" s="1"/>
  <c r="I83" i="56"/>
  <c r="AV567" i="19" s="1"/>
  <c r="AN567" i="19" s="1"/>
  <c r="G93" i="56"/>
  <c r="H93" i="56"/>
  <c r="AH93" i="56" s="1"/>
  <c r="I93" i="56"/>
  <c r="AK93" i="56" s="1" a="1"/>
  <c r="AK93" i="56" s="1"/>
  <c r="F93" i="56"/>
  <c r="F82" i="56"/>
  <c r="G82" i="56"/>
  <c r="H82" i="56"/>
  <c r="AH82" i="56" s="1"/>
  <c r="I82" i="56"/>
  <c r="I77" i="56"/>
  <c r="F77" i="56"/>
  <c r="G77" i="56"/>
  <c r="H77" i="56"/>
  <c r="AH77" i="56" s="1"/>
  <c r="F70" i="56"/>
  <c r="G70" i="56"/>
  <c r="H70" i="56"/>
  <c r="AH70" i="56" s="1"/>
  <c r="I70" i="56"/>
  <c r="F87" i="56"/>
  <c r="G87" i="56"/>
  <c r="H87" i="56"/>
  <c r="AH87" i="56" s="1"/>
  <c r="I87" i="56"/>
  <c r="G92" i="56"/>
  <c r="H92" i="56"/>
  <c r="AH92" i="56" s="1"/>
  <c r="I92" i="56"/>
  <c r="F92" i="56"/>
  <c r="F85" i="56"/>
  <c r="G85" i="56"/>
  <c r="H85" i="56"/>
  <c r="AH85" i="56" s="1"/>
  <c r="I85" i="56"/>
  <c r="E60" i="56"/>
  <c r="R60" i="56" s="1"/>
  <c r="E84" i="56"/>
  <c r="Q84" i="56" s="1"/>
  <c r="V84" i="56" a="1"/>
  <c r="V84" i="56" s="1"/>
  <c r="V68" i="56" a="1"/>
  <c r="V68" i="56" s="1"/>
  <c r="C117" i="56"/>
  <c r="F74" i="56"/>
  <c r="G74" i="56"/>
  <c r="H74" i="56"/>
  <c r="AH74" i="56" s="1"/>
  <c r="I74" i="56"/>
  <c r="H103" i="56"/>
  <c r="AH103" i="56" s="1"/>
  <c r="I103" i="56"/>
  <c r="AV158" i="19" s="1"/>
  <c r="F103" i="56"/>
  <c r="G103" i="56"/>
  <c r="E103" i="56"/>
  <c r="V103" i="56" a="1"/>
  <c r="V103" i="56" s="1"/>
  <c r="E68" i="56"/>
  <c r="F95" i="56"/>
  <c r="G95" i="56"/>
  <c r="H95" i="56"/>
  <c r="AH95" i="56" s="1"/>
  <c r="I95" i="56"/>
  <c r="F75" i="56"/>
  <c r="G75" i="56"/>
  <c r="H75" i="56"/>
  <c r="AH75" i="56" s="1"/>
  <c r="I75" i="56"/>
  <c r="I89" i="56"/>
  <c r="F89" i="56"/>
  <c r="G89" i="56"/>
  <c r="H89" i="56"/>
  <c r="AH89" i="56" s="1"/>
  <c r="F61" i="56"/>
  <c r="G61" i="56"/>
  <c r="H61" i="56"/>
  <c r="AH61" i="56" s="1"/>
  <c r="I61" i="56"/>
  <c r="AV537" i="19" s="1"/>
  <c r="H79" i="56"/>
  <c r="AH79" i="56" s="1"/>
  <c r="I79" i="56"/>
  <c r="F79" i="56"/>
  <c r="G79" i="56"/>
  <c r="V98" i="56" a="1"/>
  <c r="V98" i="56" s="1"/>
  <c r="AD98" i="56" s="1"/>
  <c r="AF98" i="56" s="1"/>
  <c r="E77" i="56"/>
  <c r="E65" i="56"/>
  <c r="E81" i="56"/>
  <c r="S81" i="56" s="1"/>
  <c r="E66" i="56"/>
  <c r="S66" i="56" s="1"/>
  <c r="V81" i="56" a="1"/>
  <c r="V81" i="56" s="1"/>
  <c r="V70" i="56" a="1"/>
  <c r="V70" i="56" s="1"/>
  <c r="V66" i="56" a="1"/>
  <c r="V66" i="56" s="1"/>
  <c r="V65" i="56" a="1"/>
  <c r="V65" i="56" s="1"/>
  <c r="E69" i="56"/>
  <c r="S69" i="56" s="1"/>
  <c r="V69" i="56" a="1"/>
  <c r="V69" i="56" s="1"/>
  <c r="V76" i="56" a="1"/>
  <c r="V76" i="56" s="1"/>
  <c r="C166" i="56"/>
  <c r="V71" i="56" a="1"/>
  <c r="V71" i="56" s="1"/>
  <c r="C131" i="56"/>
  <c r="V87" i="56" a="1"/>
  <c r="V87" i="56" s="1"/>
  <c r="AD87" i="56" s="1"/>
  <c r="AF87" i="56" s="1"/>
  <c r="E98" i="56"/>
  <c r="C42" i="55" s="1"/>
  <c r="V77" i="56" a="1"/>
  <c r="V77" i="56" s="1"/>
  <c r="V86" i="56" a="1"/>
  <c r="V86" i="56" s="1"/>
  <c r="E86" i="56"/>
  <c r="R86" i="56" s="1"/>
  <c r="AV707" i="19"/>
  <c r="AN707" i="19" s="1"/>
  <c r="AV50" i="19"/>
  <c r="AN50" i="19" s="1"/>
  <c r="R34" i="56"/>
  <c r="M34" i="56"/>
  <c r="P34" i="56"/>
  <c r="Q34" i="56"/>
  <c r="N34" i="56"/>
  <c r="O34" i="56"/>
  <c r="R53" i="56"/>
  <c r="M53" i="56"/>
  <c r="O53" i="56"/>
  <c r="P53" i="56"/>
  <c r="Q53" i="56"/>
  <c r="N53" i="56"/>
  <c r="P9" i="56"/>
  <c r="R9" i="56"/>
  <c r="M9" i="56"/>
  <c r="Q9" i="56"/>
  <c r="N9" i="56"/>
  <c r="O9" i="56"/>
  <c r="Q29" i="56"/>
  <c r="N29" i="56"/>
  <c r="R29" i="56"/>
  <c r="P29" i="56"/>
  <c r="O29" i="56"/>
  <c r="M29" i="56"/>
  <c r="P15" i="56"/>
  <c r="O15" i="56"/>
  <c r="Q15" i="56"/>
  <c r="R15" i="56"/>
  <c r="M15" i="56"/>
  <c r="N15" i="56"/>
  <c r="Q40" i="56"/>
  <c r="N40" i="56"/>
  <c r="P40" i="56"/>
  <c r="O40" i="56"/>
  <c r="R40" i="56"/>
  <c r="M40" i="56"/>
  <c r="R43" i="56"/>
  <c r="Q43" i="56"/>
  <c r="N43" i="56"/>
  <c r="P43" i="56"/>
  <c r="O43" i="56"/>
  <c r="M43" i="56"/>
  <c r="Q27" i="56"/>
  <c r="N27" i="56"/>
  <c r="P27" i="56"/>
  <c r="O27" i="56"/>
  <c r="R27" i="56"/>
  <c r="M27" i="56"/>
  <c r="R22" i="56"/>
  <c r="M22" i="56"/>
  <c r="P22" i="56"/>
  <c r="O22" i="56"/>
  <c r="Q22" i="56"/>
  <c r="N22" i="56"/>
  <c r="K107" i="56"/>
  <c r="AJ107" i="56" s="1"/>
  <c r="P107" i="56"/>
  <c r="W107" i="56"/>
  <c r="Q107" i="56"/>
  <c r="R107" i="56"/>
  <c r="S107" i="56"/>
  <c r="J107" i="56"/>
  <c r="P24" i="56"/>
  <c r="O24" i="56"/>
  <c r="R24" i="56"/>
  <c r="M24" i="56"/>
  <c r="Q24" i="56"/>
  <c r="N24" i="56"/>
  <c r="R8" i="56"/>
  <c r="M8" i="56"/>
  <c r="Q8" i="56"/>
  <c r="N8" i="56"/>
  <c r="P8" i="56"/>
  <c r="O8" i="56"/>
  <c r="K99" i="56"/>
  <c r="AJ99" i="56" s="1"/>
  <c r="W99" i="56"/>
  <c r="P99" i="56"/>
  <c r="Q99" i="56"/>
  <c r="R99" i="56"/>
  <c r="S99" i="56"/>
  <c r="J99" i="56"/>
  <c r="I167" i="75" s="1"/>
  <c r="Q28" i="56"/>
  <c r="N28" i="56"/>
  <c r="P28" i="56"/>
  <c r="O28" i="56"/>
  <c r="R28" i="56"/>
  <c r="M28" i="56"/>
  <c r="Q4" i="56"/>
  <c r="N4" i="56"/>
  <c r="P4" i="56"/>
  <c r="O4" i="56"/>
  <c r="R4" i="56"/>
  <c r="M4" i="56"/>
  <c r="S97" i="56"/>
  <c r="W97" i="56"/>
  <c r="J97" i="56"/>
  <c r="R97" i="56"/>
  <c r="K97" i="56"/>
  <c r="AJ97" i="56" s="1"/>
  <c r="P97" i="56"/>
  <c r="Q97" i="56"/>
  <c r="Q38" i="56"/>
  <c r="P38" i="56"/>
  <c r="O38" i="56"/>
  <c r="N38" i="56"/>
  <c r="R38" i="56"/>
  <c r="M38" i="56"/>
  <c r="S100" i="56"/>
  <c r="K100" i="56"/>
  <c r="AJ100" i="56" s="1"/>
  <c r="W100" i="56"/>
  <c r="P172" i="75" s="1"/>
  <c r="R100" i="56"/>
  <c r="P100" i="56"/>
  <c r="Q100" i="56"/>
  <c r="J100" i="56"/>
  <c r="I172" i="75" s="1"/>
  <c r="P36" i="56"/>
  <c r="O36" i="56"/>
  <c r="R36" i="56"/>
  <c r="M36" i="56"/>
  <c r="Q36" i="56"/>
  <c r="N36" i="56"/>
  <c r="R33" i="56"/>
  <c r="M33" i="56"/>
  <c r="Q33" i="56"/>
  <c r="N33" i="56"/>
  <c r="P33" i="56"/>
  <c r="O33" i="56"/>
  <c r="Q30" i="56"/>
  <c r="N30" i="56"/>
  <c r="M30" i="56"/>
  <c r="P30" i="56"/>
  <c r="O30" i="56"/>
  <c r="R30" i="56"/>
  <c r="P80" i="56"/>
  <c r="J80" i="56"/>
  <c r="I92" i="75" s="1"/>
  <c r="Q80" i="56"/>
  <c r="R80" i="56"/>
  <c r="S80" i="56"/>
  <c r="K80" i="56"/>
  <c r="AJ80" i="56" s="1"/>
  <c r="W80" i="56"/>
  <c r="P92" i="75" s="1"/>
  <c r="O11" i="56"/>
  <c r="R11" i="56"/>
  <c r="M11" i="56"/>
  <c r="Q11" i="56"/>
  <c r="N11" i="56"/>
  <c r="P11" i="56"/>
  <c r="M17" i="56"/>
  <c r="Q17" i="56"/>
  <c r="N17" i="56"/>
  <c r="R17" i="56"/>
  <c r="P17" i="56"/>
  <c r="O17" i="56"/>
  <c r="P58" i="56"/>
  <c r="N2" i="75"/>
  <c r="M2" i="75"/>
  <c r="L2" i="75"/>
  <c r="W58" i="56"/>
  <c r="P2" i="75" s="1"/>
  <c r="R58" i="56"/>
  <c r="S58" i="56"/>
  <c r="Q58" i="56"/>
  <c r="K58" i="56"/>
  <c r="AJ58" i="56" s="1"/>
  <c r="J58" i="56"/>
  <c r="I2" i="75" s="1"/>
  <c r="R44" i="56"/>
  <c r="M44" i="56"/>
  <c r="Q44" i="56"/>
  <c r="N44" i="56"/>
  <c r="P44" i="56"/>
  <c r="O44" i="56"/>
  <c r="Q37" i="56"/>
  <c r="P37" i="56"/>
  <c r="O37" i="56"/>
  <c r="R37" i="56"/>
  <c r="M37" i="56"/>
  <c r="N37" i="56"/>
  <c r="P13" i="56"/>
  <c r="O13" i="56"/>
  <c r="N13" i="56"/>
  <c r="R13" i="56"/>
  <c r="M13" i="56"/>
  <c r="Q13" i="56"/>
  <c r="W96" i="56"/>
  <c r="P96" i="56"/>
  <c r="J96" i="56"/>
  <c r="I157" i="75" s="1"/>
  <c r="Q96" i="56"/>
  <c r="R96" i="56"/>
  <c r="S96" i="56"/>
  <c r="K96" i="56"/>
  <c r="AJ96" i="56" s="1"/>
  <c r="Q7" i="56"/>
  <c r="N7" i="56"/>
  <c r="M7" i="56"/>
  <c r="P7" i="56"/>
  <c r="O7" i="56"/>
  <c r="R7" i="56"/>
  <c r="P39" i="56"/>
  <c r="O39" i="56"/>
  <c r="N39" i="56"/>
  <c r="Q39" i="56"/>
  <c r="R39" i="56"/>
  <c r="M39" i="56"/>
  <c r="Q42" i="56"/>
  <c r="N42" i="56"/>
  <c r="R42" i="56"/>
  <c r="P42" i="56"/>
  <c r="O42" i="56"/>
  <c r="M42" i="56"/>
  <c r="Q41" i="56"/>
  <c r="N41" i="56"/>
  <c r="P41" i="56"/>
  <c r="O41" i="56"/>
  <c r="M41" i="56"/>
  <c r="R41" i="56"/>
  <c r="P23" i="56"/>
  <c r="R23" i="56"/>
  <c r="M23" i="56"/>
  <c r="O23" i="56"/>
  <c r="Q23" i="56"/>
  <c r="N23" i="56"/>
  <c r="Q6" i="56"/>
  <c r="N6" i="56"/>
  <c r="M6" i="56"/>
  <c r="P6" i="56"/>
  <c r="O6" i="56"/>
  <c r="R6" i="56"/>
  <c r="O21" i="56"/>
  <c r="R21" i="56"/>
  <c r="M21" i="56"/>
  <c r="P21" i="56"/>
  <c r="Q21" i="56"/>
  <c r="N21" i="56"/>
  <c r="P67" i="56"/>
  <c r="J67" i="56"/>
  <c r="Q67" i="56"/>
  <c r="R67" i="56"/>
  <c r="S67" i="56"/>
  <c r="K67" i="56"/>
  <c r="AJ67" i="56" s="1"/>
  <c r="W67" i="56"/>
  <c r="AA67" i="56"/>
  <c r="P14" i="56"/>
  <c r="O14" i="56"/>
  <c r="Q14" i="56"/>
  <c r="R14" i="56"/>
  <c r="M14" i="56"/>
  <c r="N14" i="56"/>
  <c r="O46" i="56"/>
  <c r="R46" i="56"/>
  <c r="M46" i="56"/>
  <c r="P46" i="56"/>
  <c r="Q46" i="56"/>
  <c r="N46" i="56"/>
  <c r="R32" i="56"/>
  <c r="M32" i="56"/>
  <c r="Q32" i="56"/>
  <c r="N32" i="56"/>
  <c r="P32" i="56"/>
  <c r="O32" i="56"/>
  <c r="R18" i="56"/>
  <c r="Q18" i="56"/>
  <c r="N18" i="56"/>
  <c r="M18" i="56"/>
  <c r="P18" i="56"/>
  <c r="O18" i="56"/>
  <c r="N26" i="56"/>
  <c r="P26" i="56"/>
  <c r="O26" i="56"/>
  <c r="R26" i="56"/>
  <c r="M26" i="56"/>
  <c r="Q26" i="56"/>
  <c r="P12" i="56"/>
  <c r="O12" i="56"/>
  <c r="R12" i="56"/>
  <c r="M12" i="56"/>
  <c r="Q12" i="56"/>
  <c r="N12" i="56"/>
  <c r="Q31" i="56"/>
  <c r="N31" i="56"/>
  <c r="M31" i="56"/>
  <c r="P31" i="56"/>
  <c r="O31" i="56"/>
  <c r="R31" i="56"/>
  <c r="R20" i="56"/>
  <c r="M20" i="56"/>
  <c r="Q20" i="56"/>
  <c r="N20" i="56"/>
  <c r="P20" i="56"/>
  <c r="O20" i="56"/>
  <c r="P10" i="56"/>
  <c r="R10" i="56"/>
  <c r="M10" i="56"/>
  <c r="O10" i="56"/>
  <c r="Q10" i="56"/>
  <c r="N10" i="56"/>
  <c r="P25" i="56"/>
  <c r="O25" i="56"/>
  <c r="N25" i="56"/>
  <c r="R25" i="56"/>
  <c r="M25" i="56"/>
  <c r="Q25" i="56"/>
  <c r="Q16" i="56"/>
  <c r="N16" i="56"/>
  <c r="P16" i="56"/>
  <c r="O16" i="56"/>
  <c r="R16" i="56"/>
  <c r="M16" i="56"/>
  <c r="C44" i="55"/>
  <c r="D44" i="55" s="1"/>
  <c r="P101" i="56"/>
  <c r="Q101" i="56"/>
  <c r="R101" i="56"/>
  <c r="K101" i="56"/>
  <c r="AJ101" i="56" s="1"/>
  <c r="S101" i="56"/>
  <c r="W101" i="56"/>
  <c r="J101" i="56"/>
  <c r="I177" i="75" s="1"/>
  <c r="R35" i="56"/>
  <c r="M35" i="56"/>
  <c r="Q35" i="56"/>
  <c r="N35" i="56"/>
  <c r="P35" i="56"/>
  <c r="O35" i="56"/>
  <c r="Q5" i="56"/>
  <c r="N5" i="56"/>
  <c r="R5" i="56"/>
  <c r="M5" i="56"/>
  <c r="P5" i="56"/>
  <c r="O5" i="56"/>
  <c r="R45" i="56"/>
  <c r="M45" i="56"/>
  <c r="O45" i="56"/>
  <c r="Q45" i="56"/>
  <c r="N45" i="56"/>
  <c r="P45" i="56"/>
  <c r="M19" i="56"/>
  <c r="R19" i="56"/>
  <c r="Q19" i="56"/>
  <c r="N19" i="56"/>
  <c r="P19" i="56"/>
  <c r="O19" i="56"/>
  <c r="J23" i="56"/>
  <c r="S23" i="56"/>
  <c r="L23" i="56"/>
  <c r="T23" i="56"/>
  <c r="K23" i="56"/>
  <c r="K10" i="56"/>
  <c r="T10" i="56"/>
  <c r="J10" i="56"/>
  <c r="S10" i="56"/>
  <c r="L10" i="56"/>
  <c r="K12" i="56"/>
  <c r="T12" i="56"/>
  <c r="J12" i="56"/>
  <c r="S12" i="56"/>
  <c r="L12" i="56"/>
  <c r="K37" i="56"/>
  <c r="T37" i="56"/>
  <c r="J37" i="56"/>
  <c r="S37" i="56"/>
  <c r="L37" i="56"/>
  <c r="L28" i="56"/>
  <c r="K28" i="56"/>
  <c r="T28" i="56"/>
  <c r="J28" i="56"/>
  <c r="S28" i="56"/>
  <c r="J32" i="56"/>
  <c r="S32" i="56"/>
  <c r="L32" i="56"/>
  <c r="K32" i="56"/>
  <c r="T32" i="56"/>
  <c r="L4" i="56"/>
  <c r="K4" i="56"/>
  <c r="T4" i="56"/>
  <c r="J4" i="56"/>
  <c r="S4" i="56"/>
  <c r="J18" i="56"/>
  <c r="S18" i="56"/>
  <c r="L18" i="56"/>
  <c r="K18" i="56"/>
  <c r="T18" i="56"/>
  <c r="J53" i="56"/>
  <c r="S53" i="56"/>
  <c r="L53" i="56"/>
  <c r="T53" i="56"/>
  <c r="K53" i="56"/>
  <c r="K46" i="56"/>
  <c r="J46" i="56"/>
  <c r="S46" i="56"/>
  <c r="L46" i="56"/>
  <c r="T46" i="56"/>
  <c r="K27" i="56"/>
  <c r="T27" i="56"/>
  <c r="J27" i="56"/>
  <c r="S27" i="56"/>
  <c r="L27" i="56"/>
  <c r="K36" i="56"/>
  <c r="T36" i="56"/>
  <c r="J36" i="56"/>
  <c r="S36" i="56"/>
  <c r="L36" i="56"/>
  <c r="L31" i="56"/>
  <c r="K31" i="56"/>
  <c r="T31" i="56"/>
  <c r="S31" i="56"/>
  <c r="J31" i="56"/>
  <c r="J33" i="56"/>
  <c r="S33" i="56"/>
  <c r="L33" i="56"/>
  <c r="K33" i="56"/>
  <c r="T33" i="56"/>
  <c r="J20" i="56"/>
  <c r="S20" i="56"/>
  <c r="L20" i="56"/>
  <c r="K20" i="56"/>
  <c r="T20" i="56"/>
  <c r="J8" i="56"/>
  <c r="S8" i="56"/>
  <c r="L8" i="56"/>
  <c r="K8" i="56"/>
  <c r="T8" i="56"/>
  <c r="L5" i="56"/>
  <c r="K5" i="56"/>
  <c r="T5" i="56"/>
  <c r="J5" i="56"/>
  <c r="S5" i="56"/>
  <c r="K24" i="56"/>
  <c r="T24" i="56"/>
  <c r="J24" i="56"/>
  <c r="S24" i="56"/>
  <c r="L24" i="56"/>
  <c r="L16" i="56"/>
  <c r="K16" i="56"/>
  <c r="T16" i="56"/>
  <c r="J16" i="56"/>
  <c r="S16" i="56"/>
  <c r="J11" i="56"/>
  <c r="S11" i="56"/>
  <c r="L11" i="56"/>
  <c r="T11" i="56"/>
  <c r="K11" i="56"/>
  <c r="J45" i="56"/>
  <c r="S45" i="56"/>
  <c r="L45" i="56"/>
  <c r="K45" i="56"/>
  <c r="T45" i="56"/>
  <c r="L17" i="56"/>
  <c r="K17" i="56"/>
  <c r="T17" i="56"/>
  <c r="J17" i="56"/>
  <c r="S17" i="56"/>
  <c r="L19" i="56"/>
  <c r="K19" i="56"/>
  <c r="T19" i="56"/>
  <c r="S19" i="56"/>
  <c r="J19" i="56"/>
  <c r="K13" i="56"/>
  <c r="T13" i="56"/>
  <c r="J13" i="56"/>
  <c r="S13" i="56"/>
  <c r="L13" i="56"/>
  <c r="J9" i="56"/>
  <c r="S9" i="56"/>
  <c r="L9" i="56"/>
  <c r="K9" i="56"/>
  <c r="T9" i="56"/>
  <c r="J35" i="56"/>
  <c r="S35" i="56"/>
  <c r="L35" i="56"/>
  <c r="K35" i="56"/>
  <c r="T35" i="56"/>
  <c r="L43" i="56"/>
  <c r="K43" i="56"/>
  <c r="T43" i="56"/>
  <c r="S43" i="56"/>
  <c r="J43" i="56"/>
  <c r="L7" i="56"/>
  <c r="K7" i="56"/>
  <c r="T7" i="56"/>
  <c r="S7" i="56"/>
  <c r="J7" i="56"/>
  <c r="J30" i="56"/>
  <c r="S30" i="56"/>
  <c r="L30" i="56"/>
  <c r="K30" i="56"/>
  <c r="T30" i="56"/>
  <c r="K39" i="56"/>
  <c r="T39" i="56"/>
  <c r="J39" i="56"/>
  <c r="S39" i="56"/>
  <c r="L39" i="56"/>
  <c r="L41" i="56"/>
  <c r="K41" i="56"/>
  <c r="T41" i="56"/>
  <c r="J41" i="56"/>
  <c r="S41" i="56"/>
  <c r="J42" i="56"/>
  <c r="S42" i="56"/>
  <c r="L42" i="56"/>
  <c r="K42" i="56"/>
  <c r="T42" i="56"/>
  <c r="L38" i="56"/>
  <c r="K38" i="56"/>
  <c r="T38" i="56"/>
  <c r="J38" i="56"/>
  <c r="S38" i="56"/>
  <c r="K22" i="56"/>
  <c r="J22" i="56"/>
  <c r="S22" i="56"/>
  <c r="L22" i="56"/>
  <c r="T22" i="56"/>
  <c r="J21" i="56"/>
  <c r="S21" i="56"/>
  <c r="L21" i="56"/>
  <c r="K21" i="56"/>
  <c r="T21" i="56"/>
  <c r="J44" i="56"/>
  <c r="S44" i="56"/>
  <c r="L44" i="56"/>
  <c r="K44" i="56"/>
  <c r="T44" i="56"/>
  <c r="L26" i="56"/>
  <c r="K26" i="56"/>
  <c r="T26" i="56"/>
  <c r="J26" i="56"/>
  <c r="S26" i="56"/>
  <c r="K34" i="56"/>
  <c r="J34" i="56"/>
  <c r="S34" i="56"/>
  <c r="L34" i="56"/>
  <c r="T34" i="56"/>
  <c r="J6" i="56"/>
  <c r="S6" i="56"/>
  <c r="L6" i="56"/>
  <c r="K6" i="56"/>
  <c r="T6" i="56"/>
  <c r="L29" i="56"/>
  <c r="K29" i="56"/>
  <c r="T29" i="56"/>
  <c r="J29" i="56"/>
  <c r="S29" i="56"/>
  <c r="K25" i="56"/>
  <c r="T25" i="56"/>
  <c r="J25" i="56"/>
  <c r="S25" i="56"/>
  <c r="L25" i="56"/>
  <c r="K15" i="56"/>
  <c r="T15" i="56"/>
  <c r="J15" i="56"/>
  <c r="S15" i="56"/>
  <c r="L15" i="56"/>
  <c r="L14" i="56"/>
  <c r="K14" i="56"/>
  <c r="T14" i="56"/>
  <c r="J14" i="56"/>
  <c r="S14" i="56"/>
  <c r="L40" i="56"/>
  <c r="K40" i="56"/>
  <c r="T40" i="56"/>
  <c r="J40" i="56"/>
  <c r="S40" i="56"/>
  <c r="AV19" i="19"/>
  <c r="AV72" i="19"/>
  <c r="AN72" i="19" s="1"/>
  <c r="AV180" i="19"/>
  <c r="AN180" i="19" s="1"/>
  <c r="AV736" i="19"/>
  <c r="AN736" i="19" s="1"/>
  <c r="AV257" i="19"/>
  <c r="AN257" i="19" s="1"/>
  <c r="AV93" i="19"/>
  <c r="AN93" i="19" s="1"/>
  <c r="AV621" i="19"/>
  <c r="AN621" i="19" s="1"/>
  <c r="AV560" i="19"/>
  <c r="AN560" i="19" s="1"/>
  <c r="AV192" i="19"/>
  <c r="AN192" i="19" s="1"/>
  <c r="AV390" i="19"/>
  <c r="AN390" i="19" s="1"/>
  <c r="AV66" i="19"/>
  <c r="AN66" i="19" s="1"/>
  <c r="AV470" i="19"/>
  <c r="AN470" i="19" s="1"/>
  <c r="AV77" i="19"/>
  <c r="AN77" i="19" s="1"/>
  <c r="AV670" i="19"/>
  <c r="AN670" i="19" s="1"/>
  <c r="AV35" i="19"/>
  <c r="AN35" i="19" s="1"/>
  <c r="AV723" i="19"/>
  <c r="AN723" i="19" s="1"/>
  <c r="AV629" i="19"/>
  <c r="AN629" i="19" s="1"/>
  <c r="AV174" i="19"/>
  <c r="AN174" i="19" s="1"/>
  <c r="AV96" i="19"/>
  <c r="AN96" i="19" s="1"/>
  <c r="AV506" i="19"/>
  <c r="AN506" i="19" s="1"/>
  <c r="AV101" i="19"/>
  <c r="AN101" i="19" s="1"/>
  <c r="AV549" i="19"/>
  <c r="AV62" i="19"/>
  <c r="AV510" i="19"/>
  <c r="AN510" i="19" s="1"/>
  <c r="AV408" i="19"/>
  <c r="AN408" i="19" s="1"/>
  <c r="AV662" i="19"/>
  <c r="AN662" i="19" s="1"/>
  <c r="AV611" i="19"/>
  <c r="AN611" i="19" s="1"/>
  <c r="AV90" i="19"/>
  <c r="AN90" i="19" s="1"/>
  <c r="AV559" i="19"/>
  <c r="AN559" i="19" s="1"/>
  <c r="AV724" i="19"/>
  <c r="AN724" i="19" s="1"/>
  <c r="AV687" i="19"/>
  <c r="AN687" i="19" s="1"/>
  <c r="AV81" i="19"/>
  <c r="AN81" i="19" s="1"/>
  <c r="AV24" i="19"/>
  <c r="AN24" i="19" s="1"/>
  <c r="AV36" i="19"/>
  <c r="AN36" i="19" s="1"/>
  <c r="AV252" i="19"/>
  <c r="AN252" i="19" s="1"/>
  <c r="AV185" i="19"/>
  <c r="AN185" i="19" s="1"/>
  <c r="AV79" i="19"/>
  <c r="AN79" i="19" s="1"/>
  <c r="AV83" i="19"/>
  <c r="AN83" i="19" s="1"/>
  <c r="AV108" i="19"/>
  <c r="AN108" i="19" s="1"/>
  <c r="AV384" i="19"/>
  <c r="AN384" i="19" s="1"/>
  <c r="AV712" i="19"/>
  <c r="AN712" i="19" s="1"/>
  <c r="AV103" i="19"/>
  <c r="AN103" i="19" s="1"/>
  <c r="AV528" i="19"/>
  <c r="AN528" i="19" s="1"/>
  <c r="AV699" i="19"/>
  <c r="AN699" i="19" s="1"/>
  <c r="AV735" i="19"/>
  <c r="AN735" i="19" s="1"/>
  <c r="AV393" i="19"/>
  <c r="AN393" i="19" s="1"/>
  <c r="AV40" i="19"/>
  <c r="AN40" i="19" s="1"/>
  <c r="AV784" i="19"/>
  <c r="AN784" i="19" s="1"/>
  <c r="AV73" i="19"/>
  <c r="AN73" i="19" s="1"/>
  <c r="AV89" i="19"/>
  <c r="AN89" i="19" s="1"/>
  <c r="AV45" i="19"/>
  <c r="AN45" i="19" s="1"/>
  <c r="AG4" i="59" a="1"/>
  <c r="AG4" i="59" s="1"/>
  <c r="C2" i="55"/>
  <c r="C40" i="55"/>
  <c r="E54" i="56"/>
  <c r="H54" i="56"/>
  <c r="G54" i="56"/>
  <c r="F54" i="56"/>
  <c r="C43" i="55"/>
  <c r="C11" i="55"/>
  <c r="E6" i="27"/>
  <c r="E18" i="27"/>
  <c r="E21" i="27"/>
  <c r="E7" i="27"/>
  <c r="E19" i="27"/>
  <c r="E8" i="27"/>
  <c r="E20" i="27"/>
  <c r="E9" i="27"/>
  <c r="E10" i="27"/>
  <c r="E11" i="27"/>
  <c r="E12" i="27"/>
  <c r="E13" i="27"/>
  <c r="E17" i="27"/>
  <c r="E14" i="27"/>
  <c r="E15" i="27"/>
  <c r="E16" i="27"/>
  <c r="E4" i="27"/>
  <c r="E5" i="27"/>
  <c r="E43" i="3"/>
  <c r="N43" i="3" s="1"/>
  <c r="E57" i="3"/>
  <c r="N57" i="3" s="1"/>
  <c r="E12" i="3"/>
  <c r="N12" i="3" s="1"/>
  <c r="E14" i="3"/>
  <c r="N14" i="3" s="1"/>
  <c r="E19" i="3"/>
  <c r="N19" i="3" s="1"/>
  <c r="E23" i="3"/>
  <c r="N23" i="3" s="1"/>
  <c r="E32" i="3"/>
  <c r="N32" i="3" s="1"/>
  <c r="E36" i="3"/>
  <c r="E46" i="3"/>
  <c r="N46" i="3" s="1"/>
  <c r="E50" i="3"/>
  <c r="N50" i="3" s="1"/>
  <c r="E83" i="3"/>
  <c r="N83" i="3" s="1"/>
  <c r="B489" i="19"/>
  <c r="B490" i="19"/>
  <c r="B491" i="19"/>
  <c r="B492" i="19"/>
  <c r="B493" i="19"/>
  <c r="B494" i="19"/>
  <c r="B495" i="19"/>
  <c r="B496" i="19"/>
  <c r="B497" i="19"/>
  <c r="B498" i="19"/>
  <c r="B499" i="19"/>
  <c r="B500" i="19"/>
  <c r="B501" i="19"/>
  <c r="B502" i="19"/>
  <c r="B503" i="19"/>
  <c r="B504" i="19"/>
  <c r="B505" i="19"/>
  <c r="B506" i="19"/>
  <c r="B507" i="19"/>
  <c r="B508" i="19"/>
  <c r="B509" i="19"/>
  <c r="B510" i="19"/>
  <c r="B511" i="19"/>
  <c r="B512" i="19"/>
  <c r="B513" i="19"/>
  <c r="B514" i="19"/>
  <c r="B515" i="19"/>
  <c r="B516" i="19"/>
  <c r="B517" i="19"/>
  <c r="B518" i="19"/>
  <c r="B519" i="19"/>
  <c r="B520" i="19"/>
  <c r="B521" i="19"/>
  <c r="B522" i="19"/>
  <c r="B523" i="19"/>
  <c r="B524" i="19"/>
  <c r="B525" i="19"/>
  <c r="B526" i="19"/>
  <c r="B527" i="19"/>
  <c r="B528" i="19"/>
  <c r="B529" i="19"/>
  <c r="B530" i="19"/>
  <c r="B531" i="19"/>
  <c r="B532" i="19"/>
  <c r="B533" i="19"/>
  <c r="B534" i="19"/>
  <c r="B535" i="19"/>
  <c r="B536" i="19"/>
  <c r="B537" i="19"/>
  <c r="B538" i="19"/>
  <c r="B539" i="19"/>
  <c r="B540" i="19"/>
  <c r="B541" i="19"/>
  <c r="B542" i="19"/>
  <c r="B543" i="19"/>
  <c r="B544" i="19"/>
  <c r="B545" i="19"/>
  <c r="B546" i="19"/>
  <c r="B547" i="19"/>
  <c r="B548" i="19"/>
  <c r="B549" i="19"/>
  <c r="B550" i="19"/>
  <c r="B551" i="19"/>
  <c r="B552" i="19"/>
  <c r="B553" i="19"/>
  <c r="B554" i="19"/>
  <c r="B555" i="19"/>
  <c r="B556" i="19"/>
  <c r="B557" i="19"/>
  <c r="B558" i="19"/>
  <c r="B559" i="19"/>
  <c r="B560" i="19"/>
  <c r="B561" i="19"/>
  <c r="B562" i="19"/>
  <c r="B563" i="19"/>
  <c r="B564" i="19"/>
  <c r="B565" i="19"/>
  <c r="B566" i="19"/>
  <c r="B567" i="19"/>
  <c r="B568" i="19"/>
  <c r="B569" i="19"/>
  <c r="B570" i="19"/>
  <c r="B571" i="19"/>
  <c r="B572" i="19"/>
  <c r="B573" i="19"/>
  <c r="B574" i="19"/>
  <c r="B575" i="19"/>
  <c r="B576" i="19"/>
  <c r="B577" i="19"/>
  <c r="B578" i="19"/>
  <c r="B579" i="19"/>
  <c r="B580" i="19"/>
  <c r="B581" i="19"/>
  <c r="B582" i="19"/>
  <c r="B583" i="19"/>
  <c r="B584" i="19"/>
  <c r="B585" i="19"/>
  <c r="B586" i="19"/>
  <c r="B587" i="19"/>
  <c r="B588" i="19"/>
  <c r="B589" i="19"/>
  <c r="B590" i="19"/>
  <c r="B591" i="19"/>
  <c r="B592" i="19"/>
  <c r="B593" i="19"/>
  <c r="B594" i="19"/>
  <c r="B595" i="19"/>
  <c r="B596" i="19"/>
  <c r="B597" i="19"/>
  <c r="B598" i="19"/>
  <c r="B599" i="19"/>
  <c r="B600" i="19"/>
  <c r="B601" i="19"/>
  <c r="B273" i="19"/>
  <c r="B274" i="19"/>
  <c r="B275" i="19"/>
  <c r="B276" i="19"/>
  <c r="B277" i="19"/>
  <c r="B278" i="19"/>
  <c r="B279" i="19"/>
  <c r="B280" i="19"/>
  <c r="B281" i="19"/>
  <c r="B282" i="19"/>
  <c r="B283" i="19"/>
  <c r="B284" i="19"/>
  <c r="B285" i="19"/>
  <c r="B286" i="19"/>
  <c r="B287" i="19"/>
  <c r="B288" i="19"/>
  <c r="B289" i="19"/>
  <c r="B290" i="19"/>
  <c r="B291" i="19"/>
  <c r="B292" i="19"/>
  <c r="B293" i="19"/>
  <c r="B294" i="19"/>
  <c r="B295" i="19"/>
  <c r="B296" i="19"/>
  <c r="B297" i="19"/>
  <c r="B298" i="19"/>
  <c r="B299" i="19"/>
  <c r="B300" i="19"/>
  <c r="B301" i="19"/>
  <c r="B302" i="19"/>
  <c r="B303" i="19"/>
  <c r="B304" i="19"/>
  <c r="B305" i="19"/>
  <c r="B306" i="19"/>
  <c r="B307" i="19"/>
  <c r="B308" i="19"/>
  <c r="B309" i="19"/>
  <c r="B310" i="19"/>
  <c r="B311" i="19"/>
  <c r="B312" i="19"/>
  <c r="B313" i="19"/>
  <c r="B314" i="19"/>
  <c r="B315" i="19"/>
  <c r="B316" i="19"/>
  <c r="B317" i="19"/>
  <c r="B318" i="19"/>
  <c r="B319" i="19"/>
  <c r="B320" i="19"/>
  <c r="B321" i="19"/>
  <c r="B322" i="19"/>
  <c r="B323" i="19"/>
  <c r="B324" i="19"/>
  <c r="B325" i="19"/>
  <c r="B326" i="19"/>
  <c r="B327" i="19"/>
  <c r="B328" i="19"/>
  <c r="B329" i="19"/>
  <c r="B330" i="19"/>
  <c r="B331" i="19"/>
  <c r="B332" i="19"/>
  <c r="B333" i="19"/>
  <c r="B334" i="19"/>
  <c r="B335" i="19"/>
  <c r="B336" i="19"/>
  <c r="B337" i="19"/>
  <c r="B338" i="19"/>
  <c r="B339" i="19"/>
  <c r="B340" i="19"/>
  <c r="B341" i="19"/>
  <c r="B342" i="19"/>
  <c r="B343" i="19"/>
  <c r="B344" i="19"/>
  <c r="B345" i="19"/>
  <c r="B346" i="19"/>
  <c r="B347" i="19"/>
  <c r="B348" i="19"/>
  <c r="B349" i="19"/>
  <c r="B350" i="19"/>
  <c r="B351" i="19"/>
  <c r="B352" i="19"/>
  <c r="B353" i="19"/>
  <c r="B354" i="19"/>
  <c r="B355" i="19"/>
  <c r="B356" i="19"/>
  <c r="B357" i="19"/>
  <c r="B358" i="19"/>
  <c r="B359" i="19"/>
  <c r="B360" i="19"/>
  <c r="B361" i="19"/>
  <c r="B362" i="19"/>
  <c r="B363" i="19"/>
  <c r="B364" i="19"/>
  <c r="B365" i="19"/>
  <c r="B366" i="19"/>
  <c r="B367" i="19"/>
  <c r="B368" i="19"/>
  <c r="B369" i="19"/>
  <c r="B370" i="19"/>
  <c r="B371" i="19"/>
  <c r="B372" i="19"/>
  <c r="B373" i="19"/>
  <c r="B374" i="19"/>
  <c r="B375" i="19"/>
  <c r="B376" i="19"/>
  <c r="B377" i="19"/>
  <c r="B378" i="19"/>
  <c r="B379" i="19"/>
  <c r="B380" i="19"/>
  <c r="B381" i="19"/>
  <c r="B382" i="19"/>
  <c r="B383" i="19"/>
  <c r="B384" i="19"/>
  <c r="B385" i="19"/>
  <c r="B386" i="19"/>
  <c r="B387" i="19"/>
  <c r="B388" i="19"/>
  <c r="B389" i="19"/>
  <c r="B390" i="19"/>
  <c r="B391" i="19"/>
  <c r="B392" i="19"/>
  <c r="B393" i="19"/>
  <c r="B394" i="19"/>
  <c r="B395" i="19"/>
  <c r="B396" i="19"/>
  <c r="B397" i="19"/>
  <c r="B398" i="19"/>
  <c r="B399" i="19"/>
  <c r="B400" i="19"/>
  <c r="B401" i="19"/>
  <c r="B402" i="19"/>
  <c r="B403" i="19"/>
  <c r="B404" i="19"/>
  <c r="B405" i="19"/>
  <c r="B406" i="19"/>
  <c r="B407" i="19"/>
  <c r="B408" i="19"/>
  <c r="B409" i="19"/>
  <c r="B410" i="19"/>
  <c r="B411" i="19"/>
  <c r="B412" i="19"/>
  <c r="B413" i="19"/>
  <c r="B414" i="19"/>
  <c r="B415" i="19"/>
  <c r="B416" i="19"/>
  <c r="B417" i="19"/>
  <c r="B418" i="19"/>
  <c r="B419" i="19"/>
  <c r="B420" i="19"/>
  <c r="B421" i="19"/>
  <c r="B422" i="19"/>
  <c r="B423" i="19"/>
  <c r="B424" i="19"/>
  <c r="B425" i="19"/>
  <c r="B426" i="19"/>
  <c r="B427" i="19"/>
  <c r="B428" i="19"/>
  <c r="B429" i="19"/>
  <c r="B430" i="19"/>
  <c r="B431" i="19"/>
  <c r="B432" i="19"/>
  <c r="B433" i="19"/>
  <c r="B434" i="19"/>
  <c r="B435" i="19"/>
  <c r="B436" i="19"/>
  <c r="B437" i="19"/>
  <c r="B438" i="19"/>
  <c r="B439" i="19"/>
  <c r="B440" i="19"/>
  <c r="B441" i="19"/>
  <c r="B442" i="19"/>
  <c r="B443" i="19"/>
  <c r="B444" i="19"/>
  <c r="B445" i="19"/>
  <c r="B446" i="19"/>
  <c r="B447" i="19"/>
  <c r="B448" i="19"/>
  <c r="B449" i="19"/>
  <c r="B450" i="19"/>
  <c r="B451" i="19"/>
  <c r="B452" i="19"/>
  <c r="B453" i="19"/>
  <c r="B454" i="19"/>
  <c r="B455" i="19"/>
  <c r="B456" i="19"/>
  <c r="B457" i="19"/>
  <c r="B458" i="19"/>
  <c r="B459" i="19"/>
  <c r="B460" i="19"/>
  <c r="B461" i="19"/>
  <c r="B462" i="19"/>
  <c r="B463" i="19"/>
  <c r="B464" i="19"/>
  <c r="B465" i="19"/>
  <c r="B466" i="19"/>
  <c r="B467" i="19"/>
  <c r="B468" i="19"/>
  <c r="B469" i="19"/>
  <c r="B470" i="19"/>
  <c r="B471" i="19"/>
  <c r="B472" i="19"/>
  <c r="B473" i="19"/>
  <c r="B474" i="19"/>
  <c r="B475" i="19"/>
  <c r="B476" i="19"/>
  <c r="B477" i="19"/>
  <c r="B478" i="19"/>
  <c r="B479" i="19"/>
  <c r="B480" i="19"/>
  <c r="B481" i="19"/>
  <c r="B482" i="19"/>
  <c r="B483" i="19"/>
  <c r="B484" i="19"/>
  <c r="B485" i="19"/>
  <c r="B486" i="19"/>
  <c r="B487" i="19"/>
  <c r="B488" i="19"/>
  <c r="B21" i="19"/>
  <c r="A21" i="19" s="1"/>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3" i="19"/>
  <c r="B54" i="19"/>
  <c r="B55" i="19"/>
  <c r="B56" i="19"/>
  <c r="B57" i="19"/>
  <c r="B58" i="19"/>
  <c r="B59" i="19"/>
  <c r="B60" i="19"/>
  <c r="B61" i="19"/>
  <c r="B62" i="19"/>
  <c r="B63" i="19"/>
  <c r="B64" i="19"/>
  <c r="B65" i="19"/>
  <c r="B66"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98" i="19"/>
  <c r="B99" i="19"/>
  <c r="B100" i="19"/>
  <c r="B101" i="19"/>
  <c r="B102" i="19"/>
  <c r="B103" i="19"/>
  <c r="B104" i="19"/>
  <c r="B105" i="19"/>
  <c r="B106" i="19"/>
  <c r="B107" i="19"/>
  <c r="B108" i="19"/>
  <c r="B109" i="19"/>
  <c r="B110" i="19"/>
  <c r="B111" i="19"/>
  <c r="B112" i="19"/>
  <c r="B113" i="19"/>
  <c r="B114" i="19"/>
  <c r="B115" i="19"/>
  <c r="B116" i="19"/>
  <c r="B117" i="19"/>
  <c r="B118" i="19"/>
  <c r="B119" i="19"/>
  <c r="B120" i="19"/>
  <c r="B121" i="19"/>
  <c r="B122" i="19"/>
  <c r="B123" i="19"/>
  <c r="B124" i="19"/>
  <c r="B125" i="19"/>
  <c r="B126" i="19"/>
  <c r="B127" i="19"/>
  <c r="B128" i="19"/>
  <c r="B129" i="19"/>
  <c r="B130" i="19"/>
  <c r="B131" i="19"/>
  <c r="B132" i="19"/>
  <c r="B133" i="19"/>
  <c r="B134" i="19"/>
  <c r="B135" i="19"/>
  <c r="B136" i="19"/>
  <c r="B137" i="19"/>
  <c r="B138" i="19"/>
  <c r="B139" i="19"/>
  <c r="B140" i="19"/>
  <c r="B141" i="19"/>
  <c r="B142" i="19"/>
  <c r="B143" i="19"/>
  <c r="B144" i="19"/>
  <c r="B145" i="19"/>
  <c r="B146" i="19"/>
  <c r="B147" i="19"/>
  <c r="B148" i="19"/>
  <c r="B149" i="19"/>
  <c r="B150" i="19"/>
  <c r="B151" i="19"/>
  <c r="B152" i="19"/>
  <c r="B153" i="19"/>
  <c r="B154" i="19"/>
  <c r="B155" i="19"/>
  <c r="B156" i="19"/>
  <c r="B157" i="19"/>
  <c r="B158" i="19"/>
  <c r="B159" i="19"/>
  <c r="B160" i="19"/>
  <c r="B161" i="19"/>
  <c r="B162" i="19"/>
  <c r="B163" i="19"/>
  <c r="B164" i="19"/>
  <c r="B165" i="19"/>
  <c r="B166" i="19"/>
  <c r="B167" i="19"/>
  <c r="B168" i="19"/>
  <c r="B169" i="19"/>
  <c r="B170" i="19"/>
  <c r="B171" i="19"/>
  <c r="B172" i="19"/>
  <c r="B173" i="19"/>
  <c r="B174" i="19"/>
  <c r="B175" i="19"/>
  <c r="B176" i="19"/>
  <c r="B177" i="19"/>
  <c r="B178" i="19"/>
  <c r="B179" i="19"/>
  <c r="B180" i="19"/>
  <c r="B181" i="19"/>
  <c r="B182" i="19"/>
  <c r="B183" i="19"/>
  <c r="B184" i="19"/>
  <c r="B185" i="19"/>
  <c r="B186" i="19"/>
  <c r="B187" i="19"/>
  <c r="B188" i="19"/>
  <c r="B189" i="19"/>
  <c r="B190" i="19"/>
  <c r="B191" i="19"/>
  <c r="B192" i="19"/>
  <c r="B193" i="19"/>
  <c r="B194" i="19"/>
  <c r="B195" i="19"/>
  <c r="B196" i="19"/>
  <c r="B197" i="19"/>
  <c r="B198" i="19"/>
  <c r="B199" i="19"/>
  <c r="B200" i="19"/>
  <c r="B201" i="19"/>
  <c r="B202" i="19"/>
  <c r="B203" i="19"/>
  <c r="B204" i="19"/>
  <c r="B205" i="19"/>
  <c r="B206" i="19"/>
  <c r="B207" i="19"/>
  <c r="B208" i="19"/>
  <c r="B209" i="19"/>
  <c r="B210" i="19"/>
  <c r="B211" i="19"/>
  <c r="B212" i="19"/>
  <c r="B213" i="19"/>
  <c r="B214" i="19"/>
  <c r="B215" i="19"/>
  <c r="B216" i="19"/>
  <c r="B217" i="19"/>
  <c r="B218" i="19"/>
  <c r="B219" i="19"/>
  <c r="B220" i="19"/>
  <c r="B221" i="19"/>
  <c r="B222" i="19"/>
  <c r="B223" i="19"/>
  <c r="B224" i="19"/>
  <c r="B225" i="19"/>
  <c r="B226" i="19"/>
  <c r="B227" i="19"/>
  <c r="B228" i="19"/>
  <c r="B229" i="19"/>
  <c r="B230" i="19"/>
  <c r="B231" i="19"/>
  <c r="B232" i="19"/>
  <c r="B233" i="19"/>
  <c r="B234" i="19"/>
  <c r="B235" i="19"/>
  <c r="B236" i="19"/>
  <c r="B237" i="19"/>
  <c r="B238" i="19"/>
  <c r="B239" i="19"/>
  <c r="B240" i="19"/>
  <c r="B241" i="19"/>
  <c r="B242" i="19"/>
  <c r="B243" i="19"/>
  <c r="B244" i="19"/>
  <c r="B245" i="19"/>
  <c r="B246" i="19"/>
  <c r="B247" i="19"/>
  <c r="B248" i="19"/>
  <c r="B249" i="19"/>
  <c r="B250" i="19"/>
  <c r="B251" i="19"/>
  <c r="B252" i="19"/>
  <c r="B253" i="19"/>
  <c r="B254" i="19"/>
  <c r="B255" i="19"/>
  <c r="B256" i="19"/>
  <c r="B257" i="19"/>
  <c r="B258" i="19"/>
  <c r="B259" i="19"/>
  <c r="B260" i="19"/>
  <c r="B261" i="19"/>
  <c r="B262" i="19"/>
  <c r="B263" i="19"/>
  <c r="B264" i="19"/>
  <c r="B265" i="19"/>
  <c r="B266" i="19"/>
  <c r="B267" i="19"/>
  <c r="B268" i="19"/>
  <c r="B269" i="19"/>
  <c r="B270" i="19"/>
  <c r="B271" i="19"/>
  <c r="B272" i="19"/>
  <c r="AN549" i="19" l="1"/>
  <c r="AN436" i="19"/>
  <c r="AN537" i="19"/>
  <c r="G137" i="75"/>
  <c r="AN158" i="19"/>
  <c r="AN156" i="19"/>
  <c r="AL78" i="56" a="1"/>
  <c r="AL78" i="56" s="1"/>
  <c r="AK78" i="56" a="1"/>
  <c r="AK78" i="56" s="1"/>
  <c r="AL66" i="56" a="1"/>
  <c r="AL66" i="56" s="1"/>
  <c r="AK66" i="56" a="1"/>
  <c r="AK66" i="56" s="1"/>
  <c r="AL87" i="56" a="1"/>
  <c r="AL87" i="56" s="1"/>
  <c r="AK87" i="56" a="1"/>
  <c r="AK87" i="56" s="1"/>
  <c r="AL82" i="56" a="1"/>
  <c r="AL82" i="56" s="1"/>
  <c r="AK82" i="56" a="1"/>
  <c r="AK82" i="56" s="1"/>
  <c r="AL71" i="56" a="1"/>
  <c r="AL71" i="56" s="1"/>
  <c r="AK71" i="56" a="1"/>
  <c r="AK71" i="56" s="1"/>
  <c r="AL105" i="56" a="1"/>
  <c r="AL105" i="56" s="1"/>
  <c r="AK105" i="56" a="1"/>
  <c r="AK105" i="56" s="1"/>
  <c r="AL60" i="56" a="1"/>
  <c r="AL60" i="56" s="1"/>
  <c r="AK60" i="56" a="1"/>
  <c r="AK60" i="56" s="1"/>
  <c r="AL81" i="56" a="1"/>
  <c r="AL81" i="56" s="1"/>
  <c r="AK81" i="56" a="1"/>
  <c r="AK81" i="56" s="1"/>
  <c r="AL68" i="56" a="1"/>
  <c r="AL68" i="56" s="1"/>
  <c r="AK68" i="56" a="1"/>
  <c r="AK68" i="56" s="1"/>
  <c r="AL89" i="56" a="1"/>
  <c r="AL89" i="56" s="1"/>
  <c r="AK89" i="56" a="1"/>
  <c r="AK89" i="56" s="1"/>
  <c r="AL88" i="56" a="1"/>
  <c r="AL88" i="56" s="1"/>
  <c r="AK88" i="56" a="1"/>
  <c r="AK88" i="56" s="1"/>
  <c r="AL75" i="56" a="1"/>
  <c r="AL75" i="56" s="1"/>
  <c r="AK75" i="56" a="1"/>
  <c r="AK75" i="56" s="1"/>
  <c r="AL85" i="56" a="1"/>
  <c r="AL85" i="56" s="1"/>
  <c r="AK85" i="56" a="1"/>
  <c r="AK85" i="56" s="1"/>
  <c r="AL70" i="56" a="1"/>
  <c r="AL70" i="56" s="1"/>
  <c r="AK70" i="56" a="1"/>
  <c r="AK70" i="56" s="1"/>
  <c r="AL94" i="56" a="1"/>
  <c r="AL94" i="56" s="1"/>
  <c r="AK94" i="56" a="1"/>
  <c r="AK94" i="56" s="1"/>
  <c r="AL76" i="56" a="1"/>
  <c r="AL76" i="56" s="1"/>
  <c r="AK76" i="56" a="1"/>
  <c r="AK76" i="56" s="1"/>
  <c r="AL59" i="56" a="1"/>
  <c r="AL59" i="56" s="1"/>
  <c r="AK59" i="56" a="1"/>
  <c r="AK59" i="56" s="1"/>
  <c r="AL86" i="56" a="1"/>
  <c r="AL86" i="56" s="1"/>
  <c r="AK86" i="56" a="1"/>
  <c r="AK86" i="56" s="1"/>
  <c r="AL103" i="56" a="1"/>
  <c r="AL103" i="56" s="1"/>
  <c r="AK103" i="56" a="1"/>
  <c r="AK103" i="56" s="1"/>
  <c r="AL62" i="56" a="1"/>
  <c r="AL62" i="56" s="1"/>
  <c r="AK62" i="56" a="1"/>
  <c r="AK62" i="56" s="1"/>
  <c r="AL67" i="56" a="1"/>
  <c r="AL67" i="56" s="1"/>
  <c r="AK67" i="56" a="1"/>
  <c r="AK67" i="56" s="1"/>
  <c r="AL79" i="56" a="1"/>
  <c r="AL79" i="56" s="1"/>
  <c r="AK79" i="56" a="1"/>
  <c r="AK79" i="56" s="1"/>
  <c r="AL106" i="56" a="1"/>
  <c r="AL106" i="56" s="1"/>
  <c r="AK106" i="56" a="1"/>
  <c r="AK106" i="56" s="1"/>
  <c r="AL104" i="56" a="1"/>
  <c r="AL104" i="56" s="1"/>
  <c r="AK104" i="56" a="1"/>
  <c r="AK104" i="56" s="1"/>
  <c r="AL74" i="56" a="1"/>
  <c r="AL74" i="56" s="1"/>
  <c r="AK74" i="56" a="1"/>
  <c r="AK74" i="56" s="1"/>
  <c r="AL90" i="56" a="1"/>
  <c r="AL90" i="56" s="1"/>
  <c r="AK90" i="56" a="1"/>
  <c r="AK90" i="56" s="1"/>
  <c r="AL65" i="56" a="1"/>
  <c r="AL65" i="56" s="1"/>
  <c r="AK65" i="56" a="1"/>
  <c r="AK65" i="56" s="1"/>
  <c r="AL61" i="56" a="1"/>
  <c r="AL61" i="56" s="1"/>
  <c r="AK61" i="56" a="1"/>
  <c r="AK61" i="56" s="1"/>
  <c r="AL95" i="56" a="1"/>
  <c r="AL95" i="56" s="1"/>
  <c r="AK95" i="56" a="1"/>
  <c r="AK95" i="56" s="1"/>
  <c r="AL83" i="56" a="1"/>
  <c r="AL83" i="56" s="1"/>
  <c r="AK83" i="56" a="1"/>
  <c r="AK83" i="56" s="1"/>
  <c r="AL63" i="56" a="1"/>
  <c r="AL63" i="56" s="1"/>
  <c r="AK63" i="56" a="1"/>
  <c r="AK63" i="56" s="1"/>
  <c r="AL69" i="56" a="1"/>
  <c r="AL69" i="56" s="1"/>
  <c r="AK69" i="56" a="1"/>
  <c r="AK69" i="56" s="1"/>
  <c r="AL92" i="56" a="1"/>
  <c r="AL92" i="56" s="1"/>
  <c r="AK92" i="56" a="1"/>
  <c r="AK92" i="56" s="1"/>
  <c r="AL73" i="56" a="1"/>
  <c r="AL73" i="56" s="1"/>
  <c r="AK73" i="56" a="1"/>
  <c r="AK73" i="56" s="1"/>
  <c r="AL84" i="56" a="1"/>
  <c r="AL84" i="56" s="1"/>
  <c r="AK84" i="56" a="1"/>
  <c r="AK84" i="56" s="1"/>
  <c r="AL102" i="56" a="1"/>
  <c r="AL102" i="56" s="1"/>
  <c r="AK102" i="56" a="1"/>
  <c r="AK102" i="56" s="1"/>
  <c r="AL77" i="56" a="1"/>
  <c r="AL77" i="56" s="1"/>
  <c r="AK77" i="56" a="1"/>
  <c r="AK77" i="56" s="1"/>
  <c r="AL91" i="56" a="1"/>
  <c r="AL91" i="56" s="1"/>
  <c r="AK91" i="56" a="1"/>
  <c r="AK91" i="56" s="1"/>
  <c r="AL64" i="56" a="1"/>
  <c r="AL64" i="56" s="1"/>
  <c r="AK64" i="56" a="1"/>
  <c r="AK64" i="56" s="1"/>
  <c r="AL93" i="56" a="1"/>
  <c r="AL93" i="56" s="1"/>
  <c r="AV507" i="19"/>
  <c r="AN507" i="19" s="1"/>
  <c r="AV57" i="19"/>
  <c r="AN57" i="19" s="1"/>
  <c r="AN62" i="19"/>
  <c r="AD76" i="56"/>
  <c r="AF76" i="56" s="1"/>
  <c r="AG104" i="56"/>
  <c r="AG61" i="56"/>
  <c r="AG95" i="56"/>
  <c r="AG81" i="56"/>
  <c r="AG68" i="56"/>
  <c r="AI82" i="56" a="1"/>
  <c r="AI82" i="56" s="1"/>
  <c r="AG90" i="56"/>
  <c r="AI74" i="56" a="1"/>
  <c r="AI74" i="56" s="1"/>
  <c r="AI95" i="56" a="1"/>
  <c r="AI95" i="56" s="1"/>
  <c r="AG83" i="56"/>
  <c r="AI91" i="56" a="1"/>
  <c r="AI91" i="56" s="1"/>
  <c r="AG69" i="56"/>
  <c r="AI63" i="56" a="1"/>
  <c r="AI63" i="56" s="1"/>
  <c r="AG66" i="56"/>
  <c r="AG106" i="56"/>
  <c r="AI64" i="56" a="1"/>
  <c r="AI64" i="56" s="1"/>
  <c r="AG87" i="56"/>
  <c r="AG82" i="56"/>
  <c r="AI88" i="56" a="1"/>
  <c r="AI88" i="56" s="1"/>
  <c r="AG76" i="56"/>
  <c r="AG71" i="56"/>
  <c r="AG105" i="56"/>
  <c r="AG79" i="56"/>
  <c r="AG75" i="56"/>
  <c r="AG85" i="56"/>
  <c r="AG70" i="56"/>
  <c r="AG94" i="56"/>
  <c r="AG63" i="56"/>
  <c r="AG59" i="56"/>
  <c r="AG86" i="56"/>
  <c r="AG92" i="56"/>
  <c r="AG62" i="56"/>
  <c r="AG102" i="56"/>
  <c r="AG74" i="56"/>
  <c r="AG77" i="56"/>
  <c r="AG91" i="56"/>
  <c r="AG64" i="56"/>
  <c r="AG73" i="56"/>
  <c r="AG84" i="56"/>
  <c r="AG78" i="56"/>
  <c r="AG89" i="56"/>
  <c r="AG88" i="56"/>
  <c r="AG65" i="56"/>
  <c r="AG103" i="56"/>
  <c r="AG93" i="56"/>
  <c r="AG60" i="56"/>
  <c r="AG67" i="56"/>
  <c r="AI90" i="56" a="1"/>
  <c r="AI90" i="56" s="1"/>
  <c r="AI78" i="56" a="1"/>
  <c r="AI78" i="56" s="1"/>
  <c r="AI106" i="56" a="1"/>
  <c r="AI106" i="56" s="1"/>
  <c r="AI103" i="56" a="1"/>
  <c r="AI103" i="56" s="1"/>
  <c r="AI84" i="56" a="1"/>
  <c r="AI84" i="56" s="1"/>
  <c r="AI94" i="56" a="1"/>
  <c r="AI94" i="56" s="1"/>
  <c r="AI93" i="56" a="1"/>
  <c r="AI93" i="56" s="1"/>
  <c r="AI105" i="56" a="1"/>
  <c r="AI105" i="56" s="1"/>
  <c r="AI73" i="56" a="1"/>
  <c r="AI73" i="56" s="1"/>
  <c r="J157" i="75"/>
  <c r="J92" i="75"/>
  <c r="J177" i="75"/>
  <c r="J167" i="75"/>
  <c r="J82" i="75"/>
  <c r="J132" i="75"/>
  <c r="J172" i="75"/>
  <c r="J152" i="75"/>
  <c r="J2" i="75"/>
  <c r="AI83" i="56" a="1"/>
  <c r="AI83" i="56" s="1"/>
  <c r="AI92" i="56" a="1"/>
  <c r="AI92" i="56" s="1"/>
  <c r="AI61" i="56" a="1"/>
  <c r="AI61" i="56" s="1"/>
  <c r="AI75" i="56" a="1"/>
  <c r="AI75" i="56" s="1"/>
  <c r="AI59" i="56" a="1"/>
  <c r="AI59" i="56" s="1"/>
  <c r="AI62" i="56" a="1"/>
  <c r="AI62" i="56" s="1"/>
  <c r="AI104" i="56" a="1"/>
  <c r="AI104" i="56" s="1"/>
  <c r="AI69" i="56" a="1"/>
  <c r="AI69" i="56" s="1"/>
  <c r="AI102" i="56" a="1"/>
  <c r="AI102" i="56" s="1"/>
  <c r="AI66" i="56" a="1"/>
  <c r="AI66" i="56" s="1"/>
  <c r="AI77" i="56" a="1"/>
  <c r="AI77" i="56" s="1"/>
  <c r="AI87" i="56" a="1"/>
  <c r="AI87" i="56" s="1"/>
  <c r="AI71" i="56" a="1"/>
  <c r="AI71" i="56" s="1"/>
  <c r="AI60" i="56" a="1"/>
  <c r="AI60" i="56" s="1"/>
  <c r="AI81" i="56" a="1"/>
  <c r="AI81" i="56" s="1"/>
  <c r="AI68" i="56" a="1"/>
  <c r="AI68" i="56" s="1"/>
  <c r="AI89" i="56" a="1"/>
  <c r="AI89" i="56" s="1"/>
  <c r="AI65" i="56" a="1"/>
  <c r="AI65" i="56" s="1"/>
  <c r="AI85" i="56" a="1"/>
  <c r="AI85" i="56" s="1"/>
  <c r="AI70" i="56" a="1"/>
  <c r="AI70" i="56" s="1"/>
  <c r="AI76" i="56" a="1"/>
  <c r="AI76" i="56" s="1"/>
  <c r="AI86" i="56" a="1"/>
  <c r="AI86" i="56" s="1"/>
  <c r="AI98" i="56" a="1"/>
  <c r="AI98" i="56" s="1"/>
  <c r="AI67" i="56" a="1"/>
  <c r="AI67" i="56" s="1"/>
  <c r="AI79" i="56" a="1"/>
  <c r="AI79" i="56" s="1"/>
  <c r="AN19" i="19"/>
  <c r="AV53" i="19"/>
  <c r="AN53" i="19" s="1"/>
  <c r="B132" i="75"/>
  <c r="B62" i="75"/>
  <c r="B37" i="75"/>
  <c r="B137" i="75"/>
  <c r="AV51" i="19"/>
  <c r="AN51" i="19" s="1"/>
  <c r="B97" i="75"/>
  <c r="B82" i="75"/>
  <c r="B122" i="75"/>
  <c r="B117" i="75"/>
  <c r="AV371" i="19"/>
  <c r="AN371" i="19" s="1"/>
  <c r="AD102" i="56"/>
  <c r="AF102" i="56" s="1"/>
  <c r="AD84" i="56"/>
  <c r="AF84" i="56" s="1"/>
  <c r="H97" i="75"/>
  <c r="H82" i="75"/>
  <c r="H122" i="75"/>
  <c r="H137" i="75"/>
  <c r="H117" i="75"/>
  <c r="H37" i="75"/>
  <c r="H132" i="75"/>
  <c r="H62" i="75"/>
  <c r="AD77" i="56"/>
  <c r="AF77" i="56" s="1"/>
  <c r="AD69" i="56"/>
  <c r="AF69" i="56" s="1"/>
  <c r="AD93" i="56"/>
  <c r="AF93" i="56" s="1"/>
  <c r="AD65" i="56"/>
  <c r="AF65" i="56" s="1"/>
  <c r="AD104" i="56"/>
  <c r="AF104" i="56" s="1"/>
  <c r="AD103" i="56"/>
  <c r="AF103" i="56" s="1"/>
  <c r="AD66" i="56"/>
  <c r="AF66" i="56" s="1"/>
  <c r="AD68" i="56"/>
  <c r="AF68" i="56" s="1"/>
  <c r="AD106" i="56"/>
  <c r="AF106" i="56" s="1"/>
  <c r="AD86" i="56"/>
  <c r="AF86" i="56" s="1"/>
  <c r="AD70" i="56"/>
  <c r="AF70" i="56" s="1"/>
  <c r="AD67" i="56"/>
  <c r="AF67" i="56" s="1"/>
  <c r="AD63" i="56"/>
  <c r="AF63" i="56" s="1"/>
  <c r="AD74" i="56"/>
  <c r="AF74" i="56" s="1"/>
  <c r="AD92" i="56"/>
  <c r="AF92" i="56" s="1"/>
  <c r="AD60" i="56"/>
  <c r="AF60" i="56" s="1"/>
  <c r="AD81" i="56"/>
  <c r="AF81" i="56" s="1"/>
  <c r="AD105" i="56"/>
  <c r="AF105" i="56" s="1"/>
  <c r="AD73" i="56"/>
  <c r="AF73" i="56" s="1"/>
  <c r="AD82" i="56"/>
  <c r="AF82" i="56" s="1"/>
  <c r="AD88" i="56"/>
  <c r="AF88" i="56" s="1"/>
  <c r="AD71" i="56"/>
  <c r="AF71" i="56" s="1"/>
  <c r="AD94" i="56"/>
  <c r="AF94" i="56" s="1"/>
  <c r="AD64" i="56"/>
  <c r="AF64" i="56" s="1"/>
  <c r="AD59" i="56"/>
  <c r="AF59" i="56" s="1"/>
  <c r="AD61" i="56"/>
  <c r="AF61" i="56" s="1"/>
  <c r="AD75" i="56"/>
  <c r="AF75" i="56" s="1"/>
  <c r="AD90" i="56"/>
  <c r="AF90" i="56" s="1"/>
  <c r="AD95" i="56"/>
  <c r="AF95" i="56" s="1"/>
  <c r="AD78" i="56"/>
  <c r="AF78" i="56" s="1"/>
  <c r="AD91" i="56"/>
  <c r="AF91" i="56" s="1"/>
  <c r="AD83" i="56"/>
  <c r="AF83" i="56" s="1"/>
  <c r="AD62" i="56"/>
  <c r="AF62" i="56" s="1"/>
  <c r="AD85" i="56"/>
  <c r="AF85" i="56" s="1"/>
  <c r="AD79" i="56"/>
  <c r="AF79" i="56" s="1"/>
  <c r="AD89" i="56"/>
  <c r="AF89" i="56" s="1"/>
  <c r="H107" i="75"/>
  <c r="B107" i="75"/>
  <c r="G107" i="75"/>
  <c r="J78" i="56"/>
  <c r="I82" i="75" s="1"/>
  <c r="S78" i="56"/>
  <c r="R78" i="56"/>
  <c r="Q78" i="56"/>
  <c r="W78" i="56"/>
  <c r="P82" i="75" s="1"/>
  <c r="P78" i="56"/>
  <c r="H27" i="75"/>
  <c r="G27" i="75"/>
  <c r="B27" i="75"/>
  <c r="S93" i="56"/>
  <c r="R93" i="56"/>
  <c r="P93" i="56"/>
  <c r="J93" i="56"/>
  <c r="I142" i="75" s="1"/>
  <c r="K93" i="56"/>
  <c r="AJ93" i="56" s="1"/>
  <c r="Q93" i="56"/>
  <c r="H67" i="75"/>
  <c r="G157" i="75"/>
  <c r="F162" i="75"/>
  <c r="G127" i="75"/>
  <c r="G87" i="75"/>
  <c r="B162" i="75"/>
  <c r="H172" i="75"/>
  <c r="H127" i="75"/>
  <c r="F62" i="75"/>
  <c r="F107" i="75"/>
  <c r="F97" i="75"/>
  <c r="B57" i="75"/>
  <c r="F42" i="75"/>
  <c r="B192" i="75"/>
  <c r="G32" i="75"/>
  <c r="H77" i="75"/>
  <c r="F82" i="75"/>
  <c r="C76" i="53"/>
  <c r="E76" i="53" s="1"/>
  <c r="B12" i="75"/>
  <c r="H57" i="75"/>
  <c r="C78" i="53"/>
  <c r="E78" i="53" s="1"/>
  <c r="B42" i="75"/>
  <c r="H192" i="75"/>
  <c r="F172" i="75"/>
  <c r="F127" i="75"/>
  <c r="F122" i="75"/>
  <c r="F32" i="75"/>
  <c r="G77" i="75"/>
  <c r="H12" i="75"/>
  <c r="G57" i="75"/>
  <c r="H42" i="75"/>
  <c r="G192" i="75"/>
  <c r="G167" i="75"/>
  <c r="B127" i="75"/>
  <c r="G182" i="75"/>
  <c r="AV220" i="19"/>
  <c r="AN220" i="19" s="1"/>
  <c r="B32" i="75"/>
  <c r="F77" i="75"/>
  <c r="G12" i="75"/>
  <c r="F57" i="75"/>
  <c r="G42" i="75"/>
  <c r="F192" i="75"/>
  <c r="G172" i="75"/>
  <c r="B72" i="75"/>
  <c r="F182" i="75"/>
  <c r="B112" i="75"/>
  <c r="B52" i="75"/>
  <c r="F142" i="75"/>
  <c r="AV41" i="19"/>
  <c r="AN41" i="19" s="1"/>
  <c r="B147" i="75"/>
  <c r="H32" i="75"/>
  <c r="B77" i="75"/>
  <c r="F12" i="75"/>
  <c r="B7" i="75"/>
  <c r="G187" i="75"/>
  <c r="B177" i="75"/>
  <c r="F87" i="75"/>
  <c r="H72" i="75"/>
  <c r="B182" i="75"/>
  <c r="H112" i="75"/>
  <c r="H52" i="75"/>
  <c r="B142" i="75"/>
  <c r="H147" i="75"/>
  <c r="H22" i="75"/>
  <c r="H7" i="75"/>
  <c r="H187" i="75"/>
  <c r="H167" i="75"/>
  <c r="B87" i="75"/>
  <c r="G72" i="75"/>
  <c r="H182" i="75"/>
  <c r="G112" i="75"/>
  <c r="G52" i="75"/>
  <c r="H142" i="75"/>
  <c r="G147" i="75"/>
  <c r="G22" i="75"/>
  <c r="F132" i="75"/>
  <c r="G7" i="75"/>
  <c r="AV681" i="19"/>
  <c r="AN681" i="19" s="1"/>
  <c r="B197" i="75"/>
  <c r="AV29" i="19"/>
  <c r="AN29" i="19" s="1"/>
  <c r="B187" i="75"/>
  <c r="G92" i="75"/>
  <c r="H157" i="75"/>
  <c r="H87" i="75"/>
  <c r="F72" i="75"/>
  <c r="AV352" i="19"/>
  <c r="AN352" i="19" s="1"/>
  <c r="B67" i="75"/>
  <c r="F112" i="75"/>
  <c r="F52" i="75"/>
  <c r="G142" i="75"/>
  <c r="F147" i="75"/>
  <c r="F22" i="75"/>
  <c r="F7" i="75"/>
  <c r="F117" i="75"/>
  <c r="H197" i="75"/>
  <c r="H177" i="75"/>
  <c r="G162" i="75"/>
  <c r="AV131" i="19"/>
  <c r="AN131" i="19" s="1"/>
  <c r="B17" i="75"/>
  <c r="B152" i="75"/>
  <c r="AV27" i="19"/>
  <c r="AN27" i="19" s="1"/>
  <c r="B102" i="75"/>
  <c r="B22" i="75"/>
  <c r="B47" i="75"/>
  <c r="G197" i="75"/>
  <c r="H92" i="75"/>
  <c r="H162" i="75"/>
  <c r="F177" i="75"/>
  <c r="H17" i="75"/>
  <c r="H152" i="75"/>
  <c r="G67" i="75"/>
  <c r="H102" i="75"/>
  <c r="F37" i="75"/>
  <c r="H47" i="75"/>
  <c r="F197" i="75"/>
  <c r="B92" i="75"/>
  <c r="F167" i="75"/>
  <c r="B167" i="75"/>
  <c r="G17" i="75"/>
  <c r="G152" i="75"/>
  <c r="F67" i="75"/>
  <c r="G102" i="75"/>
  <c r="F137" i="75"/>
  <c r="F27" i="75"/>
  <c r="G47" i="75"/>
  <c r="F187" i="75"/>
  <c r="B172" i="75"/>
  <c r="B157" i="75"/>
  <c r="F17" i="75"/>
  <c r="F152" i="75"/>
  <c r="F102" i="75"/>
  <c r="F47" i="75"/>
  <c r="F92" i="75"/>
  <c r="F157" i="75"/>
  <c r="G177" i="75"/>
  <c r="AV363" i="19"/>
  <c r="AN363" i="19" s="1"/>
  <c r="AV402" i="19"/>
  <c r="AN402" i="19" s="1"/>
  <c r="AV137" i="19"/>
  <c r="AN137" i="19" s="1"/>
  <c r="AV34" i="19"/>
  <c r="AN34" i="19" s="1"/>
  <c r="AV364" i="19"/>
  <c r="AN364" i="19" s="1"/>
  <c r="AV23" i="19"/>
  <c r="AN23" i="19" s="1"/>
  <c r="D50" i="55"/>
  <c r="E50" i="55"/>
  <c r="F50" i="55"/>
  <c r="G50" i="55"/>
  <c r="H50" i="55"/>
  <c r="I50" i="55"/>
  <c r="AV116" i="19"/>
  <c r="AN116" i="19" s="1"/>
  <c r="AV6" i="19"/>
  <c r="AN6" i="19" s="1"/>
  <c r="AV9" i="19"/>
  <c r="AN9" i="19" s="1"/>
  <c r="AV21" i="19"/>
  <c r="AN21" i="19" s="1"/>
  <c r="AV359" i="19"/>
  <c r="AN359" i="19" s="1"/>
  <c r="AV245" i="19"/>
  <c r="AN245" i="19" s="1"/>
  <c r="AV738" i="19"/>
  <c r="AN738" i="19" s="1"/>
  <c r="AV636" i="19"/>
  <c r="AN636" i="19" s="1"/>
  <c r="AV453" i="19"/>
  <c r="AN453" i="19" s="1"/>
  <c r="AV730" i="19"/>
  <c r="AN730" i="19" s="1"/>
  <c r="C77" i="53"/>
  <c r="E77" i="53" s="1"/>
  <c r="AV216" i="19"/>
  <c r="AN216" i="19" s="1"/>
  <c r="AV366" i="19"/>
  <c r="AN366" i="19" s="1"/>
  <c r="AV375" i="19"/>
  <c r="AN375" i="19" s="1"/>
  <c r="AV239" i="19"/>
  <c r="AN239" i="19" s="1"/>
  <c r="AV377" i="19"/>
  <c r="AN377" i="19" s="1"/>
  <c r="C72" i="53"/>
  <c r="E72" i="53" s="1"/>
  <c r="C70" i="53"/>
  <c r="E70" i="53" s="1"/>
  <c r="AV718" i="19"/>
  <c r="AN718" i="19" s="1"/>
  <c r="AV721" i="19"/>
  <c r="AN721" i="19" s="1"/>
  <c r="AV432" i="19"/>
  <c r="AN432" i="19" s="1"/>
  <c r="AV672" i="19"/>
  <c r="AN672" i="19" s="1"/>
  <c r="AV612" i="19"/>
  <c r="AN612" i="19" s="1"/>
  <c r="C73" i="53"/>
  <c r="E73" i="53" s="1"/>
  <c r="C74" i="53"/>
  <c r="E74" i="53" s="1"/>
  <c r="AV227" i="19"/>
  <c r="AN227" i="19" s="1"/>
  <c r="AV519" i="19"/>
  <c r="AN519" i="19" s="1"/>
  <c r="C71" i="53"/>
  <c r="E71" i="53" s="1"/>
  <c r="AV677" i="19"/>
  <c r="AN677" i="19" s="1"/>
  <c r="C75" i="53"/>
  <c r="E75" i="53" s="1"/>
  <c r="C68" i="53"/>
  <c r="E68" i="53" s="1"/>
  <c r="C67" i="53"/>
  <c r="E67" i="53" s="1"/>
  <c r="AV17" i="19"/>
  <c r="AN17" i="19" s="1"/>
  <c r="AV210" i="19"/>
  <c r="AN210" i="19" s="1"/>
  <c r="AV204" i="19"/>
  <c r="AN204" i="19" s="1"/>
  <c r="AV11" i="19"/>
  <c r="AN11" i="19" s="1"/>
  <c r="AV418" i="19"/>
  <c r="AN418" i="19" s="1"/>
  <c r="AV411" i="19"/>
  <c r="AN411" i="19" s="1"/>
  <c r="C54" i="53"/>
  <c r="E54" i="53" s="1"/>
  <c r="C53" i="53"/>
  <c r="E53" i="53" s="1"/>
  <c r="C42" i="53"/>
  <c r="E42" i="53" s="1"/>
  <c r="C36" i="55"/>
  <c r="AV198" i="19"/>
  <c r="AN198" i="19" s="1"/>
  <c r="C40" i="53"/>
  <c r="E40" i="53" s="1"/>
  <c r="C39" i="53"/>
  <c r="E39" i="53" s="1"/>
  <c r="C28" i="65" a="1"/>
  <c r="C28" i="65" s="1"/>
  <c r="B30" i="65"/>
  <c r="C29" i="65" a="1"/>
  <c r="C29" i="65" s="1"/>
  <c r="B31" i="65"/>
  <c r="C21" i="55"/>
  <c r="G21" i="55" s="1"/>
  <c r="C39" i="55"/>
  <c r="C23" i="55"/>
  <c r="C30" i="55"/>
  <c r="AV580" i="19"/>
  <c r="AN580" i="19" s="1"/>
  <c r="AV606" i="19"/>
  <c r="AN606" i="19" s="1"/>
  <c r="AV642" i="19"/>
  <c r="AN642" i="19" s="1"/>
  <c r="AV563" i="19"/>
  <c r="AN563" i="19" s="1"/>
  <c r="AV434" i="19"/>
  <c r="AN434" i="19" s="1"/>
  <c r="AV374" i="19"/>
  <c r="AN374" i="19" s="1"/>
  <c r="AV757" i="19"/>
  <c r="AN757" i="19" s="1"/>
  <c r="AV591" i="19"/>
  <c r="AN591" i="19" s="1"/>
  <c r="AV523" i="19"/>
  <c r="AN523" i="19" s="1"/>
  <c r="AV512" i="19"/>
  <c r="AN512" i="19" s="1"/>
  <c r="AV484" i="19"/>
  <c r="AN484" i="19" s="1"/>
  <c r="AV468" i="19"/>
  <c r="AN468" i="19" s="1"/>
  <c r="AV783" i="19"/>
  <c r="AN783" i="19" s="1"/>
  <c r="AV518" i="19"/>
  <c r="AN518" i="19" s="1"/>
  <c r="AV472" i="19"/>
  <c r="AN472" i="19" s="1"/>
  <c r="AV455" i="19"/>
  <c r="AN455" i="19" s="1"/>
  <c r="AV777" i="19"/>
  <c r="AN777" i="19" s="1"/>
  <c r="AV680" i="19"/>
  <c r="AN680" i="19" s="1"/>
  <c r="AV716" i="19"/>
  <c r="AN716" i="19" s="1"/>
  <c r="AV477" i="19"/>
  <c r="AN477" i="19" s="1"/>
  <c r="AV547" i="19"/>
  <c r="AN547" i="19" s="1"/>
  <c r="AV569" i="19"/>
  <c r="AN569" i="19" s="1"/>
  <c r="AV500" i="19"/>
  <c r="AN500" i="19" s="1"/>
  <c r="AV572" i="19"/>
  <c r="AN572" i="19" s="1"/>
  <c r="AV490" i="19"/>
  <c r="AN490" i="19" s="1"/>
  <c r="AV619" i="19"/>
  <c r="AN619" i="19" s="1"/>
  <c r="AV473" i="19"/>
  <c r="AN473" i="19" s="1"/>
  <c r="AV703" i="19"/>
  <c r="AN703" i="19" s="1"/>
  <c r="AV578" i="19"/>
  <c r="AN578" i="19" s="1"/>
  <c r="AV458" i="19"/>
  <c r="AN458" i="19" s="1"/>
  <c r="AV452" i="19"/>
  <c r="AN452" i="19" s="1"/>
  <c r="AV552" i="19"/>
  <c r="AN552" i="19" s="1"/>
  <c r="AV409" i="19"/>
  <c r="AN409" i="19" s="1"/>
  <c r="AV386" i="19"/>
  <c r="AN386" i="19" s="1"/>
  <c r="C51" i="55"/>
  <c r="C46" i="55"/>
  <c r="D46" i="55" s="1"/>
  <c r="C15" i="55"/>
  <c r="AV790" i="19"/>
  <c r="AN790" i="19" s="1"/>
  <c r="AV700" i="19"/>
  <c r="AN700" i="19" s="1"/>
  <c r="AV558" i="19"/>
  <c r="AN558" i="19" s="1"/>
  <c r="AV499" i="19"/>
  <c r="AN499" i="19" s="1"/>
  <c r="AV492" i="19"/>
  <c r="AN492" i="19" s="1"/>
  <c r="AV469" i="19"/>
  <c r="AN469" i="19" s="1"/>
  <c r="AV579" i="19"/>
  <c r="AN579" i="19" s="1"/>
  <c r="AV491" i="19"/>
  <c r="AN491" i="19" s="1"/>
  <c r="AV496" i="19"/>
  <c r="AN496" i="19" s="1"/>
  <c r="AV779" i="19"/>
  <c r="AN779" i="19" s="1"/>
  <c r="AV163" i="19"/>
  <c r="AN163" i="19" s="1"/>
  <c r="AV787" i="19"/>
  <c r="AN787" i="19" s="1"/>
  <c r="AV748" i="19"/>
  <c r="AN748" i="19" s="1"/>
  <c r="AV769" i="19"/>
  <c r="AN769" i="19" s="1"/>
  <c r="AV791" i="19"/>
  <c r="AN791" i="19" s="1"/>
  <c r="AV373" i="19"/>
  <c r="AN373" i="19" s="1"/>
  <c r="AV698" i="19"/>
  <c r="AN698" i="19" s="1"/>
  <c r="AV771" i="19"/>
  <c r="AN771" i="19" s="1"/>
  <c r="AV756" i="19"/>
  <c r="AN756" i="19" s="1"/>
  <c r="AV743" i="19"/>
  <c r="AN743" i="19" s="1"/>
  <c r="AV542" i="19"/>
  <c r="AN542" i="19" s="1"/>
  <c r="AV521" i="19"/>
  <c r="AN521" i="19" s="1"/>
  <c r="AV416" i="19"/>
  <c r="AN416" i="19" s="1"/>
  <c r="AV242" i="19"/>
  <c r="AN242" i="19" s="1"/>
  <c r="C46" i="53"/>
  <c r="E46" i="53" s="1"/>
  <c r="AV585" i="19"/>
  <c r="AN585" i="19" s="1"/>
  <c r="AV653" i="19"/>
  <c r="AN653" i="19" s="1"/>
  <c r="AV618" i="19"/>
  <c r="AN618" i="19" s="1"/>
  <c r="AV566" i="19"/>
  <c r="AN566" i="19" s="1"/>
  <c r="AV551" i="19"/>
  <c r="AN551" i="19" s="1"/>
  <c r="AV464" i="19"/>
  <c r="AN464" i="19" s="1"/>
  <c r="AV734" i="19"/>
  <c r="AN734" i="19" s="1"/>
  <c r="AV781" i="19"/>
  <c r="AN781" i="19" s="1"/>
  <c r="AV767" i="19"/>
  <c r="AN767" i="19" s="1"/>
  <c r="AV535" i="19"/>
  <c r="AN535" i="19" s="1"/>
  <c r="AV456" i="19"/>
  <c r="AN456" i="19" s="1"/>
  <c r="AV460" i="19"/>
  <c r="AN460" i="19" s="1"/>
  <c r="AV746" i="19"/>
  <c r="AN746" i="19" s="1"/>
  <c r="AV421" i="19"/>
  <c r="AN421" i="19" s="1"/>
  <c r="AV481" i="19"/>
  <c r="AN481" i="19" s="1"/>
  <c r="AV786" i="19"/>
  <c r="AN786" i="19" s="1"/>
  <c r="AV426" i="19"/>
  <c r="AN426" i="19" s="1"/>
  <c r="AV595" i="19"/>
  <c r="AN595" i="19" s="1"/>
  <c r="AV583" i="19"/>
  <c r="AN583" i="19" s="1"/>
  <c r="AV765" i="19"/>
  <c r="AN765" i="19" s="1"/>
  <c r="AV556" i="19"/>
  <c r="AN556" i="19" s="1"/>
  <c r="AV778" i="19"/>
  <c r="AN778" i="19" s="1"/>
  <c r="AV747" i="19"/>
  <c r="AN747" i="19" s="1"/>
  <c r="AV562" i="19"/>
  <c r="AN562" i="19" s="1"/>
  <c r="AV631" i="19"/>
  <c r="AN631" i="19" s="1"/>
  <c r="AV529" i="19"/>
  <c r="AN529" i="19" s="1"/>
  <c r="AV538" i="19"/>
  <c r="AN538" i="19" s="1"/>
  <c r="AV495" i="19"/>
  <c r="AN495" i="19" s="1"/>
  <c r="AV474" i="19"/>
  <c r="AN474" i="19" s="1"/>
  <c r="AV640" i="19"/>
  <c r="AN640" i="19" s="1"/>
  <c r="AV530" i="19"/>
  <c r="AN530" i="19" s="1"/>
  <c r="AV668" i="19"/>
  <c r="AN668" i="19" s="1"/>
  <c r="AV509" i="19"/>
  <c r="AN509" i="19" s="1"/>
  <c r="AV764" i="19"/>
  <c r="AN764" i="19" s="1"/>
  <c r="AV476" i="19"/>
  <c r="AN476" i="19" s="1"/>
  <c r="AV590" i="19"/>
  <c r="AN590" i="19" s="1"/>
  <c r="AV775" i="19"/>
  <c r="AN775" i="19" s="1"/>
  <c r="AV678" i="19"/>
  <c r="AN678" i="19" s="1"/>
  <c r="AV744" i="19"/>
  <c r="AN744" i="19" s="1"/>
  <c r="AV774" i="19"/>
  <c r="AN774" i="19" s="1"/>
  <c r="AV798" i="19"/>
  <c r="AN798" i="19" s="1"/>
  <c r="AV742" i="19"/>
  <c r="AN742" i="19" s="1"/>
  <c r="AV685" i="19"/>
  <c r="AN685" i="19" s="1"/>
  <c r="AV274" i="19"/>
  <c r="AN274" i="19" s="1"/>
  <c r="C62" i="53"/>
  <c r="E62" i="53" s="1"/>
  <c r="AV635" i="19"/>
  <c r="AN635" i="19" s="1"/>
  <c r="C49" i="53"/>
  <c r="E49" i="53" s="1"/>
  <c r="C48" i="53"/>
  <c r="E48" i="53" s="1"/>
  <c r="AV422" i="19"/>
  <c r="AN422" i="19" s="1"/>
  <c r="AV181" i="19"/>
  <c r="AN181" i="19" s="1"/>
  <c r="AV485" i="19"/>
  <c r="AN485" i="19" s="1"/>
  <c r="AV546" i="19"/>
  <c r="AN546" i="19" s="1"/>
  <c r="AV167" i="19"/>
  <c r="AN167" i="19" s="1"/>
  <c r="AV652" i="19"/>
  <c r="AN652" i="19" s="1"/>
  <c r="AV541" i="19"/>
  <c r="AN541" i="19" s="1"/>
  <c r="AV451" i="19"/>
  <c r="AN451" i="19" s="1"/>
  <c r="AV768" i="19"/>
  <c r="AN768" i="19" s="1"/>
  <c r="AV647" i="19"/>
  <c r="AN647" i="19" s="1"/>
  <c r="AV462" i="19"/>
  <c r="AN462" i="19" s="1"/>
  <c r="AV524" i="19"/>
  <c r="AN524" i="19" s="1"/>
  <c r="AV534" i="19"/>
  <c r="AN534" i="19" s="1"/>
  <c r="AV461" i="19"/>
  <c r="AN461" i="19" s="1"/>
  <c r="AV637" i="19"/>
  <c r="AN637" i="19" s="1"/>
  <c r="AV570" i="19"/>
  <c r="AN570" i="19" s="1"/>
  <c r="AV425" i="19"/>
  <c r="AN425" i="19" s="1"/>
  <c r="AV684" i="19"/>
  <c r="AN684" i="19" s="1"/>
  <c r="AV656" i="19"/>
  <c r="AN656" i="19" s="1"/>
  <c r="AV225" i="19"/>
  <c r="AN225" i="19" s="1"/>
  <c r="C45" i="53"/>
  <c r="E45" i="53" s="1"/>
  <c r="AV722" i="19"/>
  <c r="AN722" i="19" s="1"/>
  <c r="C38" i="53"/>
  <c r="E38" i="53" s="1"/>
  <c r="AV313" i="19"/>
  <c r="AN313" i="19" s="1"/>
  <c r="C57" i="53"/>
  <c r="E57" i="53" s="1"/>
  <c r="AV705" i="19"/>
  <c r="AN705" i="19" s="1"/>
  <c r="AV550" i="19"/>
  <c r="AN550" i="19" s="1"/>
  <c r="AV760" i="19"/>
  <c r="AN760" i="19" s="1"/>
  <c r="AV548" i="19"/>
  <c r="AN548" i="19" s="1"/>
  <c r="AV626" i="19"/>
  <c r="AN626" i="19" s="1"/>
  <c r="AV493" i="19"/>
  <c r="AN493" i="19" s="1"/>
  <c r="AV480" i="19"/>
  <c r="AN480" i="19" s="1"/>
  <c r="AV505" i="19"/>
  <c r="AN505" i="19" s="1"/>
  <c r="AV623" i="19"/>
  <c r="AN623" i="19" s="1"/>
  <c r="AV741" i="19"/>
  <c r="AN741" i="19" s="1"/>
  <c r="AV605" i="19"/>
  <c r="AN605" i="19" s="1"/>
  <c r="AV354" i="19"/>
  <c r="AN354" i="19" s="1"/>
  <c r="AV486" i="19"/>
  <c r="AN486" i="19" s="1"/>
  <c r="AV622" i="19"/>
  <c r="AN622" i="19" s="1"/>
  <c r="AV372" i="19"/>
  <c r="AN372" i="19" s="1"/>
  <c r="AV628" i="19"/>
  <c r="AN628" i="19" s="1"/>
  <c r="AV594" i="19"/>
  <c r="AN594" i="19" s="1"/>
  <c r="AV794" i="19"/>
  <c r="AN794" i="19" s="1"/>
  <c r="AV749" i="19"/>
  <c r="AN749" i="19" s="1"/>
  <c r="AV697" i="19"/>
  <c r="AN697" i="19" s="1"/>
  <c r="AV649" i="19"/>
  <c r="AN649" i="19" s="1"/>
  <c r="AV782" i="19"/>
  <c r="AN782" i="19" s="1"/>
  <c r="AV638" i="19"/>
  <c r="AN638" i="19" s="1"/>
  <c r="AV533" i="19"/>
  <c r="AN533" i="19" s="1"/>
  <c r="AV773" i="19"/>
  <c r="AN773" i="19" s="1"/>
  <c r="AV695" i="19"/>
  <c r="AN695" i="19" s="1"/>
  <c r="AV643" i="19"/>
  <c r="AN643" i="19" s="1"/>
  <c r="AV770" i="19"/>
  <c r="AN770" i="19" s="1"/>
  <c r="AV391" i="19"/>
  <c r="AN391" i="19" s="1"/>
  <c r="AV362" i="19"/>
  <c r="AN362" i="19" s="1"/>
  <c r="AV633" i="19"/>
  <c r="AN633" i="19" s="1"/>
  <c r="C43" i="53"/>
  <c r="E43" i="53" s="1"/>
  <c r="AV312" i="19"/>
  <c r="AN312" i="19" s="1"/>
  <c r="C66" i="53"/>
  <c r="E66" i="53" s="1"/>
  <c r="AV311" i="19"/>
  <c r="AN311" i="19" s="1"/>
  <c r="C59" i="53"/>
  <c r="E59" i="53" s="1"/>
  <c r="AV314" i="19"/>
  <c r="AN314" i="19" s="1"/>
  <c r="C58" i="53"/>
  <c r="E58" i="53" s="1"/>
  <c r="AV142" i="19"/>
  <c r="AN142" i="19" s="1"/>
  <c r="C55" i="53"/>
  <c r="E55" i="53" s="1"/>
  <c r="AV333" i="19"/>
  <c r="AN333" i="19" s="1"/>
  <c r="C69" i="53"/>
  <c r="E69" i="53" s="1"/>
  <c r="AV65" i="19"/>
  <c r="AN65" i="19" s="1"/>
  <c r="C44" i="53"/>
  <c r="E44" i="53" s="1"/>
  <c r="AV326" i="19"/>
  <c r="AN326" i="19" s="1"/>
  <c r="C63" i="53"/>
  <c r="E63" i="53" s="1"/>
  <c r="AV660" i="19"/>
  <c r="AN660" i="19" s="1"/>
  <c r="AV683" i="19"/>
  <c r="AN683" i="19" s="1"/>
  <c r="AV520" i="19"/>
  <c r="AN520" i="19" s="1"/>
  <c r="AV433" i="19"/>
  <c r="AN433" i="19" s="1"/>
  <c r="AV356" i="19"/>
  <c r="AN356" i="19" s="1"/>
  <c r="AV785" i="19"/>
  <c r="AN785" i="19" s="1"/>
  <c r="AV536" i="19"/>
  <c r="AN536" i="19" s="1"/>
  <c r="AV696" i="19"/>
  <c r="AN696" i="19" s="1"/>
  <c r="AV589" i="19"/>
  <c r="AN589" i="19" s="1"/>
  <c r="AV444" i="19"/>
  <c r="AN444" i="19" s="1"/>
  <c r="AV397" i="19"/>
  <c r="AN397" i="19" s="1"/>
  <c r="AV596" i="19"/>
  <c r="AN596" i="19" s="1"/>
  <c r="AV522" i="19"/>
  <c r="AN522" i="19" s="1"/>
  <c r="AV457" i="19"/>
  <c r="AN457" i="19" s="1"/>
  <c r="AV380" i="19"/>
  <c r="AN380" i="19" s="1"/>
  <c r="AV795" i="19"/>
  <c r="AN795" i="19" s="1"/>
  <c r="AV49" i="19"/>
  <c r="AN49" i="19" s="1"/>
  <c r="C36" i="53"/>
  <c r="E36" i="53" s="1"/>
  <c r="AV488" i="19"/>
  <c r="AN488" i="19" s="1"/>
  <c r="AV489" i="19"/>
  <c r="AN489" i="19" s="1"/>
  <c r="AV657" i="19"/>
  <c r="AN657" i="19" s="1"/>
  <c r="AV617" i="19"/>
  <c r="AN617" i="19" s="1"/>
  <c r="AV318" i="19"/>
  <c r="AN318" i="19" s="1"/>
  <c r="AV483" i="19"/>
  <c r="AN483" i="19" s="1"/>
  <c r="AV564" i="19"/>
  <c r="AN564" i="19" s="1"/>
  <c r="AV702" i="19"/>
  <c r="AN702" i="19" s="1"/>
  <c r="AV508" i="19"/>
  <c r="AN508" i="19" s="1"/>
  <c r="AV404" i="19"/>
  <c r="AN404" i="19" s="1"/>
  <c r="AV581" i="19"/>
  <c r="AN581" i="19" s="1"/>
  <c r="AV654" i="19"/>
  <c r="AN654" i="19" s="1"/>
  <c r="AV561" i="19"/>
  <c r="AN561" i="19" s="1"/>
  <c r="AV568" i="19"/>
  <c r="AN568" i="19" s="1"/>
  <c r="AV682" i="19"/>
  <c r="AN682" i="19" s="1"/>
  <c r="AV582" i="19"/>
  <c r="AN582" i="19" s="1"/>
  <c r="AV776" i="19"/>
  <c r="AN776" i="19" s="1"/>
  <c r="AV733" i="19"/>
  <c r="AN733" i="19" s="1"/>
  <c r="AV482" i="19"/>
  <c r="AN482" i="19" s="1"/>
  <c r="AV517" i="19"/>
  <c r="AN517" i="19" s="1"/>
  <c r="AV355" i="19"/>
  <c r="AN355" i="19" s="1"/>
  <c r="AV754" i="19"/>
  <c r="AN754" i="19" s="1"/>
  <c r="AV788" i="19"/>
  <c r="AN788" i="19" s="1"/>
  <c r="AV761" i="19"/>
  <c r="AN761" i="19" s="1"/>
  <c r="AV584" i="19"/>
  <c r="AN584" i="19" s="1"/>
  <c r="AV679" i="19"/>
  <c r="AN679" i="19" s="1"/>
  <c r="AV755" i="19"/>
  <c r="AN755" i="19" s="1"/>
  <c r="AV615" i="19"/>
  <c r="AN615" i="19" s="1"/>
  <c r="C56" i="53"/>
  <c r="E56" i="53" s="1"/>
  <c r="AV608" i="19"/>
  <c r="AN608" i="19" s="1"/>
  <c r="AV725" i="19"/>
  <c r="AN725" i="19" s="1"/>
  <c r="AV592" i="19"/>
  <c r="AN592" i="19" s="1"/>
  <c r="AV463" i="19"/>
  <c r="AN463" i="19" s="1"/>
  <c r="AV797" i="19"/>
  <c r="AN797" i="19" s="1"/>
  <c r="AV752" i="19"/>
  <c r="AN752" i="19" s="1"/>
  <c r="AV398" i="19"/>
  <c r="AN398" i="19" s="1"/>
  <c r="AV439" i="19"/>
  <c r="AN439" i="19" s="1"/>
  <c r="AV516" i="19"/>
  <c r="AN516" i="19" s="1"/>
  <c r="AV445" i="19"/>
  <c r="AN445" i="19" s="1"/>
  <c r="AV715" i="19"/>
  <c r="AN715" i="19" s="1"/>
  <c r="AV440" i="19"/>
  <c r="AN440" i="19" s="1"/>
  <c r="AV74" i="19"/>
  <c r="AN74" i="19" s="1"/>
  <c r="C37" i="53"/>
  <c r="E37" i="53" s="1"/>
  <c r="AV344" i="19"/>
  <c r="AN344" i="19" s="1"/>
  <c r="C60" i="53"/>
  <c r="E60" i="53" s="1"/>
  <c r="AV309" i="19"/>
  <c r="AN309" i="19" s="1"/>
  <c r="C64" i="53"/>
  <c r="E64" i="53" s="1"/>
  <c r="AV139" i="19"/>
  <c r="AN139" i="19" s="1"/>
  <c r="C50" i="53"/>
  <c r="E50" i="53" s="1"/>
  <c r="AV616" i="19"/>
  <c r="AN616" i="19" s="1"/>
  <c r="C41" i="53"/>
  <c r="E41" i="53" s="1"/>
  <c r="AV655" i="19"/>
  <c r="AN655" i="19" s="1"/>
  <c r="AV763" i="19"/>
  <c r="AN763" i="19" s="1"/>
  <c r="AV576" i="19"/>
  <c r="AN576" i="19" s="1"/>
  <c r="AV607" i="19"/>
  <c r="AN607" i="19" s="1"/>
  <c r="AV758" i="19"/>
  <c r="AN758" i="19" s="1"/>
  <c r="AV320" i="19"/>
  <c r="AN320" i="19" s="1"/>
  <c r="AV602" i="19"/>
  <c r="AN602" i="19" s="1"/>
  <c r="AV478" i="19"/>
  <c r="AN478" i="19" s="1"/>
  <c r="AV498" i="19"/>
  <c r="AN498" i="19" s="1"/>
  <c r="AV466" i="19"/>
  <c r="AN466" i="19" s="1"/>
  <c r="AV317" i="19"/>
  <c r="AN317" i="19" s="1"/>
  <c r="AV627" i="19"/>
  <c r="AN627" i="19" s="1"/>
  <c r="AV415" i="19"/>
  <c r="AN415" i="19" s="1"/>
  <c r="AV539" i="19"/>
  <c r="AN539" i="19" s="1"/>
  <c r="AV571" i="19"/>
  <c r="AN571" i="19" s="1"/>
  <c r="AV588" i="19"/>
  <c r="AN588" i="19" s="1"/>
  <c r="AV650" i="19"/>
  <c r="AN650" i="19" s="1"/>
  <c r="AV593" i="19"/>
  <c r="AN593" i="19" s="1"/>
  <c r="AV450" i="19"/>
  <c r="AN450" i="19" s="1"/>
  <c r="AV587" i="19"/>
  <c r="AN587" i="19" s="1"/>
  <c r="AV575" i="19"/>
  <c r="AN575" i="19" s="1"/>
  <c r="AV446" i="19"/>
  <c r="AN446" i="19" s="1"/>
  <c r="AV454" i="19"/>
  <c r="AN454" i="19" s="1"/>
  <c r="AV799" i="19"/>
  <c r="AN799" i="19" s="1"/>
  <c r="AV427" i="19"/>
  <c r="AN427" i="19" s="1"/>
  <c r="AV428" i="19"/>
  <c r="AN428" i="19" s="1"/>
  <c r="AV686" i="19"/>
  <c r="AN686" i="19" s="1"/>
  <c r="AV780" i="19"/>
  <c r="AN780" i="19" s="1"/>
  <c r="AV586" i="19"/>
  <c r="AN586" i="19" s="1"/>
  <c r="AV237" i="19"/>
  <c r="AN237" i="19" s="1"/>
  <c r="C47" i="53"/>
  <c r="E47" i="53" s="1"/>
  <c r="AV120" i="19"/>
  <c r="AN120" i="19" s="1"/>
  <c r="C52" i="53"/>
  <c r="E52" i="53" s="1"/>
  <c r="AV323" i="19"/>
  <c r="AN323" i="19" s="1"/>
  <c r="C61" i="53"/>
  <c r="E61" i="53" s="1"/>
  <c r="AV146" i="19"/>
  <c r="AN146" i="19" s="1"/>
  <c r="C51" i="53"/>
  <c r="E51" i="53" s="1"/>
  <c r="AV459" i="19"/>
  <c r="AN459" i="19" s="1"/>
  <c r="AV379" i="19"/>
  <c r="AN379" i="19" s="1"/>
  <c r="AV540" i="19"/>
  <c r="AN540" i="19" s="1"/>
  <c r="AV751" i="19"/>
  <c r="AN751" i="19" s="1"/>
  <c r="AV762" i="19"/>
  <c r="AN762" i="19" s="1"/>
  <c r="AV800" i="19"/>
  <c r="AN800" i="19" s="1"/>
  <c r="AV745" i="19"/>
  <c r="AN745" i="19" s="1"/>
  <c r="AV648" i="19"/>
  <c r="AN648" i="19" s="1"/>
  <c r="AV385" i="19"/>
  <c r="AN385" i="19" s="1"/>
  <c r="AV471" i="19"/>
  <c r="AN471" i="19" s="1"/>
  <c r="AV504" i="19"/>
  <c r="AN504" i="19" s="1"/>
  <c r="AV661" i="19"/>
  <c r="AN661" i="19" s="1"/>
  <c r="AV753" i="19"/>
  <c r="AN753" i="19" s="1"/>
  <c r="AV624" i="19"/>
  <c r="AN624" i="19" s="1"/>
  <c r="AV666" i="19"/>
  <c r="AN666" i="19" s="1"/>
  <c r="AV789" i="19"/>
  <c r="AN789" i="19" s="1"/>
  <c r="AV632" i="19"/>
  <c r="AN632" i="19" s="1"/>
  <c r="AV750" i="19"/>
  <c r="AN750" i="19" s="1"/>
  <c r="AV796" i="19"/>
  <c r="AN796" i="19" s="1"/>
  <c r="AV361" i="19"/>
  <c r="AN361" i="19" s="1"/>
  <c r="AV577" i="19"/>
  <c r="AN577" i="19" s="1"/>
  <c r="AV793" i="19"/>
  <c r="AN793" i="19" s="1"/>
  <c r="AV792" i="19"/>
  <c r="AN792" i="19" s="1"/>
  <c r="AV601" i="19"/>
  <c r="AN601" i="19" s="1"/>
  <c r="AV574" i="19"/>
  <c r="AN574" i="19" s="1"/>
  <c r="AV772" i="19"/>
  <c r="AN772" i="19" s="1"/>
  <c r="AV392" i="19"/>
  <c r="AN392" i="19" s="1"/>
  <c r="AV475" i="19"/>
  <c r="AN475" i="19" s="1"/>
  <c r="AV766" i="19"/>
  <c r="AN766" i="19" s="1"/>
  <c r="AV620" i="19"/>
  <c r="AN620" i="19" s="1"/>
  <c r="AV316" i="19"/>
  <c r="AN316" i="19" s="1"/>
  <c r="C65" i="53"/>
  <c r="E65" i="53" s="1"/>
  <c r="AV573" i="19"/>
  <c r="AN573" i="19" s="1"/>
  <c r="AV673" i="19"/>
  <c r="AN673" i="19" s="1"/>
  <c r="AV676" i="19"/>
  <c r="AN676" i="19" s="1"/>
  <c r="AV675" i="19"/>
  <c r="AN675" i="19" s="1"/>
  <c r="AV479" i="19"/>
  <c r="AN479" i="19" s="1"/>
  <c r="AV351" i="19"/>
  <c r="AN351" i="19" s="1"/>
  <c r="AV694" i="19"/>
  <c r="AN694" i="19" s="1"/>
  <c r="AV597" i="19"/>
  <c r="AN597" i="19" s="1"/>
  <c r="AV739" i="19"/>
  <c r="AN739" i="19" s="1"/>
  <c r="AV731" i="19"/>
  <c r="AN731" i="19" s="1"/>
  <c r="AV740" i="19"/>
  <c r="AN740" i="19" s="1"/>
  <c r="AV737" i="19"/>
  <c r="AN737" i="19" s="1"/>
  <c r="AV728" i="19"/>
  <c r="AN728" i="19" s="1"/>
  <c r="AV732" i="19"/>
  <c r="AN732" i="19" s="1"/>
  <c r="AV727" i="19"/>
  <c r="AN727" i="19" s="1"/>
  <c r="AV729" i="19"/>
  <c r="AN729" i="19" s="1"/>
  <c r="E7" i="49"/>
  <c r="F7" i="49"/>
  <c r="D7" i="49"/>
  <c r="AV447" i="19"/>
  <c r="AN447" i="19" s="1"/>
  <c r="AV448" i="19"/>
  <c r="AN448" i="19" s="1"/>
  <c r="AV726" i="19"/>
  <c r="AN726" i="19" s="1"/>
  <c r="AV719" i="19"/>
  <c r="AN719" i="19" s="1"/>
  <c r="AV720" i="19"/>
  <c r="AN720" i="19" s="1"/>
  <c r="AV717" i="19"/>
  <c r="AN717" i="19" s="1"/>
  <c r="AV598" i="19"/>
  <c r="AN598" i="19" s="1"/>
  <c r="AV599" i="19"/>
  <c r="AN599" i="19" s="1"/>
  <c r="AV80" i="19"/>
  <c r="AN80" i="19" s="1"/>
  <c r="AV600" i="19"/>
  <c r="AN600" i="19" s="1"/>
  <c r="AV711" i="19"/>
  <c r="AN711" i="19" s="1"/>
  <c r="AV56" i="19"/>
  <c r="AN56" i="19" s="1"/>
  <c r="G7" i="49"/>
  <c r="AV713" i="19"/>
  <c r="AN713" i="19" s="1"/>
  <c r="AV532" i="19"/>
  <c r="AN532" i="19" s="1"/>
  <c r="AV714" i="19"/>
  <c r="AN714" i="19" s="1"/>
  <c r="AV706" i="19"/>
  <c r="AN706" i="19" s="1"/>
  <c r="AV442" i="19"/>
  <c r="AN442" i="19" s="1"/>
  <c r="AV709" i="19"/>
  <c r="AN709" i="19" s="1"/>
  <c r="AV443" i="19"/>
  <c r="AN443" i="19" s="1"/>
  <c r="AV465" i="19"/>
  <c r="AN465" i="19" s="1"/>
  <c r="AV515" i="19"/>
  <c r="AN515" i="19" s="1"/>
  <c r="AV710" i="19"/>
  <c r="AN710" i="19" s="1"/>
  <c r="AV708" i="19"/>
  <c r="AN708" i="19" s="1"/>
  <c r="AV525" i="19"/>
  <c r="AN525" i="19" s="1"/>
  <c r="AV555" i="19"/>
  <c r="AN555" i="19" s="1"/>
  <c r="AV100" i="19"/>
  <c r="AN100" i="19" s="1"/>
  <c r="AV98" i="19"/>
  <c r="AN98" i="19" s="1"/>
  <c r="AV182" i="19"/>
  <c r="AN182" i="19" s="1"/>
  <c r="AV105" i="19"/>
  <c r="AN105" i="19" s="1"/>
  <c r="AV104" i="19"/>
  <c r="AN104" i="19" s="1"/>
  <c r="AV92" i="19"/>
  <c r="AN92" i="19" s="1"/>
  <c r="AV531" i="19"/>
  <c r="AN531" i="19" s="1"/>
  <c r="AV171" i="19"/>
  <c r="AN171" i="19" s="1"/>
  <c r="AV99" i="19"/>
  <c r="AN99" i="19" s="1"/>
  <c r="AV102" i="19"/>
  <c r="AN102" i="19" s="1"/>
  <c r="AV514" i="19"/>
  <c r="AN514" i="19" s="1"/>
  <c r="AV545" i="19"/>
  <c r="AN545" i="19" s="1"/>
  <c r="AV513" i="19"/>
  <c r="AN513" i="19" s="1"/>
  <c r="AV88" i="19"/>
  <c r="AN88" i="19" s="1"/>
  <c r="AV95" i="19"/>
  <c r="AN95" i="19" s="1"/>
  <c r="AV178" i="19"/>
  <c r="AN178" i="19" s="1"/>
  <c r="AV544" i="19"/>
  <c r="AN544" i="19" s="1"/>
  <c r="AV543" i="19"/>
  <c r="AN543" i="19" s="1"/>
  <c r="AV177" i="19"/>
  <c r="AN177" i="19" s="1"/>
  <c r="AV97" i="19"/>
  <c r="AN97" i="19" s="1"/>
  <c r="AV176" i="19"/>
  <c r="AN176" i="19" s="1"/>
  <c r="AV106" i="19"/>
  <c r="AN106" i="19" s="1"/>
  <c r="AV173" i="19"/>
  <c r="AN173" i="19" s="1"/>
  <c r="AV172" i="19"/>
  <c r="AN172" i="19" s="1"/>
  <c r="AV169" i="19"/>
  <c r="AN169" i="19" s="1"/>
  <c r="AV82" i="19"/>
  <c r="AN82" i="19" s="1"/>
  <c r="AV107" i="19"/>
  <c r="AN107" i="19" s="1"/>
  <c r="AV94" i="19"/>
  <c r="AN94" i="19" s="1"/>
  <c r="AV87" i="19"/>
  <c r="AN87" i="19" s="1"/>
  <c r="AV502" i="19"/>
  <c r="AN502" i="19" s="1"/>
  <c r="AV503" i="19"/>
  <c r="AN503" i="19" s="1"/>
  <c r="AV501" i="19"/>
  <c r="AN501" i="19" s="1"/>
  <c r="AV340" i="19"/>
  <c r="AN340" i="19" s="1"/>
  <c r="AV438" i="19"/>
  <c r="AN438" i="19" s="1"/>
  <c r="AV437" i="19"/>
  <c r="AN437" i="19" s="1"/>
  <c r="AV610" i="19"/>
  <c r="AN610" i="19" s="1"/>
  <c r="AV61" i="19"/>
  <c r="AN61" i="19" s="1"/>
  <c r="AV64" i="19"/>
  <c r="AN64" i="19" s="1"/>
  <c r="AV78" i="19"/>
  <c r="AN78" i="19" s="1"/>
  <c r="AV75" i="19"/>
  <c r="AN75" i="19" s="1"/>
  <c r="AV85" i="19"/>
  <c r="AN85" i="19" s="1"/>
  <c r="AV46" i="19"/>
  <c r="AN46" i="19" s="1"/>
  <c r="AV84" i="19"/>
  <c r="AN84" i="19" s="1"/>
  <c r="AV435" i="19"/>
  <c r="AN435" i="19" s="1"/>
  <c r="AV166" i="19"/>
  <c r="AN166" i="19" s="1"/>
  <c r="AV170" i="19"/>
  <c r="AN170" i="19" s="1"/>
  <c r="AV165" i="19"/>
  <c r="AN165" i="19" s="1"/>
  <c r="AV350" i="19"/>
  <c r="AN350" i="19" s="1"/>
  <c r="AV345" i="19"/>
  <c r="AN345" i="19" s="1"/>
  <c r="AV161" i="19"/>
  <c r="AN161" i="19" s="1"/>
  <c r="AV159" i="19"/>
  <c r="AN159" i="19" s="1"/>
  <c r="AV348" i="19"/>
  <c r="AN348" i="19" s="1"/>
  <c r="AV164" i="19"/>
  <c r="AN164" i="19" s="1"/>
  <c r="AV160" i="19"/>
  <c r="AN160" i="19" s="1"/>
  <c r="AV255" i="19"/>
  <c r="AN255" i="19" s="1"/>
  <c r="AV264" i="19"/>
  <c r="AN264" i="19" s="1"/>
  <c r="AV349" i="19"/>
  <c r="AN349" i="19" s="1"/>
  <c r="AV346" i="19"/>
  <c r="AN346" i="19" s="1"/>
  <c r="AV347" i="19"/>
  <c r="AN347" i="19" s="1"/>
  <c r="AV260" i="19"/>
  <c r="AN260" i="19" s="1"/>
  <c r="AV265" i="19"/>
  <c r="AN265" i="19" s="1"/>
  <c r="W104" i="56"/>
  <c r="P104" i="56"/>
  <c r="R104" i="56"/>
  <c r="AV266" i="19"/>
  <c r="AN266" i="19" s="1"/>
  <c r="K104" i="56"/>
  <c r="AJ104" i="56" s="1"/>
  <c r="AV262" i="19"/>
  <c r="AN262" i="19" s="1"/>
  <c r="Q104" i="56"/>
  <c r="AV342" i="19"/>
  <c r="AN342" i="19" s="1"/>
  <c r="AV382" i="19"/>
  <c r="AN382" i="19" s="1"/>
  <c r="AV674" i="19"/>
  <c r="AN674" i="19" s="1"/>
  <c r="AV646" i="19"/>
  <c r="AN646" i="19" s="1"/>
  <c r="AV690" i="19"/>
  <c r="AN690" i="19" s="1"/>
  <c r="AV383" i="19"/>
  <c r="AN383" i="19" s="1"/>
  <c r="AV381" i="19"/>
  <c r="AN381" i="19" s="1"/>
  <c r="J104" i="56"/>
  <c r="I187" i="75" s="1"/>
  <c r="AV261" i="19"/>
  <c r="AN261" i="19" s="1"/>
  <c r="AV343" i="19"/>
  <c r="AN343" i="19" s="1"/>
  <c r="AV259" i="19"/>
  <c r="AN259" i="19" s="1"/>
  <c r="AV256" i="19"/>
  <c r="AN256" i="19" s="1"/>
  <c r="AV339" i="19"/>
  <c r="AN339" i="19" s="1"/>
  <c r="AV341" i="19"/>
  <c r="AN341" i="19" s="1"/>
  <c r="AV664" i="19"/>
  <c r="AN664" i="19" s="1"/>
  <c r="AV419" i="19"/>
  <c r="AN419" i="19" s="1"/>
  <c r="AV420" i="19"/>
  <c r="AN420" i="19" s="1"/>
  <c r="AV665" i="19"/>
  <c r="AN665" i="19" s="1"/>
  <c r="AV645" i="19"/>
  <c r="AN645" i="19" s="1"/>
  <c r="AV693" i="19"/>
  <c r="AN693" i="19" s="1"/>
  <c r="AV692" i="19"/>
  <c r="AN692" i="19" s="1"/>
  <c r="AV688" i="19"/>
  <c r="AN688" i="19" s="1"/>
  <c r="AV332" i="19"/>
  <c r="AN332" i="19" s="1"/>
  <c r="AV253" i="19"/>
  <c r="AN253" i="19" s="1"/>
  <c r="AV338" i="19"/>
  <c r="AN338" i="19" s="1"/>
  <c r="AV248" i="19"/>
  <c r="AN248" i="19" s="1"/>
  <c r="AV669" i="19"/>
  <c r="AN669" i="19" s="1"/>
  <c r="AV671" i="19"/>
  <c r="AN671" i="19" s="1"/>
  <c r="AV154" i="19"/>
  <c r="AN154" i="19" s="1"/>
  <c r="AV153" i="19"/>
  <c r="AN153" i="19" s="1"/>
  <c r="AV157" i="19"/>
  <c r="AN157" i="19" s="1"/>
  <c r="AV155" i="19"/>
  <c r="AN155" i="19" s="1"/>
  <c r="AV337" i="19"/>
  <c r="AN337" i="19" s="1"/>
  <c r="AV336" i="19"/>
  <c r="AN336" i="19" s="1"/>
  <c r="AV335" i="19"/>
  <c r="AN335" i="19" s="1"/>
  <c r="AV334" i="19"/>
  <c r="AN334" i="19" s="1"/>
  <c r="AV331" i="19"/>
  <c r="AN331" i="19" s="1"/>
  <c r="AV328" i="19"/>
  <c r="AN328" i="19" s="1"/>
  <c r="AV330" i="19"/>
  <c r="AN330" i="19" s="1"/>
  <c r="AV329" i="19"/>
  <c r="AN329" i="19" s="1"/>
  <c r="AV149" i="19"/>
  <c r="AN149" i="19" s="1"/>
  <c r="AV327" i="19"/>
  <c r="AN327" i="19" s="1"/>
  <c r="AV250" i="19"/>
  <c r="AN250" i="19" s="1"/>
  <c r="AV251" i="19"/>
  <c r="AN251" i="19" s="1"/>
  <c r="AV249" i="19"/>
  <c r="AN249" i="19" s="1"/>
  <c r="AV247" i="19"/>
  <c r="AN247" i="19" s="1"/>
  <c r="AV246" i="19"/>
  <c r="AN246" i="19" s="1"/>
  <c r="AV244" i="19"/>
  <c r="AN244" i="19" s="1"/>
  <c r="AV243" i="19"/>
  <c r="AN243" i="19" s="1"/>
  <c r="AV152" i="19"/>
  <c r="AN152" i="19" s="1"/>
  <c r="AV63" i="19"/>
  <c r="AN63" i="19" s="1"/>
  <c r="AV71" i="19"/>
  <c r="AN71" i="19" s="1"/>
  <c r="AV68" i="19"/>
  <c r="AN68" i="19" s="1"/>
  <c r="AV69" i="19"/>
  <c r="AN69" i="19" s="1"/>
  <c r="AV238" i="19"/>
  <c r="AN238" i="19" s="1"/>
  <c r="AV141" i="19"/>
  <c r="AN141" i="19" s="1"/>
  <c r="AV151" i="19"/>
  <c r="AN151" i="19" s="1"/>
  <c r="AV148" i="19"/>
  <c r="AN148" i="19" s="1"/>
  <c r="AV240" i="19"/>
  <c r="AN240" i="19" s="1"/>
  <c r="AV241" i="19"/>
  <c r="AN241" i="19" s="1"/>
  <c r="C14" i="55"/>
  <c r="F14" i="55" s="1"/>
  <c r="K70" i="56"/>
  <c r="AJ70" i="56" s="1"/>
  <c r="AV145" i="19"/>
  <c r="AN145" i="19" s="1"/>
  <c r="W70" i="56"/>
  <c r="S70" i="56"/>
  <c r="Q70" i="56"/>
  <c r="AV150" i="19"/>
  <c r="AN150" i="19" s="1"/>
  <c r="C33" i="55"/>
  <c r="AV59" i="19"/>
  <c r="AN59" i="19" s="1"/>
  <c r="AV144" i="19"/>
  <c r="AN144" i="19" s="1"/>
  <c r="AV143" i="19"/>
  <c r="AN143" i="19" s="1"/>
  <c r="AV60" i="19"/>
  <c r="AN60" i="19" s="1"/>
  <c r="AV324" i="19"/>
  <c r="AN324" i="19" s="1"/>
  <c r="AV639" i="19"/>
  <c r="AN639" i="19" s="1"/>
  <c r="P85" i="56"/>
  <c r="AV321" i="19"/>
  <c r="AN321" i="19" s="1"/>
  <c r="AV322" i="19"/>
  <c r="AN322" i="19" s="1"/>
  <c r="AV325" i="19"/>
  <c r="AN325" i="19" s="1"/>
  <c r="AV315" i="19"/>
  <c r="AN315" i="19" s="1"/>
  <c r="AV319" i="19"/>
  <c r="AN319" i="19" s="1"/>
  <c r="AV310" i="19"/>
  <c r="AN310" i="19" s="1"/>
  <c r="J70" i="56"/>
  <c r="I52" i="75" s="1"/>
  <c r="R70" i="56"/>
  <c r="W71" i="56"/>
  <c r="K71" i="56"/>
  <c r="AJ71" i="56" s="1"/>
  <c r="S71" i="56"/>
  <c r="R71" i="56"/>
  <c r="Q71" i="56"/>
  <c r="J71" i="56"/>
  <c r="I57" i="75" s="1"/>
  <c r="P71" i="56"/>
  <c r="AV634" i="19"/>
  <c r="AN634" i="19" s="1"/>
  <c r="K85" i="56"/>
  <c r="AJ85" i="56" s="1"/>
  <c r="R85" i="56"/>
  <c r="J85" i="56"/>
  <c r="I112" i="75" s="1"/>
  <c r="J90" i="56"/>
  <c r="I132" i="75" s="1"/>
  <c r="S90" i="56"/>
  <c r="C28" i="55"/>
  <c r="R90" i="56"/>
  <c r="W85" i="56"/>
  <c r="Q90" i="56"/>
  <c r="S85" i="56"/>
  <c r="W90" i="56"/>
  <c r="P132" i="75" s="1"/>
  <c r="P90" i="56"/>
  <c r="R89" i="56"/>
  <c r="R76" i="56"/>
  <c r="K89" i="56"/>
  <c r="AJ89" i="56" s="1"/>
  <c r="W87" i="56"/>
  <c r="J76" i="56"/>
  <c r="I77" i="75" s="1"/>
  <c r="Q89" i="56"/>
  <c r="K87" i="56"/>
  <c r="AJ87" i="56" s="1"/>
  <c r="P89" i="56"/>
  <c r="J87" i="56"/>
  <c r="J89" i="56"/>
  <c r="I127" i="75" s="1"/>
  <c r="S87" i="56"/>
  <c r="W76" i="56"/>
  <c r="R87" i="56"/>
  <c r="K76" i="56"/>
  <c r="AJ76" i="56" s="1"/>
  <c r="C32" i="55"/>
  <c r="C19" i="55"/>
  <c r="Q87" i="56"/>
  <c r="S76" i="56"/>
  <c r="P87" i="56"/>
  <c r="W89" i="56"/>
  <c r="P76" i="56"/>
  <c r="AV230" i="19"/>
  <c r="AN230" i="19" s="1"/>
  <c r="AV267" i="19"/>
  <c r="AN267" i="19" s="1"/>
  <c r="AV115" i="19"/>
  <c r="AN115" i="19" s="1"/>
  <c r="AV175" i="19"/>
  <c r="AN175" i="19" s="1"/>
  <c r="AV236" i="19"/>
  <c r="AN236" i="19" s="1"/>
  <c r="AV124" i="19"/>
  <c r="AN124" i="19" s="1"/>
  <c r="AV358" i="19"/>
  <c r="AN358" i="19" s="1"/>
  <c r="AV111" i="19"/>
  <c r="AN111" i="19" s="1"/>
  <c r="AV122" i="19"/>
  <c r="AN122" i="19" s="1"/>
  <c r="AV16" i="19"/>
  <c r="AN16" i="19" s="1"/>
  <c r="AV275" i="19"/>
  <c r="AN275" i="19" s="1"/>
  <c r="AV235" i="19"/>
  <c r="AN235" i="19" s="1"/>
  <c r="AV387" i="19"/>
  <c r="AN387" i="19" s="1"/>
  <c r="AV117" i="19"/>
  <c r="AN117" i="19" s="1"/>
  <c r="AV15" i="19"/>
  <c r="AN15" i="19" s="1"/>
  <c r="AV279" i="19"/>
  <c r="AN279" i="19" s="1"/>
  <c r="AV10" i="19"/>
  <c r="AN10" i="19" s="1"/>
  <c r="AV91" i="19"/>
  <c r="AN91" i="19" s="1"/>
  <c r="AV388" i="19"/>
  <c r="AN388" i="19" s="1"/>
  <c r="AV221" i="19"/>
  <c r="AN221" i="19" s="1"/>
  <c r="AV376" i="19"/>
  <c r="AN376" i="19" s="1"/>
  <c r="C48" i="55"/>
  <c r="F48" i="55" s="1"/>
  <c r="C47" i="55"/>
  <c r="AV414" i="19"/>
  <c r="AN414" i="19" s="1"/>
  <c r="AV413" i="19"/>
  <c r="AN413" i="19" s="1"/>
  <c r="AV412" i="19"/>
  <c r="AN412" i="19" s="1"/>
  <c r="AV431" i="19"/>
  <c r="AN431" i="19" s="1"/>
  <c r="AV430" i="19"/>
  <c r="AN430" i="19" s="1"/>
  <c r="AV429" i="19"/>
  <c r="AN429" i="19" s="1"/>
  <c r="AV378" i="19"/>
  <c r="AN378" i="19" s="1"/>
  <c r="AV613" i="19"/>
  <c r="AN613" i="19" s="1"/>
  <c r="AV614" i="19"/>
  <c r="AN614" i="19" s="1"/>
  <c r="AV609" i="19"/>
  <c r="AN609" i="19" s="1"/>
  <c r="AV55" i="19"/>
  <c r="AN55" i="19" s="1"/>
  <c r="AV234" i="19"/>
  <c r="AN234" i="19" s="1"/>
  <c r="AV135" i="19"/>
  <c r="AN135" i="19" s="1"/>
  <c r="AV52" i="19"/>
  <c r="AN52" i="19" s="1"/>
  <c r="AV232" i="19"/>
  <c r="AN232" i="19" s="1"/>
  <c r="AV231" i="19"/>
  <c r="AN231" i="19" s="1"/>
  <c r="AV233" i="19"/>
  <c r="AN233" i="19" s="1"/>
  <c r="AV229" i="19"/>
  <c r="AN229" i="19" s="1"/>
  <c r="AV228" i="19"/>
  <c r="AN228" i="19" s="1"/>
  <c r="AV226" i="19"/>
  <c r="AN226" i="19" s="1"/>
  <c r="AV140" i="19"/>
  <c r="AN140" i="19" s="1"/>
  <c r="AV136" i="19"/>
  <c r="AN136" i="19" s="1"/>
  <c r="AV424" i="19"/>
  <c r="AN424" i="19" s="1"/>
  <c r="AV208" i="19"/>
  <c r="AN208" i="19" s="1"/>
  <c r="AV128" i="19"/>
  <c r="AN128" i="19" s="1"/>
  <c r="AV113" i="19"/>
  <c r="AN113" i="19" s="1"/>
  <c r="AV47" i="19"/>
  <c r="AN47" i="19" s="1"/>
  <c r="AV205" i="19"/>
  <c r="AN205" i="19" s="1"/>
  <c r="AV191" i="19"/>
  <c r="AN191" i="19" s="1"/>
  <c r="AV218" i="19"/>
  <c r="AN218" i="19" s="1"/>
  <c r="AV200" i="19"/>
  <c r="AN200" i="19" s="1"/>
  <c r="AV399" i="19"/>
  <c r="AN399" i="19" s="1"/>
  <c r="AV48" i="19"/>
  <c r="AN48" i="19" s="1"/>
  <c r="AV367" i="19"/>
  <c r="AN367" i="19" s="1"/>
  <c r="AV423" i="19"/>
  <c r="AN423" i="19" s="1"/>
  <c r="AV187" i="19"/>
  <c r="AN187" i="19" s="1"/>
  <c r="AV272" i="19"/>
  <c r="AN272" i="19" s="1"/>
  <c r="AV276" i="19"/>
  <c r="AN276" i="19" s="1"/>
  <c r="AV401" i="19"/>
  <c r="AN401" i="19" s="1"/>
  <c r="AV368" i="19"/>
  <c r="AN368" i="19" s="1"/>
  <c r="AV289" i="19"/>
  <c r="AN289" i="19" s="1"/>
  <c r="AV4" i="19"/>
  <c r="AN4" i="19" s="1"/>
  <c r="AV223" i="19"/>
  <c r="AN223" i="19" s="1"/>
  <c r="P106" i="56"/>
  <c r="Q106" i="56"/>
  <c r="R106" i="56"/>
  <c r="S106" i="56"/>
  <c r="J106" i="56"/>
  <c r="I197" i="75" s="1"/>
  <c r="K106" i="56"/>
  <c r="AJ106" i="56" s="1"/>
  <c r="W106" i="56"/>
  <c r="AV197" i="19"/>
  <c r="AN197" i="19" s="1"/>
  <c r="AV28" i="19"/>
  <c r="AN28" i="19" s="1"/>
  <c r="AV282" i="19"/>
  <c r="AN282" i="19" s="1"/>
  <c r="AV283" i="19"/>
  <c r="AN283" i="19" s="1"/>
  <c r="AV278" i="19"/>
  <c r="AN278" i="19" s="1"/>
  <c r="AV118" i="19"/>
  <c r="AN118" i="19" s="1"/>
  <c r="AV133" i="19"/>
  <c r="AN133" i="19" s="1"/>
  <c r="AV287" i="19"/>
  <c r="AN287" i="19" s="1"/>
  <c r="AV290" i="19"/>
  <c r="AN290" i="19" s="1"/>
  <c r="AV132" i="19"/>
  <c r="AN132" i="19" s="1"/>
  <c r="AV365" i="19"/>
  <c r="AN365" i="19" s="1"/>
  <c r="AV303" i="19"/>
  <c r="AN303" i="19" s="1"/>
  <c r="AV304" i="19"/>
  <c r="AN304" i="19" s="1"/>
  <c r="AV400" i="19"/>
  <c r="AN400" i="19" s="1"/>
  <c r="AV298" i="19"/>
  <c r="AN298" i="19" s="1"/>
  <c r="AV301" i="19"/>
  <c r="AN301" i="19" s="1"/>
  <c r="AV306" i="19"/>
  <c r="AN306" i="19" s="1"/>
  <c r="AV299" i="19"/>
  <c r="AN299" i="19" s="1"/>
  <c r="AV224" i="19"/>
  <c r="AN224" i="19" s="1"/>
  <c r="AV308" i="19"/>
  <c r="AN308" i="19" s="1"/>
  <c r="AV219" i="19"/>
  <c r="AN219" i="19" s="1"/>
  <c r="AV302" i="19"/>
  <c r="AN302" i="19" s="1"/>
  <c r="AV296" i="19"/>
  <c r="AN296" i="19" s="1"/>
  <c r="AV307" i="19"/>
  <c r="AN307" i="19" s="1"/>
  <c r="AV293" i="19"/>
  <c r="AN293" i="19" s="1"/>
  <c r="AV295" i="19"/>
  <c r="AN295" i="19" s="1"/>
  <c r="AV292" i="19"/>
  <c r="AN292" i="19" s="1"/>
  <c r="AV129" i="19"/>
  <c r="AN129" i="19" s="1"/>
  <c r="AV300" i="19"/>
  <c r="AN300" i="19" s="1"/>
  <c r="AV294" i="19"/>
  <c r="AN294" i="19" s="1"/>
  <c r="AV130" i="19"/>
  <c r="AN130" i="19" s="1"/>
  <c r="AV134" i="19"/>
  <c r="AN134" i="19" s="1"/>
  <c r="AV291" i="19"/>
  <c r="AN291" i="19" s="1"/>
  <c r="AV44" i="19"/>
  <c r="AN44" i="19" s="1"/>
  <c r="AV43" i="19"/>
  <c r="AN43" i="19" s="1"/>
  <c r="AV39" i="19"/>
  <c r="AN39" i="19" s="1"/>
  <c r="AV42" i="19"/>
  <c r="AN42" i="19" s="1"/>
  <c r="AV603" i="19"/>
  <c r="AN603" i="19" s="1"/>
  <c r="AV406" i="19"/>
  <c r="AN406" i="19" s="1"/>
  <c r="AV604" i="19"/>
  <c r="AN604" i="19" s="1"/>
  <c r="AV405" i="19"/>
  <c r="AN405" i="19" s="1"/>
  <c r="AV209" i="19"/>
  <c r="AN209" i="19" s="1"/>
  <c r="AV407" i="19"/>
  <c r="AN407" i="19" s="1"/>
  <c r="AV123" i="19"/>
  <c r="AN123" i="19" s="1"/>
  <c r="AV369" i="19"/>
  <c r="AN369" i="19" s="1"/>
  <c r="AV213" i="19"/>
  <c r="AN213" i="19" s="1"/>
  <c r="AV215" i="19"/>
  <c r="AN215" i="19" s="1"/>
  <c r="AV214" i="19"/>
  <c r="AN214" i="19" s="1"/>
  <c r="AV286" i="19"/>
  <c r="AN286" i="19" s="1"/>
  <c r="AV217" i="19"/>
  <c r="AN217" i="19" s="1"/>
  <c r="AV212" i="19"/>
  <c r="AN212" i="19" s="1"/>
  <c r="AV126" i="19"/>
  <c r="AN126" i="19" s="1"/>
  <c r="AV211" i="19"/>
  <c r="AN211" i="19" s="1"/>
  <c r="AV207" i="19"/>
  <c r="AN207" i="19" s="1"/>
  <c r="AV127" i="19"/>
  <c r="AN127" i="19" s="1"/>
  <c r="AV33" i="19"/>
  <c r="AN33" i="19" s="1"/>
  <c r="AV202" i="19"/>
  <c r="AN202" i="19" s="1"/>
  <c r="AV288" i="19"/>
  <c r="AN288" i="19" s="1"/>
  <c r="AV203" i="19"/>
  <c r="AN203" i="19" s="1"/>
  <c r="AV394" i="19"/>
  <c r="AN394" i="19" s="1"/>
  <c r="AV360" i="19"/>
  <c r="AN360" i="19" s="1"/>
  <c r="AV396" i="19"/>
  <c r="AN396" i="19" s="1"/>
  <c r="AV206" i="19"/>
  <c r="AN206" i="19" s="1"/>
  <c r="AV32" i="19"/>
  <c r="AN32" i="19" s="1"/>
  <c r="AV195" i="19"/>
  <c r="AN195" i="19" s="1"/>
  <c r="AV281" i="19"/>
  <c r="AN281" i="19" s="1"/>
  <c r="AV201" i="19"/>
  <c r="AN201" i="19" s="1"/>
  <c r="AV30" i="19"/>
  <c r="AN30" i="19" s="1"/>
  <c r="AV31" i="19"/>
  <c r="AN31" i="19" s="1"/>
  <c r="AV199" i="19"/>
  <c r="AN199" i="19" s="1"/>
  <c r="AV119" i="19"/>
  <c r="AN119" i="19" s="1"/>
  <c r="AV26" i="19"/>
  <c r="AN26" i="19" s="1"/>
  <c r="AV280" i="19"/>
  <c r="AN280" i="19" s="1"/>
  <c r="AV25" i="19"/>
  <c r="AN25" i="19" s="1"/>
  <c r="AV22" i="19"/>
  <c r="AN22" i="19" s="1"/>
  <c r="AV273" i="19"/>
  <c r="AN273" i="19" s="1"/>
  <c r="C38" i="55"/>
  <c r="AV20" i="19"/>
  <c r="AN20" i="19" s="1"/>
  <c r="AV18" i="19"/>
  <c r="AN18" i="19" s="1"/>
  <c r="J64" i="56"/>
  <c r="I27" i="75" s="1"/>
  <c r="AV5" i="19"/>
  <c r="AN5" i="19" s="1"/>
  <c r="AV112" i="19"/>
  <c r="AN112" i="19" s="1"/>
  <c r="AV14" i="19"/>
  <c r="AN14" i="19" s="1"/>
  <c r="AV389" i="19"/>
  <c r="AN389" i="19" s="1"/>
  <c r="AV269" i="19"/>
  <c r="AN269" i="19" s="1"/>
  <c r="AV270" i="19"/>
  <c r="AN270" i="19" s="1"/>
  <c r="W64" i="56"/>
  <c r="P27" i="75" s="1"/>
  <c r="S64" i="56"/>
  <c r="K64" i="56"/>
  <c r="AJ64" i="56" s="1"/>
  <c r="R64" i="56"/>
  <c r="Q64" i="56"/>
  <c r="P64" i="56"/>
  <c r="AV186" i="19"/>
  <c r="AN186" i="19" s="1"/>
  <c r="C8" i="55"/>
  <c r="P105" i="56"/>
  <c r="Q105" i="56"/>
  <c r="R105" i="56"/>
  <c r="S105" i="56"/>
  <c r="J105" i="56"/>
  <c r="I192" i="75" s="1"/>
  <c r="K105" i="56"/>
  <c r="AJ105" i="56" s="1"/>
  <c r="W105" i="56"/>
  <c r="AV190" i="19"/>
  <c r="AN190" i="19" s="1"/>
  <c r="AV3" i="19"/>
  <c r="AN3" i="19" s="1"/>
  <c r="AV188" i="19"/>
  <c r="AN188" i="19" s="1"/>
  <c r="AV183" i="19"/>
  <c r="AN183" i="19" s="1"/>
  <c r="AV268" i="19"/>
  <c r="AN268" i="19" s="1"/>
  <c r="AV193" i="19"/>
  <c r="AN193" i="19" s="1"/>
  <c r="AV189" i="19"/>
  <c r="AN189" i="19" s="1"/>
  <c r="C5" i="55"/>
  <c r="P61" i="56"/>
  <c r="R61" i="56"/>
  <c r="C16" i="55"/>
  <c r="Q61" i="56"/>
  <c r="W61" i="56"/>
  <c r="K61" i="56"/>
  <c r="AJ61" i="56" s="1"/>
  <c r="J61" i="56"/>
  <c r="I17" i="75" s="1"/>
  <c r="AV12" i="19"/>
  <c r="AN12" i="19" s="1"/>
  <c r="AV184" i="19"/>
  <c r="AN184" i="19" s="1"/>
  <c r="Q74" i="56"/>
  <c r="J73" i="56"/>
  <c r="I62" i="75" s="1"/>
  <c r="W73" i="56"/>
  <c r="P62" i="75" s="1"/>
  <c r="S73" i="56"/>
  <c r="Q73" i="56"/>
  <c r="P73" i="56"/>
  <c r="K73" i="56"/>
  <c r="AJ73" i="56" s="1"/>
  <c r="R73" i="56"/>
  <c r="C31" i="55"/>
  <c r="K88" i="56"/>
  <c r="AJ88" i="56" s="1"/>
  <c r="R63" i="56"/>
  <c r="W63" i="56"/>
  <c r="P22" i="75" s="1"/>
  <c r="K63" i="56"/>
  <c r="AJ63" i="56" s="1"/>
  <c r="S63" i="56"/>
  <c r="C7" i="55"/>
  <c r="G7" i="55" s="1"/>
  <c r="J63" i="56"/>
  <c r="I22" i="75" s="1"/>
  <c r="Q63" i="56"/>
  <c r="W95" i="56"/>
  <c r="J95" i="56"/>
  <c r="I152" i="75" s="1"/>
  <c r="S95" i="56"/>
  <c r="R95" i="56"/>
  <c r="Q95" i="56"/>
  <c r="P95" i="56"/>
  <c r="AV8" i="19"/>
  <c r="AN8" i="19" s="1"/>
  <c r="K74" i="56"/>
  <c r="AJ74" i="56" s="1"/>
  <c r="C17" i="55"/>
  <c r="J74" i="56"/>
  <c r="I67" i="75" s="1"/>
  <c r="S75" i="56"/>
  <c r="S74" i="56"/>
  <c r="R74" i="56"/>
  <c r="W74" i="56"/>
  <c r="W88" i="56"/>
  <c r="P122" i="75" s="1"/>
  <c r="S88" i="56"/>
  <c r="J88" i="56"/>
  <c r="I122" i="75" s="1"/>
  <c r="Q88" i="56"/>
  <c r="P88" i="56"/>
  <c r="R88" i="56"/>
  <c r="J82" i="56"/>
  <c r="Q59" i="56"/>
  <c r="J59" i="56"/>
  <c r="I7" i="75" s="1"/>
  <c r="K94" i="56"/>
  <c r="AJ94" i="56" s="1"/>
  <c r="R59" i="56"/>
  <c r="P59" i="56"/>
  <c r="C3" i="55"/>
  <c r="W59" i="56"/>
  <c r="K59" i="56"/>
  <c r="AJ59" i="56" s="1"/>
  <c r="Q75" i="56"/>
  <c r="P75" i="56"/>
  <c r="J94" i="56"/>
  <c r="I147" i="75" s="1"/>
  <c r="S94" i="56"/>
  <c r="W75" i="56"/>
  <c r="P94" i="56"/>
  <c r="K75" i="56"/>
  <c r="AJ75" i="56" s="1"/>
  <c r="W94" i="56"/>
  <c r="R75" i="56"/>
  <c r="C18" i="55"/>
  <c r="Q94" i="56"/>
  <c r="C37" i="55"/>
  <c r="S82" i="56"/>
  <c r="C25" i="55"/>
  <c r="W82" i="56"/>
  <c r="Q82" i="56"/>
  <c r="P82" i="56"/>
  <c r="R82" i="56"/>
  <c r="K82" i="56"/>
  <c r="AJ82" i="56" s="1"/>
  <c r="C4" i="55"/>
  <c r="A28" i="65"/>
  <c r="H28" i="65" s="1"/>
  <c r="C6" i="55"/>
  <c r="K62" i="56"/>
  <c r="AJ62" i="56" s="1"/>
  <c r="W62" i="56"/>
  <c r="J62" i="56"/>
  <c r="S62" i="56"/>
  <c r="R62" i="56"/>
  <c r="Q62" i="56"/>
  <c r="P62" i="56"/>
  <c r="P86" i="56"/>
  <c r="W86" i="56"/>
  <c r="P117" i="75" s="1"/>
  <c r="C29" i="55"/>
  <c r="W79" i="56"/>
  <c r="K79" i="56"/>
  <c r="AJ79" i="56" s="1"/>
  <c r="J68" i="56"/>
  <c r="I42" i="75" s="1"/>
  <c r="S77" i="56"/>
  <c r="K77" i="56"/>
  <c r="AJ77" i="56" s="1"/>
  <c r="C20" i="55"/>
  <c r="W77" i="56"/>
  <c r="R77" i="56"/>
  <c r="K81" i="56"/>
  <c r="AJ81" i="56" s="1"/>
  <c r="Q77" i="56"/>
  <c r="R81" i="56"/>
  <c r="P77" i="56"/>
  <c r="P81" i="56"/>
  <c r="J77" i="56"/>
  <c r="J60" i="56"/>
  <c r="I12" i="75" s="1"/>
  <c r="W92" i="56"/>
  <c r="K92" i="56"/>
  <c r="AJ92" i="56" s="1"/>
  <c r="W60" i="56"/>
  <c r="S92" i="56"/>
  <c r="S60" i="56"/>
  <c r="R92" i="56"/>
  <c r="Q92" i="56"/>
  <c r="Q60" i="56"/>
  <c r="Q66" i="56"/>
  <c r="J92" i="56"/>
  <c r="P60" i="56"/>
  <c r="P92" i="56"/>
  <c r="C35" i="55"/>
  <c r="K60" i="56"/>
  <c r="AJ60" i="56" s="1"/>
  <c r="Q81" i="56"/>
  <c r="C24" i="55"/>
  <c r="J81" i="56"/>
  <c r="I97" i="75" s="1"/>
  <c r="S83" i="56"/>
  <c r="P84" i="56"/>
  <c r="R83" i="56"/>
  <c r="P83" i="56"/>
  <c r="W81" i="56"/>
  <c r="P97" i="75" s="1"/>
  <c r="R91" i="56"/>
  <c r="J84" i="56"/>
  <c r="I107" i="75" s="1"/>
  <c r="P91" i="56"/>
  <c r="C26" i="55"/>
  <c r="Q83" i="56"/>
  <c r="P66" i="56"/>
  <c r="C10" i="55"/>
  <c r="J79" i="56"/>
  <c r="I87" i="75" s="1"/>
  <c r="W68" i="56"/>
  <c r="S79" i="56"/>
  <c r="W66" i="56"/>
  <c r="P37" i="75" s="1"/>
  <c r="S68" i="56"/>
  <c r="W84" i="56"/>
  <c r="K91" i="56"/>
  <c r="AJ91" i="56" s="1"/>
  <c r="C34" i="55"/>
  <c r="K68" i="56"/>
  <c r="AJ68" i="56" s="1"/>
  <c r="C27" i="55"/>
  <c r="R66" i="56"/>
  <c r="W91" i="56"/>
  <c r="P79" i="56"/>
  <c r="K83" i="56"/>
  <c r="AJ83" i="56" s="1"/>
  <c r="K66" i="56"/>
  <c r="AJ66" i="56" s="1"/>
  <c r="R68" i="56"/>
  <c r="K84" i="56"/>
  <c r="AJ84" i="56" s="1"/>
  <c r="J91" i="56"/>
  <c r="I137" i="75" s="1"/>
  <c r="Q79" i="56"/>
  <c r="Q68" i="56"/>
  <c r="S84" i="56"/>
  <c r="S91" i="56"/>
  <c r="C22" i="55"/>
  <c r="C12" i="55"/>
  <c r="R79" i="56"/>
  <c r="W83" i="56"/>
  <c r="J66" i="56"/>
  <c r="I37" i="75" s="1"/>
  <c r="P68" i="56"/>
  <c r="R84" i="56"/>
  <c r="S98" i="56"/>
  <c r="Q86" i="56"/>
  <c r="K86" i="56"/>
  <c r="AJ86" i="56" s="1"/>
  <c r="J86" i="56"/>
  <c r="I117" i="75" s="1"/>
  <c r="S86" i="56"/>
  <c r="AV487" i="19"/>
  <c r="AN487" i="19" s="1"/>
  <c r="AV630" i="19"/>
  <c r="AN630" i="19" s="1"/>
  <c r="AV168" i="19"/>
  <c r="AN168" i="19" s="1"/>
  <c r="AV7" i="19"/>
  <c r="AN7" i="19" s="1"/>
  <c r="AV395" i="19"/>
  <c r="AN395" i="19" s="1"/>
  <c r="AV196" i="19"/>
  <c r="AN196" i="19" s="1"/>
  <c r="AV449" i="19"/>
  <c r="AN449" i="19" s="1"/>
  <c r="AV441" i="19"/>
  <c r="AN441" i="19" s="1"/>
  <c r="AV162" i="19"/>
  <c r="AN162" i="19" s="1"/>
  <c r="AV494" i="19"/>
  <c r="AN494" i="19" s="1"/>
  <c r="AV305" i="19"/>
  <c r="AN305" i="19" s="1"/>
  <c r="AV357" i="19"/>
  <c r="AN357" i="19" s="1"/>
  <c r="AV114" i="19"/>
  <c r="AN114" i="19" s="1"/>
  <c r="AV138" i="19"/>
  <c r="AN138" i="19" s="1"/>
  <c r="AV410" i="19"/>
  <c r="AN410" i="19" s="1"/>
  <c r="AV297" i="19"/>
  <c r="AN297" i="19" s="1"/>
  <c r="AV54" i="19"/>
  <c r="AN54" i="19" s="1"/>
  <c r="AV258" i="19"/>
  <c r="AN258" i="19" s="1"/>
  <c r="AV565" i="19"/>
  <c r="AN565" i="19" s="1"/>
  <c r="AV194" i="19"/>
  <c r="AN194" i="19" s="1"/>
  <c r="AV644" i="19"/>
  <c r="AN644" i="19" s="1"/>
  <c r="AV557" i="19"/>
  <c r="AN557" i="19" s="1"/>
  <c r="AV121" i="19"/>
  <c r="AN121" i="19" s="1"/>
  <c r="AV625" i="19"/>
  <c r="AN625" i="19" s="1"/>
  <c r="P103" i="56"/>
  <c r="K103" i="56"/>
  <c r="AJ103" i="56" s="1"/>
  <c r="Q103" i="56"/>
  <c r="J103" i="56"/>
  <c r="I182" i="75" s="1"/>
  <c r="R103" i="56"/>
  <c r="W103" i="56"/>
  <c r="S103" i="56"/>
  <c r="C49" i="55"/>
  <c r="AV691" i="19"/>
  <c r="AN691" i="19" s="1"/>
  <c r="AV651" i="19"/>
  <c r="AN651" i="19" s="1"/>
  <c r="AV277" i="19"/>
  <c r="AN277" i="19" s="1"/>
  <c r="AV667" i="19"/>
  <c r="AN667" i="19" s="1"/>
  <c r="AV109" i="19"/>
  <c r="AN109" i="19" s="1"/>
  <c r="AV284" i="19"/>
  <c r="AN284" i="19" s="1"/>
  <c r="AV37" i="19"/>
  <c r="AN37" i="19" s="1"/>
  <c r="AV403" i="19"/>
  <c r="AN403" i="19" s="1"/>
  <c r="P102" i="56"/>
  <c r="W102" i="56"/>
  <c r="R102" i="56"/>
  <c r="S102" i="56"/>
  <c r="J102" i="56"/>
  <c r="C45" i="55"/>
  <c r="K102" i="56"/>
  <c r="AJ102" i="56" s="1"/>
  <c r="Q102" i="56"/>
  <c r="AV370" i="19"/>
  <c r="AN370" i="19" s="1"/>
  <c r="AV511" i="19"/>
  <c r="AN511" i="19" s="1"/>
  <c r="AV13" i="19"/>
  <c r="AN13" i="19" s="1"/>
  <c r="AV271" i="19"/>
  <c r="AN271" i="19" s="1"/>
  <c r="Q69" i="56"/>
  <c r="AV759" i="19"/>
  <c r="AN759" i="19" s="1"/>
  <c r="W69" i="56"/>
  <c r="J65" i="56"/>
  <c r="I32" i="75" s="1"/>
  <c r="C9" i="55"/>
  <c r="J98" i="56"/>
  <c r="I162" i="75" s="1"/>
  <c r="R98" i="56"/>
  <c r="S65" i="56"/>
  <c r="AV554" i="19"/>
  <c r="AN554" i="19" s="1"/>
  <c r="Q98" i="56"/>
  <c r="R65" i="56"/>
  <c r="AV658" i="19"/>
  <c r="AN658" i="19" s="1"/>
  <c r="W98" i="56"/>
  <c r="Q65" i="56"/>
  <c r="C41" i="55"/>
  <c r="AV526" i="19"/>
  <c r="AN526" i="19" s="1"/>
  <c r="P98" i="56"/>
  <c r="W65" i="56"/>
  <c r="AV704" i="19"/>
  <c r="AN704" i="19" s="1"/>
  <c r="K98" i="56"/>
  <c r="AJ98" i="56" s="1"/>
  <c r="P65" i="56"/>
  <c r="K65" i="56"/>
  <c r="AJ65" i="56" s="1"/>
  <c r="AV67" i="19"/>
  <c r="AN67" i="19" s="1"/>
  <c r="AV147" i="19"/>
  <c r="AN147" i="19" s="1"/>
  <c r="AV76" i="19"/>
  <c r="AN76" i="19" s="1"/>
  <c r="AV222" i="19"/>
  <c r="AN222" i="19" s="1"/>
  <c r="AV254" i="19"/>
  <c r="AN254" i="19" s="1"/>
  <c r="AV663" i="19"/>
  <c r="AN663" i="19" s="1"/>
  <c r="AV110" i="19"/>
  <c r="AN110" i="19" s="1"/>
  <c r="AV689" i="19"/>
  <c r="AN689" i="19" s="1"/>
  <c r="AV86" i="19"/>
  <c r="AN86" i="19" s="1"/>
  <c r="AV641" i="19"/>
  <c r="AN641" i="19" s="1"/>
  <c r="AV38" i="19"/>
  <c r="AN38" i="19" s="1"/>
  <c r="AV353" i="19"/>
  <c r="AN353" i="19" s="1"/>
  <c r="AV467" i="19"/>
  <c r="AN467" i="19" s="1"/>
  <c r="P69" i="56"/>
  <c r="R69" i="56"/>
  <c r="K69" i="56"/>
  <c r="AJ69" i="56" s="1"/>
  <c r="J69" i="56"/>
  <c r="I47" i="75" s="1"/>
  <c r="C13" i="55"/>
  <c r="AV417" i="19"/>
  <c r="AN417" i="19" s="1"/>
  <c r="AV553" i="19"/>
  <c r="AN553" i="19" s="1"/>
  <c r="AV285" i="19"/>
  <c r="AN285" i="19" s="1"/>
  <c r="AV659" i="19"/>
  <c r="AN659" i="19" s="1"/>
  <c r="AV701" i="19"/>
  <c r="AN701" i="19" s="1"/>
  <c r="AV527" i="19"/>
  <c r="AN527" i="19" s="1"/>
  <c r="AV497" i="19"/>
  <c r="AN497" i="19" s="1"/>
  <c r="AV263" i="19"/>
  <c r="AN263" i="19" s="1"/>
  <c r="AV125" i="19"/>
  <c r="AN125" i="19" s="1"/>
  <c r="AV179" i="19"/>
  <c r="AN179" i="19" s="1"/>
  <c r="AV70" i="19"/>
  <c r="AN70" i="19" s="1"/>
  <c r="AV58" i="19"/>
  <c r="AN58" i="19" s="1"/>
  <c r="R54" i="56"/>
  <c r="I44" i="55"/>
  <c r="O44" i="55" s="1"/>
  <c r="U44" i="55" s="1"/>
  <c r="H44" i="55"/>
  <c r="N44" i="55" s="1"/>
  <c r="T44" i="55" s="1"/>
  <c r="G44" i="55"/>
  <c r="M44" i="55" s="1"/>
  <c r="S44" i="55" s="1"/>
  <c r="F44" i="55"/>
  <c r="L44" i="55" s="1"/>
  <c r="R44" i="55" s="1"/>
  <c r="E44" i="55"/>
  <c r="K44" i="55" s="1"/>
  <c r="Q44" i="55" s="1"/>
  <c r="O54" i="56"/>
  <c r="K54" i="56"/>
  <c r="I54" i="56"/>
  <c r="M54" i="56"/>
  <c r="J44" i="55"/>
  <c r="P44" i="55" s="1"/>
  <c r="Y11" i="55"/>
  <c r="X11" i="55"/>
  <c r="T54" i="56"/>
  <c r="P54" i="56"/>
  <c r="J54" i="56"/>
  <c r="S54" i="56"/>
  <c r="N54" i="56"/>
  <c r="L54" i="56"/>
  <c r="Q54" i="56"/>
  <c r="N36" i="3"/>
  <c r="A591" i="19"/>
  <c r="A579" i="19"/>
  <c r="A567" i="19"/>
  <c r="A555" i="19"/>
  <c r="A543" i="19"/>
  <c r="A531" i="19"/>
  <c r="A519" i="19"/>
  <c r="A507" i="19"/>
  <c r="A495" i="19"/>
  <c r="A225" i="19"/>
  <c r="A141" i="19"/>
  <c r="A57" i="19"/>
  <c r="A213" i="19"/>
  <c r="A129" i="19"/>
  <c r="A177" i="19"/>
  <c r="A105" i="19"/>
  <c r="A201" i="19"/>
  <c r="A165" i="19"/>
  <c r="A117" i="19"/>
  <c r="A81" i="19"/>
  <c r="A45" i="19"/>
  <c r="A465" i="19"/>
  <c r="A285" i="19"/>
  <c r="A237" i="19"/>
  <c r="A189" i="19"/>
  <c r="A153" i="19"/>
  <c r="A93" i="19"/>
  <c r="A69" i="19"/>
  <c r="A33" i="19"/>
  <c r="A309" i="19"/>
  <c r="A597" i="19"/>
  <c r="A585" i="19"/>
  <c r="A573" i="19"/>
  <c r="A561" i="19"/>
  <c r="A549" i="19"/>
  <c r="A537" i="19"/>
  <c r="A525" i="19"/>
  <c r="A513" i="19"/>
  <c r="A501" i="19"/>
  <c r="A489" i="19"/>
  <c r="A243" i="19"/>
  <c r="A231" i="19"/>
  <c r="A219" i="19"/>
  <c r="A207" i="19"/>
  <c r="A195" i="19"/>
  <c r="A183" i="19"/>
  <c r="A171" i="19"/>
  <c r="A159" i="19"/>
  <c r="A147" i="19"/>
  <c r="A135" i="19"/>
  <c r="A123" i="19"/>
  <c r="A111" i="19"/>
  <c r="A87" i="19"/>
  <c r="A75" i="19"/>
  <c r="A63" i="19"/>
  <c r="A51" i="19"/>
  <c r="A39" i="19"/>
  <c r="A27" i="19"/>
  <c r="A483" i="19"/>
  <c r="A459" i="19"/>
  <c r="A411" i="19"/>
  <c r="A315" i="19"/>
  <c r="A99" i="19"/>
  <c r="A261" i="19"/>
  <c r="A477" i="19"/>
  <c r="A441" i="19"/>
  <c r="A429" i="19"/>
  <c r="A417" i="19"/>
  <c r="A405" i="19"/>
  <c r="A369" i="19"/>
  <c r="A357" i="19"/>
  <c r="A345" i="19"/>
  <c r="A333" i="19"/>
  <c r="A297" i="19"/>
  <c r="A249" i="19"/>
  <c r="A453" i="19"/>
  <c r="A267" i="19"/>
  <c r="A255" i="19"/>
  <c r="A471" i="19"/>
  <c r="A447" i="19"/>
  <c r="A435" i="19"/>
  <c r="A423" i="19"/>
  <c r="A399" i="19"/>
  <c r="A375" i="19"/>
  <c r="A363" i="19"/>
  <c r="A351" i="19"/>
  <c r="A339" i="19"/>
  <c r="A327" i="19"/>
  <c r="A303" i="19"/>
  <c r="A291" i="19"/>
  <c r="A279" i="19"/>
  <c r="A393" i="19"/>
  <c r="A387" i="19"/>
  <c r="A381" i="19"/>
  <c r="A321" i="19"/>
  <c r="A273" i="19"/>
  <c r="P137" i="75" l="1"/>
  <c r="P42" i="75"/>
  <c r="J197" i="75"/>
  <c r="J67" i="75"/>
  <c r="J22" i="75"/>
  <c r="J162" i="75"/>
  <c r="J142" i="75"/>
  <c r="J97" i="75"/>
  <c r="J182" i="75"/>
  <c r="J12" i="75"/>
  <c r="J52" i="75"/>
  <c r="J122" i="75"/>
  <c r="J17" i="75"/>
  <c r="J87" i="75"/>
  <c r="J117" i="75"/>
  <c r="J7" i="75"/>
  <c r="J57" i="75"/>
  <c r="J137" i="75"/>
  <c r="J107" i="75"/>
  <c r="J62" i="75"/>
  <c r="J27" i="75"/>
  <c r="J127" i="75"/>
  <c r="J187" i="75"/>
  <c r="J32" i="75"/>
  <c r="J47" i="75"/>
  <c r="J192" i="75"/>
  <c r="J77" i="75"/>
  <c r="J37" i="75"/>
  <c r="J72" i="75"/>
  <c r="J147" i="75"/>
  <c r="J112" i="75"/>
  <c r="J42" i="75"/>
  <c r="J102" i="75"/>
  <c r="P107" i="75"/>
  <c r="P32" i="75"/>
  <c r="P167" i="75"/>
  <c r="P47" i="75"/>
  <c r="P87" i="75"/>
  <c r="P67" i="75"/>
  <c r="P192" i="75"/>
  <c r="P182" i="75"/>
  <c r="P147" i="75"/>
  <c r="P152" i="75"/>
  <c r="P177" i="75"/>
  <c r="P142" i="75"/>
  <c r="P162" i="75"/>
  <c r="P102" i="75"/>
  <c r="P77" i="75"/>
  <c r="P72" i="75"/>
  <c r="P187" i="75"/>
  <c r="P197" i="75"/>
  <c r="P52" i="75"/>
  <c r="P12" i="75"/>
  <c r="P127" i="75"/>
  <c r="P112" i="75"/>
  <c r="P7" i="75"/>
  <c r="P57" i="75"/>
  <c r="P17" i="75"/>
  <c r="P157" i="75"/>
  <c r="V50" i="55"/>
  <c r="W50" i="55" s="1"/>
  <c r="O50" i="55"/>
  <c r="U50" i="55"/>
  <c r="N50" i="55"/>
  <c r="T50" i="55" s="1"/>
  <c r="S50" i="55"/>
  <c r="M50" i="55"/>
  <c r="L50" i="55"/>
  <c r="R50" i="55" s="1"/>
  <c r="K50" i="55"/>
  <c r="Q50" i="55" s="1"/>
  <c r="P50" i="55"/>
  <c r="J50" i="55"/>
  <c r="E21" i="55"/>
  <c r="K21" i="55" s="1"/>
  <c r="Q21" i="55" s="1"/>
  <c r="F21" i="55"/>
  <c r="L21" i="55" s="1"/>
  <c r="R21" i="55" s="1"/>
  <c r="D21" i="55"/>
  <c r="J21" i="55" s="1"/>
  <c r="H21" i="55"/>
  <c r="N21" i="55" s="1"/>
  <c r="T21" i="55" s="1"/>
  <c r="I21" i="55"/>
  <c r="O21" i="55" s="1"/>
  <c r="U21" i="55" s="1"/>
  <c r="B33" i="65"/>
  <c r="C31" i="65" a="1"/>
  <c r="C31" i="65" s="1"/>
  <c r="B32" i="65"/>
  <c r="C30" i="65" a="1"/>
  <c r="C30" i="65" s="1"/>
  <c r="A30" i="65"/>
  <c r="I46" i="55"/>
  <c r="O46" i="55" s="1"/>
  <c r="H46" i="55"/>
  <c r="N46" i="55" s="1"/>
  <c r="G46" i="55"/>
  <c r="M46" i="55" s="1"/>
  <c r="F46" i="55"/>
  <c r="E46" i="55"/>
  <c r="F72" i="53"/>
  <c r="F51" i="53"/>
  <c r="F48" i="53"/>
  <c r="F64" i="53"/>
  <c r="F56" i="53"/>
  <c r="F44" i="53"/>
  <c r="F66" i="53"/>
  <c r="F46" i="53"/>
  <c r="F57" i="53"/>
  <c r="F61" i="53"/>
  <c r="F49" i="53"/>
  <c r="F70" i="53"/>
  <c r="F41" i="53"/>
  <c r="F60" i="53"/>
  <c r="F36" i="53"/>
  <c r="F75" i="53"/>
  <c r="F39" i="53"/>
  <c r="F71" i="53"/>
  <c r="F53" i="53"/>
  <c r="F74" i="53"/>
  <c r="F42" i="53"/>
  <c r="F40" i="53"/>
  <c r="F43" i="53"/>
  <c r="F52" i="53"/>
  <c r="F69" i="53"/>
  <c r="F67" i="53"/>
  <c r="F76" i="53"/>
  <c r="F38" i="53"/>
  <c r="F47" i="53"/>
  <c r="F37" i="53"/>
  <c r="F55" i="53"/>
  <c r="F62" i="53"/>
  <c r="F65" i="53"/>
  <c r="F54" i="53"/>
  <c r="F77" i="53"/>
  <c r="F58" i="53"/>
  <c r="F45" i="53"/>
  <c r="F73" i="53"/>
  <c r="F50" i="53"/>
  <c r="F63" i="53"/>
  <c r="F59" i="53"/>
  <c r="F68" i="53"/>
  <c r="F78" i="53"/>
  <c r="J7" i="49"/>
  <c r="I7" i="49"/>
  <c r="H7" i="49"/>
  <c r="G14" i="55"/>
  <c r="M14" i="55" s="1"/>
  <c r="S14" i="55" s="1"/>
  <c r="H14" i="55"/>
  <c r="N14" i="55" s="1"/>
  <c r="T14" i="55" s="1"/>
  <c r="E14" i="55"/>
  <c r="K14" i="55" s="1"/>
  <c r="Q14" i="55" s="1"/>
  <c r="D14" i="55"/>
  <c r="J14" i="55" s="1"/>
  <c r="I14" i="55"/>
  <c r="D48" i="55"/>
  <c r="P48" i="55" s="1"/>
  <c r="I48" i="55"/>
  <c r="O48" i="55" s="1"/>
  <c r="U48" i="55" s="1"/>
  <c r="G48" i="55"/>
  <c r="M48" i="55" s="1"/>
  <c r="S48" i="55" s="1"/>
  <c r="E48" i="55"/>
  <c r="K48" i="55" s="1"/>
  <c r="Q48" i="55" s="1"/>
  <c r="J46" i="55"/>
  <c r="P46" i="55" s="1"/>
  <c r="H48" i="55"/>
  <c r="D47" i="55"/>
  <c r="E47" i="55"/>
  <c r="F47" i="55"/>
  <c r="G47" i="55"/>
  <c r="H47" i="55"/>
  <c r="I47" i="55"/>
  <c r="L48" i="55"/>
  <c r="R48" i="55" s="1"/>
  <c r="I7" i="55"/>
  <c r="U7" i="55" s="1"/>
  <c r="F7" i="55"/>
  <c r="L7" i="55" s="1"/>
  <c r="E7" i="55"/>
  <c r="K7" i="55" s="1"/>
  <c r="H7" i="55"/>
  <c r="N7" i="55" s="1"/>
  <c r="T7" i="55" s="1"/>
  <c r="D7" i="55"/>
  <c r="J7" i="55" s="1"/>
  <c r="D49" i="55"/>
  <c r="J49" i="55" s="1"/>
  <c r="P49" i="55" s="1"/>
  <c r="E49" i="55"/>
  <c r="K49" i="55" s="1"/>
  <c r="Q49" i="55" s="1"/>
  <c r="F49" i="55"/>
  <c r="L49" i="55" s="1"/>
  <c r="R49" i="55" s="1"/>
  <c r="G49" i="55"/>
  <c r="M49" i="55" s="1"/>
  <c r="S49" i="55" s="1"/>
  <c r="H49" i="55"/>
  <c r="N49" i="55" s="1"/>
  <c r="T49" i="55" s="1"/>
  <c r="I49" i="55"/>
  <c r="O49" i="55" s="1"/>
  <c r="U49" i="55" s="1"/>
  <c r="G45" i="55"/>
  <c r="H45" i="55"/>
  <c r="N45" i="55" s="1"/>
  <c r="T45" i="55" s="1"/>
  <c r="I45" i="55"/>
  <c r="O45" i="55" s="1"/>
  <c r="U45" i="55" s="1"/>
  <c r="D45" i="55"/>
  <c r="J45" i="55" s="1"/>
  <c r="P45" i="55" s="1"/>
  <c r="E45" i="55"/>
  <c r="F45" i="55"/>
  <c r="L45" i="55" s="1"/>
  <c r="R45" i="55" s="1"/>
  <c r="V44" i="55"/>
  <c r="W44" i="55" s="1"/>
  <c r="Y44" i="55"/>
  <c r="M7" i="55"/>
  <c r="S7" i="55" s="1"/>
  <c r="M21" i="55"/>
  <c r="S21" i="55" s="1"/>
  <c r="L14" i="55"/>
  <c r="R14" i="55" s="1"/>
  <c r="G31" i="55"/>
  <c r="E51" i="55"/>
  <c r="G51" i="55"/>
  <c r="H51" i="55"/>
  <c r="F51" i="55"/>
  <c r="I51" i="55"/>
  <c r="D51" i="55"/>
  <c r="J51" i="55" s="1"/>
  <c r="H36" i="55"/>
  <c r="I37" i="55"/>
  <c r="E27" i="55"/>
  <c r="H27" i="55"/>
  <c r="F27" i="55"/>
  <c r="D27" i="55"/>
  <c r="J27" i="55" s="1"/>
  <c r="I27" i="55"/>
  <c r="G27" i="55"/>
  <c r="I16" i="55"/>
  <c r="G16" i="55"/>
  <c r="E16" i="55"/>
  <c r="H16" i="55"/>
  <c r="D16" i="55"/>
  <c r="J16" i="55" s="1"/>
  <c r="F16" i="55"/>
  <c r="D18" i="55"/>
  <c r="J18" i="55" s="1"/>
  <c r="I18" i="55"/>
  <c r="G18" i="55"/>
  <c r="E18" i="55"/>
  <c r="H18" i="55"/>
  <c r="F18" i="55"/>
  <c r="H31" i="55"/>
  <c r="E28" i="55"/>
  <c r="F28" i="55"/>
  <c r="D28" i="55"/>
  <c r="J28" i="55" s="1"/>
  <c r="I28" i="55"/>
  <c r="G28" i="55"/>
  <c r="H28" i="55"/>
  <c r="E4" i="55"/>
  <c r="F4" i="55"/>
  <c r="I4" i="55"/>
  <c r="G4" i="55"/>
  <c r="D4" i="55"/>
  <c r="J4" i="55" s="1"/>
  <c r="H4" i="55"/>
  <c r="F5" i="55"/>
  <c r="E5" i="55"/>
  <c r="H5" i="55"/>
  <c r="G5" i="55"/>
  <c r="I5" i="55"/>
  <c r="D5" i="55"/>
  <c r="J5" i="55" s="1"/>
  <c r="F29" i="55"/>
  <c r="E29" i="55"/>
  <c r="H29" i="55"/>
  <c r="D29" i="55"/>
  <c r="J29" i="55" s="1"/>
  <c r="G29" i="55"/>
  <c r="I29" i="55"/>
  <c r="G12" i="55"/>
  <c r="H12" i="55"/>
  <c r="E12" i="55"/>
  <c r="F12" i="55"/>
  <c r="D12" i="55"/>
  <c r="J12" i="55" s="1"/>
  <c r="I12" i="55"/>
  <c r="E23" i="55"/>
  <c r="F23" i="55"/>
  <c r="I23" i="55"/>
  <c r="D23" i="55"/>
  <c r="J23" i="55" s="1"/>
  <c r="G23" i="55"/>
  <c r="H23" i="55"/>
  <c r="F17" i="55"/>
  <c r="I17" i="55"/>
  <c r="D17" i="55"/>
  <c r="J17" i="55" s="1"/>
  <c r="E17" i="55"/>
  <c r="H17" i="55"/>
  <c r="G17" i="55"/>
  <c r="E39" i="55"/>
  <c r="F39" i="55"/>
  <c r="I39" i="55"/>
  <c r="G39" i="55"/>
  <c r="H39" i="55"/>
  <c r="D39" i="55"/>
  <c r="J39" i="55" s="1"/>
  <c r="I2" i="55"/>
  <c r="O2" i="55" s="1"/>
  <c r="E2" i="55"/>
  <c r="K2" i="55" s="1"/>
  <c r="D2" i="55"/>
  <c r="J2" i="55" s="1"/>
  <c r="G2" i="55"/>
  <c r="M2" i="55" s="1"/>
  <c r="F2" i="55"/>
  <c r="L2" i="55" s="1"/>
  <c r="H2" i="55"/>
  <c r="N2" i="55" s="1"/>
  <c r="E32" i="55"/>
  <c r="D32" i="55"/>
  <c r="J32" i="55" s="1"/>
  <c r="H32" i="55"/>
  <c r="F32" i="55"/>
  <c r="I32" i="55"/>
  <c r="G32" i="55"/>
  <c r="D35" i="55"/>
  <c r="J35" i="55" s="1"/>
  <c r="G35" i="55"/>
  <c r="E35" i="55"/>
  <c r="H35" i="55"/>
  <c r="I35" i="55"/>
  <c r="F35" i="55"/>
  <c r="D30" i="55"/>
  <c r="J30" i="55" s="1"/>
  <c r="H30" i="55"/>
  <c r="F30" i="55"/>
  <c r="I30" i="55"/>
  <c r="G30" i="55"/>
  <c r="E30" i="55"/>
  <c r="E20" i="55"/>
  <c r="F20" i="55"/>
  <c r="I20" i="55"/>
  <c r="D20" i="55"/>
  <c r="J20" i="55" s="1"/>
  <c r="G20" i="55"/>
  <c r="H20" i="55"/>
  <c r="E22" i="55"/>
  <c r="I22" i="55"/>
  <c r="G22" i="55"/>
  <c r="D22" i="55"/>
  <c r="J22" i="55" s="1"/>
  <c r="F22" i="55"/>
  <c r="H22" i="55"/>
  <c r="F34" i="55"/>
  <c r="Y50" i="55" l="1"/>
  <c r="X50" i="55" s="1"/>
  <c r="P21" i="55"/>
  <c r="Y21" i="55" s="1"/>
  <c r="V21" i="55"/>
  <c r="W21" i="55" s="1"/>
  <c r="C32" i="65" a="1"/>
  <c r="C32" i="65" s="1"/>
  <c r="B34" i="65"/>
  <c r="A32" i="65"/>
  <c r="B35" i="65"/>
  <c r="C33" i="65" a="1"/>
  <c r="C33" i="65" s="1"/>
  <c r="L46" i="55"/>
  <c r="R46" i="55" s="1"/>
  <c r="T46" i="55"/>
  <c r="S46" i="55"/>
  <c r="U46" i="55"/>
  <c r="V46" i="55"/>
  <c r="W46" i="55" s="1"/>
  <c r="K46" i="55"/>
  <c r="Q46" i="55" s="1"/>
  <c r="O14" i="55"/>
  <c r="U14" i="55" s="1"/>
  <c r="P14" i="55"/>
  <c r="V14" i="55"/>
  <c r="W14" i="55" s="1"/>
  <c r="V47" i="55"/>
  <c r="W47" i="55" s="1"/>
  <c r="V48" i="55"/>
  <c r="W48" i="55" s="1"/>
  <c r="J48" i="55"/>
  <c r="O47" i="55"/>
  <c r="U47" i="55" s="1"/>
  <c r="N47" i="55"/>
  <c r="T47" i="55" s="1"/>
  <c r="M47" i="55"/>
  <c r="S47" i="55" s="1"/>
  <c r="L47" i="55"/>
  <c r="R47" i="55" s="1"/>
  <c r="K47" i="55"/>
  <c r="Q47" i="55" s="1"/>
  <c r="P47" i="55"/>
  <c r="J47" i="55"/>
  <c r="N48" i="55"/>
  <c r="T48" i="55" s="1"/>
  <c r="Y48" i="55" s="1"/>
  <c r="X48" i="55" s="1"/>
  <c r="O7" i="55"/>
  <c r="Q7" i="55"/>
  <c r="R7" i="55"/>
  <c r="P7" i="55"/>
  <c r="V7" i="55"/>
  <c r="W7" i="55" s="1"/>
  <c r="Y49" i="55"/>
  <c r="X49" i="55" s="1"/>
  <c r="M45" i="55"/>
  <c r="S45" i="55" s="1"/>
  <c r="V49" i="55"/>
  <c r="W49" i="55" s="1"/>
  <c r="V45" i="55"/>
  <c r="W45" i="55" s="1"/>
  <c r="K45" i="55"/>
  <c r="Q45" i="55" s="1"/>
  <c r="X44" i="55"/>
  <c r="Y7" i="55"/>
  <c r="AA63" i="56" s="1"/>
  <c r="O22" i="55"/>
  <c r="U22" i="55" s="1"/>
  <c r="O35" i="55"/>
  <c r="U35" i="55" s="1"/>
  <c r="O5" i="55"/>
  <c r="U5" i="55" s="1"/>
  <c r="O37" i="55"/>
  <c r="U37" i="55" s="1"/>
  <c r="O28" i="55"/>
  <c r="U28" i="55" s="1"/>
  <c r="O12" i="55"/>
  <c r="U12" i="55" s="1"/>
  <c r="O20" i="55"/>
  <c r="U20" i="55" s="1"/>
  <c r="O18" i="55"/>
  <c r="U18" i="55" s="1"/>
  <c r="O51" i="55"/>
  <c r="U51" i="55" s="1"/>
  <c r="O29" i="55"/>
  <c r="U29" i="55" s="1"/>
  <c r="O16" i="55"/>
  <c r="U16" i="55" s="1"/>
  <c r="O17" i="55"/>
  <c r="U17" i="55" s="1"/>
  <c r="O32" i="55"/>
  <c r="U32" i="55" s="1"/>
  <c r="O30" i="55"/>
  <c r="U30" i="55" s="1"/>
  <c r="O27" i="55"/>
  <c r="U27" i="55" s="1"/>
  <c r="O39" i="55"/>
  <c r="U39" i="55" s="1"/>
  <c r="O23" i="55"/>
  <c r="U23" i="55" s="1"/>
  <c r="U4" i="55"/>
  <c r="O4" i="55"/>
  <c r="U2" i="55"/>
  <c r="N31" i="55"/>
  <c r="T31" i="55" s="1"/>
  <c r="N51" i="55"/>
  <c r="T51" i="55" s="1"/>
  <c r="N39" i="55"/>
  <c r="T39" i="55" s="1"/>
  <c r="N18" i="55"/>
  <c r="T18" i="55" s="1"/>
  <c r="N4" i="55"/>
  <c r="T4" i="55" s="1"/>
  <c r="N30" i="55"/>
  <c r="T30" i="55" s="1"/>
  <c r="N27" i="55"/>
  <c r="T27" i="55" s="1"/>
  <c r="N23" i="55"/>
  <c r="T23" i="55" s="1"/>
  <c r="N28" i="55"/>
  <c r="T28" i="55" s="1"/>
  <c r="N17" i="55"/>
  <c r="T17" i="55" s="1"/>
  <c r="N32" i="55"/>
  <c r="T32" i="55" s="1"/>
  <c r="N36" i="55"/>
  <c r="T36" i="55" s="1"/>
  <c r="N22" i="55"/>
  <c r="T22" i="55" s="1"/>
  <c r="N29" i="55"/>
  <c r="T29" i="55" s="1"/>
  <c r="N20" i="55"/>
  <c r="T20" i="55" s="1"/>
  <c r="N35" i="55"/>
  <c r="T35" i="55" s="1"/>
  <c r="N5" i="55"/>
  <c r="T5" i="55" s="1"/>
  <c r="N16" i="55"/>
  <c r="T16" i="55" s="1"/>
  <c r="N12" i="55"/>
  <c r="T12" i="55" s="1"/>
  <c r="T2" i="55"/>
  <c r="M28" i="55"/>
  <c r="S28" i="55" s="1"/>
  <c r="S5" i="55"/>
  <c r="M5" i="55"/>
  <c r="M20" i="55"/>
  <c r="S20" i="55" s="1"/>
  <c r="M35" i="55"/>
  <c r="S35" i="55" s="1"/>
  <c r="M17" i="55"/>
  <c r="S17" i="55" s="1"/>
  <c r="M12" i="55"/>
  <c r="S12" i="55" s="1"/>
  <c r="M16" i="55"/>
  <c r="S16" i="55" s="1"/>
  <c r="M32" i="55"/>
  <c r="S32" i="55" s="1"/>
  <c r="S22" i="55"/>
  <c r="M22" i="55"/>
  <c r="M30" i="55"/>
  <c r="S30" i="55" s="1"/>
  <c r="M23" i="55"/>
  <c r="S23" i="55" s="1"/>
  <c r="M29" i="55"/>
  <c r="S29" i="55" s="1"/>
  <c r="M27" i="55"/>
  <c r="S27" i="55" s="1"/>
  <c r="M51" i="55"/>
  <c r="S51" i="55" s="1"/>
  <c r="M39" i="55"/>
  <c r="S39" i="55" s="1"/>
  <c r="S4" i="55"/>
  <c r="M4" i="55"/>
  <c r="M31" i="55"/>
  <c r="S31" i="55" s="1"/>
  <c r="M18" i="55"/>
  <c r="S18" i="55" s="1"/>
  <c r="S2" i="55"/>
  <c r="L22" i="55"/>
  <c r="R22" i="55" s="1"/>
  <c r="L18" i="55"/>
  <c r="R18" i="55" s="1"/>
  <c r="L30" i="55"/>
  <c r="R30" i="55" s="1"/>
  <c r="L32" i="55"/>
  <c r="R32" i="55" s="1"/>
  <c r="L39" i="55"/>
  <c r="R39" i="55" s="1"/>
  <c r="L23" i="55"/>
  <c r="R23" i="55" s="1"/>
  <c r="L4" i="55"/>
  <c r="R4" i="55" s="1"/>
  <c r="L27" i="55"/>
  <c r="R27" i="55" s="1"/>
  <c r="L29" i="55"/>
  <c r="R29" i="55" s="1"/>
  <c r="L16" i="55"/>
  <c r="R16" i="55" s="1"/>
  <c r="L35" i="55"/>
  <c r="R35" i="55" s="1"/>
  <c r="L34" i="55"/>
  <c r="R34" i="55" s="1"/>
  <c r="L12" i="55"/>
  <c r="R12" i="55" s="1"/>
  <c r="L20" i="55"/>
  <c r="R20" i="55" s="1"/>
  <c r="L28" i="55"/>
  <c r="R28" i="55" s="1"/>
  <c r="L17" i="55"/>
  <c r="R17" i="55" s="1"/>
  <c r="L5" i="55"/>
  <c r="R5" i="55" s="1"/>
  <c r="L51" i="55"/>
  <c r="R51" i="55" s="1"/>
  <c r="R2" i="55"/>
  <c r="Q12" i="55"/>
  <c r="K12" i="55"/>
  <c r="K5" i="55"/>
  <c r="Q5" i="55" s="1"/>
  <c r="K16" i="55"/>
  <c r="Q16" i="55" s="1"/>
  <c r="K17" i="55"/>
  <c r="Q17" i="55" s="1"/>
  <c r="K20" i="55"/>
  <c r="Q20" i="55" s="1"/>
  <c r="K28" i="55"/>
  <c r="Q28" i="55" s="1"/>
  <c r="K35" i="55"/>
  <c r="Q35" i="55" s="1"/>
  <c r="K30" i="55"/>
  <c r="Q30" i="55" s="1"/>
  <c r="K51" i="55"/>
  <c r="Q51" i="55" s="1"/>
  <c r="K18" i="55"/>
  <c r="Q18" i="55" s="1"/>
  <c r="K29" i="55"/>
  <c r="Q29" i="55" s="1"/>
  <c r="K22" i="55"/>
  <c r="Q22" i="55" s="1"/>
  <c r="K32" i="55"/>
  <c r="Q32" i="55" s="1"/>
  <c r="K39" i="55"/>
  <c r="Q39" i="55" s="1"/>
  <c r="K23" i="55"/>
  <c r="Q23" i="55" s="1"/>
  <c r="K4" i="55"/>
  <c r="Q4" i="55" s="1"/>
  <c r="K27" i="55"/>
  <c r="Q27" i="55" s="1"/>
  <c r="Q2" i="55"/>
  <c r="P4" i="55"/>
  <c r="V4" i="55"/>
  <c r="P32" i="55"/>
  <c r="V32" i="55"/>
  <c r="P23" i="55"/>
  <c r="V23" i="55"/>
  <c r="P30" i="55"/>
  <c r="V30" i="55"/>
  <c r="P5" i="55"/>
  <c r="V5" i="55"/>
  <c r="P18" i="55"/>
  <c r="V18" i="55"/>
  <c r="P29" i="55"/>
  <c r="V29" i="55"/>
  <c r="P12" i="55"/>
  <c r="V12" i="55"/>
  <c r="P20" i="55"/>
  <c r="V20" i="55"/>
  <c r="P16" i="55"/>
  <c r="V16" i="55"/>
  <c r="X72" i="56" s="1"/>
  <c r="P27" i="55"/>
  <c r="V27" i="55"/>
  <c r="P2" i="55"/>
  <c r="V2" i="55"/>
  <c r="P17" i="55"/>
  <c r="V17" i="55"/>
  <c r="P28" i="55"/>
  <c r="V28" i="55"/>
  <c r="P51" i="55"/>
  <c r="V51" i="55"/>
  <c r="P35" i="55"/>
  <c r="V35" i="55"/>
  <c r="P22" i="55"/>
  <c r="V22" i="55"/>
  <c r="P39" i="55"/>
  <c r="V39" i="55"/>
  <c r="D37" i="55"/>
  <c r="J37" i="55" s="1"/>
  <c r="D36" i="55"/>
  <c r="J36" i="55" s="1"/>
  <c r="F37" i="55"/>
  <c r="I36" i="55"/>
  <c r="H37" i="55"/>
  <c r="E36" i="55"/>
  <c r="E37" i="55"/>
  <c r="G36" i="55"/>
  <c r="G37" i="55"/>
  <c r="F31" i="55"/>
  <c r="I31" i="55"/>
  <c r="E31" i="55"/>
  <c r="F36" i="55"/>
  <c r="D31" i="55"/>
  <c r="J31" i="55" s="1"/>
  <c r="E34" i="55"/>
  <c r="G34" i="55"/>
  <c r="G24" i="55"/>
  <c r="I24" i="55"/>
  <c r="D24" i="55"/>
  <c r="J24" i="55" s="1"/>
  <c r="E24" i="55"/>
  <c r="F24" i="55"/>
  <c r="H24" i="55"/>
  <c r="I34" i="55"/>
  <c r="D34" i="55"/>
  <c r="J34" i="55" s="1"/>
  <c r="H38" i="55"/>
  <c r="I38" i="55"/>
  <c r="D38" i="55"/>
  <c r="J38" i="55" s="1"/>
  <c r="F38" i="55"/>
  <c r="E38" i="55"/>
  <c r="G38" i="55"/>
  <c r="H34" i="55"/>
  <c r="H42" i="55"/>
  <c r="F42" i="55"/>
  <c r="D42" i="55"/>
  <c r="J42" i="55" s="1"/>
  <c r="I42" i="55"/>
  <c r="G42" i="55"/>
  <c r="E42" i="55"/>
  <c r="E40" i="55"/>
  <c r="F40" i="55"/>
  <c r="G40" i="55"/>
  <c r="D40" i="55"/>
  <c r="J40" i="55" s="1"/>
  <c r="H40" i="55"/>
  <c r="I40" i="55"/>
  <c r="E10" i="55"/>
  <c r="F10" i="55"/>
  <c r="H10" i="55"/>
  <c r="I10" i="55"/>
  <c r="D10" i="55"/>
  <c r="J10" i="55" s="1"/>
  <c r="G10" i="55"/>
  <c r="E8" i="55"/>
  <c r="H8" i="55"/>
  <c r="D8" i="55"/>
  <c r="J8" i="55" s="1"/>
  <c r="F8" i="55"/>
  <c r="I8" i="55"/>
  <c r="G8" i="55"/>
  <c r="D13" i="55"/>
  <c r="J13" i="55" s="1"/>
  <c r="G13" i="55"/>
  <c r="E13" i="55"/>
  <c r="H13" i="55"/>
  <c r="F13" i="55"/>
  <c r="I13" i="55"/>
  <c r="H19" i="55"/>
  <c r="E19" i="55"/>
  <c r="F19" i="55"/>
  <c r="G19" i="55"/>
  <c r="D19" i="55"/>
  <c r="J19" i="55" s="1"/>
  <c r="I19" i="55"/>
  <c r="E3" i="55"/>
  <c r="F3" i="55"/>
  <c r="I3" i="55"/>
  <c r="D3" i="55"/>
  <c r="J3" i="55" s="1"/>
  <c r="G3" i="55"/>
  <c r="H3" i="55"/>
  <c r="E15" i="55"/>
  <c r="D15" i="55"/>
  <c r="J15" i="55" s="1"/>
  <c r="G15" i="55"/>
  <c r="H15" i="55"/>
  <c r="F15" i="55"/>
  <c r="I15" i="55"/>
  <c r="H43" i="55"/>
  <c r="I43" i="55"/>
  <c r="E43" i="55"/>
  <c r="F43" i="55"/>
  <c r="G43" i="55"/>
  <c r="D43" i="55"/>
  <c r="J43" i="55" s="1"/>
  <c r="E25" i="55"/>
  <c r="F25" i="55"/>
  <c r="I25" i="55"/>
  <c r="G25" i="55"/>
  <c r="D25" i="55"/>
  <c r="J25" i="55" s="1"/>
  <c r="H25" i="55"/>
  <c r="E9" i="55"/>
  <c r="D9" i="55"/>
  <c r="J9" i="55" s="1"/>
  <c r="F9" i="55"/>
  <c r="G9" i="55"/>
  <c r="I9" i="55"/>
  <c r="H9" i="55"/>
  <c r="E11" i="55"/>
  <c r="H11" i="55"/>
  <c r="D11" i="55"/>
  <c r="J11" i="55" s="1"/>
  <c r="F11" i="55"/>
  <c r="I11" i="55"/>
  <c r="G11" i="55"/>
  <c r="Y14" i="55" l="1"/>
  <c r="AA70" i="56" s="1"/>
  <c r="Y46" i="55"/>
  <c r="X46" i="55" s="1"/>
  <c r="B37" i="65"/>
  <c r="C37" i="65" s="1" a="1"/>
  <c r="C37" i="65" s="1"/>
  <c r="C35" i="65" a="1"/>
  <c r="C35" i="65" s="1"/>
  <c r="C34" i="65" a="1"/>
  <c r="C34" i="65" s="1"/>
  <c r="B36" i="65"/>
  <c r="A34" i="65"/>
  <c r="X78" i="56"/>
  <c r="X106" i="56"/>
  <c r="Y47" i="55"/>
  <c r="X47" i="55" s="1"/>
  <c r="X105" i="56"/>
  <c r="X104" i="56"/>
  <c r="X102" i="56"/>
  <c r="Y45" i="55"/>
  <c r="Y35" i="55"/>
  <c r="X21" i="55"/>
  <c r="X74" i="56"/>
  <c r="X86" i="56"/>
  <c r="Y39" i="55"/>
  <c r="X79" i="56"/>
  <c r="Y51" i="55"/>
  <c r="AA106" i="56" s="1"/>
  <c r="X60" i="56"/>
  <c r="X7" i="55"/>
  <c r="Z63" i="56" s="1"/>
  <c r="Q22" i="75" s="1"/>
  <c r="X85" i="56"/>
  <c r="Y23" i="55"/>
  <c r="Y27" i="55"/>
  <c r="Y16" i="55"/>
  <c r="AA72" i="56" s="1"/>
  <c r="Y30" i="55"/>
  <c r="Y20" i="55"/>
  <c r="Y28" i="55"/>
  <c r="Y12" i="55"/>
  <c r="AA68" i="56" s="1"/>
  <c r="Y32" i="55"/>
  <c r="Y17" i="55"/>
  <c r="Y29" i="55"/>
  <c r="Y4" i="55"/>
  <c r="AA60" i="56" s="1"/>
  <c r="Y2" i="55"/>
  <c r="AA58" i="56" s="1"/>
  <c r="Y18" i="55"/>
  <c r="Y22" i="55"/>
  <c r="AA78" i="56" s="1"/>
  <c r="Y5" i="55"/>
  <c r="AA61" i="56" s="1"/>
  <c r="U8" i="55"/>
  <c r="O8" i="55"/>
  <c r="O24" i="55"/>
  <c r="U24" i="55" s="1"/>
  <c r="O36" i="55"/>
  <c r="U36" i="55" s="1"/>
  <c r="O25" i="55"/>
  <c r="U25" i="55" s="1"/>
  <c r="O38" i="55"/>
  <c r="U38" i="55" s="1"/>
  <c r="O13" i="55"/>
  <c r="U13" i="55" s="1"/>
  <c r="U9" i="55"/>
  <c r="O9" i="55"/>
  <c r="U11" i="55"/>
  <c r="O11" i="55"/>
  <c r="U10" i="55"/>
  <c r="O10" i="55"/>
  <c r="O42" i="55"/>
  <c r="U42" i="55" s="1"/>
  <c r="O34" i="55"/>
  <c r="U34" i="55" s="1"/>
  <c r="O31" i="55"/>
  <c r="U31" i="55" s="1"/>
  <c r="U3" i="55"/>
  <c r="O3" i="55"/>
  <c r="O43" i="55"/>
  <c r="U43" i="55" s="1"/>
  <c r="O15" i="55"/>
  <c r="U15" i="55" s="1"/>
  <c r="O19" i="55"/>
  <c r="U19" i="55" s="1"/>
  <c r="O40" i="55"/>
  <c r="U40" i="55" s="1"/>
  <c r="N15" i="55"/>
  <c r="T15" i="55" s="1"/>
  <c r="N10" i="55"/>
  <c r="T10" i="55" s="1"/>
  <c r="N43" i="55"/>
  <c r="T43" i="55" s="1"/>
  <c r="N42" i="55"/>
  <c r="T42" i="55" s="1"/>
  <c r="N40" i="55"/>
  <c r="T40" i="55" s="1"/>
  <c r="N37" i="55"/>
  <c r="T37" i="55" s="1"/>
  <c r="N34" i="55"/>
  <c r="T34" i="55" s="1"/>
  <c r="N8" i="55"/>
  <c r="T8" i="55" s="1"/>
  <c r="N19" i="55"/>
  <c r="T19" i="55" s="1"/>
  <c r="N9" i="55"/>
  <c r="T9" i="55" s="1"/>
  <c r="N25" i="55"/>
  <c r="T25" i="55" s="1"/>
  <c r="T11" i="55"/>
  <c r="N11" i="55"/>
  <c r="N3" i="55"/>
  <c r="T3" i="55" s="1"/>
  <c r="N38" i="55"/>
  <c r="T38" i="55" s="1"/>
  <c r="N13" i="55"/>
  <c r="T13" i="55" s="1"/>
  <c r="N24" i="55"/>
  <c r="T24" i="55" s="1"/>
  <c r="M38" i="55"/>
  <c r="S38" i="55" s="1"/>
  <c r="M24" i="55"/>
  <c r="S24" i="55" s="1"/>
  <c r="M34" i="55"/>
  <c r="S34" i="55" s="1"/>
  <c r="M25" i="55"/>
  <c r="S25" i="55" s="1"/>
  <c r="M40" i="55"/>
  <c r="S40" i="55" s="1"/>
  <c r="M10" i="55"/>
  <c r="S10" i="55" s="1"/>
  <c r="M43" i="55"/>
  <c r="S43" i="55" s="1"/>
  <c r="S3" i="55"/>
  <c r="M3" i="55"/>
  <c r="M42" i="55"/>
  <c r="S42" i="55" s="1"/>
  <c r="M15" i="55"/>
  <c r="S15" i="55" s="1"/>
  <c r="S9" i="55"/>
  <c r="M9" i="55"/>
  <c r="S19" i="55"/>
  <c r="M19" i="55"/>
  <c r="M13" i="55"/>
  <c r="S13" i="55" s="1"/>
  <c r="M37" i="55"/>
  <c r="S37" i="55" s="1"/>
  <c r="M36" i="55"/>
  <c r="S36" i="55" s="1"/>
  <c r="S11" i="55"/>
  <c r="M11" i="55"/>
  <c r="M8" i="55"/>
  <c r="S8" i="55" s="1"/>
  <c r="L37" i="55"/>
  <c r="R37" i="55" s="1"/>
  <c r="L3" i="55"/>
  <c r="R3" i="55" s="1"/>
  <c r="L10" i="55"/>
  <c r="R10" i="55" s="1"/>
  <c r="L42" i="55"/>
  <c r="R42" i="55" s="1"/>
  <c r="L24" i="55"/>
  <c r="R24" i="55" s="1"/>
  <c r="L15" i="55"/>
  <c r="R15" i="55" s="1"/>
  <c r="R11" i="55"/>
  <c r="L11" i="55"/>
  <c r="R8" i="55"/>
  <c r="L8" i="55"/>
  <c r="L19" i="55"/>
  <c r="R19" i="55" s="1"/>
  <c r="L38" i="55"/>
  <c r="R38" i="55" s="1"/>
  <c r="L36" i="55"/>
  <c r="R36" i="55" s="1"/>
  <c r="L13" i="55"/>
  <c r="R13" i="55" s="1"/>
  <c r="L25" i="55"/>
  <c r="R25" i="55" s="1"/>
  <c r="L40" i="55"/>
  <c r="R40" i="55" s="1"/>
  <c r="L43" i="55"/>
  <c r="R43" i="55" s="1"/>
  <c r="L9" i="55"/>
  <c r="R9" i="55" s="1"/>
  <c r="L31" i="55"/>
  <c r="R31" i="55" s="1"/>
  <c r="K31" i="55"/>
  <c r="Q31" i="55" s="1"/>
  <c r="K13" i="55"/>
  <c r="Q13" i="55" s="1"/>
  <c r="K43" i="55"/>
  <c r="Q43" i="55" s="1"/>
  <c r="K42" i="55"/>
  <c r="Q42" i="55" s="1"/>
  <c r="K9" i="55"/>
  <c r="Q9" i="55" s="1"/>
  <c r="K3" i="55"/>
  <c r="Q3" i="55" s="1"/>
  <c r="K10" i="55"/>
  <c r="Q10" i="55" s="1"/>
  <c r="K24" i="55"/>
  <c r="Q24" i="55" s="1"/>
  <c r="K36" i="55"/>
  <c r="Q36" i="55" s="1"/>
  <c r="K37" i="55"/>
  <c r="Q37" i="55" s="1"/>
  <c r="K38" i="55"/>
  <c r="Q38" i="55" s="1"/>
  <c r="K19" i="55"/>
  <c r="Q19" i="55" s="1"/>
  <c r="K25" i="55"/>
  <c r="Q25" i="55" s="1"/>
  <c r="K40" i="55"/>
  <c r="Q40" i="55" s="1"/>
  <c r="K34" i="55"/>
  <c r="Q34" i="55" s="1"/>
  <c r="Q11" i="55"/>
  <c r="K11" i="55"/>
  <c r="K15" i="55"/>
  <c r="Q15" i="55" s="1"/>
  <c r="Q8" i="55"/>
  <c r="K8" i="55"/>
  <c r="W4" i="55"/>
  <c r="W17" i="55"/>
  <c r="W27" i="55"/>
  <c r="V24" i="55"/>
  <c r="X80" i="56" s="1"/>
  <c r="W18" i="55"/>
  <c r="W51" i="55"/>
  <c r="P10" i="55"/>
  <c r="V10" i="55"/>
  <c r="P38" i="55"/>
  <c r="V38" i="55"/>
  <c r="W2" i="55"/>
  <c r="P31" i="55"/>
  <c r="V31" i="55"/>
  <c r="X87" i="56" s="1"/>
  <c r="P9" i="55"/>
  <c r="V9" i="55"/>
  <c r="P8" i="55"/>
  <c r="V8" i="55"/>
  <c r="P40" i="55"/>
  <c r="V40" i="55"/>
  <c r="P25" i="55"/>
  <c r="V25" i="55"/>
  <c r="P15" i="55"/>
  <c r="V15" i="55"/>
  <c r="X70" i="56" s="1"/>
  <c r="P13" i="55"/>
  <c r="V13" i="55"/>
  <c r="X69" i="56" s="1"/>
  <c r="P34" i="55"/>
  <c r="V34" i="55"/>
  <c r="P36" i="55"/>
  <c r="V36" i="55"/>
  <c r="P11" i="55"/>
  <c r="V11" i="55"/>
  <c r="X67" i="56" s="1"/>
  <c r="P37" i="55"/>
  <c r="V37" i="55"/>
  <c r="P43" i="55"/>
  <c r="V43" i="55"/>
  <c r="X101" i="56" s="1"/>
  <c r="P19" i="55"/>
  <c r="V19" i="55"/>
  <c r="X77" i="56" s="1"/>
  <c r="P42" i="55"/>
  <c r="V42" i="55"/>
  <c r="P3" i="55"/>
  <c r="V3" i="55"/>
  <c r="X59" i="56" s="1"/>
  <c r="H26" i="55"/>
  <c r="G26" i="55"/>
  <c r="E26" i="55"/>
  <c r="I26" i="55"/>
  <c r="F26" i="55"/>
  <c r="D26" i="55"/>
  <c r="J26" i="55" s="1"/>
  <c r="G41" i="55"/>
  <c r="I41" i="55"/>
  <c r="D41" i="55"/>
  <c r="J41" i="55" s="1"/>
  <c r="E41" i="55"/>
  <c r="F41" i="55"/>
  <c r="H41" i="55"/>
  <c r="P24" i="55"/>
  <c r="W22" i="55"/>
  <c r="W29" i="55"/>
  <c r="W32" i="55"/>
  <c r="W5" i="55"/>
  <c r="E33" i="55"/>
  <c r="I33" i="55"/>
  <c r="H33" i="55"/>
  <c r="D33" i="55"/>
  <c r="J33" i="55" s="1"/>
  <c r="F33" i="55"/>
  <c r="G33" i="55"/>
  <c r="W23" i="55"/>
  <c r="D6" i="55"/>
  <c r="J6" i="55" s="1"/>
  <c r="F6" i="55"/>
  <c r="I6" i="55"/>
  <c r="G6" i="55"/>
  <c r="E6" i="55"/>
  <c r="H6" i="55"/>
  <c r="W12" i="55"/>
  <c r="W20" i="55"/>
  <c r="W28" i="55"/>
  <c r="W16" i="55"/>
  <c r="Y72" i="56" s="1"/>
  <c r="W35" i="55"/>
  <c r="W39" i="55"/>
  <c r="W30" i="55"/>
  <c r="X14" i="55" l="1"/>
  <c r="X45" i="55"/>
  <c r="AA101" i="56"/>
  <c r="O7" i="49"/>
  <c r="O8" i="49"/>
  <c r="A36" i="65"/>
  <c r="H36" i="65" s="1"/>
  <c r="C36" i="65" a="1"/>
  <c r="C36" i="65" s="1"/>
  <c r="X103" i="56"/>
  <c r="X107" i="56"/>
  <c r="O4" i="49"/>
  <c r="O6" i="49"/>
  <c r="O5" i="49"/>
  <c r="O9" i="49"/>
  <c r="Y104" i="56"/>
  <c r="Y106" i="56"/>
  <c r="AA105" i="56"/>
  <c r="AA104" i="56"/>
  <c r="Y102" i="56"/>
  <c r="Y105" i="56"/>
  <c r="C41" i="65" a="1"/>
  <c r="C41" i="65" s="1"/>
  <c r="AA103" i="56"/>
  <c r="AA102" i="56"/>
  <c r="X35" i="55"/>
  <c r="X51" i="55"/>
  <c r="AA107" i="56"/>
  <c r="Y10" i="55"/>
  <c r="AA66" i="56" s="1"/>
  <c r="Y3" i="55"/>
  <c r="AA59" i="56" s="1"/>
  <c r="Y8" i="55"/>
  <c r="AA64" i="56" s="1"/>
  <c r="X22" i="55"/>
  <c r="Z78" i="56" s="1"/>
  <c r="Q82" i="75" s="1"/>
  <c r="AA79" i="56"/>
  <c r="X27" i="55"/>
  <c r="AA84" i="56"/>
  <c r="X29" i="55"/>
  <c r="AA86" i="56"/>
  <c r="X18" i="55"/>
  <c r="X17" i="55"/>
  <c r="AA74" i="56"/>
  <c r="X23" i="55"/>
  <c r="X32" i="55"/>
  <c r="X39" i="55"/>
  <c r="X28" i="55"/>
  <c r="AA85" i="56"/>
  <c r="X20" i="55"/>
  <c r="AA77" i="56"/>
  <c r="X30" i="55"/>
  <c r="AA87" i="56"/>
  <c r="X16" i="55"/>
  <c r="Z72" i="56" s="1"/>
  <c r="AA73" i="56"/>
  <c r="X2" i="55"/>
  <c r="Z58" i="56" s="1"/>
  <c r="Q2" i="75" s="1"/>
  <c r="Y86" i="56"/>
  <c r="Y78" i="56"/>
  <c r="X93" i="56"/>
  <c r="X92" i="56"/>
  <c r="X75" i="56"/>
  <c r="Y74" i="56"/>
  <c r="X76" i="56"/>
  <c r="X65" i="56"/>
  <c r="Y34" i="55"/>
  <c r="X95" i="56"/>
  <c r="X68" i="56"/>
  <c r="X58" i="56"/>
  <c r="Y85" i="56"/>
  <c r="X4" i="55"/>
  <c r="Y79" i="56"/>
  <c r="X81" i="56"/>
  <c r="X64" i="56"/>
  <c r="X63" i="56"/>
  <c r="X73" i="56"/>
  <c r="X71" i="56"/>
  <c r="X66" i="56"/>
  <c r="X12" i="55"/>
  <c r="Y60" i="56"/>
  <c r="X88" i="56"/>
  <c r="X5" i="55"/>
  <c r="Z61" i="56" s="1"/>
  <c r="Q17" i="75" s="1"/>
  <c r="Y36" i="55"/>
  <c r="Y43" i="55"/>
  <c r="Y15" i="55"/>
  <c r="AA71" i="56" s="1"/>
  <c r="Y38" i="55"/>
  <c r="Y24" i="55"/>
  <c r="AA80" i="56" s="1"/>
  <c r="Y25" i="55"/>
  <c r="Y37" i="55"/>
  <c r="Y40" i="55"/>
  <c r="Y42" i="55"/>
  <c r="Y9" i="55"/>
  <c r="AA65" i="56" s="1"/>
  <c r="Y19" i="55"/>
  <c r="AA75" i="56" s="1"/>
  <c r="Y13" i="55"/>
  <c r="Y31" i="55"/>
  <c r="O6" i="55"/>
  <c r="U6" i="55" s="1"/>
  <c r="O41" i="55"/>
  <c r="U41" i="55" s="1"/>
  <c r="O33" i="55"/>
  <c r="U33" i="55" s="1"/>
  <c r="O26" i="55"/>
  <c r="U26" i="55" s="1"/>
  <c r="N26" i="55"/>
  <c r="T26" i="55" s="1"/>
  <c r="N41" i="55"/>
  <c r="T41" i="55" s="1"/>
  <c r="N6" i="55"/>
  <c r="T6" i="55" s="1"/>
  <c r="N33" i="55"/>
  <c r="T33" i="55" s="1"/>
  <c r="M33" i="55"/>
  <c r="S33" i="55" s="1"/>
  <c r="M41" i="55"/>
  <c r="S41" i="55" s="1"/>
  <c r="S6" i="55"/>
  <c r="M6" i="55"/>
  <c r="M26" i="55"/>
  <c r="S26" i="55" s="1"/>
  <c r="R6" i="55"/>
  <c r="L6" i="55"/>
  <c r="L41" i="55"/>
  <c r="R41" i="55" s="1"/>
  <c r="L33" i="55"/>
  <c r="R33" i="55" s="1"/>
  <c r="L26" i="55"/>
  <c r="R26" i="55" s="1"/>
  <c r="K41" i="55"/>
  <c r="Q41" i="55" s="1"/>
  <c r="K33" i="55"/>
  <c r="Q33" i="55" s="1"/>
  <c r="K6" i="55"/>
  <c r="Q6" i="55" s="1"/>
  <c r="K26" i="55"/>
  <c r="Q26" i="55" s="1"/>
  <c r="W24" i="55"/>
  <c r="Y80" i="56" s="1"/>
  <c r="W31" i="55"/>
  <c r="Y87" i="56" s="1"/>
  <c r="W38" i="55"/>
  <c r="X96" i="56"/>
  <c r="W37" i="55"/>
  <c r="W15" i="55"/>
  <c r="Y70" i="56" s="1"/>
  <c r="W36" i="55"/>
  <c r="X94" i="56"/>
  <c r="W42" i="55"/>
  <c r="X100" i="56"/>
  <c r="P6" i="55"/>
  <c r="V6" i="55"/>
  <c r="P41" i="55"/>
  <c r="V41" i="55"/>
  <c r="X98" i="56" s="1"/>
  <c r="P33" i="55"/>
  <c r="V33" i="55"/>
  <c r="X89" i="56" s="1"/>
  <c r="V26" i="55"/>
  <c r="X83" i="56" s="1"/>
  <c r="W34" i="55"/>
  <c r="P26" i="55"/>
  <c r="W10" i="55"/>
  <c r="W19" i="55"/>
  <c r="Y77" i="56" s="1"/>
  <c r="W8" i="55"/>
  <c r="Y103" i="56" s="1"/>
  <c r="W11" i="55"/>
  <c r="Y67" i="56" s="1"/>
  <c r="W40" i="55"/>
  <c r="W13" i="55"/>
  <c r="Y69" i="56" s="1"/>
  <c r="W3" i="55"/>
  <c r="Y59" i="56" s="1"/>
  <c r="W43" i="55"/>
  <c r="Y101" i="56" s="1"/>
  <c r="W9" i="55"/>
  <c r="W25" i="55"/>
  <c r="B4" i="19"/>
  <c r="B5" i="19"/>
  <c r="B6" i="19"/>
  <c r="B7" i="19"/>
  <c r="B8" i="19"/>
  <c r="B9" i="19"/>
  <c r="B10" i="19"/>
  <c r="B11" i="19"/>
  <c r="B12" i="19"/>
  <c r="B13" i="19"/>
  <c r="B14" i="19"/>
  <c r="B15" i="19"/>
  <c r="B16" i="19"/>
  <c r="B17" i="19"/>
  <c r="B18" i="19"/>
  <c r="B19" i="19"/>
  <c r="B20" i="19"/>
  <c r="B3" i="19"/>
  <c r="E8" i="3"/>
  <c r="N8" i="3" s="1"/>
  <c r="E6" i="3"/>
  <c r="E13" i="3"/>
  <c r="E15" i="3"/>
  <c r="E16" i="3"/>
  <c r="E20" i="3"/>
  <c r="E27" i="3"/>
  <c r="E33" i="3"/>
  <c r="E44" i="3"/>
  <c r="E47" i="3"/>
  <c r="N47" i="3" s="1"/>
  <c r="E78" i="3"/>
  <c r="E3" i="3"/>
  <c r="N3" i="3" s="1"/>
  <c r="E4" i="3"/>
  <c r="N4" i="3" s="1"/>
  <c r="E11" i="3"/>
  <c r="E17" i="3"/>
  <c r="N17" i="3" s="1"/>
  <c r="E21" i="3"/>
  <c r="E30" i="3"/>
  <c r="E34" i="3"/>
  <c r="N34" i="3" s="1"/>
  <c r="E45" i="3"/>
  <c r="E48" i="3"/>
  <c r="N48" i="3" s="1"/>
  <c r="E52" i="3"/>
  <c r="N52" i="3" s="1"/>
  <c r="E81" i="3"/>
  <c r="E5" i="3"/>
  <c r="N5" i="3" s="1"/>
  <c r="E7" i="3"/>
  <c r="N7" i="3" s="1"/>
  <c r="E18" i="3"/>
  <c r="N18" i="3" s="1"/>
  <c r="E22" i="3"/>
  <c r="N22" i="3" s="1"/>
  <c r="E31" i="3"/>
  <c r="N31" i="3" s="1"/>
  <c r="E35" i="3"/>
  <c r="N35" i="3" s="1"/>
  <c r="E49" i="3"/>
  <c r="E51" i="3"/>
  <c r="N51" i="3" s="1"/>
  <c r="E53" i="3"/>
  <c r="E82" i="3"/>
  <c r="N82" i="3" s="1"/>
  <c r="AA93" i="56" l="1"/>
  <c r="Z85" i="56"/>
  <c r="Q112" i="75" s="1"/>
  <c r="AA96" i="56"/>
  <c r="AA92" i="56"/>
  <c r="AA99" i="56"/>
  <c r="Y96" i="56"/>
  <c r="Z86" i="56"/>
  <c r="Q117" i="75" s="1"/>
  <c r="Z79" i="56"/>
  <c r="Q87" i="75" s="1"/>
  <c r="Z74" i="56"/>
  <c r="Q67" i="75" s="1"/>
  <c r="Y107" i="56"/>
  <c r="Z104" i="56"/>
  <c r="Q187" i="75" s="1"/>
  <c r="Z106" i="56"/>
  <c r="Q197" i="75" s="1"/>
  <c r="Z102" i="56"/>
  <c r="Z105" i="56"/>
  <c r="Q192" i="75" s="1"/>
  <c r="B43" i="65"/>
  <c r="C43" i="65" s="1" a="1"/>
  <c r="C43" i="65" s="1"/>
  <c r="A40" i="65"/>
  <c r="H40" i="65" s="1"/>
  <c r="B42" i="65"/>
  <c r="C42" i="65" s="1" a="1"/>
  <c r="C42" i="65" s="1"/>
  <c r="X3" i="55"/>
  <c r="Z59" i="56" s="1"/>
  <c r="Q7" i="75" s="1"/>
  <c r="X10" i="55"/>
  <c r="Z66" i="56" s="1"/>
  <c r="Q37" i="75" s="1"/>
  <c r="N81" i="3"/>
  <c r="C799" i="19"/>
  <c r="F799" i="19"/>
  <c r="H799" i="19"/>
  <c r="J799" i="19"/>
  <c r="C800" i="19"/>
  <c r="F800" i="19"/>
  <c r="H800" i="19"/>
  <c r="J800" i="19"/>
  <c r="J797" i="19"/>
  <c r="E795" i="19"/>
  <c r="G795" i="19"/>
  <c r="I795" i="19"/>
  <c r="AO795" i="19" s="1"/>
  <c r="E796" i="19"/>
  <c r="G796" i="19"/>
  <c r="I796" i="19"/>
  <c r="AO796" i="19" s="1"/>
  <c r="J796" i="19"/>
  <c r="C797" i="19"/>
  <c r="E797" i="19"/>
  <c r="G797" i="19"/>
  <c r="I797" i="19"/>
  <c r="AO797" i="19" s="1"/>
  <c r="H796" i="19"/>
  <c r="E798" i="19"/>
  <c r="G798" i="19"/>
  <c r="I798" i="19"/>
  <c r="AO798" i="19" s="1"/>
  <c r="F796" i="19"/>
  <c r="E799" i="19"/>
  <c r="G799" i="19"/>
  <c r="I799" i="19"/>
  <c r="AO799" i="19" s="1"/>
  <c r="C796" i="19"/>
  <c r="E800" i="19"/>
  <c r="G800" i="19"/>
  <c r="I800" i="19"/>
  <c r="AO800" i="19" s="1"/>
  <c r="F797" i="19"/>
  <c r="C795" i="19"/>
  <c r="F795" i="19"/>
  <c r="H795" i="19"/>
  <c r="J795" i="19"/>
  <c r="C798" i="19"/>
  <c r="F798" i="19"/>
  <c r="H798" i="19"/>
  <c r="J798" i="19"/>
  <c r="H797" i="19"/>
  <c r="D795" i="19"/>
  <c r="D799" i="19"/>
  <c r="D797" i="19"/>
  <c r="D796" i="19"/>
  <c r="D800" i="19"/>
  <c r="D798" i="19"/>
  <c r="G688" i="19"/>
  <c r="G640" i="19"/>
  <c r="G773" i="19"/>
  <c r="G725" i="19"/>
  <c r="G780" i="19"/>
  <c r="G765" i="19"/>
  <c r="H663" i="19"/>
  <c r="G615" i="19"/>
  <c r="G748" i="19"/>
  <c r="H700" i="19"/>
  <c r="G723" i="19"/>
  <c r="F661" i="19"/>
  <c r="G662" i="19"/>
  <c r="G649" i="19"/>
  <c r="G696" i="19"/>
  <c r="G648" i="19"/>
  <c r="G769" i="19"/>
  <c r="G721" i="19"/>
  <c r="G747" i="19"/>
  <c r="G734" i="19"/>
  <c r="G671" i="19"/>
  <c r="G623" i="19"/>
  <c r="F744" i="19"/>
  <c r="G785" i="19"/>
  <c r="F788" i="19"/>
  <c r="G646" i="19"/>
  <c r="G779" i="19"/>
  <c r="G634" i="19"/>
  <c r="G731" i="19"/>
  <c r="G784" i="19"/>
  <c r="H657" i="19"/>
  <c r="H609" i="19"/>
  <c r="H730" i="19"/>
  <c r="H668" i="19"/>
  <c r="H691" i="19"/>
  <c r="G643" i="19"/>
  <c r="H776" i="19"/>
  <c r="H728" i="19"/>
  <c r="H692" i="19"/>
  <c r="H678" i="19"/>
  <c r="H630" i="19"/>
  <c r="H763" i="19"/>
  <c r="G715" i="19"/>
  <c r="H620" i="19"/>
  <c r="H665" i="19"/>
  <c r="H617" i="19"/>
  <c r="H750" i="19"/>
  <c r="H702" i="19"/>
  <c r="F688" i="19"/>
  <c r="F640" i="19"/>
  <c r="F773" i="19"/>
  <c r="F725" i="19"/>
  <c r="F780" i="19"/>
  <c r="F765" i="19"/>
  <c r="F663" i="19"/>
  <c r="F615" i="19"/>
  <c r="F748" i="19"/>
  <c r="F700" i="19"/>
  <c r="F723" i="19"/>
  <c r="G661" i="19"/>
  <c r="F662" i="19"/>
  <c r="F649" i="19"/>
  <c r="F696" i="19"/>
  <c r="F648" i="19"/>
  <c r="F769" i="19"/>
  <c r="F721" i="19"/>
  <c r="F747" i="19"/>
  <c r="F734" i="19"/>
  <c r="F671" i="19"/>
  <c r="F623" i="19"/>
  <c r="G744" i="19"/>
  <c r="F785" i="19"/>
  <c r="G788" i="19"/>
  <c r="F646" i="19"/>
  <c r="F779" i="19"/>
  <c r="F634" i="19"/>
  <c r="F731" i="19"/>
  <c r="F784" i="19"/>
  <c r="G657" i="19"/>
  <c r="G609" i="19"/>
  <c r="F730" i="19"/>
  <c r="G668" i="19"/>
  <c r="G691" i="19"/>
  <c r="F643" i="19"/>
  <c r="F776" i="19"/>
  <c r="F728" i="19"/>
  <c r="G692" i="19"/>
  <c r="G678" i="19"/>
  <c r="G630" i="19"/>
  <c r="G763" i="19"/>
  <c r="H715" i="19"/>
  <c r="G620" i="19"/>
  <c r="G665" i="19"/>
  <c r="G617" i="19"/>
  <c r="G750" i="19"/>
  <c r="G702" i="19"/>
  <c r="H676" i="19"/>
  <c r="G628" i="19"/>
  <c r="H761" i="19"/>
  <c r="H713" i="19"/>
  <c r="H778" i="19"/>
  <c r="H705" i="19"/>
  <c r="H651" i="19"/>
  <c r="H603" i="19"/>
  <c r="G736" i="19"/>
  <c r="H789" i="19"/>
  <c r="H650" i="19"/>
  <c r="H625" i="19"/>
  <c r="G771" i="19"/>
  <c r="H613" i="19"/>
  <c r="H684" i="19"/>
  <c r="H636" i="19"/>
  <c r="H757" i="19"/>
  <c r="H709" i="19"/>
  <c r="H673" i="19"/>
  <c r="H710" i="19"/>
  <c r="H659" i="19"/>
  <c r="H611" i="19"/>
  <c r="H732" i="19"/>
  <c r="H686" i="19"/>
  <c r="H694" i="19"/>
  <c r="H622" i="19"/>
  <c r="H674" i="19"/>
  <c r="H610" i="19"/>
  <c r="H707" i="19"/>
  <c r="F657" i="19"/>
  <c r="F609" i="19"/>
  <c r="G730" i="19"/>
  <c r="F668" i="19"/>
  <c r="F691" i="19"/>
  <c r="H643" i="19"/>
  <c r="G776" i="19"/>
  <c r="G728" i="19"/>
  <c r="F692" i="19"/>
  <c r="F678" i="19"/>
  <c r="F630" i="19"/>
  <c r="F763" i="19"/>
  <c r="F715" i="19"/>
  <c r="F620" i="19"/>
  <c r="F665" i="19"/>
  <c r="F617" i="19"/>
  <c r="F750" i="19"/>
  <c r="F702" i="19"/>
  <c r="G676" i="19"/>
  <c r="F628" i="19"/>
  <c r="G761" i="19"/>
  <c r="G713" i="19"/>
  <c r="G778" i="19"/>
  <c r="G705" i="19"/>
  <c r="G651" i="19"/>
  <c r="G603" i="19"/>
  <c r="H736" i="19"/>
  <c r="F789" i="19"/>
  <c r="G650" i="19"/>
  <c r="G625" i="19"/>
  <c r="H771" i="19"/>
  <c r="F613" i="19"/>
  <c r="G684" i="19"/>
  <c r="G636" i="19"/>
  <c r="G757" i="19"/>
  <c r="G709" i="19"/>
  <c r="G673" i="19"/>
  <c r="G710" i="19"/>
  <c r="G659" i="19"/>
  <c r="G611" i="19"/>
  <c r="G732" i="19"/>
  <c r="G686" i="19"/>
  <c r="G694" i="19"/>
  <c r="G622" i="19"/>
  <c r="G674" i="19"/>
  <c r="G610" i="19"/>
  <c r="G707" i="19"/>
  <c r="H693" i="19"/>
  <c r="H645" i="19"/>
  <c r="H766" i="19"/>
  <c r="H718" i="19"/>
  <c r="H608" i="19"/>
  <c r="H679" i="19"/>
  <c r="H631" i="19"/>
  <c r="H764" i="19"/>
  <c r="H716" i="19"/>
  <c r="H632" i="19"/>
  <c r="H666" i="19"/>
  <c r="H618" i="19"/>
  <c r="G751" i="19"/>
  <c r="H703" i="19"/>
  <c r="H753" i="19"/>
  <c r="H653" i="19"/>
  <c r="H605" i="19"/>
  <c r="H738" i="19"/>
  <c r="G791" i="19"/>
  <c r="F676" i="19"/>
  <c r="H628" i="19"/>
  <c r="F761" i="19"/>
  <c r="F713" i="19"/>
  <c r="F778" i="19"/>
  <c r="F705" i="19"/>
  <c r="F651" i="19"/>
  <c r="F603" i="19"/>
  <c r="F736" i="19"/>
  <c r="G789" i="19"/>
  <c r="F650" i="19"/>
  <c r="F625" i="19"/>
  <c r="F771" i="19"/>
  <c r="G613" i="19"/>
  <c r="F684" i="19"/>
  <c r="F636" i="19"/>
  <c r="F757" i="19"/>
  <c r="F709" i="19"/>
  <c r="F673" i="19"/>
  <c r="F710" i="19"/>
  <c r="F659" i="19"/>
  <c r="F611" i="19"/>
  <c r="F732" i="19"/>
  <c r="F686" i="19"/>
  <c r="F694" i="19"/>
  <c r="F622" i="19"/>
  <c r="F674" i="19"/>
  <c r="F610" i="19"/>
  <c r="F707" i="19"/>
  <c r="G693" i="19"/>
  <c r="G645" i="19"/>
  <c r="G766" i="19"/>
  <c r="G718" i="19"/>
  <c r="F608" i="19"/>
  <c r="G679" i="19"/>
  <c r="G631" i="19"/>
  <c r="G764" i="19"/>
  <c r="G716" i="19"/>
  <c r="F632" i="19"/>
  <c r="G666" i="19"/>
  <c r="G618" i="19"/>
  <c r="F751" i="19"/>
  <c r="G703" i="19"/>
  <c r="G753" i="19"/>
  <c r="G653" i="19"/>
  <c r="G605" i="19"/>
  <c r="G738" i="19"/>
  <c r="H791" i="19"/>
  <c r="H644" i="19"/>
  <c r="G664" i="19"/>
  <c r="H616" i="19"/>
  <c r="H749" i="19"/>
  <c r="H701" i="19"/>
  <c r="H790" i="19"/>
  <c r="H687" i="19"/>
  <c r="H639" i="19"/>
  <c r="H772" i="19"/>
  <c r="H724" i="19"/>
  <c r="H698" i="19"/>
  <c r="H711" i="19"/>
  <c r="H746" i="19"/>
  <c r="H699" i="19"/>
  <c r="H758" i="19"/>
  <c r="H672" i="19"/>
  <c r="H624" i="19"/>
  <c r="H745" i="19"/>
  <c r="H786" i="19"/>
  <c r="H637" i="19"/>
  <c r="H695" i="19"/>
  <c r="G647" i="19"/>
  <c r="H768" i="19"/>
  <c r="H720" i="19"/>
  <c r="H614" i="19"/>
  <c r="H682" i="19"/>
  <c r="G755" i="19"/>
  <c r="H759" i="19"/>
  <c r="H767" i="19"/>
  <c r="H781" i="19"/>
  <c r="F693" i="19"/>
  <c r="F645" i="19"/>
  <c r="F766" i="19"/>
  <c r="F718" i="19"/>
  <c r="G608" i="19"/>
  <c r="F679" i="19"/>
  <c r="F631" i="19"/>
  <c r="F764" i="19"/>
  <c r="F716" i="19"/>
  <c r="G632" i="19"/>
  <c r="F666" i="19"/>
  <c r="F618" i="19"/>
  <c r="H751" i="19"/>
  <c r="F703" i="19"/>
  <c r="F753" i="19"/>
  <c r="F653" i="19"/>
  <c r="F605" i="19"/>
  <c r="F738" i="19"/>
  <c r="F791" i="19"/>
  <c r="G644" i="19"/>
  <c r="H664" i="19"/>
  <c r="G616" i="19"/>
  <c r="G749" i="19"/>
  <c r="G701" i="19"/>
  <c r="F790" i="19"/>
  <c r="G687" i="19"/>
  <c r="G639" i="19"/>
  <c r="G772" i="19"/>
  <c r="G724" i="19"/>
  <c r="G698" i="19"/>
  <c r="G711" i="19"/>
  <c r="G746" i="19"/>
  <c r="G699" i="19"/>
  <c r="F758" i="19"/>
  <c r="G672" i="19"/>
  <c r="G624" i="19"/>
  <c r="F745" i="19"/>
  <c r="G786" i="19"/>
  <c r="F637" i="19"/>
  <c r="G695" i="19"/>
  <c r="F647" i="19"/>
  <c r="G768" i="19"/>
  <c r="G720" i="19"/>
  <c r="G614" i="19"/>
  <c r="G682" i="19"/>
  <c r="F755" i="19"/>
  <c r="F759" i="19"/>
  <c r="G767" i="19"/>
  <c r="G781" i="19"/>
  <c r="H681" i="19"/>
  <c r="H633" i="19"/>
  <c r="H754" i="19"/>
  <c r="H706" i="19"/>
  <c r="H729" i="19"/>
  <c r="H667" i="19"/>
  <c r="H619" i="19"/>
  <c r="H752" i="19"/>
  <c r="H704" i="19"/>
  <c r="H741" i="19"/>
  <c r="H654" i="19"/>
  <c r="H606" i="19"/>
  <c r="H739" i="19"/>
  <c r="H792" i="19"/>
  <c r="H689" i="19"/>
  <c r="H641" i="19"/>
  <c r="H774" i="19"/>
  <c r="H726" i="19"/>
  <c r="F644" i="19"/>
  <c r="F664" i="19"/>
  <c r="F616" i="19"/>
  <c r="F749" i="19"/>
  <c r="F701" i="19"/>
  <c r="G790" i="19"/>
  <c r="F687" i="19"/>
  <c r="F639" i="19"/>
  <c r="F772" i="19"/>
  <c r="F724" i="19"/>
  <c r="F698" i="19"/>
  <c r="F711" i="19"/>
  <c r="F746" i="19"/>
  <c r="F699" i="19"/>
  <c r="G758" i="19"/>
  <c r="F672" i="19"/>
  <c r="F624" i="19"/>
  <c r="G745" i="19"/>
  <c r="F786" i="19"/>
  <c r="G637" i="19"/>
  <c r="F695" i="19"/>
  <c r="H647" i="19"/>
  <c r="F768" i="19"/>
  <c r="F720" i="19"/>
  <c r="F614" i="19"/>
  <c r="F682" i="19"/>
  <c r="H755" i="19"/>
  <c r="G759" i="19"/>
  <c r="F767" i="19"/>
  <c r="F781" i="19"/>
  <c r="G681" i="19"/>
  <c r="G633" i="19"/>
  <c r="G754" i="19"/>
  <c r="F706" i="19"/>
  <c r="F729" i="19"/>
  <c r="G667" i="19"/>
  <c r="G619" i="19"/>
  <c r="G752" i="19"/>
  <c r="F704" i="19"/>
  <c r="G741" i="19"/>
  <c r="G654" i="19"/>
  <c r="G606" i="19"/>
  <c r="G739" i="19"/>
  <c r="G792" i="19"/>
  <c r="G689" i="19"/>
  <c r="G641" i="19"/>
  <c r="G774" i="19"/>
  <c r="G726" i="19"/>
  <c r="G717" i="19"/>
  <c r="G652" i="19"/>
  <c r="G604" i="19"/>
  <c r="G737" i="19"/>
  <c r="G782" i="19"/>
  <c r="F656" i="19"/>
  <c r="G675" i="19"/>
  <c r="H627" i="19"/>
  <c r="G760" i="19"/>
  <c r="G712" i="19"/>
  <c r="G626" i="19"/>
  <c r="G697" i="19"/>
  <c r="G787" i="19"/>
  <c r="G685" i="19"/>
  <c r="G722" i="19"/>
  <c r="G660" i="19"/>
  <c r="F612" i="19"/>
  <c r="G733" i="19"/>
  <c r="G638" i="19"/>
  <c r="G770" i="19"/>
  <c r="G683" i="19"/>
  <c r="G635" i="19"/>
  <c r="G756" i="19"/>
  <c r="G708" i="19"/>
  <c r="H735" i="19"/>
  <c r="G670" i="19"/>
  <c r="H719" i="19"/>
  <c r="G658" i="19"/>
  <c r="G743" i="19"/>
  <c r="G777" i="19"/>
  <c r="H669" i="19"/>
  <c r="H621" i="19"/>
  <c r="H742" i="19"/>
  <c r="H783" i="19"/>
  <c r="H794" i="19"/>
  <c r="H655" i="19"/>
  <c r="H607" i="19"/>
  <c r="H740" i="19"/>
  <c r="H793" i="19"/>
  <c r="H690" i="19"/>
  <c r="H642" i="19"/>
  <c r="H775" i="19"/>
  <c r="H727" i="19"/>
  <c r="H680" i="19"/>
  <c r="H677" i="19"/>
  <c r="H629" i="19"/>
  <c r="H762" i="19"/>
  <c r="H714" i="19"/>
  <c r="F717" i="19"/>
  <c r="F652" i="19"/>
  <c r="F604" i="19"/>
  <c r="F737" i="19"/>
  <c r="F782" i="19"/>
  <c r="G656" i="19"/>
  <c r="F675" i="19"/>
  <c r="F627" i="19"/>
  <c r="F760" i="19"/>
  <c r="F712" i="19"/>
  <c r="F626" i="19"/>
  <c r="F697" i="19"/>
  <c r="F787" i="19"/>
  <c r="F685" i="19"/>
  <c r="F722" i="19"/>
  <c r="F660" i="19"/>
  <c r="G612" i="19"/>
  <c r="F733" i="19"/>
  <c r="F638" i="19"/>
  <c r="F770" i="19"/>
  <c r="F683" i="19"/>
  <c r="F635" i="19"/>
  <c r="F756" i="19"/>
  <c r="F708" i="19"/>
  <c r="F735" i="19"/>
  <c r="F670" i="19"/>
  <c r="F719" i="19"/>
  <c r="F658" i="19"/>
  <c r="F743" i="19"/>
  <c r="F777" i="19"/>
  <c r="G669" i="19"/>
  <c r="G621" i="19"/>
  <c r="G742" i="19"/>
  <c r="G783" i="19"/>
  <c r="G794" i="19"/>
  <c r="G655" i="19"/>
  <c r="G607" i="19"/>
  <c r="G740" i="19"/>
  <c r="G793" i="19"/>
  <c r="G690" i="19"/>
  <c r="G642" i="19"/>
  <c r="G775" i="19"/>
  <c r="G727" i="19"/>
  <c r="F680" i="19"/>
  <c r="G677" i="19"/>
  <c r="G629" i="19"/>
  <c r="G762" i="19"/>
  <c r="G714" i="19"/>
  <c r="H688" i="19"/>
  <c r="H640" i="19"/>
  <c r="H773" i="19"/>
  <c r="H725" i="19"/>
  <c r="H780" i="19"/>
  <c r="H765" i="19"/>
  <c r="G663" i="19"/>
  <c r="H615" i="19"/>
  <c r="H748" i="19"/>
  <c r="G700" i="19"/>
  <c r="H723" i="19"/>
  <c r="H661" i="19"/>
  <c r="H662" i="19"/>
  <c r="H649" i="19"/>
  <c r="H696" i="19"/>
  <c r="H648" i="19"/>
  <c r="H769" i="19"/>
  <c r="H721" i="19"/>
  <c r="H747" i="19"/>
  <c r="H734" i="19"/>
  <c r="H671" i="19"/>
  <c r="H623" i="19"/>
  <c r="H744" i="19"/>
  <c r="H785" i="19"/>
  <c r="H788" i="19"/>
  <c r="H646" i="19"/>
  <c r="H779" i="19"/>
  <c r="H634" i="19"/>
  <c r="H731" i="19"/>
  <c r="H784" i="19"/>
  <c r="F669" i="19"/>
  <c r="F621" i="19"/>
  <c r="F742" i="19"/>
  <c r="F783" i="19"/>
  <c r="F794" i="19"/>
  <c r="F655" i="19"/>
  <c r="F607" i="19"/>
  <c r="G627" i="19"/>
  <c r="H770" i="19"/>
  <c r="F681" i="19"/>
  <c r="F690" i="19"/>
  <c r="F629" i="19"/>
  <c r="H760" i="19"/>
  <c r="H683" i="19"/>
  <c r="F633" i="19"/>
  <c r="F654" i="19"/>
  <c r="F774" i="19"/>
  <c r="G719" i="19"/>
  <c r="H658" i="19"/>
  <c r="H712" i="19"/>
  <c r="H635" i="19"/>
  <c r="F754" i="19"/>
  <c r="F642" i="19"/>
  <c r="F762" i="19"/>
  <c r="H604" i="19"/>
  <c r="F752" i="19"/>
  <c r="H660" i="19"/>
  <c r="H626" i="19"/>
  <c r="H756" i="19"/>
  <c r="G706" i="19"/>
  <c r="F606" i="19"/>
  <c r="F726" i="19"/>
  <c r="H737" i="19"/>
  <c r="G680" i="19"/>
  <c r="H697" i="19"/>
  <c r="H708" i="19"/>
  <c r="G729" i="19"/>
  <c r="F775" i="19"/>
  <c r="F714" i="19"/>
  <c r="F792" i="19"/>
  <c r="H717" i="19"/>
  <c r="H787" i="19"/>
  <c r="G735" i="19"/>
  <c r="F667" i="19"/>
  <c r="F739" i="19"/>
  <c r="H722" i="19"/>
  <c r="F740" i="19"/>
  <c r="H652" i="19"/>
  <c r="H685" i="19"/>
  <c r="H670" i="19"/>
  <c r="F619" i="19"/>
  <c r="F727" i="19"/>
  <c r="H782" i="19"/>
  <c r="H612" i="19"/>
  <c r="H743" i="19"/>
  <c r="G704" i="19"/>
  <c r="F689" i="19"/>
  <c r="H656" i="19"/>
  <c r="H733" i="19"/>
  <c r="H777" i="19"/>
  <c r="F793" i="19"/>
  <c r="F677" i="19"/>
  <c r="H675" i="19"/>
  <c r="H638" i="19"/>
  <c r="F741" i="19"/>
  <c r="F641" i="19"/>
  <c r="H602" i="19"/>
  <c r="F602" i="19"/>
  <c r="G602" i="19"/>
  <c r="F92" i="19"/>
  <c r="F223" i="19"/>
  <c r="H486" i="19"/>
  <c r="F550" i="19"/>
  <c r="G243" i="19"/>
  <c r="AU243" i="19" s="1"/>
  <c r="G195" i="19"/>
  <c r="AU195" i="19" s="1"/>
  <c r="F147" i="19"/>
  <c r="G99" i="19"/>
  <c r="G51" i="19"/>
  <c r="AU51" i="19" s="1"/>
  <c r="F471" i="19"/>
  <c r="F423" i="19"/>
  <c r="F375" i="19"/>
  <c r="F327" i="19"/>
  <c r="F279" i="19"/>
  <c r="F559" i="19"/>
  <c r="F511" i="19"/>
  <c r="F476" i="19"/>
  <c r="G271" i="19"/>
  <c r="AU271" i="19" s="1"/>
  <c r="F78" i="19"/>
  <c r="F294" i="19"/>
  <c r="F206" i="19"/>
  <c r="F50" i="19"/>
  <c r="F434" i="19"/>
  <c r="F386" i="19"/>
  <c r="F338" i="19"/>
  <c r="F290" i="19"/>
  <c r="F570" i="19"/>
  <c r="F522" i="19"/>
  <c r="F104" i="19"/>
  <c r="F528" i="19"/>
  <c r="F54" i="19"/>
  <c r="F242" i="19"/>
  <c r="F98" i="19"/>
  <c r="F229" i="19"/>
  <c r="F97" i="19"/>
  <c r="F37" i="19"/>
  <c r="F457" i="19"/>
  <c r="F409" i="19"/>
  <c r="F361" i="19"/>
  <c r="F313" i="19"/>
  <c r="F593" i="19"/>
  <c r="F545" i="19"/>
  <c r="F497" i="19"/>
  <c r="F332" i="19"/>
  <c r="F174" i="19"/>
  <c r="F378" i="19"/>
  <c r="F526" i="19"/>
  <c r="F194" i="19"/>
  <c r="F74" i="19"/>
  <c r="F241" i="19"/>
  <c r="F157" i="19"/>
  <c r="F73" i="19"/>
  <c r="F228" i="19"/>
  <c r="F180" i="19"/>
  <c r="F132" i="19"/>
  <c r="F84" i="19"/>
  <c r="F36" i="19"/>
  <c r="F456" i="19"/>
  <c r="F408" i="19"/>
  <c r="F360" i="19"/>
  <c r="F312" i="19"/>
  <c r="H592" i="19"/>
  <c r="F544" i="19"/>
  <c r="F496" i="19"/>
  <c r="F167" i="19"/>
  <c r="F479" i="19"/>
  <c r="F335" i="19"/>
  <c r="G272" i="19"/>
  <c r="AU272" i="19" s="1"/>
  <c r="F143" i="19"/>
  <c r="F467" i="19"/>
  <c r="F311" i="19"/>
  <c r="F519" i="19"/>
  <c r="F238" i="19"/>
  <c r="F190" i="19"/>
  <c r="F142" i="19"/>
  <c r="F94" i="19"/>
  <c r="F46" i="19"/>
  <c r="F466" i="19"/>
  <c r="F418" i="19"/>
  <c r="F370" i="19"/>
  <c r="F322" i="19"/>
  <c r="F274" i="19"/>
  <c r="F554" i="19"/>
  <c r="F506" i="19"/>
  <c r="H452" i="19"/>
  <c r="H270" i="19"/>
  <c r="H426" i="19"/>
  <c r="G268" i="19"/>
  <c r="AU268" i="19" s="1"/>
  <c r="H231" i="19"/>
  <c r="H183" i="19"/>
  <c r="H135" i="19"/>
  <c r="H87" i="19"/>
  <c r="H39" i="19"/>
  <c r="G459" i="19"/>
  <c r="G411" i="19"/>
  <c r="AU411" i="19" s="1"/>
  <c r="G363" i="19"/>
  <c r="AU363" i="19" s="1"/>
  <c r="G315" i="19"/>
  <c r="AU315" i="19" s="1"/>
  <c r="H595" i="19"/>
  <c r="H547" i="19"/>
  <c r="H499" i="19"/>
  <c r="H380" i="19"/>
  <c r="H211" i="19"/>
  <c r="H462" i="19"/>
  <c r="H586" i="19"/>
  <c r="H158" i="19"/>
  <c r="H26" i="19"/>
  <c r="H422" i="19"/>
  <c r="H374" i="19"/>
  <c r="H326" i="19"/>
  <c r="H278" i="19"/>
  <c r="H558" i="19"/>
  <c r="H510" i="19"/>
  <c r="H464" i="19"/>
  <c r="H247" i="19"/>
  <c r="H438" i="19"/>
  <c r="H218" i="19"/>
  <c r="H62" i="19"/>
  <c r="G193" i="19"/>
  <c r="H85" i="19"/>
  <c r="H25" i="19"/>
  <c r="H445" i="19"/>
  <c r="H397" i="19"/>
  <c r="H349" i="19"/>
  <c r="H301" i="19"/>
  <c r="H581" i="19"/>
  <c r="G533" i="19"/>
  <c r="AU533" i="19" s="1"/>
  <c r="H164" i="19"/>
  <c r="H552" i="19"/>
  <c r="H102" i="19"/>
  <c r="H330" i="19"/>
  <c r="H256" i="19"/>
  <c r="H170" i="19"/>
  <c r="H38" i="19"/>
  <c r="G217" i="19"/>
  <c r="G145" i="19"/>
  <c r="AU145" i="19" s="1"/>
  <c r="H264" i="19"/>
  <c r="H216" i="19"/>
  <c r="H168" i="19"/>
  <c r="H120" i="19"/>
  <c r="H72" i="19"/>
  <c r="H24" i="19"/>
  <c r="H444" i="19"/>
  <c r="H396" i="19"/>
  <c r="H348" i="19"/>
  <c r="H300" i="19"/>
  <c r="H580" i="19"/>
  <c r="G532" i="19"/>
  <c r="AU532" i="19" s="1"/>
  <c r="H176" i="19"/>
  <c r="H131" i="19"/>
  <c r="H443" i="19"/>
  <c r="H287" i="19"/>
  <c r="H263" i="19"/>
  <c r="H107" i="19"/>
  <c r="H431" i="19"/>
  <c r="H275" i="19"/>
  <c r="H495" i="19"/>
  <c r="H226" i="19"/>
  <c r="H178" i="19"/>
  <c r="H130" i="19"/>
  <c r="H82" i="19"/>
  <c r="H34" i="19"/>
  <c r="H454" i="19"/>
  <c r="H406" i="19"/>
  <c r="H358" i="19"/>
  <c r="H310" i="19"/>
  <c r="H590" i="19"/>
  <c r="H542" i="19"/>
  <c r="H494" i="19"/>
  <c r="G452" i="19"/>
  <c r="G270" i="19"/>
  <c r="AU270" i="19" s="1"/>
  <c r="G426" i="19"/>
  <c r="AU426" i="19" s="1"/>
  <c r="F268" i="19"/>
  <c r="F231" i="19"/>
  <c r="G183" i="19"/>
  <c r="F135" i="19"/>
  <c r="F87" i="19"/>
  <c r="G39" i="19"/>
  <c r="AU39" i="19" s="1"/>
  <c r="H459" i="19"/>
  <c r="H411" i="19"/>
  <c r="H363" i="19"/>
  <c r="H315" i="19"/>
  <c r="G595" i="19"/>
  <c r="G547" i="19"/>
  <c r="AU547" i="19" s="1"/>
  <c r="G499" i="19"/>
  <c r="AU499" i="19" s="1"/>
  <c r="G380" i="19"/>
  <c r="AU380" i="19" s="1"/>
  <c r="G211" i="19"/>
  <c r="G462" i="19"/>
  <c r="G586" i="19"/>
  <c r="G158" i="19"/>
  <c r="AU158" i="19" s="1"/>
  <c r="G26" i="19"/>
  <c r="AU26" i="19" s="1"/>
  <c r="G422" i="19"/>
  <c r="G374" i="19"/>
  <c r="AU374" i="19" s="1"/>
  <c r="G326" i="19"/>
  <c r="AU326" i="19" s="1"/>
  <c r="G278" i="19"/>
  <c r="AU278" i="19" s="1"/>
  <c r="G558" i="19"/>
  <c r="G510" i="19"/>
  <c r="F464" i="19"/>
  <c r="F247" i="19"/>
  <c r="G438" i="19"/>
  <c r="AU438" i="19" s="1"/>
  <c r="G218" i="19"/>
  <c r="G62" i="19"/>
  <c r="AU62" i="19" s="1"/>
  <c r="H193" i="19"/>
  <c r="G85" i="19"/>
  <c r="G25" i="19"/>
  <c r="AU25" i="19" s="1"/>
  <c r="F445" i="19"/>
  <c r="G397" i="19"/>
  <c r="G349" i="19"/>
  <c r="G301" i="19"/>
  <c r="AU301" i="19" s="1"/>
  <c r="G581" i="19"/>
  <c r="H533" i="19"/>
  <c r="G164" i="19"/>
  <c r="AU164" i="19" s="1"/>
  <c r="G552" i="19"/>
  <c r="G102" i="19"/>
  <c r="G330" i="19"/>
  <c r="G256" i="19"/>
  <c r="G170" i="19"/>
  <c r="G38" i="19"/>
  <c r="AU38" i="19" s="1"/>
  <c r="H217" i="19"/>
  <c r="H145" i="19"/>
  <c r="G264" i="19"/>
  <c r="G216" i="19"/>
  <c r="G168" i="19"/>
  <c r="G120" i="19"/>
  <c r="AU120" i="19" s="1"/>
  <c r="G72" i="19"/>
  <c r="G24" i="19"/>
  <c r="AU24" i="19" s="1"/>
  <c r="F444" i="19"/>
  <c r="G396" i="19"/>
  <c r="F348" i="19"/>
  <c r="G300" i="19"/>
  <c r="AU300" i="19" s="1"/>
  <c r="G580" i="19"/>
  <c r="H532" i="19"/>
  <c r="G176" i="19"/>
  <c r="G131" i="19"/>
  <c r="AU131" i="19" s="1"/>
  <c r="G443" i="19"/>
  <c r="AU443" i="19" s="1"/>
  <c r="G287" i="19"/>
  <c r="AU287" i="19" s="1"/>
  <c r="F263" i="19"/>
  <c r="G107" i="19"/>
  <c r="G431" i="19"/>
  <c r="AU431" i="19" s="1"/>
  <c r="G275" i="19"/>
  <c r="AU275" i="19" s="1"/>
  <c r="G495" i="19"/>
  <c r="AU495" i="19" s="1"/>
  <c r="G226" i="19"/>
  <c r="AU226" i="19" s="1"/>
  <c r="F452" i="19"/>
  <c r="F270" i="19"/>
  <c r="F426" i="19"/>
  <c r="H268" i="19"/>
  <c r="G231" i="19"/>
  <c r="AU231" i="19" s="1"/>
  <c r="F183" i="19"/>
  <c r="G135" i="19"/>
  <c r="AU135" i="19" s="1"/>
  <c r="G87" i="19"/>
  <c r="F39" i="19"/>
  <c r="F459" i="19"/>
  <c r="F411" i="19"/>
  <c r="F363" i="19"/>
  <c r="F315" i="19"/>
  <c r="F595" i="19"/>
  <c r="F547" i="19"/>
  <c r="F499" i="19"/>
  <c r="F380" i="19"/>
  <c r="F211" i="19"/>
  <c r="F462" i="19"/>
  <c r="F586" i="19"/>
  <c r="F158" i="19"/>
  <c r="F26" i="19"/>
  <c r="F422" i="19"/>
  <c r="F374" i="19"/>
  <c r="F326" i="19"/>
  <c r="F278" i="19"/>
  <c r="F558" i="19"/>
  <c r="F510" i="19"/>
  <c r="G464" i="19"/>
  <c r="G247" i="19"/>
  <c r="F438" i="19"/>
  <c r="F218" i="19"/>
  <c r="F62" i="19"/>
  <c r="F193" i="19"/>
  <c r="F85" i="19"/>
  <c r="F25" i="19"/>
  <c r="G445" i="19"/>
  <c r="F397" i="19"/>
  <c r="F349" i="19"/>
  <c r="F301" i="19"/>
  <c r="F581" i="19"/>
  <c r="F533" i="19"/>
  <c r="F164" i="19"/>
  <c r="F552" i="19"/>
  <c r="F102" i="19"/>
  <c r="F330" i="19"/>
  <c r="F256" i="19"/>
  <c r="F170" i="19"/>
  <c r="F38" i="19"/>
  <c r="F217" i="19"/>
  <c r="F145" i="19"/>
  <c r="F264" i="19"/>
  <c r="F216" i="19"/>
  <c r="F168" i="19"/>
  <c r="F120" i="19"/>
  <c r="F72" i="19"/>
  <c r="F24" i="19"/>
  <c r="G444" i="19"/>
  <c r="F396" i="19"/>
  <c r="G348" i="19"/>
  <c r="F300" i="19"/>
  <c r="F580" i="19"/>
  <c r="F532" i="19"/>
  <c r="F176" i="19"/>
  <c r="F131" i="19"/>
  <c r="F443" i="19"/>
  <c r="F287" i="19"/>
  <c r="G263" i="19"/>
  <c r="F107" i="19"/>
  <c r="F431" i="19"/>
  <c r="F275" i="19"/>
  <c r="F495" i="19"/>
  <c r="F226" i="19"/>
  <c r="F178" i="19"/>
  <c r="F130" i="19"/>
  <c r="F82" i="19"/>
  <c r="F34" i="19"/>
  <c r="F454" i="19"/>
  <c r="F406" i="19"/>
  <c r="F358" i="19"/>
  <c r="F310" i="19"/>
  <c r="F590" i="19"/>
  <c r="F542" i="19"/>
  <c r="F494" i="19"/>
  <c r="H344" i="19"/>
  <c r="H186" i="19"/>
  <c r="H354" i="19"/>
  <c r="G267" i="19"/>
  <c r="AU267" i="19" s="1"/>
  <c r="H219" i="19"/>
  <c r="H171" i="19"/>
  <c r="H123" i="19"/>
  <c r="H75" i="19"/>
  <c r="H27" i="19"/>
  <c r="H447" i="19"/>
  <c r="H399" i="19"/>
  <c r="H351" i="19"/>
  <c r="H303" i="19"/>
  <c r="H583" i="19"/>
  <c r="G535" i="19"/>
  <c r="H248" i="19"/>
  <c r="H308" i="19"/>
  <c r="H198" i="19"/>
  <c r="H414" i="19"/>
  <c r="H514" i="19"/>
  <c r="H122" i="19"/>
  <c r="H470" i="19"/>
  <c r="H410" i="19"/>
  <c r="H362" i="19"/>
  <c r="H314" i="19"/>
  <c r="H594" i="19"/>
  <c r="H546" i="19"/>
  <c r="H498" i="19"/>
  <c r="H356" i="19"/>
  <c r="H210" i="19"/>
  <c r="H306" i="19"/>
  <c r="H182" i="19"/>
  <c r="H482" i="19"/>
  <c r="H169" i="19"/>
  <c r="H61" i="19"/>
  <c r="H481" i="19"/>
  <c r="H433" i="19"/>
  <c r="H385" i="19"/>
  <c r="H337" i="19"/>
  <c r="H289" i="19"/>
  <c r="H569" i="19"/>
  <c r="H521" i="19"/>
  <c r="H56" i="19"/>
  <c r="H187" i="19"/>
  <c r="H30" i="19"/>
  <c r="H282" i="19"/>
  <c r="H266" i="19"/>
  <c r="H146" i="19"/>
  <c r="H458" i="19"/>
  <c r="H205" i="19"/>
  <c r="G121" i="19"/>
  <c r="AU121" i="19" s="1"/>
  <c r="H252" i="19"/>
  <c r="H204" i="19"/>
  <c r="H156" i="19"/>
  <c r="H108" i="19"/>
  <c r="H60" i="19"/>
  <c r="H480" i="19"/>
  <c r="H432" i="19"/>
  <c r="H384" i="19"/>
  <c r="H336" i="19"/>
  <c r="H288" i="19"/>
  <c r="H568" i="19"/>
  <c r="H520" i="19"/>
  <c r="H239" i="19"/>
  <c r="H83" i="19"/>
  <c r="H407" i="19"/>
  <c r="H579" i="19"/>
  <c r="H227" i="19"/>
  <c r="H71" i="19"/>
  <c r="H395" i="19"/>
  <c r="G591" i="19"/>
  <c r="H262" i="19"/>
  <c r="H214" i="19"/>
  <c r="H166" i="19"/>
  <c r="H118" i="19"/>
  <c r="H70" i="19"/>
  <c r="H22" i="19"/>
  <c r="H442" i="19"/>
  <c r="H394" i="19"/>
  <c r="H346" i="19"/>
  <c r="H298" i="19"/>
  <c r="H578" i="19"/>
  <c r="H530" i="19"/>
  <c r="H188" i="19"/>
  <c r="F344" i="19"/>
  <c r="G186" i="19"/>
  <c r="G354" i="19"/>
  <c r="AU354" i="19" s="1"/>
  <c r="H267" i="19"/>
  <c r="G219" i="19"/>
  <c r="AU219" i="19" s="1"/>
  <c r="F171" i="19"/>
  <c r="F123" i="19"/>
  <c r="G75" i="19"/>
  <c r="F27" i="19"/>
  <c r="G447" i="19"/>
  <c r="AU447" i="19" s="1"/>
  <c r="G399" i="19"/>
  <c r="AU399" i="19" s="1"/>
  <c r="G351" i="19"/>
  <c r="AU351" i="19" s="1"/>
  <c r="G303" i="19"/>
  <c r="AU303" i="19" s="1"/>
  <c r="G583" i="19"/>
  <c r="H535" i="19"/>
  <c r="G248" i="19"/>
  <c r="G308" i="19"/>
  <c r="AU308" i="19" s="1"/>
  <c r="G198" i="19"/>
  <c r="AU198" i="19" s="1"/>
  <c r="G414" i="19"/>
  <c r="AU414" i="19" s="1"/>
  <c r="G514" i="19"/>
  <c r="AU514" i="19" s="1"/>
  <c r="G122" i="19"/>
  <c r="AU122" i="19" s="1"/>
  <c r="G470" i="19"/>
  <c r="G410" i="19"/>
  <c r="AU410" i="19" s="1"/>
  <c r="G362" i="19"/>
  <c r="G314" i="19"/>
  <c r="AU314" i="19" s="1"/>
  <c r="G594" i="19"/>
  <c r="G546" i="19"/>
  <c r="AU546" i="19" s="1"/>
  <c r="G498" i="19"/>
  <c r="AU498" i="19" s="1"/>
  <c r="G356" i="19"/>
  <c r="AU356" i="19" s="1"/>
  <c r="G210" i="19"/>
  <c r="AU210" i="19" s="1"/>
  <c r="G306" i="19"/>
  <c r="AU306" i="19" s="1"/>
  <c r="G182" i="19"/>
  <c r="G482" i="19"/>
  <c r="G169" i="19"/>
  <c r="G61" i="19"/>
  <c r="AU61" i="19" s="1"/>
  <c r="G481" i="19"/>
  <c r="G433" i="19"/>
  <c r="G385" i="19"/>
  <c r="G337" i="19"/>
  <c r="G289" i="19"/>
  <c r="AU289" i="19" s="1"/>
  <c r="G569" i="19"/>
  <c r="G521" i="19"/>
  <c r="G56" i="19"/>
  <c r="AU56" i="19" s="1"/>
  <c r="F187" i="19"/>
  <c r="G30" i="19"/>
  <c r="AU30" i="19" s="1"/>
  <c r="G282" i="19"/>
  <c r="AU282" i="19" s="1"/>
  <c r="G266" i="19"/>
  <c r="G146" i="19"/>
  <c r="AU146" i="19" s="1"/>
  <c r="G458" i="19"/>
  <c r="G205" i="19"/>
  <c r="H121" i="19"/>
  <c r="G252" i="19"/>
  <c r="G204" i="19"/>
  <c r="AU204" i="19" s="1"/>
  <c r="G156" i="19"/>
  <c r="AU156" i="19" s="1"/>
  <c r="G108" i="19"/>
  <c r="G60" i="19"/>
  <c r="AU60" i="19" s="1"/>
  <c r="G480" i="19"/>
  <c r="G432" i="19"/>
  <c r="AU432" i="19" s="1"/>
  <c r="G384" i="19"/>
  <c r="G336" i="19"/>
  <c r="G288" i="19"/>
  <c r="AU288" i="19" s="1"/>
  <c r="G568" i="19"/>
  <c r="AU568" i="19" s="1"/>
  <c r="G520" i="19"/>
  <c r="AU520" i="19" s="1"/>
  <c r="G239" i="19"/>
  <c r="AU239" i="19" s="1"/>
  <c r="G83" i="19"/>
  <c r="G407" i="19"/>
  <c r="AU407" i="19" s="1"/>
  <c r="G579" i="19"/>
  <c r="G227" i="19"/>
  <c r="AU227" i="19" s="1"/>
  <c r="G71" i="19"/>
  <c r="G395" i="19"/>
  <c r="H591" i="19"/>
  <c r="G262" i="19"/>
  <c r="G214" i="19"/>
  <c r="G166" i="19"/>
  <c r="G118" i="19"/>
  <c r="AU118" i="19" s="1"/>
  <c r="G70" i="19"/>
  <c r="G22" i="19"/>
  <c r="AU22" i="19" s="1"/>
  <c r="G442" i="19"/>
  <c r="AU442" i="19" s="1"/>
  <c r="G394" i="19"/>
  <c r="G346" i="19"/>
  <c r="G298" i="19"/>
  <c r="AU298" i="19" s="1"/>
  <c r="G578" i="19"/>
  <c r="G530" i="19"/>
  <c r="G188" i="19"/>
  <c r="G344" i="19"/>
  <c r="F186" i="19"/>
  <c r="F354" i="19"/>
  <c r="F267" i="19"/>
  <c r="F219" i="19"/>
  <c r="G171" i="19"/>
  <c r="G123" i="19"/>
  <c r="AU123" i="19" s="1"/>
  <c r="F75" i="19"/>
  <c r="G27" i="19"/>
  <c r="AU27" i="19" s="1"/>
  <c r="F447" i="19"/>
  <c r="F399" i="19"/>
  <c r="F351" i="19"/>
  <c r="F303" i="19"/>
  <c r="F583" i="19"/>
  <c r="F535" i="19"/>
  <c r="F248" i="19"/>
  <c r="F308" i="19"/>
  <c r="F198" i="19"/>
  <c r="F414" i="19"/>
  <c r="F514" i="19"/>
  <c r="F122" i="19"/>
  <c r="F470" i="19"/>
  <c r="F410" i="19"/>
  <c r="F362" i="19"/>
  <c r="F314" i="19"/>
  <c r="F594" i="19"/>
  <c r="F546" i="19"/>
  <c r="F498" i="19"/>
  <c r="F356" i="19"/>
  <c r="F210" i="19"/>
  <c r="F306" i="19"/>
  <c r="F182" i="19"/>
  <c r="F482" i="19"/>
  <c r="F169" i="19"/>
  <c r="F61" i="19"/>
  <c r="F481" i="19"/>
  <c r="F433" i="19"/>
  <c r="F385" i="19"/>
  <c r="F337" i="19"/>
  <c r="F289" i="19"/>
  <c r="F569" i="19"/>
  <c r="F521" i="19"/>
  <c r="F56" i="19"/>
  <c r="G187" i="19"/>
  <c r="F30" i="19"/>
  <c r="F282" i="19"/>
  <c r="F266" i="19"/>
  <c r="F146" i="19"/>
  <c r="F458" i="19"/>
  <c r="F205" i="19"/>
  <c r="F121" i="19"/>
  <c r="F252" i="19"/>
  <c r="F204" i="19"/>
  <c r="F156" i="19"/>
  <c r="F108" i="19"/>
  <c r="F60" i="19"/>
  <c r="F480" i="19"/>
  <c r="F432" i="19"/>
  <c r="F384" i="19"/>
  <c r="F336" i="19"/>
  <c r="F288" i="19"/>
  <c r="F568" i="19"/>
  <c r="F520" i="19"/>
  <c r="F239" i="19"/>
  <c r="F83" i="19"/>
  <c r="F407" i="19"/>
  <c r="F579" i="19"/>
  <c r="F227" i="19"/>
  <c r="F71" i="19"/>
  <c r="F395" i="19"/>
  <c r="F591" i="19"/>
  <c r="F262" i="19"/>
  <c r="F214" i="19"/>
  <c r="F166" i="19"/>
  <c r="F118" i="19"/>
  <c r="F70" i="19"/>
  <c r="F22" i="19"/>
  <c r="F442" i="19"/>
  <c r="F394" i="19"/>
  <c r="F346" i="19"/>
  <c r="F298" i="19"/>
  <c r="F578" i="19"/>
  <c r="F530" i="19"/>
  <c r="F188" i="19"/>
  <c r="H212" i="19"/>
  <c r="H540" i="19"/>
  <c r="H114" i="19"/>
  <c r="H318" i="19"/>
  <c r="H255" i="19"/>
  <c r="H207" i="19"/>
  <c r="H159" i="19"/>
  <c r="H111" i="19"/>
  <c r="H63" i="19"/>
  <c r="G483" i="19"/>
  <c r="AU483" i="19" s="1"/>
  <c r="H435" i="19"/>
  <c r="H387" i="19"/>
  <c r="H339" i="19"/>
  <c r="H291" i="19"/>
  <c r="H571" i="19"/>
  <c r="H523" i="19"/>
  <c r="H116" i="19"/>
  <c r="H576" i="19"/>
  <c r="H138" i="19"/>
  <c r="H342" i="19"/>
  <c r="H254" i="19"/>
  <c r="H86" i="19"/>
  <c r="H446" i="19"/>
  <c r="H398" i="19"/>
  <c r="H350" i="19"/>
  <c r="H302" i="19"/>
  <c r="H582" i="19"/>
  <c r="G534" i="19"/>
  <c r="AU534" i="19" s="1"/>
  <c r="H236" i="19"/>
  <c r="H284" i="19"/>
  <c r="H126" i="19"/>
  <c r="H232" i="19"/>
  <c r="H134" i="19"/>
  <c r="G265" i="19"/>
  <c r="H133" i="19"/>
  <c r="G49" i="19"/>
  <c r="AU49" i="19" s="1"/>
  <c r="H469" i="19"/>
  <c r="H421" i="19"/>
  <c r="H373" i="19"/>
  <c r="H325" i="19"/>
  <c r="G277" i="19"/>
  <c r="AU277" i="19" s="1"/>
  <c r="H557" i="19"/>
  <c r="H509" i="19"/>
  <c r="H428" i="19"/>
  <c r="H246" i="19"/>
  <c r="H450" i="19"/>
  <c r="H574" i="19"/>
  <c r="H230" i="19"/>
  <c r="H110" i="19"/>
  <c r="H253" i="19"/>
  <c r="H181" i="19"/>
  <c r="H109" i="19"/>
  <c r="H240" i="19"/>
  <c r="H192" i="19"/>
  <c r="H144" i="19"/>
  <c r="H96" i="19"/>
  <c r="H48" i="19"/>
  <c r="H468" i="19"/>
  <c r="H420" i="19"/>
  <c r="H372" i="19"/>
  <c r="H324" i="19"/>
  <c r="H276" i="19"/>
  <c r="G556" i="19"/>
  <c r="AU556" i="19" s="1"/>
  <c r="G508" i="19"/>
  <c r="AU508" i="19" s="1"/>
  <c r="H203" i="19"/>
  <c r="H47" i="19"/>
  <c r="H371" i="19"/>
  <c r="G531" i="19"/>
  <c r="AU531" i="19" s="1"/>
  <c r="H179" i="19"/>
  <c r="H35" i="19"/>
  <c r="H359" i="19"/>
  <c r="G555" i="19"/>
  <c r="AU555" i="19" s="1"/>
  <c r="H250" i="19"/>
  <c r="H202" i="19"/>
  <c r="H154" i="19"/>
  <c r="H106" i="19"/>
  <c r="H58" i="19"/>
  <c r="H478" i="19"/>
  <c r="H430" i="19"/>
  <c r="H382" i="19"/>
  <c r="H334" i="19"/>
  <c r="H286" i="19"/>
  <c r="H566" i="19"/>
  <c r="H518" i="19"/>
  <c r="H251" i="19"/>
  <c r="G212" i="19"/>
  <c r="G540" i="19"/>
  <c r="AU540" i="19" s="1"/>
  <c r="G114" i="19"/>
  <c r="AU114" i="19" s="1"/>
  <c r="G318" i="19"/>
  <c r="AU318" i="19" s="1"/>
  <c r="G255" i="19"/>
  <c r="F207" i="19"/>
  <c r="F159" i="19"/>
  <c r="G111" i="19"/>
  <c r="AU111" i="19" s="1"/>
  <c r="F63" i="19"/>
  <c r="H483" i="19"/>
  <c r="G435" i="19"/>
  <c r="AU435" i="19" s="1"/>
  <c r="G387" i="19"/>
  <c r="G339" i="19"/>
  <c r="G291" i="19"/>
  <c r="AU291" i="19" s="1"/>
  <c r="G571" i="19"/>
  <c r="G523" i="19"/>
  <c r="G116" i="19"/>
  <c r="AU116" i="19" s="1"/>
  <c r="G576" i="19"/>
  <c r="G138" i="19"/>
  <c r="AU138" i="19" s="1"/>
  <c r="G342" i="19"/>
  <c r="G254" i="19"/>
  <c r="G86" i="19"/>
  <c r="G446" i="19"/>
  <c r="G398" i="19"/>
  <c r="G350" i="19"/>
  <c r="G302" i="19"/>
  <c r="AU302" i="19" s="1"/>
  <c r="G582" i="19"/>
  <c r="F534" i="19"/>
  <c r="G236" i="19"/>
  <c r="G284" i="19"/>
  <c r="AU284" i="19" s="1"/>
  <c r="G126" i="19"/>
  <c r="AU126" i="19" s="1"/>
  <c r="G232" i="19"/>
  <c r="AU232" i="19" s="1"/>
  <c r="G134" i="19"/>
  <c r="AU134" i="19" s="1"/>
  <c r="H265" i="19"/>
  <c r="G133" i="19"/>
  <c r="AU133" i="19" s="1"/>
  <c r="H49" i="19"/>
  <c r="F469" i="19"/>
  <c r="G421" i="19"/>
  <c r="G373" i="19"/>
  <c r="AU373" i="19" s="1"/>
  <c r="F325" i="19"/>
  <c r="H277" i="19"/>
  <c r="G557" i="19"/>
  <c r="G509" i="19"/>
  <c r="AU509" i="19" s="1"/>
  <c r="G428" i="19"/>
  <c r="G246" i="19"/>
  <c r="AU246" i="19" s="1"/>
  <c r="G450" i="19"/>
  <c r="G574" i="19"/>
  <c r="G230" i="19"/>
  <c r="G110" i="19"/>
  <c r="G253" i="19"/>
  <c r="G181" i="19"/>
  <c r="G109" i="19"/>
  <c r="G240" i="19"/>
  <c r="AU240" i="19" s="1"/>
  <c r="G192" i="19"/>
  <c r="G144" i="19"/>
  <c r="AU144" i="19" s="1"/>
  <c r="G96" i="19"/>
  <c r="G48" i="19"/>
  <c r="AU48" i="19" s="1"/>
  <c r="F468" i="19"/>
  <c r="G420" i="19"/>
  <c r="AU420" i="19" s="1"/>
  <c r="G372" i="19"/>
  <c r="AU372" i="19" s="1"/>
  <c r="F324" i="19"/>
  <c r="G276" i="19"/>
  <c r="AU276" i="19" s="1"/>
  <c r="H556" i="19"/>
  <c r="H508" i="19"/>
  <c r="G203" i="19"/>
  <c r="AU203" i="19" s="1"/>
  <c r="G47" i="19"/>
  <c r="AU47" i="19" s="1"/>
  <c r="G371" i="19"/>
  <c r="AU371" i="19" s="1"/>
  <c r="H531" i="19"/>
  <c r="G179" i="19"/>
  <c r="G35" i="19"/>
  <c r="AU35" i="19" s="1"/>
  <c r="G359" i="19"/>
  <c r="H555" i="19"/>
  <c r="G250" i="19"/>
  <c r="G202" i="19"/>
  <c r="AU202" i="19" s="1"/>
  <c r="G154" i="19"/>
  <c r="AU154" i="19" s="1"/>
  <c r="G106" i="19"/>
  <c r="G58" i="19"/>
  <c r="AU58" i="19" s="1"/>
  <c r="G478" i="19"/>
  <c r="G430" i="19"/>
  <c r="AU430" i="19" s="1"/>
  <c r="G382" i="19"/>
  <c r="G334" i="19"/>
  <c r="G286" i="19"/>
  <c r="AU286" i="19" s="1"/>
  <c r="G566" i="19"/>
  <c r="G518" i="19"/>
  <c r="G92" i="19"/>
  <c r="G223" i="19"/>
  <c r="F486" i="19"/>
  <c r="G550" i="19"/>
  <c r="AU550" i="19" s="1"/>
  <c r="F243" i="19"/>
  <c r="F195" i="19"/>
  <c r="G147" i="19"/>
  <c r="F99" i="19"/>
  <c r="F51" i="19"/>
  <c r="G471" i="19"/>
  <c r="AU471" i="19" s="1"/>
  <c r="G423" i="19"/>
  <c r="AU423" i="19" s="1"/>
  <c r="G375" i="19"/>
  <c r="AU375" i="19" s="1"/>
  <c r="G327" i="19"/>
  <c r="G279" i="19"/>
  <c r="AU279" i="19" s="1"/>
  <c r="G559" i="19"/>
  <c r="G511" i="19"/>
  <c r="G476" i="19"/>
  <c r="F271" i="19"/>
  <c r="G78" i="19"/>
  <c r="G294" i="19"/>
  <c r="AU294" i="19" s="1"/>
  <c r="G206" i="19"/>
  <c r="G50" i="19"/>
  <c r="AU50" i="19" s="1"/>
  <c r="G434" i="19"/>
  <c r="G386" i="19"/>
  <c r="G338" i="19"/>
  <c r="G290" i="19"/>
  <c r="AU290" i="19" s="1"/>
  <c r="G570" i="19"/>
  <c r="G522" i="19"/>
  <c r="G104" i="19"/>
  <c r="G528" i="19"/>
  <c r="G54" i="19"/>
  <c r="AU54" i="19" s="1"/>
  <c r="G242" i="19"/>
  <c r="G98" i="19"/>
  <c r="G229" i="19"/>
  <c r="G97" i="19"/>
  <c r="G37" i="19"/>
  <c r="AU37" i="19" s="1"/>
  <c r="G457" i="19"/>
  <c r="G409" i="19"/>
  <c r="AU409" i="19" s="1"/>
  <c r="G361" i="19"/>
  <c r="G313" i="19"/>
  <c r="AU313" i="19" s="1"/>
  <c r="G593" i="19"/>
  <c r="G545" i="19"/>
  <c r="AU545" i="19" s="1"/>
  <c r="G497" i="19"/>
  <c r="AU497" i="19" s="1"/>
  <c r="G332" i="19"/>
  <c r="G174" i="19"/>
  <c r="G378" i="19"/>
  <c r="AU378" i="19" s="1"/>
  <c r="G526" i="19"/>
  <c r="AU526" i="19" s="1"/>
  <c r="G194" i="19"/>
  <c r="G74" i="19"/>
  <c r="G241" i="19"/>
  <c r="G157" i="19"/>
  <c r="AU157" i="19" s="1"/>
  <c r="H73" i="19"/>
  <c r="G228" i="19"/>
  <c r="AU228" i="19" s="1"/>
  <c r="G180" i="19"/>
  <c r="G132" i="19"/>
  <c r="AU132" i="19" s="1"/>
  <c r="G84" i="19"/>
  <c r="G36" i="19"/>
  <c r="AU36" i="19" s="1"/>
  <c r="G456" i="19"/>
  <c r="G408" i="19"/>
  <c r="AU408" i="19" s="1"/>
  <c r="G360" i="19"/>
  <c r="G312" i="19"/>
  <c r="AU312" i="19" s="1"/>
  <c r="F592" i="19"/>
  <c r="G544" i="19"/>
  <c r="AU544" i="19" s="1"/>
  <c r="G496" i="19"/>
  <c r="AU496" i="19" s="1"/>
  <c r="G167" i="19"/>
  <c r="G479" i="19"/>
  <c r="G335" i="19"/>
  <c r="F272" i="19"/>
  <c r="G143" i="19"/>
  <c r="AU143" i="19" s="1"/>
  <c r="G467" i="19"/>
  <c r="G311" i="19"/>
  <c r="AU311" i="19" s="1"/>
  <c r="G519" i="19"/>
  <c r="AU519" i="19" s="1"/>
  <c r="G238" i="19"/>
  <c r="AU238" i="19" s="1"/>
  <c r="G190" i="19"/>
  <c r="G142" i="19"/>
  <c r="AU142" i="19" s="1"/>
  <c r="G94" i="19"/>
  <c r="G46" i="19"/>
  <c r="AU46" i="19" s="1"/>
  <c r="G466" i="19"/>
  <c r="G418" i="19"/>
  <c r="AU418" i="19" s="1"/>
  <c r="G370" i="19"/>
  <c r="AU370" i="19" s="1"/>
  <c r="G322" i="19"/>
  <c r="AU322" i="19" s="1"/>
  <c r="G274" i="19"/>
  <c r="AU274" i="19" s="1"/>
  <c r="G554" i="19"/>
  <c r="G506" i="19"/>
  <c r="G215" i="19"/>
  <c r="F318" i="19"/>
  <c r="F483" i="19"/>
  <c r="F523" i="19"/>
  <c r="F86" i="19"/>
  <c r="H534" i="19"/>
  <c r="F265" i="19"/>
  <c r="G325" i="19"/>
  <c r="AU325" i="19" s="1"/>
  <c r="F450" i="19"/>
  <c r="F109" i="19"/>
  <c r="G468" i="19"/>
  <c r="F508" i="19"/>
  <c r="F35" i="19"/>
  <c r="H142" i="19"/>
  <c r="H418" i="19"/>
  <c r="H554" i="19"/>
  <c r="H155" i="19"/>
  <c r="H23" i="19"/>
  <c r="H347" i="19"/>
  <c r="H543" i="19"/>
  <c r="H237" i="19"/>
  <c r="H189" i="19"/>
  <c r="H141" i="19"/>
  <c r="H93" i="19"/>
  <c r="H45" i="19"/>
  <c r="H465" i="19"/>
  <c r="H417" i="19"/>
  <c r="H369" i="19"/>
  <c r="H321" i="19"/>
  <c r="H273" i="19"/>
  <c r="H565" i="19"/>
  <c r="H517" i="19"/>
  <c r="H128" i="19"/>
  <c r="H516" i="19"/>
  <c r="H504" i="19"/>
  <c r="H151" i="19"/>
  <c r="H103" i="19"/>
  <c r="H55" i="19"/>
  <c r="H475" i="19"/>
  <c r="H427" i="19"/>
  <c r="H379" i="19"/>
  <c r="H331" i="19"/>
  <c r="H283" i="19"/>
  <c r="H563" i="19"/>
  <c r="H515" i="19"/>
  <c r="H32" i="19"/>
  <c r="H234" i="19"/>
  <c r="H490" i="19"/>
  <c r="H320" i="19"/>
  <c r="H150" i="19"/>
  <c r="H562" i="19"/>
  <c r="H257" i="19"/>
  <c r="H209" i="19"/>
  <c r="H161" i="19"/>
  <c r="H113" i="19"/>
  <c r="H65" i="19"/>
  <c r="H485" i="19"/>
  <c r="H437" i="19"/>
  <c r="H389" i="19"/>
  <c r="H341" i="19"/>
  <c r="H293" i="19"/>
  <c r="H573" i="19"/>
  <c r="H525" i="19"/>
  <c r="H224" i="19"/>
  <c r="H235" i="19"/>
  <c r="H390" i="19"/>
  <c r="G196" i="19"/>
  <c r="AU196" i="19" s="1"/>
  <c r="G148" i="19"/>
  <c r="H100" i="19"/>
  <c r="G52" i="19"/>
  <c r="AU52" i="19" s="1"/>
  <c r="H472" i="19"/>
  <c r="H424" i="19"/>
  <c r="H376" i="19"/>
  <c r="H328" i="19"/>
  <c r="H280" i="19"/>
  <c r="H560" i="19"/>
  <c r="H512" i="19"/>
  <c r="F421" i="19"/>
  <c r="F531" i="19"/>
  <c r="F299" i="19"/>
  <c r="F117" i="19"/>
  <c r="G392" i="19"/>
  <c r="G403" i="19"/>
  <c r="AU403" i="19" s="1"/>
  <c r="F366" i="19"/>
  <c r="F137" i="19"/>
  <c r="H550" i="19"/>
  <c r="H471" i="19"/>
  <c r="H511" i="19"/>
  <c r="H50" i="19"/>
  <c r="H522" i="19"/>
  <c r="H229" i="19"/>
  <c r="H313" i="19"/>
  <c r="H378" i="19"/>
  <c r="G73" i="19"/>
  <c r="H456" i="19"/>
  <c r="H496" i="19"/>
  <c r="H467" i="19"/>
  <c r="G130" i="19"/>
  <c r="AU130" i="19" s="1"/>
  <c r="G406" i="19"/>
  <c r="AU406" i="19" s="1"/>
  <c r="G542" i="19"/>
  <c r="G155" i="19"/>
  <c r="AU155" i="19" s="1"/>
  <c r="G23" i="19"/>
  <c r="AU23" i="19" s="1"/>
  <c r="G347" i="19"/>
  <c r="G543" i="19"/>
  <c r="AU543" i="19" s="1"/>
  <c r="G237" i="19"/>
  <c r="AU237" i="19" s="1"/>
  <c r="G189" i="19"/>
  <c r="G141" i="19"/>
  <c r="AU141" i="19" s="1"/>
  <c r="G93" i="19"/>
  <c r="G45" i="19"/>
  <c r="AU45" i="19" s="1"/>
  <c r="G465" i="19"/>
  <c r="AU465" i="19" s="1"/>
  <c r="G417" i="19"/>
  <c r="AU417" i="19" s="1"/>
  <c r="G369" i="19"/>
  <c r="AU369" i="19" s="1"/>
  <c r="G321" i="19"/>
  <c r="AU321" i="19" s="1"/>
  <c r="G273" i="19"/>
  <c r="AU273" i="19" s="1"/>
  <c r="G565" i="19"/>
  <c r="G517" i="19"/>
  <c r="G128" i="19"/>
  <c r="AU128" i="19" s="1"/>
  <c r="G516" i="19"/>
  <c r="G504" i="19"/>
  <c r="AU504" i="19" s="1"/>
  <c r="G151" i="19"/>
  <c r="F103" i="19"/>
  <c r="G55" i="19"/>
  <c r="AU55" i="19" s="1"/>
  <c r="G475" i="19"/>
  <c r="G427" i="19"/>
  <c r="F379" i="19"/>
  <c r="F331" i="19"/>
  <c r="G283" i="19"/>
  <c r="AU283" i="19" s="1"/>
  <c r="G563" i="19"/>
  <c r="G515" i="19"/>
  <c r="G32" i="19"/>
  <c r="AU32" i="19" s="1"/>
  <c r="G234" i="19"/>
  <c r="AU234" i="19" s="1"/>
  <c r="G490" i="19"/>
  <c r="AU490" i="19" s="1"/>
  <c r="F320" i="19"/>
  <c r="G150" i="19"/>
  <c r="G562" i="19"/>
  <c r="G257" i="19"/>
  <c r="G209" i="19"/>
  <c r="AU209" i="19" s="1"/>
  <c r="G161" i="19"/>
  <c r="AU161" i="19" s="1"/>
  <c r="G113" i="19"/>
  <c r="AU113" i="19" s="1"/>
  <c r="G65" i="19"/>
  <c r="AU65" i="19" s="1"/>
  <c r="G485" i="19"/>
  <c r="AU485" i="19" s="1"/>
  <c r="G437" i="19"/>
  <c r="AU437" i="19" s="1"/>
  <c r="G389" i="19"/>
  <c r="G341" i="19"/>
  <c r="G293" i="19"/>
  <c r="AU293" i="19" s="1"/>
  <c r="G573" i="19"/>
  <c r="G525" i="19"/>
  <c r="AU525" i="19" s="1"/>
  <c r="G224" i="19"/>
  <c r="G235" i="19"/>
  <c r="G390" i="19"/>
  <c r="H196" i="19"/>
  <c r="F148" i="19"/>
  <c r="F100" i="19"/>
  <c r="H52" i="19"/>
  <c r="G472" i="19"/>
  <c r="AU472" i="19" s="1"/>
  <c r="G424" i="19"/>
  <c r="AU424" i="19" s="1"/>
  <c r="G376" i="19"/>
  <c r="AU376" i="19" s="1"/>
  <c r="G328" i="19"/>
  <c r="G280" i="19"/>
  <c r="AU280" i="19" s="1"/>
  <c r="F560" i="19"/>
  <c r="F512" i="19"/>
  <c r="F428" i="19"/>
  <c r="F253" i="19"/>
  <c r="F202" i="19"/>
  <c r="F165" i="19"/>
  <c r="F541" i="19"/>
  <c r="F451" i="19"/>
  <c r="F44" i="19"/>
  <c r="F255" i="19"/>
  <c r="F435" i="19"/>
  <c r="F116" i="19"/>
  <c r="F446" i="19"/>
  <c r="F236" i="19"/>
  <c r="F133" i="19"/>
  <c r="F277" i="19"/>
  <c r="F574" i="19"/>
  <c r="F240" i="19"/>
  <c r="F420" i="19"/>
  <c r="F203" i="19"/>
  <c r="F359" i="19"/>
  <c r="F106" i="19"/>
  <c r="F382" i="19"/>
  <c r="F518" i="19"/>
  <c r="F155" i="19"/>
  <c r="F23" i="19"/>
  <c r="F347" i="19"/>
  <c r="F543" i="19"/>
  <c r="F237" i="19"/>
  <c r="F189" i="19"/>
  <c r="F141" i="19"/>
  <c r="F93" i="19"/>
  <c r="F45" i="19"/>
  <c r="F465" i="19"/>
  <c r="F417" i="19"/>
  <c r="F369" i="19"/>
  <c r="F321" i="19"/>
  <c r="F273" i="19"/>
  <c r="F565" i="19"/>
  <c r="F517" i="19"/>
  <c r="F128" i="19"/>
  <c r="F516" i="19"/>
  <c r="F504" i="19"/>
  <c r="F151" i="19"/>
  <c r="G103" i="19"/>
  <c r="F55" i="19"/>
  <c r="F475" i="19"/>
  <c r="F427" i="19"/>
  <c r="G379" i="19"/>
  <c r="AU379" i="19" s="1"/>
  <c r="G331" i="19"/>
  <c r="F283" i="19"/>
  <c r="F563" i="19"/>
  <c r="F515" i="19"/>
  <c r="F32" i="19"/>
  <c r="F234" i="19"/>
  <c r="F490" i="19"/>
  <c r="G320" i="19"/>
  <c r="AU320" i="19" s="1"/>
  <c r="F150" i="19"/>
  <c r="F562" i="19"/>
  <c r="F257" i="19"/>
  <c r="F209" i="19"/>
  <c r="F161" i="19"/>
  <c r="F113" i="19"/>
  <c r="F65" i="19"/>
  <c r="F485" i="19"/>
  <c r="F437" i="19"/>
  <c r="F389" i="19"/>
  <c r="F341" i="19"/>
  <c r="F293" i="19"/>
  <c r="F573" i="19"/>
  <c r="F525" i="19"/>
  <c r="F224" i="19"/>
  <c r="F235" i="19"/>
  <c r="F390" i="19"/>
  <c r="F196" i="19"/>
  <c r="H148" i="19"/>
  <c r="G100" i="19"/>
  <c r="F52" i="19"/>
  <c r="F472" i="19"/>
  <c r="F424" i="19"/>
  <c r="F376" i="19"/>
  <c r="F328" i="19"/>
  <c r="F280" i="19"/>
  <c r="G560" i="19"/>
  <c r="G512" i="19"/>
  <c r="F291" i="19"/>
  <c r="F478" i="19"/>
  <c r="F213" i="19"/>
  <c r="F297" i="19"/>
  <c r="F79" i="19"/>
  <c r="F539" i="19"/>
  <c r="F474" i="19"/>
  <c r="H243" i="19"/>
  <c r="H423" i="19"/>
  <c r="H476" i="19"/>
  <c r="H434" i="19"/>
  <c r="H104" i="19"/>
  <c r="H97" i="19"/>
  <c r="H593" i="19"/>
  <c r="H526" i="19"/>
  <c r="H228" i="19"/>
  <c r="H408" i="19"/>
  <c r="H167" i="19"/>
  <c r="H311" i="19"/>
  <c r="H94" i="19"/>
  <c r="H370" i="19"/>
  <c r="H506" i="19"/>
  <c r="H119" i="19"/>
  <c r="H455" i="19"/>
  <c r="H323" i="19"/>
  <c r="G507" i="19"/>
  <c r="AU507" i="19" s="1"/>
  <c r="H225" i="19"/>
  <c r="H177" i="19"/>
  <c r="H129" i="19"/>
  <c r="H81" i="19"/>
  <c r="H33" i="19"/>
  <c r="H453" i="19"/>
  <c r="H405" i="19"/>
  <c r="H357" i="19"/>
  <c r="H309" i="19"/>
  <c r="H601" i="19"/>
  <c r="H553" i="19"/>
  <c r="H505" i="19"/>
  <c r="H488" i="19"/>
  <c r="H200" i="19"/>
  <c r="H259" i="19"/>
  <c r="H139" i="19"/>
  <c r="H91" i="19"/>
  <c r="H43" i="19"/>
  <c r="H463" i="19"/>
  <c r="H415" i="19"/>
  <c r="H367" i="19"/>
  <c r="H319" i="19"/>
  <c r="H599" i="19"/>
  <c r="H551" i="19"/>
  <c r="H503" i="19"/>
  <c r="H368" i="19"/>
  <c r="H42" i="19"/>
  <c r="H140" i="19"/>
  <c r="H564" i="19"/>
  <c r="H90" i="19"/>
  <c r="H538" i="19"/>
  <c r="H245" i="19"/>
  <c r="H197" i="19"/>
  <c r="H149" i="19"/>
  <c r="H101" i="19"/>
  <c r="H53" i="19"/>
  <c r="H473" i="19"/>
  <c r="H425" i="19"/>
  <c r="H377" i="19"/>
  <c r="H329" i="19"/>
  <c r="H281" i="19"/>
  <c r="H561" i="19"/>
  <c r="H513" i="19"/>
  <c r="H68" i="19"/>
  <c r="H258" i="19"/>
  <c r="H244" i="19"/>
  <c r="H184" i="19"/>
  <c r="H136" i="19"/>
  <c r="H88" i="19"/>
  <c r="H40" i="19"/>
  <c r="H460" i="19"/>
  <c r="G412" i="19"/>
  <c r="AU412" i="19" s="1"/>
  <c r="G364" i="19"/>
  <c r="AU364" i="19" s="1"/>
  <c r="G316" i="19"/>
  <c r="AU316" i="19" s="1"/>
  <c r="H596" i="19"/>
  <c r="H548" i="19"/>
  <c r="H500" i="19"/>
  <c r="F111" i="19"/>
  <c r="F286" i="19"/>
  <c r="F21" i="19"/>
  <c r="F80" i="19"/>
  <c r="G355" i="19"/>
  <c r="AU355" i="19" s="1"/>
  <c r="F199" i="19"/>
  <c r="G207" i="19"/>
  <c r="AU207" i="19" s="1"/>
  <c r="F387" i="19"/>
  <c r="F576" i="19"/>
  <c r="F398" i="19"/>
  <c r="F284" i="19"/>
  <c r="F49" i="19"/>
  <c r="F557" i="19"/>
  <c r="F230" i="19"/>
  <c r="F192" i="19"/>
  <c r="F372" i="19"/>
  <c r="F47" i="19"/>
  <c r="F555" i="19"/>
  <c r="G82" i="19"/>
  <c r="G358" i="19"/>
  <c r="G494" i="19"/>
  <c r="AU494" i="19" s="1"/>
  <c r="G119" i="19"/>
  <c r="AU119" i="19" s="1"/>
  <c r="G455" i="19"/>
  <c r="G323" i="19"/>
  <c r="AU323" i="19" s="1"/>
  <c r="H507" i="19"/>
  <c r="G225" i="19"/>
  <c r="AU225" i="19" s="1"/>
  <c r="G177" i="19"/>
  <c r="G129" i="19"/>
  <c r="AU129" i="19" s="1"/>
  <c r="G81" i="19"/>
  <c r="G33" i="19"/>
  <c r="AU33" i="19" s="1"/>
  <c r="G453" i="19"/>
  <c r="G405" i="19"/>
  <c r="AU405" i="19" s="1"/>
  <c r="G357" i="19"/>
  <c r="G309" i="19"/>
  <c r="AU309" i="19" s="1"/>
  <c r="G601" i="19"/>
  <c r="G553" i="19"/>
  <c r="G505" i="19"/>
  <c r="F488" i="19"/>
  <c r="G200" i="19"/>
  <c r="F259" i="19"/>
  <c r="G139" i="19"/>
  <c r="AU139" i="19" s="1"/>
  <c r="G91" i="19"/>
  <c r="F43" i="19"/>
  <c r="G463" i="19"/>
  <c r="F415" i="19"/>
  <c r="F367" i="19"/>
  <c r="F319" i="19"/>
  <c r="G599" i="19"/>
  <c r="G551" i="19"/>
  <c r="AU551" i="19" s="1"/>
  <c r="G503" i="19"/>
  <c r="AU503" i="19" s="1"/>
  <c r="F368" i="19"/>
  <c r="G42" i="19"/>
  <c r="AU42" i="19" s="1"/>
  <c r="G140" i="19"/>
  <c r="AU140" i="19" s="1"/>
  <c r="G564" i="19"/>
  <c r="G90" i="19"/>
  <c r="G538" i="19"/>
  <c r="AU538" i="19" s="1"/>
  <c r="G245" i="19"/>
  <c r="AU245" i="19" s="1"/>
  <c r="G197" i="19"/>
  <c r="AU197" i="19" s="1"/>
  <c r="G149" i="19"/>
  <c r="G101" i="19"/>
  <c r="G53" i="19"/>
  <c r="AU53" i="19" s="1"/>
  <c r="G473" i="19"/>
  <c r="G425" i="19"/>
  <c r="AU425" i="19" s="1"/>
  <c r="G377" i="19"/>
  <c r="AU377" i="19" s="1"/>
  <c r="G329" i="19"/>
  <c r="G281" i="19"/>
  <c r="AU281" i="19" s="1"/>
  <c r="G561" i="19"/>
  <c r="AU561" i="19" s="1"/>
  <c r="G513" i="19"/>
  <c r="AU513" i="19" s="1"/>
  <c r="G68" i="19"/>
  <c r="AU68" i="19" s="1"/>
  <c r="G258" i="19"/>
  <c r="F244" i="19"/>
  <c r="G184" i="19"/>
  <c r="F136" i="19"/>
  <c r="G88" i="19"/>
  <c r="G40" i="19"/>
  <c r="AU40" i="19" s="1"/>
  <c r="G460" i="19"/>
  <c r="H412" i="19"/>
  <c r="F364" i="19"/>
  <c r="F316" i="19"/>
  <c r="G596" i="19"/>
  <c r="G548" i="19"/>
  <c r="AU548" i="19" s="1"/>
  <c r="G500" i="19"/>
  <c r="F540" i="19"/>
  <c r="F419" i="19"/>
  <c r="G589" i="19"/>
  <c r="G307" i="19"/>
  <c r="AU307" i="19" s="1"/>
  <c r="F233" i="19"/>
  <c r="H195" i="19"/>
  <c r="H375" i="19"/>
  <c r="H271" i="19"/>
  <c r="H386" i="19"/>
  <c r="H528" i="19"/>
  <c r="H37" i="19"/>
  <c r="H545" i="19"/>
  <c r="H194" i="19"/>
  <c r="H180" i="19"/>
  <c r="H360" i="19"/>
  <c r="H479" i="19"/>
  <c r="H519" i="19"/>
  <c r="F58" i="19"/>
  <c r="F334" i="19"/>
  <c r="G251" i="19"/>
  <c r="F119" i="19"/>
  <c r="F455" i="19"/>
  <c r="F323" i="19"/>
  <c r="F507" i="19"/>
  <c r="F225" i="19"/>
  <c r="F177" i="19"/>
  <c r="F129" i="19"/>
  <c r="F81" i="19"/>
  <c r="F33" i="19"/>
  <c r="F453" i="19"/>
  <c r="F405" i="19"/>
  <c r="F357" i="19"/>
  <c r="F309" i="19"/>
  <c r="F601" i="19"/>
  <c r="F553" i="19"/>
  <c r="F505" i="19"/>
  <c r="G488" i="19"/>
  <c r="AU488" i="19" s="1"/>
  <c r="F200" i="19"/>
  <c r="G259" i="19"/>
  <c r="F139" i="19"/>
  <c r="F91" i="19"/>
  <c r="G43" i="19"/>
  <c r="AU43" i="19" s="1"/>
  <c r="F463" i="19"/>
  <c r="G415" i="19"/>
  <c r="G367" i="19"/>
  <c r="AU367" i="19" s="1"/>
  <c r="G319" i="19"/>
  <c r="AU319" i="19" s="1"/>
  <c r="F599" i="19"/>
  <c r="F551" i="19"/>
  <c r="F503" i="19"/>
  <c r="G368" i="19"/>
  <c r="AU368" i="19" s="1"/>
  <c r="F42" i="19"/>
  <c r="F140" i="19"/>
  <c r="F564" i="19"/>
  <c r="F90" i="19"/>
  <c r="F538" i="19"/>
  <c r="F245" i="19"/>
  <c r="F197" i="19"/>
  <c r="F149" i="19"/>
  <c r="F101" i="19"/>
  <c r="F53" i="19"/>
  <c r="F473" i="19"/>
  <c r="F425" i="19"/>
  <c r="F377" i="19"/>
  <c r="F329" i="19"/>
  <c r="F281" i="19"/>
  <c r="F561" i="19"/>
  <c r="F513" i="19"/>
  <c r="F68" i="19"/>
  <c r="F258" i="19"/>
  <c r="G244" i="19"/>
  <c r="AU244" i="19" s="1"/>
  <c r="F184" i="19"/>
  <c r="G136" i="19"/>
  <c r="AU136" i="19" s="1"/>
  <c r="F88" i="19"/>
  <c r="F40" i="19"/>
  <c r="F460" i="19"/>
  <c r="F412" i="19"/>
  <c r="H364" i="19"/>
  <c r="H316" i="19"/>
  <c r="F596" i="19"/>
  <c r="F548" i="19"/>
  <c r="F500" i="19"/>
  <c r="F342" i="19"/>
  <c r="F276" i="19"/>
  <c r="F95" i="19"/>
  <c r="F441" i="19"/>
  <c r="G493" i="19"/>
  <c r="AU493" i="19" s="1"/>
  <c r="G31" i="19"/>
  <c r="AU31" i="19" s="1"/>
  <c r="F600" i="19"/>
  <c r="F89" i="19"/>
  <c r="F212" i="19"/>
  <c r="G159" i="19"/>
  <c r="F339" i="19"/>
  <c r="F138" i="19"/>
  <c r="F350" i="19"/>
  <c r="F126" i="19"/>
  <c r="G469" i="19"/>
  <c r="F509" i="19"/>
  <c r="F110" i="19"/>
  <c r="F144" i="19"/>
  <c r="G324" i="19"/>
  <c r="AU324" i="19" s="1"/>
  <c r="F371" i="19"/>
  <c r="F250" i="19"/>
  <c r="H46" i="19"/>
  <c r="H322" i="19"/>
  <c r="F251" i="19"/>
  <c r="H95" i="19"/>
  <c r="H419" i="19"/>
  <c r="H299" i="19"/>
  <c r="H261" i="19"/>
  <c r="H213" i="19"/>
  <c r="H165" i="19"/>
  <c r="H117" i="19"/>
  <c r="H69" i="19"/>
  <c r="H21" i="19"/>
  <c r="H441" i="19"/>
  <c r="H393" i="19"/>
  <c r="H345" i="19"/>
  <c r="H297" i="19"/>
  <c r="H589" i="19"/>
  <c r="H541" i="19"/>
  <c r="H493" i="19"/>
  <c r="H392" i="19"/>
  <c r="H80" i="19"/>
  <c r="H175" i="19"/>
  <c r="H127" i="19"/>
  <c r="H79" i="19"/>
  <c r="H31" i="19"/>
  <c r="H451" i="19"/>
  <c r="H403" i="19"/>
  <c r="H355" i="19"/>
  <c r="H307" i="19"/>
  <c r="H587" i="19"/>
  <c r="H539" i="19"/>
  <c r="H491" i="19"/>
  <c r="H600" i="19"/>
  <c r="H366" i="19"/>
  <c r="H44" i="19"/>
  <c r="H199" i="19"/>
  <c r="H474" i="19"/>
  <c r="H502" i="19"/>
  <c r="H233" i="19"/>
  <c r="H185" i="19"/>
  <c r="H137" i="19"/>
  <c r="H89" i="19"/>
  <c r="H41" i="19"/>
  <c r="H461" i="19"/>
  <c r="H413" i="19"/>
  <c r="H365" i="19"/>
  <c r="H317" i="19"/>
  <c r="H597" i="19"/>
  <c r="H549" i="19"/>
  <c r="H501" i="19"/>
  <c r="H404" i="19"/>
  <c r="H162" i="19"/>
  <c r="G220" i="19"/>
  <c r="AU220" i="19" s="1"/>
  <c r="H172" i="19"/>
  <c r="G124" i="19"/>
  <c r="AU124" i="19" s="1"/>
  <c r="G76" i="19"/>
  <c r="H28" i="19"/>
  <c r="H448" i="19"/>
  <c r="H400" i="19"/>
  <c r="H352" i="19"/>
  <c r="H304" i="19"/>
  <c r="H584" i="19"/>
  <c r="H536" i="19"/>
  <c r="F302" i="19"/>
  <c r="F261" i="19"/>
  <c r="F393" i="19"/>
  <c r="F127" i="19"/>
  <c r="F491" i="19"/>
  <c r="F185" i="19"/>
  <c r="H92" i="19"/>
  <c r="H147" i="19"/>
  <c r="H327" i="19"/>
  <c r="H78" i="19"/>
  <c r="H338" i="19"/>
  <c r="H54" i="19"/>
  <c r="H457" i="19"/>
  <c r="H497" i="19"/>
  <c r="H74" i="19"/>
  <c r="H132" i="19"/>
  <c r="H312" i="19"/>
  <c r="H335" i="19"/>
  <c r="H238" i="19"/>
  <c r="G34" i="19"/>
  <c r="AU34" i="19" s="1"/>
  <c r="G310" i="19"/>
  <c r="AU310" i="19" s="1"/>
  <c r="H215" i="19"/>
  <c r="G95" i="19"/>
  <c r="G419" i="19"/>
  <c r="AU419" i="19" s="1"/>
  <c r="G299" i="19"/>
  <c r="AU299" i="19" s="1"/>
  <c r="G261" i="19"/>
  <c r="G213" i="19"/>
  <c r="G165" i="19"/>
  <c r="G117" i="19"/>
  <c r="AU117" i="19" s="1"/>
  <c r="G69" i="19"/>
  <c r="G21" i="19"/>
  <c r="AU21" i="19" s="1"/>
  <c r="G441" i="19"/>
  <c r="AU441" i="19" s="1"/>
  <c r="G393" i="19"/>
  <c r="G345" i="19"/>
  <c r="G297" i="19"/>
  <c r="AU297" i="19" s="1"/>
  <c r="F589" i="19"/>
  <c r="G541" i="19"/>
  <c r="F493" i="19"/>
  <c r="F392" i="19"/>
  <c r="G80" i="19"/>
  <c r="F175" i="19"/>
  <c r="G127" i="19"/>
  <c r="AU127" i="19" s="1"/>
  <c r="G79" i="19"/>
  <c r="F31" i="19"/>
  <c r="G451" i="19"/>
  <c r="F403" i="19"/>
  <c r="F355" i="19"/>
  <c r="F307" i="19"/>
  <c r="G587" i="19"/>
  <c r="G539" i="19"/>
  <c r="AU539" i="19" s="1"/>
  <c r="G491" i="19"/>
  <c r="AU491" i="19" s="1"/>
  <c r="G600" i="19"/>
  <c r="G366" i="19"/>
  <c r="AU366" i="19" s="1"/>
  <c r="G44" i="19"/>
  <c r="AU44" i="19" s="1"/>
  <c r="G199" i="19"/>
  <c r="G474" i="19"/>
  <c r="G502" i="19"/>
  <c r="AU502" i="19" s="1"/>
  <c r="G233" i="19"/>
  <c r="AU233" i="19" s="1"/>
  <c r="G185" i="19"/>
  <c r="G137" i="19"/>
  <c r="AU137" i="19" s="1"/>
  <c r="G89" i="19"/>
  <c r="G41" i="19"/>
  <c r="AU41" i="19" s="1"/>
  <c r="G461" i="19"/>
  <c r="G413" i="19"/>
  <c r="AU413" i="19" s="1"/>
  <c r="G365" i="19"/>
  <c r="AU365" i="19" s="1"/>
  <c r="G317" i="19"/>
  <c r="AU317" i="19" s="1"/>
  <c r="G597" i="19"/>
  <c r="G549" i="19"/>
  <c r="AU549" i="19" s="1"/>
  <c r="G501" i="19"/>
  <c r="AU501" i="19" s="1"/>
  <c r="G404" i="19"/>
  <c r="AU404" i="19" s="1"/>
  <c r="G162" i="19"/>
  <c r="AU162" i="19" s="1"/>
  <c r="F220" i="19"/>
  <c r="F172" i="19"/>
  <c r="H124" i="19"/>
  <c r="F76" i="19"/>
  <c r="F28" i="19"/>
  <c r="G448" i="19"/>
  <c r="AU448" i="19" s="1"/>
  <c r="G400" i="19"/>
  <c r="AU400" i="19" s="1"/>
  <c r="G352" i="19"/>
  <c r="AU352" i="19" s="1"/>
  <c r="G304" i="19"/>
  <c r="AU304" i="19" s="1"/>
  <c r="F584" i="19"/>
  <c r="F536" i="19"/>
  <c r="F232" i="19"/>
  <c r="F96" i="19"/>
  <c r="F215" i="19"/>
  <c r="F69" i="19"/>
  <c r="F345" i="19"/>
  <c r="G175" i="19"/>
  <c r="F587" i="19"/>
  <c r="F502" i="19"/>
  <c r="H223" i="19"/>
  <c r="H99" i="19"/>
  <c r="H279" i="19"/>
  <c r="H294" i="19"/>
  <c r="H290" i="19"/>
  <c r="H242" i="19"/>
  <c r="H409" i="19"/>
  <c r="H332" i="19"/>
  <c r="H241" i="19"/>
  <c r="H84" i="19"/>
  <c r="G592" i="19"/>
  <c r="H272" i="19"/>
  <c r="H190" i="19"/>
  <c r="H466" i="19"/>
  <c r="H274" i="19"/>
  <c r="H191" i="19"/>
  <c r="H59" i="19"/>
  <c r="H383" i="19"/>
  <c r="H567" i="19"/>
  <c r="H249" i="19"/>
  <c r="H201" i="19"/>
  <c r="H153" i="19"/>
  <c r="H105" i="19"/>
  <c r="H57" i="19"/>
  <c r="H477" i="19"/>
  <c r="H429" i="19"/>
  <c r="H381" i="19"/>
  <c r="H333" i="19"/>
  <c r="H285" i="19"/>
  <c r="H577" i="19"/>
  <c r="H529" i="19"/>
  <c r="H260" i="19"/>
  <c r="H296" i="19"/>
  <c r="H440" i="19"/>
  <c r="H163" i="19"/>
  <c r="H115" i="19"/>
  <c r="H67" i="19"/>
  <c r="H487" i="19"/>
  <c r="H439" i="19"/>
  <c r="H391" i="19"/>
  <c r="H343" i="19"/>
  <c r="H295" i="19"/>
  <c r="H575" i="19"/>
  <c r="H527" i="19"/>
  <c r="H152" i="19"/>
  <c r="H492" i="19"/>
  <c r="H598" i="19"/>
  <c r="H416" i="19"/>
  <c r="H222" i="19"/>
  <c r="H402" i="19"/>
  <c r="H269" i="19"/>
  <c r="H221" i="19"/>
  <c r="H173" i="19"/>
  <c r="H125" i="19"/>
  <c r="H77" i="19"/>
  <c r="H29" i="19"/>
  <c r="H449" i="19"/>
  <c r="H401" i="19"/>
  <c r="H353" i="19"/>
  <c r="H305" i="19"/>
  <c r="H585" i="19"/>
  <c r="H537" i="19"/>
  <c r="H489" i="19"/>
  <c r="H588" i="19"/>
  <c r="H66" i="19"/>
  <c r="H208" i="19"/>
  <c r="H160" i="19"/>
  <c r="H112" i="19"/>
  <c r="H64" i="19"/>
  <c r="G484" i="19"/>
  <c r="AU484" i="19" s="1"/>
  <c r="H436" i="19"/>
  <c r="H388" i="19"/>
  <c r="H340" i="19"/>
  <c r="H292" i="19"/>
  <c r="H572" i="19"/>
  <c r="H524" i="19"/>
  <c r="F114" i="19"/>
  <c r="G63" i="19"/>
  <c r="AU63" i="19" s="1"/>
  <c r="F571" i="19"/>
  <c r="F254" i="19"/>
  <c r="F582" i="19"/>
  <c r="F134" i="19"/>
  <c r="F373" i="19"/>
  <c r="H361" i="19"/>
  <c r="F154" i="19"/>
  <c r="F567" i="19"/>
  <c r="F477" i="19"/>
  <c r="F529" i="19"/>
  <c r="F67" i="19"/>
  <c r="F575" i="19"/>
  <c r="F222" i="19"/>
  <c r="F77" i="19"/>
  <c r="F353" i="19"/>
  <c r="F489" i="19"/>
  <c r="F160" i="19"/>
  <c r="F436" i="19"/>
  <c r="F572" i="19"/>
  <c r="F124" i="19"/>
  <c r="F105" i="19"/>
  <c r="G537" i="19"/>
  <c r="AU537" i="19" s="1"/>
  <c r="G383" i="19"/>
  <c r="G125" i="19"/>
  <c r="AU125" i="19" s="1"/>
  <c r="G208" i="19"/>
  <c r="AU208" i="19" s="1"/>
  <c r="G115" i="19"/>
  <c r="AU115" i="19" s="1"/>
  <c r="F246" i="19"/>
  <c r="G454" i="19"/>
  <c r="G249" i="19"/>
  <c r="G429" i="19"/>
  <c r="AU429" i="19" s="1"/>
  <c r="F260" i="19"/>
  <c r="G487" i="19"/>
  <c r="AU487" i="19" s="1"/>
  <c r="G527" i="19"/>
  <c r="AU527" i="19" s="1"/>
  <c r="G402" i="19"/>
  <c r="AU402" i="19" s="1"/>
  <c r="F41" i="19"/>
  <c r="F317" i="19"/>
  <c r="F404" i="19"/>
  <c r="F400" i="19"/>
  <c r="G536" i="19"/>
  <c r="F59" i="19"/>
  <c r="F598" i="19"/>
  <c r="F484" i="19"/>
  <c r="H206" i="19"/>
  <c r="F416" i="19"/>
  <c r="H484" i="19"/>
  <c r="F577" i="19"/>
  <c r="H174" i="19"/>
  <c r="F430" i="19"/>
  <c r="F249" i="19"/>
  <c r="F429" i="19"/>
  <c r="G260" i="19"/>
  <c r="F487" i="19"/>
  <c r="F527" i="19"/>
  <c r="F402" i="19"/>
  <c r="G29" i="19"/>
  <c r="AU29" i="19" s="1"/>
  <c r="G305" i="19"/>
  <c r="AU305" i="19" s="1"/>
  <c r="F588" i="19"/>
  <c r="G112" i="19"/>
  <c r="AU112" i="19" s="1"/>
  <c r="G388" i="19"/>
  <c r="G524" i="19"/>
  <c r="H559" i="19"/>
  <c r="G401" i="19"/>
  <c r="AU401" i="19" s="1"/>
  <c r="F115" i="19"/>
  <c r="F57" i="19"/>
  <c r="F365" i="19"/>
  <c r="G584" i="19"/>
  <c r="F181" i="19"/>
  <c r="G590" i="19"/>
  <c r="G201" i="19"/>
  <c r="AU201" i="19" s="1"/>
  <c r="G381" i="19"/>
  <c r="F296" i="19"/>
  <c r="G439" i="19"/>
  <c r="AU439" i="19" s="1"/>
  <c r="G152" i="19"/>
  <c r="G269" i="19"/>
  <c r="AU269" i="19" s="1"/>
  <c r="F29" i="19"/>
  <c r="F305" i="19"/>
  <c r="G588" i="19"/>
  <c r="F112" i="19"/>
  <c r="F388" i="19"/>
  <c r="F524" i="19"/>
  <c r="F285" i="19"/>
  <c r="F208" i="19"/>
  <c r="G57" i="19"/>
  <c r="AU57" i="19" s="1"/>
  <c r="F401" i="19"/>
  <c r="F292" i="19"/>
  <c r="H157" i="19"/>
  <c r="F566" i="19"/>
  <c r="F201" i="19"/>
  <c r="F381" i="19"/>
  <c r="G296" i="19"/>
  <c r="AU296" i="19" s="1"/>
  <c r="F439" i="19"/>
  <c r="F152" i="19"/>
  <c r="F269" i="19"/>
  <c r="F461" i="19"/>
  <c r="F597" i="19"/>
  <c r="F162" i="19"/>
  <c r="H76" i="19"/>
  <c r="F352" i="19"/>
  <c r="G343" i="19"/>
  <c r="H143" i="19"/>
  <c r="F125" i="19"/>
  <c r="G172" i="19"/>
  <c r="F48" i="19"/>
  <c r="G191" i="19"/>
  <c r="G153" i="19"/>
  <c r="AU153" i="19" s="1"/>
  <c r="G333" i="19"/>
  <c r="F440" i="19"/>
  <c r="F391" i="19"/>
  <c r="G492" i="19"/>
  <c r="AU492" i="19" s="1"/>
  <c r="G221" i="19"/>
  <c r="AU221" i="19" s="1"/>
  <c r="G449" i="19"/>
  <c r="AU449" i="19" s="1"/>
  <c r="G585" i="19"/>
  <c r="G66" i="19"/>
  <c r="AU66" i="19" s="1"/>
  <c r="F64" i="19"/>
  <c r="G340" i="19"/>
  <c r="F340" i="19"/>
  <c r="G295" i="19"/>
  <c r="AU295" i="19" s="1"/>
  <c r="G486" i="19"/>
  <c r="AU486" i="19" s="1"/>
  <c r="H36" i="19"/>
  <c r="F191" i="19"/>
  <c r="F153" i="19"/>
  <c r="F333" i="19"/>
  <c r="G440" i="19"/>
  <c r="G391" i="19"/>
  <c r="F492" i="19"/>
  <c r="F221" i="19"/>
  <c r="F449" i="19"/>
  <c r="F585" i="19"/>
  <c r="F66" i="19"/>
  <c r="G64" i="19"/>
  <c r="AU64" i="19" s="1"/>
  <c r="F163" i="19"/>
  <c r="G292" i="19"/>
  <c r="AU292" i="19" s="1"/>
  <c r="F179" i="19"/>
  <c r="F295" i="19"/>
  <c r="F537" i="19"/>
  <c r="H51" i="19"/>
  <c r="F556" i="19"/>
  <c r="G59" i="19"/>
  <c r="AU59" i="19" s="1"/>
  <c r="G105" i="19"/>
  <c r="G285" i="19"/>
  <c r="AU285" i="19" s="1"/>
  <c r="G163" i="19"/>
  <c r="AU163" i="19" s="1"/>
  <c r="F343" i="19"/>
  <c r="G598" i="19"/>
  <c r="G173" i="19"/>
  <c r="F413" i="19"/>
  <c r="F549" i="19"/>
  <c r="H220" i="19"/>
  <c r="G28" i="19"/>
  <c r="AU28" i="19" s="1"/>
  <c r="F304" i="19"/>
  <c r="G577" i="19"/>
  <c r="F383" i="19"/>
  <c r="G416" i="19"/>
  <c r="F501" i="19"/>
  <c r="F448" i="19"/>
  <c r="H570" i="19"/>
  <c r="H98" i="19"/>
  <c r="G178" i="19"/>
  <c r="G567" i="19"/>
  <c r="AU567" i="19" s="1"/>
  <c r="G477" i="19"/>
  <c r="G529" i="19"/>
  <c r="G67" i="19"/>
  <c r="AU67" i="19" s="1"/>
  <c r="G575" i="19"/>
  <c r="G222" i="19"/>
  <c r="AU222" i="19" s="1"/>
  <c r="G77" i="19"/>
  <c r="G353" i="19"/>
  <c r="AU353" i="19" s="1"/>
  <c r="G489" i="19"/>
  <c r="AU489" i="19" s="1"/>
  <c r="G160" i="19"/>
  <c r="AU160" i="19" s="1"/>
  <c r="G436" i="19"/>
  <c r="AU436" i="19" s="1"/>
  <c r="G572" i="19"/>
  <c r="H544" i="19"/>
  <c r="F173" i="19"/>
  <c r="X8" i="55"/>
  <c r="Y6" i="55"/>
  <c r="AA62" i="56" s="1"/>
  <c r="X19" i="55"/>
  <c r="Z76" i="56" s="1"/>
  <c r="Q77" i="75" s="1"/>
  <c r="AA76" i="56"/>
  <c r="X13" i="55"/>
  <c r="Z69" i="56" s="1"/>
  <c r="Q47" i="75" s="1"/>
  <c r="AA69" i="56"/>
  <c r="X37" i="55"/>
  <c r="AA94" i="56"/>
  <c r="X25" i="55"/>
  <c r="AA88" i="56"/>
  <c r="X24" i="55"/>
  <c r="Z80" i="56" s="1"/>
  <c r="Q92" i="75" s="1"/>
  <c r="AA81" i="56"/>
  <c r="X38" i="55"/>
  <c r="Z95" i="56" s="1"/>
  <c r="Q152" i="75" s="1"/>
  <c r="AA95" i="56"/>
  <c r="X34" i="55"/>
  <c r="AA91" i="56"/>
  <c r="X43" i="55"/>
  <c r="AA100" i="56"/>
  <c r="H3" i="19"/>
  <c r="G3" i="19"/>
  <c r="AU3" i="19" s="1"/>
  <c r="F3" i="19"/>
  <c r="H4" i="19"/>
  <c r="G4" i="19"/>
  <c r="AU4" i="19" s="1"/>
  <c r="F4" i="19"/>
  <c r="H7" i="19"/>
  <c r="G7" i="19"/>
  <c r="AU7" i="19" s="1"/>
  <c r="F7" i="19"/>
  <c r="H5" i="19"/>
  <c r="G5" i="19"/>
  <c r="AU5" i="19" s="1"/>
  <c r="F5" i="19"/>
  <c r="H6" i="19"/>
  <c r="G6" i="19"/>
  <c r="AU6" i="19" s="1"/>
  <c r="F6" i="19"/>
  <c r="H8" i="19"/>
  <c r="G8" i="19"/>
  <c r="AU8" i="19" s="1"/>
  <c r="F8" i="19"/>
  <c r="H11" i="19"/>
  <c r="G11" i="19"/>
  <c r="AU11" i="19" s="1"/>
  <c r="F11" i="19"/>
  <c r="H19" i="19"/>
  <c r="G19" i="19"/>
  <c r="AU19" i="19" s="1"/>
  <c r="F19" i="19"/>
  <c r="H17" i="19"/>
  <c r="G17" i="19"/>
  <c r="AU17" i="19" s="1"/>
  <c r="F17" i="19"/>
  <c r="H16" i="19"/>
  <c r="G16" i="19"/>
  <c r="AU16" i="19" s="1"/>
  <c r="F16" i="19"/>
  <c r="H15" i="19"/>
  <c r="G15" i="19"/>
  <c r="AU15" i="19" s="1"/>
  <c r="F15" i="19"/>
  <c r="H14" i="19"/>
  <c r="G14" i="19"/>
  <c r="AU14" i="19" s="1"/>
  <c r="F14" i="19"/>
  <c r="H18" i="19"/>
  <c r="G18" i="19"/>
  <c r="AU18" i="19" s="1"/>
  <c r="F18" i="19"/>
  <c r="F13" i="19"/>
  <c r="H13" i="19"/>
  <c r="G13" i="19"/>
  <c r="AU13" i="19" s="1"/>
  <c r="F12" i="19"/>
  <c r="G12" i="19"/>
  <c r="AU12" i="19" s="1"/>
  <c r="H12" i="19"/>
  <c r="H10" i="19"/>
  <c r="G10" i="19"/>
  <c r="AU10" i="19" s="1"/>
  <c r="F10" i="19"/>
  <c r="H9" i="19"/>
  <c r="G9" i="19"/>
  <c r="AU9" i="19" s="1"/>
  <c r="F9" i="19"/>
  <c r="H20" i="19"/>
  <c r="G20" i="19"/>
  <c r="AU20" i="19" s="1"/>
  <c r="F20" i="19"/>
  <c r="Y75" i="56"/>
  <c r="X82" i="56"/>
  <c r="Y92" i="56"/>
  <c r="Z68" i="56"/>
  <c r="Q42" i="75" s="1"/>
  <c r="Y81" i="56"/>
  <c r="X97" i="56"/>
  <c r="Y95" i="56"/>
  <c r="Y65" i="56"/>
  <c r="Z67" i="56"/>
  <c r="Y68" i="56"/>
  <c r="X40" i="55"/>
  <c r="Z96" i="56" s="1"/>
  <c r="Q157" i="75" s="1"/>
  <c r="X62" i="56"/>
  <c r="X61" i="56"/>
  <c r="X15" i="55"/>
  <c r="Y58" i="56"/>
  <c r="Z60" i="56"/>
  <c r="Q12" i="75" s="1"/>
  <c r="Y88" i="56"/>
  <c r="X91" i="56"/>
  <c r="X90" i="56"/>
  <c r="Y100" i="56"/>
  <c r="X31" i="55"/>
  <c r="Y64" i="56"/>
  <c r="Y63" i="56"/>
  <c r="Y66" i="56"/>
  <c r="Y94" i="56"/>
  <c r="X36" i="55"/>
  <c r="Y73" i="56"/>
  <c r="Y71" i="56"/>
  <c r="X9" i="55"/>
  <c r="Y76" i="56"/>
  <c r="Y93" i="56"/>
  <c r="X42" i="55"/>
  <c r="Y41" i="55"/>
  <c r="AA98" i="56" s="1"/>
  <c r="Y26" i="55"/>
  <c r="AA82" i="56" s="1"/>
  <c r="Y33" i="55"/>
  <c r="AA89" i="56" s="1"/>
  <c r="Z73" i="56"/>
  <c r="Q62" i="75" s="1"/>
  <c r="Z77" i="56"/>
  <c r="Z101" i="56"/>
  <c r="Q177" i="75" s="1"/>
  <c r="W41" i="55"/>
  <c r="Y99" i="56" s="1"/>
  <c r="X99" i="56"/>
  <c r="W26" i="55"/>
  <c r="Y84" i="56" s="1"/>
  <c r="X84" i="56"/>
  <c r="W33" i="55"/>
  <c r="Y89" i="56" s="1"/>
  <c r="W6" i="55"/>
  <c r="E18" i="19"/>
  <c r="E14" i="19"/>
  <c r="E10" i="19"/>
  <c r="E9" i="19"/>
  <c r="E20" i="19"/>
  <c r="E19" i="19"/>
  <c r="E17" i="19"/>
  <c r="E13" i="19"/>
  <c r="D467" i="19"/>
  <c r="D492" i="19"/>
  <c r="D546" i="19"/>
  <c r="D619" i="19"/>
  <c r="D653" i="19"/>
  <c r="D700" i="19"/>
  <c r="D760" i="19"/>
  <c r="D776" i="19"/>
  <c r="D468" i="19"/>
  <c r="D531" i="19"/>
  <c r="D547" i="19"/>
  <c r="D620" i="19"/>
  <c r="D656" i="19"/>
  <c r="D701" i="19"/>
  <c r="D761" i="19"/>
  <c r="D781" i="19"/>
  <c r="D443" i="19"/>
  <c r="D469" i="19"/>
  <c r="D532" i="19"/>
  <c r="D548" i="19"/>
  <c r="D622" i="19"/>
  <c r="D680" i="19"/>
  <c r="D702" i="19"/>
  <c r="D762" i="19"/>
  <c r="D791" i="19"/>
  <c r="D453" i="19"/>
  <c r="D470" i="19"/>
  <c r="D533" i="19"/>
  <c r="D553" i="19"/>
  <c r="D626" i="19"/>
  <c r="D681" i="19"/>
  <c r="D703" i="19"/>
  <c r="D763" i="19"/>
  <c r="D793" i="19"/>
  <c r="D455" i="19"/>
  <c r="D478" i="19"/>
  <c r="D535" i="19"/>
  <c r="D565" i="19"/>
  <c r="D628" i="19"/>
  <c r="D687" i="19"/>
  <c r="D708" i="19"/>
  <c r="D767" i="19"/>
  <c r="D456" i="19"/>
  <c r="D479" i="19"/>
  <c r="D536" i="19"/>
  <c r="D576" i="19"/>
  <c r="D629" i="19"/>
  <c r="D688" i="19"/>
  <c r="D724" i="19"/>
  <c r="D770" i="19"/>
  <c r="D457" i="19"/>
  <c r="D480" i="19"/>
  <c r="D537" i="19"/>
  <c r="D578" i="19"/>
  <c r="D630" i="19"/>
  <c r="D689" i="19"/>
  <c r="D725" i="19"/>
  <c r="D771" i="19"/>
  <c r="D458" i="19"/>
  <c r="D481" i="19"/>
  <c r="D542" i="19"/>
  <c r="D615" i="19"/>
  <c r="D631" i="19"/>
  <c r="D690" i="19"/>
  <c r="D727" i="19"/>
  <c r="D772" i="19"/>
  <c r="D461" i="19"/>
  <c r="D482" i="19"/>
  <c r="D543" i="19"/>
  <c r="D616" i="19"/>
  <c r="D632" i="19"/>
  <c r="D691" i="19"/>
  <c r="D755" i="19"/>
  <c r="D773" i="19"/>
  <c r="D465" i="19"/>
  <c r="D483" i="19"/>
  <c r="D544" i="19"/>
  <c r="D617" i="19"/>
  <c r="D646" i="19"/>
  <c r="D692" i="19"/>
  <c r="D758" i="19"/>
  <c r="D774" i="19"/>
  <c r="D699" i="19"/>
  <c r="D454" i="19"/>
  <c r="D704" i="19"/>
  <c r="D466" i="19"/>
  <c r="D759" i="19"/>
  <c r="D477" i="19"/>
  <c r="D764" i="19"/>
  <c r="D487" i="19"/>
  <c r="D775" i="19"/>
  <c r="D534" i="19"/>
  <c r="D545" i="19"/>
  <c r="D564" i="19"/>
  <c r="D618" i="19"/>
  <c r="D627" i="19"/>
  <c r="D650" i="19"/>
  <c r="D685" i="19"/>
  <c r="E688" i="19"/>
  <c r="E728" i="19"/>
  <c r="E662" i="19"/>
  <c r="E697" i="19"/>
  <c r="E725" i="19"/>
  <c r="E700" i="19"/>
  <c r="E771" i="19"/>
  <c r="E745" i="19"/>
  <c r="E756" i="19"/>
  <c r="E619" i="19"/>
  <c r="E642" i="19"/>
  <c r="E665" i="19"/>
  <c r="E682" i="19"/>
  <c r="E710" i="19"/>
  <c r="D648" i="19"/>
  <c r="D747" i="19"/>
  <c r="D709" i="19"/>
  <c r="D766" i="19"/>
  <c r="D462" i="19"/>
  <c r="D520" i="19"/>
  <c r="D769" i="19"/>
  <c r="D728" i="19"/>
  <c r="D484" i="19"/>
  <c r="D603" i="19"/>
  <c r="D749" i="19"/>
  <c r="D670" i="19"/>
  <c r="D673" i="19"/>
  <c r="D474" i="19"/>
  <c r="D664" i="19"/>
  <c r="D584" i="19"/>
  <c r="D421" i="19"/>
  <c r="D597" i="19"/>
  <c r="D527" i="19"/>
  <c r="D710" i="19"/>
  <c r="D706" i="19"/>
  <c r="D715" i="19"/>
  <c r="D713" i="19"/>
  <c r="E753" i="19"/>
  <c r="E675" i="19"/>
  <c r="E603" i="19"/>
  <c r="E676" i="19"/>
  <c r="E716" i="19"/>
  <c r="E650" i="19"/>
  <c r="E685" i="19"/>
  <c r="E713" i="19"/>
  <c r="E672" i="19"/>
  <c r="E759" i="19"/>
  <c r="E733" i="19"/>
  <c r="E744" i="19"/>
  <c r="E607" i="19"/>
  <c r="E630" i="19"/>
  <c r="E653" i="19"/>
  <c r="E793" i="19"/>
  <c r="E670" i="19"/>
  <c r="D567" i="19"/>
  <c r="D675" i="19"/>
  <c r="D633" i="19"/>
  <c r="D768" i="19"/>
  <c r="D464" i="19"/>
  <c r="D522" i="19"/>
  <c r="D753" i="19"/>
  <c r="D655" i="19"/>
  <c r="D486" i="19"/>
  <c r="D518" i="19"/>
  <c r="D440" i="19"/>
  <c r="D594" i="19"/>
  <c r="D742" i="19"/>
  <c r="D473" i="19"/>
  <c r="D588" i="19"/>
  <c r="D732" i="19"/>
  <c r="D502" i="19"/>
  <c r="D555" i="19"/>
  <c r="D434" i="19"/>
  <c r="D638" i="19"/>
  <c r="D634" i="19"/>
  <c r="D643" i="19"/>
  <c r="D641" i="19"/>
  <c r="E698" i="19"/>
  <c r="E657" i="19"/>
  <c r="E664" i="19"/>
  <c r="E704" i="19"/>
  <c r="E638" i="19"/>
  <c r="E673" i="19"/>
  <c r="E701" i="19"/>
  <c r="E612" i="19"/>
  <c r="E747" i="19"/>
  <c r="E721" i="19"/>
  <c r="E732" i="19"/>
  <c r="E767" i="19"/>
  <c r="E618" i="19"/>
  <c r="E641" i="19"/>
  <c r="E787" i="19"/>
  <c r="E785" i="19"/>
  <c r="E658" i="19"/>
  <c r="D729" i="19"/>
  <c r="D485" i="19"/>
  <c r="D605" i="19"/>
  <c r="D636" i="19"/>
  <c r="D694" i="19"/>
  <c r="D624" i="19"/>
  <c r="D524" i="19"/>
  <c r="D637" i="19"/>
  <c r="D651" i="19"/>
  <c r="D678" i="19"/>
  <c r="D748" i="19"/>
  <c r="D510" i="19"/>
  <c r="D672" i="19"/>
  <c r="D666" i="19"/>
  <c r="D506" i="19"/>
  <c r="D662" i="19"/>
  <c r="D556" i="19"/>
  <c r="D429" i="19"/>
  <c r="D566" i="19"/>
  <c r="D562" i="19"/>
  <c r="D571" i="19"/>
  <c r="D569" i="19"/>
  <c r="E741" i="19"/>
  <c r="E663" i="19"/>
  <c r="E652" i="19"/>
  <c r="E775" i="19"/>
  <c r="E626" i="19"/>
  <c r="E661" i="19"/>
  <c r="E696" i="19"/>
  <c r="E736" i="19"/>
  <c r="E735" i="19"/>
  <c r="E709" i="19"/>
  <c r="E720" i="19"/>
  <c r="E755" i="19"/>
  <c r="E606" i="19"/>
  <c r="E629" i="19"/>
  <c r="E781" i="19"/>
  <c r="E792" i="19"/>
  <c r="E646" i="19"/>
  <c r="D657" i="19"/>
  <c r="D783" i="19"/>
  <c r="D513" i="19"/>
  <c r="D411" i="19"/>
  <c r="D554" i="19"/>
  <c r="D696" i="19"/>
  <c r="D577" i="19"/>
  <c r="D442" i="19"/>
  <c r="D441" i="19"/>
  <c r="D573" i="19"/>
  <c r="D517" i="19"/>
  <c r="D608" i="19"/>
  <c r="D592" i="19"/>
  <c r="D596" i="19"/>
  <c r="D414" i="19"/>
  <c r="D586" i="19"/>
  <c r="D659" i="19"/>
  <c r="D557" i="19"/>
  <c r="D430" i="19"/>
  <c r="D494" i="19"/>
  <c r="D490" i="19"/>
  <c r="D499" i="19"/>
  <c r="D497" i="19"/>
  <c r="E645" i="19"/>
  <c r="E640" i="19"/>
  <c r="E763" i="19"/>
  <c r="E614" i="19"/>
  <c r="E649" i="19"/>
  <c r="E660" i="19"/>
  <c r="E695" i="19"/>
  <c r="E723" i="19"/>
  <c r="E692" i="19"/>
  <c r="E708" i="19"/>
  <c r="E743" i="19"/>
  <c r="E766" i="19"/>
  <c r="E617" i="19"/>
  <c r="D738" i="19"/>
  <c r="E779" i="19"/>
  <c r="D693" i="19"/>
  <c r="E634" i="19"/>
  <c r="D580" i="19"/>
  <c r="D711" i="19"/>
  <c r="D436" i="19"/>
  <c r="D415" i="19"/>
  <c r="D550" i="19"/>
  <c r="D698" i="19"/>
  <c r="D754" i="19"/>
  <c r="D444" i="19"/>
  <c r="D575" i="19"/>
  <c r="D677" i="19"/>
  <c r="D439" i="19"/>
  <c r="D508" i="19"/>
  <c r="D512" i="19"/>
  <c r="D737" i="19"/>
  <c r="D735" i="19"/>
  <c r="D504" i="19"/>
  <c r="D583" i="19"/>
  <c r="D558" i="19"/>
  <c r="D431" i="19"/>
  <c r="D422" i="19"/>
  <c r="D418" i="19"/>
  <c r="D427" i="19"/>
  <c r="D425" i="19"/>
  <c r="E705" i="19"/>
  <c r="E651" i="19"/>
  <c r="E628" i="19"/>
  <c r="E751" i="19"/>
  <c r="E774" i="19"/>
  <c r="E637" i="19"/>
  <c r="E648" i="19"/>
  <c r="E683" i="19"/>
  <c r="E711" i="19"/>
  <c r="E680" i="19"/>
  <c r="E620" i="19"/>
  <c r="E731" i="19"/>
  <c r="E754" i="19"/>
  <c r="E605" i="19"/>
  <c r="D668" i="19"/>
  <c r="E622" i="19"/>
  <c r="D495" i="19"/>
  <c r="D639" i="19"/>
  <c r="D741" i="19"/>
  <c r="D780" i="19"/>
  <c r="D552" i="19"/>
  <c r="D621" i="19"/>
  <c r="D756" i="19"/>
  <c r="D446" i="19"/>
  <c r="D489" i="19"/>
  <c r="D516" i="19"/>
  <c r="D607" i="19"/>
  <c r="D591" i="19"/>
  <c r="D593" i="19"/>
  <c r="D667" i="19"/>
  <c r="D665" i="19"/>
  <c r="D412" i="19"/>
  <c r="D559" i="19"/>
  <c r="D432" i="19"/>
  <c r="D779" i="19"/>
  <c r="D788" i="19"/>
  <c r="D786" i="19"/>
  <c r="D784" i="19"/>
  <c r="E789" i="19"/>
  <c r="E633" i="19"/>
  <c r="E616" i="19"/>
  <c r="E739" i="19"/>
  <c r="E762" i="19"/>
  <c r="E625" i="19"/>
  <c r="E636" i="19"/>
  <c r="E671" i="19"/>
  <c r="E699" i="19"/>
  <c r="E668" i="19"/>
  <c r="E691" i="19"/>
  <c r="E719" i="19"/>
  <c r="E742" i="19"/>
  <c r="E765" i="19"/>
  <c r="D585" i="19"/>
  <c r="E791" i="19"/>
  <c r="E610" i="19"/>
  <c r="D561" i="19"/>
  <c r="D671" i="19"/>
  <c r="D697" i="19"/>
  <c r="D623" i="19"/>
  <c r="D682" i="19"/>
  <c r="D794" i="19"/>
  <c r="D789" i="19"/>
  <c r="D493" i="19"/>
  <c r="D752" i="19"/>
  <c r="D438" i="19"/>
  <c r="D507" i="19"/>
  <c r="D471" i="19"/>
  <c r="D579" i="19"/>
  <c r="D731" i="19"/>
  <c r="D740" i="19"/>
  <c r="D560" i="19"/>
  <c r="D433" i="19"/>
  <c r="D707" i="19"/>
  <c r="D716" i="19"/>
  <c r="D714" i="19"/>
  <c r="D712" i="19"/>
  <c r="E777" i="19"/>
  <c r="E639" i="19"/>
  <c r="E604" i="19"/>
  <c r="E727" i="19"/>
  <c r="E750" i="19"/>
  <c r="E613" i="19"/>
  <c r="E772" i="19"/>
  <c r="E659" i="19"/>
  <c r="E684" i="19"/>
  <c r="E656" i="19"/>
  <c r="E679" i="19"/>
  <c r="E707" i="19"/>
  <c r="E730" i="19"/>
  <c r="E729" i="19"/>
  <c r="D501" i="19"/>
  <c r="E784" i="19"/>
  <c r="E782" i="19"/>
  <c r="E770" i="19"/>
  <c r="D723" i="19"/>
  <c r="D777" i="19"/>
  <c r="D595" i="19"/>
  <c r="D614" i="19"/>
  <c r="D721" i="19"/>
  <c r="D625" i="19"/>
  <c r="D684" i="19"/>
  <c r="D757" i="19"/>
  <c r="D765" i="19"/>
  <c r="D718" i="19"/>
  <c r="D676" i="19"/>
  <c r="D606" i="19"/>
  <c r="D746" i="19"/>
  <c r="D590" i="19"/>
  <c r="D420" i="19"/>
  <c r="D733" i="19"/>
  <c r="D661" i="19"/>
  <c r="D658" i="19"/>
  <c r="D598" i="19"/>
  <c r="D528" i="19"/>
  <c r="D635" i="19"/>
  <c r="D644" i="19"/>
  <c r="D642" i="19"/>
  <c r="D640" i="19"/>
  <c r="E693" i="19"/>
  <c r="E621" i="19"/>
  <c r="E776" i="19"/>
  <c r="E715" i="19"/>
  <c r="E738" i="19"/>
  <c r="E773" i="19"/>
  <c r="E760" i="19"/>
  <c r="E647" i="19"/>
  <c r="E624" i="19"/>
  <c r="E644" i="19"/>
  <c r="E667" i="19"/>
  <c r="E690" i="19"/>
  <c r="E718" i="19"/>
  <c r="E717" i="19"/>
  <c r="D417" i="19"/>
  <c r="E780" i="19"/>
  <c r="E758" i="19"/>
  <c r="D652" i="19"/>
  <c r="D472" i="19"/>
  <c r="D511" i="19"/>
  <c r="D722" i="19"/>
  <c r="D654" i="19"/>
  <c r="D540" i="19"/>
  <c r="D686" i="19"/>
  <c r="D539" i="19"/>
  <c r="D683" i="19"/>
  <c r="D720" i="19"/>
  <c r="D515" i="19"/>
  <c r="D437" i="19"/>
  <c r="D745" i="19"/>
  <c r="D549" i="19"/>
  <c r="D416" i="19"/>
  <c r="D663" i="19"/>
  <c r="D503" i="19"/>
  <c r="D582" i="19"/>
  <c r="D599" i="19"/>
  <c r="D529" i="19"/>
  <c r="D563" i="19"/>
  <c r="D572" i="19"/>
  <c r="D570" i="19"/>
  <c r="D568" i="19"/>
  <c r="E627" i="19"/>
  <c r="E764" i="19"/>
  <c r="E703" i="19"/>
  <c r="E726" i="19"/>
  <c r="E761" i="19"/>
  <c r="E748" i="19"/>
  <c r="E635" i="19"/>
  <c r="E694" i="19"/>
  <c r="E632" i="19"/>
  <c r="E655" i="19"/>
  <c r="E678" i="19"/>
  <c r="E706" i="19"/>
  <c r="E783" i="19"/>
  <c r="E778" i="19"/>
  <c r="E746" i="19"/>
  <c r="D574" i="19"/>
  <c r="D423" i="19"/>
  <c r="D695" i="19"/>
  <c r="D523" i="19"/>
  <c r="D538" i="19"/>
  <c r="D609" i="19"/>
  <c r="D488" i="19"/>
  <c r="D551" i="19"/>
  <c r="D645" i="19"/>
  <c r="D604" i="19"/>
  <c r="D751" i="19"/>
  <c r="D669" i="19"/>
  <c r="D744" i="19"/>
  <c r="D476" i="19"/>
  <c r="D589" i="19"/>
  <c r="D587" i="19"/>
  <c r="D600" i="19"/>
  <c r="D530" i="19"/>
  <c r="D491" i="19"/>
  <c r="D500" i="19"/>
  <c r="D498" i="19"/>
  <c r="D496" i="19"/>
  <c r="E681" i="19"/>
  <c r="E609" i="19"/>
  <c r="E752" i="19"/>
  <c r="E686" i="19"/>
  <c r="E714" i="19"/>
  <c r="E749" i="19"/>
  <c r="E724" i="19"/>
  <c r="E623" i="19"/>
  <c r="E769" i="19"/>
  <c r="E608" i="19"/>
  <c r="E643" i="19"/>
  <c r="E666" i="19"/>
  <c r="E689" i="19"/>
  <c r="E734" i="19"/>
  <c r="D790" i="19"/>
  <c r="D610" i="19"/>
  <c r="D612" i="19"/>
  <c r="D719" i="19"/>
  <c r="D541" i="19"/>
  <c r="D611" i="19"/>
  <c r="D445" i="19"/>
  <c r="D463" i="19"/>
  <c r="D647" i="19"/>
  <c r="D435" i="19"/>
  <c r="D514" i="19"/>
  <c r="D509" i="19"/>
  <c r="D674" i="19"/>
  <c r="D736" i="19"/>
  <c r="D505" i="19"/>
  <c r="D730" i="19"/>
  <c r="D739" i="19"/>
  <c r="D601" i="19"/>
  <c r="D525" i="19"/>
  <c r="D419" i="19"/>
  <c r="D428" i="19"/>
  <c r="D426" i="19"/>
  <c r="D424" i="19"/>
  <c r="E687" i="19"/>
  <c r="E615" i="19"/>
  <c r="E740" i="19"/>
  <c r="E674" i="19"/>
  <c r="E702" i="19"/>
  <c r="E737" i="19"/>
  <c r="E712" i="19"/>
  <c r="E611" i="19"/>
  <c r="E757" i="19"/>
  <c r="E768" i="19"/>
  <c r="E631" i="19"/>
  <c r="E654" i="19"/>
  <c r="E677" i="19"/>
  <c r="E788" i="19"/>
  <c r="E786" i="19"/>
  <c r="E794" i="19"/>
  <c r="E790" i="19"/>
  <c r="E722" i="19"/>
  <c r="D717" i="19"/>
  <c r="D519" i="19"/>
  <c r="D705" i="19"/>
  <c r="D521" i="19"/>
  <c r="D459" i="19"/>
  <c r="D613" i="19"/>
  <c r="D792" i="19"/>
  <c r="D726" i="19"/>
  <c r="D649" i="19"/>
  <c r="D679" i="19"/>
  <c r="D750" i="19"/>
  <c r="D460" i="19"/>
  <c r="D743" i="19"/>
  <c r="D475" i="19"/>
  <c r="D734" i="19"/>
  <c r="D413" i="19"/>
  <c r="D660" i="19"/>
  <c r="D581" i="19"/>
  <c r="D602" i="19"/>
  <c r="D526" i="19"/>
  <c r="D782" i="19"/>
  <c r="D778" i="19"/>
  <c r="D787" i="19"/>
  <c r="D785" i="19"/>
  <c r="E669" i="19"/>
  <c r="D449" i="19"/>
  <c r="D450" i="19"/>
  <c r="D451" i="19"/>
  <c r="D452" i="19"/>
  <c r="D447" i="19"/>
  <c r="D448" i="19"/>
  <c r="E602" i="19"/>
  <c r="E485" i="19"/>
  <c r="E548" i="19"/>
  <c r="E595" i="19"/>
  <c r="E458" i="19"/>
  <c r="E498" i="19"/>
  <c r="E545" i="19"/>
  <c r="E592" i="19"/>
  <c r="E443" i="19"/>
  <c r="E202" i="19"/>
  <c r="E530" i="19"/>
  <c r="E601" i="19"/>
  <c r="E464" i="19"/>
  <c r="E516" i="19"/>
  <c r="E575" i="19"/>
  <c r="E438" i="19"/>
  <c r="E490" i="19"/>
  <c r="E537" i="19"/>
  <c r="E484" i="19"/>
  <c r="E536" i="19"/>
  <c r="E583" i="19"/>
  <c r="E446" i="19"/>
  <c r="E205" i="19"/>
  <c r="E533" i="19"/>
  <c r="E580" i="19"/>
  <c r="E431" i="19"/>
  <c r="E478" i="19"/>
  <c r="E518" i="19"/>
  <c r="E589" i="19"/>
  <c r="E452" i="19"/>
  <c r="E504" i="19"/>
  <c r="E563" i="19"/>
  <c r="E426" i="19"/>
  <c r="E473" i="19"/>
  <c r="E525" i="19"/>
  <c r="D205" i="19"/>
  <c r="E472" i="19"/>
  <c r="E524" i="19"/>
  <c r="E571" i="19"/>
  <c r="E434" i="19"/>
  <c r="E481" i="19"/>
  <c r="E521" i="19"/>
  <c r="E568" i="19"/>
  <c r="E419" i="19"/>
  <c r="E466" i="19"/>
  <c r="E506" i="19"/>
  <c r="E577" i="19"/>
  <c r="E440" i="19"/>
  <c r="E492" i="19"/>
  <c r="E551" i="19"/>
  <c r="E414" i="19"/>
  <c r="E461" i="19"/>
  <c r="E513" i="19"/>
  <c r="D202" i="19"/>
  <c r="E460" i="19"/>
  <c r="E512" i="19"/>
  <c r="E559" i="19"/>
  <c r="E422" i="19"/>
  <c r="E469" i="19"/>
  <c r="E509" i="19"/>
  <c r="E556" i="19"/>
  <c r="E591" i="19"/>
  <c r="E454" i="19"/>
  <c r="E494" i="19"/>
  <c r="E565" i="19"/>
  <c r="E428" i="19"/>
  <c r="E487" i="19"/>
  <c r="E539" i="19"/>
  <c r="E598" i="19"/>
  <c r="E449" i="19"/>
  <c r="E501" i="19"/>
  <c r="D203" i="19"/>
  <c r="E448" i="19"/>
  <c r="E500" i="19"/>
  <c r="E547" i="19"/>
  <c r="E594" i="19"/>
  <c r="E457" i="19"/>
  <c r="E497" i="19"/>
  <c r="E544" i="19"/>
  <c r="E579" i="19"/>
  <c r="E442" i="19"/>
  <c r="E203" i="19"/>
  <c r="E553" i="19"/>
  <c r="E416" i="19"/>
  <c r="E475" i="19"/>
  <c r="E527" i="19"/>
  <c r="E586" i="19"/>
  <c r="E437" i="19"/>
  <c r="E489" i="19"/>
  <c r="D206" i="19"/>
  <c r="E436" i="19"/>
  <c r="E483" i="19"/>
  <c r="E535" i="19"/>
  <c r="E582" i="19"/>
  <c r="E445" i="19"/>
  <c r="E204" i="19"/>
  <c r="E532" i="19"/>
  <c r="E567" i="19"/>
  <c r="E430" i="19"/>
  <c r="E201" i="19"/>
  <c r="E541" i="19"/>
  <c r="E600" i="19"/>
  <c r="E463" i="19"/>
  <c r="E515" i="19"/>
  <c r="E574" i="19"/>
  <c r="E425" i="19"/>
  <c r="D201" i="19"/>
  <c r="E424" i="19"/>
  <c r="E471" i="19"/>
  <c r="E523" i="19"/>
  <c r="E570" i="19"/>
  <c r="E433" i="19"/>
  <c r="E480" i="19"/>
  <c r="E520" i="19"/>
  <c r="E555" i="19"/>
  <c r="E418" i="19"/>
  <c r="E477" i="19"/>
  <c r="E529" i="19"/>
  <c r="E588" i="19"/>
  <c r="E451" i="19"/>
  <c r="E503" i="19"/>
  <c r="E562" i="19"/>
  <c r="E413" i="19"/>
  <c r="E412" i="19"/>
  <c r="E459" i="19"/>
  <c r="E511" i="19"/>
  <c r="E558" i="19"/>
  <c r="E421" i="19"/>
  <c r="E468" i="19"/>
  <c r="E508" i="19"/>
  <c r="E543" i="19"/>
  <c r="X42" i="59" s="1"/>
  <c r="E590" i="19"/>
  <c r="E465" i="19"/>
  <c r="E517" i="19"/>
  <c r="E576" i="19"/>
  <c r="E439" i="19"/>
  <c r="E491" i="19"/>
  <c r="E550" i="19"/>
  <c r="E597" i="19"/>
  <c r="E596" i="19"/>
  <c r="E447" i="19"/>
  <c r="E499" i="19"/>
  <c r="E546" i="19"/>
  <c r="E593" i="19"/>
  <c r="E456" i="19"/>
  <c r="E496" i="19"/>
  <c r="E531" i="19"/>
  <c r="E578" i="19"/>
  <c r="E453" i="19"/>
  <c r="E505" i="19"/>
  <c r="E564" i="19"/>
  <c r="E427" i="19"/>
  <c r="E486" i="19"/>
  <c r="E538" i="19"/>
  <c r="E585" i="19"/>
  <c r="E584" i="19"/>
  <c r="E435" i="19"/>
  <c r="E206" i="19"/>
  <c r="E534" i="19"/>
  <c r="E581" i="19"/>
  <c r="E444" i="19"/>
  <c r="E479" i="19"/>
  <c r="E519" i="19"/>
  <c r="E566" i="19"/>
  <c r="E441" i="19"/>
  <c r="E493" i="19"/>
  <c r="E552" i="19"/>
  <c r="E415" i="19"/>
  <c r="E474" i="19"/>
  <c r="E526" i="19"/>
  <c r="E573" i="19"/>
  <c r="E572" i="19"/>
  <c r="E423" i="19"/>
  <c r="E482" i="19"/>
  <c r="E522" i="19"/>
  <c r="E569" i="19"/>
  <c r="E432" i="19"/>
  <c r="E467" i="19"/>
  <c r="E507" i="19"/>
  <c r="E554" i="19"/>
  <c r="E429" i="19"/>
  <c r="E488" i="19"/>
  <c r="E540" i="19"/>
  <c r="E599" i="19"/>
  <c r="E462" i="19"/>
  <c r="E514" i="19"/>
  <c r="E561" i="19"/>
  <c r="E560" i="19"/>
  <c r="E411" i="19"/>
  <c r="E470" i="19"/>
  <c r="E510" i="19"/>
  <c r="E557" i="19"/>
  <c r="E420" i="19"/>
  <c r="E455" i="19"/>
  <c r="E495" i="19"/>
  <c r="E542" i="19"/>
  <c r="E417" i="19"/>
  <c r="E476" i="19"/>
  <c r="E528" i="19"/>
  <c r="E587" i="19"/>
  <c r="E450" i="19"/>
  <c r="E502" i="19"/>
  <c r="E549" i="19"/>
  <c r="D204" i="19"/>
  <c r="E47" i="19"/>
  <c r="E48" i="19"/>
  <c r="E46" i="19"/>
  <c r="E49" i="19"/>
  <c r="E55" i="19"/>
  <c r="E50" i="19"/>
  <c r="E56" i="19"/>
  <c r="E52" i="19"/>
  <c r="E51" i="19"/>
  <c r="E45" i="19"/>
  <c r="D51" i="19"/>
  <c r="D56" i="19"/>
  <c r="D50" i="19"/>
  <c r="D53" i="19"/>
  <c r="D48" i="19"/>
  <c r="E53" i="19"/>
  <c r="D54" i="19"/>
  <c r="D49" i="19"/>
  <c r="D45" i="19"/>
  <c r="E54" i="19"/>
  <c r="D47" i="19"/>
  <c r="D52" i="19"/>
  <c r="D55" i="19"/>
  <c r="D46" i="19"/>
  <c r="E60" i="19"/>
  <c r="E58" i="19"/>
  <c r="E61" i="19"/>
  <c r="E67" i="19"/>
  <c r="E62" i="19"/>
  <c r="E68" i="19"/>
  <c r="E64" i="19"/>
  <c r="E63" i="19"/>
  <c r="E57" i="19"/>
  <c r="E59" i="19"/>
  <c r="D68" i="19"/>
  <c r="D63" i="19"/>
  <c r="D67" i="19"/>
  <c r="D60" i="19"/>
  <c r="D59" i="19"/>
  <c r="D64" i="19"/>
  <c r="D62" i="19"/>
  <c r="E65" i="19"/>
  <c r="E66" i="19"/>
  <c r="D61" i="19"/>
  <c r="D66" i="19"/>
  <c r="D57" i="19"/>
  <c r="D58" i="19"/>
  <c r="D65" i="19"/>
  <c r="E12" i="19"/>
  <c r="E40" i="19"/>
  <c r="E39" i="19"/>
  <c r="E33" i="19"/>
  <c r="D22" i="19"/>
  <c r="D28" i="19"/>
  <c r="E28" i="19"/>
  <c r="E27" i="19"/>
  <c r="E35" i="19"/>
  <c r="E21" i="19"/>
  <c r="D9" i="19"/>
  <c r="E36" i="19"/>
  <c r="E23" i="19"/>
  <c r="E34" i="19"/>
  <c r="D10" i="19"/>
  <c r="D12" i="19"/>
  <c r="E24" i="19"/>
  <c r="E22" i="19"/>
  <c r="D31" i="19"/>
  <c r="D23" i="19"/>
  <c r="E37" i="19"/>
  <c r="D29" i="19"/>
  <c r="D11" i="19"/>
  <c r="E25" i="19"/>
  <c r="E43" i="19"/>
  <c r="E31" i="19"/>
  <c r="D30" i="19"/>
  <c r="E38" i="19"/>
  <c r="D27" i="19"/>
  <c r="E26" i="19"/>
  <c r="E44" i="19"/>
  <c r="E32" i="19"/>
  <c r="D24" i="19"/>
  <c r="D26" i="19"/>
  <c r="D44" i="19"/>
  <c r="D8" i="19"/>
  <c r="D7" i="19"/>
  <c r="D16" i="19"/>
  <c r="D13" i="19"/>
  <c r="D3" i="19"/>
  <c r="D35" i="19"/>
  <c r="D14" i="19"/>
  <c r="D15" i="19"/>
  <c r="D34" i="19"/>
  <c r="D6" i="19"/>
  <c r="D32" i="19"/>
  <c r="D20" i="19"/>
  <c r="D5" i="19"/>
  <c r="D41" i="19"/>
  <c r="D18" i="19"/>
  <c r="D39" i="19"/>
  <c r="D33" i="19"/>
  <c r="D25" i="19"/>
  <c r="D4" i="19"/>
  <c r="E41" i="19"/>
  <c r="D38" i="19"/>
  <c r="D36" i="19"/>
  <c r="E29" i="19"/>
  <c r="D19" i="19"/>
  <c r="E42" i="19"/>
  <c r="D43" i="19"/>
  <c r="D40" i="19"/>
  <c r="E30" i="19"/>
  <c r="D42" i="19"/>
  <c r="D37" i="19"/>
  <c r="D17" i="19"/>
  <c r="D21" i="19"/>
  <c r="E11" i="19"/>
  <c r="E97" i="19"/>
  <c r="E85" i="19"/>
  <c r="D92" i="19"/>
  <c r="E91" i="19"/>
  <c r="D90" i="19"/>
  <c r="D97" i="19"/>
  <c r="D81" i="19"/>
  <c r="E98" i="19"/>
  <c r="E79" i="19"/>
  <c r="E86" i="19"/>
  <c r="D86" i="19"/>
  <c r="D88" i="19"/>
  <c r="D87" i="19"/>
  <c r="E92" i="19"/>
  <c r="D98" i="19"/>
  <c r="E80" i="19"/>
  <c r="D84" i="19"/>
  <c r="D83" i="19"/>
  <c r="E93" i="19"/>
  <c r="D96" i="19"/>
  <c r="E88" i="19"/>
  <c r="E87" i="19"/>
  <c r="E95" i="19"/>
  <c r="E81" i="19"/>
  <c r="D93" i="19"/>
  <c r="E76" i="19"/>
  <c r="E75" i="19"/>
  <c r="E96" i="19"/>
  <c r="E83" i="19"/>
  <c r="E94" i="19"/>
  <c r="D82" i="19"/>
  <c r="E84" i="19"/>
  <c r="E82" i="19"/>
  <c r="D94" i="19"/>
  <c r="D95" i="19"/>
  <c r="D89" i="19"/>
  <c r="D91" i="19"/>
  <c r="D85" i="19"/>
  <c r="D77" i="19"/>
  <c r="D78" i="19"/>
  <c r="E89" i="19"/>
  <c r="E77" i="19"/>
  <c r="D75" i="19"/>
  <c r="E90" i="19"/>
  <c r="E78" i="19"/>
  <c r="D79" i="19"/>
  <c r="D76" i="19"/>
  <c r="D80" i="19"/>
  <c r="E3" i="19"/>
  <c r="N53" i="3"/>
  <c r="E280" i="19"/>
  <c r="O46" i="59" s="1"/>
  <c r="E279" i="19"/>
  <c r="E386" i="19"/>
  <c r="E349" i="19"/>
  <c r="E216" i="19"/>
  <c r="E312" i="19"/>
  <c r="E299" i="19"/>
  <c r="E214" i="19"/>
  <c r="E310" i="19"/>
  <c r="E285" i="19"/>
  <c r="E392" i="19"/>
  <c r="E271" i="19"/>
  <c r="E355" i="19"/>
  <c r="D239" i="19"/>
  <c r="D348" i="19"/>
  <c r="D409" i="19"/>
  <c r="D258" i="19"/>
  <c r="E260" i="19"/>
  <c r="E272" i="19"/>
  <c r="E374" i="19"/>
  <c r="E337" i="19"/>
  <c r="E300" i="19"/>
  <c r="E287" i="19"/>
  <c r="E298" i="19"/>
  <c r="E273" i="19"/>
  <c r="E380" i="19"/>
  <c r="E247" i="19"/>
  <c r="E343" i="19"/>
  <c r="D251" i="19"/>
  <c r="D401" i="19"/>
  <c r="D349" i="19"/>
  <c r="E270" i="19"/>
  <c r="E400" i="19"/>
  <c r="E399" i="19"/>
  <c r="E266" i="19"/>
  <c r="E362" i="19"/>
  <c r="E325" i="19"/>
  <c r="E288" i="19"/>
  <c r="E275" i="19"/>
  <c r="E286" i="19"/>
  <c r="E405" i="19"/>
  <c r="E224" i="19"/>
  <c r="E368" i="19"/>
  <c r="E235" i="19"/>
  <c r="E331" i="19"/>
  <c r="D299" i="19"/>
  <c r="D234" i="19"/>
  <c r="D410" i="19"/>
  <c r="E234" i="19"/>
  <c r="E388" i="19"/>
  <c r="E387" i="19"/>
  <c r="E254" i="19"/>
  <c r="E350" i="19"/>
  <c r="E313" i="19"/>
  <c r="E276" i="19"/>
  <c r="E407" i="19"/>
  <c r="E241" i="19"/>
  <c r="E274" i="19"/>
  <c r="E393" i="19"/>
  <c r="E356" i="19"/>
  <c r="E223" i="19"/>
  <c r="E319" i="19"/>
  <c r="D343" i="19"/>
  <c r="D254" i="19"/>
  <c r="D238" i="19"/>
  <c r="D248" i="19"/>
  <c r="D404" i="19"/>
  <c r="D231" i="19"/>
  <c r="E257" i="19"/>
  <c r="E376" i="19"/>
  <c r="E259" i="19"/>
  <c r="E375" i="19"/>
  <c r="E242" i="19"/>
  <c r="E338" i="19"/>
  <c r="E301" i="19"/>
  <c r="E408" i="19"/>
  <c r="E265" i="19"/>
  <c r="E395" i="19"/>
  <c r="E406" i="19"/>
  <c r="E381" i="19"/>
  <c r="E344" i="19"/>
  <c r="E211" i="19"/>
  <c r="E307" i="19"/>
  <c r="D399" i="19"/>
  <c r="D235" i="19"/>
  <c r="D342" i="19"/>
  <c r="D260" i="19"/>
  <c r="D244" i="19"/>
  <c r="D334" i="19"/>
  <c r="D252" i="19"/>
  <c r="E268" i="19"/>
  <c r="E364" i="19"/>
  <c r="E267" i="19"/>
  <c r="N46" i="59" s="1"/>
  <c r="E363" i="19"/>
  <c r="E230" i="19"/>
  <c r="E326" i="19"/>
  <c r="E289" i="19"/>
  <c r="E396" i="19"/>
  <c r="E229" i="19"/>
  <c r="E383" i="19"/>
  <c r="E394" i="19"/>
  <c r="E264" i="19"/>
  <c r="E369" i="19"/>
  <c r="E332" i="19"/>
  <c r="E295" i="19"/>
  <c r="D247" i="19"/>
  <c r="D408" i="19"/>
  <c r="D362" i="19"/>
  <c r="D300" i="19"/>
  <c r="D400" i="19"/>
  <c r="D226" i="19"/>
  <c r="D341" i="19"/>
  <c r="E256" i="19"/>
  <c r="E352" i="19"/>
  <c r="E255" i="19"/>
  <c r="E351" i="19"/>
  <c r="E218" i="19"/>
  <c r="E314" i="19"/>
  <c r="E277" i="19"/>
  <c r="E384" i="19"/>
  <c r="E371" i="19"/>
  <c r="E252" i="19"/>
  <c r="E382" i="19"/>
  <c r="E261" i="19"/>
  <c r="E357" i="19"/>
  <c r="E320" i="19"/>
  <c r="E283" i="19"/>
  <c r="D230" i="19"/>
  <c r="D232" i="19"/>
  <c r="D259" i="19"/>
  <c r="D397" i="19"/>
  <c r="E244" i="19"/>
  <c r="E340" i="19"/>
  <c r="E243" i="19"/>
  <c r="E339" i="19"/>
  <c r="E302" i="19"/>
  <c r="E409" i="19"/>
  <c r="E253" i="19"/>
  <c r="E372" i="19"/>
  <c r="E359" i="19"/>
  <c r="E251" i="19"/>
  <c r="E370" i="19"/>
  <c r="E249" i="19"/>
  <c r="E345" i="19"/>
  <c r="E308" i="19"/>
  <c r="D243" i="19"/>
  <c r="D245" i="19"/>
  <c r="D337" i="19"/>
  <c r="E232" i="19"/>
  <c r="E328" i="19"/>
  <c r="E231" i="19"/>
  <c r="E327" i="19"/>
  <c r="E290" i="19"/>
  <c r="E397" i="19"/>
  <c r="E360" i="19"/>
  <c r="E263" i="19"/>
  <c r="E347" i="19"/>
  <c r="E262" i="19"/>
  <c r="E358" i="19"/>
  <c r="E237" i="19"/>
  <c r="E333" i="19"/>
  <c r="E296" i="19"/>
  <c r="E403" i="19"/>
  <c r="D227" i="19"/>
  <c r="D255" i="19"/>
  <c r="D257" i="19"/>
  <c r="D395" i="19"/>
  <c r="D246" i="19"/>
  <c r="E220" i="19"/>
  <c r="E316" i="19"/>
  <c r="E219" i="19"/>
  <c r="E315" i="19"/>
  <c r="E278" i="19"/>
  <c r="E385" i="19"/>
  <c r="E348" i="19"/>
  <c r="E239" i="19"/>
  <c r="E335" i="19"/>
  <c r="E250" i="19"/>
  <c r="E346" i="19"/>
  <c r="E225" i="19"/>
  <c r="E321" i="19"/>
  <c r="E284" i="19"/>
  <c r="E391" i="19"/>
  <c r="D241" i="19"/>
  <c r="D333" i="19"/>
  <c r="D335" i="19"/>
  <c r="D407" i="19"/>
  <c r="D236" i="19"/>
  <c r="D240" i="19"/>
  <c r="D242" i="19"/>
  <c r="D302" i="19"/>
  <c r="E208" i="19"/>
  <c r="E304" i="19"/>
  <c r="E207" i="19"/>
  <c r="E303" i="19"/>
  <c r="E410" i="19"/>
  <c r="E217" i="19"/>
  <c r="E373" i="19"/>
  <c r="E240" i="19"/>
  <c r="E336" i="19"/>
  <c r="E227" i="19"/>
  <c r="E323" i="19"/>
  <c r="E238" i="19"/>
  <c r="E334" i="19"/>
  <c r="E213" i="19"/>
  <c r="E309" i="19"/>
  <c r="E236" i="19"/>
  <c r="E379" i="19"/>
  <c r="D253" i="19"/>
  <c r="D358" i="19"/>
  <c r="D393" i="19"/>
  <c r="D256" i="19"/>
  <c r="E292" i="19"/>
  <c r="E291" i="19"/>
  <c r="E398" i="19"/>
  <c r="E361" i="19"/>
  <c r="E228" i="19"/>
  <c r="E324" i="19"/>
  <c r="E215" i="19"/>
  <c r="E311" i="19"/>
  <c r="E226" i="19"/>
  <c r="E322" i="19"/>
  <c r="E297" i="19"/>
  <c r="E404" i="19"/>
  <c r="E367" i="19"/>
  <c r="D225" i="19"/>
  <c r="D301" i="19"/>
  <c r="D403" i="19"/>
  <c r="D405" i="19"/>
  <c r="D344" i="19"/>
  <c r="D237" i="19"/>
  <c r="D394" i="19"/>
  <c r="D396" i="19"/>
  <c r="D228" i="19"/>
  <c r="D250" i="19"/>
  <c r="D340" i="19"/>
  <c r="D297" i="19"/>
  <c r="D406" i="19"/>
  <c r="D356" i="19"/>
  <c r="D274" i="19"/>
  <c r="D261" i="19"/>
  <c r="D364" i="19"/>
  <c r="D392" i="19"/>
  <c r="D352" i="19"/>
  <c r="D223" i="19"/>
  <c r="D368" i="19"/>
  <c r="D363" i="19"/>
  <c r="D233" i="19"/>
  <c r="D378" i="19"/>
  <c r="D269" i="19"/>
  <c r="D298" i="19"/>
  <c r="D249" i="19"/>
  <c r="D398" i="19"/>
  <c r="D336" i="19"/>
  <c r="D402" i="19"/>
  <c r="D264" i="19"/>
  <c r="D365" i="19"/>
  <c r="D280" i="19"/>
  <c r="D265" i="19"/>
  <c r="D304" i="19"/>
  <c r="D305" i="19"/>
  <c r="D213" i="19"/>
  <c r="D268" i="19"/>
  <c r="D262" i="19"/>
  <c r="D370" i="19"/>
  <c r="D379" i="19"/>
  <c r="D270" i="19"/>
  <c r="D357" i="19"/>
  <c r="D279" i="19"/>
  <c r="D350" i="19"/>
  <c r="D369" i="19"/>
  <c r="D214" i="19"/>
  <c r="D355" i="19"/>
  <c r="D207" i="19"/>
  <c r="D319" i="19"/>
  <c r="D327" i="19"/>
  <c r="E245" i="19"/>
  <c r="E341" i="19"/>
  <c r="D289" i="19"/>
  <c r="D295" i="19"/>
  <c r="D361" i="19"/>
  <c r="D275" i="19"/>
  <c r="D354" i="19"/>
  <c r="D309" i="19"/>
  <c r="E248" i="19"/>
  <c r="E354" i="19"/>
  <c r="E233" i="19"/>
  <c r="E329" i="19"/>
  <c r="D292" i="19"/>
  <c r="D272" i="19"/>
  <c r="D286" i="19"/>
  <c r="D215" i="19"/>
  <c r="D389" i="19"/>
  <c r="D290" i="19"/>
  <c r="D383" i="19"/>
  <c r="D386" i="19"/>
  <c r="D211" i="19"/>
  <c r="D314" i="19"/>
  <c r="E342" i="19"/>
  <c r="E221" i="19"/>
  <c r="E317" i="19"/>
  <c r="D387" i="19"/>
  <c r="D287" i="19"/>
  <c r="D353" i="19"/>
  <c r="D277" i="19"/>
  <c r="D373" i="19"/>
  <c r="D291" i="19"/>
  <c r="D220" i="19"/>
  <c r="D322" i="19"/>
  <c r="D325" i="19"/>
  <c r="D316" i="19"/>
  <c r="E246" i="19"/>
  <c r="E330" i="19"/>
  <c r="E209" i="19"/>
  <c r="E305" i="19"/>
  <c r="D391" i="19"/>
  <c r="D345" i="19"/>
  <c r="D278" i="19"/>
  <c r="D338" i="19"/>
  <c r="D282" i="19"/>
  <c r="D296" i="19"/>
  <c r="D375" i="19"/>
  <c r="D329" i="19"/>
  <c r="D209" i="19"/>
  <c r="D312" i="19"/>
  <c r="D331" i="19"/>
  <c r="E222" i="19"/>
  <c r="E318" i="19"/>
  <c r="E293" i="19"/>
  <c r="D360" i="19"/>
  <c r="D224" i="19"/>
  <c r="D293" i="19"/>
  <c r="D218" i="19"/>
  <c r="D320" i="19"/>
  <c r="E210" i="19"/>
  <c r="E306" i="19"/>
  <c r="E281" i="19"/>
  <c r="E294" i="19"/>
  <c r="D366" i="19"/>
  <c r="D367" i="19"/>
  <c r="D267" i="19"/>
  <c r="D339" i="19"/>
  <c r="D216" i="19"/>
  <c r="D283" i="19"/>
  <c r="D384" i="19"/>
  <c r="D310" i="19"/>
  <c r="D212" i="19"/>
  <c r="D263" i="19"/>
  <c r="D281" i="19"/>
  <c r="D376" i="19"/>
  <c r="D371" i="19"/>
  <c r="D390" i="19"/>
  <c r="D323" i="19"/>
  <c r="D318" i="19"/>
  <c r="D317" i="19"/>
  <c r="E282" i="19"/>
  <c r="E401" i="19"/>
  <c r="D308" i="19"/>
  <c r="D273" i="19"/>
  <c r="D294" i="19"/>
  <c r="D288" i="19"/>
  <c r="D351" i="19"/>
  <c r="D374" i="19"/>
  <c r="D326" i="19"/>
  <c r="D332" i="19"/>
  <c r="E212" i="19"/>
  <c r="E389" i="19"/>
  <c r="D222" i="19"/>
  <c r="D303" i="19"/>
  <c r="D359" i="19"/>
  <c r="D285" i="19"/>
  <c r="D229" i="19"/>
  <c r="D219" i="19"/>
  <c r="D382" i="19"/>
  <c r="D385" i="19"/>
  <c r="D208" i="19"/>
  <c r="D313" i="19"/>
  <c r="E402" i="19"/>
  <c r="E377" i="19"/>
  <c r="D221" i="19"/>
  <c r="D307" i="19"/>
  <c r="D346" i="19"/>
  <c r="D388" i="19"/>
  <c r="D380" i="19"/>
  <c r="D271" i="19"/>
  <c r="D321" i="19"/>
  <c r="D324" i="19"/>
  <c r="D315" i="19"/>
  <c r="D381" i="19"/>
  <c r="E390" i="19"/>
  <c r="E258" i="19"/>
  <c r="E365" i="19"/>
  <c r="D306" i="19"/>
  <c r="D284" i="19"/>
  <c r="D347" i="19"/>
  <c r="D276" i="19"/>
  <c r="D266" i="19"/>
  <c r="D377" i="19"/>
  <c r="D372" i="19"/>
  <c r="D217" i="19"/>
  <c r="D328" i="19"/>
  <c r="D210" i="19"/>
  <c r="D311" i="19"/>
  <c r="D330" i="19"/>
  <c r="E378" i="19"/>
  <c r="E269" i="19"/>
  <c r="E353" i="19"/>
  <c r="E366" i="19"/>
  <c r="E8" i="19"/>
  <c r="E6" i="19"/>
  <c r="E7" i="19"/>
  <c r="E200" i="19"/>
  <c r="E184" i="19"/>
  <c r="E183" i="19"/>
  <c r="E134" i="19"/>
  <c r="E191" i="19"/>
  <c r="E177" i="19"/>
  <c r="E115" i="19"/>
  <c r="E116" i="19"/>
  <c r="E172" i="19"/>
  <c r="E171" i="19"/>
  <c r="E122" i="19"/>
  <c r="E192" i="19"/>
  <c r="E179" i="19"/>
  <c r="E190" i="19"/>
  <c r="E165" i="19"/>
  <c r="E160" i="19"/>
  <c r="E188" i="19"/>
  <c r="E159" i="19"/>
  <c r="E110" i="19"/>
  <c r="E180" i="19"/>
  <c r="E167" i="19"/>
  <c r="E178" i="19"/>
  <c r="E153" i="19"/>
  <c r="E148" i="19"/>
  <c r="E140" i="19"/>
  <c r="E147" i="19"/>
  <c r="E168" i="19"/>
  <c r="E155" i="19"/>
  <c r="E166" i="19"/>
  <c r="E141" i="19"/>
  <c r="E152" i="19"/>
  <c r="D174" i="19"/>
  <c r="D176" i="19"/>
  <c r="E136" i="19"/>
  <c r="E135" i="19"/>
  <c r="E156" i="19"/>
  <c r="E143" i="19"/>
  <c r="E181" i="19"/>
  <c r="E154" i="19"/>
  <c r="E157" i="19"/>
  <c r="E129" i="19"/>
  <c r="E124" i="19"/>
  <c r="E123" i="19"/>
  <c r="E144" i="19"/>
  <c r="E131" i="19"/>
  <c r="E121" i="19"/>
  <c r="E142" i="19"/>
  <c r="E117" i="19"/>
  <c r="E199" i="19"/>
  <c r="D172" i="19"/>
  <c r="E112" i="19"/>
  <c r="E111" i="19"/>
  <c r="E132" i="19"/>
  <c r="E169" i="19"/>
  <c r="E119" i="19"/>
  <c r="E130" i="19"/>
  <c r="E105" i="19"/>
  <c r="E187" i="19"/>
  <c r="E194" i="19"/>
  <c r="E120" i="19"/>
  <c r="E109" i="19"/>
  <c r="E107" i="19"/>
  <c r="E118" i="19"/>
  <c r="E175" i="19"/>
  <c r="E182" i="19"/>
  <c r="E193" i="19"/>
  <c r="E108" i="19"/>
  <c r="E106" i="19"/>
  <c r="E163" i="19"/>
  <c r="D114" i="19"/>
  <c r="D173" i="19"/>
  <c r="E170" i="19"/>
  <c r="E133" i="19"/>
  <c r="E151" i="19"/>
  <c r="E158" i="19"/>
  <c r="E139" i="19"/>
  <c r="E196" i="19"/>
  <c r="E195" i="19"/>
  <c r="E146" i="19"/>
  <c r="E145" i="19"/>
  <c r="E189" i="19"/>
  <c r="E164" i="19"/>
  <c r="E127" i="19"/>
  <c r="D195" i="19"/>
  <c r="D126" i="19"/>
  <c r="D117" i="19"/>
  <c r="D199" i="19"/>
  <c r="D200" i="19"/>
  <c r="D190" i="19"/>
  <c r="D151" i="19"/>
  <c r="D158" i="19"/>
  <c r="D146" i="19"/>
  <c r="D166" i="19"/>
  <c r="D122" i="19"/>
  <c r="D125" i="19"/>
  <c r="D127" i="19"/>
  <c r="D106" i="19"/>
  <c r="D134" i="19"/>
  <c r="D149" i="19"/>
  <c r="D183" i="19"/>
  <c r="D109" i="19"/>
  <c r="D170" i="19"/>
  <c r="D110" i="19"/>
  <c r="D165" i="19"/>
  <c r="D105" i="19"/>
  <c r="D123" i="19"/>
  <c r="D142" i="19"/>
  <c r="D156" i="19"/>
  <c r="D113" i="19"/>
  <c r="D189" i="19"/>
  <c r="D159" i="19"/>
  <c r="E126" i="19"/>
  <c r="D141" i="19"/>
  <c r="D171" i="19"/>
  <c r="D148" i="19"/>
  <c r="D188" i="19"/>
  <c r="D124" i="19"/>
  <c r="D139" i="19"/>
  <c r="D164" i="19"/>
  <c r="E114" i="19"/>
  <c r="D147" i="19"/>
  <c r="D143" i="19"/>
  <c r="D108" i="19"/>
  <c r="D152" i="19"/>
  <c r="D185" i="19"/>
  <c r="D193" i="19"/>
  <c r="E176" i="19"/>
  <c r="D150" i="19"/>
  <c r="D128" i="19"/>
  <c r="D129" i="19"/>
  <c r="D115" i="19"/>
  <c r="D116" i="19"/>
  <c r="D162" i="19"/>
  <c r="D121" i="19"/>
  <c r="D180" i="19"/>
  <c r="D181" i="19"/>
  <c r="D132" i="19"/>
  <c r="D157" i="19"/>
  <c r="D112" i="19"/>
  <c r="E197" i="19"/>
  <c r="D120" i="19"/>
  <c r="D197" i="19"/>
  <c r="D198" i="19"/>
  <c r="D118" i="19"/>
  <c r="D160" i="19"/>
  <c r="E185" i="19"/>
  <c r="D179" i="19"/>
  <c r="D111" i="19"/>
  <c r="D130" i="19"/>
  <c r="D186" i="19"/>
  <c r="D107" i="19"/>
  <c r="D194" i="19"/>
  <c r="D144" i="19"/>
  <c r="D137" i="19"/>
  <c r="E198" i="19"/>
  <c r="E173" i="19"/>
  <c r="D178" i="19"/>
  <c r="D196" i="19"/>
  <c r="D154" i="19"/>
  <c r="D182" i="19"/>
  <c r="D135" i="19"/>
  <c r="D138" i="19"/>
  <c r="E186" i="19"/>
  <c r="E161" i="19"/>
  <c r="D155" i="19"/>
  <c r="D133" i="19"/>
  <c r="D191" i="19"/>
  <c r="D136" i="19"/>
  <c r="D163" i="19"/>
  <c r="E174" i="19"/>
  <c r="E149" i="19"/>
  <c r="D168" i="19"/>
  <c r="D119" i="19"/>
  <c r="D131" i="19"/>
  <c r="D192" i="19"/>
  <c r="E162" i="19"/>
  <c r="E128" i="19"/>
  <c r="E137" i="19"/>
  <c r="D169" i="19"/>
  <c r="D184" i="19"/>
  <c r="D175" i="19"/>
  <c r="D187" i="19"/>
  <c r="D161" i="19"/>
  <c r="E150" i="19"/>
  <c r="E125" i="19"/>
  <c r="D167" i="19"/>
  <c r="D177" i="19"/>
  <c r="D153" i="19"/>
  <c r="D145" i="19"/>
  <c r="D140" i="19"/>
  <c r="E138" i="19"/>
  <c r="E113" i="19"/>
  <c r="E16" i="19"/>
  <c r="E4" i="19"/>
  <c r="E5" i="19"/>
  <c r="E103" i="19"/>
  <c r="E104" i="19"/>
  <c r="E100" i="19"/>
  <c r="E99" i="19"/>
  <c r="D102" i="19"/>
  <c r="E101" i="19"/>
  <c r="D99" i="19"/>
  <c r="E102" i="19"/>
  <c r="D103" i="19"/>
  <c r="D100" i="19"/>
  <c r="D101" i="19"/>
  <c r="D104" i="19"/>
  <c r="E15" i="19"/>
  <c r="D72" i="19"/>
  <c r="D71" i="19"/>
  <c r="E73" i="19"/>
  <c r="D70" i="19"/>
  <c r="E74" i="19"/>
  <c r="D73" i="19"/>
  <c r="D74" i="19"/>
  <c r="E69" i="19"/>
  <c r="D69" i="19"/>
  <c r="E71" i="19"/>
  <c r="E72" i="19"/>
  <c r="E70" i="19"/>
  <c r="N21" i="3"/>
  <c r="N16" i="3"/>
  <c r="N15" i="3"/>
  <c r="N13" i="3"/>
  <c r="N6" i="3"/>
  <c r="N11" i="3"/>
  <c r="N78" i="3"/>
  <c r="N49" i="3"/>
  <c r="N44" i="3"/>
  <c r="N33" i="3"/>
  <c r="N45" i="3"/>
  <c r="N27" i="3"/>
  <c r="C789" i="19"/>
  <c r="J783" i="19"/>
  <c r="I788" i="19"/>
  <c r="AO788" i="19" s="1"/>
  <c r="C790" i="19"/>
  <c r="I786" i="19"/>
  <c r="AO786" i="19" s="1"/>
  <c r="C791" i="19"/>
  <c r="C792" i="19"/>
  <c r="C793" i="19"/>
  <c r="J786" i="19"/>
  <c r="J790" i="19"/>
  <c r="I794" i="19"/>
  <c r="AO794" i="19" s="1"/>
  <c r="I783" i="19"/>
  <c r="I790" i="19"/>
  <c r="AO790" i="19" s="1"/>
  <c r="I789" i="19"/>
  <c r="C794" i="19"/>
  <c r="C783" i="19"/>
  <c r="C784" i="19"/>
  <c r="C785" i="19"/>
  <c r="C786" i="19"/>
  <c r="C787" i="19"/>
  <c r="I792" i="19"/>
  <c r="AO792" i="19" s="1"/>
  <c r="C788" i="19"/>
  <c r="I793" i="19"/>
  <c r="AO793" i="19" s="1"/>
  <c r="I785" i="19"/>
  <c r="AO785" i="19" s="1"/>
  <c r="J785" i="19"/>
  <c r="J788" i="19"/>
  <c r="I787" i="19"/>
  <c r="AO787" i="19" s="1"/>
  <c r="J787" i="19"/>
  <c r="J791" i="19"/>
  <c r="J789" i="19"/>
  <c r="I791" i="19"/>
  <c r="AO791" i="19" s="1"/>
  <c r="I784" i="19"/>
  <c r="AO784" i="19" s="1"/>
  <c r="J793" i="19"/>
  <c r="J784" i="19"/>
  <c r="J792" i="19"/>
  <c r="J794" i="19"/>
  <c r="N30" i="3"/>
  <c r="N20" i="3"/>
  <c r="I778" i="19"/>
  <c r="AO778" i="19" s="1"/>
  <c r="I782" i="19"/>
  <c r="AO782" i="19" s="1"/>
  <c r="C781" i="19"/>
  <c r="J777" i="19"/>
  <c r="J781" i="19"/>
  <c r="C782" i="19"/>
  <c r="C780" i="19"/>
  <c r="C779" i="19"/>
  <c r="J780" i="19"/>
  <c r="I780" i="19"/>
  <c r="AO780" i="19" s="1"/>
  <c r="I777" i="19"/>
  <c r="J782" i="19"/>
  <c r="I781" i="19"/>
  <c r="AO781" i="19" s="1"/>
  <c r="J778" i="19"/>
  <c r="I779" i="19"/>
  <c r="AO779" i="19" s="1"/>
  <c r="J779" i="19"/>
  <c r="C777" i="19"/>
  <c r="C778" i="19"/>
  <c r="C702" i="19"/>
  <c r="I699" i="19"/>
  <c r="I702" i="19"/>
  <c r="AO702" i="19" s="1"/>
  <c r="J702" i="19"/>
  <c r="J700" i="19"/>
  <c r="J704" i="19"/>
  <c r="C701" i="19"/>
  <c r="C700" i="19"/>
  <c r="J701" i="19"/>
  <c r="C699" i="19"/>
  <c r="C703" i="19"/>
  <c r="C704" i="19"/>
  <c r="J703" i="19"/>
  <c r="I701" i="19"/>
  <c r="AO701" i="19" s="1"/>
  <c r="I704" i="19"/>
  <c r="AO704" i="19" s="1"/>
  <c r="I703" i="19"/>
  <c r="AO703" i="19" s="1"/>
  <c r="J699" i="19"/>
  <c r="I700" i="19"/>
  <c r="AO700" i="19" s="1"/>
  <c r="I741" i="19"/>
  <c r="C735" i="19"/>
  <c r="J738" i="19"/>
  <c r="I735" i="19"/>
  <c r="J736" i="19"/>
  <c r="I733" i="19"/>
  <c r="AO733" i="19" s="1"/>
  <c r="I742" i="19"/>
  <c r="AO742" i="19" s="1"/>
  <c r="J740" i="19"/>
  <c r="J742" i="19"/>
  <c r="C738" i="19"/>
  <c r="I729" i="19"/>
  <c r="J734" i="19"/>
  <c r="I745" i="19"/>
  <c r="AO745" i="19" s="1"/>
  <c r="C732" i="19"/>
  <c r="C744" i="19"/>
  <c r="I736" i="19"/>
  <c r="AO736" i="19" s="1"/>
  <c r="C740" i="19"/>
  <c r="C736" i="19"/>
  <c r="I740" i="19"/>
  <c r="AO740" i="19" s="1"/>
  <c r="J745" i="19"/>
  <c r="J733" i="19"/>
  <c r="C733" i="19"/>
  <c r="I731" i="19"/>
  <c r="AO731" i="19" s="1"/>
  <c r="I739" i="19"/>
  <c r="AO739" i="19" s="1"/>
  <c r="C745" i="19"/>
  <c r="J729" i="19"/>
  <c r="J739" i="19"/>
  <c r="C742" i="19"/>
  <c r="I743" i="19"/>
  <c r="AO743" i="19" s="1"/>
  <c r="I732" i="19"/>
  <c r="AO732" i="19" s="1"/>
  <c r="C741" i="19"/>
  <c r="J735" i="19"/>
  <c r="J730" i="19"/>
  <c r="C737" i="19"/>
  <c r="I746" i="19"/>
  <c r="AO746" i="19" s="1"/>
  <c r="I744" i="19"/>
  <c r="AO744" i="19" s="1"/>
  <c r="I734" i="19"/>
  <c r="AO734" i="19" s="1"/>
  <c r="J741" i="19"/>
  <c r="J746" i="19"/>
  <c r="J731" i="19"/>
  <c r="C731" i="19"/>
  <c r="J744" i="19"/>
  <c r="C734" i="19"/>
  <c r="I738" i="19"/>
  <c r="AO738" i="19" s="1"/>
  <c r="C730" i="19"/>
  <c r="C739" i="19"/>
  <c r="I737" i="19"/>
  <c r="AO737" i="19" s="1"/>
  <c r="J743" i="19"/>
  <c r="J737" i="19"/>
  <c r="C743" i="19"/>
  <c r="J732" i="19"/>
  <c r="I730" i="19"/>
  <c r="AO730" i="19" s="1"/>
  <c r="C729" i="19"/>
  <c r="C746" i="19"/>
  <c r="J766" i="19"/>
  <c r="I755" i="19"/>
  <c r="AO755" i="19" s="1"/>
  <c r="J759" i="19"/>
  <c r="I753" i="19"/>
  <c r="I756" i="19"/>
  <c r="AO756" i="19" s="1"/>
  <c r="J769" i="19"/>
  <c r="C763" i="19"/>
  <c r="C773" i="19"/>
  <c r="I775" i="19"/>
  <c r="AO775" i="19" s="1"/>
  <c r="I765" i="19"/>
  <c r="C756" i="19"/>
  <c r="C754" i="19"/>
  <c r="J753" i="19"/>
  <c r="J762" i="19"/>
  <c r="I768" i="19"/>
  <c r="AO768" i="19" s="1"/>
  <c r="I771" i="19"/>
  <c r="J771" i="19"/>
  <c r="J756" i="19"/>
  <c r="I754" i="19"/>
  <c r="AO754" i="19" s="1"/>
  <c r="J755" i="19"/>
  <c r="I766" i="19"/>
  <c r="AO766" i="19" s="1"/>
  <c r="J774" i="19"/>
  <c r="C753" i="19"/>
  <c r="C757" i="19"/>
  <c r="I772" i="19"/>
  <c r="AO772" i="19" s="1"/>
  <c r="J757" i="19"/>
  <c r="I773" i="19"/>
  <c r="AO773" i="19" s="1"/>
  <c r="C759" i="19"/>
  <c r="I759" i="19"/>
  <c r="J767" i="19"/>
  <c r="I774" i="19"/>
  <c r="AO774" i="19" s="1"/>
  <c r="I776" i="19"/>
  <c r="AO776" i="19" s="1"/>
  <c r="I770" i="19"/>
  <c r="AO770" i="19" s="1"/>
  <c r="I760" i="19"/>
  <c r="AO760" i="19" s="1"/>
  <c r="J758" i="19"/>
  <c r="I762" i="19"/>
  <c r="AO762" i="19" s="1"/>
  <c r="C766" i="19"/>
  <c r="C758" i="19"/>
  <c r="I769" i="19"/>
  <c r="AO769" i="19" s="1"/>
  <c r="I764" i="19"/>
  <c r="AO764" i="19" s="1"/>
  <c r="C760" i="19"/>
  <c r="J775" i="19"/>
  <c r="C761" i="19"/>
  <c r="J763" i="19"/>
  <c r="J765" i="19"/>
  <c r="C770" i="19"/>
  <c r="C775" i="19"/>
  <c r="C768" i="19"/>
  <c r="I761" i="19"/>
  <c r="AO761" i="19" s="1"/>
  <c r="J773" i="19"/>
  <c r="J761" i="19"/>
  <c r="C776" i="19"/>
  <c r="C769" i="19"/>
  <c r="C767" i="19"/>
  <c r="J770" i="19"/>
  <c r="C755" i="19"/>
  <c r="I767" i="19"/>
  <c r="AO767" i="19" s="1"/>
  <c r="I763" i="19"/>
  <c r="AO763" i="19" s="1"/>
  <c r="C774" i="19"/>
  <c r="J772" i="19"/>
  <c r="J776" i="19"/>
  <c r="J760" i="19"/>
  <c r="I758" i="19"/>
  <c r="AO758" i="19" s="1"/>
  <c r="I757" i="19"/>
  <c r="AO757" i="19" s="1"/>
  <c r="C771" i="19"/>
  <c r="C762" i="19"/>
  <c r="C772" i="19"/>
  <c r="J768" i="19"/>
  <c r="C765" i="19"/>
  <c r="J764" i="19"/>
  <c r="J754" i="19"/>
  <c r="C764" i="19"/>
  <c r="I748" i="19"/>
  <c r="AO748" i="19" s="1"/>
  <c r="J751" i="19"/>
  <c r="J752" i="19"/>
  <c r="C747" i="19"/>
  <c r="I750" i="19"/>
  <c r="AO750" i="19" s="1"/>
  <c r="J747" i="19"/>
  <c r="C750" i="19"/>
  <c r="J750" i="19"/>
  <c r="I751" i="19"/>
  <c r="AO751" i="19" s="1"/>
  <c r="C749" i="19"/>
  <c r="C748" i="19"/>
  <c r="C752" i="19"/>
  <c r="J749" i="19"/>
  <c r="J748" i="19"/>
  <c r="I747" i="19"/>
  <c r="I752" i="19"/>
  <c r="AO752" i="19" s="1"/>
  <c r="I749" i="19"/>
  <c r="AO749" i="19" s="1"/>
  <c r="C751" i="19"/>
  <c r="I728" i="19"/>
  <c r="AO728" i="19" s="1"/>
  <c r="J728" i="19"/>
  <c r="C725" i="19"/>
  <c r="J726" i="19"/>
  <c r="J724" i="19"/>
  <c r="I724" i="19"/>
  <c r="AO724" i="19" s="1"/>
  <c r="C726" i="19"/>
  <c r="J727" i="19"/>
  <c r="J723" i="19"/>
  <c r="C723" i="19"/>
  <c r="C727" i="19"/>
  <c r="C728" i="19"/>
  <c r="J725" i="19"/>
  <c r="C724" i="19"/>
  <c r="I723" i="19"/>
  <c r="I725" i="19"/>
  <c r="AO725" i="19" s="1"/>
  <c r="I727" i="19"/>
  <c r="AO727" i="19" s="1"/>
  <c r="I726" i="19"/>
  <c r="AO726" i="19" s="1"/>
  <c r="J707" i="19"/>
  <c r="J717" i="19"/>
  <c r="I713" i="19"/>
  <c r="AO713" i="19" s="1"/>
  <c r="C714" i="19"/>
  <c r="I715" i="19"/>
  <c r="AO715" i="19" s="1"/>
  <c r="J722" i="19"/>
  <c r="I718" i="19"/>
  <c r="AO718" i="19" s="1"/>
  <c r="I717" i="19"/>
  <c r="C713" i="19"/>
  <c r="J711" i="19"/>
  <c r="J719" i="19"/>
  <c r="C722" i="19"/>
  <c r="I710" i="19"/>
  <c r="AO710" i="19" s="1"/>
  <c r="I721" i="19"/>
  <c r="AO721" i="19" s="1"/>
  <c r="C707" i="19"/>
  <c r="I706" i="19"/>
  <c r="AO706" i="19" s="1"/>
  <c r="I708" i="19"/>
  <c r="AO708" i="19" s="1"/>
  <c r="C720" i="19"/>
  <c r="I716" i="19"/>
  <c r="AO716" i="19" s="1"/>
  <c r="I712" i="19"/>
  <c r="AO712" i="19" s="1"/>
  <c r="C712" i="19"/>
  <c r="I722" i="19"/>
  <c r="AO722" i="19" s="1"/>
  <c r="C708" i="19"/>
  <c r="C719" i="19"/>
  <c r="C709" i="19"/>
  <c r="J716" i="19"/>
  <c r="J710" i="19"/>
  <c r="I719" i="19"/>
  <c r="AO719" i="19" s="1"/>
  <c r="I709" i="19"/>
  <c r="AO709" i="19" s="1"/>
  <c r="J718" i="19"/>
  <c r="J714" i="19"/>
  <c r="J708" i="19"/>
  <c r="J720" i="19"/>
  <c r="I707" i="19"/>
  <c r="AO707" i="19" s="1"/>
  <c r="J709" i="19"/>
  <c r="C718" i="19"/>
  <c r="I705" i="19"/>
  <c r="J721" i="19"/>
  <c r="J712" i="19"/>
  <c r="I720" i="19"/>
  <c r="AO720" i="19" s="1"/>
  <c r="C705" i="19"/>
  <c r="C710" i="19"/>
  <c r="C711" i="19"/>
  <c r="J705" i="19"/>
  <c r="I711" i="19"/>
  <c r="C715" i="19"/>
  <c r="J706" i="19"/>
  <c r="J713" i="19"/>
  <c r="C716" i="19"/>
  <c r="C706" i="19"/>
  <c r="J715" i="19"/>
  <c r="I714" i="19"/>
  <c r="AO714" i="19" s="1"/>
  <c r="C721" i="19"/>
  <c r="C717" i="19"/>
  <c r="C608" i="19"/>
  <c r="C621" i="19"/>
  <c r="C634" i="19"/>
  <c r="C647" i="19"/>
  <c r="C660" i="19"/>
  <c r="C673" i="19"/>
  <c r="C686" i="19"/>
  <c r="I604" i="19"/>
  <c r="AO604" i="19" s="1"/>
  <c r="I616" i="19"/>
  <c r="AO616" i="19" s="1"/>
  <c r="I628" i="19"/>
  <c r="AO628" i="19" s="1"/>
  <c r="I640" i="19"/>
  <c r="AO640" i="19" s="1"/>
  <c r="I652" i="19"/>
  <c r="AO652" i="19" s="1"/>
  <c r="I664" i="19"/>
  <c r="AO664" i="19" s="1"/>
  <c r="I676" i="19"/>
  <c r="AO676" i="19" s="1"/>
  <c r="I688" i="19"/>
  <c r="AO688" i="19" s="1"/>
  <c r="J605" i="19"/>
  <c r="J617" i="19"/>
  <c r="J629" i="19"/>
  <c r="J641" i="19"/>
  <c r="J653" i="19"/>
  <c r="J665" i="19"/>
  <c r="J677" i="19"/>
  <c r="J690" i="19"/>
  <c r="C610" i="19"/>
  <c r="C623" i="19"/>
  <c r="C636" i="19"/>
  <c r="C649" i="19"/>
  <c r="C662" i="19"/>
  <c r="C675" i="19"/>
  <c r="C688" i="19"/>
  <c r="I606" i="19"/>
  <c r="AO606" i="19" s="1"/>
  <c r="I618" i="19"/>
  <c r="AO618" i="19" s="1"/>
  <c r="I630" i="19"/>
  <c r="AO630" i="19" s="1"/>
  <c r="I642" i="19"/>
  <c r="AO642" i="19" s="1"/>
  <c r="I654" i="19"/>
  <c r="AO654" i="19" s="1"/>
  <c r="I666" i="19"/>
  <c r="AO666" i="19" s="1"/>
  <c r="I678" i="19"/>
  <c r="AO678" i="19" s="1"/>
  <c r="I691" i="19"/>
  <c r="AO691" i="19" s="1"/>
  <c r="J607" i="19"/>
  <c r="J619" i="19"/>
  <c r="J631" i="19"/>
  <c r="J643" i="19"/>
  <c r="J655" i="19"/>
  <c r="J667" i="19"/>
  <c r="J679" i="19"/>
  <c r="J692" i="19"/>
  <c r="C612" i="19"/>
  <c r="C625" i="19"/>
  <c r="C638" i="19"/>
  <c r="C651" i="19"/>
  <c r="C664" i="19"/>
  <c r="C678" i="19"/>
  <c r="C691" i="19"/>
  <c r="I608" i="19"/>
  <c r="AO608" i="19" s="1"/>
  <c r="I620" i="19"/>
  <c r="AO620" i="19" s="1"/>
  <c r="I632" i="19"/>
  <c r="AO632" i="19" s="1"/>
  <c r="I644" i="19"/>
  <c r="AO644" i="19" s="1"/>
  <c r="I656" i="19"/>
  <c r="AO656" i="19" s="1"/>
  <c r="I668" i="19"/>
  <c r="AO668" i="19" s="1"/>
  <c r="I680" i="19"/>
  <c r="AO680" i="19" s="1"/>
  <c r="I693" i="19"/>
  <c r="J609" i="19"/>
  <c r="J621" i="19"/>
  <c r="J633" i="19"/>
  <c r="J645" i="19"/>
  <c r="J657" i="19"/>
  <c r="J669" i="19"/>
  <c r="J681" i="19"/>
  <c r="J694" i="19"/>
  <c r="C614" i="19"/>
  <c r="C627" i="19"/>
  <c r="C640" i="19"/>
  <c r="C654" i="19"/>
  <c r="C667" i="19"/>
  <c r="C680" i="19"/>
  <c r="C693" i="19"/>
  <c r="I610" i="19"/>
  <c r="AO610" i="19" s="1"/>
  <c r="I622" i="19"/>
  <c r="AO622" i="19" s="1"/>
  <c r="I634" i="19"/>
  <c r="AO634" i="19" s="1"/>
  <c r="I646" i="19"/>
  <c r="AO646" i="19" s="1"/>
  <c r="I658" i="19"/>
  <c r="AO658" i="19" s="1"/>
  <c r="I670" i="19"/>
  <c r="AO670" i="19" s="1"/>
  <c r="I682" i="19"/>
  <c r="AO682" i="19" s="1"/>
  <c r="I695" i="19"/>
  <c r="AO695" i="19" s="1"/>
  <c r="J611" i="19"/>
  <c r="J623" i="19"/>
  <c r="J635" i="19"/>
  <c r="J647" i="19"/>
  <c r="J659" i="19"/>
  <c r="J671" i="19"/>
  <c r="J683" i="19"/>
  <c r="J696" i="19"/>
  <c r="C603" i="19"/>
  <c r="C616" i="19"/>
  <c r="C630" i="19"/>
  <c r="C643" i="19"/>
  <c r="C656" i="19"/>
  <c r="C669" i="19"/>
  <c r="C682" i="19"/>
  <c r="C695" i="19"/>
  <c r="I612" i="19"/>
  <c r="AO612" i="19" s="1"/>
  <c r="I624" i="19"/>
  <c r="AO624" i="19" s="1"/>
  <c r="I636" i="19"/>
  <c r="AO636" i="19" s="1"/>
  <c r="I648" i="19"/>
  <c r="AO648" i="19" s="1"/>
  <c r="I660" i="19"/>
  <c r="AO660" i="19" s="1"/>
  <c r="I672" i="19"/>
  <c r="AO672" i="19" s="1"/>
  <c r="I684" i="19"/>
  <c r="AO684" i="19" s="1"/>
  <c r="I697" i="19"/>
  <c r="AO697" i="19" s="1"/>
  <c r="J613" i="19"/>
  <c r="J625" i="19"/>
  <c r="J637" i="19"/>
  <c r="J649" i="19"/>
  <c r="J661" i="19"/>
  <c r="J673" i="19"/>
  <c r="J685" i="19"/>
  <c r="J698" i="19"/>
  <c r="C604" i="19"/>
  <c r="C618" i="19"/>
  <c r="C631" i="19"/>
  <c r="C644" i="19"/>
  <c r="C657" i="19"/>
  <c r="C670" i="19"/>
  <c r="C683" i="19"/>
  <c r="C696" i="19"/>
  <c r="C615" i="19"/>
  <c r="C642" i="19"/>
  <c r="C668" i="19"/>
  <c r="C694" i="19"/>
  <c r="I603" i="19"/>
  <c r="I625" i="19"/>
  <c r="AO625" i="19" s="1"/>
  <c r="I645" i="19"/>
  <c r="I665" i="19"/>
  <c r="AO665" i="19" s="1"/>
  <c r="I686" i="19"/>
  <c r="AO686" i="19" s="1"/>
  <c r="J612" i="19"/>
  <c r="J632" i="19"/>
  <c r="J652" i="19"/>
  <c r="J674" i="19"/>
  <c r="J695" i="19"/>
  <c r="C619" i="19"/>
  <c r="C645" i="19"/>
  <c r="C671" i="19"/>
  <c r="C697" i="19"/>
  <c r="I605" i="19"/>
  <c r="AO605" i="19" s="1"/>
  <c r="I626" i="19"/>
  <c r="AO626" i="19" s="1"/>
  <c r="I647" i="19"/>
  <c r="AO647" i="19" s="1"/>
  <c r="I667" i="19"/>
  <c r="AO667" i="19" s="1"/>
  <c r="I687" i="19"/>
  <c r="J614" i="19"/>
  <c r="J634" i="19"/>
  <c r="J654" i="19"/>
  <c r="J675" i="19"/>
  <c r="J697" i="19"/>
  <c r="C620" i="19"/>
  <c r="C646" i="19"/>
  <c r="C672" i="19"/>
  <c r="C698" i="19"/>
  <c r="I607" i="19"/>
  <c r="AO607" i="19" s="1"/>
  <c r="I627" i="19"/>
  <c r="I649" i="19"/>
  <c r="AO649" i="19" s="1"/>
  <c r="I669" i="19"/>
  <c r="I690" i="19"/>
  <c r="AO690" i="19" s="1"/>
  <c r="J615" i="19"/>
  <c r="J636" i="19"/>
  <c r="J656" i="19"/>
  <c r="J676" i="19"/>
  <c r="C622" i="19"/>
  <c r="C648" i="19"/>
  <c r="C674" i="19"/>
  <c r="I609" i="19"/>
  <c r="I629" i="19"/>
  <c r="AO629" i="19" s="1"/>
  <c r="I650" i="19"/>
  <c r="AO650" i="19" s="1"/>
  <c r="I671" i="19"/>
  <c r="AO671" i="19" s="1"/>
  <c r="I692" i="19"/>
  <c r="AO692" i="19" s="1"/>
  <c r="J616" i="19"/>
  <c r="J638" i="19"/>
  <c r="J658" i="19"/>
  <c r="J678" i="19"/>
  <c r="C611" i="19"/>
  <c r="C663" i="19"/>
  <c r="I621" i="19"/>
  <c r="I662" i="19"/>
  <c r="AO662" i="19" s="1"/>
  <c r="J608" i="19"/>
  <c r="J650" i="19"/>
  <c r="J691" i="19"/>
  <c r="C624" i="19"/>
  <c r="C650" i="19"/>
  <c r="C676" i="19"/>
  <c r="I611" i="19"/>
  <c r="AO611" i="19" s="1"/>
  <c r="I631" i="19"/>
  <c r="AO631" i="19" s="1"/>
  <c r="I651" i="19"/>
  <c r="I673" i="19"/>
  <c r="AO673" i="19" s="1"/>
  <c r="I694" i="19"/>
  <c r="AO694" i="19" s="1"/>
  <c r="J618" i="19"/>
  <c r="J639" i="19"/>
  <c r="J660" i="19"/>
  <c r="J680" i="19"/>
  <c r="C626" i="19"/>
  <c r="C652" i="19"/>
  <c r="C679" i="19"/>
  <c r="I613" i="19"/>
  <c r="AO613" i="19" s="1"/>
  <c r="I633" i="19"/>
  <c r="I653" i="19"/>
  <c r="AO653" i="19" s="1"/>
  <c r="I674" i="19"/>
  <c r="AO674" i="19" s="1"/>
  <c r="I696" i="19"/>
  <c r="AO696" i="19" s="1"/>
  <c r="J620" i="19"/>
  <c r="J640" i="19"/>
  <c r="J662" i="19"/>
  <c r="J682" i="19"/>
  <c r="C628" i="19"/>
  <c r="C655" i="19"/>
  <c r="C681" i="19"/>
  <c r="I614" i="19"/>
  <c r="AO614" i="19" s="1"/>
  <c r="I635" i="19"/>
  <c r="AO635" i="19" s="1"/>
  <c r="I655" i="19"/>
  <c r="AO655" i="19" s="1"/>
  <c r="I675" i="19"/>
  <c r="I698" i="19"/>
  <c r="AO698" i="19" s="1"/>
  <c r="J622" i="19"/>
  <c r="J642" i="19"/>
  <c r="J663" i="19"/>
  <c r="J684" i="19"/>
  <c r="C606" i="19"/>
  <c r="C632" i="19"/>
  <c r="C658" i="19"/>
  <c r="C684" i="19"/>
  <c r="I615" i="19"/>
  <c r="I637" i="19"/>
  <c r="AO637" i="19" s="1"/>
  <c r="I657" i="19"/>
  <c r="I677" i="19"/>
  <c r="AO677" i="19" s="1"/>
  <c r="J603" i="19"/>
  <c r="J624" i="19"/>
  <c r="J644" i="19"/>
  <c r="J664" i="19"/>
  <c r="J686" i="19"/>
  <c r="C607" i="19"/>
  <c r="C633" i="19"/>
  <c r="C659" i="19"/>
  <c r="C685" i="19"/>
  <c r="I617" i="19"/>
  <c r="AO617" i="19" s="1"/>
  <c r="I638" i="19"/>
  <c r="AO638" i="19" s="1"/>
  <c r="I659" i="19"/>
  <c r="AO659" i="19" s="1"/>
  <c r="I679" i="19"/>
  <c r="AO679" i="19" s="1"/>
  <c r="J604" i="19"/>
  <c r="J626" i="19"/>
  <c r="J646" i="19"/>
  <c r="J666" i="19"/>
  <c r="J687" i="19"/>
  <c r="C637" i="19"/>
  <c r="C690" i="19"/>
  <c r="I641" i="19"/>
  <c r="AO641" i="19" s="1"/>
  <c r="I683" i="19"/>
  <c r="AO683" i="19" s="1"/>
  <c r="J628" i="19"/>
  <c r="J670" i="19"/>
  <c r="C609" i="19"/>
  <c r="C635" i="19"/>
  <c r="C661" i="19"/>
  <c r="C687" i="19"/>
  <c r="I619" i="19"/>
  <c r="AO619" i="19" s="1"/>
  <c r="I639" i="19"/>
  <c r="I661" i="19"/>
  <c r="AO661" i="19" s="1"/>
  <c r="I681" i="19"/>
  <c r="J606" i="19"/>
  <c r="J627" i="19"/>
  <c r="J648" i="19"/>
  <c r="J668" i="19"/>
  <c r="J688" i="19"/>
  <c r="C613" i="19"/>
  <c r="C639" i="19"/>
  <c r="C666" i="19"/>
  <c r="C692" i="19"/>
  <c r="I623" i="19"/>
  <c r="AO623" i="19" s="1"/>
  <c r="I643" i="19"/>
  <c r="AO643" i="19" s="1"/>
  <c r="I663" i="19"/>
  <c r="I685" i="19"/>
  <c r="AO685" i="19" s="1"/>
  <c r="J610" i="19"/>
  <c r="J630" i="19"/>
  <c r="J651" i="19"/>
  <c r="J672" i="19"/>
  <c r="J693" i="19"/>
  <c r="C677" i="19"/>
  <c r="C665" i="19"/>
  <c r="C689" i="19"/>
  <c r="C653" i="19"/>
  <c r="I689" i="19"/>
  <c r="AO689" i="19" s="1"/>
  <c r="C641" i="19"/>
  <c r="J689" i="19"/>
  <c r="C629" i="19"/>
  <c r="C617" i="19"/>
  <c r="C605" i="19"/>
  <c r="J8" i="19"/>
  <c r="J20" i="19"/>
  <c r="J32" i="19"/>
  <c r="J44" i="19"/>
  <c r="J56" i="19"/>
  <c r="J68" i="19"/>
  <c r="J80" i="19"/>
  <c r="J92" i="19"/>
  <c r="J104" i="19"/>
  <c r="J116" i="19"/>
  <c r="J128" i="19"/>
  <c r="J140" i="19"/>
  <c r="J152" i="19"/>
  <c r="J164" i="19"/>
  <c r="J176" i="19"/>
  <c r="J188" i="19"/>
  <c r="J200" i="19"/>
  <c r="J212" i="19"/>
  <c r="J224" i="19"/>
  <c r="J236" i="19"/>
  <c r="J248" i="19"/>
  <c r="J260" i="19"/>
  <c r="J272" i="19"/>
  <c r="J284" i="19"/>
  <c r="J296" i="19"/>
  <c r="J308" i="19"/>
  <c r="J320" i="19"/>
  <c r="J332" i="19"/>
  <c r="J344" i="19"/>
  <c r="J356" i="19"/>
  <c r="J368" i="19"/>
  <c r="J380" i="19"/>
  <c r="J392" i="19"/>
  <c r="J404" i="19"/>
  <c r="J416" i="19"/>
  <c r="J428" i="19"/>
  <c r="J440" i="19"/>
  <c r="J452" i="19"/>
  <c r="J464" i="19"/>
  <c r="J476" i="19"/>
  <c r="J488" i="19"/>
  <c r="J500" i="19"/>
  <c r="J512" i="19"/>
  <c r="J9" i="19"/>
  <c r="J21" i="19"/>
  <c r="J33" i="19"/>
  <c r="J45" i="19"/>
  <c r="J57" i="19"/>
  <c r="J69" i="19"/>
  <c r="J81" i="19"/>
  <c r="J93" i="19"/>
  <c r="J105" i="19"/>
  <c r="J117" i="19"/>
  <c r="J129" i="19"/>
  <c r="J141" i="19"/>
  <c r="J153" i="19"/>
  <c r="J165" i="19"/>
  <c r="J177" i="19"/>
  <c r="J189" i="19"/>
  <c r="J201" i="19"/>
  <c r="J213" i="19"/>
  <c r="J225" i="19"/>
  <c r="J237" i="19"/>
  <c r="J249" i="19"/>
  <c r="J261" i="19"/>
  <c r="J273" i="19"/>
  <c r="J285" i="19"/>
  <c r="J10" i="19"/>
  <c r="J22" i="19"/>
  <c r="J34" i="19"/>
  <c r="J46" i="19"/>
  <c r="J58" i="19"/>
  <c r="J70" i="19"/>
  <c r="J82" i="19"/>
  <c r="J94" i="19"/>
  <c r="J106" i="19"/>
  <c r="J118" i="19"/>
  <c r="J130" i="19"/>
  <c r="J142" i="19"/>
  <c r="J154" i="19"/>
  <c r="J166" i="19"/>
  <c r="J178" i="19"/>
  <c r="J190" i="19"/>
  <c r="J202" i="19"/>
  <c r="J214" i="19"/>
  <c r="J226" i="19"/>
  <c r="J238" i="19"/>
  <c r="J250" i="19"/>
  <c r="J262" i="19"/>
  <c r="J274" i="19"/>
  <c r="J11" i="19"/>
  <c r="J23" i="19"/>
  <c r="J35" i="19"/>
  <c r="J47" i="19"/>
  <c r="J59" i="19"/>
  <c r="J71" i="19"/>
  <c r="J83" i="19"/>
  <c r="J95" i="19"/>
  <c r="J107" i="19"/>
  <c r="J119" i="19"/>
  <c r="J131" i="19"/>
  <c r="J143" i="19"/>
  <c r="J155" i="19"/>
  <c r="J167" i="19"/>
  <c r="J179" i="19"/>
  <c r="J191" i="19"/>
  <c r="J203" i="19"/>
  <c r="J215" i="19"/>
  <c r="J227" i="19"/>
  <c r="J239" i="19"/>
  <c r="J251" i="19"/>
  <c r="J263" i="19"/>
  <c r="J13" i="19"/>
  <c r="J25" i="19"/>
  <c r="J37" i="19"/>
  <c r="J49" i="19"/>
  <c r="J61" i="19"/>
  <c r="J73" i="19"/>
  <c r="J85" i="19"/>
  <c r="J97" i="19"/>
  <c r="J109" i="19"/>
  <c r="J121" i="19"/>
  <c r="J133" i="19"/>
  <c r="J145" i="19"/>
  <c r="J157" i="19"/>
  <c r="J169" i="19"/>
  <c r="J181" i="19"/>
  <c r="J193" i="19"/>
  <c r="J205" i="19"/>
  <c r="J217" i="19"/>
  <c r="J229" i="19"/>
  <c r="J241" i="19"/>
  <c r="J253" i="19"/>
  <c r="J265" i="19"/>
  <c r="J277" i="19"/>
  <c r="J289" i="19"/>
  <c r="J301" i="19"/>
  <c r="J313" i="19"/>
  <c r="J325" i="19"/>
  <c r="J337" i="19"/>
  <c r="J349" i="19"/>
  <c r="J361" i="19"/>
  <c r="J373" i="19"/>
  <c r="J385" i="19"/>
  <c r="J397" i="19"/>
  <c r="J409" i="19"/>
  <c r="J421" i="19"/>
  <c r="J433" i="19"/>
  <c r="J445" i="19"/>
  <c r="J457" i="19"/>
  <c r="J469" i="19"/>
  <c r="J481" i="19"/>
  <c r="J493" i="19"/>
  <c r="J505" i="19"/>
  <c r="J517" i="19"/>
  <c r="J14" i="19"/>
  <c r="J26" i="19"/>
  <c r="J38" i="19"/>
  <c r="J50" i="19"/>
  <c r="J62" i="19"/>
  <c r="J74" i="19"/>
  <c r="J86" i="19"/>
  <c r="J98" i="19"/>
  <c r="J110" i="19"/>
  <c r="J122" i="19"/>
  <c r="J134" i="19"/>
  <c r="J146" i="19"/>
  <c r="J158" i="19"/>
  <c r="J170" i="19"/>
  <c r="J182" i="19"/>
  <c r="J194" i="19"/>
  <c r="J206" i="19"/>
  <c r="J218" i="19"/>
  <c r="J230" i="19"/>
  <c r="J242" i="19"/>
  <c r="J254" i="19"/>
  <c r="J266" i="19"/>
  <c r="J278" i="19"/>
  <c r="J290" i="19"/>
  <c r="J302" i="19"/>
  <c r="J314" i="19"/>
  <c r="J326" i="19"/>
  <c r="J338" i="19"/>
  <c r="J350" i="19"/>
  <c r="J362" i="19"/>
  <c r="J374" i="19"/>
  <c r="J386" i="19"/>
  <c r="J398" i="19"/>
  <c r="J422" i="19"/>
  <c r="J434" i="19"/>
  <c r="J446" i="19"/>
  <c r="J458" i="19"/>
  <c r="J470" i="19"/>
  <c r="J482" i="19"/>
  <c r="J494" i="19"/>
  <c r="J506" i="19"/>
  <c r="J3" i="19"/>
  <c r="J15" i="19"/>
  <c r="J27" i="19"/>
  <c r="J39" i="19"/>
  <c r="J51" i="19"/>
  <c r="J63" i="19"/>
  <c r="J75" i="19"/>
  <c r="J87" i="19"/>
  <c r="J99" i="19"/>
  <c r="J111" i="19"/>
  <c r="J123" i="19"/>
  <c r="J135" i="19"/>
  <c r="J147" i="19"/>
  <c r="J159" i="19"/>
  <c r="J171" i="19"/>
  <c r="J183" i="19"/>
  <c r="J195" i="19"/>
  <c r="J207" i="19"/>
  <c r="J219" i="19"/>
  <c r="J231" i="19"/>
  <c r="J243" i="19"/>
  <c r="J255" i="19"/>
  <c r="J267" i="19"/>
  <c r="J279" i="19"/>
  <c r="J291" i="19"/>
  <c r="J303" i="19"/>
  <c r="J315" i="19"/>
  <c r="J327" i="19"/>
  <c r="J339" i="19"/>
  <c r="J351" i="19"/>
  <c r="J363" i="19"/>
  <c r="J375" i="19"/>
  <c r="J387" i="19"/>
  <c r="J4" i="19"/>
  <c r="J16" i="19"/>
  <c r="J28" i="19"/>
  <c r="J40" i="19"/>
  <c r="J52" i="19"/>
  <c r="J64" i="19"/>
  <c r="J76" i="19"/>
  <c r="J88" i="19"/>
  <c r="J100" i="19"/>
  <c r="J112" i="19"/>
  <c r="J124" i="19"/>
  <c r="J136" i="19"/>
  <c r="J148" i="19"/>
  <c r="J160" i="19"/>
  <c r="J172" i="19"/>
  <c r="J184" i="19"/>
  <c r="J196" i="19"/>
  <c r="J208" i="19"/>
  <c r="J220" i="19"/>
  <c r="J232" i="19"/>
  <c r="J244" i="19"/>
  <c r="J256" i="19"/>
  <c r="J268" i="19"/>
  <c r="J280" i="19"/>
  <c r="J5" i="19"/>
  <c r="J17" i="19"/>
  <c r="J29" i="19"/>
  <c r="J41" i="19"/>
  <c r="J53" i="19"/>
  <c r="J65" i="19"/>
  <c r="J77" i="19"/>
  <c r="J89" i="19"/>
  <c r="J101" i="19"/>
  <c r="J113" i="19"/>
  <c r="J125" i="19"/>
  <c r="J137" i="19"/>
  <c r="J149" i="19"/>
  <c r="J161" i="19"/>
  <c r="J173" i="19"/>
  <c r="J185" i="19"/>
  <c r="J197" i="19"/>
  <c r="J209" i="19"/>
  <c r="J221" i="19"/>
  <c r="J233" i="19"/>
  <c r="J245" i="19"/>
  <c r="J257" i="19"/>
  <c r="J269" i="19"/>
  <c r="J43" i="19"/>
  <c r="J91" i="19"/>
  <c r="J139" i="19"/>
  <c r="J187" i="19"/>
  <c r="J235" i="19"/>
  <c r="J281" i="19"/>
  <c r="J299" i="19"/>
  <c r="J318" i="19"/>
  <c r="J335" i="19"/>
  <c r="J354" i="19"/>
  <c r="J371" i="19"/>
  <c r="J390" i="19"/>
  <c r="J406" i="19"/>
  <c r="J423" i="19"/>
  <c r="J438" i="19"/>
  <c r="J454" i="19"/>
  <c r="J471" i="19"/>
  <c r="J486" i="19"/>
  <c r="J502" i="19"/>
  <c r="J518" i="19"/>
  <c r="J530" i="19"/>
  <c r="J542" i="19"/>
  <c r="J554" i="19"/>
  <c r="J566" i="19"/>
  <c r="J578" i="19"/>
  <c r="J590" i="19"/>
  <c r="C4" i="19"/>
  <c r="C16" i="19"/>
  <c r="C28" i="19"/>
  <c r="C40" i="19"/>
  <c r="C52" i="19"/>
  <c r="C64" i="19"/>
  <c r="C76" i="19"/>
  <c r="C88" i="19"/>
  <c r="C100" i="19"/>
  <c r="C112" i="19"/>
  <c r="C124" i="19"/>
  <c r="C136" i="19"/>
  <c r="C148" i="19"/>
  <c r="C160" i="19"/>
  <c r="C172" i="19"/>
  <c r="C184" i="19"/>
  <c r="C196" i="19"/>
  <c r="C208" i="19"/>
  <c r="C220" i="19"/>
  <c r="C232" i="19"/>
  <c r="C244" i="19"/>
  <c r="C256" i="19"/>
  <c r="C268" i="19"/>
  <c r="C280" i="19"/>
  <c r="C292" i="19"/>
  <c r="C304" i="19"/>
  <c r="C316" i="19"/>
  <c r="C328" i="19"/>
  <c r="C340" i="19"/>
  <c r="C352" i="19"/>
  <c r="C364" i="19"/>
  <c r="C376" i="19"/>
  <c r="C388" i="19"/>
  <c r="C400" i="19"/>
  <c r="C412" i="19"/>
  <c r="C424" i="19"/>
  <c r="C436" i="19"/>
  <c r="C448" i="19"/>
  <c r="C460" i="19"/>
  <c r="C472" i="19"/>
  <c r="C484" i="19"/>
  <c r="C496" i="19"/>
  <c r="C508" i="19"/>
  <c r="C520" i="19"/>
  <c r="C532" i="19"/>
  <c r="C544" i="19"/>
  <c r="C556" i="19"/>
  <c r="C568" i="19"/>
  <c r="J48" i="19"/>
  <c r="J96" i="19"/>
  <c r="J144" i="19"/>
  <c r="J192" i="19"/>
  <c r="J240" i="19"/>
  <c r="J282" i="19"/>
  <c r="J300" i="19"/>
  <c r="J319" i="19"/>
  <c r="J336" i="19"/>
  <c r="J355" i="19"/>
  <c r="J372" i="19"/>
  <c r="J391" i="19"/>
  <c r="J407" i="19"/>
  <c r="J424" i="19"/>
  <c r="J439" i="19"/>
  <c r="J455" i="19"/>
  <c r="J472" i="19"/>
  <c r="J487" i="19"/>
  <c r="J503" i="19"/>
  <c r="J519" i="19"/>
  <c r="J531" i="19"/>
  <c r="J543" i="19"/>
  <c r="J555" i="19"/>
  <c r="J567" i="19"/>
  <c r="J579" i="19"/>
  <c r="J591" i="19"/>
  <c r="C5" i="19"/>
  <c r="C17" i="19"/>
  <c r="C29" i="19"/>
  <c r="C41" i="19"/>
  <c r="C53" i="19"/>
  <c r="C65" i="19"/>
  <c r="C77" i="19"/>
  <c r="C89" i="19"/>
  <c r="C101" i="19"/>
  <c r="C113" i="19"/>
  <c r="C125" i="19"/>
  <c r="C137" i="19"/>
  <c r="C149" i="19"/>
  <c r="C161" i="19"/>
  <c r="C173" i="19"/>
  <c r="C185" i="19"/>
  <c r="C197" i="19"/>
  <c r="C209" i="19"/>
  <c r="C221" i="19"/>
  <c r="C233" i="19"/>
  <c r="C245" i="19"/>
  <c r="C257" i="19"/>
  <c r="C269" i="19"/>
  <c r="C281" i="19"/>
  <c r="C293" i="19"/>
  <c r="C305" i="19"/>
  <c r="C317" i="19"/>
  <c r="C329" i="19"/>
  <c r="C341" i="19"/>
  <c r="C353" i="19"/>
  <c r="C365" i="19"/>
  <c r="C377" i="19"/>
  <c r="C389" i="19"/>
  <c r="C401" i="19"/>
  <c r="C413" i="19"/>
  <c r="C425" i="19"/>
  <c r="C437" i="19"/>
  <c r="C449" i="19"/>
  <c r="C461" i="19"/>
  <c r="C473" i="19"/>
  <c r="C485" i="19"/>
  <c r="C497" i="19"/>
  <c r="C509" i="19"/>
  <c r="C521" i="19"/>
  <c r="C533" i="19"/>
  <c r="C545" i="19"/>
  <c r="C557" i="19"/>
  <c r="C569" i="19"/>
  <c r="C581" i="19"/>
  <c r="C593" i="19"/>
  <c r="I6" i="19"/>
  <c r="I18" i="19"/>
  <c r="I30" i="19"/>
  <c r="AO30" i="19" s="1"/>
  <c r="I42" i="19"/>
  <c r="AO42" i="19" s="1"/>
  <c r="I54" i="19"/>
  <c r="AO54" i="19" s="1"/>
  <c r="I66" i="19"/>
  <c r="AO66" i="19" s="1"/>
  <c r="I78" i="19"/>
  <c r="AO78" i="19" s="1"/>
  <c r="I90" i="19"/>
  <c r="AO90" i="19" s="1"/>
  <c r="I102" i="19"/>
  <c r="AO102" i="19" s="1"/>
  <c r="I114" i="19"/>
  <c r="AO114" i="19" s="1"/>
  <c r="I126" i="19"/>
  <c r="AO126" i="19" s="1"/>
  <c r="I138" i="19"/>
  <c r="I318" i="19"/>
  <c r="AO318" i="19" s="1"/>
  <c r="I330" i="19"/>
  <c r="AO330" i="19" s="1"/>
  <c r="I342" i="19"/>
  <c r="AO342" i="19" s="1"/>
  <c r="I354" i="19"/>
  <c r="AO354" i="19" s="1"/>
  <c r="I366" i="19"/>
  <c r="AO366" i="19" s="1"/>
  <c r="I378" i="19"/>
  <c r="AO378" i="19" s="1"/>
  <c r="I390" i="19"/>
  <c r="AO390" i="19" s="1"/>
  <c r="I402" i="19"/>
  <c r="AO402" i="19" s="1"/>
  <c r="I414" i="19"/>
  <c r="AO414" i="19" s="1"/>
  <c r="I426" i="19"/>
  <c r="AO426" i="19" s="1"/>
  <c r="I438" i="19"/>
  <c r="AO438" i="19" s="1"/>
  <c r="I450" i="19"/>
  <c r="AO450" i="19" s="1"/>
  <c r="I462" i="19"/>
  <c r="AO462" i="19" s="1"/>
  <c r="I474" i="19"/>
  <c r="AO474" i="19" s="1"/>
  <c r="I486" i="19"/>
  <c r="AO486" i="19" s="1"/>
  <c r="I498" i="19"/>
  <c r="AO498" i="19" s="1"/>
  <c r="J6" i="19"/>
  <c r="J54" i="19"/>
  <c r="J102" i="19"/>
  <c r="J150" i="19"/>
  <c r="J198" i="19"/>
  <c r="J246" i="19"/>
  <c r="J283" i="19"/>
  <c r="J304" i="19"/>
  <c r="J321" i="19"/>
  <c r="J340" i="19"/>
  <c r="J357" i="19"/>
  <c r="J376" i="19"/>
  <c r="J393" i="19"/>
  <c r="J408" i="19"/>
  <c r="J425" i="19"/>
  <c r="J441" i="19"/>
  <c r="J456" i="19"/>
  <c r="J473" i="19"/>
  <c r="J489" i="19"/>
  <c r="J504" i="19"/>
  <c r="J520" i="19"/>
  <c r="J532" i="19"/>
  <c r="J544" i="19"/>
  <c r="J556" i="19"/>
  <c r="J568" i="19"/>
  <c r="J580" i="19"/>
  <c r="J592" i="19"/>
  <c r="C6" i="19"/>
  <c r="C18" i="19"/>
  <c r="C30" i="19"/>
  <c r="C42" i="19"/>
  <c r="C54" i="19"/>
  <c r="C66" i="19"/>
  <c r="C78" i="19"/>
  <c r="C90" i="19"/>
  <c r="C102" i="19"/>
  <c r="C114" i="19"/>
  <c r="C126" i="19"/>
  <c r="C138" i="19"/>
  <c r="C150" i="19"/>
  <c r="C162" i="19"/>
  <c r="C174" i="19"/>
  <c r="C186" i="19"/>
  <c r="C198" i="19"/>
  <c r="C210" i="19"/>
  <c r="C222" i="19"/>
  <c r="C234" i="19"/>
  <c r="C246" i="19"/>
  <c r="C258" i="19"/>
  <c r="C270" i="19"/>
  <c r="C282" i="19"/>
  <c r="C294" i="19"/>
  <c r="C306" i="19"/>
  <c r="C318" i="19"/>
  <c r="C330" i="19"/>
  <c r="C342" i="19"/>
  <c r="J7" i="19"/>
  <c r="J55" i="19"/>
  <c r="J103" i="19"/>
  <c r="J151" i="19"/>
  <c r="J199" i="19"/>
  <c r="J247" i="19"/>
  <c r="J286" i="19"/>
  <c r="J305" i="19"/>
  <c r="J322" i="19"/>
  <c r="J341" i="19"/>
  <c r="J358" i="19"/>
  <c r="J377" i="19"/>
  <c r="J394" i="19"/>
  <c r="J411" i="19"/>
  <c r="J426" i="19"/>
  <c r="J442" i="19"/>
  <c r="J459" i="19"/>
  <c r="J474" i="19"/>
  <c r="J490" i="19"/>
  <c r="J507" i="19"/>
  <c r="J521" i="19"/>
  <c r="J533" i="19"/>
  <c r="J545" i="19"/>
  <c r="J557" i="19"/>
  <c r="J569" i="19"/>
  <c r="J581" i="19"/>
  <c r="J593" i="19"/>
  <c r="C7" i="19"/>
  <c r="C19" i="19"/>
  <c r="C31" i="19"/>
  <c r="C43" i="19"/>
  <c r="C55" i="19"/>
  <c r="C67" i="19"/>
  <c r="C79" i="19"/>
  <c r="C91" i="19"/>
  <c r="C103" i="19"/>
  <c r="C115" i="19"/>
  <c r="C127" i="19"/>
  <c r="C139" i="19"/>
  <c r="C151" i="19"/>
  <c r="C163" i="19"/>
  <c r="C175" i="19"/>
  <c r="J18" i="19"/>
  <c r="J66" i="19"/>
  <c r="J114" i="19"/>
  <c r="J162" i="19"/>
  <c r="J210" i="19"/>
  <c r="J258" i="19"/>
  <c r="J288" i="19"/>
  <c r="J307" i="19"/>
  <c r="J324" i="19"/>
  <c r="J343" i="19"/>
  <c r="J360" i="19"/>
  <c r="J379" i="19"/>
  <c r="J396" i="19"/>
  <c r="J413" i="19"/>
  <c r="J429" i="19"/>
  <c r="J444" i="19"/>
  <c r="J461" i="19"/>
  <c r="J477" i="19"/>
  <c r="J492" i="19"/>
  <c r="J509" i="19"/>
  <c r="J523" i="19"/>
  <c r="J535" i="19"/>
  <c r="J547" i="19"/>
  <c r="J559" i="19"/>
  <c r="J571" i="19"/>
  <c r="J583" i="19"/>
  <c r="J595" i="19"/>
  <c r="C9" i="19"/>
  <c r="C21" i="19"/>
  <c r="C33" i="19"/>
  <c r="C45" i="19"/>
  <c r="C57" i="19"/>
  <c r="C69" i="19"/>
  <c r="C81" i="19"/>
  <c r="C93" i="19"/>
  <c r="C105" i="19"/>
  <c r="C117" i="19"/>
  <c r="C129" i="19"/>
  <c r="C141" i="19"/>
  <c r="C153" i="19"/>
  <c r="C165" i="19"/>
  <c r="C177" i="19"/>
  <c r="C189" i="19"/>
  <c r="C201" i="19"/>
  <c r="C213" i="19"/>
  <c r="C225" i="19"/>
  <c r="C237" i="19"/>
  <c r="C249" i="19"/>
  <c r="C261" i="19"/>
  <c r="C273" i="19"/>
  <c r="C285" i="19"/>
  <c r="C297" i="19"/>
  <c r="C309" i="19"/>
  <c r="C321" i="19"/>
  <c r="C333" i="19"/>
  <c r="C345" i="19"/>
  <c r="C357" i="19"/>
  <c r="C369" i="19"/>
  <c r="C381" i="19"/>
  <c r="C393" i="19"/>
  <c r="C405" i="19"/>
  <c r="C417" i="19"/>
  <c r="C429" i="19"/>
  <c r="C441" i="19"/>
  <c r="C453" i="19"/>
  <c r="C465" i="19"/>
  <c r="C477" i="19"/>
  <c r="C489" i="19"/>
  <c r="C501" i="19"/>
  <c r="C513" i="19"/>
  <c r="C525" i="19"/>
  <c r="C537" i="19"/>
  <c r="C549" i="19"/>
  <c r="C561" i="19"/>
  <c r="C573" i="19"/>
  <c r="J19" i="19"/>
  <c r="J67" i="19"/>
  <c r="J115" i="19"/>
  <c r="J163" i="19"/>
  <c r="J211" i="19"/>
  <c r="J259" i="19"/>
  <c r="J292" i="19"/>
  <c r="J309" i="19"/>
  <c r="J328" i="19"/>
  <c r="J345" i="19"/>
  <c r="J364" i="19"/>
  <c r="J381" i="19"/>
  <c r="J399" i="19"/>
  <c r="J414" i="19"/>
  <c r="J430" i="19"/>
  <c r="J447" i="19"/>
  <c r="J462" i="19"/>
  <c r="J478" i="19"/>
  <c r="J495" i="19"/>
  <c r="J510" i="19"/>
  <c r="J524" i="19"/>
  <c r="J536" i="19"/>
  <c r="J548" i="19"/>
  <c r="J560" i="19"/>
  <c r="J572" i="19"/>
  <c r="J584" i="19"/>
  <c r="J596" i="19"/>
  <c r="C10" i="19"/>
  <c r="C22" i="19"/>
  <c r="C34" i="19"/>
  <c r="C46" i="19"/>
  <c r="C58" i="19"/>
  <c r="C70" i="19"/>
  <c r="C82" i="19"/>
  <c r="C94" i="19"/>
  <c r="C106" i="19"/>
  <c r="C118" i="19"/>
  <c r="C130" i="19"/>
  <c r="C142" i="19"/>
  <c r="C154" i="19"/>
  <c r="C166" i="19"/>
  <c r="C178" i="19"/>
  <c r="C190" i="19"/>
  <c r="C202" i="19"/>
  <c r="C214" i="19"/>
  <c r="C226" i="19"/>
  <c r="C238" i="19"/>
  <c r="C250" i="19"/>
  <c r="C262" i="19"/>
  <c r="C274" i="19"/>
  <c r="C286" i="19"/>
  <c r="C298" i="19"/>
  <c r="C310" i="19"/>
  <c r="C322" i="19"/>
  <c r="C334" i="19"/>
  <c r="C346" i="19"/>
  <c r="C358" i="19"/>
  <c r="C370" i="19"/>
  <c r="C382" i="19"/>
  <c r="C394" i="19"/>
  <c r="C406" i="19"/>
  <c r="C418" i="19"/>
  <c r="C430" i="19"/>
  <c r="C442" i="19"/>
  <c r="C454" i="19"/>
  <c r="C466" i="19"/>
  <c r="C478" i="19"/>
  <c r="C490" i="19"/>
  <c r="C502" i="19"/>
  <c r="C514" i="19"/>
  <c r="C526" i="19"/>
  <c r="C538" i="19"/>
  <c r="C550" i="19"/>
  <c r="C562" i="19"/>
  <c r="J24" i="19"/>
  <c r="J72" i="19"/>
  <c r="J120" i="19"/>
  <c r="J168" i="19"/>
  <c r="J216" i="19"/>
  <c r="J264" i="19"/>
  <c r="J293" i="19"/>
  <c r="J310" i="19"/>
  <c r="J329" i="19"/>
  <c r="J346" i="19"/>
  <c r="J365" i="19"/>
  <c r="J382" i="19"/>
  <c r="J400" i="19"/>
  <c r="J415" i="19"/>
  <c r="J431" i="19"/>
  <c r="J448" i="19"/>
  <c r="J463" i="19"/>
  <c r="J479" i="19"/>
  <c r="J496" i="19"/>
  <c r="J511" i="19"/>
  <c r="J525" i="19"/>
  <c r="J537" i="19"/>
  <c r="J549" i="19"/>
  <c r="J561" i="19"/>
  <c r="J573" i="19"/>
  <c r="J585" i="19"/>
  <c r="J597" i="19"/>
  <c r="C11" i="19"/>
  <c r="C23" i="19"/>
  <c r="C35" i="19"/>
  <c r="C47" i="19"/>
  <c r="C59" i="19"/>
  <c r="C71" i="19"/>
  <c r="C83" i="19"/>
  <c r="C95" i="19"/>
  <c r="C107" i="19"/>
  <c r="C119" i="19"/>
  <c r="C131" i="19"/>
  <c r="C143" i="19"/>
  <c r="C155" i="19"/>
  <c r="C167" i="19"/>
  <c r="C179" i="19"/>
  <c r="C191" i="19"/>
  <c r="C203" i="19"/>
  <c r="C215" i="19"/>
  <c r="C227" i="19"/>
  <c r="C239" i="19"/>
  <c r="C251" i="19"/>
  <c r="C263" i="19"/>
  <c r="C275" i="19"/>
  <c r="C287" i="19"/>
  <c r="C299" i="19"/>
  <c r="C311" i="19"/>
  <c r="C323" i="19"/>
  <c r="C335" i="19"/>
  <c r="C347" i="19"/>
  <c r="C359" i="19"/>
  <c r="C371" i="19"/>
  <c r="C383" i="19"/>
  <c r="C395" i="19"/>
  <c r="C407" i="19"/>
  <c r="C419" i="19"/>
  <c r="C431" i="19"/>
  <c r="C443" i="19"/>
  <c r="C455" i="19"/>
  <c r="C467" i="19"/>
  <c r="C479" i="19"/>
  <c r="C491" i="19"/>
  <c r="C503" i="19"/>
  <c r="C515" i="19"/>
  <c r="C527" i="19"/>
  <c r="C539" i="19"/>
  <c r="C551" i="19"/>
  <c r="C563" i="19"/>
  <c r="C575" i="19"/>
  <c r="C587" i="19"/>
  <c r="C599" i="19"/>
  <c r="I12" i="19"/>
  <c r="AO12" i="19" s="1"/>
  <c r="I24" i="19"/>
  <c r="I36" i="19"/>
  <c r="AO36" i="19" s="1"/>
  <c r="I48" i="19"/>
  <c r="I60" i="19"/>
  <c r="I72" i="19"/>
  <c r="AO72" i="19" s="1"/>
  <c r="I84" i="19"/>
  <c r="AO84" i="19" s="1"/>
  <c r="I96" i="19"/>
  <c r="AO96" i="19" s="1"/>
  <c r="I108" i="19"/>
  <c r="AO108" i="19" s="1"/>
  <c r="I120" i="19"/>
  <c r="AO120" i="19" s="1"/>
  <c r="I132" i="19"/>
  <c r="AO132" i="19" s="1"/>
  <c r="I144" i="19"/>
  <c r="AO144" i="19" s="1"/>
  <c r="I324" i="19"/>
  <c r="AO324" i="19" s="1"/>
  <c r="I336" i="19"/>
  <c r="AO336" i="19" s="1"/>
  <c r="I348" i="19"/>
  <c r="AO348" i="19" s="1"/>
  <c r="I360" i="19"/>
  <c r="AO360" i="19" s="1"/>
  <c r="I372" i="19"/>
  <c r="AO372" i="19" s="1"/>
  <c r="I384" i="19"/>
  <c r="AO384" i="19" s="1"/>
  <c r="I396" i="19"/>
  <c r="AO396" i="19" s="1"/>
  <c r="I408" i="19"/>
  <c r="AO408" i="19" s="1"/>
  <c r="I420" i="19"/>
  <c r="AO420" i="19" s="1"/>
  <c r="I432" i="19"/>
  <c r="AO432" i="19" s="1"/>
  <c r="I444" i="19"/>
  <c r="AO444" i="19" s="1"/>
  <c r="I456" i="19"/>
  <c r="AO456" i="19" s="1"/>
  <c r="I468" i="19"/>
  <c r="AO468" i="19" s="1"/>
  <c r="I480" i="19"/>
  <c r="AO480" i="19" s="1"/>
  <c r="I492" i="19"/>
  <c r="AO492" i="19" s="1"/>
  <c r="I504" i="19"/>
  <c r="AO504" i="19" s="1"/>
  <c r="J30" i="19"/>
  <c r="J78" i="19"/>
  <c r="J126" i="19"/>
  <c r="J174" i="19"/>
  <c r="J222" i="19"/>
  <c r="J270" i="19"/>
  <c r="J294" i="19"/>
  <c r="J311" i="19"/>
  <c r="J330" i="19"/>
  <c r="J347" i="19"/>
  <c r="J366" i="19"/>
  <c r="J383" i="19"/>
  <c r="J401" i="19"/>
  <c r="J417" i="19"/>
  <c r="J432" i="19"/>
  <c r="J449" i="19"/>
  <c r="J465" i="19"/>
  <c r="J480" i="19"/>
  <c r="J497" i="19"/>
  <c r="J513" i="19"/>
  <c r="J526" i="19"/>
  <c r="J538" i="19"/>
  <c r="J550" i="19"/>
  <c r="J562" i="19"/>
  <c r="J574" i="19"/>
  <c r="J586" i="19"/>
  <c r="J598" i="19"/>
  <c r="C12" i="19"/>
  <c r="C24" i="19"/>
  <c r="C36" i="19"/>
  <c r="C48" i="19"/>
  <c r="C60" i="19"/>
  <c r="C72" i="19"/>
  <c r="C84" i="19"/>
  <c r="C96" i="19"/>
  <c r="C108" i="19"/>
  <c r="C120" i="19"/>
  <c r="C132" i="19"/>
  <c r="C144" i="19"/>
  <c r="C156" i="19"/>
  <c r="C168" i="19"/>
  <c r="C180" i="19"/>
  <c r="C192" i="19"/>
  <c r="C204" i="19"/>
  <c r="C216" i="19"/>
  <c r="C228" i="19"/>
  <c r="C240" i="19"/>
  <c r="C252" i="19"/>
  <c r="C264" i="19"/>
  <c r="C276" i="19"/>
  <c r="C288" i="19"/>
  <c r="C300" i="19"/>
  <c r="C312" i="19"/>
  <c r="C324" i="19"/>
  <c r="C336" i="19"/>
  <c r="C348" i="19"/>
  <c r="C360" i="19"/>
  <c r="C372" i="19"/>
  <c r="C384" i="19"/>
  <c r="C396" i="19"/>
  <c r="C408" i="19"/>
  <c r="C420" i="19"/>
  <c r="C432" i="19"/>
  <c r="C444" i="19"/>
  <c r="C456" i="19"/>
  <c r="C468" i="19"/>
  <c r="C480" i="19"/>
  <c r="C492" i="19"/>
  <c r="C504" i="19"/>
  <c r="C516" i="19"/>
  <c r="C528" i="19"/>
  <c r="C540" i="19"/>
  <c r="C552" i="19"/>
  <c r="C564" i="19"/>
  <c r="C576" i="19"/>
  <c r="C588" i="19"/>
  <c r="C600" i="19"/>
  <c r="I13" i="19"/>
  <c r="AO13" i="19" s="1"/>
  <c r="J31" i="19"/>
  <c r="J79" i="19"/>
  <c r="J127" i="19"/>
  <c r="J175" i="19"/>
  <c r="J223" i="19"/>
  <c r="J271" i="19"/>
  <c r="J295" i="19"/>
  <c r="J312" i="19"/>
  <c r="J331" i="19"/>
  <c r="J348" i="19"/>
  <c r="J367" i="19"/>
  <c r="J384" i="19"/>
  <c r="J402" i="19"/>
  <c r="J418" i="19"/>
  <c r="J435" i="19"/>
  <c r="J450" i="19"/>
  <c r="J466" i="19"/>
  <c r="J483" i="19"/>
  <c r="J498" i="19"/>
  <c r="J514" i="19"/>
  <c r="J527" i="19"/>
  <c r="J539" i="19"/>
  <c r="J551" i="19"/>
  <c r="J563" i="19"/>
  <c r="J575" i="19"/>
  <c r="J587" i="19"/>
  <c r="J599" i="19"/>
  <c r="C13" i="19"/>
  <c r="C25" i="19"/>
  <c r="C37" i="19"/>
  <c r="C49" i="19"/>
  <c r="C61" i="19"/>
  <c r="C73" i="19"/>
  <c r="C85" i="19"/>
  <c r="C97" i="19"/>
  <c r="C109" i="19"/>
  <c r="C121" i="19"/>
  <c r="C133" i="19"/>
  <c r="C145" i="19"/>
  <c r="C157" i="19"/>
  <c r="C169" i="19"/>
  <c r="C181" i="19"/>
  <c r="C193" i="19"/>
  <c r="C205" i="19"/>
  <c r="C217" i="19"/>
  <c r="C229" i="19"/>
  <c r="C241" i="19"/>
  <c r="C253" i="19"/>
  <c r="C265" i="19"/>
  <c r="C277" i="19"/>
  <c r="C289" i="19"/>
  <c r="C301" i="19"/>
  <c r="C313" i="19"/>
  <c r="C325" i="19"/>
  <c r="C337" i="19"/>
  <c r="J36" i="19"/>
  <c r="J84" i="19"/>
  <c r="J132" i="19"/>
  <c r="J180" i="19"/>
  <c r="J228" i="19"/>
  <c r="J275" i="19"/>
  <c r="J297" i="19"/>
  <c r="J316" i="19"/>
  <c r="J333" i="19"/>
  <c r="J352" i="19"/>
  <c r="J369" i="19"/>
  <c r="J388" i="19"/>
  <c r="J403" i="19"/>
  <c r="J419" i="19"/>
  <c r="J436" i="19"/>
  <c r="J451" i="19"/>
  <c r="J467" i="19"/>
  <c r="J484" i="19"/>
  <c r="J499" i="19"/>
  <c r="J515" i="19"/>
  <c r="J528" i="19"/>
  <c r="J540" i="19"/>
  <c r="J552" i="19"/>
  <c r="J564" i="19"/>
  <c r="J576" i="19"/>
  <c r="J588" i="19"/>
  <c r="J600" i="19"/>
  <c r="J234" i="19"/>
  <c r="J370" i="19"/>
  <c r="J468" i="19"/>
  <c r="J553" i="19"/>
  <c r="C38" i="19"/>
  <c r="C86" i="19"/>
  <c r="C134" i="19"/>
  <c r="C182" i="19"/>
  <c r="C218" i="19"/>
  <c r="C254" i="19"/>
  <c r="C290" i="19"/>
  <c r="C326" i="19"/>
  <c r="C355" i="19"/>
  <c r="C379" i="19"/>
  <c r="C403" i="19"/>
  <c r="C427" i="19"/>
  <c r="C451" i="19"/>
  <c r="C475" i="19"/>
  <c r="C499" i="19"/>
  <c r="C523" i="19"/>
  <c r="C547" i="19"/>
  <c r="C571" i="19"/>
  <c r="C589" i="19"/>
  <c r="I5" i="19"/>
  <c r="I21" i="19"/>
  <c r="I35" i="19"/>
  <c r="AO35" i="19" s="1"/>
  <c r="I50" i="19"/>
  <c r="AO50" i="19" s="1"/>
  <c r="I64" i="19"/>
  <c r="AO64" i="19" s="1"/>
  <c r="I79" i="19"/>
  <c r="AO79" i="19" s="1"/>
  <c r="I93" i="19"/>
  <c r="I107" i="19"/>
  <c r="AO107" i="19" s="1"/>
  <c r="I122" i="19"/>
  <c r="AO122" i="19" s="1"/>
  <c r="I136" i="19"/>
  <c r="I319" i="19"/>
  <c r="AO319" i="19" s="1"/>
  <c r="I333" i="19"/>
  <c r="I347" i="19"/>
  <c r="AO347" i="19" s="1"/>
  <c r="I362" i="19"/>
  <c r="AO362" i="19" s="1"/>
  <c r="I376" i="19"/>
  <c r="AO376" i="19" s="1"/>
  <c r="I391" i="19"/>
  <c r="AO391" i="19" s="1"/>
  <c r="I405" i="19"/>
  <c r="I419" i="19"/>
  <c r="AO419" i="19" s="1"/>
  <c r="I434" i="19"/>
  <c r="AO434" i="19" s="1"/>
  <c r="I448" i="19"/>
  <c r="AO448" i="19" s="1"/>
  <c r="I463" i="19"/>
  <c r="AO463" i="19" s="1"/>
  <c r="I477" i="19"/>
  <c r="I491" i="19"/>
  <c r="AO491" i="19" s="1"/>
  <c r="I506" i="19"/>
  <c r="AO506" i="19" s="1"/>
  <c r="I518" i="19"/>
  <c r="AO518" i="19" s="1"/>
  <c r="I530" i="19"/>
  <c r="AO530" i="19" s="1"/>
  <c r="I542" i="19"/>
  <c r="AO542" i="19" s="1"/>
  <c r="I554" i="19"/>
  <c r="AO554" i="19" s="1"/>
  <c r="I566" i="19"/>
  <c r="AO566" i="19" s="1"/>
  <c r="I578" i="19"/>
  <c r="AO578" i="19" s="1"/>
  <c r="I590" i="19"/>
  <c r="AO590" i="19" s="1"/>
  <c r="J252" i="19"/>
  <c r="J378" i="19"/>
  <c r="J475" i="19"/>
  <c r="J558" i="19"/>
  <c r="C39" i="19"/>
  <c r="C87" i="19"/>
  <c r="C135" i="19"/>
  <c r="C183" i="19"/>
  <c r="C219" i="19"/>
  <c r="C255" i="19"/>
  <c r="C291" i="19"/>
  <c r="C327" i="19"/>
  <c r="C356" i="19"/>
  <c r="C380" i="19"/>
  <c r="C404" i="19"/>
  <c r="C428" i="19"/>
  <c r="C452" i="19"/>
  <c r="C476" i="19"/>
  <c r="C500" i="19"/>
  <c r="C524" i="19"/>
  <c r="C548" i="19"/>
  <c r="C572" i="19"/>
  <c r="C590" i="19"/>
  <c r="I7" i="19"/>
  <c r="I22" i="19"/>
  <c r="I37" i="19"/>
  <c r="AO37" i="19" s="1"/>
  <c r="I51" i="19"/>
  <c r="I65" i="19"/>
  <c r="AO65" i="19" s="1"/>
  <c r="I80" i="19"/>
  <c r="AO80" i="19" s="1"/>
  <c r="I94" i="19"/>
  <c r="AO94" i="19" s="1"/>
  <c r="I109" i="19"/>
  <c r="AO109" i="19" s="1"/>
  <c r="I123" i="19"/>
  <c r="I137" i="19"/>
  <c r="AO137" i="19" s="1"/>
  <c r="I320" i="19"/>
  <c r="AO320" i="19" s="1"/>
  <c r="I334" i="19"/>
  <c r="AO334" i="19" s="1"/>
  <c r="I349" i="19"/>
  <c r="AO349" i="19" s="1"/>
  <c r="I363" i="19"/>
  <c r="I377" i="19"/>
  <c r="AO377" i="19" s="1"/>
  <c r="I392" i="19"/>
  <c r="AO392" i="19" s="1"/>
  <c r="I406" i="19"/>
  <c r="AO406" i="19" s="1"/>
  <c r="I421" i="19"/>
  <c r="AO421" i="19" s="1"/>
  <c r="I435" i="19"/>
  <c r="I449" i="19"/>
  <c r="AO449" i="19" s="1"/>
  <c r="I464" i="19"/>
  <c r="AO464" i="19" s="1"/>
  <c r="I478" i="19"/>
  <c r="AO478" i="19" s="1"/>
  <c r="I493" i="19"/>
  <c r="AO493" i="19" s="1"/>
  <c r="I507" i="19"/>
  <c r="I519" i="19"/>
  <c r="I531" i="19"/>
  <c r="I543" i="19"/>
  <c r="I555" i="19"/>
  <c r="I567" i="19"/>
  <c r="I579" i="19"/>
  <c r="I591" i="19"/>
  <c r="J276" i="19"/>
  <c r="J389" i="19"/>
  <c r="J485" i="19"/>
  <c r="J565" i="19"/>
  <c r="C44" i="19"/>
  <c r="C92" i="19"/>
  <c r="C140" i="19"/>
  <c r="C187" i="19"/>
  <c r="C223" i="19"/>
  <c r="C259" i="19"/>
  <c r="C295" i="19"/>
  <c r="C331" i="19"/>
  <c r="C361" i="19"/>
  <c r="C385" i="19"/>
  <c r="C409" i="19"/>
  <c r="C433" i="19"/>
  <c r="C457" i="19"/>
  <c r="C481" i="19"/>
  <c r="C505" i="19"/>
  <c r="C529" i="19"/>
  <c r="C553" i="19"/>
  <c r="C574" i="19"/>
  <c r="C591" i="19"/>
  <c r="I8" i="19"/>
  <c r="I23" i="19"/>
  <c r="I38" i="19"/>
  <c r="AO38" i="19" s="1"/>
  <c r="I52" i="19"/>
  <c r="AO52" i="19" s="1"/>
  <c r="I67" i="19"/>
  <c r="AO67" i="19" s="1"/>
  <c r="I81" i="19"/>
  <c r="I95" i="19"/>
  <c r="AO95" i="19" s="1"/>
  <c r="I110" i="19"/>
  <c r="AO110" i="19" s="1"/>
  <c r="I124" i="19"/>
  <c r="AO124" i="19" s="1"/>
  <c r="I139" i="19"/>
  <c r="AO139" i="19" s="1"/>
  <c r="I321" i="19"/>
  <c r="I335" i="19"/>
  <c r="AO335" i="19" s="1"/>
  <c r="I350" i="19"/>
  <c r="AO350" i="19" s="1"/>
  <c r="I364" i="19"/>
  <c r="AO364" i="19" s="1"/>
  <c r="I379" i="19"/>
  <c r="AO379" i="19" s="1"/>
  <c r="I393" i="19"/>
  <c r="I407" i="19"/>
  <c r="AO407" i="19" s="1"/>
  <c r="I422" i="19"/>
  <c r="AO422" i="19" s="1"/>
  <c r="I436" i="19"/>
  <c r="AO436" i="19" s="1"/>
  <c r="I451" i="19"/>
  <c r="AO451" i="19" s="1"/>
  <c r="I465" i="19"/>
  <c r="I479" i="19"/>
  <c r="AO479" i="19" s="1"/>
  <c r="I494" i="19"/>
  <c r="AO494" i="19" s="1"/>
  <c r="I508" i="19"/>
  <c r="AO508" i="19" s="1"/>
  <c r="I520" i="19"/>
  <c r="AO520" i="19" s="1"/>
  <c r="I532" i="19"/>
  <c r="AO532" i="19" s="1"/>
  <c r="I544" i="19"/>
  <c r="AO544" i="19" s="1"/>
  <c r="I556" i="19"/>
  <c r="AO556" i="19" s="1"/>
  <c r="I568" i="19"/>
  <c r="AO568" i="19" s="1"/>
  <c r="I580" i="19"/>
  <c r="AO580" i="19" s="1"/>
  <c r="I592" i="19"/>
  <c r="AO592" i="19" s="1"/>
  <c r="J12" i="19"/>
  <c r="J287" i="19"/>
  <c r="J395" i="19"/>
  <c r="J491" i="19"/>
  <c r="J570" i="19"/>
  <c r="C50" i="19"/>
  <c r="C98" i="19"/>
  <c r="C146" i="19"/>
  <c r="C188" i="19"/>
  <c r="C224" i="19"/>
  <c r="C260" i="19"/>
  <c r="C296" i="19"/>
  <c r="C332" i="19"/>
  <c r="C362" i="19"/>
  <c r="C386" i="19"/>
  <c r="C410" i="19"/>
  <c r="C434" i="19"/>
  <c r="C458" i="19"/>
  <c r="C482" i="19"/>
  <c r="C506" i="19"/>
  <c r="C530" i="19"/>
  <c r="C554" i="19"/>
  <c r="C577" i="19"/>
  <c r="C592" i="19"/>
  <c r="I9" i="19"/>
  <c r="I25" i="19"/>
  <c r="I39" i="19"/>
  <c r="I53" i="19"/>
  <c r="AO53" i="19" s="1"/>
  <c r="I68" i="19"/>
  <c r="AO68" i="19" s="1"/>
  <c r="I82" i="19"/>
  <c r="AO82" i="19" s="1"/>
  <c r="I97" i="19"/>
  <c r="AO97" i="19" s="1"/>
  <c r="I111" i="19"/>
  <c r="I125" i="19"/>
  <c r="AO125" i="19" s="1"/>
  <c r="I140" i="19"/>
  <c r="AO140" i="19" s="1"/>
  <c r="I322" i="19"/>
  <c r="AO322" i="19" s="1"/>
  <c r="I337" i="19"/>
  <c r="AO337" i="19" s="1"/>
  <c r="I351" i="19"/>
  <c r="I365" i="19"/>
  <c r="AO365" i="19" s="1"/>
  <c r="I380" i="19"/>
  <c r="AO380" i="19" s="1"/>
  <c r="I394" i="19"/>
  <c r="AO394" i="19" s="1"/>
  <c r="I409" i="19"/>
  <c r="AO409" i="19" s="1"/>
  <c r="I423" i="19"/>
  <c r="I437" i="19"/>
  <c r="AO437" i="19" s="1"/>
  <c r="I452" i="19"/>
  <c r="AO452" i="19" s="1"/>
  <c r="I466" i="19"/>
  <c r="AO466" i="19" s="1"/>
  <c r="I481" i="19"/>
  <c r="AO481" i="19" s="1"/>
  <c r="I495" i="19"/>
  <c r="I509" i="19"/>
  <c r="AO509" i="19" s="1"/>
  <c r="I521" i="19"/>
  <c r="AO521" i="19" s="1"/>
  <c r="I533" i="19"/>
  <c r="AO533" i="19" s="1"/>
  <c r="I545" i="19"/>
  <c r="AO545" i="19" s="1"/>
  <c r="I557" i="19"/>
  <c r="AO557" i="19" s="1"/>
  <c r="I569" i="19"/>
  <c r="AO569" i="19" s="1"/>
  <c r="I581" i="19"/>
  <c r="AO581" i="19" s="1"/>
  <c r="I593" i="19"/>
  <c r="AO593" i="19" s="1"/>
  <c r="J42" i="19"/>
  <c r="J298" i="19"/>
  <c r="J405" i="19"/>
  <c r="J501" i="19"/>
  <c r="J577" i="19"/>
  <c r="C3" i="19"/>
  <c r="C51" i="19"/>
  <c r="C99" i="19"/>
  <c r="C147" i="19"/>
  <c r="C194" i="19"/>
  <c r="C230" i="19"/>
  <c r="C266" i="19"/>
  <c r="C302" i="19"/>
  <c r="C338" i="19"/>
  <c r="C363" i="19"/>
  <c r="C387" i="19"/>
  <c r="C411" i="19"/>
  <c r="C435" i="19"/>
  <c r="C459" i="19"/>
  <c r="C483" i="19"/>
  <c r="C507" i="19"/>
  <c r="C531" i="19"/>
  <c r="C555" i="19"/>
  <c r="C578" i="19"/>
  <c r="C594" i="19"/>
  <c r="I10" i="19"/>
  <c r="AO10" i="19" s="1"/>
  <c r="I26" i="19"/>
  <c r="I40" i="19"/>
  <c r="I55" i="19"/>
  <c r="AO55" i="19" s="1"/>
  <c r="I69" i="19"/>
  <c r="I83" i="19"/>
  <c r="AO83" i="19" s="1"/>
  <c r="I98" i="19"/>
  <c r="I112" i="19"/>
  <c r="AO112" i="19" s="1"/>
  <c r="I127" i="19"/>
  <c r="AO127" i="19" s="1"/>
  <c r="I141" i="19"/>
  <c r="I323" i="19"/>
  <c r="AO323" i="19" s="1"/>
  <c r="I338" i="19"/>
  <c r="AO338" i="19" s="1"/>
  <c r="I352" i="19"/>
  <c r="AO352" i="19" s="1"/>
  <c r="I367" i="19"/>
  <c r="AO367" i="19" s="1"/>
  <c r="I381" i="19"/>
  <c r="I395" i="19"/>
  <c r="AO395" i="19" s="1"/>
  <c r="I410" i="19"/>
  <c r="AO410" i="19" s="1"/>
  <c r="I424" i="19"/>
  <c r="AO424" i="19" s="1"/>
  <c r="I439" i="19"/>
  <c r="AO439" i="19" s="1"/>
  <c r="I453" i="19"/>
  <c r="I467" i="19"/>
  <c r="AO467" i="19" s="1"/>
  <c r="I482" i="19"/>
  <c r="AO482" i="19" s="1"/>
  <c r="I496" i="19"/>
  <c r="AO496" i="19" s="1"/>
  <c r="I510" i="19"/>
  <c r="AO510" i="19" s="1"/>
  <c r="I522" i="19"/>
  <c r="AO522" i="19" s="1"/>
  <c r="I534" i="19"/>
  <c r="AO534" i="19" s="1"/>
  <c r="I546" i="19"/>
  <c r="AO546" i="19" s="1"/>
  <c r="I558" i="19"/>
  <c r="AO558" i="19" s="1"/>
  <c r="I570" i="19"/>
  <c r="AO570" i="19" s="1"/>
  <c r="I582" i="19"/>
  <c r="AO582" i="19" s="1"/>
  <c r="I594" i="19"/>
  <c r="AO594" i="19" s="1"/>
  <c r="J60" i="19"/>
  <c r="J306" i="19"/>
  <c r="J412" i="19"/>
  <c r="J508" i="19"/>
  <c r="J582" i="19"/>
  <c r="C8" i="19"/>
  <c r="C56" i="19"/>
  <c r="C104" i="19"/>
  <c r="C152" i="19"/>
  <c r="C195" i="19"/>
  <c r="C231" i="19"/>
  <c r="C267" i="19"/>
  <c r="C303" i="19"/>
  <c r="C339" i="19"/>
  <c r="C366" i="19"/>
  <c r="C390" i="19"/>
  <c r="C414" i="19"/>
  <c r="C438" i="19"/>
  <c r="C462" i="19"/>
  <c r="C486" i="19"/>
  <c r="C510" i="19"/>
  <c r="C534" i="19"/>
  <c r="C558" i="19"/>
  <c r="C579" i="19"/>
  <c r="C595" i="19"/>
  <c r="I11" i="19"/>
  <c r="AO11" i="19" s="1"/>
  <c r="I27" i="19"/>
  <c r="I41" i="19"/>
  <c r="I56" i="19"/>
  <c r="AO56" i="19" s="1"/>
  <c r="I70" i="19"/>
  <c r="AO70" i="19" s="1"/>
  <c r="I85" i="19"/>
  <c r="AO85" i="19" s="1"/>
  <c r="I99" i="19"/>
  <c r="I113" i="19"/>
  <c r="AO113" i="19" s="1"/>
  <c r="I128" i="19"/>
  <c r="AO128" i="19" s="1"/>
  <c r="I142" i="19"/>
  <c r="AO142" i="19" s="1"/>
  <c r="I325" i="19"/>
  <c r="AO325" i="19" s="1"/>
  <c r="I339" i="19"/>
  <c r="I353" i="19"/>
  <c r="AO353" i="19" s="1"/>
  <c r="I368" i="19"/>
  <c r="AO368" i="19" s="1"/>
  <c r="I382" i="19"/>
  <c r="AO382" i="19" s="1"/>
  <c r="I397" i="19"/>
  <c r="AO397" i="19" s="1"/>
  <c r="I411" i="19"/>
  <c r="I425" i="19"/>
  <c r="AO425" i="19" s="1"/>
  <c r="I440" i="19"/>
  <c r="AO440" i="19" s="1"/>
  <c r="I454" i="19"/>
  <c r="AO454" i="19" s="1"/>
  <c r="I469" i="19"/>
  <c r="AO469" i="19" s="1"/>
  <c r="I483" i="19"/>
  <c r="I497" i="19"/>
  <c r="AO497" i="19" s="1"/>
  <c r="I511" i="19"/>
  <c r="AO511" i="19" s="1"/>
  <c r="I523" i="19"/>
  <c r="AO523" i="19" s="1"/>
  <c r="I535" i="19"/>
  <c r="AO535" i="19" s="1"/>
  <c r="I547" i="19"/>
  <c r="AO547" i="19" s="1"/>
  <c r="I559" i="19"/>
  <c r="AO559" i="19" s="1"/>
  <c r="I571" i="19"/>
  <c r="AO571" i="19" s="1"/>
  <c r="I583" i="19"/>
  <c r="AO583" i="19" s="1"/>
  <c r="I595" i="19"/>
  <c r="AO595" i="19" s="1"/>
  <c r="J90" i="19"/>
  <c r="J317" i="19"/>
  <c r="J420" i="19"/>
  <c r="J516" i="19"/>
  <c r="J589" i="19"/>
  <c r="C14" i="19"/>
  <c r="C62" i="19"/>
  <c r="C110" i="19"/>
  <c r="C158" i="19"/>
  <c r="C199" i="19"/>
  <c r="C235" i="19"/>
  <c r="C271" i="19"/>
  <c r="C307" i="19"/>
  <c r="C343" i="19"/>
  <c r="C367" i="19"/>
  <c r="C391" i="19"/>
  <c r="C415" i="19"/>
  <c r="C439" i="19"/>
  <c r="C463" i="19"/>
  <c r="C487" i="19"/>
  <c r="C511" i="19"/>
  <c r="C535" i="19"/>
  <c r="C559" i="19"/>
  <c r="C580" i="19"/>
  <c r="C596" i="19"/>
  <c r="I14" i="19"/>
  <c r="I28" i="19"/>
  <c r="AO28" i="19" s="1"/>
  <c r="I43" i="19"/>
  <c r="AO43" i="19" s="1"/>
  <c r="I57" i="19"/>
  <c r="I71" i="19"/>
  <c r="AO71" i="19" s="1"/>
  <c r="I86" i="19"/>
  <c r="AO86" i="19" s="1"/>
  <c r="I100" i="19"/>
  <c r="AO100" i="19" s="1"/>
  <c r="I115" i="19"/>
  <c r="AO115" i="19" s="1"/>
  <c r="I129" i="19"/>
  <c r="I143" i="19"/>
  <c r="AO143" i="19" s="1"/>
  <c r="I326" i="19"/>
  <c r="AO326" i="19" s="1"/>
  <c r="I340" i="19"/>
  <c r="AO340" i="19" s="1"/>
  <c r="I355" i="19"/>
  <c r="AO355" i="19" s="1"/>
  <c r="I369" i="19"/>
  <c r="I383" i="19"/>
  <c r="AO383" i="19" s="1"/>
  <c r="I398" i="19"/>
  <c r="AO398" i="19" s="1"/>
  <c r="I412" i="19"/>
  <c r="AO412" i="19" s="1"/>
  <c r="I427" i="19"/>
  <c r="AO427" i="19" s="1"/>
  <c r="I441" i="19"/>
  <c r="I455" i="19"/>
  <c r="AO455" i="19" s="1"/>
  <c r="I470" i="19"/>
  <c r="AO470" i="19" s="1"/>
  <c r="I484" i="19"/>
  <c r="AO484" i="19" s="1"/>
  <c r="I499" i="19"/>
  <c r="AO499" i="19" s="1"/>
  <c r="I512" i="19"/>
  <c r="AO512" i="19" s="1"/>
  <c r="I524" i="19"/>
  <c r="AO524" i="19" s="1"/>
  <c r="I536" i="19"/>
  <c r="AO536" i="19" s="1"/>
  <c r="I548" i="19"/>
  <c r="AO548" i="19" s="1"/>
  <c r="I560" i="19"/>
  <c r="AO560" i="19" s="1"/>
  <c r="I572" i="19"/>
  <c r="AO572" i="19" s="1"/>
  <c r="I584" i="19"/>
  <c r="AO584" i="19" s="1"/>
  <c r="I596" i="19"/>
  <c r="AO596" i="19" s="1"/>
  <c r="J108" i="19"/>
  <c r="J323" i="19"/>
  <c r="J427" i="19"/>
  <c r="J522" i="19"/>
  <c r="J594" i="19"/>
  <c r="C15" i="19"/>
  <c r="C63" i="19"/>
  <c r="C111" i="19"/>
  <c r="C159" i="19"/>
  <c r="C200" i="19"/>
  <c r="C236" i="19"/>
  <c r="C272" i="19"/>
  <c r="C308" i="19"/>
  <c r="C344" i="19"/>
  <c r="C368" i="19"/>
  <c r="C392" i="19"/>
  <c r="C416" i="19"/>
  <c r="C440" i="19"/>
  <c r="C464" i="19"/>
  <c r="C488" i="19"/>
  <c r="C512" i="19"/>
  <c r="C536" i="19"/>
  <c r="C560" i="19"/>
  <c r="C582" i="19"/>
  <c r="C597" i="19"/>
  <c r="I15" i="19"/>
  <c r="I29" i="19"/>
  <c r="AO29" i="19" s="1"/>
  <c r="I44" i="19"/>
  <c r="AO44" i="19" s="1"/>
  <c r="I58" i="19"/>
  <c r="I73" i="19"/>
  <c r="AO73" i="19" s="1"/>
  <c r="I87" i="19"/>
  <c r="I101" i="19"/>
  <c r="AO101" i="19" s="1"/>
  <c r="I116" i="19"/>
  <c r="AO116" i="19" s="1"/>
  <c r="I130" i="19"/>
  <c r="AO130" i="19" s="1"/>
  <c r="I145" i="19"/>
  <c r="AO145" i="19" s="1"/>
  <c r="I327" i="19"/>
  <c r="I341" i="19"/>
  <c r="AO341" i="19" s="1"/>
  <c r="I356" i="19"/>
  <c r="AO356" i="19" s="1"/>
  <c r="I370" i="19"/>
  <c r="AO370" i="19" s="1"/>
  <c r="I385" i="19"/>
  <c r="AO385" i="19" s="1"/>
  <c r="I399" i="19"/>
  <c r="I413" i="19"/>
  <c r="AO413" i="19" s="1"/>
  <c r="I428" i="19"/>
  <c r="AO428" i="19" s="1"/>
  <c r="I442" i="19"/>
  <c r="AO442" i="19" s="1"/>
  <c r="I457" i="19"/>
  <c r="AO457" i="19" s="1"/>
  <c r="I471" i="19"/>
  <c r="I485" i="19"/>
  <c r="AO485" i="19" s="1"/>
  <c r="I500" i="19"/>
  <c r="AO500" i="19" s="1"/>
  <c r="I513" i="19"/>
  <c r="I525" i="19"/>
  <c r="I537" i="19"/>
  <c r="I549" i="19"/>
  <c r="I561" i="19"/>
  <c r="I573" i="19"/>
  <c r="I585" i="19"/>
  <c r="I597" i="19"/>
  <c r="J138" i="19"/>
  <c r="J334" i="19"/>
  <c r="J437" i="19"/>
  <c r="J529" i="19"/>
  <c r="J601" i="19"/>
  <c r="C20" i="19"/>
  <c r="C68" i="19"/>
  <c r="C116" i="19"/>
  <c r="C164" i="19"/>
  <c r="C206" i="19"/>
  <c r="C242" i="19"/>
  <c r="C278" i="19"/>
  <c r="C314" i="19"/>
  <c r="C349" i="19"/>
  <c r="C373" i="19"/>
  <c r="C397" i="19"/>
  <c r="C421" i="19"/>
  <c r="C445" i="19"/>
  <c r="C469" i="19"/>
  <c r="C493" i="19"/>
  <c r="C517" i="19"/>
  <c r="C541" i="19"/>
  <c r="C565" i="19"/>
  <c r="C583" i="19"/>
  <c r="C598" i="19"/>
  <c r="I16" i="19"/>
  <c r="I31" i="19"/>
  <c r="I45" i="19"/>
  <c r="I59" i="19"/>
  <c r="I74" i="19"/>
  <c r="I88" i="19"/>
  <c r="AO88" i="19" s="1"/>
  <c r="I103" i="19"/>
  <c r="I117" i="19"/>
  <c r="I131" i="19"/>
  <c r="AO131" i="19" s="1"/>
  <c r="I146" i="19"/>
  <c r="AO146" i="19" s="1"/>
  <c r="I328" i="19"/>
  <c r="AO328" i="19" s="1"/>
  <c r="I343" i="19"/>
  <c r="AO343" i="19" s="1"/>
  <c r="I357" i="19"/>
  <c r="I371" i="19"/>
  <c r="AO371" i="19" s="1"/>
  <c r="I386" i="19"/>
  <c r="AO386" i="19" s="1"/>
  <c r="I400" i="19"/>
  <c r="AO400" i="19" s="1"/>
  <c r="I415" i="19"/>
  <c r="AO415" i="19" s="1"/>
  <c r="I429" i="19"/>
  <c r="I443" i="19"/>
  <c r="AO443" i="19" s="1"/>
  <c r="I458" i="19"/>
  <c r="AO458" i="19" s="1"/>
  <c r="I472" i="19"/>
  <c r="AO472" i="19" s="1"/>
  <c r="I487" i="19"/>
  <c r="AO487" i="19" s="1"/>
  <c r="I501" i="19"/>
  <c r="I514" i="19"/>
  <c r="AO514" i="19" s="1"/>
  <c r="I526" i="19"/>
  <c r="AO526" i="19" s="1"/>
  <c r="I538" i="19"/>
  <c r="AO538" i="19" s="1"/>
  <c r="I550" i="19"/>
  <c r="AO550" i="19" s="1"/>
  <c r="I562" i="19"/>
  <c r="AO562" i="19" s="1"/>
  <c r="I574" i="19"/>
  <c r="AO574" i="19" s="1"/>
  <c r="I586" i="19"/>
  <c r="AO586" i="19" s="1"/>
  <c r="I598" i="19"/>
  <c r="AO598" i="19" s="1"/>
  <c r="J156" i="19"/>
  <c r="J342" i="19"/>
  <c r="J443" i="19"/>
  <c r="J534" i="19"/>
  <c r="C26" i="19"/>
  <c r="C74" i="19"/>
  <c r="C122" i="19"/>
  <c r="C170" i="19"/>
  <c r="C207" i="19"/>
  <c r="C243" i="19"/>
  <c r="C279" i="19"/>
  <c r="C315" i="19"/>
  <c r="C350" i="19"/>
  <c r="C374" i="19"/>
  <c r="C398" i="19"/>
  <c r="C422" i="19"/>
  <c r="C446" i="19"/>
  <c r="C470" i="19"/>
  <c r="C494" i="19"/>
  <c r="C518" i="19"/>
  <c r="C542" i="19"/>
  <c r="C566" i="19"/>
  <c r="C584" i="19"/>
  <c r="C601" i="19"/>
  <c r="I17" i="19"/>
  <c r="I32" i="19"/>
  <c r="AO32" i="19" s="1"/>
  <c r="I46" i="19"/>
  <c r="I61" i="19"/>
  <c r="I75" i="19"/>
  <c r="I89" i="19"/>
  <c r="AO89" i="19" s="1"/>
  <c r="I104" i="19"/>
  <c r="AO104" i="19" s="1"/>
  <c r="I118" i="19"/>
  <c r="AO118" i="19" s="1"/>
  <c r="I133" i="19"/>
  <c r="AO133" i="19" s="1"/>
  <c r="I315" i="19"/>
  <c r="I329" i="19"/>
  <c r="AO329" i="19" s="1"/>
  <c r="I344" i="19"/>
  <c r="AO344" i="19" s="1"/>
  <c r="I358" i="19"/>
  <c r="AO358" i="19" s="1"/>
  <c r="I373" i="19"/>
  <c r="AO373" i="19" s="1"/>
  <c r="I387" i="19"/>
  <c r="I401" i="19"/>
  <c r="AO401" i="19" s="1"/>
  <c r="I416" i="19"/>
  <c r="AO416" i="19" s="1"/>
  <c r="I430" i="19"/>
  <c r="AO430" i="19" s="1"/>
  <c r="I445" i="19"/>
  <c r="AO445" i="19" s="1"/>
  <c r="I459" i="19"/>
  <c r="I473" i="19"/>
  <c r="AO473" i="19" s="1"/>
  <c r="I488" i="19"/>
  <c r="AO488" i="19" s="1"/>
  <c r="I502" i="19"/>
  <c r="AO502" i="19" s="1"/>
  <c r="I515" i="19"/>
  <c r="AO515" i="19" s="1"/>
  <c r="I527" i="19"/>
  <c r="AO527" i="19" s="1"/>
  <c r="I539" i="19"/>
  <c r="AO539" i="19" s="1"/>
  <c r="I551" i="19"/>
  <c r="AO551" i="19" s="1"/>
  <c r="I563" i="19"/>
  <c r="AO563" i="19" s="1"/>
  <c r="I575" i="19"/>
  <c r="AO575" i="19" s="1"/>
  <c r="I587" i="19"/>
  <c r="AO587" i="19" s="1"/>
  <c r="I599" i="19"/>
  <c r="AO599" i="19" s="1"/>
  <c r="J186" i="19"/>
  <c r="J353" i="19"/>
  <c r="J453" i="19"/>
  <c r="J541" i="19"/>
  <c r="C27" i="19"/>
  <c r="C75" i="19"/>
  <c r="C123" i="19"/>
  <c r="C171" i="19"/>
  <c r="C211" i="19"/>
  <c r="C247" i="19"/>
  <c r="C283" i="19"/>
  <c r="C319" i="19"/>
  <c r="C351" i="19"/>
  <c r="C375" i="19"/>
  <c r="C399" i="19"/>
  <c r="C423" i="19"/>
  <c r="C447" i="19"/>
  <c r="C471" i="19"/>
  <c r="C495" i="19"/>
  <c r="C519" i="19"/>
  <c r="C543" i="19"/>
  <c r="C567" i="19"/>
  <c r="C585" i="19"/>
  <c r="I3" i="19"/>
  <c r="I19" i="19"/>
  <c r="I33" i="19"/>
  <c r="I47" i="19"/>
  <c r="I62" i="19"/>
  <c r="I76" i="19"/>
  <c r="AO76" i="19" s="1"/>
  <c r="I91" i="19"/>
  <c r="AO91" i="19" s="1"/>
  <c r="I105" i="19"/>
  <c r="I119" i="19"/>
  <c r="AO119" i="19" s="1"/>
  <c r="I134" i="19"/>
  <c r="AO134" i="19" s="1"/>
  <c r="I316" i="19"/>
  <c r="AO316" i="19" s="1"/>
  <c r="I331" i="19"/>
  <c r="AO331" i="19" s="1"/>
  <c r="I345" i="19"/>
  <c r="I359" i="19"/>
  <c r="AO359" i="19" s="1"/>
  <c r="I374" i="19"/>
  <c r="AO374" i="19" s="1"/>
  <c r="I388" i="19"/>
  <c r="AO388" i="19" s="1"/>
  <c r="I403" i="19"/>
  <c r="AO403" i="19" s="1"/>
  <c r="I417" i="19"/>
  <c r="I431" i="19"/>
  <c r="AO431" i="19" s="1"/>
  <c r="I446" i="19"/>
  <c r="AO446" i="19" s="1"/>
  <c r="I460" i="19"/>
  <c r="AO460" i="19" s="1"/>
  <c r="I475" i="19"/>
  <c r="AO475" i="19" s="1"/>
  <c r="I489" i="19"/>
  <c r="I503" i="19"/>
  <c r="AO503" i="19" s="1"/>
  <c r="I516" i="19"/>
  <c r="AO516" i="19" s="1"/>
  <c r="I528" i="19"/>
  <c r="AO528" i="19" s="1"/>
  <c r="I540" i="19"/>
  <c r="AO540" i="19" s="1"/>
  <c r="I552" i="19"/>
  <c r="AO552" i="19" s="1"/>
  <c r="I564" i="19"/>
  <c r="AO564" i="19" s="1"/>
  <c r="I576" i="19"/>
  <c r="AO576" i="19" s="1"/>
  <c r="I588" i="19"/>
  <c r="AO588" i="19" s="1"/>
  <c r="I600" i="19"/>
  <c r="AO600" i="19" s="1"/>
  <c r="J204" i="19"/>
  <c r="J359" i="19"/>
  <c r="J460" i="19"/>
  <c r="J546" i="19"/>
  <c r="C32" i="19"/>
  <c r="C80" i="19"/>
  <c r="C128" i="19"/>
  <c r="C176" i="19"/>
  <c r="C212" i="19"/>
  <c r="C248" i="19"/>
  <c r="C284" i="19"/>
  <c r="C320" i="19"/>
  <c r="C354" i="19"/>
  <c r="C378" i="19"/>
  <c r="C402" i="19"/>
  <c r="C426" i="19"/>
  <c r="C450" i="19"/>
  <c r="C474" i="19"/>
  <c r="C498" i="19"/>
  <c r="C522" i="19"/>
  <c r="C546" i="19"/>
  <c r="C570" i="19"/>
  <c r="C586" i="19"/>
  <c r="I4" i="19"/>
  <c r="I20" i="19"/>
  <c r="I34" i="19"/>
  <c r="AO34" i="19" s="1"/>
  <c r="I49" i="19"/>
  <c r="AO49" i="19" s="1"/>
  <c r="I63" i="19"/>
  <c r="I77" i="19"/>
  <c r="AO77" i="19" s="1"/>
  <c r="I92" i="19"/>
  <c r="AO92" i="19" s="1"/>
  <c r="I106" i="19"/>
  <c r="AO106" i="19" s="1"/>
  <c r="I121" i="19"/>
  <c r="I135" i="19"/>
  <c r="I317" i="19"/>
  <c r="AO317" i="19" s="1"/>
  <c r="I332" i="19"/>
  <c r="AO332" i="19" s="1"/>
  <c r="I346" i="19"/>
  <c r="AO346" i="19" s="1"/>
  <c r="I361" i="19"/>
  <c r="AO361" i="19" s="1"/>
  <c r="I375" i="19"/>
  <c r="I389" i="19"/>
  <c r="AO389" i="19" s="1"/>
  <c r="I404" i="19"/>
  <c r="AO404" i="19" s="1"/>
  <c r="I418" i="19"/>
  <c r="AO418" i="19" s="1"/>
  <c r="I433" i="19"/>
  <c r="AO433" i="19" s="1"/>
  <c r="I447" i="19"/>
  <c r="I461" i="19"/>
  <c r="AO461" i="19" s="1"/>
  <c r="I476" i="19"/>
  <c r="AO476" i="19" s="1"/>
  <c r="I490" i="19"/>
  <c r="AO490" i="19" s="1"/>
  <c r="I505" i="19"/>
  <c r="AO505" i="19" s="1"/>
  <c r="I517" i="19"/>
  <c r="AO517" i="19" s="1"/>
  <c r="I529" i="19"/>
  <c r="AO529" i="19" s="1"/>
  <c r="I541" i="19"/>
  <c r="AO541" i="19" s="1"/>
  <c r="I553" i="19"/>
  <c r="AO553" i="19" s="1"/>
  <c r="I565" i="19"/>
  <c r="AO565" i="19" s="1"/>
  <c r="I577" i="19"/>
  <c r="AO577" i="19" s="1"/>
  <c r="I589" i="19"/>
  <c r="AO589" i="19" s="1"/>
  <c r="I601" i="19"/>
  <c r="AO601" i="19" s="1"/>
  <c r="J602" i="19"/>
  <c r="I602" i="19"/>
  <c r="AO602" i="19" s="1"/>
  <c r="C602" i="19"/>
  <c r="I267" i="19"/>
  <c r="I262" i="19"/>
  <c r="AO262" i="19" s="1"/>
  <c r="I310" i="19"/>
  <c r="AO310" i="19" s="1"/>
  <c r="I279" i="19"/>
  <c r="I250" i="19"/>
  <c r="AO250" i="19" s="1"/>
  <c r="I298" i="19"/>
  <c r="AO298" i="19" s="1"/>
  <c r="I286" i="19"/>
  <c r="AO286" i="19" s="1"/>
  <c r="I190" i="19"/>
  <c r="AO190" i="19" s="1"/>
  <c r="I202" i="19"/>
  <c r="AO202" i="19" s="1"/>
  <c r="I183" i="19"/>
  <c r="I178" i="19"/>
  <c r="AO178" i="19" s="1"/>
  <c r="I159" i="19"/>
  <c r="I154" i="19"/>
  <c r="AO154" i="19" s="1"/>
  <c r="I207" i="19"/>
  <c r="I268" i="19"/>
  <c r="AO268" i="19" s="1"/>
  <c r="I263" i="19"/>
  <c r="AO263" i="19" s="1"/>
  <c r="I311" i="19"/>
  <c r="AO311" i="19" s="1"/>
  <c r="I280" i="19"/>
  <c r="AO280" i="19" s="1"/>
  <c r="I251" i="19"/>
  <c r="AO251" i="19" s="1"/>
  <c r="I297" i="19"/>
  <c r="I287" i="19"/>
  <c r="AO287" i="19" s="1"/>
  <c r="I189" i="19"/>
  <c r="I203" i="19"/>
  <c r="AO203" i="19" s="1"/>
  <c r="I184" i="19"/>
  <c r="AO184" i="19" s="1"/>
  <c r="I179" i="19"/>
  <c r="AO179" i="19" s="1"/>
  <c r="I160" i="19"/>
  <c r="AO160" i="19" s="1"/>
  <c r="I155" i="19"/>
  <c r="AO155" i="19" s="1"/>
  <c r="I208" i="19"/>
  <c r="AO208" i="19" s="1"/>
  <c r="I269" i="19"/>
  <c r="AO269" i="19" s="1"/>
  <c r="I261" i="19"/>
  <c r="I312" i="19"/>
  <c r="AO312" i="19" s="1"/>
  <c r="I281" i="19"/>
  <c r="AO281" i="19" s="1"/>
  <c r="I252" i="19"/>
  <c r="AO252" i="19" s="1"/>
  <c r="I299" i="19"/>
  <c r="AO299" i="19" s="1"/>
  <c r="I288" i="19"/>
  <c r="AO288" i="19" s="1"/>
  <c r="I191" i="19"/>
  <c r="AO191" i="19" s="1"/>
  <c r="I204" i="19"/>
  <c r="AO204" i="19" s="1"/>
  <c r="I185" i="19"/>
  <c r="AO185" i="19" s="1"/>
  <c r="I180" i="19"/>
  <c r="AO180" i="19" s="1"/>
  <c r="I161" i="19"/>
  <c r="I156" i="19"/>
  <c r="AO156" i="19" s="1"/>
  <c r="I209" i="19"/>
  <c r="AO209" i="19" s="1"/>
  <c r="I270" i="19"/>
  <c r="AO270" i="19" s="1"/>
  <c r="I264" i="19"/>
  <c r="AO264" i="19" s="1"/>
  <c r="I313" i="19"/>
  <c r="AO313" i="19" s="1"/>
  <c r="I282" i="19"/>
  <c r="AO282" i="19" s="1"/>
  <c r="I253" i="19"/>
  <c r="AO253" i="19" s="1"/>
  <c r="I300" i="19"/>
  <c r="AO300" i="19" s="1"/>
  <c r="I289" i="19"/>
  <c r="AO289" i="19" s="1"/>
  <c r="I192" i="19"/>
  <c r="AO192" i="19" s="1"/>
  <c r="I205" i="19"/>
  <c r="AO205" i="19" s="1"/>
  <c r="I186" i="19"/>
  <c r="AO186" i="19" s="1"/>
  <c r="I181" i="19"/>
  <c r="AO181" i="19" s="1"/>
  <c r="I162" i="19"/>
  <c r="AO162" i="19" s="1"/>
  <c r="I153" i="19"/>
  <c r="I210" i="19"/>
  <c r="AO210" i="19" s="1"/>
  <c r="I271" i="19"/>
  <c r="AO271" i="19" s="1"/>
  <c r="I265" i="19"/>
  <c r="AO265" i="19" s="1"/>
  <c r="I314" i="19"/>
  <c r="AO314" i="19" s="1"/>
  <c r="I283" i="19"/>
  <c r="AO283" i="19" s="1"/>
  <c r="I254" i="19"/>
  <c r="AO254" i="19" s="1"/>
  <c r="I301" i="19"/>
  <c r="AO301" i="19" s="1"/>
  <c r="I290" i="19"/>
  <c r="AO290" i="19" s="1"/>
  <c r="I193" i="19"/>
  <c r="AO193" i="19" s="1"/>
  <c r="I206" i="19"/>
  <c r="AO206" i="19" s="1"/>
  <c r="I187" i="19"/>
  <c r="AO187" i="19" s="1"/>
  <c r="I177" i="19"/>
  <c r="I163" i="19"/>
  <c r="AO163" i="19" s="1"/>
  <c r="I157" i="19"/>
  <c r="AO157" i="19" s="1"/>
  <c r="I211" i="19"/>
  <c r="AO211" i="19" s="1"/>
  <c r="I272" i="19"/>
  <c r="AO272" i="19" s="1"/>
  <c r="I266" i="19"/>
  <c r="I309" i="19"/>
  <c r="I284" i="19"/>
  <c r="AO284" i="19" s="1"/>
  <c r="I249" i="19"/>
  <c r="I302" i="19"/>
  <c r="AO302" i="19" s="1"/>
  <c r="I285" i="19"/>
  <c r="I194" i="19"/>
  <c r="AO194" i="19" s="1"/>
  <c r="I201" i="19"/>
  <c r="I188" i="19"/>
  <c r="AO188" i="19" s="1"/>
  <c r="I182" i="19"/>
  <c r="AO182" i="19" s="1"/>
  <c r="I164" i="19"/>
  <c r="AO164" i="19" s="1"/>
  <c r="I158" i="19"/>
  <c r="AO158" i="19" s="1"/>
  <c r="I212" i="19"/>
  <c r="AO212" i="19" s="1"/>
  <c r="I255" i="19"/>
  <c r="I243" i="19"/>
  <c r="I238" i="19"/>
  <c r="AO238" i="19" s="1"/>
  <c r="I274" i="19"/>
  <c r="AO274" i="19" s="1"/>
  <c r="I303" i="19"/>
  <c r="I291" i="19"/>
  <c r="I232" i="19"/>
  <c r="AO232" i="19" s="1"/>
  <c r="I219" i="19"/>
  <c r="I195" i="19"/>
  <c r="I166" i="19"/>
  <c r="AO166" i="19" s="1"/>
  <c r="I171" i="19"/>
  <c r="I226" i="19"/>
  <c r="AO226" i="19" s="1"/>
  <c r="I214" i="19"/>
  <c r="AO214" i="19" s="1"/>
  <c r="I152" i="19"/>
  <c r="AO152" i="19" s="1"/>
  <c r="I256" i="19"/>
  <c r="AO256" i="19" s="1"/>
  <c r="I244" i="19"/>
  <c r="AO244" i="19" s="1"/>
  <c r="I239" i="19"/>
  <c r="AO239" i="19" s="1"/>
  <c r="I275" i="19"/>
  <c r="AO275" i="19" s="1"/>
  <c r="I304" i="19"/>
  <c r="AO304" i="19" s="1"/>
  <c r="I292" i="19"/>
  <c r="AO292" i="19" s="1"/>
  <c r="I233" i="19"/>
  <c r="AO233" i="19" s="1"/>
  <c r="I220" i="19"/>
  <c r="AO220" i="19" s="1"/>
  <c r="I196" i="19"/>
  <c r="AO196" i="19" s="1"/>
  <c r="I167" i="19"/>
  <c r="AO167" i="19" s="1"/>
  <c r="I172" i="19"/>
  <c r="AO172" i="19" s="1"/>
  <c r="I227" i="19"/>
  <c r="AO227" i="19" s="1"/>
  <c r="I215" i="19"/>
  <c r="AO215" i="19" s="1"/>
  <c r="I147" i="19"/>
  <c r="I257" i="19"/>
  <c r="AO257" i="19" s="1"/>
  <c r="I245" i="19"/>
  <c r="AO245" i="19" s="1"/>
  <c r="I240" i="19"/>
  <c r="AO240" i="19" s="1"/>
  <c r="I276" i="19"/>
  <c r="AO276" i="19" s="1"/>
  <c r="I305" i="19"/>
  <c r="AO305" i="19" s="1"/>
  <c r="I293" i="19"/>
  <c r="AO293" i="19" s="1"/>
  <c r="I234" i="19"/>
  <c r="AO234" i="19" s="1"/>
  <c r="I221" i="19"/>
  <c r="AO221" i="19" s="1"/>
  <c r="I197" i="19"/>
  <c r="AO197" i="19" s="1"/>
  <c r="I168" i="19"/>
  <c r="AO168" i="19" s="1"/>
  <c r="I173" i="19"/>
  <c r="AO173" i="19" s="1"/>
  <c r="I228" i="19"/>
  <c r="AO228" i="19" s="1"/>
  <c r="I216" i="19"/>
  <c r="AO216" i="19" s="1"/>
  <c r="I148" i="19"/>
  <c r="AO148" i="19" s="1"/>
  <c r="I258" i="19"/>
  <c r="AO258" i="19" s="1"/>
  <c r="I246" i="19"/>
  <c r="AO246" i="19" s="1"/>
  <c r="I241" i="19"/>
  <c r="AO241" i="19" s="1"/>
  <c r="I277" i="19"/>
  <c r="AO277" i="19" s="1"/>
  <c r="I306" i="19"/>
  <c r="AO306" i="19" s="1"/>
  <c r="I294" i="19"/>
  <c r="AO294" i="19" s="1"/>
  <c r="I235" i="19"/>
  <c r="AO235" i="19" s="1"/>
  <c r="I222" i="19"/>
  <c r="AO222" i="19" s="1"/>
  <c r="I198" i="19"/>
  <c r="AO198" i="19" s="1"/>
  <c r="I169" i="19"/>
  <c r="AO169" i="19" s="1"/>
  <c r="I174" i="19"/>
  <c r="AO174" i="19" s="1"/>
  <c r="I229" i="19"/>
  <c r="AO229" i="19" s="1"/>
  <c r="I217" i="19"/>
  <c r="AO217" i="19" s="1"/>
  <c r="I149" i="19"/>
  <c r="AO149" i="19" s="1"/>
  <c r="I259" i="19"/>
  <c r="AO259" i="19" s="1"/>
  <c r="I247" i="19"/>
  <c r="AO247" i="19" s="1"/>
  <c r="I242" i="19"/>
  <c r="AO242" i="19" s="1"/>
  <c r="I273" i="19"/>
  <c r="I307" i="19"/>
  <c r="AO307" i="19" s="1"/>
  <c r="I295" i="19"/>
  <c r="AO295" i="19" s="1"/>
  <c r="I236" i="19"/>
  <c r="AO236" i="19" s="1"/>
  <c r="I223" i="19"/>
  <c r="AO223" i="19" s="1"/>
  <c r="I199" i="19"/>
  <c r="AO199" i="19" s="1"/>
  <c r="I170" i="19"/>
  <c r="AO170" i="19" s="1"/>
  <c r="I175" i="19"/>
  <c r="AO175" i="19" s="1"/>
  <c r="I230" i="19"/>
  <c r="AO230" i="19" s="1"/>
  <c r="I218" i="19"/>
  <c r="AO218" i="19" s="1"/>
  <c r="I150" i="19"/>
  <c r="AO150" i="19" s="1"/>
  <c r="I260" i="19"/>
  <c r="AO260" i="19" s="1"/>
  <c r="I248" i="19"/>
  <c r="AO248" i="19" s="1"/>
  <c r="I237" i="19"/>
  <c r="I278" i="19"/>
  <c r="AO278" i="19" s="1"/>
  <c r="I308" i="19"/>
  <c r="AO308" i="19" s="1"/>
  <c r="I296" i="19"/>
  <c r="AO296" i="19" s="1"/>
  <c r="I231" i="19"/>
  <c r="I224" i="19"/>
  <c r="AO224" i="19" s="1"/>
  <c r="I200" i="19"/>
  <c r="AO200" i="19" s="1"/>
  <c r="I165" i="19"/>
  <c r="I176" i="19"/>
  <c r="AO176" i="19" s="1"/>
  <c r="I225" i="19"/>
  <c r="I213" i="19"/>
  <c r="I151" i="19"/>
  <c r="AO151" i="19" s="1"/>
  <c r="A3" i="19"/>
  <c r="A15" i="19"/>
  <c r="A9" i="19"/>
  <c r="AE167" i="56" l="1" a="1"/>
  <c r="AE167" i="56" s="1"/>
  <c r="AE177" i="56" a="1"/>
  <c r="AE177" i="56" s="1"/>
  <c r="AE198" i="56" a="1"/>
  <c r="AE198" i="56" s="1"/>
  <c r="AE209" i="56" a="1"/>
  <c r="AE209" i="56" s="1"/>
  <c r="AC169" i="56" a="1"/>
  <c r="AC169" i="56" s="1"/>
  <c r="AC179" i="56" a="1"/>
  <c r="AC179" i="56" s="1"/>
  <c r="AC189" i="56" a="1"/>
  <c r="AC189" i="56" s="1"/>
  <c r="AC211" i="56" a="1"/>
  <c r="AC211" i="56" s="1"/>
  <c r="AE168" i="56" a="1"/>
  <c r="AE168" i="56" s="1"/>
  <c r="AE178" i="56" a="1"/>
  <c r="AE178" i="56" s="1"/>
  <c r="AE188" i="56" a="1"/>
  <c r="AE188" i="56" s="1"/>
  <c r="AE199" i="56" a="1"/>
  <c r="AE199" i="56" s="1"/>
  <c r="AE210" i="56" a="1"/>
  <c r="AE210" i="56" s="1"/>
  <c r="AC180" i="56" a="1"/>
  <c r="AC180" i="56" s="1"/>
  <c r="AC190" i="56" a="1"/>
  <c r="AC190" i="56" s="1"/>
  <c r="AC200" i="56" a="1"/>
  <c r="AC200" i="56" s="1"/>
  <c r="AC212" i="56" a="1"/>
  <c r="AC212" i="56" s="1"/>
  <c r="AE169" i="56" a="1"/>
  <c r="AE169" i="56" s="1"/>
  <c r="AE179" i="56" a="1"/>
  <c r="AE179" i="56" s="1"/>
  <c r="AE189" i="56" a="1"/>
  <c r="AE189" i="56" s="1"/>
  <c r="AE211" i="56" a="1"/>
  <c r="AE211" i="56" s="1"/>
  <c r="AC170" i="56" a="1"/>
  <c r="AC170" i="56" s="1"/>
  <c r="AC181" i="56" a="1"/>
  <c r="AC181" i="56" s="1"/>
  <c r="AC191" i="56" a="1"/>
  <c r="AC191" i="56" s="1"/>
  <c r="AC201" i="56" a="1"/>
  <c r="AC201" i="56" s="1"/>
  <c r="AC213" i="56" a="1"/>
  <c r="AC213" i="56" s="1"/>
  <c r="AE180" i="56" a="1"/>
  <c r="AE180" i="56" s="1"/>
  <c r="AE190" i="56" a="1"/>
  <c r="AE190" i="56" s="1"/>
  <c r="AE200" i="56" a="1"/>
  <c r="AE200" i="56" s="1"/>
  <c r="AE212" i="56" a="1"/>
  <c r="AE212" i="56" s="1"/>
  <c r="AC171" i="56" a="1"/>
  <c r="AC171" i="56" s="1"/>
  <c r="AC192" i="56" a="1"/>
  <c r="AC192" i="56" s="1"/>
  <c r="AC202" i="56" a="1"/>
  <c r="AC202" i="56" s="1"/>
  <c r="AE170" i="56" a="1"/>
  <c r="AE170" i="56" s="1"/>
  <c r="AE181" i="56" a="1"/>
  <c r="AE181" i="56" s="1"/>
  <c r="AE191" i="56" a="1"/>
  <c r="AE191" i="56" s="1"/>
  <c r="AE201" i="56" a="1"/>
  <c r="AE201" i="56" s="1"/>
  <c r="AE213" i="56" a="1"/>
  <c r="AE213" i="56" s="1"/>
  <c r="AC172" i="56" a="1"/>
  <c r="AC172" i="56" s="1"/>
  <c r="AC182" i="56" a="1"/>
  <c r="AC182" i="56" s="1"/>
  <c r="AC193" i="56" a="1"/>
  <c r="AC193" i="56" s="1"/>
  <c r="AC203" i="56" a="1"/>
  <c r="AC203" i="56" s="1"/>
  <c r="AE171" i="56" a="1"/>
  <c r="AE171" i="56" s="1"/>
  <c r="AE192" i="56" a="1"/>
  <c r="AE192" i="56" s="1"/>
  <c r="AE202" i="56" a="1"/>
  <c r="AE202" i="56" s="1"/>
  <c r="AC173" i="56" a="1"/>
  <c r="AC173" i="56" s="1"/>
  <c r="AC183" i="56" a="1"/>
  <c r="AC183" i="56" s="1"/>
  <c r="AC204" i="56" a="1"/>
  <c r="AC204" i="56" s="1"/>
  <c r="AE172" i="56" a="1"/>
  <c r="AE172" i="56" s="1"/>
  <c r="AE182" i="56" a="1"/>
  <c r="AE182" i="56" s="1"/>
  <c r="AE193" i="56" a="1"/>
  <c r="AE193" i="56" s="1"/>
  <c r="AE203" i="56" a="1"/>
  <c r="AE203" i="56" s="1"/>
  <c r="AC174" i="56" a="1"/>
  <c r="AC174" i="56" s="1"/>
  <c r="AC184" i="56" a="1"/>
  <c r="AC184" i="56" s="1"/>
  <c r="AC194" i="56" a="1"/>
  <c r="AC194" i="56" s="1"/>
  <c r="AC205" i="56" a="1"/>
  <c r="AC205" i="56" s="1"/>
  <c r="AE173" i="56" a="1"/>
  <c r="AE173" i="56" s="1"/>
  <c r="AE183" i="56" a="1"/>
  <c r="AE183" i="56" s="1"/>
  <c r="AE204" i="56" a="1"/>
  <c r="AE204" i="56" s="1"/>
  <c r="AC164" i="56" a="1"/>
  <c r="AC164" i="56" s="1"/>
  <c r="AC175" i="56" a="1"/>
  <c r="AC175" i="56" s="1"/>
  <c r="AC185" i="56" a="1"/>
  <c r="AC185" i="56" s="1"/>
  <c r="AC195" i="56" a="1"/>
  <c r="AC195" i="56" s="1"/>
  <c r="AC206" i="56" a="1"/>
  <c r="AC206" i="56" s="1"/>
  <c r="AE174" i="56" a="1"/>
  <c r="AE174" i="56" s="1"/>
  <c r="AE184" i="56" a="1"/>
  <c r="AE184" i="56" s="1"/>
  <c r="AE194" i="56" a="1"/>
  <c r="AE194" i="56" s="1"/>
  <c r="AE205" i="56" a="1"/>
  <c r="AE205" i="56" s="1"/>
  <c r="AC165" i="56" a="1"/>
  <c r="AC165" i="56" s="1"/>
  <c r="AC186" i="56" a="1"/>
  <c r="AC186" i="56" s="1"/>
  <c r="AC196" i="56" a="1"/>
  <c r="AC196" i="56" s="1"/>
  <c r="AC207" i="56" a="1"/>
  <c r="AC207" i="56" s="1"/>
  <c r="AC187" i="56" a="1"/>
  <c r="AC187" i="56" s="1"/>
  <c r="AC208" i="56" a="1"/>
  <c r="AC208" i="56" s="1"/>
  <c r="AE164" i="56" a="1"/>
  <c r="AE164" i="56" s="1"/>
  <c r="AE175" i="56" a="1"/>
  <c r="AE175" i="56" s="1"/>
  <c r="AE185" i="56" a="1"/>
  <c r="AE185" i="56" s="1"/>
  <c r="AE195" i="56" a="1"/>
  <c r="AE195" i="56" s="1"/>
  <c r="AE206" i="56" a="1"/>
  <c r="AE206" i="56" s="1"/>
  <c r="AC166" i="56" a="1"/>
  <c r="AC166" i="56" s="1"/>
  <c r="AC176" i="56" a="1"/>
  <c r="AC176" i="56" s="1"/>
  <c r="AC197" i="56" a="1"/>
  <c r="AC197" i="56" s="1"/>
  <c r="AE165" i="56" a="1"/>
  <c r="AE165" i="56" s="1"/>
  <c r="AE186" i="56" a="1"/>
  <c r="AE186" i="56" s="1"/>
  <c r="AE196" i="56" a="1"/>
  <c r="AE196" i="56" s="1"/>
  <c r="AE207" i="56" a="1"/>
  <c r="AE207" i="56" s="1"/>
  <c r="AC167" i="56" a="1"/>
  <c r="AC167" i="56" s="1"/>
  <c r="AC177" i="56" a="1"/>
  <c r="AC177" i="56" s="1"/>
  <c r="AC198" i="56" a="1"/>
  <c r="AC198" i="56" s="1"/>
  <c r="AC209" i="56" a="1"/>
  <c r="AC209" i="56" s="1"/>
  <c r="AE166" i="56" a="1"/>
  <c r="AE166" i="56" s="1"/>
  <c r="AE176" i="56" a="1"/>
  <c r="AE176" i="56" s="1"/>
  <c r="AE187" i="56" a="1"/>
  <c r="AE187" i="56" s="1"/>
  <c r="AE197" i="56" a="1"/>
  <c r="AE197" i="56" s="1"/>
  <c r="AE208" i="56" a="1"/>
  <c r="AE208" i="56" s="1"/>
  <c r="AC168" i="56" a="1"/>
  <c r="AC168" i="56" s="1"/>
  <c r="AC178" i="56" a="1"/>
  <c r="AC178" i="56" s="1"/>
  <c r="AC188" i="56" a="1"/>
  <c r="AC188" i="56" s="1"/>
  <c r="AC199" i="56" a="1"/>
  <c r="AC199" i="56" s="1"/>
  <c r="AC210" i="56" a="1"/>
  <c r="AC210" i="56" s="1"/>
  <c r="Z42" i="59"/>
  <c r="AF121" i="56" a="1"/>
  <c r="AF121" i="56" s="1"/>
  <c r="AF131" i="56" a="1"/>
  <c r="AF131" i="56" s="1"/>
  <c r="AF141" i="56" a="1"/>
  <c r="AF141" i="56" s="1"/>
  <c r="AF152" i="56" a="1"/>
  <c r="AF152" i="56" s="1"/>
  <c r="AF119" i="56" a="1"/>
  <c r="AF119" i="56" s="1"/>
  <c r="AF111" i="56" a="1"/>
  <c r="AF111" i="56" s="1"/>
  <c r="AF122" i="56" a="1"/>
  <c r="AF122" i="56" s="1"/>
  <c r="AF132" i="56" a="1"/>
  <c r="AF132" i="56" s="1"/>
  <c r="AF142" i="56" a="1"/>
  <c r="AF142" i="56" s="1"/>
  <c r="AF153" i="56" a="1"/>
  <c r="AF153" i="56" s="1"/>
  <c r="AF151" i="56" a="1"/>
  <c r="AF151" i="56" s="1"/>
  <c r="AF112" i="56" a="1"/>
  <c r="AF112" i="56" s="1"/>
  <c r="AF133" i="56" a="1"/>
  <c r="AF133" i="56" s="1"/>
  <c r="AF143" i="56" a="1"/>
  <c r="AF143" i="56" s="1"/>
  <c r="AF154" i="56" a="1"/>
  <c r="AF154" i="56" s="1"/>
  <c r="AF157" i="56" a="1"/>
  <c r="AF157" i="56" s="1"/>
  <c r="AF150" i="56" a="1"/>
  <c r="AF150" i="56" s="1"/>
  <c r="AF113" i="56" a="1"/>
  <c r="AF113" i="56" s="1"/>
  <c r="AF123" i="56" a="1"/>
  <c r="AF123" i="56" s="1"/>
  <c r="AF134" i="56" a="1"/>
  <c r="AF134" i="56" s="1"/>
  <c r="AF144" i="56" a="1"/>
  <c r="AF144" i="56" s="1"/>
  <c r="AF155" i="56" a="1"/>
  <c r="AF155" i="56" s="1"/>
  <c r="AF140" i="56" a="1"/>
  <c r="AF140" i="56" s="1"/>
  <c r="AF114" i="56" a="1"/>
  <c r="AF114" i="56" s="1"/>
  <c r="AF124" i="56" a="1"/>
  <c r="AF124" i="56" s="1"/>
  <c r="AF145" i="56" a="1"/>
  <c r="AF145" i="56" s="1"/>
  <c r="AF156" i="56" a="1"/>
  <c r="AF156" i="56" s="1"/>
  <c r="AF160" i="56" a="1"/>
  <c r="AF160" i="56" s="1"/>
  <c r="AF120" i="56" a="1"/>
  <c r="AF120" i="56" s="1"/>
  <c r="AF115" i="56" a="1"/>
  <c r="AF115" i="56" s="1"/>
  <c r="AF125" i="56" a="1"/>
  <c r="AF125" i="56" s="1"/>
  <c r="AF135" i="56" a="1"/>
  <c r="AF135" i="56" s="1"/>
  <c r="AF146" i="56" a="1"/>
  <c r="AF146" i="56" s="1"/>
  <c r="AF149" i="56" a="1"/>
  <c r="AF149" i="56" s="1"/>
  <c r="AF116" i="56" a="1"/>
  <c r="AF116" i="56" s="1"/>
  <c r="AF126" i="56" a="1"/>
  <c r="AF126" i="56" s="1"/>
  <c r="AF136" i="56" a="1"/>
  <c r="AF136" i="56" s="1"/>
  <c r="AF158" i="56" a="1"/>
  <c r="AF158" i="56" s="1"/>
  <c r="AF118" i="56" a="1"/>
  <c r="AF118" i="56" s="1"/>
  <c r="AF130" i="56" a="1"/>
  <c r="AF130" i="56" s="1"/>
  <c r="AF127" i="56" a="1"/>
  <c r="AF127" i="56" s="1"/>
  <c r="AF137" i="56" a="1"/>
  <c r="AF137" i="56" s="1"/>
  <c r="AF147" i="56" a="1"/>
  <c r="AF147" i="56" s="1"/>
  <c r="AF159" i="56" a="1"/>
  <c r="AF159" i="56" s="1"/>
  <c r="AF139" i="56" a="1"/>
  <c r="AF139" i="56" s="1"/>
  <c r="AF117" i="56" a="1"/>
  <c r="AF117" i="56" s="1"/>
  <c r="AF128" i="56" a="1"/>
  <c r="AF128" i="56" s="1"/>
  <c r="AF138" i="56" a="1"/>
  <c r="AF138" i="56" s="1"/>
  <c r="AF148" i="56" a="1"/>
  <c r="AF148" i="56" s="1"/>
  <c r="AF129" i="56" a="1"/>
  <c r="AF129" i="56" s="1"/>
  <c r="AD121" i="56" a="1"/>
  <c r="AD121" i="56" s="1"/>
  <c r="AD131" i="56" a="1"/>
  <c r="AD131" i="56" s="1"/>
  <c r="AD141" i="56" a="1"/>
  <c r="AD141" i="56" s="1"/>
  <c r="AD152" i="56" a="1"/>
  <c r="AD152" i="56" s="1"/>
  <c r="AD111" i="56" a="1"/>
  <c r="AD111" i="56" s="1"/>
  <c r="AD122" i="56" a="1"/>
  <c r="AD122" i="56" s="1"/>
  <c r="AD132" i="56" a="1"/>
  <c r="AD132" i="56" s="1"/>
  <c r="AD142" i="56" a="1"/>
  <c r="AD142" i="56" s="1"/>
  <c r="AD153" i="56" a="1"/>
  <c r="AD153" i="56" s="1"/>
  <c r="AD112" i="56" a="1"/>
  <c r="AD112" i="56" s="1"/>
  <c r="AD133" i="56" a="1"/>
  <c r="AD133" i="56" s="1"/>
  <c r="AD143" i="56" a="1"/>
  <c r="AD143" i="56" s="1"/>
  <c r="AD154" i="56" a="1"/>
  <c r="AD154" i="56" s="1"/>
  <c r="AD155" i="56" a="1"/>
  <c r="AD155" i="56" s="1"/>
  <c r="AD113" i="56" a="1"/>
  <c r="AD113" i="56" s="1"/>
  <c r="AD123" i="56" a="1"/>
  <c r="AD123" i="56" s="1"/>
  <c r="AD134" i="56" a="1"/>
  <c r="AD134" i="56" s="1"/>
  <c r="AD144" i="56" a="1"/>
  <c r="AD144" i="56" s="1"/>
  <c r="AD139" i="56" a="1"/>
  <c r="AD139" i="56" s="1"/>
  <c r="AD114" i="56" a="1"/>
  <c r="AD114" i="56" s="1"/>
  <c r="AD124" i="56" a="1"/>
  <c r="AD124" i="56" s="1"/>
  <c r="AD145" i="56" a="1"/>
  <c r="AD145" i="56" s="1"/>
  <c r="AD156" i="56" a="1"/>
  <c r="AD156" i="56" s="1"/>
  <c r="AD157" i="56" a="1"/>
  <c r="AD157" i="56" s="1"/>
  <c r="AD130" i="56" a="1"/>
  <c r="AD130" i="56" s="1"/>
  <c r="AD115" i="56" a="1"/>
  <c r="AD115" i="56" s="1"/>
  <c r="AD125" i="56" a="1"/>
  <c r="AD125" i="56" s="1"/>
  <c r="AD135" i="56" a="1"/>
  <c r="AD135" i="56" s="1"/>
  <c r="AD146" i="56" a="1"/>
  <c r="AD146" i="56" s="1"/>
  <c r="AD149" i="56" a="1"/>
  <c r="AD149" i="56" s="1"/>
  <c r="AD116" i="56" a="1"/>
  <c r="AD116" i="56" s="1"/>
  <c r="AD126" i="56" a="1"/>
  <c r="AD126" i="56" s="1"/>
  <c r="AD136" i="56" a="1"/>
  <c r="AD136" i="56" s="1"/>
  <c r="AD158" i="56" a="1"/>
  <c r="AD158" i="56" s="1"/>
  <c r="AD160" i="56" a="1"/>
  <c r="AD160" i="56" s="1"/>
  <c r="AD151" i="56" a="1"/>
  <c r="AD151" i="56" s="1"/>
  <c r="AD127" i="56" a="1"/>
  <c r="AD127" i="56" s="1"/>
  <c r="AD137" i="56" a="1"/>
  <c r="AD137" i="56" s="1"/>
  <c r="AD147" i="56" a="1"/>
  <c r="AD147" i="56" s="1"/>
  <c r="AD159" i="56" a="1"/>
  <c r="AD159" i="56" s="1"/>
  <c r="AD120" i="56" a="1"/>
  <c r="AD120" i="56" s="1"/>
  <c r="AD117" i="56" a="1"/>
  <c r="AD117" i="56" s="1"/>
  <c r="AD128" i="56" a="1"/>
  <c r="AD128" i="56" s="1"/>
  <c r="AD138" i="56" a="1"/>
  <c r="AD138" i="56" s="1"/>
  <c r="AD148" i="56" a="1"/>
  <c r="AD148" i="56" s="1"/>
  <c r="AD118" i="56" a="1"/>
  <c r="AD118" i="56" s="1"/>
  <c r="AD119" i="56" a="1"/>
  <c r="AD119" i="56" s="1"/>
  <c r="AD129" i="56" a="1"/>
  <c r="AD129" i="56" s="1"/>
  <c r="AD140" i="56" a="1"/>
  <c r="AD140" i="56" s="1"/>
  <c r="AD150" i="56" a="1"/>
  <c r="AD150" i="56" s="1"/>
  <c r="Q20" i="59"/>
  <c r="AA20" i="59"/>
  <c r="P46" i="59"/>
  <c r="AC39" i="59"/>
  <c r="S39" i="59"/>
  <c r="U106" i="56" a="1"/>
  <c r="U106" i="56" s="1"/>
  <c r="U102" i="56" a="1"/>
  <c r="U102" i="56" s="1"/>
  <c r="U76" i="56" a="1"/>
  <c r="U76" i="56" s="1"/>
  <c r="U75" i="56" a="1"/>
  <c r="U75" i="56" s="1"/>
  <c r="U105" i="56" a="1"/>
  <c r="U105" i="56" s="1"/>
  <c r="U82" i="56" a="1"/>
  <c r="U82" i="56" s="1"/>
  <c r="U107" i="56" a="1"/>
  <c r="U107" i="56" s="1"/>
  <c r="U70" i="56" a="1"/>
  <c r="U70" i="56" s="1"/>
  <c r="U63" i="56" a="1"/>
  <c r="U63" i="56" s="1"/>
  <c r="U103" i="56" a="1"/>
  <c r="U103" i="56" s="1"/>
  <c r="Y49" i="59"/>
  <c r="O49" i="59"/>
  <c r="O4" i="26"/>
  <c r="O16" i="26"/>
  <c r="N14" i="26"/>
  <c r="M12" i="26"/>
  <c r="D10" i="26"/>
  <c r="G4" i="26"/>
  <c r="G16" i="26"/>
  <c r="O5" i="26"/>
  <c r="O3" i="26"/>
  <c r="N15" i="26"/>
  <c r="M13" i="26"/>
  <c r="D11" i="26"/>
  <c r="G5" i="26"/>
  <c r="G3" i="26"/>
  <c r="F15" i="26"/>
  <c r="E13" i="26"/>
  <c r="E16" i="26"/>
  <c r="O6" i="26"/>
  <c r="N4" i="26"/>
  <c r="N16" i="26"/>
  <c r="M14" i="26"/>
  <c r="D12" i="26"/>
  <c r="G6" i="26"/>
  <c r="F4" i="26"/>
  <c r="F16" i="26"/>
  <c r="E14" i="26"/>
  <c r="G8" i="26"/>
  <c r="E5" i="26"/>
  <c r="O7" i="26"/>
  <c r="N5" i="26"/>
  <c r="N3" i="26"/>
  <c r="M15" i="26"/>
  <c r="D13" i="26"/>
  <c r="G7" i="26"/>
  <c r="F5" i="26"/>
  <c r="F3" i="26"/>
  <c r="E15" i="26"/>
  <c r="F6" i="26"/>
  <c r="E12" i="26"/>
  <c r="O8" i="26"/>
  <c r="N6" i="26"/>
  <c r="M4" i="26"/>
  <c r="M16" i="26"/>
  <c r="D14" i="26"/>
  <c r="E4" i="26"/>
  <c r="E3" i="26"/>
  <c r="E10" i="26"/>
  <c r="O9" i="26"/>
  <c r="N7" i="26"/>
  <c r="M5" i="26"/>
  <c r="M3" i="26"/>
  <c r="D15" i="26"/>
  <c r="G9" i="26"/>
  <c r="F7" i="26"/>
  <c r="O10" i="26"/>
  <c r="N8" i="26"/>
  <c r="M6" i="26"/>
  <c r="D4" i="26"/>
  <c r="D16" i="26"/>
  <c r="G10" i="26"/>
  <c r="F8" i="26"/>
  <c r="E6" i="26"/>
  <c r="O11" i="26"/>
  <c r="N9" i="26"/>
  <c r="M7" i="26"/>
  <c r="D5" i="26"/>
  <c r="D17" i="26"/>
  <c r="G11" i="26"/>
  <c r="F9" i="26"/>
  <c r="E7" i="26"/>
  <c r="O12" i="26"/>
  <c r="N10" i="26"/>
  <c r="M8" i="26"/>
  <c r="D6" i="26"/>
  <c r="D18" i="26"/>
  <c r="G12" i="26"/>
  <c r="F10" i="26"/>
  <c r="E8" i="26"/>
  <c r="M10" i="26"/>
  <c r="F12" i="26"/>
  <c r="O13" i="26"/>
  <c r="N11" i="26"/>
  <c r="M9" i="26"/>
  <c r="D7" i="26"/>
  <c r="D19" i="26"/>
  <c r="G13" i="26"/>
  <c r="F11" i="26"/>
  <c r="E9" i="26"/>
  <c r="D20" i="26"/>
  <c r="O14" i="26"/>
  <c r="N12" i="26"/>
  <c r="D8" i="26"/>
  <c r="G14" i="26"/>
  <c r="O15" i="26"/>
  <c r="N13" i="26"/>
  <c r="M11" i="26"/>
  <c r="D9" i="26"/>
  <c r="D3" i="26"/>
  <c r="G15" i="26"/>
  <c r="F13" i="26"/>
  <c r="E11" i="26"/>
  <c r="F14" i="26"/>
  <c r="S42" i="59"/>
  <c r="AC42" i="59"/>
  <c r="N45" i="59"/>
  <c r="Y23" i="59"/>
  <c r="O23" i="59"/>
  <c r="AA23" i="59"/>
  <c r="Q23" i="59"/>
  <c r="P5" i="59"/>
  <c r="Z5" i="59"/>
  <c r="Q45" i="59"/>
  <c r="S14" i="59"/>
  <c r="AC14" i="59"/>
  <c r="S38" i="59"/>
  <c r="AC38" i="59"/>
  <c r="P3" i="59"/>
  <c r="Z3" i="59"/>
  <c r="Q46" i="59"/>
  <c r="O45" i="59"/>
  <c r="R158" i="56"/>
  <c r="M158" i="56"/>
  <c r="L193" i="75" s="1"/>
  <c r="H158" i="56"/>
  <c r="O158" i="56"/>
  <c r="N193" i="75" s="1"/>
  <c r="F158" i="56"/>
  <c r="S158" i="56"/>
  <c r="L158" i="56"/>
  <c r="K193" i="75" s="1"/>
  <c r="K158" i="56"/>
  <c r="J193" i="75" s="1"/>
  <c r="I158" i="56"/>
  <c r="AL158" i="56" s="1" a="1"/>
  <c r="AL158" i="56" s="1"/>
  <c r="Q158" i="56"/>
  <c r="G158" i="56"/>
  <c r="P158" i="56"/>
  <c r="AB158" i="56"/>
  <c r="D158" i="56"/>
  <c r="N158" i="56"/>
  <c r="M193" i="75" s="1"/>
  <c r="J158" i="56"/>
  <c r="I193" i="75" s="1"/>
  <c r="AA15" i="59"/>
  <c r="Q15" i="59"/>
  <c r="AB42" i="59"/>
  <c r="R42" i="59"/>
  <c r="Z4" i="59"/>
  <c r="P4" i="59"/>
  <c r="R15" i="59"/>
  <c r="AB15" i="59"/>
  <c r="AA97" i="56"/>
  <c r="O15" i="59"/>
  <c r="Y15" i="59"/>
  <c r="AB16" i="59"/>
  <c r="R16" i="59"/>
  <c r="AB72" i="56"/>
  <c r="X4" i="59"/>
  <c r="N4" i="59"/>
  <c r="N188" i="56"/>
  <c r="L188" i="56"/>
  <c r="O188" i="56"/>
  <c r="M188" i="56"/>
  <c r="N178" i="56"/>
  <c r="L178" i="56"/>
  <c r="O178" i="56"/>
  <c r="M178" i="56"/>
  <c r="AB46" i="59"/>
  <c r="R46" i="59"/>
  <c r="P36" i="59"/>
  <c r="Z36" i="59"/>
  <c r="Q13" i="46"/>
  <c r="AD13" i="46"/>
  <c r="R13" i="46"/>
  <c r="AE13" i="46"/>
  <c r="S13" i="46"/>
  <c r="AG13" i="46"/>
  <c r="T13" i="46"/>
  <c r="AH13" i="46"/>
  <c r="U13" i="46"/>
  <c r="W13" i="46"/>
  <c r="X13" i="46"/>
  <c r="Y13" i="46"/>
  <c r="Z13" i="46"/>
  <c r="AA13" i="46"/>
  <c r="O13" i="46"/>
  <c r="AB13" i="46"/>
  <c r="P13" i="46"/>
  <c r="AC13" i="46"/>
  <c r="N170" i="56"/>
  <c r="M29" i="75" s="1"/>
  <c r="O170" i="56"/>
  <c r="N29" i="75" s="1"/>
  <c r="D170" i="56"/>
  <c r="M170" i="56"/>
  <c r="L29" i="75" s="1"/>
  <c r="AB170" i="56"/>
  <c r="L170" i="56"/>
  <c r="K29" i="75" s="1"/>
  <c r="U52" i="56"/>
  <c r="AL52" i="56"/>
  <c r="AP269" i="19"/>
  <c r="N180" i="56"/>
  <c r="M69" i="75" s="1"/>
  <c r="L180" i="56"/>
  <c r="K69" i="75" s="1"/>
  <c r="O180" i="56"/>
  <c r="N69" i="75" s="1"/>
  <c r="M180" i="56"/>
  <c r="L69" i="75" s="1"/>
  <c r="O34" i="59"/>
  <c r="Y34" i="59"/>
  <c r="L171" i="56"/>
  <c r="K34" i="75" s="1"/>
  <c r="O171" i="56"/>
  <c r="N34" i="75" s="1"/>
  <c r="M171" i="56"/>
  <c r="L34" i="75" s="1"/>
  <c r="N171" i="56"/>
  <c r="M34" i="75" s="1"/>
  <c r="Z94" i="56"/>
  <c r="Q147" i="75" s="1"/>
  <c r="T158" i="56" a="1"/>
  <c r="T158" i="56" s="1"/>
  <c r="O193" i="75" s="1"/>
  <c r="V158" i="56" a="1"/>
  <c r="V158" i="56" s="1"/>
  <c r="Y97" i="56"/>
  <c r="Z75" i="56"/>
  <c r="Q72" i="75" s="1"/>
  <c r="Z103" i="56"/>
  <c r="Q182" i="75" s="1"/>
  <c r="Z107" i="56"/>
  <c r="Z81" i="56"/>
  <c r="Q97" i="75" s="1"/>
  <c r="AD23" i="27"/>
  <c r="AC23" i="27"/>
  <c r="AD22" i="27"/>
  <c r="AC22" i="27"/>
  <c r="AD21" i="27"/>
  <c r="AC21" i="27"/>
  <c r="AD19" i="27"/>
  <c r="AD20" i="27" s="1"/>
  <c r="AC19" i="27"/>
  <c r="AC20" i="27" s="1"/>
  <c r="AB117" i="56"/>
  <c r="G66" i="27"/>
  <c r="G62" i="27"/>
  <c r="G65" i="27"/>
  <c r="G61" i="27"/>
  <c r="G64" i="27"/>
  <c r="G49" i="27"/>
  <c r="G50" i="27"/>
  <c r="G51" i="27"/>
  <c r="G63" i="27"/>
  <c r="G52" i="27"/>
  <c r="G48" i="27"/>
  <c r="G53" i="27"/>
  <c r="D46" i="48"/>
  <c r="F46" i="48"/>
  <c r="E46" i="48"/>
  <c r="C46" i="48"/>
  <c r="E45" i="48"/>
  <c r="C45" i="48"/>
  <c r="F45" i="48"/>
  <c r="D45" i="48"/>
  <c r="E41" i="48"/>
  <c r="C41" i="48"/>
  <c r="F41" i="48"/>
  <c r="D41" i="48"/>
  <c r="C39" i="48"/>
  <c r="F39" i="48"/>
  <c r="D39" i="48"/>
  <c r="E39" i="48"/>
  <c r="F49" i="48"/>
  <c r="D49" i="48"/>
  <c r="C49" i="48"/>
  <c r="E49" i="48"/>
  <c r="C51" i="48"/>
  <c r="F51" i="48"/>
  <c r="E51" i="48"/>
  <c r="D51" i="48"/>
  <c r="D35" i="48"/>
  <c r="E35" i="48"/>
  <c r="C35" i="48"/>
  <c r="F35" i="48"/>
  <c r="C40" i="48"/>
  <c r="F40" i="48"/>
  <c r="D40" i="48"/>
  <c r="E40" i="48"/>
  <c r="E43" i="48"/>
  <c r="C43" i="48"/>
  <c r="F43" i="48"/>
  <c r="D43" i="48"/>
  <c r="E42" i="48"/>
  <c r="C42" i="48"/>
  <c r="F42" i="48"/>
  <c r="D42" i="48"/>
  <c r="F38" i="48"/>
  <c r="D38" i="48"/>
  <c r="E38" i="48"/>
  <c r="C38" i="48"/>
  <c r="E44" i="48"/>
  <c r="C44" i="48"/>
  <c r="D44" i="48"/>
  <c r="F44" i="48"/>
  <c r="F37" i="48"/>
  <c r="D37" i="48"/>
  <c r="E37" i="48"/>
  <c r="C37" i="48"/>
  <c r="F36" i="48"/>
  <c r="D36" i="48"/>
  <c r="E36" i="48"/>
  <c r="C36" i="48"/>
  <c r="F48" i="48"/>
  <c r="D48" i="48"/>
  <c r="E48" i="48"/>
  <c r="C48" i="48"/>
  <c r="F50" i="48"/>
  <c r="D50" i="48"/>
  <c r="E50" i="48"/>
  <c r="C50" i="48"/>
  <c r="P125" i="3"/>
  <c r="AP220" i="19"/>
  <c r="AP289" i="19"/>
  <c r="AP223" i="19"/>
  <c r="AP389" i="19"/>
  <c r="AP82" i="19"/>
  <c r="AP121" i="19"/>
  <c r="AP8" i="19"/>
  <c r="AP281" i="19"/>
  <c r="AP273" i="19"/>
  <c r="AP17" i="19"/>
  <c r="AP186" i="19"/>
  <c r="AP636" i="19"/>
  <c r="P124" i="3"/>
  <c r="AP50" i="19"/>
  <c r="AP286" i="19"/>
  <c r="AP388" i="19"/>
  <c r="AP36" i="19"/>
  <c r="AT340" i="19"/>
  <c r="AP340" i="19"/>
  <c r="AT355" i="19"/>
  <c r="AP355" i="19"/>
  <c r="AT546" i="19"/>
  <c r="AP546" i="19"/>
  <c r="AT577" i="19"/>
  <c r="AP577" i="19"/>
  <c r="AT692" i="19"/>
  <c r="AP692" i="19"/>
  <c r="AT756" i="19"/>
  <c r="AP756" i="19"/>
  <c r="AT74" i="19"/>
  <c r="AP74" i="19"/>
  <c r="AT101" i="19"/>
  <c r="AP101" i="19"/>
  <c r="AT128" i="19"/>
  <c r="AP128" i="19"/>
  <c r="AT189" i="19"/>
  <c r="AP189" i="19"/>
  <c r="AP163" i="19"/>
  <c r="AT105" i="19"/>
  <c r="AP105" i="19"/>
  <c r="AT131" i="19"/>
  <c r="AP131" i="19"/>
  <c r="AT167" i="19"/>
  <c r="AP167" i="19"/>
  <c r="AT172" i="19"/>
  <c r="AP172" i="19"/>
  <c r="AP366" i="19"/>
  <c r="AT306" i="19"/>
  <c r="AP306" i="19"/>
  <c r="AT246" i="19"/>
  <c r="AP246" i="19"/>
  <c r="AT221" i="19"/>
  <c r="AP221" i="19"/>
  <c r="AT329" i="19"/>
  <c r="AP329" i="19"/>
  <c r="AT361" i="19"/>
  <c r="AP361" i="19"/>
  <c r="AT334" i="19"/>
  <c r="AP334" i="19"/>
  <c r="AP208" i="19"/>
  <c r="AT225" i="19"/>
  <c r="AP225" i="19"/>
  <c r="AT263" i="19"/>
  <c r="AP263" i="19"/>
  <c r="AT345" i="19"/>
  <c r="AP345" i="19"/>
  <c r="AT244" i="19"/>
  <c r="AP244" i="19"/>
  <c r="AT384" i="19"/>
  <c r="AP384" i="19"/>
  <c r="AT326" i="19"/>
  <c r="AP326" i="19"/>
  <c r="AT375" i="19"/>
  <c r="AP375" i="19"/>
  <c r="AT356" i="19"/>
  <c r="AP356" i="19"/>
  <c r="AT362" i="19"/>
  <c r="AP362" i="19"/>
  <c r="AT298" i="19"/>
  <c r="AP298" i="19"/>
  <c r="AT271" i="19"/>
  <c r="AP271" i="19"/>
  <c r="AT76" i="19"/>
  <c r="AP76" i="19"/>
  <c r="AT92" i="19"/>
  <c r="AP92" i="19"/>
  <c r="AT85" i="19"/>
  <c r="AP85" i="19"/>
  <c r="AT29" i="19"/>
  <c r="AP29" i="19"/>
  <c r="AP21" i="19"/>
  <c r="AT59" i="19"/>
  <c r="AP59" i="19"/>
  <c r="AT45" i="19"/>
  <c r="AP45" i="19"/>
  <c r="AT502" i="19"/>
  <c r="AP502" i="19"/>
  <c r="AT470" i="19"/>
  <c r="AP470" i="19"/>
  <c r="AT467" i="19"/>
  <c r="AP467" i="19"/>
  <c r="AT493" i="19"/>
  <c r="AP493" i="19"/>
  <c r="AT538" i="19"/>
  <c r="AP538" i="19"/>
  <c r="AT499" i="19"/>
  <c r="AP499" i="19"/>
  <c r="AT508" i="19"/>
  <c r="AP508" i="19"/>
  <c r="AT529" i="19"/>
  <c r="AP529" i="19"/>
  <c r="AT425" i="19"/>
  <c r="AP425" i="19"/>
  <c r="AT582" i="19"/>
  <c r="AP582" i="19"/>
  <c r="AT203" i="19"/>
  <c r="AP203" i="19"/>
  <c r="AT449" i="19"/>
  <c r="AP449" i="19"/>
  <c r="AT422" i="19"/>
  <c r="AP422" i="19"/>
  <c r="AT506" i="19"/>
  <c r="AP506" i="19"/>
  <c r="AT473" i="19"/>
  <c r="AP473" i="19"/>
  <c r="AT446" i="19"/>
  <c r="AP446" i="19"/>
  <c r="AT202" i="19"/>
  <c r="AP202" i="19"/>
  <c r="AT631" i="19"/>
  <c r="AP631" i="19"/>
  <c r="AT666" i="19"/>
  <c r="AP666" i="19"/>
  <c r="AT783" i="19"/>
  <c r="AP783" i="19"/>
  <c r="AT627" i="19"/>
  <c r="AP627" i="19"/>
  <c r="AT773" i="19"/>
  <c r="AP773" i="19"/>
  <c r="AT707" i="19"/>
  <c r="AP707" i="19"/>
  <c r="AT765" i="19"/>
  <c r="AP765" i="19"/>
  <c r="AT633" i="19"/>
  <c r="AP633" i="19"/>
  <c r="AT622" i="19"/>
  <c r="AP622" i="19"/>
  <c r="AT751" i="19"/>
  <c r="AP751" i="19"/>
  <c r="AT723" i="19"/>
  <c r="AP723" i="19"/>
  <c r="AT755" i="19"/>
  <c r="AP755" i="19"/>
  <c r="AT787" i="19"/>
  <c r="AP787" i="19"/>
  <c r="AT664" i="19"/>
  <c r="AP664" i="19"/>
  <c r="AT685" i="19"/>
  <c r="AP685" i="19"/>
  <c r="AT745" i="19"/>
  <c r="AP745" i="19"/>
  <c r="AT19" i="19"/>
  <c r="AP19" i="19"/>
  <c r="AT171" i="19"/>
  <c r="AP171" i="19"/>
  <c r="AT330" i="19"/>
  <c r="AP330" i="19"/>
  <c r="AT304" i="19"/>
  <c r="AP304" i="19"/>
  <c r="AT75" i="19"/>
  <c r="AP75" i="19"/>
  <c r="AT764" i="19"/>
  <c r="AP764" i="19"/>
  <c r="AT606" i="19"/>
  <c r="AP606" i="19"/>
  <c r="AT162" i="19"/>
  <c r="AP162" i="19"/>
  <c r="AT161" i="19"/>
  <c r="AP161" i="19"/>
  <c r="AT197" i="19"/>
  <c r="AP197" i="19"/>
  <c r="AT145" i="19"/>
  <c r="AP145" i="19"/>
  <c r="AT106" i="19"/>
  <c r="AP106" i="19"/>
  <c r="AT130" i="19"/>
  <c r="AP130" i="19"/>
  <c r="AT144" i="19"/>
  <c r="AP144" i="19"/>
  <c r="AT180" i="19"/>
  <c r="AP180" i="19"/>
  <c r="AP116" i="19"/>
  <c r="AP353" i="19"/>
  <c r="AT210" i="19"/>
  <c r="AP210" i="19"/>
  <c r="AT342" i="19"/>
  <c r="AP342" i="19"/>
  <c r="AT233" i="19"/>
  <c r="AP233" i="19"/>
  <c r="AT398" i="19"/>
  <c r="AP398" i="19"/>
  <c r="AT238" i="19"/>
  <c r="AP238" i="19"/>
  <c r="AT346" i="19"/>
  <c r="AP346" i="19"/>
  <c r="AT360" i="19"/>
  <c r="AP360" i="19"/>
  <c r="AT249" i="19"/>
  <c r="AP249" i="19"/>
  <c r="AT277" i="19"/>
  <c r="AP277" i="19"/>
  <c r="AP230" i="19"/>
  <c r="AT307" i="19"/>
  <c r="AP307" i="19"/>
  <c r="AT259" i="19"/>
  <c r="AP259" i="19"/>
  <c r="AT393" i="19"/>
  <c r="AP393" i="19"/>
  <c r="AT266" i="19"/>
  <c r="AP266" i="19"/>
  <c r="AP287" i="19"/>
  <c r="AT392" i="19"/>
  <c r="AP392" i="19"/>
  <c r="AP3" i="19"/>
  <c r="AT97" i="19"/>
  <c r="AP97" i="19"/>
  <c r="AT37" i="19"/>
  <c r="AP37" i="19"/>
  <c r="AT35" i="19"/>
  <c r="AP35" i="19"/>
  <c r="AT57" i="19"/>
  <c r="AP57" i="19"/>
  <c r="AT51" i="19"/>
  <c r="AP51" i="19"/>
  <c r="AT450" i="19"/>
  <c r="AP450" i="19"/>
  <c r="AT411" i="19"/>
  <c r="AP411" i="19"/>
  <c r="AT432" i="19"/>
  <c r="AP432" i="19"/>
  <c r="AT441" i="19"/>
  <c r="AP441" i="19"/>
  <c r="AT486" i="19"/>
  <c r="AP486" i="19"/>
  <c r="AT447" i="19"/>
  <c r="AP447" i="19"/>
  <c r="AT468" i="19"/>
  <c r="AP468" i="19"/>
  <c r="AT477" i="19"/>
  <c r="AP477" i="19"/>
  <c r="AT574" i="19"/>
  <c r="AP574" i="19"/>
  <c r="AT535" i="19"/>
  <c r="AP535" i="19"/>
  <c r="AT442" i="19"/>
  <c r="AP442" i="19"/>
  <c r="AT598" i="19"/>
  <c r="AP598" i="19"/>
  <c r="AT559" i="19"/>
  <c r="AP559" i="19"/>
  <c r="AT466" i="19"/>
  <c r="AP466" i="19"/>
  <c r="AT426" i="19"/>
  <c r="AP426" i="19"/>
  <c r="AT583" i="19"/>
  <c r="AP583" i="19"/>
  <c r="AT443" i="19"/>
  <c r="AP443" i="19"/>
  <c r="AT768" i="19"/>
  <c r="AP768" i="19"/>
  <c r="AT643" i="19"/>
  <c r="AP643" i="19"/>
  <c r="AT706" i="19"/>
  <c r="AP706" i="19"/>
  <c r="AT758" i="19"/>
  <c r="AP758" i="19"/>
  <c r="AT738" i="19"/>
  <c r="AP738" i="19"/>
  <c r="AT679" i="19"/>
  <c r="AP679" i="19"/>
  <c r="AT742" i="19"/>
  <c r="AP742" i="19"/>
  <c r="AT789" i="19"/>
  <c r="AP789" i="19"/>
  <c r="AT628" i="19"/>
  <c r="AP628" i="19"/>
  <c r="AT695" i="19"/>
  <c r="AP695" i="19"/>
  <c r="AT720" i="19"/>
  <c r="AP720" i="19"/>
  <c r="AT641" i="19"/>
  <c r="AP641" i="19"/>
  <c r="AT657" i="19"/>
  <c r="AP657" i="19"/>
  <c r="AT650" i="19"/>
  <c r="AP650" i="19"/>
  <c r="AT771" i="19"/>
  <c r="AP771" i="19"/>
  <c r="AT20" i="19"/>
  <c r="AP20" i="19"/>
  <c r="AT798" i="19"/>
  <c r="AP798" i="19"/>
  <c r="AT795" i="19"/>
  <c r="AP795" i="19"/>
  <c r="AT137" i="19"/>
  <c r="AP137" i="19"/>
  <c r="AT308" i="19"/>
  <c r="AP308" i="19"/>
  <c r="AT234" i="19"/>
  <c r="AP234" i="19"/>
  <c r="AT510" i="19"/>
  <c r="AP510" i="19"/>
  <c r="AT445" i="19"/>
  <c r="AP445" i="19"/>
  <c r="AT778" i="19"/>
  <c r="AP778" i="19"/>
  <c r="AT774" i="19"/>
  <c r="AP774" i="19"/>
  <c r="AT713" i="19"/>
  <c r="AP713" i="19"/>
  <c r="AT73" i="19"/>
  <c r="AP73" i="19"/>
  <c r="AT99" i="19"/>
  <c r="AP99" i="19"/>
  <c r="AT176" i="19"/>
  <c r="AP176" i="19"/>
  <c r="AT146" i="19"/>
  <c r="AP146" i="19"/>
  <c r="AT108" i="19"/>
  <c r="AP108" i="19"/>
  <c r="AT119" i="19"/>
  <c r="AP119" i="19"/>
  <c r="AT123" i="19"/>
  <c r="AP123" i="19"/>
  <c r="AT152" i="19"/>
  <c r="AP152" i="19"/>
  <c r="AT110" i="19"/>
  <c r="AP110" i="19"/>
  <c r="AP115" i="19"/>
  <c r="AT354" i="19"/>
  <c r="AP354" i="19"/>
  <c r="AT291" i="19"/>
  <c r="AP291" i="19"/>
  <c r="AT323" i="19"/>
  <c r="AP323" i="19"/>
  <c r="AT250" i="19"/>
  <c r="AP250" i="19"/>
  <c r="AT397" i="19"/>
  <c r="AP397" i="19"/>
  <c r="AP370" i="19"/>
  <c r="AT314" i="19"/>
  <c r="AP314" i="19"/>
  <c r="AT363" i="19"/>
  <c r="AP363" i="19"/>
  <c r="AP211" i="19"/>
  <c r="AT376" i="19"/>
  <c r="AP376" i="19"/>
  <c r="AP274" i="19"/>
  <c r="AT399" i="19"/>
  <c r="AP399" i="19"/>
  <c r="AT300" i="19"/>
  <c r="AP300" i="19"/>
  <c r="AT285" i="19"/>
  <c r="AP285" i="19"/>
  <c r="AT81" i="19"/>
  <c r="AP81" i="19"/>
  <c r="AP11" i="19"/>
  <c r="AT32" i="19"/>
  <c r="AP32" i="19"/>
  <c r="AP27" i="19"/>
  <c r="AT63" i="19"/>
  <c r="AP63" i="19"/>
  <c r="AP54" i="19"/>
  <c r="AT52" i="19"/>
  <c r="AP52" i="19"/>
  <c r="AT587" i="19"/>
  <c r="AP587" i="19"/>
  <c r="AT560" i="19"/>
  <c r="AP560" i="19"/>
  <c r="AT569" i="19"/>
  <c r="AP569" i="19"/>
  <c r="AT566" i="19"/>
  <c r="AP566" i="19"/>
  <c r="AT427" i="19"/>
  <c r="AP427" i="19"/>
  <c r="AT596" i="19"/>
  <c r="AP596" i="19"/>
  <c r="AT421" i="19"/>
  <c r="AP421" i="19"/>
  <c r="AT418" i="19"/>
  <c r="AP418" i="19"/>
  <c r="AT515" i="19"/>
  <c r="AP515" i="19"/>
  <c r="AT483" i="19"/>
  <c r="AP483" i="19"/>
  <c r="AT579" i="19"/>
  <c r="AP579" i="19"/>
  <c r="AT539" i="19"/>
  <c r="AP539" i="19"/>
  <c r="AT512" i="19"/>
  <c r="AP512" i="19"/>
  <c r="AT419" i="19"/>
  <c r="AP419" i="19"/>
  <c r="AT563" i="19"/>
  <c r="AP563" i="19"/>
  <c r="AT536" i="19"/>
  <c r="AP536" i="19"/>
  <c r="AT592" i="19"/>
  <c r="AP592" i="19"/>
  <c r="AT757" i="19"/>
  <c r="AP757" i="19"/>
  <c r="AT608" i="19"/>
  <c r="AP608" i="19"/>
  <c r="AT678" i="19"/>
  <c r="AP678" i="19"/>
  <c r="AT780" i="19"/>
  <c r="AP780" i="19"/>
  <c r="AT715" i="19"/>
  <c r="AP715" i="19"/>
  <c r="AT656" i="19"/>
  <c r="AP656" i="19"/>
  <c r="AT719" i="19"/>
  <c r="AP719" i="19"/>
  <c r="AT605" i="19"/>
  <c r="AP605" i="19"/>
  <c r="AT651" i="19"/>
  <c r="AP651" i="19"/>
  <c r="AT660" i="19"/>
  <c r="AP660" i="19"/>
  <c r="AT709" i="19"/>
  <c r="AP709" i="19"/>
  <c r="AT618" i="19"/>
  <c r="AP618" i="19"/>
  <c r="AT698" i="19"/>
  <c r="AP698" i="19"/>
  <c r="AT670" i="19"/>
  <c r="AP670" i="19"/>
  <c r="AT716" i="19"/>
  <c r="AP716" i="19"/>
  <c r="AT700" i="19"/>
  <c r="AP700" i="19"/>
  <c r="AP9" i="19"/>
  <c r="AT228" i="19"/>
  <c r="AP228" i="19"/>
  <c r="AT501" i="19"/>
  <c r="AP501" i="19"/>
  <c r="AT741" i="19"/>
  <c r="AP741" i="19"/>
  <c r="AT100" i="19"/>
  <c r="AP100" i="19"/>
  <c r="AT195" i="19"/>
  <c r="AP195" i="19"/>
  <c r="AT193" i="19"/>
  <c r="AP193" i="19"/>
  <c r="AT169" i="19"/>
  <c r="AP169" i="19"/>
  <c r="AT124" i="19"/>
  <c r="AP124" i="19"/>
  <c r="AT141" i="19"/>
  <c r="AP141" i="19"/>
  <c r="AT159" i="19"/>
  <c r="AP159" i="19"/>
  <c r="AT177" i="19"/>
  <c r="AP177" i="19"/>
  <c r="AT378" i="19"/>
  <c r="AP378" i="19"/>
  <c r="AT401" i="19"/>
  <c r="AP401" i="19"/>
  <c r="AT248" i="19"/>
  <c r="AP248" i="19"/>
  <c r="AT367" i="19"/>
  <c r="AP367" i="19"/>
  <c r="AT292" i="19"/>
  <c r="AP292" i="19"/>
  <c r="AT227" i="19"/>
  <c r="AP227" i="19"/>
  <c r="AT335" i="19"/>
  <c r="AP335" i="19"/>
  <c r="AP290" i="19"/>
  <c r="AT251" i="19"/>
  <c r="AP251" i="19"/>
  <c r="AT218" i="19"/>
  <c r="AP218" i="19"/>
  <c r="AT295" i="19"/>
  <c r="AP295" i="19"/>
  <c r="AP267" i="19"/>
  <c r="AP344" i="19"/>
  <c r="AT257" i="19"/>
  <c r="AP257" i="19"/>
  <c r="AT241" i="19"/>
  <c r="AP241" i="19"/>
  <c r="AT331" i="19"/>
  <c r="AP331" i="19"/>
  <c r="AT400" i="19"/>
  <c r="AP400" i="19"/>
  <c r="AT337" i="19"/>
  <c r="AP337" i="19"/>
  <c r="AT310" i="19"/>
  <c r="AP310" i="19"/>
  <c r="AT95" i="19"/>
  <c r="AP95" i="19"/>
  <c r="AP41" i="19"/>
  <c r="AT44" i="19"/>
  <c r="AP44" i="19"/>
  <c r="AP28" i="19"/>
  <c r="AT66" i="19"/>
  <c r="AP66" i="19"/>
  <c r="AT64" i="19"/>
  <c r="AP64" i="19"/>
  <c r="AT56" i="19"/>
  <c r="AP56" i="19"/>
  <c r="AT528" i="19"/>
  <c r="AP528" i="19"/>
  <c r="AT561" i="19"/>
  <c r="AP561" i="19"/>
  <c r="AT522" i="19"/>
  <c r="AP522" i="19"/>
  <c r="AT519" i="19"/>
  <c r="AP519" i="19"/>
  <c r="AT564" i="19"/>
  <c r="AP564" i="19"/>
  <c r="AT597" i="19"/>
  <c r="AP597" i="19"/>
  <c r="AT558" i="19"/>
  <c r="AP558" i="19"/>
  <c r="AT555" i="19"/>
  <c r="AP555" i="19"/>
  <c r="AT463" i="19"/>
  <c r="AP463" i="19"/>
  <c r="AT436" i="19"/>
  <c r="AP436" i="19"/>
  <c r="AT544" i="19"/>
  <c r="AP544" i="19"/>
  <c r="AT487" i="19"/>
  <c r="AP487" i="19"/>
  <c r="AT460" i="19"/>
  <c r="AP460" i="19"/>
  <c r="AT568" i="19"/>
  <c r="AP568" i="19"/>
  <c r="AT504" i="19"/>
  <c r="AP504" i="19"/>
  <c r="AT484" i="19"/>
  <c r="AP484" i="19"/>
  <c r="AT545" i="19"/>
  <c r="AP545" i="19"/>
  <c r="AT611" i="19"/>
  <c r="AP611" i="19"/>
  <c r="AT769" i="19"/>
  <c r="AP769" i="19"/>
  <c r="AT655" i="19"/>
  <c r="AP655" i="19"/>
  <c r="AT776" i="19"/>
  <c r="AP776" i="19"/>
  <c r="AT684" i="19"/>
  <c r="AP684" i="19"/>
  <c r="AT691" i="19"/>
  <c r="AP691" i="19"/>
  <c r="AT754" i="19"/>
  <c r="AP754" i="19"/>
  <c r="AT705" i="19"/>
  <c r="AP705" i="19"/>
  <c r="AT634" i="19"/>
  <c r="AP634" i="19"/>
  <c r="AT649" i="19"/>
  <c r="AP649" i="19"/>
  <c r="AT735" i="19"/>
  <c r="AP735" i="19"/>
  <c r="AT767" i="19"/>
  <c r="AP767" i="19"/>
  <c r="AT793" i="19"/>
  <c r="AP793" i="19"/>
  <c r="AT676" i="19"/>
  <c r="AP676" i="19"/>
  <c r="AT725" i="19"/>
  <c r="AP725" i="19"/>
  <c r="AT10" i="19"/>
  <c r="AP10" i="19"/>
  <c r="AT187" i="19"/>
  <c r="AP187" i="19"/>
  <c r="AT543" i="19"/>
  <c r="AP543" i="19"/>
  <c r="AT689" i="19"/>
  <c r="AP689" i="19"/>
  <c r="AT104" i="19"/>
  <c r="AP104" i="19"/>
  <c r="AT125" i="19"/>
  <c r="AP125" i="19"/>
  <c r="AT196" i="19"/>
  <c r="AP196" i="19"/>
  <c r="AT182" i="19"/>
  <c r="AP182" i="19"/>
  <c r="AT132" i="19"/>
  <c r="AP132" i="19"/>
  <c r="AT129" i="19"/>
  <c r="AP129" i="19"/>
  <c r="AT166" i="19"/>
  <c r="AP166" i="19"/>
  <c r="AT188" i="19"/>
  <c r="AP188" i="19"/>
  <c r="AT191" i="19"/>
  <c r="AP191" i="19"/>
  <c r="AT365" i="19"/>
  <c r="AP365" i="19"/>
  <c r="AP282" i="19"/>
  <c r="AT404" i="19"/>
  <c r="AP404" i="19"/>
  <c r="AP336" i="19"/>
  <c r="AT239" i="19"/>
  <c r="AP239" i="19"/>
  <c r="AT327" i="19"/>
  <c r="AP327" i="19"/>
  <c r="AP359" i="19"/>
  <c r="AP351" i="19"/>
  <c r="AT332" i="19"/>
  <c r="AP332" i="19"/>
  <c r="AT364" i="19"/>
  <c r="AP364" i="19"/>
  <c r="AT381" i="19"/>
  <c r="AP381" i="19"/>
  <c r="AT407" i="19"/>
  <c r="AP407" i="19"/>
  <c r="AT235" i="19"/>
  <c r="AP235" i="19"/>
  <c r="AT270" i="19"/>
  <c r="AP270" i="19"/>
  <c r="AT374" i="19"/>
  <c r="AP374" i="19"/>
  <c r="AT214" i="19"/>
  <c r="AP214" i="19"/>
  <c r="AT87" i="19"/>
  <c r="AP87" i="19"/>
  <c r="AT86" i="19"/>
  <c r="AP86" i="19"/>
  <c r="AT26" i="19"/>
  <c r="AP26" i="19"/>
  <c r="AT22" i="19"/>
  <c r="AP22" i="19"/>
  <c r="AT65" i="19"/>
  <c r="AP65" i="19"/>
  <c r="AT68" i="19"/>
  <c r="AP68" i="19"/>
  <c r="AT476" i="19"/>
  <c r="AP476" i="19"/>
  <c r="AT514" i="19"/>
  <c r="AP514" i="19"/>
  <c r="AT482" i="19"/>
  <c r="AP482" i="19"/>
  <c r="AT479" i="19"/>
  <c r="AP479" i="19"/>
  <c r="AT505" i="19"/>
  <c r="AP505" i="19"/>
  <c r="AT550" i="19"/>
  <c r="AP550" i="19"/>
  <c r="AT511" i="19"/>
  <c r="AP511" i="19"/>
  <c r="AT520" i="19"/>
  <c r="AP520" i="19"/>
  <c r="AT600" i="19"/>
  <c r="AP600" i="19"/>
  <c r="AT497" i="19"/>
  <c r="AP497" i="19"/>
  <c r="AT428" i="19"/>
  <c r="AP428" i="19"/>
  <c r="AT521" i="19"/>
  <c r="AP521" i="19"/>
  <c r="AT452" i="19"/>
  <c r="AP452" i="19"/>
  <c r="AT537" i="19"/>
  <c r="AP537" i="19"/>
  <c r="AT498" i="19"/>
  <c r="AP498" i="19"/>
  <c r="AT669" i="19"/>
  <c r="AP669" i="19"/>
  <c r="AT712" i="19"/>
  <c r="AP712" i="19"/>
  <c r="AT623" i="19"/>
  <c r="AP623" i="19"/>
  <c r="AT632" i="19"/>
  <c r="AP632" i="19"/>
  <c r="AT717" i="19"/>
  <c r="AP717" i="19"/>
  <c r="AT621" i="19"/>
  <c r="AP621" i="19"/>
  <c r="AT659" i="19"/>
  <c r="AP659" i="19"/>
  <c r="AT668" i="19"/>
  <c r="AP668" i="19"/>
  <c r="AT731" i="19"/>
  <c r="AP731" i="19"/>
  <c r="AT614" i="19"/>
  <c r="AP614" i="19"/>
  <c r="AT736" i="19"/>
  <c r="AP736" i="19"/>
  <c r="AT732" i="19"/>
  <c r="AP732" i="19"/>
  <c r="AT653" i="19"/>
  <c r="AP653" i="19"/>
  <c r="AT603" i="19"/>
  <c r="AP603" i="19"/>
  <c r="AT697" i="19"/>
  <c r="AP697" i="19"/>
  <c r="AT14" i="19"/>
  <c r="AP14" i="19"/>
  <c r="AT70" i="19"/>
  <c r="AP70" i="19"/>
  <c r="AP15" i="19"/>
  <c r="AT103" i="19"/>
  <c r="AP103" i="19"/>
  <c r="AT150" i="19"/>
  <c r="AP150" i="19"/>
  <c r="AT126" i="19"/>
  <c r="AP126" i="19"/>
  <c r="AT139" i="19"/>
  <c r="AP139" i="19"/>
  <c r="AT175" i="19"/>
  <c r="AP175" i="19"/>
  <c r="AP111" i="19"/>
  <c r="AT157" i="19"/>
  <c r="AP157" i="19"/>
  <c r="AP155" i="19"/>
  <c r="AT160" i="19"/>
  <c r="AP160" i="19"/>
  <c r="AT134" i="19"/>
  <c r="AP134" i="19"/>
  <c r="AT258" i="19"/>
  <c r="AP258" i="19"/>
  <c r="AT377" i="19"/>
  <c r="AP377" i="19"/>
  <c r="AT297" i="19"/>
  <c r="AP297" i="19"/>
  <c r="AT240" i="19"/>
  <c r="AP240" i="19"/>
  <c r="AT348" i="19"/>
  <c r="AP348" i="19"/>
  <c r="AT403" i="19"/>
  <c r="AP403" i="19"/>
  <c r="AP231" i="19"/>
  <c r="AT372" i="19"/>
  <c r="AP372" i="19"/>
  <c r="AT283" i="19"/>
  <c r="AP283" i="19"/>
  <c r="AT255" i="19"/>
  <c r="AP255" i="19"/>
  <c r="AT369" i="19"/>
  <c r="AP369" i="19"/>
  <c r="AP268" i="19"/>
  <c r="AT406" i="19"/>
  <c r="AP406" i="19"/>
  <c r="AP276" i="19"/>
  <c r="AT368" i="19"/>
  <c r="AP368" i="19"/>
  <c r="AP272" i="19"/>
  <c r="AT299" i="19"/>
  <c r="AP299" i="19"/>
  <c r="AT78" i="19"/>
  <c r="AP78" i="19"/>
  <c r="AT88" i="19"/>
  <c r="AP88" i="19"/>
  <c r="AP79" i="19"/>
  <c r="AP24" i="19"/>
  <c r="AT62" i="19"/>
  <c r="AP62" i="19"/>
  <c r="AT55" i="19"/>
  <c r="AP55" i="19"/>
  <c r="AT417" i="19"/>
  <c r="AP417" i="19"/>
  <c r="AT462" i="19"/>
  <c r="AP462" i="19"/>
  <c r="AT423" i="19"/>
  <c r="AP423" i="19"/>
  <c r="AT444" i="19"/>
  <c r="AP444" i="19"/>
  <c r="AT453" i="19"/>
  <c r="AP453" i="19"/>
  <c r="AT491" i="19"/>
  <c r="AP491" i="19"/>
  <c r="AT459" i="19"/>
  <c r="AP459" i="19"/>
  <c r="AT480" i="19"/>
  <c r="AP480" i="19"/>
  <c r="AT541" i="19"/>
  <c r="AP541" i="19"/>
  <c r="AT489" i="19"/>
  <c r="AP489" i="19"/>
  <c r="AT457" i="19"/>
  <c r="AP457" i="19"/>
  <c r="AT565" i="19"/>
  <c r="AP565" i="19"/>
  <c r="AT513" i="19"/>
  <c r="AP513" i="19"/>
  <c r="AT481" i="19"/>
  <c r="AP481" i="19"/>
  <c r="AT589" i="19"/>
  <c r="AP589" i="19"/>
  <c r="AT490" i="19"/>
  <c r="AP490" i="19"/>
  <c r="AT458" i="19"/>
  <c r="AP458" i="19"/>
  <c r="AT722" i="19"/>
  <c r="AP722" i="19"/>
  <c r="AT737" i="19"/>
  <c r="AP737" i="19"/>
  <c r="AT724" i="19"/>
  <c r="AP724" i="19"/>
  <c r="AT694" i="19"/>
  <c r="AP694" i="19"/>
  <c r="AT718" i="19"/>
  <c r="AP718" i="19"/>
  <c r="AT693" i="19"/>
  <c r="AP693" i="19"/>
  <c r="AT772" i="19"/>
  <c r="AP772" i="19"/>
  <c r="AT699" i="19"/>
  <c r="AP699" i="19"/>
  <c r="AT620" i="19"/>
  <c r="AP620" i="19"/>
  <c r="AT779" i="19"/>
  <c r="AP779" i="19"/>
  <c r="AT763" i="19"/>
  <c r="AP763" i="19"/>
  <c r="AT696" i="19"/>
  <c r="AP696" i="19"/>
  <c r="AT721" i="19"/>
  <c r="AP721" i="19"/>
  <c r="AT630" i="19"/>
  <c r="AP630" i="19"/>
  <c r="AT675" i="19"/>
  <c r="AP675" i="19"/>
  <c r="AT662" i="19"/>
  <c r="AP662" i="19"/>
  <c r="AP18" i="19"/>
  <c r="AT800" i="19"/>
  <c r="AP800" i="19"/>
  <c r="AT797" i="19"/>
  <c r="AP797" i="19"/>
  <c r="AT136" i="19"/>
  <c r="AP136" i="19"/>
  <c r="AT213" i="19"/>
  <c r="AP213" i="19"/>
  <c r="AT585" i="19"/>
  <c r="AP585" i="19"/>
  <c r="AT469" i="19"/>
  <c r="AP469" i="19"/>
  <c r="AT760" i="19"/>
  <c r="AP760" i="19"/>
  <c r="AT616" i="19"/>
  <c r="AP616" i="19"/>
  <c r="AT72" i="19"/>
  <c r="AP72" i="19"/>
  <c r="AP5" i="19"/>
  <c r="AT149" i="19"/>
  <c r="AP149" i="19"/>
  <c r="AT158" i="19"/>
  <c r="AP158" i="19"/>
  <c r="AT118" i="19"/>
  <c r="AP118" i="19"/>
  <c r="AP112" i="19"/>
  <c r="AP154" i="19"/>
  <c r="AT168" i="19"/>
  <c r="AP168" i="19"/>
  <c r="AT165" i="19"/>
  <c r="AP165" i="19"/>
  <c r="AT183" i="19"/>
  <c r="AP183" i="19"/>
  <c r="AT390" i="19"/>
  <c r="AP390" i="19"/>
  <c r="AT402" i="19"/>
  <c r="AP402" i="19"/>
  <c r="AT212" i="19"/>
  <c r="AP212" i="19"/>
  <c r="AT322" i="19"/>
  <c r="AP322" i="19"/>
  <c r="AT373" i="19"/>
  <c r="AP373" i="19"/>
  <c r="AT385" i="19"/>
  <c r="AP385" i="19"/>
  <c r="AT296" i="19"/>
  <c r="AP296" i="19"/>
  <c r="AT328" i="19"/>
  <c r="AP328" i="19"/>
  <c r="AT253" i="19"/>
  <c r="AP253" i="19"/>
  <c r="AT320" i="19"/>
  <c r="AP320" i="19"/>
  <c r="AP352" i="19"/>
  <c r="AT264" i="19"/>
  <c r="AP264" i="19"/>
  <c r="AT395" i="19"/>
  <c r="AP395" i="19"/>
  <c r="AT313" i="19"/>
  <c r="AP313" i="19"/>
  <c r="AT224" i="19"/>
  <c r="AP224" i="19"/>
  <c r="AT260" i="19"/>
  <c r="AP260" i="19"/>
  <c r="AT312" i="19"/>
  <c r="AP312" i="19"/>
  <c r="AT90" i="19"/>
  <c r="AP90" i="19"/>
  <c r="AT84" i="19"/>
  <c r="AP84" i="19"/>
  <c r="AT98" i="19"/>
  <c r="AP98" i="19"/>
  <c r="AT38" i="19"/>
  <c r="AP38" i="19"/>
  <c r="AT33" i="19"/>
  <c r="AP33" i="19"/>
  <c r="AT67" i="19"/>
  <c r="AP67" i="19"/>
  <c r="AT53" i="19"/>
  <c r="AP53" i="19"/>
  <c r="AT49" i="19"/>
  <c r="AP49" i="19"/>
  <c r="AT542" i="19"/>
  <c r="AP542" i="19"/>
  <c r="AT599" i="19"/>
  <c r="AP599" i="19"/>
  <c r="AT572" i="19"/>
  <c r="AP572" i="19"/>
  <c r="AT581" i="19"/>
  <c r="AP581" i="19"/>
  <c r="AT578" i="19"/>
  <c r="AP578" i="19"/>
  <c r="AT439" i="19"/>
  <c r="AP439" i="19"/>
  <c r="AT412" i="19"/>
  <c r="AP412" i="19"/>
  <c r="AT433" i="19"/>
  <c r="AP433" i="19"/>
  <c r="AP201" i="19"/>
  <c r="AT437" i="19"/>
  <c r="AP437" i="19"/>
  <c r="AT594" i="19"/>
  <c r="AP594" i="19"/>
  <c r="AT494" i="19"/>
  <c r="AP494" i="19"/>
  <c r="AT461" i="19"/>
  <c r="AP461" i="19"/>
  <c r="AT434" i="19"/>
  <c r="AP434" i="19"/>
  <c r="AT518" i="19"/>
  <c r="AP518" i="19"/>
  <c r="AT438" i="19"/>
  <c r="AP438" i="19"/>
  <c r="AT595" i="19"/>
  <c r="AP595" i="19"/>
  <c r="AT790" i="19"/>
  <c r="AP790" i="19"/>
  <c r="AT702" i="19"/>
  <c r="AP702" i="19"/>
  <c r="AT749" i="19"/>
  <c r="AP749" i="19"/>
  <c r="AT635" i="19"/>
  <c r="AP635" i="19"/>
  <c r="AT690" i="19"/>
  <c r="AP690" i="19"/>
  <c r="AT770" i="19"/>
  <c r="AP770" i="19"/>
  <c r="AT613" i="19"/>
  <c r="AP613" i="19"/>
  <c r="AT671" i="19"/>
  <c r="AP671" i="19"/>
  <c r="AT680" i="19"/>
  <c r="AP680" i="19"/>
  <c r="AT640" i="19"/>
  <c r="AP640" i="19"/>
  <c r="AT661" i="19"/>
  <c r="AP661" i="19"/>
  <c r="AT747" i="19"/>
  <c r="AP747" i="19"/>
  <c r="AT607" i="19"/>
  <c r="AP607" i="19"/>
  <c r="AT753" i="19"/>
  <c r="AP753" i="19"/>
  <c r="AT710" i="19"/>
  <c r="AP710" i="19"/>
  <c r="AT728" i="19"/>
  <c r="AP728" i="19"/>
  <c r="AT317" i="19"/>
  <c r="AP317" i="19"/>
  <c r="AT321" i="19"/>
  <c r="AP321" i="19"/>
  <c r="AT242" i="19"/>
  <c r="AP242" i="19"/>
  <c r="AT552" i="19"/>
  <c r="AP552" i="19"/>
  <c r="AT530" i="19"/>
  <c r="AP530" i="19"/>
  <c r="AT71" i="19"/>
  <c r="AP71" i="19"/>
  <c r="AP4" i="19"/>
  <c r="AT174" i="19"/>
  <c r="AP174" i="19"/>
  <c r="AT185" i="19"/>
  <c r="AP185" i="19"/>
  <c r="AT151" i="19"/>
  <c r="AP151" i="19"/>
  <c r="AT107" i="19"/>
  <c r="AP107" i="19"/>
  <c r="AT181" i="19"/>
  <c r="AP181" i="19"/>
  <c r="AT147" i="19"/>
  <c r="AP147" i="19"/>
  <c r="AP190" i="19"/>
  <c r="AT184" i="19"/>
  <c r="AP184" i="19"/>
  <c r="AT293" i="19"/>
  <c r="AP293" i="19"/>
  <c r="AT226" i="19"/>
  <c r="AP226" i="19"/>
  <c r="AT217" i="19"/>
  <c r="AP217" i="19"/>
  <c r="AP278" i="19"/>
  <c r="AP333" i="19"/>
  <c r="AT232" i="19"/>
  <c r="AP232" i="19"/>
  <c r="AT409" i="19"/>
  <c r="AP409" i="19"/>
  <c r="AT357" i="19"/>
  <c r="AP357" i="19"/>
  <c r="AT256" i="19"/>
  <c r="AP256" i="19"/>
  <c r="AT394" i="19"/>
  <c r="AP394" i="19"/>
  <c r="AT265" i="19"/>
  <c r="AP265" i="19"/>
  <c r="AT350" i="19"/>
  <c r="AP350" i="19"/>
  <c r="AT405" i="19"/>
  <c r="AP405" i="19"/>
  <c r="AT216" i="19"/>
  <c r="AP216" i="19"/>
  <c r="AT93" i="19"/>
  <c r="AP93" i="19"/>
  <c r="AT30" i="19"/>
  <c r="AP30" i="19"/>
  <c r="AP39" i="19"/>
  <c r="AP61" i="19"/>
  <c r="AT46" i="19"/>
  <c r="AP46" i="19"/>
  <c r="AT495" i="19"/>
  <c r="AP495" i="19"/>
  <c r="AT540" i="19"/>
  <c r="AP540" i="19"/>
  <c r="AT573" i="19"/>
  <c r="AP573" i="19"/>
  <c r="AT534" i="19"/>
  <c r="AP534" i="19"/>
  <c r="AT531" i="19"/>
  <c r="AP531" i="19"/>
  <c r="AT576" i="19"/>
  <c r="AP576" i="19"/>
  <c r="AT413" i="19"/>
  <c r="AP413" i="19"/>
  <c r="AT570" i="19"/>
  <c r="AP570" i="19"/>
  <c r="AT430" i="19"/>
  <c r="AP430" i="19"/>
  <c r="AT586" i="19"/>
  <c r="AP586" i="19"/>
  <c r="AT547" i="19"/>
  <c r="AP547" i="19"/>
  <c r="AT454" i="19"/>
  <c r="AP454" i="19"/>
  <c r="AT414" i="19"/>
  <c r="AP414" i="19"/>
  <c r="AT571" i="19"/>
  <c r="AP571" i="19"/>
  <c r="AT478" i="19"/>
  <c r="AP478" i="19"/>
  <c r="AT575" i="19"/>
  <c r="AP575" i="19"/>
  <c r="AT548" i="19"/>
  <c r="AP548" i="19"/>
  <c r="AT794" i="19"/>
  <c r="AP794" i="19"/>
  <c r="AT674" i="19"/>
  <c r="AP674" i="19"/>
  <c r="AT714" i="19"/>
  <c r="AP714" i="19"/>
  <c r="AT748" i="19"/>
  <c r="AP748" i="19"/>
  <c r="AT667" i="19"/>
  <c r="AP667" i="19"/>
  <c r="AT782" i="19"/>
  <c r="AP782" i="19"/>
  <c r="AT750" i="19"/>
  <c r="AP750" i="19"/>
  <c r="AT711" i="19"/>
  <c r="AP711" i="19"/>
  <c r="AT617" i="19"/>
  <c r="AP617" i="19"/>
  <c r="AT645" i="19"/>
  <c r="AP645" i="19"/>
  <c r="AT646" i="19"/>
  <c r="AP646" i="19"/>
  <c r="AT626" i="19"/>
  <c r="AP626" i="19"/>
  <c r="AT612" i="19"/>
  <c r="AP612" i="19"/>
  <c r="AT744" i="19"/>
  <c r="AP744" i="19"/>
  <c r="AT682" i="19"/>
  <c r="AP682" i="19"/>
  <c r="AT688" i="19"/>
  <c r="AP688" i="19"/>
  <c r="AT164" i="19"/>
  <c r="AP164" i="19"/>
  <c r="AT245" i="19"/>
  <c r="AP245" i="19"/>
  <c r="AT347" i="19"/>
  <c r="AP347" i="19"/>
  <c r="AT325" i="19"/>
  <c r="AP325" i="19"/>
  <c r="AT507" i="19"/>
  <c r="AP507" i="19"/>
  <c r="AT553" i="19"/>
  <c r="AP553" i="19"/>
  <c r="AT654" i="19"/>
  <c r="AP654" i="19"/>
  <c r="AT730" i="19"/>
  <c r="AP730" i="19"/>
  <c r="AT785" i="19"/>
  <c r="AP785" i="19"/>
  <c r="AT16" i="19"/>
  <c r="AP16" i="19"/>
  <c r="AT133" i="19"/>
  <c r="AP133" i="19"/>
  <c r="AT109" i="19"/>
  <c r="AP109" i="19"/>
  <c r="AT199" i="19"/>
  <c r="AP199" i="19"/>
  <c r="AT143" i="19"/>
  <c r="AP143" i="19"/>
  <c r="AT140" i="19"/>
  <c r="AP140" i="19"/>
  <c r="AT179" i="19"/>
  <c r="AP179" i="19"/>
  <c r="AP200" i="19"/>
  <c r="AT318" i="19"/>
  <c r="AP318" i="19"/>
  <c r="AT311" i="19"/>
  <c r="AP311" i="19"/>
  <c r="AT379" i="19"/>
  <c r="AP379" i="19"/>
  <c r="AT410" i="19"/>
  <c r="AP410" i="19"/>
  <c r="AT315" i="19"/>
  <c r="AP315" i="19"/>
  <c r="AT237" i="19"/>
  <c r="AP237" i="19"/>
  <c r="AT302" i="19"/>
  <c r="AP302" i="19"/>
  <c r="AT261" i="19"/>
  <c r="AP261" i="19"/>
  <c r="AT383" i="19"/>
  <c r="AP383" i="19"/>
  <c r="AT408" i="19"/>
  <c r="AP408" i="19"/>
  <c r="AT254" i="19"/>
  <c r="AP254" i="19"/>
  <c r="AT343" i="19"/>
  <c r="AP343" i="19"/>
  <c r="AT349" i="19"/>
  <c r="AP349" i="19"/>
  <c r="AT77" i="19"/>
  <c r="AP77" i="19"/>
  <c r="AT94" i="19"/>
  <c r="AP94" i="19"/>
  <c r="AT31" i="19"/>
  <c r="AP31" i="19"/>
  <c r="AT34" i="19"/>
  <c r="AP34" i="19"/>
  <c r="AT40" i="19"/>
  <c r="AP40" i="19"/>
  <c r="AT58" i="19"/>
  <c r="AP58" i="19"/>
  <c r="AT48" i="19"/>
  <c r="AP48" i="19"/>
  <c r="AT455" i="19"/>
  <c r="AP455" i="19"/>
  <c r="AT488" i="19"/>
  <c r="AP488" i="19"/>
  <c r="AT526" i="19"/>
  <c r="AP526" i="19"/>
  <c r="AT206" i="19"/>
  <c r="AP206" i="19"/>
  <c r="AT496" i="19"/>
  <c r="AP496" i="19"/>
  <c r="AT517" i="19"/>
  <c r="AP517" i="19"/>
  <c r="AT562" i="19"/>
  <c r="AP562" i="19"/>
  <c r="AT523" i="19"/>
  <c r="AP523" i="19"/>
  <c r="AT567" i="19"/>
  <c r="AP567" i="19"/>
  <c r="AT527" i="19"/>
  <c r="AP527" i="19"/>
  <c r="AT500" i="19"/>
  <c r="AP500" i="19"/>
  <c r="AT591" i="19"/>
  <c r="AP591" i="19"/>
  <c r="AT551" i="19"/>
  <c r="AP551" i="19"/>
  <c r="AT524" i="19"/>
  <c r="AP524" i="19"/>
  <c r="AT431" i="19"/>
  <c r="AP431" i="19"/>
  <c r="AT516" i="19"/>
  <c r="AP516" i="19"/>
  <c r="AT485" i="19"/>
  <c r="AP485" i="19"/>
  <c r="AT786" i="19"/>
  <c r="AP786" i="19"/>
  <c r="AT740" i="19"/>
  <c r="AP740" i="19"/>
  <c r="AT686" i="19"/>
  <c r="AP686" i="19"/>
  <c r="AT761" i="19"/>
  <c r="AP761" i="19"/>
  <c r="AT644" i="19"/>
  <c r="AP644" i="19"/>
  <c r="AT784" i="19"/>
  <c r="AP784" i="19"/>
  <c r="AT727" i="19"/>
  <c r="AP727" i="19"/>
  <c r="AT625" i="19"/>
  <c r="AP625" i="19"/>
  <c r="AT683" i="19"/>
  <c r="AP683" i="19"/>
  <c r="AT766" i="19"/>
  <c r="AP766" i="19"/>
  <c r="AT792" i="19"/>
  <c r="AP792" i="19"/>
  <c r="AT775" i="19"/>
  <c r="AP775" i="19"/>
  <c r="AT701" i="19"/>
  <c r="AP701" i="19"/>
  <c r="AT733" i="19"/>
  <c r="AP733" i="19"/>
  <c r="AT665" i="19"/>
  <c r="AP665" i="19"/>
  <c r="AT178" i="19"/>
  <c r="AP178" i="19"/>
  <c r="AT549" i="19"/>
  <c r="AP549" i="19"/>
  <c r="AT525" i="19"/>
  <c r="AP525" i="19"/>
  <c r="AT777" i="19"/>
  <c r="AP777" i="19"/>
  <c r="AT69" i="19"/>
  <c r="AP69" i="19"/>
  <c r="AP113" i="19"/>
  <c r="AT173" i="19"/>
  <c r="AP173" i="19"/>
  <c r="AP114" i="19"/>
  <c r="AT170" i="19"/>
  <c r="AP170" i="19"/>
  <c r="AT120" i="19"/>
  <c r="AP120" i="19"/>
  <c r="AP117" i="19"/>
  <c r="AT156" i="19"/>
  <c r="AP156" i="19"/>
  <c r="AT148" i="19"/>
  <c r="AP148" i="19"/>
  <c r="AT192" i="19"/>
  <c r="AP192" i="19"/>
  <c r="AP7" i="19"/>
  <c r="AT222" i="19"/>
  <c r="AP222" i="19"/>
  <c r="AP305" i="19"/>
  <c r="AT215" i="19"/>
  <c r="AP215" i="19"/>
  <c r="AT236" i="19"/>
  <c r="AP236" i="19"/>
  <c r="AT303" i="19"/>
  <c r="AP303" i="19"/>
  <c r="AT391" i="19"/>
  <c r="AP391" i="19"/>
  <c r="AT219" i="19"/>
  <c r="AP219" i="19"/>
  <c r="AP358" i="19"/>
  <c r="AT339" i="19"/>
  <c r="AP339" i="19"/>
  <c r="AT382" i="19"/>
  <c r="AP382" i="19"/>
  <c r="AT229" i="19"/>
  <c r="AP229" i="19"/>
  <c r="AT301" i="19"/>
  <c r="AP301" i="19"/>
  <c r="AP387" i="19"/>
  <c r="AP275" i="19"/>
  <c r="AT247" i="19"/>
  <c r="AP247" i="19"/>
  <c r="AT386" i="19"/>
  <c r="AP386" i="19"/>
  <c r="AT89" i="19"/>
  <c r="AP89" i="19"/>
  <c r="AT83" i="19"/>
  <c r="AP83" i="19"/>
  <c r="AT43" i="19"/>
  <c r="AP43" i="19"/>
  <c r="AT23" i="19"/>
  <c r="AP23" i="19"/>
  <c r="AT12" i="19"/>
  <c r="AP12" i="19"/>
  <c r="AP60" i="19"/>
  <c r="AT47" i="19"/>
  <c r="AP47" i="19"/>
  <c r="AT420" i="19"/>
  <c r="AP420" i="19"/>
  <c r="AT429" i="19"/>
  <c r="AP429" i="19"/>
  <c r="AT474" i="19"/>
  <c r="AP474" i="19"/>
  <c r="AT435" i="19"/>
  <c r="AP435" i="19"/>
  <c r="AT456" i="19"/>
  <c r="AP456" i="19"/>
  <c r="AT465" i="19"/>
  <c r="AP465" i="19"/>
  <c r="AT503" i="19"/>
  <c r="AP503" i="19"/>
  <c r="AT471" i="19"/>
  <c r="AP471" i="19"/>
  <c r="AT532" i="19"/>
  <c r="AP532" i="19"/>
  <c r="AT475" i="19"/>
  <c r="AP475" i="19"/>
  <c r="AT448" i="19"/>
  <c r="AP448" i="19"/>
  <c r="AT556" i="19"/>
  <c r="AP556" i="19"/>
  <c r="AT492" i="19"/>
  <c r="AP492" i="19"/>
  <c r="AT472" i="19"/>
  <c r="AP472" i="19"/>
  <c r="AT580" i="19"/>
  <c r="AP580" i="19"/>
  <c r="AT464" i="19"/>
  <c r="AP464" i="19"/>
  <c r="AT602" i="19"/>
  <c r="AP602" i="19"/>
  <c r="AT788" i="19"/>
  <c r="AP788" i="19"/>
  <c r="AT615" i="19"/>
  <c r="AP615" i="19"/>
  <c r="AT752" i="19"/>
  <c r="AP752" i="19"/>
  <c r="AT726" i="19"/>
  <c r="AP726" i="19"/>
  <c r="AT624" i="19"/>
  <c r="AP624" i="19"/>
  <c r="AT604" i="19"/>
  <c r="AP604" i="19"/>
  <c r="AT610" i="19"/>
  <c r="AP610" i="19"/>
  <c r="AT762" i="19"/>
  <c r="AP762" i="19"/>
  <c r="AT648" i="19"/>
  <c r="AP648" i="19"/>
  <c r="AT743" i="19"/>
  <c r="AP743" i="19"/>
  <c r="AT781" i="19"/>
  <c r="AP781" i="19"/>
  <c r="AT652" i="19"/>
  <c r="AP652" i="19"/>
  <c r="AT673" i="19"/>
  <c r="AP673" i="19"/>
  <c r="AT759" i="19"/>
  <c r="AP759" i="19"/>
  <c r="AT642" i="19"/>
  <c r="AP642" i="19"/>
  <c r="AT799" i="19"/>
  <c r="AP799" i="19"/>
  <c r="AT371" i="19"/>
  <c r="AP371" i="19"/>
  <c r="AT280" i="19"/>
  <c r="AP280" i="19"/>
  <c r="AT588" i="19"/>
  <c r="AP588" i="19"/>
  <c r="AT205" i="19"/>
  <c r="AP205" i="19"/>
  <c r="AT681" i="19"/>
  <c r="AP681" i="19"/>
  <c r="AT704" i="19"/>
  <c r="AP704" i="19"/>
  <c r="AT102" i="19"/>
  <c r="AP102" i="19"/>
  <c r="AT138" i="19"/>
  <c r="AP138" i="19"/>
  <c r="AT198" i="19"/>
  <c r="AP198" i="19"/>
  <c r="AT127" i="19"/>
  <c r="AP127" i="19"/>
  <c r="AT194" i="19"/>
  <c r="AP194" i="19"/>
  <c r="AT142" i="19"/>
  <c r="AP142" i="19"/>
  <c r="AT135" i="19"/>
  <c r="AP135" i="19"/>
  <c r="AT153" i="19"/>
  <c r="AP153" i="19"/>
  <c r="AP122" i="19"/>
  <c r="AP6" i="19"/>
  <c r="AP294" i="19"/>
  <c r="AT209" i="19"/>
  <c r="AP209" i="19"/>
  <c r="AT341" i="19"/>
  <c r="AP341" i="19"/>
  <c r="AT324" i="19"/>
  <c r="AP324" i="19"/>
  <c r="AT309" i="19"/>
  <c r="AP309" i="19"/>
  <c r="AT207" i="19"/>
  <c r="AP207" i="19"/>
  <c r="AT284" i="19"/>
  <c r="AP284" i="19"/>
  <c r="AT316" i="19"/>
  <c r="AP316" i="19"/>
  <c r="AT262" i="19"/>
  <c r="AP262" i="19"/>
  <c r="AT243" i="19"/>
  <c r="AP243" i="19"/>
  <c r="AT252" i="19"/>
  <c r="AP252" i="19"/>
  <c r="AT396" i="19"/>
  <c r="AP396" i="19"/>
  <c r="AT338" i="19"/>
  <c r="AP338" i="19"/>
  <c r="AT319" i="19"/>
  <c r="AP319" i="19"/>
  <c r="AP288" i="19"/>
  <c r="AT380" i="19"/>
  <c r="AP380" i="19"/>
  <c r="AT279" i="19"/>
  <c r="AP279" i="19"/>
  <c r="AT96" i="19"/>
  <c r="AP96" i="19"/>
  <c r="AT80" i="19"/>
  <c r="AP80" i="19"/>
  <c r="AT91" i="19"/>
  <c r="AP91" i="19"/>
  <c r="AT42" i="19"/>
  <c r="AP42" i="19"/>
  <c r="AT25" i="19"/>
  <c r="AP25" i="19"/>
  <c r="AT557" i="19"/>
  <c r="AP557" i="19"/>
  <c r="AT554" i="19"/>
  <c r="AP554" i="19"/>
  <c r="AT415" i="19"/>
  <c r="AP415" i="19"/>
  <c r="AT584" i="19"/>
  <c r="AP584" i="19"/>
  <c r="AT593" i="19"/>
  <c r="AP593" i="19"/>
  <c r="AT590" i="19"/>
  <c r="AP590" i="19"/>
  <c r="AT451" i="19"/>
  <c r="AP451" i="19"/>
  <c r="AT424" i="19"/>
  <c r="AP424" i="19"/>
  <c r="AT204" i="19"/>
  <c r="AP204" i="19"/>
  <c r="AT416" i="19"/>
  <c r="AP416" i="19"/>
  <c r="AT509" i="19"/>
  <c r="AP509" i="19"/>
  <c r="AT440" i="19"/>
  <c r="AP440" i="19"/>
  <c r="AT533" i="19"/>
  <c r="AP533" i="19"/>
  <c r="AT601" i="19"/>
  <c r="AP601" i="19"/>
  <c r="AT677" i="19"/>
  <c r="AP677" i="19"/>
  <c r="AT687" i="19"/>
  <c r="AP687" i="19"/>
  <c r="AT734" i="19"/>
  <c r="AP734" i="19"/>
  <c r="AT609" i="19"/>
  <c r="AP609" i="19"/>
  <c r="AT746" i="19"/>
  <c r="AP746" i="19"/>
  <c r="AT703" i="19"/>
  <c r="AP703" i="19"/>
  <c r="AT647" i="19"/>
  <c r="AP647" i="19"/>
  <c r="AT729" i="19"/>
  <c r="AP729" i="19"/>
  <c r="AT639" i="19"/>
  <c r="AP639" i="19"/>
  <c r="AT791" i="19"/>
  <c r="AP791" i="19"/>
  <c r="AT739" i="19"/>
  <c r="AP739" i="19"/>
  <c r="AT637" i="19"/>
  <c r="AP637" i="19"/>
  <c r="AT708" i="19"/>
  <c r="AP708" i="19"/>
  <c r="AT629" i="19"/>
  <c r="AP629" i="19"/>
  <c r="AT663" i="19"/>
  <c r="AP663" i="19"/>
  <c r="AT658" i="19"/>
  <c r="AP658" i="19"/>
  <c r="AT638" i="19"/>
  <c r="AP638" i="19"/>
  <c r="AT672" i="19"/>
  <c r="AP672" i="19"/>
  <c r="AT619" i="19"/>
  <c r="AP619" i="19"/>
  <c r="AT13" i="19"/>
  <c r="AP13" i="19"/>
  <c r="AT796" i="19"/>
  <c r="AP796" i="19"/>
  <c r="P123" i="3"/>
  <c r="Q31" i="46"/>
  <c r="AD31" i="46"/>
  <c r="R31" i="46"/>
  <c r="AE31" i="46"/>
  <c r="S31" i="46"/>
  <c r="AG31" i="46"/>
  <c r="T31" i="46"/>
  <c r="AH31" i="46"/>
  <c r="U31" i="46"/>
  <c r="W31" i="46"/>
  <c r="AC31" i="46"/>
  <c r="X31" i="46"/>
  <c r="Y31" i="46"/>
  <c r="P31" i="46"/>
  <c r="Z31" i="46"/>
  <c r="AA31" i="46"/>
  <c r="O31" i="46"/>
  <c r="AB31" i="46"/>
  <c r="Z12" i="46"/>
  <c r="R134" i="75" s="1"/>
  <c r="AA12" i="46"/>
  <c r="S134" i="75" s="1"/>
  <c r="O12" i="46"/>
  <c r="D133" i="75" s="1"/>
  <c r="AB12" i="46"/>
  <c r="P12" i="46"/>
  <c r="R133" i="75" s="1"/>
  <c r="AC12" i="46"/>
  <c r="Q12" i="46"/>
  <c r="S133" i="75" s="1"/>
  <c r="AD12" i="46"/>
  <c r="R12" i="46"/>
  <c r="AE12" i="46"/>
  <c r="S12" i="46"/>
  <c r="AG12" i="46"/>
  <c r="T12" i="46"/>
  <c r="AH12" i="46"/>
  <c r="U12" i="46"/>
  <c r="Y12" i="46"/>
  <c r="D134" i="75" s="1"/>
  <c r="W12" i="46"/>
  <c r="X12" i="46"/>
  <c r="U44" i="46"/>
  <c r="W44" i="46"/>
  <c r="X44" i="46"/>
  <c r="Y44" i="46"/>
  <c r="Z44" i="46"/>
  <c r="AA44" i="46"/>
  <c r="O44" i="46"/>
  <c r="AB44" i="46"/>
  <c r="AH44" i="46"/>
  <c r="P44" i="46"/>
  <c r="AC44" i="46"/>
  <c r="Q44" i="46"/>
  <c r="AD44" i="46"/>
  <c r="R44" i="46"/>
  <c r="AE44" i="46"/>
  <c r="T44" i="46"/>
  <c r="S44" i="46"/>
  <c r="AG44" i="46"/>
  <c r="Q28" i="46"/>
  <c r="S78" i="75" s="1"/>
  <c r="AD28" i="46"/>
  <c r="R28" i="46"/>
  <c r="AE28" i="46"/>
  <c r="S28" i="46"/>
  <c r="AG28" i="46"/>
  <c r="T28" i="46"/>
  <c r="AH28" i="46"/>
  <c r="AC28" i="46"/>
  <c r="U28" i="46"/>
  <c r="W28" i="46"/>
  <c r="X28" i="46"/>
  <c r="P28" i="46"/>
  <c r="R78" i="75" s="1"/>
  <c r="Y28" i="46"/>
  <c r="Z28" i="46"/>
  <c r="AA28" i="46"/>
  <c r="O28" i="46"/>
  <c r="D78" i="75" s="1"/>
  <c r="AB28" i="46"/>
  <c r="P122" i="3"/>
  <c r="P121" i="3"/>
  <c r="P120" i="3"/>
  <c r="P119" i="3"/>
  <c r="AT82" i="19"/>
  <c r="O36" i="59"/>
  <c r="Y36" i="59"/>
  <c r="AT79" i="19"/>
  <c r="AB43" i="59"/>
  <c r="R43" i="59"/>
  <c r="AT163" i="19"/>
  <c r="R19" i="59"/>
  <c r="AB19" i="59"/>
  <c r="AT344" i="19"/>
  <c r="S5" i="59"/>
  <c r="AC5" i="59"/>
  <c r="AB59" i="56"/>
  <c r="P118" i="3"/>
  <c r="P115" i="3"/>
  <c r="P117" i="3"/>
  <c r="P116" i="3"/>
  <c r="P114" i="3"/>
  <c r="P113" i="3"/>
  <c r="AT155" i="19"/>
  <c r="P16" i="59"/>
  <c r="Z16" i="59"/>
  <c r="AT154" i="19"/>
  <c r="O20" i="59"/>
  <c r="Y20" i="59"/>
  <c r="AT336" i="19"/>
  <c r="AA14" i="59"/>
  <c r="Q14" i="59"/>
  <c r="AT333" i="19"/>
  <c r="L165" i="56"/>
  <c r="K9" i="75" s="1"/>
  <c r="O165" i="56"/>
  <c r="N9" i="75" s="1"/>
  <c r="M165" i="56"/>
  <c r="L9" i="75" s="1"/>
  <c r="N165" i="56"/>
  <c r="M9" i="75" s="1"/>
  <c r="G112" i="56"/>
  <c r="AB112" i="56"/>
  <c r="K112" i="56"/>
  <c r="Q112" i="56"/>
  <c r="I112" i="56"/>
  <c r="AL112" i="56" s="1" a="1"/>
  <c r="AL112" i="56" s="1"/>
  <c r="M112" i="56"/>
  <c r="L8" i="75" s="1"/>
  <c r="L112" i="56"/>
  <c r="K8" i="75" s="1"/>
  <c r="R112" i="56"/>
  <c r="AB165" i="56"/>
  <c r="S112" i="56"/>
  <c r="D165" i="56"/>
  <c r="N112" i="56"/>
  <c r="M8" i="75" s="1"/>
  <c r="O112" i="56"/>
  <c r="N8" i="75" s="1"/>
  <c r="J112" i="56"/>
  <c r="I8" i="75" s="1"/>
  <c r="P112" i="56"/>
  <c r="H112" i="56"/>
  <c r="AT61" i="19"/>
  <c r="AB47" i="59"/>
  <c r="R47" i="59"/>
  <c r="AT60" i="19"/>
  <c r="Q36" i="59"/>
  <c r="AA36" i="59"/>
  <c r="AT636" i="19"/>
  <c r="N209" i="56"/>
  <c r="M184" i="75" s="1"/>
  <c r="O209" i="56"/>
  <c r="N184" i="75" s="1"/>
  <c r="L209" i="56"/>
  <c r="K184" i="75" s="1"/>
  <c r="M209" i="56"/>
  <c r="L184" i="75" s="1"/>
  <c r="AT366" i="19"/>
  <c r="L186" i="56"/>
  <c r="K94" i="75" s="1"/>
  <c r="O186" i="56"/>
  <c r="N94" i="75" s="1"/>
  <c r="N186" i="56"/>
  <c r="M94" i="75" s="1"/>
  <c r="M186" i="56"/>
  <c r="L94" i="75" s="1"/>
  <c r="AT8" i="19"/>
  <c r="N176" i="56"/>
  <c r="M54" i="75" s="1"/>
  <c r="M176" i="56"/>
  <c r="L54" i="75" s="1"/>
  <c r="L176" i="56"/>
  <c r="K54" i="75" s="1"/>
  <c r="O176" i="56"/>
  <c r="N54" i="75" s="1"/>
  <c r="AT223" i="19"/>
  <c r="N200" i="56"/>
  <c r="M149" i="75" s="1"/>
  <c r="M200" i="56"/>
  <c r="L149" i="75" s="1"/>
  <c r="L200" i="56"/>
  <c r="K149" i="75" s="1"/>
  <c r="O200" i="56"/>
  <c r="N149" i="75" s="1"/>
  <c r="O213" i="56"/>
  <c r="N213" i="56"/>
  <c r="L213" i="56"/>
  <c r="M213" i="56"/>
  <c r="AT353" i="19"/>
  <c r="O168" i="56"/>
  <c r="N168" i="56"/>
  <c r="M168" i="56"/>
  <c r="L168" i="56"/>
  <c r="O195" i="56"/>
  <c r="N129" i="75" s="1"/>
  <c r="N195" i="56"/>
  <c r="M129" i="75" s="1"/>
  <c r="M195" i="56"/>
  <c r="L129" i="75" s="1"/>
  <c r="L195" i="56"/>
  <c r="K129" i="75" s="1"/>
  <c r="AT3" i="19"/>
  <c r="M199" i="56"/>
  <c r="L144" i="75" s="1"/>
  <c r="L199" i="56"/>
  <c r="K144" i="75" s="1"/>
  <c r="O199" i="56"/>
  <c r="N144" i="75" s="1"/>
  <c r="N199" i="56"/>
  <c r="M144" i="75" s="1"/>
  <c r="AT186" i="19"/>
  <c r="L198" i="56"/>
  <c r="O198" i="56"/>
  <c r="N198" i="56"/>
  <c r="M198" i="56"/>
  <c r="AT115" i="19"/>
  <c r="M202" i="56"/>
  <c r="L159" i="75" s="1"/>
  <c r="O202" i="56"/>
  <c r="N159" i="75" s="1"/>
  <c r="N202" i="56"/>
  <c r="M159" i="75" s="1"/>
  <c r="L202" i="56"/>
  <c r="K159" i="75" s="1"/>
  <c r="AT269" i="19"/>
  <c r="O184" i="56"/>
  <c r="N84" i="75" s="1"/>
  <c r="N184" i="56"/>
  <c r="M84" i="75" s="1"/>
  <c r="M184" i="56"/>
  <c r="L84" i="75" s="1"/>
  <c r="L184" i="56"/>
  <c r="K84" i="75" s="1"/>
  <c r="O207" i="56"/>
  <c r="N179" i="75" s="1"/>
  <c r="N207" i="56"/>
  <c r="M179" i="75" s="1"/>
  <c r="M207" i="56"/>
  <c r="L179" i="75" s="1"/>
  <c r="L207" i="56"/>
  <c r="K179" i="75" s="1"/>
  <c r="M211" i="56"/>
  <c r="L194" i="75" s="1"/>
  <c r="L211" i="56"/>
  <c r="K194" i="75" s="1"/>
  <c r="O211" i="56"/>
  <c r="N194" i="75" s="1"/>
  <c r="N211" i="56"/>
  <c r="M194" i="75" s="1"/>
  <c r="AT267" i="19"/>
  <c r="O167" i="56"/>
  <c r="N19" i="75" s="1"/>
  <c r="N167" i="56"/>
  <c r="M19" i="75" s="1"/>
  <c r="M167" i="56"/>
  <c r="L19" i="75" s="1"/>
  <c r="L167" i="56"/>
  <c r="K19" i="75" s="1"/>
  <c r="AT28" i="19"/>
  <c r="O192" i="56"/>
  <c r="N119" i="75" s="1"/>
  <c r="N192" i="56"/>
  <c r="M119" i="75" s="1"/>
  <c r="M192" i="56"/>
  <c r="L119" i="75" s="1"/>
  <c r="L192" i="56"/>
  <c r="K119" i="75" s="1"/>
  <c r="AT282" i="19"/>
  <c r="O193" i="56"/>
  <c r="N193" i="56"/>
  <c r="M193" i="56"/>
  <c r="L193" i="56"/>
  <c r="AT359" i="19"/>
  <c r="O204" i="56"/>
  <c r="N164" i="75" s="1"/>
  <c r="N204" i="56"/>
  <c r="M164" i="75" s="1"/>
  <c r="M204" i="56"/>
  <c r="L164" i="75" s="1"/>
  <c r="L204" i="56"/>
  <c r="K164" i="75" s="1"/>
  <c r="AT351" i="19"/>
  <c r="L174" i="56"/>
  <c r="K44" i="75" s="1"/>
  <c r="O174" i="56"/>
  <c r="N44" i="75" s="1"/>
  <c r="N174" i="56"/>
  <c r="M44" i="75" s="1"/>
  <c r="M174" i="56"/>
  <c r="L44" i="75" s="1"/>
  <c r="AT15" i="19"/>
  <c r="O181" i="56"/>
  <c r="N74" i="75" s="1"/>
  <c r="N181" i="56"/>
  <c r="M74" i="75" s="1"/>
  <c r="M181" i="56"/>
  <c r="L74" i="75" s="1"/>
  <c r="L181" i="56"/>
  <c r="K74" i="75" s="1"/>
  <c r="AT111" i="19"/>
  <c r="O183" i="56"/>
  <c r="N183" i="56"/>
  <c r="M183" i="56"/>
  <c r="L183" i="56"/>
  <c r="AT389" i="19"/>
  <c r="M175" i="56"/>
  <c r="L49" i="75" s="1"/>
  <c r="L175" i="56"/>
  <c r="K49" i="75" s="1"/>
  <c r="O175" i="56"/>
  <c r="N49" i="75" s="1"/>
  <c r="N175" i="56"/>
  <c r="M49" i="75" s="1"/>
  <c r="AT231" i="19"/>
  <c r="O177" i="56"/>
  <c r="N59" i="75" s="1"/>
  <c r="N177" i="56"/>
  <c r="M59" i="75" s="1"/>
  <c r="L177" i="56"/>
  <c r="K59" i="75" s="1"/>
  <c r="M177" i="56"/>
  <c r="L59" i="75" s="1"/>
  <c r="O190" i="56"/>
  <c r="N109" i="75" s="1"/>
  <c r="M190" i="56"/>
  <c r="L109" i="75" s="1"/>
  <c r="N190" i="56"/>
  <c r="M109" i="75" s="1"/>
  <c r="L190" i="56"/>
  <c r="K109" i="75" s="1"/>
  <c r="N212" i="56"/>
  <c r="M199" i="75" s="1"/>
  <c r="M212" i="56"/>
  <c r="L199" i="75" s="1"/>
  <c r="L212" i="56"/>
  <c r="K199" i="75" s="1"/>
  <c r="O212" i="56"/>
  <c r="N199" i="75" s="1"/>
  <c r="AT5" i="19"/>
  <c r="L210" i="56"/>
  <c r="K189" i="75" s="1"/>
  <c r="O210" i="56"/>
  <c r="N189" i="75" s="1"/>
  <c r="N210" i="56"/>
  <c r="M189" i="75" s="1"/>
  <c r="M210" i="56"/>
  <c r="L189" i="75" s="1"/>
  <c r="AT112" i="19"/>
  <c r="O189" i="56"/>
  <c r="N104" i="75" s="1"/>
  <c r="L189" i="56"/>
  <c r="K104" i="75" s="1"/>
  <c r="N189" i="56"/>
  <c r="M104" i="75" s="1"/>
  <c r="M189" i="56"/>
  <c r="L104" i="75" s="1"/>
  <c r="AT352" i="19"/>
  <c r="O205" i="56"/>
  <c r="N169" i="75" s="1"/>
  <c r="N205" i="56"/>
  <c r="M169" i="75" s="1"/>
  <c r="M205" i="56"/>
  <c r="L169" i="75" s="1"/>
  <c r="L205" i="56"/>
  <c r="K169" i="75" s="1"/>
  <c r="AT201" i="19"/>
  <c r="O197" i="56"/>
  <c r="N139" i="75" s="1"/>
  <c r="N197" i="56"/>
  <c r="M139" i="75" s="1"/>
  <c r="M197" i="56"/>
  <c r="L139" i="75" s="1"/>
  <c r="L197" i="56"/>
  <c r="K139" i="75" s="1"/>
  <c r="AT121" i="19"/>
  <c r="O185" i="56"/>
  <c r="N89" i="75" s="1"/>
  <c r="N185" i="56"/>
  <c r="M89" i="75" s="1"/>
  <c r="M185" i="56"/>
  <c r="L89" i="75" s="1"/>
  <c r="L185" i="56"/>
  <c r="K89" i="75" s="1"/>
  <c r="AT4" i="19"/>
  <c r="O196" i="56"/>
  <c r="N134" i="75" s="1"/>
  <c r="N196" i="56"/>
  <c r="M134" i="75" s="1"/>
  <c r="M196" i="56"/>
  <c r="L134" i="75" s="1"/>
  <c r="L196" i="56"/>
  <c r="K134" i="75" s="1"/>
  <c r="AT278" i="19"/>
  <c r="O191" i="56"/>
  <c r="N114" i="75" s="1"/>
  <c r="N191" i="56"/>
  <c r="M114" i="75" s="1"/>
  <c r="M191" i="56"/>
  <c r="L114" i="75" s="1"/>
  <c r="L191" i="56"/>
  <c r="K114" i="75" s="1"/>
  <c r="O194" i="56"/>
  <c r="N124" i="75" s="1"/>
  <c r="N194" i="56"/>
  <c r="M124" i="75" s="1"/>
  <c r="M194" i="56"/>
  <c r="L124" i="75" s="1"/>
  <c r="L194" i="56"/>
  <c r="K124" i="75" s="1"/>
  <c r="O201" i="56"/>
  <c r="N154" i="75" s="1"/>
  <c r="N201" i="56"/>
  <c r="M154" i="75" s="1"/>
  <c r="M201" i="56"/>
  <c r="L154" i="75" s="1"/>
  <c r="L201" i="56"/>
  <c r="K154" i="75" s="1"/>
  <c r="O208" i="56"/>
  <c r="N208" i="56"/>
  <c r="M208" i="56"/>
  <c r="L208" i="56"/>
  <c r="AT114" i="19"/>
  <c r="N179" i="56"/>
  <c r="M64" i="75" s="1"/>
  <c r="O179" i="56"/>
  <c r="N64" i="75" s="1"/>
  <c r="M179" i="56"/>
  <c r="L64" i="75" s="1"/>
  <c r="L179" i="56"/>
  <c r="K64" i="75" s="1"/>
  <c r="AT117" i="19"/>
  <c r="O182" i="56"/>
  <c r="N79" i="75" s="1"/>
  <c r="N182" i="56"/>
  <c r="M79" i="75" s="1"/>
  <c r="M182" i="56"/>
  <c r="L79" i="75" s="1"/>
  <c r="L182" i="56"/>
  <c r="K79" i="75" s="1"/>
  <c r="N203" i="56"/>
  <c r="O203" i="56"/>
  <c r="M203" i="56"/>
  <c r="L203" i="56"/>
  <c r="AT358" i="19"/>
  <c r="O169" i="56"/>
  <c r="N24" i="75" s="1"/>
  <c r="N169" i="56"/>
  <c r="M24" i="75" s="1"/>
  <c r="M169" i="56"/>
  <c r="L24" i="75" s="1"/>
  <c r="L169" i="56"/>
  <c r="K24" i="75" s="1"/>
  <c r="AT387" i="19"/>
  <c r="N166" i="56"/>
  <c r="M14" i="75" s="1"/>
  <c r="O166" i="56"/>
  <c r="N14" i="75" s="1"/>
  <c r="M166" i="56"/>
  <c r="L14" i="75" s="1"/>
  <c r="L166" i="56"/>
  <c r="K14" i="75" s="1"/>
  <c r="AT275" i="19"/>
  <c r="O173" i="56"/>
  <c r="N173" i="56"/>
  <c r="M173" i="56"/>
  <c r="L173" i="56"/>
  <c r="O206" i="56"/>
  <c r="N174" i="75" s="1"/>
  <c r="N206" i="56"/>
  <c r="M174" i="75" s="1"/>
  <c r="M206" i="56"/>
  <c r="L174" i="75" s="1"/>
  <c r="L206" i="56"/>
  <c r="K174" i="75" s="1"/>
  <c r="AT388" i="19"/>
  <c r="O172" i="56"/>
  <c r="N39" i="75" s="1"/>
  <c r="N172" i="56"/>
  <c r="M39" i="75" s="1"/>
  <c r="M172" i="56"/>
  <c r="L39" i="75" s="1"/>
  <c r="L172" i="56"/>
  <c r="K39" i="75" s="1"/>
  <c r="AS21" i="19"/>
  <c r="AT21" i="19"/>
  <c r="AS281" i="19"/>
  <c r="AT281" i="19"/>
  <c r="AS220" i="19"/>
  <c r="AT220" i="19"/>
  <c r="AS289" i="19"/>
  <c r="AT289" i="19"/>
  <c r="AS273" i="19"/>
  <c r="AT273" i="19"/>
  <c r="AS17" i="19"/>
  <c r="AT17" i="19"/>
  <c r="AS116" i="19"/>
  <c r="AT116" i="19"/>
  <c r="AS230" i="19"/>
  <c r="AT230" i="19"/>
  <c r="AS287" i="19"/>
  <c r="AT287" i="19"/>
  <c r="AS208" i="19"/>
  <c r="AT208" i="19"/>
  <c r="AS370" i="19"/>
  <c r="AT370" i="19"/>
  <c r="AS211" i="19"/>
  <c r="AT211" i="19"/>
  <c r="AS274" i="19"/>
  <c r="AT274" i="19"/>
  <c r="AS11" i="19"/>
  <c r="AT11" i="19"/>
  <c r="AS27" i="19"/>
  <c r="AT27" i="19"/>
  <c r="AS54" i="19"/>
  <c r="AT54" i="19"/>
  <c r="AS9" i="19"/>
  <c r="AT9" i="19"/>
  <c r="AS290" i="19"/>
  <c r="AT290" i="19"/>
  <c r="AS41" i="19"/>
  <c r="AT41" i="19"/>
  <c r="AS50" i="19"/>
  <c r="AT50" i="19"/>
  <c r="AS268" i="19"/>
  <c r="AT268" i="19"/>
  <c r="AS276" i="19"/>
  <c r="AT276" i="19"/>
  <c r="AS272" i="19"/>
  <c r="AT272" i="19"/>
  <c r="AS24" i="19"/>
  <c r="AT24" i="19"/>
  <c r="AS18" i="19"/>
  <c r="AT18" i="19"/>
  <c r="AS190" i="19"/>
  <c r="AT190" i="19"/>
  <c r="AS39" i="19"/>
  <c r="AT39" i="19"/>
  <c r="AS200" i="19"/>
  <c r="AT200" i="19"/>
  <c r="AS286" i="19"/>
  <c r="AT286" i="19"/>
  <c r="AS113" i="19"/>
  <c r="AT113" i="19"/>
  <c r="AS7" i="19"/>
  <c r="AT7" i="19"/>
  <c r="AS305" i="19"/>
  <c r="AT305" i="19"/>
  <c r="AS122" i="19"/>
  <c r="AT122" i="19"/>
  <c r="AS6" i="19"/>
  <c r="AT6" i="19"/>
  <c r="AS294" i="19"/>
  <c r="AT294" i="19"/>
  <c r="AS288" i="19"/>
  <c r="AT288" i="19"/>
  <c r="AS36" i="19"/>
  <c r="AT36" i="19"/>
  <c r="AS3" i="19"/>
  <c r="AR137" i="19"/>
  <c r="AS137" i="19"/>
  <c r="AR164" i="19"/>
  <c r="AS164" i="19"/>
  <c r="AR187" i="19"/>
  <c r="AS187" i="19"/>
  <c r="AR121" i="19"/>
  <c r="AS121" i="19"/>
  <c r="AR136" i="19"/>
  <c r="AS136" i="19"/>
  <c r="AR178" i="19"/>
  <c r="AS178" i="19"/>
  <c r="AR171" i="19"/>
  <c r="AS171" i="19"/>
  <c r="AR8" i="19"/>
  <c r="AS8" i="19"/>
  <c r="AR330" i="19"/>
  <c r="AS330" i="19"/>
  <c r="AR317" i="19"/>
  <c r="AS317" i="19"/>
  <c r="AR245" i="19"/>
  <c r="AS245" i="19"/>
  <c r="AR228" i="19"/>
  <c r="AS228" i="19"/>
  <c r="AR213" i="19"/>
  <c r="AS213" i="19"/>
  <c r="AR304" i="19"/>
  <c r="AS304" i="19"/>
  <c r="AR321" i="19"/>
  <c r="AS321" i="19"/>
  <c r="AR347" i="19"/>
  <c r="AS347" i="19"/>
  <c r="AR308" i="19"/>
  <c r="AS308" i="19"/>
  <c r="AR340" i="19"/>
  <c r="AS340" i="19"/>
  <c r="AR371" i="19"/>
  <c r="AS371" i="19"/>
  <c r="AR242" i="19"/>
  <c r="AS242" i="19"/>
  <c r="AR223" i="19"/>
  <c r="AS223" i="19"/>
  <c r="AR234" i="19"/>
  <c r="AS234" i="19"/>
  <c r="AR325" i="19"/>
  <c r="AS325" i="19"/>
  <c r="AR355" i="19"/>
  <c r="AS355" i="19"/>
  <c r="AR280" i="19"/>
  <c r="AS280" i="19"/>
  <c r="AR75" i="19"/>
  <c r="AS75" i="19"/>
  <c r="AR549" i="19"/>
  <c r="AS549" i="19"/>
  <c r="AR510" i="19"/>
  <c r="AS510" i="19"/>
  <c r="AR507" i="19"/>
  <c r="AS507" i="19"/>
  <c r="AR552" i="19"/>
  <c r="AS552" i="19"/>
  <c r="AR585" i="19"/>
  <c r="AS585" i="19"/>
  <c r="AR546" i="19"/>
  <c r="AS546" i="19"/>
  <c r="AR543" i="19"/>
  <c r="AS543" i="19"/>
  <c r="AR588" i="19"/>
  <c r="AS588" i="19"/>
  <c r="AR445" i="19"/>
  <c r="AS445" i="19"/>
  <c r="AR553" i="19"/>
  <c r="AS553" i="19"/>
  <c r="AR501" i="19"/>
  <c r="AS501" i="19"/>
  <c r="AR469" i="19"/>
  <c r="AS469" i="19"/>
  <c r="AR577" i="19"/>
  <c r="AS577" i="19"/>
  <c r="AR525" i="19"/>
  <c r="AS525" i="19"/>
  <c r="AR205" i="19"/>
  <c r="AS205" i="19"/>
  <c r="AR530" i="19"/>
  <c r="AS530" i="19"/>
  <c r="AR654" i="19"/>
  <c r="AS654" i="19"/>
  <c r="AR689" i="19"/>
  <c r="AS689" i="19"/>
  <c r="AR681" i="19"/>
  <c r="AS681" i="19"/>
  <c r="AR778" i="19"/>
  <c r="AS778" i="19"/>
  <c r="AR764" i="19"/>
  <c r="AS764" i="19"/>
  <c r="AR760" i="19"/>
  <c r="AS760" i="19"/>
  <c r="AR730" i="19"/>
  <c r="AS730" i="19"/>
  <c r="AR777" i="19"/>
  <c r="AS777" i="19"/>
  <c r="AR616" i="19"/>
  <c r="AS616" i="19"/>
  <c r="AR774" i="19"/>
  <c r="AS774" i="19"/>
  <c r="AR692" i="19"/>
  <c r="AS692" i="19"/>
  <c r="AR606" i="19"/>
  <c r="AS606" i="19"/>
  <c r="AR741" i="19"/>
  <c r="AS741" i="19"/>
  <c r="AR785" i="19"/>
  <c r="AS785" i="19"/>
  <c r="AR704" i="19"/>
  <c r="AS704" i="19"/>
  <c r="AR713" i="19"/>
  <c r="AS713" i="19"/>
  <c r="AR756" i="19"/>
  <c r="AS756" i="19"/>
  <c r="AR246" i="19"/>
  <c r="AS246" i="19"/>
  <c r="AR263" i="19"/>
  <c r="AS263" i="19"/>
  <c r="AR384" i="19"/>
  <c r="AS384" i="19"/>
  <c r="AR326" i="19"/>
  <c r="AS326" i="19"/>
  <c r="AR375" i="19"/>
  <c r="AS375" i="19"/>
  <c r="AR356" i="19"/>
  <c r="AS356" i="19"/>
  <c r="AR362" i="19"/>
  <c r="AS362" i="19"/>
  <c r="AR298" i="19"/>
  <c r="AS298" i="19"/>
  <c r="AR271" i="19"/>
  <c r="AS271" i="19"/>
  <c r="AR76" i="19"/>
  <c r="AS76" i="19"/>
  <c r="AR92" i="19"/>
  <c r="AS92" i="19"/>
  <c r="AR85" i="19"/>
  <c r="AS85" i="19"/>
  <c r="AR29" i="19"/>
  <c r="AS29" i="19"/>
  <c r="AR59" i="19"/>
  <c r="AS59" i="19"/>
  <c r="AR45" i="19"/>
  <c r="AS45" i="19"/>
  <c r="AR502" i="19"/>
  <c r="AS502" i="19"/>
  <c r="AR470" i="19"/>
  <c r="AS470" i="19"/>
  <c r="AR467" i="19"/>
  <c r="AS467" i="19"/>
  <c r="AR493" i="19"/>
  <c r="AS493" i="19"/>
  <c r="AR538" i="19"/>
  <c r="AS538" i="19"/>
  <c r="AR499" i="19"/>
  <c r="AS499" i="19"/>
  <c r="AR508" i="19"/>
  <c r="AS508" i="19"/>
  <c r="AR529" i="19"/>
  <c r="AS529" i="19"/>
  <c r="AR203" i="19"/>
  <c r="AS203" i="19"/>
  <c r="AR422" i="19"/>
  <c r="AS422" i="19"/>
  <c r="AR473" i="19"/>
  <c r="AS473" i="19"/>
  <c r="AR666" i="19"/>
  <c r="AS666" i="19"/>
  <c r="AR783" i="19"/>
  <c r="AS783" i="19"/>
  <c r="AR627" i="19"/>
  <c r="AS627" i="19"/>
  <c r="AR773" i="19"/>
  <c r="AS773" i="19"/>
  <c r="AR707" i="19"/>
  <c r="AS707" i="19"/>
  <c r="AR765" i="19"/>
  <c r="AS765" i="19"/>
  <c r="AR633" i="19"/>
  <c r="AS633" i="19"/>
  <c r="AR622" i="19"/>
  <c r="AS622" i="19"/>
  <c r="AR751" i="19"/>
  <c r="AS751" i="19"/>
  <c r="AR723" i="19"/>
  <c r="AS723" i="19"/>
  <c r="AR755" i="19"/>
  <c r="AS755" i="19"/>
  <c r="AR787" i="19"/>
  <c r="AS787" i="19"/>
  <c r="AR664" i="19"/>
  <c r="AS664" i="19"/>
  <c r="AR685" i="19"/>
  <c r="AS685" i="19"/>
  <c r="AR745" i="19"/>
  <c r="AS745" i="19"/>
  <c r="AR19" i="19"/>
  <c r="AS19" i="19"/>
  <c r="AR162" i="19"/>
  <c r="AS162" i="19"/>
  <c r="AR161" i="19"/>
  <c r="AS161" i="19"/>
  <c r="AR197" i="19"/>
  <c r="AS197" i="19"/>
  <c r="AR145" i="19"/>
  <c r="AS145" i="19"/>
  <c r="AR106" i="19"/>
  <c r="AS106" i="19"/>
  <c r="AR130" i="19"/>
  <c r="AS130" i="19"/>
  <c r="AR144" i="19"/>
  <c r="AS144" i="19"/>
  <c r="AR180" i="19"/>
  <c r="AS180" i="19"/>
  <c r="AR353" i="19"/>
  <c r="AS353" i="19"/>
  <c r="AR210" i="19"/>
  <c r="AS210" i="19"/>
  <c r="AR342" i="19"/>
  <c r="AS342" i="19"/>
  <c r="AR233" i="19"/>
  <c r="AS233" i="19"/>
  <c r="AR398" i="19"/>
  <c r="AS398" i="19"/>
  <c r="AR238" i="19"/>
  <c r="AS238" i="19"/>
  <c r="AR346" i="19"/>
  <c r="AS346" i="19"/>
  <c r="AR360" i="19"/>
  <c r="AS360" i="19"/>
  <c r="AR249" i="19"/>
  <c r="AS249" i="19"/>
  <c r="AR277" i="19"/>
  <c r="AS277" i="19"/>
  <c r="AR307" i="19"/>
  <c r="AS307" i="19"/>
  <c r="AR259" i="19"/>
  <c r="AS259" i="19"/>
  <c r="AR393" i="19"/>
  <c r="AS393" i="19"/>
  <c r="AR266" i="19"/>
  <c r="AS266" i="19"/>
  <c r="AR392" i="19"/>
  <c r="AS392" i="19"/>
  <c r="AR97" i="19"/>
  <c r="AS97" i="19"/>
  <c r="AR37" i="19"/>
  <c r="AS37" i="19"/>
  <c r="AR35" i="19"/>
  <c r="AS35" i="19"/>
  <c r="AR57" i="19"/>
  <c r="AS57" i="19"/>
  <c r="AR51" i="19"/>
  <c r="AS51" i="19"/>
  <c r="AR450" i="19"/>
  <c r="AS450" i="19"/>
  <c r="AR411" i="19"/>
  <c r="AS411" i="19"/>
  <c r="AR432" i="19"/>
  <c r="AS432" i="19"/>
  <c r="AR441" i="19"/>
  <c r="AS441" i="19"/>
  <c r="AR486" i="19"/>
  <c r="AS486" i="19"/>
  <c r="AR447" i="19"/>
  <c r="AS447" i="19"/>
  <c r="AR468" i="19"/>
  <c r="AS468" i="19"/>
  <c r="AR477" i="19"/>
  <c r="AS477" i="19"/>
  <c r="AR574" i="19"/>
  <c r="AS574" i="19"/>
  <c r="AR535" i="19"/>
  <c r="AS535" i="19"/>
  <c r="AR442" i="19"/>
  <c r="AS442" i="19"/>
  <c r="AR598" i="19"/>
  <c r="AS598" i="19"/>
  <c r="AR559" i="19"/>
  <c r="AS559" i="19"/>
  <c r="AR466" i="19"/>
  <c r="AS466" i="19"/>
  <c r="AR426" i="19"/>
  <c r="AS426" i="19"/>
  <c r="AR583" i="19"/>
  <c r="AS583" i="19"/>
  <c r="AR443" i="19"/>
  <c r="AS443" i="19"/>
  <c r="AR768" i="19"/>
  <c r="AS768" i="19"/>
  <c r="AR643" i="19"/>
  <c r="AS643" i="19"/>
  <c r="AR706" i="19"/>
  <c r="AS706" i="19"/>
  <c r="AR758" i="19"/>
  <c r="AS758" i="19"/>
  <c r="AR738" i="19"/>
  <c r="AS738" i="19"/>
  <c r="AR679" i="19"/>
  <c r="AS679" i="19"/>
  <c r="AR742" i="19"/>
  <c r="AS742" i="19"/>
  <c r="AR789" i="19"/>
  <c r="AS789" i="19"/>
  <c r="AR628" i="19"/>
  <c r="AS628" i="19"/>
  <c r="AR695" i="19"/>
  <c r="AS695" i="19"/>
  <c r="AR720" i="19"/>
  <c r="AS720" i="19"/>
  <c r="AR641" i="19"/>
  <c r="AS641" i="19"/>
  <c r="AR657" i="19"/>
  <c r="AS657" i="19"/>
  <c r="AR650" i="19"/>
  <c r="AS650" i="19"/>
  <c r="AR771" i="19"/>
  <c r="AS771" i="19"/>
  <c r="AR20" i="19"/>
  <c r="AS20" i="19"/>
  <c r="AR798" i="19"/>
  <c r="AS798" i="19"/>
  <c r="AR795" i="19"/>
  <c r="AS795" i="19"/>
  <c r="AR167" i="19"/>
  <c r="AS167" i="19"/>
  <c r="AR334" i="19"/>
  <c r="AS334" i="19"/>
  <c r="AR446" i="19"/>
  <c r="AS446" i="19"/>
  <c r="AR73" i="19"/>
  <c r="AS73" i="19"/>
  <c r="AR99" i="19"/>
  <c r="AS99" i="19"/>
  <c r="AR186" i="19"/>
  <c r="AS186" i="19"/>
  <c r="AR176" i="19"/>
  <c r="AS176" i="19"/>
  <c r="AR146" i="19"/>
  <c r="AS146" i="19"/>
  <c r="AR108" i="19"/>
  <c r="AS108" i="19"/>
  <c r="AR119" i="19"/>
  <c r="AS119" i="19"/>
  <c r="AR123" i="19"/>
  <c r="AS123" i="19"/>
  <c r="AR152" i="19"/>
  <c r="AS152" i="19"/>
  <c r="AR110" i="19"/>
  <c r="AS110" i="19"/>
  <c r="AR115" i="19"/>
  <c r="AS115" i="19"/>
  <c r="AR269" i="19"/>
  <c r="AS269" i="19"/>
  <c r="AR354" i="19"/>
  <c r="AS354" i="19"/>
  <c r="AR291" i="19"/>
  <c r="AS291" i="19"/>
  <c r="AR323" i="19"/>
  <c r="AS323" i="19"/>
  <c r="AR250" i="19"/>
  <c r="AS250" i="19"/>
  <c r="AR397" i="19"/>
  <c r="AS397" i="19"/>
  <c r="AR314" i="19"/>
  <c r="AS314" i="19"/>
  <c r="AR363" i="19"/>
  <c r="AS363" i="19"/>
  <c r="AR376" i="19"/>
  <c r="AS376" i="19"/>
  <c r="AR399" i="19"/>
  <c r="AS399" i="19"/>
  <c r="AR300" i="19"/>
  <c r="AS300" i="19"/>
  <c r="AR285" i="19"/>
  <c r="AS285" i="19"/>
  <c r="AR81" i="19"/>
  <c r="AS81" i="19"/>
  <c r="AR32" i="19"/>
  <c r="AS32" i="19"/>
  <c r="AR63" i="19"/>
  <c r="AS63" i="19"/>
  <c r="AR52" i="19"/>
  <c r="AS52" i="19"/>
  <c r="AR587" i="19"/>
  <c r="AS587" i="19"/>
  <c r="AR560" i="19"/>
  <c r="AS560" i="19"/>
  <c r="AR569" i="19"/>
  <c r="AS569" i="19"/>
  <c r="AR566" i="19"/>
  <c r="AS566" i="19"/>
  <c r="AR427" i="19"/>
  <c r="AS427" i="19"/>
  <c r="AR596" i="19"/>
  <c r="AS596" i="19"/>
  <c r="AR421" i="19"/>
  <c r="AS421" i="19"/>
  <c r="AR418" i="19"/>
  <c r="AS418" i="19"/>
  <c r="AR515" i="19"/>
  <c r="AS515" i="19"/>
  <c r="AR483" i="19"/>
  <c r="AS483" i="19"/>
  <c r="AR579" i="19"/>
  <c r="AS579" i="19"/>
  <c r="AR539" i="19"/>
  <c r="AS539" i="19"/>
  <c r="AR512" i="19"/>
  <c r="AS512" i="19"/>
  <c r="AR419" i="19"/>
  <c r="AS419" i="19"/>
  <c r="AR563" i="19"/>
  <c r="AS563" i="19"/>
  <c r="AR536" i="19"/>
  <c r="AS536" i="19"/>
  <c r="AR592" i="19"/>
  <c r="AS592" i="19"/>
  <c r="AR757" i="19"/>
  <c r="AS757" i="19"/>
  <c r="AR608" i="19"/>
  <c r="AS608" i="19"/>
  <c r="AR678" i="19"/>
  <c r="AS678" i="19"/>
  <c r="AR780" i="19"/>
  <c r="AS780" i="19"/>
  <c r="AR715" i="19"/>
  <c r="AS715" i="19"/>
  <c r="AR656" i="19"/>
  <c r="AS656" i="19"/>
  <c r="AR719" i="19"/>
  <c r="AS719" i="19"/>
  <c r="AR605" i="19"/>
  <c r="AS605" i="19"/>
  <c r="AR651" i="19"/>
  <c r="AS651" i="19"/>
  <c r="AR660" i="19"/>
  <c r="AS660" i="19"/>
  <c r="AR709" i="19"/>
  <c r="AS709" i="19"/>
  <c r="AR618" i="19"/>
  <c r="AS618" i="19"/>
  <c r="AR698" i="19"/>
  <c r="AS698" i="19"/>
  <c r="AR670" i="19"/>
  <c r="AS670" i="19"/>
  <c r="AR716" i="19"/>
  <c r="AS716" i="19"/>
  <c r="AR700" i="19"/>
  <c r="AS700" i="19"/>
  <c r="AR74" i="19"/>
  <c r="AS74" i="19"/>
  <c r="AR131" i="19"/>
  <c r="AS131" i="19"/>
  <c r="AR202" i="19"/>
  <c r="AS202" i="19"/>
  <c r="AR100" i="19"/>
  <c r="AS100" i="19"/>
  <c r="AR195" i="19"/>
  <c r="AS195" i="19"/>
  <c r="AR193" i="19"/>
  <c r="AS193" i="19"/>
  <c r="AR169" i="19"/>
  <c r="AS169" i="19"/>
  <c r="AR124" i="19"/>
  <c r="AS124" i="19"/>
  <c r="AR141" i="19"/>
  <c r="AS141" i="19"/>
  <c r="AR159" i="19"/>
  <c r="AS159" i="19"/>
  <c r="AR177" i="19"/>
  <c r="AS177" i="19"/>
  <c r="AR378" i="19"/>
  <c r="AS378" i="19"/>
  <c r="AR401" i="19"/>
  <c r="AS401" i="19"/>
  <c r="AR248" i="19"/>
  <c r="AS248" i="19"/>
  <c r="AR367" i="19"/>
  <c r="AS367" i="19"/>
  <c r="AR292" i="19"/>
  <c r="AS292" i="19"/>
  <c r="AR227" i="19"/>
  <c r="AS227" i="19"/>
  <c r="AR335" i="19"/>
  <c r="AS335" i="19"/>
  <c r="AR251" i="19"/>
  <c r="AS251" i="19"/>
  <c r="AR218" i="19"/>
  <c r="AS218" i="19"/>
  <c r="AR295" i="19"/>
  <c r="AS295" i="19"/>
  <c r="AR267" i="19"/>
  <c r="AS267" i="19"/>
  <c r="AR344" i="19"/>
  <c r="AS344" i="19"/>
  <c r="AR257" i="19"/>
  <c r="AS257" i="19"/>
  <c r="AR241" i="19"/>
  <c r="AS241" i="19"/>
  <c r="AR331" i="19"/>
  <c r="AS331" i="19"/>
  <c r="AR400" i="19"/>
  <c r="AS400" i="19"/>
  <c r="AR337" i="19"/>
  <c r="AS337" i="19"/>
  <c r="AR310" i="19"/>
  <c r="AS310" i="19"/>
  <c r="AR95" i="19"/>
  <c r="AS95" i="19"/>
  <c r="AR44" i="19"/>
  <c r="AS44" i="19"/>
  <c r="AR28" i="19"/>
  <c r="AS28" i="19"/>
  <c r="AR66" i="19"/>
  <c r="AS66" i="19"/>
  <c r="AR64" i="19"/>
  <c r="AS64" i="19"/>
  <c r="AR56" i="19"/>
  <c r="AS56" i="19"/>
  <c r="AR528" i="19"/>
  <c r="AS528" i="19"/>
  <c r="AR561" i="19"/>
  <c r="AS561" i="19"/>
  <c r="AR522" i="19"/>
  <c r="AS522" i="19"/>
  <c r="AR519" i="19"/>
  <c r="AS519" i="19"/>
  <c r="AR564" i="19"/>
  <c r="AS564" i="19"/>
  <c r="AR597" i="19"/>
  <c r="AS597" i="19"/>
  <c r="AR558" i="19"/>
  <c r="AS558" i="19"/>
  <c r="AR555" i="19"/>
  <c r="AS555" i="19"/>
  <c r="AR463" i="19"/>
  <c r="AS463" i="19"/>
  <c r="AR436" i="19"/>
  <c r="AS436" i="19"/>
  <c r="AR544" i="19"/>
  <c r="AS544" i="19"/>
  <c r="AR487" i="19"/>
  <c r="AS487" i="19"/>
  <c r="AR460" i="19"/>
  <c r="AS460" i="19"/>
  <c r="AR568" i="19"/>
  <c r="AS568" i="19"/>
  <c r="AR504" i="19"/>
  <c r="AS504" i="19"/>
  <c r="AR484" i="19"/>
  <c r="AS484" i="19"/>
  <c r="AR545" i="19"/>
  <c r="AS545" i="19"/>
  <c r="AR611" i="19"/>
  <c r="AS611" i="19"/>
  <c r="AR769" i="19"/>
  <c r="AS769" i="19"/>
  <c r="AR655" i="19"/>
  <c r="AS655" i="19"/>
  <c r="AR776" i="19"/>
  <c r="AS776" i="19"/>
  <c r="AR684" i="19"/>
  <c r="AS684" i="19"/>
  <c r="AR691" i="19"/>
  <c r="AS691" i="19"/>
  <c r="AR754" i="19"/>
  <c r="AS754" i="19"/>
  <c r="AR705" i="19"/>
  <c r="AS705" i="19"/>
  <c r="AR634" i="19"/>
  <c r="AS634" i="19"/>
  <c r="AR649" i="19"/>
  <c r="AS649" i="19"/>
  <c r="AR735" i="19"/>
  <c r="AS735" i="19"/>
  <c r="AR767" i="19"/>
  <c r="AS767" i="19"/>
  <c r="AR793" i="19"/>
  <c r="AS793" i="19"/>
  <c r="AR676" i="19"/>
  <c r="AS676" i="19"/>
  <c r="AR725" i="19"/>
  <c r="AS725" i="19"/>
  <c r="AR10" i="19"/>
  <c r="AS10" i="19"/>
  <c r="AR449" i="19"/>
  <c r="AS449" i="19"/>
  <c r="AR104" i="19"/>
  <c r="AS104" i="19"/>
  <c r="AR125" i="19"/>
  <c r="AS125" i="19"/>
  <c r="AR196" i="19"/>
  <c r="AS196" i="19"/>
  <c r="AR182" i="19"/>
  <c r="AS182" i="19"/>
  <c r="AR132" i="19"/>
  <c r="AS132" i="19"/>
  <c r="AR129" i="19"/>
  <c r="AS129" i="19"/>
  <c r="AR166" i="19"/>
  <c r="AS166" i="19"/>
  <c r="AR188" i="19"/>
  <c r="AS188" i="19"/>
  <c r="AR191" i="19"/>
  <c r="AS191" i="19"/>
  <c r="AR365" i="19"/>
  <c r="AS365" i="19"/>
  <c r="AR282" i="19"/>
  <c r="AS282" i="19"/>
  <c r="AR404" i="19"/>
  <c r="AS404" i="19"/>
  <c r="AR336" i="19"/>
  <c r="AS336" i="19"/>
  <c r="AR239" i="19"/>
  <c r="AS239" i="19"/>
  <c r="AR327" i="19"/>
  <c r="AS327" i="19"/>
  <c r="AR359" i="19"/>
  <c r="AS359" i="19"/>
  <c r="AR351" i="19"/>
  <c r="AS351" i="19"/>
  <c r="AR332" i="19"/>
  <c r="AS332" i="19"/>
  <c r="AR364" i="19"/>
  <c r="AS364" i="19"/>
  <c r="AR381" i="19"/>
  <c r="AS381" i="19"/>
  <c r="AR407" i="19"/>
  <c r="AS407" i="19"/>
  <c r="AR235" i="19"/>
  <c r="AS235" i="19"/>
  <c r="AR270" i="19"/>
  <c r="AS270" i="19"/>
  <c r="AR374" i="19"/>
  <c r="AS374" i="19"/>
  <c r="AR214" i="19"/>
  <c r="AS214" i="19"/>
  <c r="AR87" i="19"/>
  <c r="AS87" i="19"/>
  <c r="AR86" i="19"/>
  <c r="AS86" i="19"/>
  <c r="AR26" i="19"/>
  <c r="AS26" i="19"/>
  <c r="AR22" i="19"/>
  <c r="AS22" i="19"/>
  <c r="AR65" i="19"/>
  <c r="AS65" i="19"/>
  <c r="AR68" i="19"/>
  <c r="AS68" i="19"/>
  <c r="AR476" i="19"/>
  <c r="AS476" i="19"/>
  <c r="AR514" i="19"/>
  <c r="AS514" i="19"/>
  <c r="AR482" i="19"/>
  <c r="AS482" i="19"/>
  <c r="AR479" i="19"/>
  <c r="AS479" i="19"/>
  <c r="AR505" i="19"/>
  <c r="AS505" i="19"/>
  <c r="AR550" i="19"/>
  <c r="AS550" i="19"/>
  <c r="AR511" i="19"/>
  <c r="AS511" i="19"/>
  <c r="AR520" i="19"/>
  <c r="AS520" i="19"/>
  <c r="AR600" i="19"/>
  <c r="AS600" i="19"/>
  <c r="AR497" i="19"/>
  <c r="AS497" i="19"/>
  <c r="AR428" i="19"/>
  <c r="AS428" i="19"/>
  <c r="AR521" i="19"/>
  <c r="AS521" i="19"/>
  <c r="AR452" i="19"/>
  <c r="AS452" i="19"/>
  <c r="AR537" i="19"/>
  <c r="AS537" i="19"/>
  <c r="AR498" i="19"/>
  <c r="AS498" i="19"/>
  <c r="AR669" i="19"/>
  <c r="AS669" i="19"/>
  <c r="AR712" i="19"/>
  <c r="AS712" i="19"/>
  <c r="AR623" i="19"/>
  <c r="AS623" i="19"/>
  <c r="AR632" i="19"/>
  <c r="AS632" i="19"/>
  <c r="AR717" i="19"/>
  <c r="AS717" i="19"/>
  <c r="AR659" i="19"/>
  <c r="AS659" i="19"/>
  <c r="AR668" i="19"/>
  <c r="AS668" i="19"/>
  <c r="AR731" i="19"/>
  <c r="AS731" i="19"/>
  <c r="AR614" i="19"/>
  <c r="AS614" i="19"/>
  <c r="AR736" i="19"/>
  <c r="AS736" i="19"/>
  <c r="AR732" i="19"/>
  <c r="AS732" i="19"/>
  <c r="AR653" i="19"/>
  <c r="AS653" i="19"/>
  <c r="AR603" i="19"/>
  <c r="AS603" i="19"/>
  <c r="AR697" i="19"/>
  <c r="AS697" i="19"/>
  <c r="AR14" i="19"/>
  <c r="AS14" i="19"/>
  <c r="AR172" i="19"/>
  <c r="AS172" i="19"/>
  <c r="AR221" i="19"/>
  <c r="AS221" i="19"/>
  <c r="AR345" i="19"/>
  <c r="AS345" i="19"/>
  <c r="AR582" i="19"/>
  <c r="AS582" i="19"/>
  <c r="AR70" i="19"/>
  <c r="AS70" i="19"/>
  <c r="AR15" i="19"/>
  <c r="AS15" i="19"/>
  <c r="AR103" i="19"/>
  <c r="AS103" i="19"/>
  <c r="AR150" i="19"/>
  <c r="AS150" i="19"/>
  <c r="AR126" i="19"/>
  <c r="AS126" i="19"/>
  <c r="AR139" i="19"/>
  <c r="AS139" i="19"/>
  <c r="AR175" i="19"/>
  <c r="AS175" i="19"/>
  <c r="AR111" i="19"/>
  <c r="AS111" i="19"/>
  <c r="AR157" i="19"/>
  <c r="AS157" i="19"/>
  <c r="AR155" i="19"/>
  <c r="AS155" i="19"/>
  <c r="AR160" i="19"/>
  <c r="AS160" i="19"/>
  <c r="AR134" i="19"/>
  <c r="AS134" i="19"/>
  <c r="AR258" i="19"/>
  <c r="AS258" i="19"/>
  <c r="AR377" i="19"/>
  <c r="AS377" i="19"/>
  <c r="AR389" i="19"/>
  <c r="AS389" i="19"/>
  <c r="AR297" i="19"/>
  <c r="AS297" i="19"/>
  <c r="AR240" i="19"/>
  <c r="AS240" i="19"/>
  <c r="AR348" i="19"/>
  <c r="AS348" i="19"/>
  <c r="AR403" i="19"/>
  <c r="AS403" i="19"/>
  <c r="AR231" i="19"/>
  <c r="AS231" i="19"/>
  <c r="AR372" i="19"/>
  <c r="AS372" i="19"/>
  <c r="AR283" i="19"/>
  <c r="AS283" i="19"/>
  <c r="AR255" i="19"/>
  <c r="AS255" i="19"/>
  <c r="AR369" i="19"/>
  <c r="AS369" i="19"/>
  <c r="AR406" i="19"/>
  <c r="AS406" i="19"/>
  <c r="AR368" i="19"/>
  <c r="AS368" i="19"/>
  <c r="AR299" i="19"/>
  <c r="AS299" i="19"/>
  <c r="AR78" i="19"/>
  <c r="AS78" i="19"/>
  <c r="AR82" i="19"/>
  <c r="AS82" i="19"/>
  <c r="AR88" i="19"/>
  <c r="AS88" i="19"/>
  <c r="AR79" i="19"/>
  <c r="AS79" i="19"/>
  <c r="AR62" i="19"/>
  <c r="AS62" i="19"/>
  <c r="AR55" i="19"/>
  <c r="AS55" i="19"/>
  <c r="AR417" i="19"/>
  <c r="AS417" i="19"/>
  <c r="AR462" i="19"/>
  <c r="AS462" i="19"/>
  <c r="AR423" i="19"/>
  <c r="AS423" i="19"/>
  <c r="AR444" i="19"/>
  <c r="AS444" i="19"/>
  <c r="AR453" i="19"/>
  <c r="AS453" i="19"/>
  <c r="AR491" i="19"/>
  <c r="AS491" i="19"/>
  <c r="AR459" i="19"/>
  <c r="AS459" i="19"/>
  <c r="AR480" i="19"/>
  <c r="AS480" i="19"/>
  <c r="AR541" i="19"/>
  <c r="AS541" i="19"/>
  <c r="AR489" i="19"/>
  <c r="AS489" i="19"/>
  <c r="AR457" i="19"/>
  <c r="AS457" i="19"/>
  <c r="AR565" i="19"/>
  <c r="AS565" i="19"/>
  <c r="AR513" i="19"/>
  <c r="AS513" i="19"/>
  <c r="AR481" i="19"/>
  <c r="AS481" i="19"/>
  <c r="AR589" i="19"/>
  <c r="AS589" i="19"/>
  <c r="AR490" i="19"/>
  <c r="AS490" i="19"/>
  <c r="AR458" i="19"/>
  <c r="AS458" i="19"/>
  <c r="AR722" i="19"/>
  <c r="AS722" i="19"/>
  <c r="AR737" i="19"/>
  <c r="AS737" i="19"/>
  <c r="AR724" i="19"/>
  <c r="AS724" i="19"/>
  <c r="AR694" i="19"/>
  <c r="AS694" i="19"/>
  <c r="AR718" i="19"/>
  <c r="AS718" i="19"/>
  <c r="AR693" i="19"/>
  <c r="AS693" i="19"/>
  <c r="AR772" i="19"/>
  <c r="AS772" i="19"/>
  <c r="AR699" i="19"/>
  <c r="AS699" i="19"/>
  <c r="AR620" i="19"/>
  <c r="AS620" i="19"/>
  <c r="AR779" i="19"/>
  <c r="AS779" i="19"/>
  <c r="AR763" i="19"/>
  <c r="AS763" i="19"/>
  <c r="AR696" i="19"/>
  <c r="AS696" i="19"/>
  <c r="AR721" i="19"/>
  <c r="AS721" i="19"/>
  <c r="AR630" i="19"/>
  <c r="AS630" i="19"/>
  <c r="AR675" i="19"/>
  <c r="AS675" i="19"/>
  <c r="AR662" i="19"/>
  <c r="AS662" i="19"/>
  <c r="AR800" i="19"/>
  <c r="AS800" i="19"/>
  <c r="AR797" i="19"/>
  <c r="AS797" i="19"/>
  <c r="AR128" i="19"/>
  <c r="AS128" i="19"/>
  <c r="AR361" i="19"/>
  <c r="AS361" i="19"/>
  <c r="AR72" i="19"/>
  <c r="AS72" i="19"/>
  <c r="AR5" i="19"/>
  <c r="AS5" i="19"/>
  <c r="AR149" i="19"/>
  <c r="AS149" i="19"/>
  <c r="AR158" i="19"/>
  <c r="AS158" i="19"/>
  <c r="AR118" i="19"/>
  <c r="AS118" i="19"/>
  <c r="AR112" i="19"/>
  <c r="AS112" i="19"/>
  <c r="AR154" i="19"/>
  <c r="AS154" i="19"/>
  <c r="AR168" i="19"/>
  <c r="AS168" i="19"/>
  <c r="AR165" i="19"/>
  <c r="AS165" i="19"/>
  <c r="AR183" i="19"/>
  <c r="AS183" i="19"/>
  <c r="AR390" i="19"/>
  <c r="AS390" i="19"/>
  <c r="AR402" i="19"/>
  <c r="AS402" i="19"/>
  <c r="AR212" i="19"/>
  <c r="AS212" i="19"/>
  <c r="AR322" i="19"/>
  <c r="AS322" i="19"/>
  <c r="AR373" i="19"/>
  <c r="AS373" i="19"/>
  <c r="AR385" i="19"/>
  <c r="AS385" i="19"/>
  <c r="AR296" i="19"/>
  <c r="AS296" i="19"/>
  <c r="AR328" i="19"/>
  <c r="AS328" i="19"/>
  <c r="AR253" i="19"/>
  <c r="AS253" i="19"/>
  <c r="AR320" i="19"/>
  <c r="AS320" i="19"/>
  <c r="AR352" i="19"/>
  <c r="AS352" i="19"/>
  <c r="AR264" i="19"/>
  <c r="AS264" i="19"/>
  <c r="AR395" i="19"/>
  <c r="AS395" i="19"/>
  <c r="AR313" i="19"/>
  <c r="AS313" i="19"/>
  <c r="AR224" i="19"/>
  <c r="AS224" i="19"/>
  <c r="AR260" i="19"/>
  <c r="AS260" i="19"/>
  <c r="AR312" i="19"/>
  <c r="AS312" i="19"/>
  <c r="AR90" i="19"/>
  <c r="AS90" i="19"/>
  <c r="AR84" i="19"/>
  <c r="AS84" i="19"/>
  <c r="AR98" i="19"/>
  <c r="AS98" i="19"/>
  <c r="AR38" i="19"/>
  <c r="AS38" i="19"/>
  <c r="AR33" i="19"/>
  <c r="AS33" i="19"/>
  <c r="AR67" i="19"/>
  <c r="AS67" i="19"/>
  <c r="AR53" i="19"/>
  <c r="AS53" i="19"/>
  <c r="AR49" i="19"/>
  <c r="AS49" i="19"/>
  <c r="AR542" i="19"/>
  <c r="AS542" i="19"/>
  <c r="AR599" i="19"/>
  <c r="AS599" i="19"/>
  <c r="AR572" i="19"/>
  <c r="AS572" i="19"/>
  <c r="AR581" i="19"/>
  <c r="AS581" i="19"/>
  <c r="AR578" i="19"/>
  <c r="AS578" i="19"/>
  <c r="AR439" i="19"/>
  <c r="AS439" i="19"/>
  <c r="AR412" i="19"/>
  <c r="AS412" i="19"/>
  <c r="AR433" i="19"/>
  <c r="AS433" i="19"/>
  <c r="AR201" i="19"/>
  <c r="AS201" i="19"/>
  <c r="AR437" i="19"/>
  <c r="AS437" i="19"/>
  <c r="AR594" i="19"/>
  <c r="AS594" i="19"/>
  <c r="AR494" i="19"/>
  <c r="AS494" i="19"/>
  <c r="AR461" i="19"/>
  <c r="AS461" i="19"/>
  <c r="AR434" i="19"/>
  <c r="AS434" i="19"/>
  <c r="AR518" i="19"/>
  <c r="AS518" i="19"/>
  <c r="AR438" i="19"/>
  <c r="AS438" i="19"/>
  <c r="AR595" i="19"/>
  <c r="AS595" i="19"/>
  <c r="AR790" i="19"/>
  <c r="AS790" i="19"/>
  <c r="AR702" i="19"/>
  <c r="AS702" i="19"/>
  <c r="AR749" i="19"/>
  <c r="AS749" i="19"/>
  <c r="AR635" i="19"/>
  <c r="AS635" i="19"/>
  <c r="AR690" i="19"/>
  <c r="AS690" i="19"/>
  <c r="AR770" i="19"/>
  <c r="AS770" i="19"/>
  <c r="AR613" i="19"/>
  <c r="AS613" i="19"/>
  <c r="AR671" i="19"/>
  <c r="AS671" i="19"/>
  <c r="AR680" i="19"/>
  <c r="AS680" i="19"/>
  <c r="AR640" i="19"/>
  <c r="AS640" i="19"/>
  <c r="AR661" i="19"/>
  <c r="AS661" i="19"/>
  <c r="AR747" i="19"/>
  <c r="AS747" i="19"/>
  <c r="AR607" i="19"/>
  <c r="AS607" i="19"/>
  <c r="AR753" i="19"/>
  <c r="AS753" i="19"/>
  <c r="AR710" i="19"/>
  <c r="AS710" i="19"/>
  <c r="AR728" i="19"/>
  <c r="AS728" i="19"/>
  <c r="AR189" i="19"/>
  <c r="AS189" i="19"/>
  <c r="AR366" i="19"/>
  <c r="AS366" i="19"/>
  <c r="AR329" i="19"/>
  <c r="AS329" i="19"/>
  <c r="AR244" i="19"/>
  <c r="AS244" i="19"/>
  <c r="AR425" i="19"/>
  <c r="AS425" i="19"/>
  <c r="AR71" i="19"/>
  <c r="AS71" i="19"/>
  <c r="AR4" i="19"/>
  <c r="AS4" i="19"/>
  <c r="AR174" i="19"/>
  <c r="AS174" i="19"/>
  <c r="AR185" i="19"/>
  <c r="AS185" i="19"/>
  <c r="AR151" i="19"/>
  <c r="AS151" i="19"/>
  <c r="AR107" i="19"/>
  <c r="AS107" i="19"/>
  <c r="AR181" i="19"/>
  <c r="AS181" i="19"/>
  <c r="AR147" i="19"/>
  <c r="AS147" i="19"/>
  <c r="AR184" i="19"/>
  <c r="AS184" i="19"/>
  <c r="AR293" i="19"/>
  <c r="AS293" i="19"/>
  <c r="AR226" i="19"/>
  <c r="AS226" i="19"/>
  <c r="AR217" i="19"/>
  <c r="AS217" i="19"/>
  <c r="AR278" i="19"/>
  <c r="AS278" i="19"/>
  <c r="AR333" i="19"/>
  <c r="AS333" i="19"/>
  <c r="AR232" i="19"/>
  <c r="AS232" i="19"/>
  <c r="AR409" i="19"/>
  <c r="AS409" i="19"/>
  <c r="AR357" i="19"/>
  <c r="AS357" i="19"/>
  <c r="AR256" i="19"/>
  <c r="AS256" i="19"/>
  <c r="AR394" i="19"/>
  <c r="AS394" i="19"/>
  <c r="AR265" i="19"/>
  <c r="AS265" i="19"/>
  <c r="AR350" i="19"/>
  <c r="AS350" i="19"/>
  <c r="AR405" i="19"/>
  <c r="AS405" i="19"/>
  <c r="AR216" i="19"/>
  <c r="AS216" i="19"/>
  <c r="AR93" i="19"/>
  <c r="AS93" i="19"/>
  <c r="AR30" i="19"/>
  <c r="AS30" i="19"/>
  <c r="AR61" i="19"/>
  <c r="AS61" i="19"/>
  <c r="AR46" i="19"/>
  <c r="AS46" i="19"/>
  <c r="AR495" i="19"/>
  <c r="AS495" i="19"/>
  <c r="AR540" i="19"/>
  <c r="AS540" i="19"/>
  <c r="AR573" i="19"/>
  <c r="AS573" i="19"/>
  <c r="AR534" i="19"/>
  <c r="AS534" i="19"/>
  <c r="AR531" i="19"/>
  <c r="AS531" i="19"/>
  <c r="AR576" i="19"/>
  <c r="AS576" i="19"/>
  <c r="AR413" i="19"/>
  <c r="AS413" i="19"/>
  <c r="AR570" i="19"/>
  <c r="AS570" i="19"/>
  <c r="AR430" i="19"/>
  <c r="AS430" i="19"/>
  <c r="AR586" i="19"/>
  <c r="AS586" i="19"/>
  <c r="AR547" i="19"/>
  <c r="AS547" i="19"/>
  <c r="AR454" i="19"/>
  <c r="AS454" i="19"/>
  <c r="AR414" i="19"/>
  <c r="AS414" i="19"/>
  <c r="AR571" i="19"/>
  <c r="AS571" i="19"/>
  <c r="AR478" i="19"/>
  <c r="AS478" i="19"/>
  <c r="AR575" i="19"/>
  <c r="AS575" i="19"/>
  <c r="AR548" i="19"/>
  <c r="AS548" i="19"/>
  <c r="AR794" i="19"/>
  <c r="AS794" i="19"/>
  <c r="AR674" i="19"/>
  <c r="AS674" i="19"/>
  <c r="AR714" i="19"/>
  <c r="AS714" i="19"/>
  <c r="AR748" i="19"/>
  <c r="AS748" i="19"/>
  <c r="AR667" i="19"/>
  <c r="AS667" i="19"/>
  <c r="AR782" i="19"/>
  <c r="AS782" i="19"/>
  <c r="AR750" i="19"/>
  <c r="AS750" i="19"/>
  <c r="AR636" i="19"/>
  <c r="AS636" i="19"/>
  <c r="AR711" i="19"/>
  <c r="AS711" i="19"/>
  <c r="AR617" i="19"/>
  <c r="AS617" i="19"/>
  <c r="AR645" i="19"/>
  <c r="AS645" i="19"/>
  <c r="AR646" i="19"/>
  <c r="AS646" i="19"/>
  <c r="AR626" i="19"/>
  <c r="AS626" i="19"/>
  <c r="AR612" i="19"/>
  <c r="AS612" i="19"/>
  <c r="AR744" i="19"/>
  <c r="AS744" i="19"/>
  <c r="AR682" i="19"/>
  <c r="AS682" i="19"/>
  <c r="AR688" i="19"/>
  <c r="AS688" i="19"/>
  <c r="AR105" i="19"/>
  <c r="AS105" i="19"/>
  <c r="AR306" i="19"/>
  <c r="AS306" i="19"/>
  <c r="AR225" i="19"/>
  <c r="AS225" i="19"/>
  <c r="AR506" i="19"/>
  <c r="AS506" i="19"/>
  <c r="AR16" i="19"/>
  <c r="AS16" i="19"/>
  <c r="AR133" i="19"/>
  <c r="AS133" i="19"/>
  <c r="AR109" i="19"/>
  <c r="AS109" i="19"/>
  <c r="AR199" i="19"/>
  <c r="AS199" i="19"/>
  <c r="AR143" i="19"/>
  <c r="AS143" i="19"/>
  <c r="AR140" i="19"/>
  <c r="AS140" i="19"/>
  <c r="AR179" i="19"/>
  <c r="AS179" i="19"/>
  <c r="AR318" i="19"/>
  <c r="AS318" i="19"/>
  <c r="AR311" i="19"/>
  <c r="AS311" i="19"/>
  <c r="AR379" i="19"/>
  <c r="AS379" i="19"/>
  <c r="AR410" i="19"/>
  <c r="AS410" i="19"/>
  <c r="AR315" i="19"/>
  <c r="AS315" i="19"/>
  <c r="AR237" i="19"/>
  <c r="AS237" i="19"/>
  <c r="AR302" i="19"/>
  <c r="AS302" i="19"/>
  <c r="AR261" i="19"/>
  <c r="AS261" i="19"/>
  <c r="AR383" i="19"/>
  <c r="AS383" i="19"/>
  <c r="AR408" i="19"/>
  <c r="AS408" i="19"/>
  <c r="AR254" i="19"/>
  <c r="AS254" i="19"/>
  <c r="AR343" i="19"/>
  <c r="AS343" i="19"/>
  <c r="AR349" i="19"/>
  <c r="AS349" i="19"/>
  <c r="AR77" i="19"/>
  <c r="AS77" i="19"/>
  <c r="AR94" i="19"/>
  <c r="AS94" i="19"/>
  <c r="AR31" i="19"/>
  <c r="AS31" i="19"/>
  <c r="AR34" i="19"/>
  <c r="AS34" i="19"/>
  <c r="AR40" i="19"/>
  <c r="AS40" i="19"/>
  <c r="AR58" i="19"/>
  <c r="AS58" i="19"/>
  <c r="AR48" i="19"/>
  <c r="AS48" i="19"/>
  <c r="AR455" i="19"/>
  <c r="AS455" i="19"/>
  <c r="AR488" i="19"/>
  <c r="AS488" i="19"/>
  <c r="AR526" i="19"/>
  <c r="AS526" i="19"/>
  <c r="AR206" i="19"/>
  <c r="AS206" i="19"/>
  <c r="AR496" i="19"/>
  <c r="AS496" i="19"/>
  <c r="AR517" i="19"/>
  <c r="AS517" i="19"/>
  <c r="AR562" i="19"/>
  <c r="AS562" i="19"/>
  <c r="AR523" i="19"/>
  <c r="AS523" i="19"/>
  <c r="AR567" i="19"/>
  <c r="AS567" i="19"/>
  <c r="AR527" i="19"/>
  <c r="AS527" i="19"/>
  <c r="AR500" i="19"/>
  <c r="AS500" i="19"/>
  <c r="AR591" i="19"/>
  <c r="AS591" i="19"/>
  <c r="AR551" i="19"/>
  <c r="AS551" i="19"/>
  <c r="AR524" i="19"/>
  <c r="AS524" i="19"/>
  <c r="AR431" i="19"/>
  <c r="AS431" i="19"/>
  <c r="AR516" i="19"/>
  <c r="AS516" i="19"/>
  <c r="AR485" i="19"/>
  <c r="AS485" i="19"/>
  <c r="AR786" i="19"/>
  <c r="AS786" i="19"/>
  <c r="AR740" i="19"/>
  <c r="AS740" i="19"/>
  <c r="AR686" i="19"/>
  <c r="AS686" i="19"/>
  <c r="AR761" i="19"/>
  <c r="AS761" i="19"/>
  <c r="AR644" i="19"/>
  <c r="AS644" i="19"/>
  <c r="AR784" i="19"/>
  <c r="AS784" i="19"/>
  <c r="AR727" i="19"/>
  <c r="AS727" i="19"/>
  <c r="AR625" i="19"/>
  <c r="AS625" i="19"/>
  <c r="AR683" i="19"/>
  <c r="AS683" i="19"/>
  <c r="AR766" i="19"/>
  <c r="AS766" i="19"/>
  <c r="AR792" i="19"/>
  <c r="AS792" i="19"/>
  <c r="AR775" i="19"/>
  <c r="AS775" i="19"/>
  <c r="AR701" i="19"/>
  <c r="AS701" i="19"/>
  <c r="AR733" i="19"/>
  <c r="AS733" i="19"/>
  <c r="AR665" i="19"/>
  <c r="AS665" i="19"/>
  <c r="AR69" i="19"/>
  <c r="AS69" i="19"/>
  <c r="AR173" i="19"/>
  <c r="AS173" i="19"/>
  <c r="AR114" i="19"/>
  <c r="AS114" i="19"/>
  <c r="AR170" i="19"/>
  <c r="AS170" i="19"/>
  <c r="AR120" i="19"/>
  <c r="AS120" i="19"/>
  <c r="AR117" i="19"/>
  <c r="AS117" i="19"/>
  <c r="AR156" i="19"/>
  <c r="AS156" i="19"/>
  <c r="AR148" i="19"/>
  <c r="AS148" i="19"/>
  <c r="AR192" i="19"/>
  <c r="AS192" i="19"/>
  <c r="AR222" i="19"/>
  <c r="AS222" i="19"/>
  <c r="AR215" i="19"/>
  <c r="AS215" i="19"/>
  <c r="AR236" i="19"/>
  <c r="AS236" i="19"/>
  <c r="AR303" i="19"/>
  <c r="AS303" i="19"/>
  <c r="AR391" i="19"/>
  <c r="AS391" i="19"/>
  <c r="AR219" i="19"/>
  <c r="AS219" i="19"/>
  <c r="AR358" i="19"/>
  <c r="AS358" i="19"/>
  <c r="AR339" i="19"/>
  <c r="AS339" i="19"/>
  <c r="AR382" i="19"/>
  <c r="AS382" i="19"/>
  <c r="AR229" i="19"/>
  <c r="AS229" i="19"/>
  <c r="AR301" i="19"/>
  <c r="AS301" i="19"/>
  <c r="AR387" i="19"/>
  <c r="AS387" i="19"/>
  <c r="AR275" i="19"/>
  <c r="AS275" i="19"/>
  <c r="AR247" i="19"/>
  <c r="AS247" i="19"/>
  <c r="AR386" i="19"/>
  <c r="AS386" i="19"/>
  <c r="AR89" i="19"/>
  <c r="AS89" i="19"/>
  <c r="AR83" i="19"/>
  <c r="AS83" i="19"/>
  <c r="AR43" i="19"/>
  <c r="AS43" i="19"/>
  <c r="AR23" i="19"/>
  <c r="AS23" i="19"/>
  <c r="AR12" i="19"/>
  <c r="AS12" i="19"/>
  <c r="AR60" i="19"/>
  <c r="AS60" i="19"/>
  <c r="AR47" i="19"/>
  <c r="AS47" i="19"/>
  <c r="AR420" i="19"/>
  <c r="AS420" i="19"/>
  <c r="AR429" i="19"/>
  <c r="AS429" i="19"/>
  <c r="AR474" i="19"/>
  <c r="AS474" i="19"/>
  <c r="AR435" i="19"/>
  <c r="AS435" i="19"/>
  <c r="AR456" i="19"/>
  <c r="AS456" i="19"/>
  <c r="AR465" i="19"/>
  <c r="AS465" i="19"/>
  <c r="AR503" i="19"/>
  <c r="AS503" i="19"/>
  <c r="AR471" i="19"/>
  <c r="AS471" i="19"/>
  <c r="AR532" i="19"/>
  <c r="AS532" i="19"/>
  <c r="AR475" i="19"/>
  <c r="AS475" i="19"/>
  <c r="AR448" i="19"/>
  <c r="AS448" i="19"/>
  <c r="AR556" i="19"/>
  <c r="AS556" i="19"/>
  <c r="AR492" i="19"/>
  <c r="AS492" i="19"/>
  <c r="AR472" i="19"/>
  <c r="AS472" i="19"/>
  <c r="AR580" i="19"/>
  <c r="AS580" i="19"/>
  <c r="AR464" i="19"/>
  <c r="AS464" i="19"/>
  <c r="AR602" i="19"/>
  <c r="AS602" i="19"/>
  <c r="AR788" i="19"/>
  <c r="AS788" i="19"/>
  <c r="AR615" i="19"/>
  <c r="AS615" i="19"/>
  <c r="AR752" i="19"/>
  <c r="AS752" i="19"/>
  <c r="AR726" i="19"/>
  <c r="AS726" i="19"/>
  <c r="AR624" i="19"/>
  <c r="AS624" i="19"/>
  <c r="AR604" i="19"/>
  <c r="AS604" i="19"/>
  <c r="AR610" i="19"/>
  <c r="AS610" i="19"/>
  <c r="AR762" i="19"/>
  <c r="AS762" i="19"/>
  <c r="AR648" i="19"/>
  <c r="AS648" i="19"/>
  <c r="AR743" i="19"/>
  <c r="AS743" i="19"/>
  <c r="AR781" i="19"/>
  <c r="AS781" i="19"/>
  <c r="AR652" i="19"/>
  <c r="AS652" i="19"/>
  <c r="AR673" i="19"/>
  <c r="AS673" i="19"/>
  <c r="AR759" i="19"/>
  <c r="AS759" i="19"/>
  <c r="AR642" i="19"/>
  <c r="AS642" i="19"/>
  <c r="AR799" i="19"/>
  <c r="AS799" i="19"/>
  <c r="AR101" i="19"/>
  <c r="AS101" i="19"/>
  <c r="AR163" i="19"/>
  <c r="AS163" i="19"/>
  <c r="AR631" i="19"/>
  <c r="AS631" i="19"/>
  <c r="AR102" i="19"/>
  <c r="AS102" i="19"/>
  <c r="AR138" i="19"/>
  <c r="AS138" i="19"/>
  <c r="AR198" i="19"/>
  <c r="AS198" i="19"/>
  <c r="AR127" i="19"/>
  <c r="AS127" i="19"/>
  <c r="AR194" i="19"/>
  <c r="AS194" i="19"/>
  <c r="AR142" i="19"/>
  <c r="AS142" i="19"/>
  <c r="AR135" i="19"/>
  <c r="AS135" i="19"/>
  <c r="AR153" i="19"/>
  <c r="AS153" i="19"/>
  <c r="AR209" i="19"/>
  <c r="AS209" i="19"/>
  <c r="AR341" i="19"/>
  <c r="AS341" i="19"/>
  <c r="AR324" i="19"/>
  <c r="AS324" i="19"/>
  <c r="AR309" i="19"/>
  <c r="AS309" i="19"/>
  <c r="AR207" i="19"/>
  <c r="AS207" i="19"/>
  <c r="AR284" i="19"/>
  <c r="AS284" i="19"/>
  <c r="AR316" i="19"/>
  <c r="AS316" i="19"/>
  <c r="AR262" i="19"/>
  <c r="AS262" i="19"/>
  <c r="AR243" i="19"/>
  <c r="AS243" i="19"/>
  <c r="AR252" i="19"/>
  <c r="AS252" i="19"/>
  <c r="AR396" i="19"/>
  <c r="AS396" i="19"/>
  <c r="AR338" i="19"/>
  <c r="AS338" i="19"/>
  <c r="AR319" i="19"/>
  <c r="AS319" i="19"/>
  <c r="AR388" i="19"/>
  <c r="AS388" i="19"/>
  <c r="AR380" i="19"/>
  <c r="AS380" i="19"/>
  <c r="AR279" i="19"/>
  <c r="AS279" i="19"/>
  <c r="AR96" i="19"/>
  <c r="AS96" i="19"/>
  <c r="AR80" i="19"/>
  <c r="AS80" i="19"/>
  <c r="AR91" i="19"/>
  <c r="AS91" i="19"/>
  <c r="AR42" i="19"/>
  <c r="AS42" i="19"/>
  <c r="AR25" i="19"/>
  <c r="AS25" i="19"/>
  <c r="AR557" i="19"/>
  <c r="AS557" i="19"/>
  <c r="AR554" i="19"/>
  <c r="AS554" i="19"/>
  <c r="AR415" i="19"/>
  <c r="AS415" i="19"/>
  <c r="AR584" i="19"/>
  <c r="AS584" i="19"/>
  <c r="AR593" i="19"/>
  <c r="AS593" i="19"/>
  <c r="AR590" i="19"/>
  <c r="AS590" i="19"/>
  <c r="AR451" i="19"/>
  <c r="AS451" i="19"/>
  <c r="AR424" i="19"/>
  <c r="AS424" i="19"/>
  <c r="AR204" i="19"/>
  <c r="AS204" i="19"/>
  <c r="AR416" i="19"/>
  <c r="AS416" i="19"/>
  <c r="AR509" i="19"/>
  <c r="AS509" i="19"/>
  <c r="AR440" i="19"/>
  <c r="AS440" i="19"/>
  <c r="AR533" i="19"/>
  <c r="AS533" i="19"/>
  <c r="AR601" i="19"/>
  <c r="AS601" i="19"/>
  <c r="AR677" i="19"/>
  <c r="AS677" i="19"/>
  <c r="AR687" i="19"/>
  <c r="AS687" i="19"/>
  <c r="AR734" i="19"/>
  <c r="AS734" i="19"/>
  <c r="AR609" i="19"/>
  <c r="AS609" i="19"/>
  <c r="AR746" i="19"/>
  <c r="AS746" i="19"/>
  <c r="AR703" i="19"/>
  <c r="AS703" i="19"/>
  <c r="AR647" i="19"/>
  <c r="AS647" i="19"/>
  <c r="AR729" i="19"/>
  <c r="AS729" i="19"/>
  <c r="AR639" i="19"/>
  <c r="AS639" i="19"/>
  <c r="AR791" i="19"/>
  <c r="AS791" i="19"/>
  <c r="AR739" i="19"/>
  <c r="AS739" i="19"/>
  <c r="AR637" i="19"/>
  <c r="AS637" i="19"/>
  <c r="AR708" i="19"/>
  <c r="AS708" i="19"/>
  <c r="AR629" i="19"/>
  <c r="AS629" i="19"/>
  <c r="AR663" i="19"/>
  <c r="AS663" i="19"/>
  <c r="AR658" i="19"/>
  <c r="AS658" i="19"/>
  <c r="AR638" i="19"/>
  <c r="AS638" i="19"/>
  <c r="AR672" i="19"/>
  <c r="AS672" i="19"/>
  <c r="AR619" i="19"/>
  <c r="AS619" i="19"/>
  <c r="AR13" i="19"/>
  <c r="AS13" i="19"/>
  <c r="AR796" i="19"/>
  <c r="AS796" i="19"/>
  <c r="AR3" i="19"/>
  <c r="AQ281" i="19"/>
  <c r="AR281" i="19"/>
  <c r="AQ220" i="19"/>
  <c r="AR220" i="19"/>
  <c r="AQ289" i="19"/>
  <c r="AR289" i="19"/>
  <c r="AQ273" i="19"/>
  <c r="AR273" i="19"/>
  <c r="AQ17" i="19"/>
  <c r="AR17" i="19"/>
  <c r="AQ208" i="19"/>
  <c r="AR208" i="19"/>
  <c r="AQ21" i="19"/>
  <c r="AR21" i="19"/>
  <c r="AQ116" i="19"/>
  <c r="AR116" i="19"/>
  <c r="AQ230" i="19"/>
  <c r="AR230" i="19"/>
  <c r="AQ287" i="19"/>
  <c r="AR287" i="19"/>
  <c r="AQ370" i="19"/>
  <c r="AR370" i="19"/>
  <c r="AQ211" i="19"/>
  <c r="AR211" i="19"/>
  <c r="AQ274" i="19"/>
  <c r="AR274" i="19"/>
  <c r="AQ11" i="19"/>
  <c r="AR11" i="19"/>
  <c r="AQ27" i="19"/>
  <c r="AR27" i="19"/>
  <c r="AQ54" i="19"/>
  <c r="AR54" i="19"/>
  <c r="AQ9" i="19"/>
  <c r="AR9" i="19"/>
  <c r="AQ290" i="19"/>
  <c r="AR290" i="19"/>
  <c r="AQ41" i="19"/>
  <c r="AR41" i="19"/>
  <c r="AQ50" i="19"/>
  <c r="AR50" i="19"/>
  <c r="AQ268" i="19"/>
  <c r="AR268" i="19"/>
  <c r="AQ276" i="19"/>
  <c r="AR276" i="19"/>
  <c r="AQ272" i="19"/>
  <c r="AR272" i="19"/>
  <c r="AQ24" i="19"/>
  <c r="AR24" i="19"/>
  <c r="AQ18" i="19"/>
  <c r="AR18" i="19"/>
  <c r="AQ190" i="19"/>
  <c r="AR190" i="19"/>
  <c r="AQ39" i="19"/>
  <c r="AR39" i="19"/>
  <c r="AQ200" i="19"/>
  <c r="AR200" i="19"/>
  <c r="AQ286" i="19"/>
  <c r="AR286" i="19"/>
  <c r="AQ113" i="19"/>
  <c r="AR113" i="19"/>
  <c r="AQ7" i="19"/>
  <c r="AR7" i="19"/>
  <c r="AQ305" i="19"/>
  <c r="AR305" i="19"/>
  <c r="AQ122" i="19"/>
  <c r="AR122" i="19"/>
  <c r="AQ6" i="19"/>
  <c r="AR6" i="19"/>
  <c r="AQ294" i="19"/>
  <c r="AR294" i="19"/>
  <c r="AQ288" i="19"/>
  <c r="AR288" i="19"/>
  <c r="AQ36" i="19"/>
  <c r="AR36" i="19"/>
  <c r="AQ3" i="19"/>
  <c r="AQ137" i="19"/>
  <c r="AQ164" i="19"/>
  <c r="AQ187" i="19"/>
  <c r="AQ121" i="19"/>
  <c r="AQ136" i="19"/>
  <c r="AQ178" i="19"/>
  <c r="AQ171" i="19"/>
  <c r="AQ8" i="19"/>
  <c r="AQ330" i="19"/>
  <c r="AQ317" i="19"/>
  <c r="AQ245" i="19"/>
  <c r="AQ228" i="19"/>
  <c r="AQ213" i="19"/>
  <c r="AQ304" i="19"/>
  <c r="AQ321" i="19"/>
  <c r="AQ347" i="19"/>
  <c r="AQ308" i="19"/>
  <c r="AQ340" i="19"/>
  <c r="AQ371" i="19"/>
  <c r="AQ242" i="19"/>
  <c r="AQ223" i="19"/>
  <c r="AQ234" i="19"/>
  <c r="AQ325" i="19"/>
  <c r="AQ355" i="19"/>
  <c r="AQ280" i="19"/>
  <c r="AQ75" i="19"/>
  <c r="AQ549" i="19"/>
  <c r="AQ510" i="19"/>
  <c r="AQ507" i="19"/>
  <c r="AQ552" i="19"/>
  <c r="AQ585" i="19"/>
  <c r="AQ546" i="19"/>
  <c r="AQ543" i="19"/>
  <c r="AQ588" i="19"/>
  <c r="AQ445" i="19"/>
  <c r="AQ553" i="19"/>
  <c r="AQ501" i="19"/>
  <c r="AQ469" i="19"/>
  <c r="AQ577" i="19"/>
  <c r="AQ525" i="19"/>
  <c r="AQ205" i="19"/>
  <c r="AQ530" i="19"/>
  <c r="AQ654" i="19"/>
  <c r="AQ689" i="19"/>
  <c r="AQ681" i="19"/>
  <c r="AQ778" i="19"/>
  <c r="AQ764" i="19"/>
  <c r="AQ760" i="19"/>
  <c r="AQ730" i="19"/>
  <c r="AQ777" i="19"/>
  <c r="AQ616" i="19"/>
  <c r="AQ774" i="19"/>
  <c r="AQ692" i="19"/>
  <c r="AQ606" i="19"/>
  <c r="AQ741" i="19"/>
  <c r="AQ785" i="19"/>
  <c r="AQ704" i="19"/>
  <c r="AQ713" i="19"/>
  <c r="AQ756" i="19"/>
  <c r="AQ74" i="19"/>
  <c r="AQ101" i="19"/>
  <c r="AQ128" i="19"/>
  <c r="AQ189" i="19"/>
  <c r="AQ163" i="19"/>
  <c r="AQ105" i="19"/>
  <c r="AQ131" i="19"/>
  <c r="AQ167" i="19"/>
  <c r="AQ172" i="19"/>
  <c r="AQ366" i="19"/>
  <c r="AQ306" i="19"/>
  <c r="AQ246" i="19"/>
  <c r="AQ221" i="19"/>
  <c r="AQ329" i="19"/>
  <c r="AQ361" i="19"/>
  <c r="AQ334" i="19"/>
  <c r="AQ225" i="19"/>
  <c r="AQ263" i="19"/>
  <c r="AQ345" i="19"/>
  <c r="AQ244" i="19"/>
  <c r="AQ384" i="19"/>
  <c r="AQ326" i="19"/>
  <c r="AQ375" i="19"/>
  <c r="AQ356" i="19"/>
  <c r="AQ362" i="19"/>
  <c r="AQ298" i="19"/>
  <c r="AQ271" i="19"/>
  <c r="AQ76" i="19"/>
  <c r="AQ92" i="19"/>
  <c r="AQ85" i="19"/>
  <c r="AQ29" i="19"/>
  <c r="AQ59" i="19"/>
  <c r="AQ45" i="19"/>
  <c r="AQ502" i="19"/>
  <c r="AQ470" i="19"/>
  <c r="AQ467" i="19"/>
  <c r="AQ493" i="19"/>
  <c r="AQ538" i="19"/>
  <c r="AQ499" i="19"/>
  <c r="AQ508" i="19"/>
  <c r="AQ529" i="19"/>
  <c r="AQ425" i="19"/>
  <c r="AQ582" i="19"/>
  <c r="AQ203" i="19"/>
  <c r="AQ449" i="19"/>
  <c r="AQ422" i="19"/>
  <c r="AQ506" i="19"/>
  <c r="AQ473" i="19"/>
  <c r="AQ446" i="19"/>
  <c r="AQ202" i="19"/>
  <c r="AQ631" i="19"/>
  <c r="AQ666" i="19"/>
  <c r="AQ783" i="19"/>
  <c r="AQ627" i="19"/>
  <c r="AQ773" i="19"/>
  <c r="AQ707" i="19"/>
  <c r="AQ765" i="19"/>
  <c r="AQ633" i="19"/>
  <c r="AQ622" i="19"/>
  <c r="AQ751" i="19"/>
  <c r="AQ723" i="19"/>
  <c r="AQ755" i="19"/>
  <c r="AQ787" i="19"/>
  <c r="AQ664" i="19"/>
  <c r="AQ685" i="19"/>
  <c r="AQ745" i="19"/>
  <c r="AQ19" i="19"/>
  <c r="AQ162" i="19"/>
  <c r="AQ161" i="19"/>
  <c r="AQ197" i="19"/>
  <c r="AQ145" i="19"/>
  <c r="AQ106" i="19"/>
  <c r="AQ130" i="19"/>
  <c r="AQ144" i="19"/>
  <c r="AQ180" i="19"/>
  <c r="AQ353" i="19"/>
  <c r="AQ210" i="19"/>
  <c r="AQ342" i="19"/>
  <c r="AQ233" i="19"/>
  <c r="AQ398" i="19"/>
  <c r="AQ238" i="19"/>
  <c r="AQ346" i="19"/>
  <c r="AQ360" i="19"/>
  <c r="AQ249" i="19"/>
  <c r="AQ277" i="19"/>
  <c r="AQ307" i="19"/>
  <c r="AQ259" i="19"/>
  <c r="AQ393" i="19"/>
  <c r="AQ266" i="19"/>
  <c r="AQ392" i="19"/>
  <c r="AQ97" i="19"/>
  <c r="AQ37" i="19"/>
  <c r="AQ35" i="19"/>
  <c r="AQ57" i="19"/>
  <c r="AQ51" i="19"/>
  <c r="AQ450" i="19"/>
  <c r="AQ411" i="19"/>
  <c r="AQ432" i="19"/>
  <c r="AQ441" i="19"/>
  <c r="AQ486" i="19"/>
  <c r="AQ447" i="19"/>
  <c r="AQ468" i="19"/>
  <c r="AQ477" i="19"/>
  <c r="AQ574" i="19"/>
  <c r="AQ535" i="19"/>
  <c r="AQ442" i="19"/>
  <c r="AQ598" i="19"/>
  <c r="AQ559" i="19"/>
  <c r="AQ466" i="19"/>
  <c r="AQ426" i="19"/>
  <c r="AQ583" i="19"/>
  <c r="AQ443" i="19"/>
  <c r="AQ768" i="19"/>
  <c r="AQ643" i="19"/>
  <c r="AQ706" i="19"/>
  <c r="AQ758" i="19"/>
  <c r="AQ738" i="19"/>
  <c r="AQ679" i="19"/>
  <c r="AQ742" i="19"/>
  <c r="AQ789" i="19"/>
  <c r="AQ628" i="19"/>
  <c r="AQ695" i="19"/>
  <c r="AQ720" i="19"/>
  <c r="AQ641" i="19"/>
  <c r="AQ657" i="19"/>
  <c r="AQ650" i="19"/>
  <c r="AQ771" i="19"/>
  <c r="AQ20" i="19"/>
  <c r="AQ798" i="19"/>
  <c r="AQ795" i="19"/>
  <c r="AQ73" i="19"/>
  <c r="AQ99" i="19"/>
  <c r="AQ186" i="19"/>
  <c r="AQ176" i="19"/>
  <c r="AQ146" i="19"/>
  <c r="AQ108" i="19"/>
  <c r="AQ119" i="19"/>
  <c r="AQ123" i="19"/>
  <c r="AQ152" i="19"/>
  <c r="AQ110" i="19"/>
  <c r="AQ115" i="19"/>
  <c r="AQ269" i="19"/>
  <c r="AQ354" i="19"/>
  <c r="AQ291" i="19"/>
  <c r="AQ323" i="19"/>
  <c r="AQ250" i="19"/>
  <c r="AQ397" i="19"/>
  <c r="AQ314" i="19"/>
  <c r="AQ363" i="19"/>
  <c r="AQ376" i="19"/>
  <c r="AQ399" i="19"/>
  <c r="AQ300" i="19"/>
  <c r="AQ285" i="19"/>
  <c r="AQ81" i="19"/>
  <c r="AQ32" i="19"/>
  <c r="AQ63" i="19"/>
  <c r="AQ52" i="19"/>
  <c r="AQ587" i="19"/>
  <c r="AQ560" i="19"/>
  <c r="AQ569" i="19"/>
  <c r="AQ566" i="19"/>
  <c r="AQ427" i="19"/>
  <c r="AQ596" i="19"/>
  <c r="AQ421" i="19"/>
  <c r="AQ418" i="19"/>
  <c r="AQ515" i="19"/>
  <c r="AQ483" i="19"/>
  <c r="AQ579" i="19"/>
  <c r="AQ539" i="19"/>
  <c r="AQ512" i="19"/>
  <c r="AQ419" i="19"/>
  <c r="AQ563" i="19"/>
  <c r="AQ536" i="19"/>
  <c r="AQ592" i="19"/>
  <c r="AQ757" i="19"/>
  <c r="AQ608" i="19"/>
  <c r="AQ678" i="19"/>
  <c r="AQ780" i="19"/>
  <c r="AQ715" i="19"/>
  <c r="AQ656" i="19"/>
  <c r="AQ719" i="19"/>
  <c r="AQ605" i="19"/>
  <c r="AQ651" i="19"/>
  <c r="AQ660" i="19"/>
  <c r="AQ709" i="19"/>
  <c r="AQ618" i="19"/>
  <c r="AQ698" i="19"/>
  <c r="AQ670" i="19"/>
  <c r="AQ716" i="19"/>
  <c r="AQ700" i="19"/>
  <c r="AQ100" i="19"/>
  <c r="AQ195" i="19"/>
  <c r="AQ193" i="19"/>
  <c r="AQ169" i="19"/>
  <c r="AQ124" i="19"/>
  <c r="AQ141" i="19"/>
  <c r="AQ159" i="19"/>
  <c r="AQ177" i="19"/>
  <c r="AQ378" i="19"/>
  <c r="AQ401" i="19"/>
  <c r="AQ248" i="19"/>
  <c r="AQ367" i="19"/>
  <c r="AQ292" i="19"/>
  <c r="AQ227" i="19"/>
  <c r="AQ335" i="19"/>
  <c r="AQ251" i="19"/>
  <c r="AQ218" i="19"/>
  <c r="AQ295" i="19"/>
  <c r="AQ267" i="19"/>
  <c r="AQ344" i="19"/>
  <c r="AQ257" i="19"/>
  <c r="AQ241" i="19"/>
  <c r="AQ331" i="19"/>
  <c r="AQ400" i="19"/>
  <c r="AQ337" i="19"/>
  <c r="AQ310" i="19"/>
  <c r="AQ95" i="19"/>
  <c r="AQ44" i="19"/>
  <c r="AQ28" i="19"/>
  <c r="AQ66" i="19"/>
  <c r="AQ64" i="19"/>
  <c r="AQ56" i="19"/>
  <c r="AQ528" i="19"/>
  <c r="AQ561" i="19"/>
  <c r="AQ522" i="19"/>
  <c r="AQ519" i="19"/>
  <c r="AQ564" i="19"/>
  <c r="AQ597" i="19"/>
  <c r="AQ558" i="19"/>
  <c r="AQ555" i="19"/>
  <c r="AQ463" i="19"/>
  <c r="AQ436" i="19"/>
  <c r="AQ544" i="19"/>
  <c r="AQ487" i="19"/>
  <c r="AQ460" i="19"/>
  <c r="AQ568" i="19"/>
  <c r="AQ504" i="19"/>
  <c r="AQ484" i="19"/>
  <c r="AQ545" i="19"/>
  <c r="AQ611" i="19"/>
  <c r="AQ769" i="19"/>
  <c r="AQ655" i="19"/>
  <c r="AQ776" i="19"/>
  <c r="AQ684" i="19"/>
  <c r="AQ691" i="19"/>
  <c r="AQ754" i="19"/>
  <c r="AQ705" i="19"/>
  <c r="AQ634" i="19"/>
  <c r="AQ649" i="19"/>
  <c r="AQ735" i="19"/>
  <c r="AQ767" i="19"/>
  <c r="AQ793" i="19"/>
  <c r="AQ676" i="19"/>
  <c r="AQ725" i="19"/>
  <c r="AQ10" i="19"/>
  <c r="AQ104" i="19"/>
  <c r="AQ125" i="19"/>
  <c r="AQ196" i="19"/>
  <c r="AQ182" i="19"/>
  <c r="AQ132" i="19"/>
  <c r="AQ129" i="19"/>
  <c r="AQ166" i="19"/>
  <c r="AQ188" i="19"/>
  <c r="AQ191" i="19"/>
  <c r="AQ365" i="19"/>
  <c r="AQ282" i="19"/>
  <c r="AQ404" i="19"/>
  <c r="AQ336" i="19"/>
  <c r="AQ239" i="19"/>
  <c r="AQ327" i="19"/>
  <c r="AQ359" i="19"/>
  <c r="AQ351" i="19"/>
  <c r="AQ332" i="19"/>
  <c r="AQ364" i="19"/>
  <c r="AQ381" i="19"/>
  <c r="AQ407" i="19"/>
  <c r="AQ235" i="19"/>
  <c r="AQ270" i="19"/>
  <c r="AQ374" i="19"/>
  <c r="AQ214" i="19"/>
  <c r="AQ87" i="19"/>
  <c r="AQ86" i="19"/>
  <c r="AQ26" i="19"/>
  <c r="AQ22" i="19"/>
  <c r="AQ65" i="19"/>
  <c r="AQ68" i="19"/>
  <c r="AQ476" i="19"/>
  <c r="AQ514" i="19"/>
  <c r="AQ482" i="19"/>
  <c r="AQ479" i="19"/>
  <c r="AQ505" i="19"/>
  <c r="AQ550" i="19"/>
  <c r="AQ511" i="19"/>
  <c r="AQ520" i="19"/>
  <c r="AQ600" i="19"/>
  <c r="AQ497" i="19"/>
  <c r="AQ428" i="19"/>
  <c r="AQ521" i="19"/>
  <c r="AQ452" i="19"/>
  <c r="AQ537" i="19"/>
  <c r="AQ498" i="19"/>
  <c r="AQ669" i="19"/>
  <c r="AQ712" i="19"/>
  <c r="AQ623" i="19"/>
  <c r="AQ632" i="19"/>
  <c r="AQ717" i="19"/>
  <c r="AQ659" i="19"/>
  <c r="AQ668" i="19"/>
  <c r="AQ731" i="19"/>
  <c r="AQ614" i="19"/>
  <c r="AQ736" i="19"/>
  <c r="AQ732" i="19"/>
  <c r="AQ653" i="19"/>
  <c r="AQ603" i="19"/>
  <c r="AQ697" i="19"/>
  <c r="AQ14" i="19"/>
  <c r="AQ70" i="19"/>
  <c r="AQ15" i="19"/>
  <c r="AQ103" i="19"/>
  <c r="AQ150" i="19"/>
  <c r="AQ126" i="19"/>
  <c r="AQ139" i="19"/>
  <c r="AQ175" i="19"/>
  <c r="AQ111" i="19"/>
  <c r="AQ157" i="19"/>
  <c r="AQ155" i="19"/>
  <c r="AQ160" i="19"/>
  <c r="AQ134" i="19"/>
  <c r="AQ258" i="19"/>
  <c r="AQ377" i="19"/>
  <c r="AQ389" i="19"/>
  <c r="AQ297" i="19"/>
  <c r="AQ240" i="19"/>
  <c r="AQ348" i="19"/>
  <c r="AQ403" i="19"/>
  <c r="AQ231" i="19"/>
  <c r="AQ372" i="19"/>
  <c r="AQ283" i="19"/>
  <c r="AQ255" i="19"/>
  <c r="AQ369" i="19"/>
  <c r="AQ406" i="19"/>
  <c r="AQ368" i="19"/>
  <c r="AQ299" i="19"/>
  <c r="AQ78" i="19"/>
  <c r="AQ82" i="19"/>
  <c r="AQ88" i="19"/>
  <c r="AQ79" i="19"/>
  <c r="AQ62" i="19"/>
  <c r="AQ55" i="19"/>
  <c r="AQ417" i="19"/>
  <c r="AQ462" i="19"/>
  <c r="AQ423" i="19"/>
  <c r="AQ444" i="19"/>
  <c r="AQ453" i="19"/>
  <c r="AQ491" i="19"/>
  <c r="AQ459" i="19"/>
  <c r="AQ480" i="19"/>
  <c r="AQ541" i="19"/>
  <c r="AQ489" i="19"/>
  <c r="AQ457" i="19"/>
  <c r="AQ565" i="19"/>
  <c r="AQ513" i="19"/>
  <c r="AQ481" i="19"/>
  <c r="AQ589" i="19"/>
  <c r="AQ490" i="19"/>
  <c r="AQ458" i="19"/>
  <c r="AQ722" i="19"/>
  <c r="AQ737" i="19"/>
  <c r="AQ724" i="19"/>
  <c r="AQ694" i="19"/>
  <c r="AQ718" i="19"/>
  <c r="AQ693" i="19"/>
  <c r="AQ772" i="19"/>
  <c r="AQ699" i="19"/>
  <c r="AQ620" i="19"/>
  <c r="AQ779" i="19"/>
  <c r="AQ763" i="19"/>
  <c r="AQ696" i="19"/>
  <c r="AQ721" i="19"/>
  <c r="AQ630" i="19"/>
  <c r="AQ675" i="19"/>
  <c r="AQ662" i="19"/>
  <c r="AQ800" i="19"/>
  <c r="AQ797" i="19"/>
  <c r="AQ72" i="19"/>
  <c r="AQ5" i="19"/>
  <c r="AQ149" i="19"/>
  <c r="AQ158" i="19"/>
  <c r="AQ118" i="19"/>
  <c r="AQ112" i="19"/>
  <c r="AQ154" i="19"/>
  <c r="AQ168" i="19"/>
  <c r="AQ165" i="19"/>
  <c r="AQ183" i="19"/>
  <c r="AQ390" i="19"/>
  <c r="AQ402" i="19"/>
  <c r="AQ212" i="19"/>
  <c r="AQ322" i="19"/>
  <c r="AQ373" i="19"/>
  <c r="AQ385" i="19"/>
  <c r="AQ296" i="19"/>
  <c r="AQ328" i="19"/>
  <c r="AQ253" i="19"/>
  <c r="AQ320" i="19"/>
  <c r="AQ352" i="19"/>
  <c r="AQ264" i="19"/>
  <c r="AQ395" i="19"/>
  <c r="AQ313" i="19"/>
  <c r="AQ224" i="19"/>
  <c r="AQ260" i="19"/>
  <c r="AQ312" i="19"/>
  <c r="AQ90" i="19"/>
  <c r="AQ84" i="19"/>
  <c r="AQ98" i="19"/>
  <c r="AQ38" i="19"/>
  <c r="AQ33" i="19"/>
  <c r="AQ67" i="19"/>
  <c r="AQ53" i="19"/>
  <c r="AQ49" i="19"/>
  <c r="AQ542" i="19"/>
  <c r="AQ599" i="19"/>
  <c r="AQ572" i="19"/>
  <c r="AQ581" i="19"/>
  <c r="AQ578" i="19"/>
  <c r="AQ439" i="19"/>
  <c r="AQ412" i="19"/>
  <c r="AQ433" i="19"/>
  <c r="AQ201" i="19"/>
  <c r="AQ437" i="19"/>
  <c r="AQ594" i="19"/>
  <c r="AQ494" i="19"/>
  <c r="AQ461" i="19"/>
  <c r="AQ434" i="19"/>
  <c r="AQ518" i="19"/>
  <c r="AQ438" i="19"/>
  <c r="AQ595" i="19"/>
  <c r="AQ790" i="19"/>
  <c r="AQ702" i="19"/>
  <c r="AQ749" i="19"/>
  <c r="AQ635" i="19"/>
  <c r="AQ690" i="19"/>
  <c r="AQ770" i="19"/>
  <c r="AQ613" i="19"/>
  <c r="AQ671" i="19"/>
  <c r="AQ680" i="19"/>
  <c r="AQ640" i="19"/>
  <c r="AQ661" i="19"/>
  <c r="AQ747" i="19"/>
  <c r="AQ607" i="19"/>
  <c r="AQ753" i="19"/>
  <c r="AQ710" i="19"/>
  <c r="AQ728" i="19"/>
  <c r="AQ71" i="19"/>
  <c r="AQ4" i="19"/>
  <c r="AQ174" i="19"/>
  <c r="AQ185" i="19"/>
  <c r="AQ151" i="19"/>
  <c r="AQ107" i="19"/>
  <c r="AQ181" i="19"/>
  <c r="AQ147" i="19"/>
  <c r="AQ184" i="19"/>
  <c r="AQ293" i="19"/>
  <c r="AQ226" i="19"/>
  <c r="AQ217" i="19"/>
  <c r="AQ278" i="19"/>
  <c r="AQ333" i="19"/>
  <c r="AQ232" i="19"/>
  <c r="AQ409" i="19"/>
  <c r="AQ357" i="19"/>
  <c r="AQ256" i="19"/>
  <c r="AQ394" i="19"/>
  <c r="AQ265" i="19"/>
  <c r="AQ350" i="19"/>
  <c r="AQ405" i="19"/>
  <c r="AQ216" i="19"/>
  <c r="AQ93" i="19"/>
  <c r="AQ30" i="19"/>
  <c r="AQ61" i="19"/>
  <c r="AQ46" i="19"/>
  <c r="AQ495" i="19"/>
  <c r="AQ540" i="19"/>
  <c r="AQ573" i="19"/>
  <c r="AQ534" i="19"/>
  <c r="AQ531" i="19"/>
  <c r="AQ576" i="19"/>
  <c r="AQ413" i="19"/>
  <c r="AQ570" i="19"/>
  <c r="AQ430" i="19"/>
  <c r="AQ586" i="19"/>
  <c r="AQ547" i="19"/>
  <c r="AQ454" i="19"/>
  <c r="AQ414" i="19"/>
  <c r="AQ571" i="19"/>
  <c r="AQ478" i="19"/>
  <c r="AQ575" i="19"/>
  <c r="AQ548" i="19"/>
  <c r="AQ794" i="19"/>
  <c r="AQ674" i="19"/>
  <c r="AQ714" i="19"/>
  <c r="AQ748" i="19"/>
  <c r="AQ667" i="19"/>
  <c r="AQ782" i="19"/>
  <c r="AQ750" i="19"/>
  <c r="AQ636" i="19"/>
  <c r="AQ711" i="19"/>
  <c r="AQ617" i="19"/>
  <c r="AQ645" i="19"/>
  <c r="AQ646" i="19"/>
  <c r="AQ626" i="19"/>
  <c r="AQ612" i="19"/>
  <c r="AQ744" i="19"/>
  <c r="AQ682" i="19"/>
  <c r="AQ688" i="19"/>
  <c r="AQ16" i="19"/>
  <c r="AQ133" i="19"/>
  <c r="AQ109" i="19"/>
  <c r="AQ199" i="19"/>
  <c r="AQ143" i="19"/>
  <c r="AQ140" i="19"/>
  <c r="AQ179" i="19"/>
  <c r="AQ318" i="19"/>
  <c r="AQ311" i="19"/>
  <c r="AQ379" i="19"/>
  <c r="AQ410" i="19"/>
  <c r="AQ315" i="19"/>
  <c r="AQ237" i="19"/>
  <c r="AQ302" i="19"/>
  <c r="AQ261" i="19"/>
  <c r="AQ383" i="19"/>
  <c r="AQ408" i="19"/>
  <c r="AQ254" i="19"/>
  <c r="AQ343" i="19"/>
  <c r="AQ349" i="19"/>
  <c r="AQ77" i="19"/>
  <c r="AQ94" i="19"/>
  <c r="AQ31" i="19"/>
  <c r="AQ34" i="19"/>
  <c r="Y43" i="59"/>
  <c r="AQ40" i="19"/>
  <c r="AQ58" i="19"/>
  <c r="AQ48" i="19"/>
  <c r="AQ455" i="19"/>
  <c r="AQ488" i="19"/>
  <c r="AQ526" i="19"/>
  <c r="AQ206" i="19"/>
  <c r="AQ496" i="19"/>
  <c r="AQ517" i="19"/>
  <c r="AQ562" i="19"/>
  <c r="AQ523" i="19"/>
  <c r="AQ567" i="19"/>
  <c r="AQ527" i="19"/>
  <c r="AQ500" i="19"/>
  <c r="AQ591" i="19"/>
  <c r="AQ551" i="19"/>
  <c r="AQ524" i="19"/>
  <c r="AQ431" i="19"/>
  <c r="AQ516" i="19"/>
  <c r="AQ485" i="19"/>
  <c r="AQ786" i="19"/>
  <c r="AQ740" i="19"/>
  <c r="AQ686" i="19"/>
  <c r="AQ761" i="19"/>
  <c r="AQ644" i="19"/>
  <c r="AQ784" i="19"/>
  <c r="AQ727" i="19"/>
  <c r="AQ625" i="19"/>
  <c r="AQ683" i="19"/>
  <c r="AQ766" i="19"/>
  <c r="AQ792" i="19"/>
  <c r="AQ775" i="19"/>
  <c r="AQ701" i="19"/>
  <c r="AQ733" i="19"/>
  <c r="AQ665" i="19"/>
  <c r="AQ69" i="19"/>
  <c r="AQ173" i="19"/>
  <c r="AQ114" i="19"/>
  <c r="AQ170" i="19"/>
  <c r="AQ120" i="19"/>
  <c r="AQ117" i="19"/>
  <c r="AQ156" i="19"/>
  <c r="AQ148" i="19"/>
  <c r="AQ192" i="19"/>
  <c r="AQ222" i="19"/>
  <c r="AQ215" i="19"/>
  <c r="AQ236" i="19"/>
  <c r="AQ303" i="19"/>
  <c r="AQ391" i="19"/>
  <c r="AQ219" i="19"/>
  <c r="AQ358" i="19"/>
  <c r="AQ339" i="19"/>
  <c r="AQ382" i="19"/>
  <c r="AQ229" i="19"/>
  <c r="AQ301" i="19"/>
  <c r="AQ387" i="19"/>
  <c r="AQ275" i="19"/>
  <c r="AQ247" i="19"/>
  <c r="AQ386" i="19"/>
  <c r="AQ89" i="19"/>
  <c r="AQ83" i="19"/>
  <c r="AQ43" i="19"/>
  <c r="AQ23" i="19"/>
  <c r="AQ12" i="19"/>
  <c r="AQ60" i="19"/>
  <c r="AQ47" i="19"/>
  <c r="AQ420" i="19"/>
  <c r="AQ429" i="19"/>
  <c r="AQ474" i="19"/>
  <c r="AQ435" i="19"/>
  <c r="AQ456" i="19"/>
  <c r="AQ465" i="19"/>
  <c r="AQ503" i="19"/>
  <c r="AQ471" i="19"/>
  <c r="AQ532" i="19"/>
  <c r="AQ475" i="19"/>
  <c r="AQ448" i="19"/>
  <c r="AQ556" i="19"/>
  <c r="AQ492" i="19"/>
  <c r="AQ472" i="19"/>
  <c r="AQ580" i="19"/>
  <c r="AQ464" i="19"/>
  <c r="AQ602" i="19"/>
  <c r="AQ788" i="19"/>
  <c r="AQ615" i="19"/>
  <c r="AQ752" i="19"/>
  <c r="AQ726" i="19"/>
  <c r="AQ624" i="19"/>
  <c r="AQ604" i="19"/>
  <c r="AQ610" i="19"/>
  <c r="AQ762" i="19"/>
  <c r="AQ648" i="19"/>
  <c r="AQ743" i="19"/>
  <c r="AQ781" i="19"/>
  <c r="AQ652" i="19"/>
  <c r="AQ673" i="19"/>
  <c r="AQ759" i="19"/>
  <c r="AQ642" i="19"/>
  <c r="AQ799" i="19"/>
  <c r="AQ102" i="19"/>
  <c r="AQ138" i="19"/>
  <c r="AQ198" i="19"/>
  <c r="AQ127" i="19"/>
  <c r="AQ194" i="19"/>
  <c r="AQ142" i="19"/>
  <c r="AQ135" i="19"/>
  <c r="AQ153" i="19"/>
  <c r="AQ209" i="19"/>
  <c r="AQ341" i="19"/>
  <c r="AQ324" i="19"/>
  <c r="AQ309" i="19"/>
  <c r="AQ207" i="19"/>
  <c r="AQ284" i="19"/>
  <c r="AQ316" i="19"/>
  <c r="AQ262" i="19"/>
  <c r="AQ243" i="19"/>
  <c r="AQ252" i="19"/>
  <c r="AQ396" i="19"/>
  <c r="AQ338" i="19"/>
  <c r="AQ319" i="19"/>
  <c r="AQ388" i="19"/>
  <c r="AQ380" i="19"/>
  <c r="AQ279" i="19"/>
  <c r="AQ96" i="19"/>
  <c r="AQ80" i="19"/>
  <c r="AQ91" i="19"/>
  <c r="AQ42" i="19"/>
  <c r="AQ25" i="19"/>
  <c r="AQ557" i="19"/>
  <c r="AQ554" i="19"/>
  <c r="AQ415" i="19"/>
  <c r="AQ584" i="19"/>
  <c r="AQ593" i="19"/>
  <c r="AQ590" i="19"/>
  <c r="AQ451" i="19"/>
  <c r="AQ424" i="19"/>
  <c r="AQ204" i="19"/>
  <c r="AQ416" i="19"/>
  <c r="AQ509" i="19"/>
  <c r="AQ440" i="19"/>
  <c r="AQ533" i="19"/>
  <c r="AQ601" i="19"/>
  <c r="AQ677" i="19"/>
  <c r="AQ687" i="19"/>
  <c r="AQ734" i="19"/>
  <c r="AQ609" i="19"/>
  <c r="AQ746" i="19"/>
  <c r="AQ703" i="19"/>
  <c r="AQ647" i="19"/>
  <c r="AQ729" i="19"/>
  <c r="AQ639" i="19"/>
  <c r="AQ791" i="19"/>
  <c r="AQ739" i="19"/>
  <c r="AQ637" i="19"/>
  <c r="AQ708" i="19"/>
  <c r="AQ629" i="19"/>
  <c r="AQ663" i="19"/>
  <c r="AQ658" i="19"/>
  <c r="AQ638" i="19"/>
  <c r="AQ672" i="19"/>
  <c r="AQ619" i="19"/>
  <c r="AQ13" i="19"/>
  <c r="AQ796" i="19"/>
  <c r="Y44" i="59"/>
  <c r="O44" i="59"/>
  <c r="AB49" i="59"/>
  <c r="R49" i="59"/>
  <c r="Z43" i="59"/>
  <c r="Y48" i="59"/>
  <c r="O48" i="59"/>
  <c r="N44" i="59"/>
  <c r="X44" i="59"/>
  <c r="Z44" i="59"/>
  <c r="P44" i="59"/>
  <c r="AA48" i="59"/>
  <c r="Q48" i="59"/>
  <c r="X43" i="59"/>
  <c r="P45" i="59"/>
  <c r="AC45" i="59"/>
  <c r="S45" i="59"/>
  <c r="AA43" i="59"/>
  <c r="AA44" i="59"/>
  <c r="Q44" i="59"/>
  <c r="S29" i="59"/>
  <c r="AC29" i="59"/>
  <c r="S40" i="59"/>
  <c r="AC40" i="59"/>
  <c r="D213" i="56"/>
  <c r="AB213" i="56"/>
  <c r="AL51" i="56"/>
  <c r="U51" i="56"/>
  <c r="AB106" i="56"/>
  <c r="V159" i="56" a="1"/>
  <c r="V159" i="56" s="1"/>
  <c r="N159" i="56"/>
  <c r="M198" i="75" s="1"/>
  <c r="G159" i="56"/>
  <c r="G198" i="75" s="1"/>
  <c r="S159" i="56"/>
  <c r="H159" i="56"/>
  <c r="H198" i="75" s="1"/>
  <c r="O159" i="56"/>
  <c r="N198" i="75" s="1"/>
  <c r="I159" i="56"/>
  <c r="B198" i="75" s="1"/>
  <c r="D159" i="56"/>
  <c r="J159" i="56"/>
  <c r="I198" i="75" s="1"/>
  <c r="P159" i="56"/>
  <c r="K159" i="56"/>
  <c r="J198" i="75" s="1"/>
  <c r="Q159" i="56"/>
  <c r="F159" i="56"/>
  <c r="L159" i="56"/>
  <c r="K198" i="75" s="1"/>
  <c r="R159" i="56"/>
  <c r="M159" i="56"/>
  <c r="L198" i="75" s="1"/>
  <c r="AB159" i="56"/>
  <c r="AB40" i="59"/>
  <c r="R40" i="59"/>
  <c r="P27" i="59"/>
  <c r="Z27" i="59"/>
  <c r="S48" i="59"/>
  <c r="AC48" i="59"/>
  <c r="AA38" i="59"/>
  <c r="Q38" i="59"/>
  <c r="AA47" i="59"/>
  <c r="Q47" i="59"/>
  <c r="Z38" i="59"/>
  <c r="P38" i="59"/>
  <c r="Y47" i="59"/>
  <c r="O47" i="59"/>
  <c r="N38" i="59"/>
  <c r="X38" i="59"/>
  <c r="X47" i="59"/>
  <c r="N47" i="59"/>
  <c r="Z32" i="59"/>
  <c r="P32" i="59"/>
  <c r="N36" i="59"/>
  <c r="X36" i="59"/>
  <c r="R29" i="59"/>
  <c r="AB29" i="59"/>
  <c r="S37" i="59"/>
  <c r="AC37" i="59"/>
  <c r="Z40" i="59"/>
  <c r="P40" i="59"/>
  <c r="O27" i="59"/>
  <c r="Y27" i="59"/>
  <c r="Q27" i="59"/>
  <c r="AA27" i="59"/>
  <c r="AA50" i="59"/>
  <c r="Q50" i="59"/>
  <c r="O31" i="59"/>
  <c r="Y31" i="59"/>
  <c r="X31" i="59"/>
  <c r="N31" i="59"/>
  <c r="Y38" i="59"/>
  <c r="O38" i="59"/>
  <c r="Y46" i="59"/>
  <c r="O43" i="59"/>
  <c r="Q37" i="59"/>
  <c r="AA37" i="59"/>
  <c r="Z39" i="59"/>
  <c r="P39" i="59"/>
  <c r="Y45" i="59"/>
  <c r="O42" i="59"/>
  <c r="O40" i="59"/>
  <c r="Y40" i="59"/>
  <c r="O50" i="59"/>
  <c r="Y50" i="59"/>
  <c r="S36" i="59"/>
  <c r="AC36" i="59"/>
  <c r="Q10" i="59"/>
  <c r="AA10" i="59"/>
  <c r="P31" i="59"/>
  <c r="Z31" i="59"/>
  <c r="AB63" i="56"/>
  <c r="X39" i="59"/>
  <c r="N39" i="59"/>
  <c r="S50" i="59"/>
  <c r="AC50" i="59"/>
  <c r="AB70" i="56"/>
  <c r="AB86" i="56"/>
  <c r="P37" i="59"/>
  <c r="Z37" i="59"/>
  <c r="Q39" i="59"/>
  <c r="AA39" i="59"/>
  <c r="N43" i="59"/>
  <c r="X46" i="59"/>
  <c r="Y21" i="59"/>
  <c r="O21" i="59"/>
  <c r="N37" i="59"/>
  <c r="X37" i="59"/>
  <c r="Q49" i="59"/>
  <c r="AA49" i="59"/>
  <c r="Z45" i="59"/>
  <c r="P42" i="59"/>
  <c r="AB38" i="59"/>
  <c r="R38" i="59"/>
  <c r="Q16" i="59"/>
  <c r="AA16" i="59"/>
  <c r="N20" i="59"/>
  <c r="X20" i="59"/>
  <c r="AB77" i="56"/>
  <c r="D209" i="56"/>
  <c r="AB209" i="56"/>
  <c r="D210" i="56"/>
  <c r="AB210" i="56"/>
  <c r="G156" i="56"/>
  <c r="H156" i="56"/>
  <c r="O156" i="56"/>
  <c r="N183" i="75" s="1"/>
  <c r="I156" i="56"/>
  <c r="AL156" i="56" s="1" a="1"/>
  <c r="AL156" i="56" s="1"/>
  <c r="R156" i="56"/>
  <c r="D156" i="56"/>
  <c r="J156" i="56"/>
  <c r="I183" i="75" s="1"/>
  <c r="P156" i="56"/>
  <c r="K156" i="56"/>
  <c r="J183" i="75" s="1"/>
  <c r="Q156" i="56"/>
  <c r="F156" i="56"/>
  <c r="L156" i="56"/>
  <c r="K183" i="75" s="1"/>
  <c r="AB156" i="56"/>
  <c r="N156" i="56"/>
  <c r="M183" i="75" s="1"/>
  <c r="S156" i="56"/>
  <c r="M156" i="56"/>
  <c r="L183" i="75" s="1"/>
  <c r="V156" i="56" a="1"/>
  <c r="V156" i="56" s="1"/>
  <c r="N157" i="56"/>
  <c r="M188" i="75" s="1"/>
  <c r="G157" i="56"/>
  <c r="S157" i="56"/>
  <c r="H157" i="56"/>
  <c r="O157" i="56"/>
  <c r="N188" i="75" s="1"/>
  <c r="I157" i="56"/>
  <c r="D157" i="56"/>
  <c r="J157" i="56"/>
  <c r="I188" i="75" s="1"/>
  <c r="P157" i="56"/>
  <c r="K157" i="56"/>
  <c r="J188" i="75" s="1"/>
  <c r="Q157" i="56"/>
  <c r="F157" i="56"/>
  <c r="L157" i="56"/>
  <c r="K188" i="75" s="1"/>
  <c r="R157" i="56"/>
  <c r="M157" i="56"/>
  <c r="L188" i="75" s="1"/>
  <c r="AB157" i="56"/>
  <c r="V157" i="56" a="1"/>
  <c r="V157" i="56" s="1"/>
  <c r="AL49" i="56"/>
  <c r="U49" i="56"/>
  <c r="AL50" i="56"/>
  <c r="U50" i="56"/>
  <c r="AB104" i="56"/>
  <c r="AB105" i="56"/>
  <c r="Q43" i="59"/>
  <c r="AA46" i="59"/>
  <c r="AB39" i="59"/>
  <c r="R39" i="59"/>
  <c r="AA13" i="59"/>
  <c r="Q13" i="59"/>
  <c r="Q42" i="59"/>
  <c r="AA45" i="59"/>
  <c r="AB35" i="59"/>
  <c r="R35" i="59"/>
  <c r="R50" i="59"/>
  <c r="AB50" i="59"/>
  <c r="S13" i="59"/>
  <c r="AC13" i="59"/>
  <c r="AB36" i="59"/>
  <c r="R36" i="59"/>
  <c r="N35" i="59"/>
  <c r="X35" i="59"/>
  <c r="Q34" i="59"/>
  <c r="AA34" i="59"/>
  <c r="P43" i="59"/>
  <c r="Z46" i="59"/>
  <c r="N42" i="59"/>
  <c r="X45" i="59"/>
  <c r="Y39" i="59"/>
  <c r="O39" i="59"/>
  <c r="P50" i="59"/>
  <c r="Z50" i="59"/>
  <c r="P49" i="59"/>
  <c r="Z49" i="59"/>
  <c r="AA41" i="59"/>
  <c r="Q41" i="59"/>
  <c r="Z48" i="59"/>
  <c r="P48" i="59"/>
  <c r="Y28" i="59"/>
  <c r="O28" i="59"/>
  <c r="N26" i="59"/>
  <c r="X26" i="59"/>
  <c r="V119" i="56" a="1"/>
  <c r="V119" i="56" s="1"/>
  <c r="V131" i="56" a="1"/>
  <c r="V131" i="56" s="1"/>
  <c r="V143" i="56" a="1"/>
  <c r="V143" i="56" s="1"/>
  <c r="V155" i="56" a="1"/>
  <c r="V155" i="56" s="1"/>
  <c r="V120" i="56" a="1"/>
  <c r="V120" i="56" s="1"/>
  <c r="V132" i="56" a="1"/>
  <c r="V132" i="56" s="1"/>
  <c r="V144" i="56" a="1"/>
  <c r="V144" i="56" s="1"/>
  <c r="V160" i="56" a="1"/>
  <c r="V160" i="56" s="1"/>
  <c r="T119" i="56" a="1"/>
  <c r="T119" i="56" s="1"/>
  <c r="O38" i="75" s="1"/>
  <c r="T143" i="56" a="1"/>
  <c r="T143" i="56" s="1"/>
  <c r="O133" i="75" s="1"/>
  <c r="V121" i="56" a="1"/>
  <c r="V121" i="56" s="1"/>
  <c r="V133" i="56" a="1"/>
  <c r="V133" i="56" s="1"/>
  <c r="V145" i="56" a="1"/>
  <c r="V145" i="56" s="1"/>
  <c r="T132" i="56" a="1"/>
  <c r="T132" i="56" s="1"/>
  <c r="O88" i="75" s="1"/>
  <c r="V122" i="56" a="1"/>
  <c r="V122" i="56" s="1"/>
  <c r="V134" i="56" a="1"/>
  <c r="V134" i="56" s="1"/>
  <c r="V146" i="56" a="1"/>
  <c r="V146" i="56" s="1"/>
  <c r="V111" i="56" a="1"/>
  <c r="V111" i="56" s="1"/>
  <c r="V123" i="56" a="1"/>
  <c r="V123" i="56" s="1"/>
  <c r="V135" i="56" a="1"/>
  <c r="V135" i="56" s="1"/>
  <c r="V147" i="56" a="1"/>
  <c r="V147" i="56" s="1"/>
  <c r="T134" i="56" a="1"/>
  <c r="T134" i="56" s="1"/>
  <c r="O98" i="75" s="1"/>
  <c r="V112" i="56" a="1"/>
  <c r="V112" i="56" s="1"/>
  <c r="V124" i="56" a="1"/>
  <c r="V124" i="56" s="1"/>
  <c r="V136" i="56" a="1"/>
  <c r="V136" i="56" s="1"/>
  <c r="V148" i="56" a="1"/>
  <c r="V148" i="56" s="1"/>
  <c r="T111" i="56" a="1"/>
  <c r="T111" i="56" s="1"/>
  <c r="O3" i="75" s="1"/>
  <c r="V113" i="56" a="1"/>
  <c r="V113" i="56" s="1"/>
  <c r="V125" i="56" a="1"/>
  <c r="V125" i="56" s="1"/>
  <c r="V137" i="56" a="1"/>
  <c r="V137" i="56" s="1"/>
  <c r="V149" i="56" a="1"/>
  <c r="V149" i="56" s="1"/>
  <c r="T112" i="56" a="1"/>
  <c r="T112" i="56" s="1"/>
  <c r="O8" i="75" s="1"/>
  <c r="V114" i="56" a="1"/>
  <c r="V114" i="56" s="1"/>
  <c r="V126" i="56" a="1"/>
  <c r="V126" i="56" s="1"/>
  <c r="V138" i="56" a="1"/>
  <c r="V138" i="56" s="1"/>
  <c r="V150" i="56" a="1"/>
  <c r="V150" i="56" s="1"/>
  <c r="V115" i="56" a="1"/>
  <c r="V115" i="56" s="1"/>
  <c r="V127" i="56" a="1"/>
  <c r="V127" i="56" s="1"/>
  <c r="V139" i="56" a="1"/>
  <c r="V139" i="56" s="1"/>
  <c r="V151" i="56" a="1"/>
  <c r="V151" i="56" s="1"/>
  <c r="T126" i="56" a="1"/>
  <c r="T126" i="56" s="1"/>
  <c r="O63" i="75" s="1"/>
  <c r="V116" i="56" a="1"/>
  <c r="V116" i="56" s="1"/>
  <c r="V128" i="56" a="1"/>
  <c r="V128" i="56" s="1"/>
  <c r="V140" i="56" a="1"/>
  <c r="V140" i="56" s="1"/>
  <c r="V152" i="56" a="1"/>
  <c r="V152" i="56" s="1"/>
  <c r="V117" i="56" a="1"/>
  <c r="V117" i="56" s="1"/>
  <c r="V129" i="56" a="1"/>
  <c r="V129" i="56" s="1"/>
  <c r="V141" i="56" a="1"/>
  <c r="V141" i="56" s="1"/>
  <c r="V153" i="56" a="1"/>
  <c r="V153" i="56" s="1"/>
  <c r="T116" i="56" a="1"/>
  <c r="T116" i="56" s="1"/>
  <c r="O23" i="75" s="1"/>
  <c r="V118" i="56" a="1"/>
  <c r="V118" i="56" s="1"/>
  <c r="V130" i="56" a="1"/>
  <c r="V130" i="56" s="1"/>
  <c r="V142" i="56" a="1"/>
  <c r="V142" i="56" s="1"/>
  <c r="V154" i="56" a="1"/>
  <c r="V154" i="56" s="1"/>
  <c r="S47" i="59"/>
  <c r="AC47" i="59"/>
  <c r="AA12" i="59"/>
  <c r="Q12" i="59"/>
  <c r="AB61" i="56"/>
  <c r="Y37" i="59"/>
  <c r="O37" i="59"/>
  <c r="X40" i="59"/>
  <c r="N40" i="59"/>
  <c r="AC49" i="59"/>
  <c r="S49" i="59"/>
  <c r="P20" i="59"/>
  <c r="Z20" i="59"/>
  <c r="S129" i="56"/>
  <c r="I129" i="56"/>
  <c r="B78" i="75" s="1"/>
  <c r="K129" i="56"/>
  <c r="J78" i="75" s="1"/>
  <c r="L129" i="56"/>
  <c r="K78" i="75" s="1"/>
  <c r="J129" i="56"/>
  <c r="I78" i="75" s="1"/>
  <c r="M129" i="56"/>
  <c r="L78" i="75" s="1"/>
  <c r="AB129" i="56"/>
  <c r="P129" i="56"/>
  <c r="AB183" i="56"/>
  <c r="N129" i="56"/>
  <c r="M78" i="75" s="1"/>
  <c r="D183" i="56"/>
  <c r="R129" i="56"/>
  <c r="O129" i="56"/>
  <c r="N78" i="75" s="1"/>
  <c r="Q129" i="56"/>
  <c r="N5" i="59"/>
  <c r="X5" i="59"/>
  <c r="AC17" i="59"/>
  <c r="S17" i="59"/>
  <c r="AB48" i="59"/>
  <c r="R48" i="59"/>
  <c r="P41" i="59"/>
  <c r="Z41" i="59"/>
  <c r="AB37" i="59"/>
  <c r="R37" i="59"/>
  <c r="AA40" i="59"/>
  <c r="Q40" i="59"/>
  <c r="Z47" i="59"/>
  <c r="P47" i="59"/>
  <c r="P62" i="3"/>
  <c r="P61" i="3"/>
  <c r="P64" i="3"/>
  <c r="P63" i="3"/>
  <c r="P66" i="3"/>
  <c r="P65" i="3"/>
  <c r="P68" i="3"/>
  <c r="P67" i="3"/>
  <c r="P70" i="3"/>
  <c r="P69" i="3"/>
  <c r="P72" i="3"/>
  <c r="P71" i="3"/>
  <c r="P109" i="3"/>
  <c r="P110" i="3"/>
  <c r="P111" i="3"/>
  <c r="P112" i="3"/>
  <c r="P108" i="3"/>
  <c r="P73" i="3"/>
  <c r="P107" i="3"/>
  <c r="P106" i="3"/>
  <c r="P74" i="3"/>
  <c r="P75" i="3"/>
  <c r="P85" i="3"/>
  <c r="P94" i="3"/>
  <c r="P92" i="3"/>
  <c r="P95" i="3"/>
  <c r="P96" i="3"/>
  <c r="P97" i="3"/>
  <c r="P86" i="3"/>
  <c r="P98" i="3"/>
  <c r="P104" i="3"/>
  <c r="P101" i="3"/>
  <c r="P89" i="3"/>
  <c r="P90" i="3"/>
  <c r="P102" i="3"/>
  <c r="P91" i="3"/>
  <c r="P103" i="3"/>
  <c r="P93" i="3"/>
  <c r="P105" i="3"/>
  <c r="P100" i="3"/>
  <c r="P88" i="3"/>
  <c r="P87" i="3"/>
  <c r="P99" i="3"/>
  <c r="P84" i="3"/>
  <c r="B44" i="65"/>
  <c r="C44" i="65" s="1" a="1"/>
  <c r="C44" i="65" s="1"/>
  <c r="A42" i="65"/>
  <c r="H42" i="65" s="1"/>
  <c r="B45" i="65"/>
  <c r="C45" i="65" s="1" a="1"/>
  <c r="C45" i="65" s="1"/>
  <c r="AB90" i="56"/>
  <c r="N32" i="59"/>
  <c r="X32" i="59"/>
  <c r="AB74" i="56"/>
  <c r="AB103" i="56"/>
  <c r="AB78" i="56"/>
  <c r="AB83" i="56"/>
  <c r="AB81" i="56"/>
  <c r="AB58" i="56"/>
  <c r="AB196" i="56"/>
  <c r="D196" i="56"/>
  <c r="I142" i="56"/>
  <c r="M142" i="56"/>
  <c r="L128" i="75" s="1"/>
  <c r="Q142" i="56"/>
  <c r="J142" i="56"/>
  <c r="I128" i="75" s="1"/>
  <c r="N142" i="56"/>
  <c r="M128" i="75" s="1"/>
  <c r="R142" i="56"/>
  <c r="S142" i="56"/>
  <c r="K142" i="56"/>
  <c r="J128" i="75" s="1"/>
  <c r="L142" i="56"/>
  <c r="K128" i="75" s="1"/>
  <c r="P142" i="56"/>
  <c r="O142" i="56"/>
  <c r="N128" i="75" s="1"/>
  <c r="D207" i="56"/>
  <c r="AB207" i="56"/>
  <c r="Q153" i="56"/>
  <c r="S153" i="56"/>
  <c r="P153" i="56"/>
  <c r="I153" i="56"/>
  <c r="AL153" i="56" s="1" a="1"/>
  <c r="AL153" i="56" s="1"/>
  <c r="J153" i="56"/>
  <c r="I173" i="75" s="1"/>
  <c r="K153" i="56"/>
  <c r="L153" i="56"/>
  <c r="K173" i="75" s="1"/>
  <c r="R153" i="56"/>
  <c r="M153" i="56"/>
  <c r="L173" i="75" s="1"/>
  <c r="AB153" i="56"/>
  <c r="N153" i="56"/>
  <c r="M173" i="75" s="1"/>
  <c r="O153" i="56"/>
  <c r="N173" i="75" s="1"/>
  <c r="AB192" i="56"/>
  <c r="D192" i="56"/>
  <c r="S138" i="56"/>
  <c r="L138" i="56"/>
  <c r="K113" i="75" s="1"/>
  <c r="M138" i="56"/>
  <c r="L113" i="75" s="1"/>
  <c r="Q138" i="56"/>
  <c r="AB138" i="56"/>
  <c r="N138" i="56"/>
  <c r="M113" i="75" s="1"/>
  <c r="O138" i="56"/>
  <c r="N113" i="75" s="1"/>
  <c r="J138" i="56"/>
  <c r="I113" i="75" s="1"/>
  <c r="P138" i="56"/>
  <c r="R138" i="56"/>
  <c r="K138" i="56"/>
  <c r="J113" i="75" s="1"/>
  <c r="I138" i="56"/>
  <c r="AL138" i="56" s="1" a="1"/>
  <c r="AL138" i="56" s="1"/>
  <c r="AB191" i="56"/>
  <c r="D191" i="56"/>
  <c r="O137" i="56"/>
  <c r="N108" i="75" s="1"/>
  <c r="L137" i="56"/>
  <c r="K108" i="75" s="1"/>
  <c r="M137" i="56"/>
  <c r="L108" i="75" s="1"/>
  <c r="AB137" i="56"/>
  <c r="P137" i="56"/>
  <c r="N137" i="56"/>
  <c r="M108" i="75" s="1"/>
  <c r="Q137" i="56"/>
  <c r="S137" i="56"/>
  <c r="J137" i="56"/>
  <c r="I108" i="75" s="1"/>
  <c r="K137" i="56"/>
  <c r="J108" i="75" s="1"/>
  <c r="R137" i="56"/>
  <c r="I137" i="56"/>
  <c r="AB208" i="56"/>
  <c r="D208" i="56"/>
  <c r="M154" i="56"/>
  <c r="L178" i="75" s="1"/>
  <c r="Q154" i="56"/>
  <c r="R154" i="56"/>
  <c r="S154" i="56"/>
  <c r="I154" i="56"/>
  <c r="K154" i="56"/>
  <c r="J178" i="75" s="1"/>
  <c r="L154" i="56"/>
  <c r="K178" i="75" s="1"/>
  <c r="AB154" i="56"/>
  <c r="P154" i="56"/>
  <c r="O154" i="56"/>
  <c r="N178" i="75" s="1"/>
  <c r="N154" i="56"/>
  <c r="M178" i="75" s="1"/>
  <c r="J154" i="56"/>
  <c r="I178" i="75" s="1"/>
  <c r="AB188" i="56"/>
  <c r="D188" i="56"/>
  <c r="K134" i="56"/>
  <c r="M134" i="56"/>
  <c r="L98" i="75" s="1"/>
  <c r="AB134" i="56"/>
  <c r="R134" i="56"/>
  <c r="I134" i="56"/>
  <c r="L134" i="56"/>
  <c r="K98" i="75" s="1"/>
  <c r="N134" i="56"/>
  <c r="M98" i="75" s="1"/>
  <c r="O134" i="56"/>
  <c r="N98" i="75" s="1"/>
  <c r="P134" i="56"/>
  <c r="Q134" i="56"/>
  <c r="J134" i="56"/>
  <c r="I98" i="75" s="1"/>
  <c r="S134" i="56"/>
  <c r="AB166" i="56"/>
  <c r="D166" i="56"/>
  <c r="M113" i="56"/>
  <c r="L13" i="75" s="1"/>
  <c r="AB113" i="56"/>
  <c r="P113" i="56"/>
  <c r="N113" i="56"/>
  <c r="M13" i="75" s="1"/>
  <c r="Q113" i="56"/>
  <c r="S113" i="56"/>
  <c r="J113" i="56"/>
  <c r="I13" i="75" s="1"/>
  <c r="O113" i="56"/>
  <c r="N13" i="75" s="1"/>
  <c r="L113" i="56"/>
  <c r="K13" i="75" s="1"/>
  <c r="R113" i="56"/>
  <c r="K113" i="56"/>
  <c r="J13" i="75" s="1"/>
  <c r="I113" i="56"/>
  <c r="D205" i="56"/>
  <c r="AB205" i="56"/>
  <c r="J151" i="56"/>
  <c r="I163" i="75" s="1"/>
  <c r="N151" i="56"/>
  <c r="M163" i="75" s="1"/>
  <c r="I151" i="56"/>
  <c r="Q151" i="56"/>
  <c r="O151" i="56"/>
  <c r="N163" i="75" s="1"/>
  <c r="R151" i="56"/>
  <c r="L151" i="56"/>
  <c r="K163" i="75" s="1"/>
  <c r="AB151" i="56"/>
  <c r="S151" i="56"/>
  <c r="K151" i="56"/>
  <c r="J163" i="75" s="1"/>
  <c r="M151" i="56"/>
  <c r="L163" i="75" s="1"/>
  <c r="P151" i="56"/>
  <c r="AB173" i="56"/>
  <c r="D173" i="56"/>
  <c r="N119" i="56"/>
  <c r="M38" i="75" s="1"/>
  <c r="I119" i="56"/>
  <c r="B38" i="75" s="1"/>
  <c r="O119" i="56"/>
  <c r="N38" i="75" s="1"/>
  <c r="R119" i="56"/>
  <c r="M119" i="56"/>
  <c r="L38" i="75" s="1"/>
  <c r="L119" i="56"/>
  <c r="K38" i="75" s="1"/>
  <c r="Q119" i="56"/>
  <c r="J119" i="56"/>
  <c r="I38" i="75" s="1"/>
  <c r="P119" i="56"/>
  <c r="K119" i="56"/>
  <c r="S119" i="56"/>
  <c r="AB119" i="56"/>
  <c r="AB96" i="56"/>
  <c r="AB167" i="56"/>
  <c r="D167" i="56"/>
  <c r="L114" i="56"/>
  <c r="K18" i="75" s="1"/>
  <c r="M114" i="56"/>
  <c r="L18" i="75" s="1"/>
  <c r="AB114" i="56"/>
  <c r="N114" i="56"/>
  <c r="M18" i="75" s="1"/>
  <c r="O114" i="56"/>
  <c r="N18" i="75" s="1"/>
  <c r="P114" i="56"/>
  <c r="R114" i="56"/>
  <c r="S114" i="56"/>
  <c r="J114" i="56"/>
  <c r="I18" i="75" s="1"/>
  <c r="I114" i="56"/>
  <c r="AL114" i="56" s="1" a="1"/>
  <c r="AL114" i="56" s="1"/>
  <c r="K114" i="56"/>
  <c r="Q114" i="56"/>
  <c r="D190" i="56"/>
  <c r="AB190" i="56"/>
  <c r="P136" i="56"/>
  <c r="S136" i="56"/>
  <c r="M136" i="56"/>
  <c r="L103" i="75" s="1"/>
  <c r="K136" i="56"/>
  <c r="J103" i="75" s="1"/>
  <c r="I136" i="56"/>
  <c r="AB136" i="56"/>
  <c r="Q136" i="56"/>
  <c r="R136" i="56"/>
  <c r="N136" i="56"/>
  <c r="M103" i="75" s="1"/>
  <c r="J136" i="56"/>
  <c r="I103" i="75" s="1"/>
  <c r="L136" i="56"/>
  <c r="K103" i="75" s="1"/>
  <c r="O136" i="56"/>
  <c r="N103" i="75" s="1"/>
  <c r="AB174" i="56"/>
  <c r="D174" i="56"/>
  <c r="K120" i="56"/>
  <c r="AK120" i="56" s="1"/>
  <c r="L120" i="56"/>
  <c r="P120" i="56"/>
  <c r="M120" i="56"/>
  <c r="I120" i="56"/>
  <c r="AB120" i="56"/>
  <c r="R120" i="56"/>
  <c r="Q120" i="56"/>
  <c r="J120" i="56"/>
  <c r="S120" i="56"/>
  <c r="N120" i="56"/>
  <c r="O120" i="56"/>
  <c r="AB182" i="56"/>
  <c r="D182" i="56"/>
  <c r="P128" i="56"/>
  <c r="K128" i="56"/>
  <c r="J73" i="75" s="1"/>
  <c r="M128" i="56"/>
  <c r="L73" i="75" s="1"/>
  <c r="AB128" i="56"/>
  <c r="Q128" i="56"/>
  <c r="S128" i="56"/>
  <c r="N128" i="56"/>
  <c r="M73" i="75" s="1"/>
  <c r="J128" i="56"/>
  <c r="I73" i="75" s="1"/>
  <c r="O128" i="56"/>
  <c r="N73" i="75" s="1"/>
  <c r="I128" i="56"/>
  <c r="AJ128" i="56" s="1" a="1"/>
  <c r="AJ128" i="56" s="1"/>
  <c r="R128" i="56"/>
  <c r="L128" i="56"/>
  <c r="K73" i="75" s="1"/>
  <c r="AB201" i="56"/>
  <c r="D201" i="56"/>
  <c r="Q147" i="56"/>
  <c r="S147" i="56"/>
  <c r="J147" i="56"/>
  <c r="I148" i="75" s="1"/>
  <c r="K147" i="56"/>
  <c r="J148" i="75" s="1"/>
  <c r="I147" i="56"/>
  <c r="AM147" i="56" s="1" a="1"/>
  <c r="AM147" i="56" s="1"/>
  <c r="M147" i="56"/>
  <c r="L148" i="75" s="1"/>
  <c r="N147" i="56"/>
  <c r="M148" i="75" s="1"/>
  <c r="AB147" i="56"/>
  <c r="O147" i="56"/>
  <c r="N148" i="75" s="1"/>
  <c r="P147" i="56"/>
  <c r="R147" i="56"/>
  <c r="L147" i="56"/>
  <c r="K148" i="75" s="1"/>
  <c r="AB91" i="56"/>
  <c r="AB88" i="56"/>
  <c r="AB89" i="56"/>
  <c r="AB87" i="56"/>
  <c r="AB79" i="56"/>
  <c r="AB99" i="56"/>
  <c r="AB94" i="56"/>
  <c r="AB172" i="56"/>
  <c r="D172" i="56"/>
  <c r="I118" i="56"/>
  <c r="N118" i="56"/>
  <c r="M33" i="75" s="1"/>
  <c r="M118" i="56"/>
  <c r="L33" i="75" s="1"/>
  <c r="O118" i="56"/>
  <c r="N33" i="75" s="1"/>
  <c r="Q118" i="56"/>
  <c r="J118" i="56"/>
  <c r="I33" i="75" s="1"/>
  <c r="R118" i="56"/>
  <c r="K118" i="56"/>
  <c r="S118" i="56"/>
  <c r="L118" i="56"/>
  <c r="K33" i="75" s="1"/>
  <c r="AB118" i="56"/>
  <c r="P118" i="56"/>
  <c r="AB175" i="56"/>
  <c r="D175" i="56"/>
  <c r="Q121" i="56"/>
  <c r="R121" i="56"/>
  <c r="O121" i="56"/>
  <c r="N43" i="75" s="1"/>
  <c r="S121" i="56"/>
  <c r="L121" i="56"/>
  <c r="K43" i="75" s="1"/>
  <c r="AB121" i="56"/>
  <c r="J121" i="56"/>
  <c r="I43" i="75" s="1"/>
  <c r="P121" i="56"/>
  <c r="N121" i="56"/>
  <c r="M43" i="75" s="1"/>
  <c r="I121" i="56"/>
  <c r="M121" i="56"/>
  <c r="L43" i="75" s="1"/>
  <c r="K121" i="56"/>
  <c r="AB179" i="56"/>
  <c r="D179" i="56"/>
  <c r="M125" i="56"/>
  <c r="AB125" i="56"/>
  <c r="P125" i="56"/>
  <c r="N125" i="56"/>
  <c r="Q125" i="56"/>
  <c r="S125" i="56"/>
  <c r="J125" i="56"/>
  <c r="K125" i="56"/>
  <c r="AK125" i="56" s="1"/>
  <c r="L125" i="56"/>
  <c r="R125" i="56"/>
  <c r="O125" i="56"/>
  <c r="I125" i="56"/>
  <c r="AB178" i="56"/>
  <c r="D178" i="56"/>
  <c r="O124" i="56"/>
  <c r="N58" i="75" s="1"/>
  <c r="Q124" i="56"/>
  <c r="J124" i="56"/>
  <c r="I58" i="75" s="1"/>
  <c r="S124" i="56"/>
  <c r="P124" i="56"/>
  <c r="K124" i="56"/>
  <c r="J58" i="75" s="1"/>
  <c r="L124" i="56"/>
  <c r="K58" i="75" s="1"/>
  <c r="I124" i="56"/>
  <c r="AL124" i="56" s="1" a="1"/>
  <c r="AL124" i="56" s="1"/>
  <c r="M124" i="56"/>
  <c r="L58" i="75" s="1"/>
  <c r="AB124" i="56"/>
  <c r="R124" i="56"/>
  <c r="N124" i="56"/>
  <c r="M58" i="75" s="1"/>
  <c r="AB212" i="56"/>
  <c r="D212" i="56"/>
  <c r="R160" i="56"/>
  <c r="Q160" i="56"/>
  <c r="S160" i="56"/>
  <c r="I160" i="56"/>
  <c r="AJ160" i="56" s="1" a="1"/>
  <c r="AJ160" i="56" s="1"/>
  <c r="M160" i="56"/>
  <c r="N160" i="56"/>
  <c r="L160" i="56"/>
  <c r="J160" i="56"/>
  <c r="O160" i="56"/>
  <c r="K160" i="56"/>
  <c r="AK160" i="56" s="1"/>
  <c r="P160" i="56"/>
  <c r="AB160" i="56"/>
  <c r="AB82" i="56"/>
  <c r="AB95" i="56"/>
  <c r="AB168" i="56"/>
  <c r="D168" i="56"/>
  <c r="AB115" i="56"/>
  <c r="O115" i="56"/>
  <c r="P115" i="56"/>
  <c r="K115" i="56"/>
  <c r="AK115" i="56" s="1"/>
  <c r="J115" i="56"/>
  <c r="N115" i="56"/>
  <c r="I115" i="56"/>
  <c r="R115" i="56"/>
  <c r="Q115" i="56"/>
  <c r="L115" i="56"/>
  <c r="S115" i="56"/>
  <c r="M115" i="56"/>
  <c r="D195" i="56"/>
  <c r="AB195" i="56"/>
  <c r="Q141" i="56"/>
  <c r="S141" i="56"/>
  <c r="I141" i="56"/>
  <c r="B123" i="75" s="1"/>
  <c r="K141" i="56"/>
  <c r="P141" i="56"/>
  <c r="J141" i="56"/>
  <c r="I123" i="75" s="1"/>
  <c r="L141" i="56"/>
  <c r="K123" i="75" s="1"/>
  <c r="M141" i="56"/>
  <c r="L123" i="75" s="1"/>
  <c r="AB141" i="56"/>
  <c r="R141" i="56"/>
  <c r="N141" i="56"/>
  <c r="M123" i="75" s="1"/>
  <c r="O141" i="56"/>
  <c r="N123" i="75" s="1"/>
  <c r="AB200" i="56"/>
  <c r="D200" i="56"/>
  <c r="I146" i="56"/>
  <c r="M146" i="56"/>
  <c r="L143" i="75" s="1"/>
  <c r="N146" i="56"/>
  <c r="M143" i="75" s="1"/>
  <c r="O146" i="56"/>
  <c r="N143" i="75" s="1"/>
  <c r="P146" i="56"/>
  <c r="Q146" i="56"/>
  <c r="J146" i="56"/>
  <c r="I143" i="75" s="1"/>
  <c r="S146" i="56"/>
  <c r="K146" i="56"/>
  <c r="J143" i="75" s="1"/>
  <c r="R146" i="56"/>
  <c r="L146" i="56"/>
  <c r="K143" i="75" s="1"/>
  <c r="AB146" i="56"/>
  <c r="AB186" i="56"/>
  <c r="D186" i="56"/>
  <c r="I132" i="56"/>
  <c r="N132" i="56"/>
  <c r="M88" i="75" s="1"/>
  <c r="Q132" i="56"/>
  <c r="O132" i="56"/>
  <c r="N88" i="75" s="1"/>
  <c r="K132" i="56"/>
  <c r="L132" i="56"/>
  <c r="K88" i="75" s="1"/>
  <c r="P132" i="56"/>
  <c r="R132" i="56"/>
  <c r="M132" i="56"/>
  <c r="L88" i="75" s="1"/>
  <c r="AB132" i="56"/>
  <c r="J132" i="56"/>
  <c r="I88" i="75" s="1"/>
  <c r="S132" i="56"/>
  <c r="AB198" i="56"/>
  <c r="D198" i="56"/>
  <c r="O144" i="56"/>
  <c r="N138" i="75" s="1"/>
  <c r="Q144" i="56"/>
  <c r="K144" i="56"/>
  <c r="L144" i="56"/>
  <c r="K138" i="75" s="1"/>
  <c r="P144" i="56"/>
  <c r="M144" i="56"/>
  <c r="L138" i="75" s="1"/>
  <c r="R144" i="56"/>
  <c r="N144" i="56"/>
  <c r="M138" i="75" s="1"/>
  <c r="S144" i="56"/>
  <c r="I144" i="56"/>
  <c r="AL144" i="56" s="1" a="1"/>
  <c r="AL144" i="56" s="1"/>
  <c r="J144" i="56"/>
  <c r="I138" i="75" s="1"/>
  <c r="AB177" i="56"/>
  <c r="D177" i="56"/>
  <c r="AB123" i="56"/>
  <c r="L123" i="56"/>
  <c r="K53" i="75" s="1"/>
  <c r="M123" i="56"/>
  <c r="L53" i="75" s="1"/>
  <c r="Q123" i="56"/>
  <c r="I123" i="56"/>
  <c r="AL123" i="56" s="1" a="1"/>
  <c r="AL123" i="56" s="1"/>
  <c r="S123" i="56"/>
  <c r="O123" i="56"/>
  <c r="N53" i="75" s="1"/>
  <c r="J123" i="56"/>
  <c r="I53" i="75" s="1"/>
  <c r="N123" i="56"/>
  <c r="M53" i="75" s="1"/>
  <c r="P123" i="56"/>
  <c r="R123" i="56"/>
  <c r="K123" i="56"/>
  <c r="J53" i="75" s="1"/>
  <c r="AB180" i="56"/>
  <c r="D180" i="56"/>
  <c r="K126" i="56"/>
  <c r="Q126" i="56"/>
  <c r="S126" i="56"/>
  <c r="J126" i="56"/>
  <c r="I63" i="75" s="1"/>
  <c r="L126" i="56"/>
  <c r="K63" i="75" s="1"/>
  <c r="M126" i="56"/>
  <c r="L63" i="75" s="1"/>
  <c r="O126" i="56"/>
  <c r="N63" i="75" s="1"/>
  <c r="AB126" i="56"/>
  <c r="N126" i="56"/>
  <c r="M63" i="75" s="1"/>
  <c r="P126" i="56"/>
  <c r="R126" i="56"/>
  <c r="I126" i="56"/>
  <c r="AB194" i="56"/>
  <c r="D194" i="56"/>
  <c r="N140" i="56"/>
  <c r="O140" i="56"/>
  <c r="I140" i="56"/>
  <c r="J140" i="56"/>
  <c r="R140" i="56"/>
  <c r="K140" i="56"/>
  <c r="AK140" i="56" s="1"/>
  <c r="L140" i="56"/>
  <c r="M140" i="56"/>
  <c r="P140" i="56"/>
  <c r="AB140" i="56"/>
  <c r="Q140" i="56"/>
  <c r="S140" i="56"/>
  <c r="AB85" i="56"/>
  <c r="AB69" i="56"/>
  <c r="AB102" i="56"/>
  <c r="AB62" i="56"/>
  <c r="AB71" i="56"/>
  <c r="AB97" i="56"/>
  <c r="AB75" i="56"/>
  <c r="AB60" i="56"/>
  <c r="AB187" i="56"/>
  <c r="D187" i="56"/>
  <c r="L133" i="56"/>
  <c r="K93" i="75" s="1"/>
  <c r="AB133" i="56"/>
  <c r="P133" i="56"/>
  <c r="N133" i="56"/>
  <c r="M93" i="75" s="1"/>
  <c r="M133" i="56"/>
  <c r="L93" i="75" s="1"/>
  <c r="J133" i="56"/>
  <c r="I93" i="75" s="1"/>
  <c r="Q133" i="56"/>
  <c r="R133" i="56"/>
  <c r="K133" i="56"/>
  <c r="O133" i="56"/>
  <c r="N93" i="75" s="1"/>
  <c r="S133" i="56"/>
  <c r="I133" i="56"/>
  <c r="AB199" i="56"/>
  <c r="D199" i="56"/>
  <c r="M145" i="56"/>
  <c r="K145" i="56"/>
  <c r="AK145" i="56" s="1"/>
  <c r="Q145" i="56"/>
  <c r="P145" i="56"/>
  <c r="R145" i="56"/>
  <c r="O145" i="56"/>
  <c r="S145" i="56"/>
  <c r="L145" i="56"/>
  <c r="N145" i="56"/>
  <c r="J145" i="56"/>
  <c r="I145" i="56"/>
  <c r="AB204" i="56"/>
  <c r="D204" i="56"/>
  <c r="N150" i="56"/>
  <c r="O150" i="56"/>
  <c r="P150" i="56"/>
  <c r="R150" i="56"/>
  <c r="Q150" i="56"/>
  <c r="K150" i="56"/>
  <c r="AK150" i="56" s="1"/>
  <c r="J150" i="56"/>
  <c r="S150" i="56"/>
  <c r="I150" i="56"/>
  <c r="M150" i="56"/>
  <c r="AB150" i="56"/>
  <c r="L150" i="56"/>
  <c r="AB164" i="56"/>
  <c r="D164" i="56"/>
  <c r="L111" i="56"/>
  <c r="K3" i="75" s="1"/>
  <c r="J111" i="56"/>
  <c r="I3" i="75" s="1"/>
  <c r="K111" i="56"/>
  <c r="I111" i="56"/>
  <c r="AB111" i="56"/>
  <c r="M111" i="56"/>
  <c r="L3" i="75" s="1"/>
  <c r="R111" i="56"/>
  <c r="Q111" i="56"/>
  <c r="S111" i="56"/>
  <c r="N111" i="56"/>
  <c r="M3" i="75" s="1"/>
  <c r="P111" i="56"/>
  <c r="O111" i="56"/>
  <c r="N3" i="75" s="1"/>
  <c r="D202" i="56"/>
  <c r="AB202" i="56"/>
  <c r="K148" i="56"/>
  <c r="J153" i="75" s="1"/>
  <c r="M148" i="56"/>
  <c r="L153" i="75" s="1"/>
  <c r="AB148" i="56"/>
  <c r="Q148" i="56"/>
  <c r="R148" i="56"/>
  <c r="L148" i="56"/>
  <c r="K153" i="75" s="1"/>
  <c r="S148" i="56"/>
  <c r="N148" i="56"/>
  <c r="M153" i="75" s="1"/>
  <c r="J148" i="56"/>
  <c r="I153" i="75" s="1"/>
  <c r="O148" i="56"/>
  <c r="N153" i="75" s="1"/>
  <c r="P148" i="56"/>
  <c r="I148" i="56"/>
  <c r="AJ148" i="56" s="1" a="1"/>
  <c r="AJ148" i="56" s="1"/>
  <c r="AB176" i="56"/>
  <c r="D176" i="56"/>
  <c r="N122" i="56"/>
  <c r="M48" i="75" s="1"/>
  <c r="O122" i="56"/>
  <c r="N48" i="75" s="1"/>
  <c r="P122" i="56"/>
  <c r="Q122" i="56"/>
  <c r="J122" i="56"/>
  <c r="I48" i="75" s="1"/>
  <c r="S122" i="56"/>
  <c r="K122" i="56"/>
  <c r="J48" i="75" s="1"/>
  <c r="AB122" i="56"/>
  <c r="L122" i="56"/>
  <c r="K48" i="75" s="1"/>
  <c r="R122" i="56"/>
  <c r="I122" i="56"/>
  <c r="AJ122" i="56" s="1" a="1"/>
  <c r="AJ122" i="56" s="1"/>
  <c r="M122" i="56"/>
  <c r="L48" i="75" s="1"/>
  <c r="AB80" i="56"/>
  <c r="AB67" i="56"/>
  <c r="AB100" i="56"/>
  <c r="AB73" i="56"/>
  <c r="AB107" i="56"/>
  <c r="D181" i="56"/>
  <c r="AB181" i="56"/>
  <c r="AB127" i="56"/>
  <c r="O127" i="56"/>
  <c r="N68" i="75" s="1"/>
  <c r="P127" i="56"/>
  <c r="K127" i="56"/>
  <c r="S127" i="56"/>
  <c r="N127" i="56"/>
  <c r="M68" i="75" s="1"/>
  <c r="J127" i="56"/>
  <c r="I68" i="75" s="1"/>
  <c r="I127" i="56"/>
  <c r="R127" i="56"/>
  <c r="Q127" i="56"/>
  <c r="L127" i="56"/>
  <c r="K68" i="75" s="1"/>
  <c r="M127" i="56"/>
  <c r="L68" i="75" s="1"/>
  <c r="AB206" i="56"/>
  <c r="D206" i="56"/>
  <c r="M152" i="56"/>
  <c r="L168" i="75" s="1"/>
  <c r="AB152" i="56"/>
  <c r="Q152" i="56"/>
  <c r="R152" i="56"/>
  <c r="S152" i="56"/>
  <c r="N152" i="56"/>
  <c r="M168" i="75" s="1"/>
  <c r="I152" i="56"/>
  <c r="AM152" i="56" s="1" a="1"/>
  <c r="AM152" i="56" s="1"/>
  <c r="J152" i="56"/>
  <c r="I168" i="75" s="1"/>
  <c r="O152" i="56"/>
  <c r="N168" i="75" s="1"/>
  <c r="K152" i="56"/>
  <c r="L152" i="56"/>
  <c r="K168" i="75" s="1"/>
  <c r="P152" i="56"/>
  <c r="AB185" i="56"/>
  <c r="D185" i="56"/>
  <c r="O131" i="56"/>
  <c r="N83" i="75" s="1"/>
  <c r="R131" i="56"/>
  <c r="I131" i="56"/>
  <c r="B83" i="75" s="1"/>
  <c r="L131" i="56"/>
  <c r="K83" i="75" s="1"/>
  <c r="J131" i="56"/>
  <c r="I83" i="75" s="1"/>
  <c r="P131" i="56"/>
  <c r="K131" i="56"/>
  <c r="Q131" i="56"/>
  <c r="S131" i="56"/>
  <c r="M131" i="56"/>
  <c r="L83" i="75" s="1"/>
  <c r="AB131" i="56"/>
  <c r="N131" i="56"/>
  <c r="M83" i="75" s="1"/>
  <c r="D193" i="56"/>
  <c r="AB193" i="56"/>
  <c r="Q139" i="56"/>
  <c r="R139" i="56"/>
  <c r="L139" i="56"/>
  <c r="K118" i="75" s="1"/>
  <c r="S139" i="56"/>
  <c r="M139" i="56"/>
  <c r="L118" i="75" s="1"/>
  <c r="AB139" i="56"/>
  <c r="O139" i="56"/>
  <c r="N118" i="75" s="1"/>
  <c r="J139" i="56"/>
  <c r="I118" i="75" s="1"/>
  <c r="P139" i="56"/>
  <c r="K139" i="56"/>
  <c r="N139" i="56"/>
  <c r="M118" i="75" s="1"/>
  <c r="I139" i="56"/>
  <c r="B118" i="75" s="1"/>
  <c r="AB184" i="56"/>
  <c r="D184" i="56"/>
  <c r="F130" i="56"/>
  <c r="D130" i="56"/>
  <c r="H130" i="56"/>
  <c r="G130" i="56"/>
  <c r="AB130" i="56"/>
  <c r="Q130" i="56"/>
  <c r="O130" i="56"/>
  <c r="J130" i="56"/>
  <c r="N130" i="56"/>
  <c r="R130" i="56"/>
  <c r="S130" i="56"/>
  <c r="K130" i="56"/>
  <c r="AK130" i="56" s="1"/>
  <c r="L130" i="56"/>
  <c r="P130" i="56"/>
  <c r="M130" i="56"/>
  <c r="I130" i="56"/>
  <c r="AB211" i="56"/>
  <c r="D211" i="56"/>
  <c r="L155" i="56"/>
  <c r="S155" i="56"/>
  <c r="N155" i="56"/>
  <c r="P155" i="56"/>
  <c r="K155" i="56"/>
  <c r="AK155" i="56" s="1"/>
  <c r="Q155" i="56"/>
  <c r="M155" i="56"/>
  <c r="AB155" i="56"/>
  <c r="O155" i="56"/>
  <c r="I155" i="56"/>
  <c r="J155" i="56"/>
  <c r="R155" i="56"/>
  <c r="AB98" i="56"/>
  <c r="AB66" i="56"/>
  <c r="AB76" i="56"/>
  <c r="AB169" i="56"/>
  <c r="D169" i="56"/>
  <c r="O116" i="56"/>
  <c r="N23" i="75" s="1"/>
  <c r="R116" i="56"/>
  <c r="S116" i="56"/>
  <c r="K116" i="56"/>
  <c r="L116" i="56"/>
  <c r="K23" i="75" s="1"/>
  <c r="P116" i="56"/>
  <c r="M116" i="56"/>
  <c r="L23" i="75" s="1"/>
  <c r="AB116" i="56"/>
  <c r="Q116" i="56"/>
  <c r="N116" i="56"/>
  <c r="M23" i="75" s="1"/>
  <c r="I116" i="56"/>
  <c r="J116" i="56"/>
  <c r="I23" i="75" s="1"/>
  <c r="AB203" i="56"/>
  <c r="D203" i="56"/>
  <c r="K149" i="56"/>
  <c r="J158" i="75" s="1"/>
  <c r="M149" i="56"/>
  <c r="L158" i="75" s="1"/>
  <c r="R149" i="56"/>
  <c r="AB149" i="56"/>
  <c r="P149" i="56"/>
  <c r="N149" i="56"/>
  <c r="M158" i="75" s="1"/>
  <c r="Q149" i="56"/>
  <c r="S149" i="56"/>
  <c r="O149" i="56"/>
  <c r="N158" i="75" s="1"/>
  <c r="L149" i="56"/>
  <c r="K158" i="75" s="1"/>
  <c r="J149" i="56"/>
  <c r="I158" i="75" s="1"/>
  <c r="I149" i="56"/>
  <c r="B158" i="75" s="1"/>
  <c r="AB197" i="56"/>
  <c r="D197" i="56"/>
  <c r="I143" i="56"/>
  <c r="B133" i="75" s="1"/>
  <c r="J143" i="56"/>
  <c r="I133" i="75" s="1"/>
  <c r="P143" i="56"/>
  <c r="K143" i="56"/>
  <c r="Q143" i="56"/>
  <c r="S143" i="56"/>
  <c r="M143" i="56"/>
  <c r="L133" i="75" s="1"/>
  <c r="AB143" i="56"/>
  <c r="O143" i="56"/>
  <c r="N133" i="75" s="1"/>
  <c r="N143" i="56"/>
  <c r="M133" i="75" s="1"/>
  <c r="L143" i="56"/>
  <c r="K133" i="75" s="1"/>
  <c r="R143" i="56"/>
  <c r="AB68" i="56"/>
  <c r="AB84" i="56"/>
  <c r="AB101" i="56"/>
  <c r="AB189" i="56"/>
  <c r="D189" i="56"/>
  <c r="AB135" i="56"/>
  <c r="M135" i="56"/>
  <c r="J135" i="56"/>
  <c r="O135" i="56"/>
  <c r="Q135" i="56"/>
  <c r="I135" i="56"/>
  <c r="L135" i="56"/>
  <c r="K135" i="56"/>
  <c r="AK135" i="56" s="1"/>
  <c r="S135" i="56"/>
  <c r="N135" i="56"/>
  <c r="P135" i="56"/>
  <c r="R135" i="56"/>
  <c r="AB171" i="56"/>
  <c r="D171" i="56"/>
  <c r="P117" i="56"/>
  <c r="N117" i="56"/>
  <c r="M28" i="75" s="1"/>
  <c r="R117" i="56"/>
  <c r="O117" i="56"/>
  <c r="N28" i="75" s="1"/>
  <c r="Q117" i="56"/>
  <c r="S117" i="56"/>
  <c r="I117" i="56"/>
  <c r="M117" i="56"/>
  <c r="L28" i="75" s="1"/>
  <c r="J117" i="56"/>
  <c r="I28" i="75" s="1"/>
  <c r="L117" i="56"/>
  <c r="K28" i="75" s="1"/>
  <c r="K117" i="56"/>
  <c r="AB65" i="56"/>
  <c r="G139" i="56"/>
  <c r="G118" i="75" s="1"/>
  <c r="H139" i="56"/>
  <c r="H118" i="75" s="1"/>
  <c r="G152" i="56"/>
  <c r="H152" i="56"/>
  <c r="H137" i="56"/>
  <c r="G137" i="56"/>
  <c r="H136" i="56"/>
  <c r="G136" i="56"/>
  <c r="G134" i="56"/>
  <c r="G98" i="75" s="1"/>
  <c r="H134" i="56"/>
  <c r="H98" i="75" s="1"/>
  <c r="G117" i="56"/>
  <c r="H117" i="56"/>
  <c r="H148" i="56"/>
  <c r="G148" i="56"/>
  <c r="G128" i="56"/>
  <c r="H128" i="56"/>
  <c r="G142" i="56"/>
  <c r="H142" i="56"/>
  <c r="G153" i="56"/>
  <c r="H153" i="56"/>
  <c r="G155" i="56"/>
  <c r="H155" i="56"/>
  <c r="AL48" i="56"/>
  <c r="U48" i="56"/>
  <c r="G115" i="56"/>
  <c r="H115" i="56"/>
  <c r="H113" i="56"/>
  <c r="G113" i="56"/>
  <c r="H150" i="56"/>
  <c r="G150" i="56"/>
  <c r="G120" i="56"/>
  <c r="H120" i="56"/>
  <c r="AC8" i="27"/>
  <c r="AB9" i="27"/>
  <c r="AC5" i="27"/>
  <c r="AC6" i="27"/>
  <c r="AC4" i="27"/>
  <c r="AB8" i="27"/>
  <c r="AC7" i="27"/>
  <c r="AD8" i="27"/>
  <c r="AD5" i="27"/>
  <c r="AB5" i="27"/>
  <c r="AB7" i="27"/>
  <c r="AB4" i="27"/>
  <c r="AD9" i="27"/>
  <c r="AD6" i="27"/>
  <c r="AB6" i="27"/>
  <c r="AD7" i="27"/>
  <c r="AD4" i="27"/>
  <c r="AC9" i="27"/>
  <c r="G114" i="56"/>
  <c r="H114" i="56"/>
  <c r="H135" i="56"/>
  <c r="G135" i="56"/>
  <c r="G121" i="56"/>
  <c r="H121" i="56"/>
  <c r="G129" i="56"/>
  <c r="G78" i="75" s="1"/>
  <c r="H129" i="56"/>
  <c r="H78" i="75" s="1"/>
  <c r="G146" i="56"/>
  <c r="H146" i="56"/>
  <c r="G119" i="56"/>
  <c r="G38" i="75" s="1"/>
  <c r="H119" i="56"/>
  <c r="H38" i="75" s="1"/>
  <c r="G122" i="56"/>
  <c r="H122" i="56"/>
  <c r="G126" i="56"/>
  <c r="G63" i="75" s="1"/>
  <c r="H126" i="56"/>
  <c r="H63" i="75" s="1"/>
  <c r="H125" i="56"/>
  <c r="G125" i="56"/>
  <c r="H160" i="56"/>
  <c r="G160" i="56"/>
  <c r="G116" i="56"/>
  <c r="H116" i="56"/>
  <c r="G141" i="56"/>
  <c r="G123" i="75" s="1"/>
  <c r="H141" i="56"/>
  <c r="H123" i="75" s="1"/>
  <c r="G145" i="56"/>
  <c r="H145" i="56"/>
  <c r="G133" i="56"/>
  <c r="H133" i="56"/>
  <c r="G143" i="56"/>
  <c r="G133" i="75" s="1"/>
  <c r="H143" i="56"/>
  <c r="H133" i="75" s="1"/>
  <c r="H124" i="56"/>
  <c r="G124" i="56"/>
  <c r="G127" i="56"/>
  <c r="H127" i="56"/>
  <c r="G140" i="56"/>
  <c r="H140" i="56"/>
  <c r="G144" i="56"/>
  <c r="H144" i="56"/>
  <c r="H149" i="56"/>
  <c r="H158" i="75" s="1"/>
  <c r="G149" i="56"/>
  <c r="G158" i="75" s="1"/>
  <c r="H111" i="56"/>
  <c r="H3" i="75" s="1"/>
  <c r="G111" i="56"/>
  <c r="G3" i="75" s="1"/>
  <c r="H147" i="56"/>
  <c r="G147" i="56"/>
  <c r="H123" i="56"/>
  <c r="G123" i="56"/>
  <c r="G151" i="56"/>
  <c r="H151" i="56"/>
  <c r="G132" i="56"/>
  <c r="H132" i="56"/>
  <c r="G138" i="56"/>
  <c r="H138" i="56"/>
  <c r="G131" i="56"/>
  <c r="G83" i="75" s="1"/>
  <c r="H131" i="56"/>
  <c r="H83" i="75" s="1"/>
  <c r="D131" i="56"/>
  <c r="F131" i="56"/>
  <c r="G154" i="56"/>
  <c r="H154" i="56"/>
  <c r="U47" i="56"/>
  <c r="AL47" i="56"/>
  <c r="G118" i="56"/>
  <c r="H118" i="56"/>
  <c r="F111" i="56"/>
  <c r="D111" i="56"/>
  <c r="Z64" i="56"/>
  <c r="Q27" i="75" s="1"/>
  <c r="D117" i="56"/>
  <c r="F117" i="56"/>
  <c r="D128" i="56"/>
  <c r="F128" i="56"/>
  <c r="F118" i="56"/>
  <c r="D118" i="56"/>
  <c r="F140" i="56"/>
  <c r="D140" i="56"/>
  <c r="D153" i="56"/>
  <c r="F153" i="56"/>
  <c r="F138" i="56"/>
  <c r="D138" i="56"/>
  <c r="D137" i="56"/>
  <c r="F137" i="56"/>
  <c r="X6" i="55"/>
  <c r="Z62" i="56" s="1"/>
  <c r="D154" i="56"/>
  <c r="F154" i="56"/>
  <c r="F160" i="56"/>
  <c r="D160" i="56"/>
  <c r="D115" i="56"/>
  <c r="F115" i="56"/>
  <c r="F113" i="56"/>
  <c r="D113" i="56"/>
  <c r="F151" i="56"/>
  <c r="D151" i="56"/>
  <c r="D120" i="56"/>
  <c r="F120" i="56"/>
  <c r="F149" i="56"/>
  <c r="D149" i="56"/>
  <c r="F114" i="56"/>
  <c r="D114" i="56"/>
  <c r="F136" i="56"/>
  <c r="D136" i="56"/>
  <c r="D121" i="56"/>
  <c r="F121" i="56"/>
  <c r="D129" i="56"/>
  <c r="F129" i="56"/>
  <c r="D147" i="56"/>
  <c r="AI147" i="56" s="1"/>
  <c r="F147" i="56"/>
  <c r="AH147" i="56" s="1"/>
  <c r="D119" i="56"/>
  <c r="F119" i="56"/>
  <c r="D122" i="56"/>
  <c r="F122" i="56"/>
  <c r="D126" i="56"/>
  <c r="F126" i="56"/>
  <c r="F125" i="56"/>
  <c r="D125" i="56"/>
  <c r="D143" i="56"/>
  <c r="F143" i="56"/>
  <c r="D116" i="56"/>
  <c r="F116" i="56"/>
  <c r="D142" i="56"/>
  <c r="F142" i="56"/>
  <c r="D146" i="56"/>
  <c r="F146" i="56"/>
  <c r="D134" i="56"/>
  <c r="F134" i="56"/>
  <c r="D144" i="56"/>
  <c r="F144" i="56"/>
  <c r="F124" i="56"/>
  <c r="D124" i="56"/>
  <c r="D127" i="56"/>
  <c r="F127" i="56"/>
  <c r="D141" i="56"/>
  <c r="F141" i="56"/>
  <c r="D145" i="56"/>
  <c r="F145" i="56"/>
  <c r="F150" i="56"/>
  <c r="D150" i="56"/>
  <c r="F112" i="56"/>
  <c r="D112" i="56"/>
  <c r="D148" i="56"/>
  <c r="F148" i="56"/>
  <c r="D123" i="56"/>
  <c r="F123" i="56"/>
  <c r="F135" i="56"/>
  <c r="D135" i="56"/>
  <c r="D152" i="56"/>
  <c r="F152" i="56"/>
  <c r="D133" i="56"/>
  <c r="F133" i="56"/>
  <c r="F139" i="56"/>
  <c r="D139" i="56"/>
  <c r="F132" i="56"/>
  <c r="D132" i="56"/>
  <c r="D155" i="56"/>
  <c r="F155" i="56"/>
  <c r="Z100" i="56"/>
  <c r="Q172" i="75" s="1"/>
  <c r="AA90" i="56"/>
  <c r="X26" i="55"/>
  <c r="Z82" i="56" s="1"/>
  <c r="AA83" i="56"/>
  <c r="D23" i="61" a="1"/>
  <c r="L14" i="26"/>
  <c r="L16" i="26"/>
  <c r="L10" i="26"/>
  <c r="L15" i="26"/>
  <c r="L4" i="26"/>
  <c r="L5" i="26"/>
  <c r="L20" i="26"/>
  <c r="L6" i="26"/>
  <c r="L18" i="26"/>
  <c r="L7" i="26"/>
  <c r="L19" i="26"/>
  <c r="L8" i="26"/>
  <c r="L9" i="26"/>
  <c r="L3" i="26"/>
  <c r="L12" i="26"/>
  <c r="L11" i="26"/>
  <c r="L13" i="26"/>
  <c r="L17" i="26"/>
  <c r="P5" i="26"/>
  <c r="P8" i="26"/>
  <c r="Q4" i="26"/>
  <c r="Q7" i="26"/>
  <c r="P3" i="26"/>
  <c r="Q5" i="26"/>
  <c r="Q6" i="26"/>
  <c r="Q8" i="26"/>
  <c r="Q3" i="26"/>
  <c r="P4" i="26"/>
  <c r="P6" i="26"/>
  <c r="P7" i="26"/>
  <c r="N9" i="59"/>
  <c r="X9" i="59"/>
  <c r="AA31" i="59"/>
  <c r="Q31" i="59"/>
  <c r="Z65" i="56"/>
  <c r="Q32" i="75" s="1"/>
  <c r="Q2" i="59"/>
  <c r="AA2" i="59"/>
  <c r="P33" i="59"/>
  <c r="Z33" i="59"/>
  <c r="Z26" i="59"/>
  <c r="P26" i="59"/>
  <c r="R17" i="59"/>
  <c r="AB17" i="59"/>
  <c r="Y6" i="59"/>
  <c r="O6" i="59"/>
  <c r="S28" i="59"/>
  <c r="AC28" i="59"/>
  <c r="X29" i="59"/>
  <c r="N29" i="59"/>
  <c r="Y32" i="59"/>
  <c r="O32" i="59"/>
  <c r="AB21" i="59"/>
  <c r="R21" i="59"/>
  <c r="AB13" i="59"/>
  <c r="R13" i="59"/>
  <c r="AA35" i="59"/>
  <c r="Q35" i="59"/>
  <c r="AB8" i="59"/>
  <c r="R8" i="59"/>
  <c r="Y3" i="59"/>
  <c r="O3" i="59"/>
  <c r="AC21" i="59"/>
  <c r="S21" i="59"/>
  <c r="Z34" i="59"/>
  <c r="P34" i="59"/>
  <c r="X12" i="59"/>
  <c r="N12" i="59"/>
  <c r="O19" i="59"/>
  <c r="Y19" i="59"/>
  <c r="AC18" i="59"/>
  <c r="S18" i="59"/>
  <c r="P8" i="59"/>
  <c r="Z8" i="59"/>
  <c r="AA30" i="59"/>
  <c r="Q30" i="59"/>
  <c r="N19" i="59"/>
  <c r="X19" i="59"/>
  <c r="R22" i="59"/>
  <c r="AB22" i="59"/>
  <c r="N11" i="59"/>
  <c r="X11" i="59"/>
  <c r="N3" i="59"/>
  <c r="X3" i="59"/>
  <c r="N13" i="59"/>
  <c r="X13" i="59"/>
  <c r="P29" i="59"/>
  <c r="Z29" i="59"/>
  <c r="AB33" i="59"/>
  <c r="R33" i="59"/>
  <c r="Y14" i="59"/>
  <c r="O14" i="59"/>
  <c r="R7" i="59"/>
  <c r="AB7" i="59"/>
  <c r="P17" i="59"/>
  <c r="Z17" i="59"/>
  <c r="AC32" i="59"/>
  <c r="S32" i="59"/>
  <c r="N14" i="59"/>
  <c r="X14" i="59"/>
  <c r="Y24" i="59"/>
  <c r="O24" i="59"/>
  <c r="R12" i="59"/>
  <c r="AB12" i="59"/>
  <c r="P18" i="59"/>
  <c r="Z18" i="59"/>
  <c r="AA26" i="59"/>
  <c r="Q26" i="59"/>
  <c r="Y4" i="59"/>
  <c r="O4" i="59"/>
  <c r="R28" i="59"/>
  <c r="AB28" i="59"/>
  <c r="Z2" i="59"/>
  <c r="P2" i="59"/>
  <c r="Z12" i="59"/>
  <c r="P12" i="59"/>
  <c r="O9" i="59"/>
  <c r="Y9" i="59"/>
  <c r="AB2" i="59"/>
  <c r="R2" i="59"/>
  <c r="AA28" i="59"/>
  <c r="Q28" i="59"/>
  <c r="AA24" i="59"/>
  <c r="Q24" i="59"/>
  <c r="P19" i="59"/>
  <c r="Z19" i="59"/>
  <c r="AA22" i="59"/>
  <c r="Q22" i="59"/>
  <c r="O33" i="59"/>
  <c r="Y33" i="59"/>
  <c r="R10" i="59"/>
  <c r="AB10" i="59"/>
  <c r="X10" i="59"/>
  <c r="N10" i="59"/>
  <c r="AC19" i="59"/>
  <c r="S19" i="59"/>
  <c r="P9" i="59"/>
  <c r="Z9" i="59"/>
  <c r="X17" i="59"/>
  <c r="N17" i="59"/>
  <c r="Z13" i="59"/>
  <c r="P13" i="59"/>
  <c r="X22" i="59"/>
  <c r="N22" i="59"/>
  <c r="P11" i="59"/>
  <c r="Z11" i="59"/>
  <c r="AC11" i="59"/>
  <c r="S11" i="59"/>
  <c r="O25" i="59"/>
  <c r="Y25" i="59"/>
  <c r="Y17" i="59"/>
  <c r="O17" i="59"/>
  <c r="AA32" i="59"/>
  <c r="Q32" i="59"/>
  <c r="O29" i="59"/>
  <c r="Y29" i="59"/>
  <c r="Q7" i="59"/>
  <c r="AA7" i="59"/>
  <c r="AB23" i="59"/>
  <c r="R23" i="59"/>
  <c r="AA25" i="59"/>
  <c r="Q25" i="59"/>
  <c r="Z25" i="59"/>
  <c r="P25" i="59"/>
  <c r="AC7" i="59"/>
  <c r="S7" i="59"/>
  <c r="X24" i="59"/>
  <c r="N24" i="59"/>
  <c r="X18" i="59"/>
  <c r="N18" i="59"/>
  <c r="S26" i="59"/>
  <c r="AC26" i="59"/>
  <c r="AC23" i="59"/>
  <c r="S23" i="59"/>
  <c r="Y30" i="59"/>
  <c r="O30" i="59"/>
  <c r="AB32" i="59"/>
  <c r="R32" i="59"/>
  <c r="P21" i="59"/>
  <c r="Z21" i="59"/>
  <c r="AC35" i="59"/>
  <c r="S35" i="59"/>
  <c r="X28" i="59"/>
  <c r="N28" i="59"/>
  <c r="R31" i="59"/>
  <c r="AB31" i="59"/>
  <c r="Z14" i="59"/>
  <c r="P14" i="59"/>
  <c r="Y2" i="59"/>
  <c r="O2" i="59"/>
  <c r="R6" i="59"/>
  <c r="AB6" i="59"/>
  <c r="Y10" i="59"/>
  <c r="O10" i="59"/>
  <c r="S15" i="59"/>
  <c r="AC15" i="59"/>
  <c r="N21" i="59"/>
  <c r="X21" i="59"/>
  <c r="AA18" i="59"/>
  <c r="Q18" i="59"/>
  <c r="R34" i="59"/>
  <c r="AB34" i="59"/>
  <c r="Q17" i="59"/>
  <c r="AA17" i="59"/>
  <c r="X30" i="59"/>
  <c r="N30" i="59"/>
  <c r="Z28" i="59"/>
  <c r="P28" i="59"/>
  <c r="S4" i="59"/>
  <c r="AC4" i="59"/>
  <c r="R27" i="59"/>
  <c r="AB27" i="59"/>
  <c r="O35" i="59"/>
  <c r="Y35" i="59"/>
  <c r="AC20" i="59"/>
  <c r="S20" i="59"/>
  <c r="AC31" i="59"/>
  <c r="S31" i="59"/>
  <c r="AB25" i="59"/>
  <c r="R25" i="59"/>
  <c r="AB11" i="59"/>
  <c r="R11" i="59"/>
  <c r="Z22" i="59"/>
  <c r="P22" i="59"/>
  <c r="R4" i="59"/>
  <c r="AB4" i="59"/>
  <c r="Q21" i="59"/>
  <c r="AA21" i="59"/>
  <c r="N33" i="59"/>
  <c r="X33" i="59"/>
  <c r="N23" i="59"/>
  <c r="X23" i="59"/>
  <c r="AC33" i="59"/>
  <c r="S33" i="59"/>
  <c r="Z24" i="59"/>
  <c r="P24" i="59"/>
  <c r="S22" i="59"/>
  <c r="AC22" i="59"/>
  <c r="R18" i="59"/>
  <c r="AB18" i="59"/>
  <c r="Z30" i="59"/>
  <c r="P30" i="59"/>
  <c r="AC30" i="59"/>
  <c r="S30" i="59"/>
  <c r="O13" i="59"/>
  <c r="Y13" i="59"/>
  <c r="Q19" i="59"/>
  <c r="AA19" i="59"/>
  <c r="S27" i="59"/>
  <c r="AC27" i="59"/>
  <c r="Z6" i="59"/>
  <c r="P6" i="59"/>
  <c r="X34" i="59"/>
  <c r="N34" i="59"/>
  <c r="X6" i="59"/>
  <c r="N6" i="59"/>
  <c r="S10" i="59"/>
  <c r="AC10" i="59"/>
  <c r="AA11" i="59"/>
  <c r="Q11" i="59"/>
  <c r="N27" i="59"/>
  <c r="X27" i="59"/>
  <c r="N7" i="59"/>
  <c r="X7" i="59"/>
  <c r="Y18" i="59"/>
  <c r="O18" i="59"/>
  <c r="Y22" i="59"/>
  <c r="O22" i="59"/>
  <c r="P10" i="59"/>
  <c r="Z10" i="59"/>
  <c r="N25" i="59"/>
  <c r="X25" i="59"/>
  <c r="Q33" i="59"/>
  <c r="AA33" i="59"/>
  <c r="Q9" i="59"/>
  <c r="AA9" i="59"/>
  <c r="Y16" i="59"/>
  <c r="O16" i="59"/>
  <c r="S34" i="59"/>
  <c r="AC34" i="59"/>
  <c r="R5" i="59"/>
  <c r="AB5" i="59"/>
  <c r="AA8" i="59"/>
  <c r="Q8" i="59"/>
  <c r="Y26" i="59"/>
  <c r="O26" i="59"/>
  <c r="AC25" i="59"/>
  <c r="S25" i="59"/>
  <c r="Y8" i="59"/>
  <c r="O8" i="59"/>
  <c r="Q5" i="59"/>
  <c r="AA5" i="59"/>
  <c r="Q29" i="59"/>
  <c r="AA29" i="59"/>
  <c r="R26" i="59"/>
  <c r="AB26" i="59"/>
  <c r="X8" i="59"/>
  <c r="N8" i="59"/>
  <c r="S12" i="59"/>
  <c r="AC12" i="59"/>
  <c r="P7" i="59"/>
  <c r="Z7" i="59"/>
  <c r="S16" i="59"/>
  <c r="AC16" i="59"/>
  <c r="Z15" i="59"/>
  <c r="P15" i="59"/>
  <c r="O11" i="59"/>
  <c r="Y11" i="59"/>
  <c r="P23" i="59"/>
  <c r="Z23" i="59"/>
  <c r="U27" i="56"/>
  <c r="AL27" i="56"/>
  <c r="Z93" i="56"/>
  <c r="Q142" i="75" s="1"/>
  <c r="Z92" i="56"/>
  <c r="Y82" i="56"/>
  <c r="Z88" i="56"/>
  <c r="Q122" i="75" s="1"/>
  <c r="Z87" i="56"/>
  <c r="Z71" i="56"/>
  <c r="Q57" i="75" s="1"/>
  <c r="Z70" i="56"/>
  <c r="Q52" i="75" s="1"/>
  <c r="Y98" i="56"/>
  <c r="Y83" i="56"/>
  <c r="X33" i="55"/>
  <c r="Y62" i="56"/>
  <c r="Y61" i="56"/>
  <c r="Y91" i="56"/>
  <c r="Y90" i="56"/>
  <c r="AC17" i="46"/>
  <c r="P17" i="46"/>
  <c r="U17" i="46"/>
  <c r="Z17" i="46"/>
  <c r="AA17" i="46"/>
  <c r="AG17" i="46"/>
  <c r="S17" i="46"/>
  <c r="Y17" i="46"/>
  <c r="AD17" i="46"/>
  <c r="Q17" i="46"/>
  <c r="W17" i="46"/>
  <c r="AB17" i="46"/>
  <c r="O17" i="46"/>
  <c r="AH17" i="46"/>
  <c r="T17" i="46"/>
  <c r="AE17" i="46"/>
  <c r="R17" i="46"/>
  <c r="X17" i="46"/>
  <c r="X41" i="55"/>
  <c r="Z97" i="56" s="1"/>
  <c r="Z91" i="56"/>
  <c r="Q137" i="75" s="1"/>
  <c r="Z84" i="56"/>
  <c r="Q107" i="75" s="1"/>
  <c r="G36" i="27"/>
  <c r="AL9" i="56"/>
  <c r="U9" i="56"/>
  <c r="AL44" i="56"/>
  <c r="U44" i="56"/>
  <c r="AL43" i="56"/>
  <c r="U43" i="56"/>
  <c r="AL15" i="56"/>
  <c r="U15" i="56"/>
  <c r="U7" i="56"/>
  <c r="AL7" i="56"/>
  <c r="AL36" i="56"/>
  <c r="U36" i="56"/>
  <c r="AL39" i="56"/>
  <c r="U39" i="56"/>
  <c r="AL4" i="56"/>
  <c r="U4" i="56"/>
  <c r="AL38" i="56"/>
  <c r="U38" i="56"/>
  <c r="AL45" i="56"/>
  <c r="U45" i="56"/>
  <c r="AL6" i="56"/>
  <c r="U6" i="56"/>
  <c r="AL31" i="56"/>
  <c r="U31" i="56"/>
  <c r="AL14" i="56"/>
  <c r="U14" i="56"/>
  <c r="AL22" i="56"/>
  <c r="U22" i="56"/>
  <c r="AL20" i="56"/>
  <c r="U20" i="56"/>
  <c r="AL8" i="56"/>
  <c r="U8" i="56"/>
  <c r="U32" i="56"/>
  <c r="AL32" i="56"/>
  <c r="AL28" i="56"/>
  <c r="U28" i="56"/>
  <c r="AL25" i="56"/>
  <c r="U25" i="56"/>
  <c r="AL42" i="56"/>
  <c r="U42" i="56"/>
  <c r="U19" i="56"/>
  <c r="AL19" i="56"/>
  <c r="AL33" i="56"/>
  <c r="U33" i="56"/>
  <c r="AL46" i="56"/>
  <c r="U46" i="56"/>
  <c r="AL41" i="56"/>
  <c r="U41" i="56"/>
  <c r="U24" i="56"/>
  <c r="AL24" i="56"/>
  <c r="AL23" i="56"/>
  <c r="U23" i="56"/>
  <c r="AL29" i="56"/>
  <c r="U29" i="56"/>
  <c r="AL40" i="56"/>
  <c r="U40" i="56"/>
  <c r="AL5" i="56"/>
  <c r="U5" i="56"/>
  <c r="AL12" i="56"/>
  <c r="U12" i="56"/>
  <c r="AL34" i="56"/>
  <c r="U34" i="56"/>
  <c r="AL30" i="56"/>
  <c r="U30" i="56"/>
  <c r="AL26" i="56"/>
  <c r="U26" i="56"/>
  <c r="AL13" i="56"/>
  <c r="U13" i="56"/>
  <c r="AL21" i="56"/>
  <c r="U21" i="56"/>
  <c r="AL37" i="56"/>
  <c r="U37" i="56"/>
  <c r="AL10" i="56"/>
  <c r="U10" i="56"/>
  <c r="AL35" i="56"/>
  <c r="U35" i="56"/>
  <c r="AL11" i="56"/>
  <c r="U11" i="56"/>
  <c r="AL16" i="56"/>
  <c r="U16" i="56"/>
  <c r="AL18" i="56"/>
  <c r="U18" i="56"/>
  <c r="AL17" i="56"/>
  <c r="U17" i="56"/>
  <c r="AL53" i="56"/>
  <c r="U53" i="56"/>
  <c r="AG43" i="46"/>
  <c r="AC43" i="46"/>
  <c r="Z43" i="46"/>
  <c r="W43" i="46"/>
  <c r="S43" i="46"/>
  <c r="P43" i="46"/>
  <c r="R198" i="75" s="1"/>
  <c r="AH43" i="46"/>
  <c r="AD43" i="46"/>
  <c r="AA43" i="46"/>
  <c r="X43" i="46"/>
  <c r="T43" i="46"/>
  <c r="Q43" i="46"/>
  <c r="S198" i="75" s="1"/>
  <c r="AE43" i="46"/>
  <c r="AB43" i="46"/>
  <c r="Y43" i="46"/>
  <c r="U43" i="46"/>
  <c r="R43" i="46"/>
  <c r="O43" i="46"/>
  <c r="D198" i="75" s="1"/>
  <c r="AO59" i="19"/>
  <c r="AO19" i="19"/>
  <c r="AO41" i="19"/>
  <c r="AO31" i="19"/>
  <c r="AO8" i="19"/>
  <c r="AO5" i="19"/>
  <c r="AO138" i="19"/>
  <c r="AO18" i="19"/>
  <c r="AO57" i="19"/>
  <c r="AO61" i="19"/>
  <c r="AO39" i="19"/>
  <c r="AO60" i="19"/>
  <c r="AO6" i="19"/>
  <c r="AO20" i="19"/>
  <c r="AO46" i="19"/>
  <c r="AO25" i="19"/>
  <c r="AO48" i="19"/>
  <c r="AO21" i="19"/>
  <c r="AO4" i="19"/>
  <c r="AO14" i="19"/>
  <c r="AO45" i="19"/>
  <c r="AO23" i="19"/>
  <c r="AO17" i="19"/>
  <c r="AO117" i="19"/>
  <c r="AO58" i="19"/>
  <c r="AO7" i="19"/>
  <c r="AO24" i="19"/>
  <c r="AO103" i="19"/>
  <c r="AO40" i="19"/>
  <c r="AO62" i="19"/>
  <c r="AO26" i="19"/>
  <c r="AO121" i="19"/>
  <c r="AO47" i="19"/>
  <c r="AO74" i="19"/>
  <c r="AO15" i="19"/>
  <c r="P77" i="3"/>
  <c r="P76" i="3"/>
  <c r="P60" i="3"/>
  <c r="P59" i="3"/>
  <c r="P58" i="3"/>
  <c r="AO3" i="19"/>
  <c r="AO22" i="19"/>
  <c r="AO513" i="19"/>
  <c r="AO111" i="19"/>
  <c r="AO123" i="19"/>
  <c r="AO651" i="19"/>
  <c r="AO771" i="19"/>
  <c r="AO753" i="19"/>
  <c r="F26" i="48"/>
  <c r="C26" i="48"/>
  <c r="D26" i="48"/>
  <c r="E26" i="48"/>
  <c r="F16" i="48"/>
  <c r="C16" i="48"/>
  <c r="D16" i="48"/>
  <c r="E16" i="48"/>
  <c r="E32" i="48"/>
  <c r="F32" i="48"/>
  <c r="C32" i="48"/>
  <c r="D32" i="48"/>
  <c r="D9" i="48"/>
  <c r="F9" i="48"/>
  <c r="C9" i="48"/>
  <c r="E9" i="48"/>
  <c r="D24" i="48"/>
  <c r="E24" i="48"/>
  <c r="F24" i="48"/>
  <c r="C24" i="48"/>
  <c r="AO219" i="19"/>
  <c r="AO615" i="19"/>
  <c r="AO633" i="19"/>
  <c r="AO603" i="19"/>
  <c r="AO747" i="19"/>
  <c r="F3" i="48"/>
  <c r="C3" i="48"/>
  <c r="D3" i="48"/>
  <c r="E3" i="48"/>
  <c r="D10" i="48"/>
  <c r="E10" i="48"/>
  <c r="F10" i="48"/>
  <c r="C10" i="48"/>
  <c r="AO327" i="19"/>
  <c r="AO441" i="19"/>
  <c r="AO345" i="19"/>
  <c r="AO27" i="19"/>
  <c r="AO141" i="19"/>
  <c r="AO423" i="19"/>
  <c r="AO591" i="19"/>
  <c r="AO435" i="19"/>
  <c r="AO663" i="19"/>
  <c r="AO681" i="19"/>
  <c r="AO699" i="19"/>
  <c r="D34" i="48"/>
  <c r="E34" i="48"/>
  <c r="F34" i="48"/>
  <c r="C34" i="48"/>
  <c r="D33" i="48"/>
  <c r="F33" i="48"/>
  <c r="C33" i="48"/>
  <c r="E33" i="48"/>
  <c r="E31" i="48"/>
  <c r="F31" i="48"/>
  <c r="C31" i="48"/>
  <c r="D31" i="48"/>
  <c r="AO237" i="19"/>
  <c r="AO255" i="19"/>
  <c r="AO459" i="19"/>
  <c r="AO201" i="19"/>
  <c r="AO177" i="19"/>
  <c r="AO153" i="19"/>
  <c r="T130" i="56" s="1" a="1"/>
  <c r="T130" i="56" s="1"/>
  <c r="AO291" i="19"/>
  <c r="AO261" i="19"/>
  <c r="AO63" i="19"/>
  <c r="AO357" i="19"/>
  <c r="AO16" i="19"/>
  <c r="AO471" i="19"/>
  <c r="AO579" i="19"/>
  <c r="AO333" i="19"/>
  <c r="AO705" i="19"/>
  <c r="F14" i="48"/>
  <c r="C14" i="48"/>
  <c r="D14" i="48"/>
  <c r="E14" i="48"/>
  <c r="AO183" i="19"/>
  <c r="AO447" i="19"/>
  <c r="AO297" i="19"/>
  <c r="AO231" i="19"/>
  <c r="AO303" i="19"/>
  <c r="AO285" i="19"/>
  <c r="AO489" i="19"/>
  <c r="AO75" i="19"/>
  <c r="AO339" i="19"/>
  <c r="AO453" i="19"/>
  <c r="AO321" i="19"/>
  <c r="AO567" i="19"/>
  <c r="AO639" i="19"/>
  <c r="AO789" i="19"/>
  <c r="D12" i="48"/>
  <c r="E12" i="48"/>
  <c r="F12" i="48"/>
  <c r="C12" i="48"/>
  <c r="F15" i="48"/>
  <c r="C15" i="48"/>
  <c r="D15" i="48"/>
  <c r="E15" i="48"/>
  <c r="F13" i="48"/>
  <c r="C13" i="48"/>
  <c r="E13" i="48"/>
  <c r="D13" i="48"/>
  <c r="AO147" i="19"/>
  <c r="AO161" i="19"/>
  <c r="AO279" i="19"/>
  <c r="AO375" i="19"/>
  <c r="U84" i="56" s="1" a="1"/>
  <c r="U84" i="56" s="1"/>
  <c r="AO501" i="19"/>
  <c r="AO597" i="19"/>
  <c r="AO98" i="19"/>
  <c r="AO555" i="19"/>
  <c r="AO51" i="19"/>
  <c r="AO477" i="19"/>
  <c r="AO136" i="19"/>
  <c r="E18" i="48"/>
  <c r="F18" i="48"/>
  <c r="C18" i="48"/>
  <c r="D18" i="48"/>
  <c r="D21" i="48"/>
  <c r="F21" i="48"/>
  <c r="C21" i="48"/>
  <c r="E21" i="48"/>
  <c r="AO195" i="19"/>
  <c r="AO249" i="19"/>
  <c r="AO387" i="19"/>
  <c r="AO585" i="19"/>
  <c r="AO87" i="19"/>
  <c r="AO369" i="19"/>
  <c r="AO483" i="19"/>
  <c r="AO465" i="19"/>
  <c r="U68" i="56" s="1" a="1"/>
  <c r="U68" i="56" s="1"/>
  <c r="AO543" i="19"/>
  <c r="AO669" i="19"/>
  <c r="AO765" i="19"/>
  <c r="AO735" i="19"/>
  <c r="AO783" i="19"/>
  <c r="F27" i="48"/>
  <c r="C27" i="48"/>
  <c r="D27" i="48"/>
  <c r="E27" i="48"/>
  <c r="E20" i="48"/>
  <c r="F20" i="48"/>
  <c r="C20" i="48"/>
  <c r="D20" i="48"/>
  <c r="E30" i="48"/>
  <c r="F30" i="48"/>
  <c r="C30" i="48"/>
  <c r="D30" i="48"/>
  <c r="AO225" i="19"/>
  <c r="AO33" i="19"/>
  <c r="T159" i="56" s="1" a="1"/>
  <c r="T159" i="56" s="1"/>
  <c r="O198" i="75" s="1"/>
  <c r="AO165" i="19"/>
  <c r="AO243" i="19"/>
  <c r="AO207" i="19"/>
  <c r="AO105" i="19"/>
  <c r="AO573" i="19"/>
  <c r="AO69" i="19"/>
  <c r="AO351" i="19"/>
  <c r="AO9" i="19"/>
  <c r="AO531" i="19"/>
  <c r="AO363" i="19"/>
  <c r="U74" i="56" s="1" a="1"/>
  <c r="U74" i="56" s="1"/>
  <c r="AO687" i="19"/>
  <c r="AO711" i="19"/>
  <c r="AO723" i="19"/>
  <c r="E19" i="48"/>
  <c r="F19" i="48"/>
  <c r="C19" i="48"/>
  <c r="D19" i="48"/>
  <c r="E5" i="48"/>
  <c r="F5" i="48"/>
  <c r="D5" i="48"/>
  <c r="C5" i="48"/>
  <c r="AO519" i="19"/>
  <c r="AO93" i="19"/>
  <c r="AO627" i="19"/>
  <c r="AO717" i="19"/>
  <c r="D23" i="48"/>
  <c r="E23" i="48"/>
  <c r="F23" i="48"/>
  <c r="C23" i="48"/>
  <c r="D22" i="48"/>
  <c r="E22" i="48"/>
  <c r="F22" i="48"/>
  <c r="C22" i="48"/>
  <c r="AO267" i="19"/>
  <c r="AO561" i="19"/>
  <c r="AO399" i="19"/>
  <c r="AO273" i="19"/>
  <c r="AO266" i="19"/>
  <c r="AO159" i="19"/>
  <c r="AO417" i="19"/>
  <c r="AO549" i="19"/>
  <c r="U69" i="56" s="1" a="1"/>
  <c r="U69" i="56" s="1"/>
  <c r="AO99" i="19"/>
  <c r="AO381" i="19"/>
  <c r="AO495" i="19"/>
  <c r="AO81" i="19"/>
  <c r="AO507" i="19"/>
  <c r="AO609" i="19"/>
  <c r="AO693" i="19"/>
  <c r="AO741" i="19"/>
  <c r="E6" i="48"/>
  <c r="F6" i="48"/>
  <c r="C6" i="48"/>
  <c r="D6" i="48"/>
  <c r="F25" i="48"/>
  <c r="C25" i="48"/>
  <c r="E25" i="48"/>
  <c r="D25" i="48"/>
  <c r="D11" i="48"/>
  <c r="E11" i="48"/>
  <c r="F11" i="48"/>
  <c r="C11" i="48"/>
  <c r="E8" i="48"/>
  <c r="F8" i="48"/>
  <c r="C8" i="48"/>
  <c r="D8" i="48"/>
  <c r="E17" i="48"/>
  <c r="F17" i="48"/>
  <c r="D17" i="48"/>
  <c r="C17" i="48"/>
  <c r="AO309" i="19"/>
  <c r="AO213" i="19"/>
  <c r="AO171" i="19"/>
  <c r="AO135" i="19"/>
  <c r="AO429" i="19"/>
  <c r="AO537" i="19"/>
  <c r="AO405" i="19"/>
  <c r="AO621" i="19"/>
  <c r="E29" i="48"/>
  <c r="F29" i="48"/>
  <c r="D29" i="48"/>
  <c r="C29" i="48"/>
  <c r="AO189" i="19"/>
  <c r="AO315" i="19"/>
  <c r="AO525" i="19"/>
  <c r="AO129" i="19"/>
  <c r="AO411" i="19"/>
  <c r="AO393" i="19"/>
  <c r="AO657" i="19"/>
  <c r="AO675" i="19"/>
  <c r="AO645" i="19"/>
  <c r="AO759" i="19"/>
  <c r="AO729" i="19"/>
  <c r="AO777" i="19"/>
  <c r="E7" i="48"/>
  <c r="F7" i="48"/>
  <c r="C7" i="48"/>
  <c r="D7" i="48"/>
  <c r="F28" i="48"/>
  <c r="C28" i="48"/>
  <c r="D28" i="48"/>
  <c r="E28" i="48"/>
  <c r="F4" i="48"/>
  <c r="C4" i="48"/>
  <c r="D4" i="48"/>
  <c r="E4" i="48"/>
  <c r="AD30" i="46"/>
  <c r="Z30" i="46"/>
  <c r="U30" i="46"/>
  <c r="Q30" i="46"/>
  <c r="AE30" i="46"/>
  <c r="AA30" i="46"/>
  <c r="W30" i="46"/>
  <c r="R30" i="46"/>
  <c r="AG30" i="46"/>
  <c r="AB30" i="46"/>
  <c r="X30" i="46"/>
  <c r="S30" i="46"/>
  <c r="O30" i="46"/>
  <c r="AH30" i="46"/>
  <c r="AC30" i="46"/>
  <c r="Y30" i="46"/>
  <c r="T30" i="46"/>
  <c r="P30" i="46"/>
  <c r="AH39" i="46"/>
  <c r="AA39" i="46"/>
  <c r="T39" i="46"/>
  <c r="AG39" i="46"/>
  <c r="Z39" i="46"/>
  <c r="S39" i="46"/>
  <c r="R39" i="46"/>
  <c r="AE39" i="46"/>
  <c r="Y39" i="46"/>
  <c r="AD39" i="46"/>
  <c r="X39" i="46"/>
  <c r="Q39" i="46"/>
  <c r="W39" i="46"/>
  <c r="AC39" i="46"/>
  <c r="P39" i="46"/>
  <c r="AB39" i="46"/>
  <c r="U39" i="46"/>
  <c r="O39" i="46"/>
  <c r="AE10" i="46"/>
  <c r="Y10" i="46"/>
  <c r="AD10" i="46"/>
  <c r="X10" i="46"/>
  <c r="Q10" i="46"/>
  <c r="W10" i="46"/>
  <c r="AC10" i="46"/>
  <c r="P10" i="46"/>
  <c r="AB10" i="46"/>
  <c r="U10" i="46"/>
  <c r="O10" i="46"/>
  <c r="AH10" i="46"/>
  <c r="AA10" i="46"/>
  <c r="T10" i="46"/>
  <c r="AG10" i="46"/>
  <c r="Z10" i="46"/>
  <c r="S10" i="46"/>
  <c r="R10" i="46"/>
  <c r="W38" i="46"/>
  <c r="AC38" i="46"/>
  <c r="P38" i="46"/>
  <c r="AB38" i="46"/>
  <c r="U38" i="46"/>
  <c r="O38" i="46"/>
  <c r="AH38" i="46"/>
  <c r="AA38" i="46"/>
  <c r="T38" i="46"/>
  <c r="AG38" i="46"/>
  <c r="Z38" i="46"/>
  <c r="S38" i="46"/>
  <c r="R38" i="46"/>
  <c r="AE38" i="46"/>
  <c r="Y38" i="46"/>
  <c r="AD38" i="46"/>
  <c r="X38" i="46"/>
  <c r="Q38" i="46"/>
  <c r="AG47" i="46"/>
  <c r="Z47" i="46"/>
  <c r="S47" i="46"/>
  <c r="R47" i="46"/>
  <c r="AE47" i="46"/>
  <c r="Y47" i="46"/>
  <c r="AD47" i="46"/>
  <c r="X47" i="46"/>
  <c r="Q47" i="46"/>
  <c r="W47" i="46"/>
  <c r="AC47" i="46"/>
  <c r="P47" i="46"/>
  <c r="AB47" i="46"/>
  <c r="U47" i="46"/>
  <c r="O47" i="46"/>
  <c r="AH47" i="46"/>
  <c r="AA47" i="46"/>
  <c r="T47" i="46"/>
  <c r="AH14" i="46"/>
  <c r="AA14" i="46"/>
  <c r="T14" i="46"/>
  <c r="AG14" i="46"/>
  <c r="Z14" i="46"/>
  <c r="S14" i="46"/>
  <c r="R14" i="46"/>
  <c r="AE14" i="46"/>
  <c r="Y14" i="46"/>
  <c r="AD14" i="46"/>
  <c r="X14" i="46"/>
  <c r="Q14" i="46"/>
  <c r="W14" i="46"/>
  <c r="AC14" i="46"/>
  <c r="P14" i="46"/>
  <c r="AB14" i="46"/>
  <c r="U14" i="46"/>
  <c r="O14" i="46"/>
  <c r="AD33" i="46"/>
  <c r="X33" i="46"/>
  <c r="Q33" i="46"/>
  <c r="W33" i="46"/>
  <c r="AC33" i="46"/>
  <c r="P33" i="46"/>
  <c r="AB33" i="46"/>
  <c r="U33" i="46"/>
  <c r="O33" i="46"/>
  <c r="AH33" i="46"/>
  <c r="AA33" i="46"/>
  <c r="T33" i="46"/>
  <c r="AG33" i="46"/>
  <c r="Z33" i="46"/>
  <c r="S33" i="46"/>
  <c r="R33" i="46"/>
  <c r="AE33" i="46"/>
  <c r="Y33" i="46"/>
  <c r="AB18" i="46"/>
  <c r="U18" i="46"/>
  <c r="O18" i="46"/>
  <c r="AH18" i="46"/>
  <c r="AA18" i="46"/>
  <c r="T18" i="46"/>
  <c r="AG18" i="46"/>
  <c r="Z18" i="46"/>
  <c r="S18" i="46"/>
  <c r="R18" i="46"/>
  <c r="AE18" i="46"/>
  <c r="Y18" i="46"/>
  <c r="AD18" i="46"/>
  <c r="X18" i="46"/>
  <c r="Q18" i="46"/>
  <c r="W18" i="46"/>
  <c r="AC18" i="46"/>
  <c r="P18" i="46"/>
  <c r="AD42" i="46"/>
  <c r="X42" i="46"/>
  <c r="Q42" i="46"/>
  <c r="W42" i="46"/>
  <c r="AC42" i="46"/>
  <c r="P42" i="46"/>
  <c r="AB42" i="46"/>
  <c r="U42" i="46"/>
  <c r="O42" i="46"/>
  <c r="AH42" i="46"/>
  <c r="AA42" i="46"/>
  <c r="T42" i="46"/>
  <c r="AG42" i="46"/>
  <c r="Z42" i="46"/>
  <c r="S42" i="46"/>
  <c r="R42" i="46"/>
  <c r="AE42" i="46"/>
  <c r="Y42" i="46"/>
  <c r="AG50" i="46"/>
  <c r="Z50" i="46"/>
  <c r="S50" i="46"/>
  <c r="R50" i="46"/>
  <c r="AE50" i="46"/>
  <c r="Y50" i="46"/>
  <c r="AD50" i="46"/>
  <c r="X50" i="46"/>
  <c r="Q50" i="46"/>
  <c r="W50" i="46"/>
  <c r="AC50" i="46"/>
  <c r="P50" i="46"/>
  <c r="AB50" i="46"/>
  <c r="U50" i="46"/>
  <c r="O50" i="46"/>
  <c r="AH50" i="46"/>
  <c r="AA50" i="46"/>
  <c r="T50" i="46"/>
  <c r="AD41" i="46"/>
  <c r="X41" i="46"/>
  <c r="Q41" i="46"/>
  <c r="S158" i="75" s="1"/>
  <c r="W41" i="46"/>
  <c r="AC41" i="46"/>
  <c r="P41" i="46"/>
  <c r="R158" i="75" s="1"/>
  <c r="AB41" i="46"/>
  <c r="U41" i="46"/>
  <c r="O41" i="46"/>
  <c r="D158" i="75" s="1"/>
  <c r="AH41" i="46"/>
  <c r="AA41" i="46"/>
  <c r="T41" i="46"/>
  <c r="AG41" i="46"/>
  <c r="Z41" i="46"/>
  <c r="S41" i="46"/>
  <c r="R41" i="46"/>
  <c r="AE41" i="46"/>
  <c r="Y41" i="46"/>
  <c r="AG32" i="46"/>
  <c r="Z32" i="46"/>
  <c r="S32" i="46"/>
  <c r="R32" i="46"/>
  <c r="AE32" i="46"/>
  <c r="Y32" i="46"/>
  <c r="AD32" i="46"/>
  <c r="X32" i="46"/>
  <c r="Q32" i="46"/>
  <c r="W32" i="46"/>
  <c r="AC32" i="46"/>
  <c r="P32" i="46"/>
  <c r="AB32" i="46"/>
  <c r="U32" i="46"/>
  <c r="O32" i="46"/>
  <c r="AH32" i="46"/>
  <c r="AA32" i="46"/>
  <c r="T32" i="46"/>
  <c r="AG23" i="46"/>
  <c r="Z23" i="46"/>
  <c r="S23" i="46"/>
  <c r="R23" i="46"/>
  <c r="AE23" i="46"/>
  <c r="Y23" i="46"/>
  <c r="AD23" i="46"/>
  <c r="X23" i="46"/>
  <c r="Q23" i="46"/>
  <c r="W23" i="46"/>
  <c r="AC23" i="46"/>
  <c r="P23" i="46"/>
  <c r="AB23" i="46"/>
  <c r="U23" i="46"/>
  <c r="O23" i="46"/>
  <c r="AH23" i="46"/>
  <c r="AA23" i="46"/>
  <c r="T23" i="46"/>
  <c r="AB40" i="46"/>
  <c r="U40" i="46"/>
  <c r="O40" i="46"/>
  <c r="AH40" i="46"/>
  <c r="AA40" i="46"/>
  <c r="T40" i="46"/>
  <c r="AG40" i="46"/>
  <c r="Z40" i="46"/>
  <c r="S40" i="46"/>
  <c r="R40" i="46"/>
  <c r="AE40" i="46"/>
  <c r="Y40" i="46"/>
  <c r="AD40" i="46"/>
  <c r="X40" i="46"/>
  <c r="Q40" i="46"/>
  <c r="W40" i="46"/>
  <c r="AC40" i="46"/>
  <c r="P40" i="46"/>
  <c r="AB3" i="46"/>
  <c r="U3" i="46"/>
  <c r="O3" i="46"/>
  <c r="AH3" i="46"/>
  <c r="AA3" i="46"/>
  <c r="T3" i="46"/>
  <c r="AG3" i="46"/>
  <c r="Z3" i="46"/>
  <c r="S3" i="46"/>
  <c r="R3" i="46"/>
  <c r="AE3" i="46"/>
  <c r="Y3" i="46"/>
  <c r="AD3" i="46"/>
  <c r="X3" i="46"/>
  <c r="Q3" i="46"/>
  <c r="W3" i="46"/>
  <c r="AC3" i="46"/>
  <c r="P3" i="46"/>
  <c r="R48" i="46"/>
  <c r="AE48" i="46"/>
  <c r="Y48" i="46"/>
  <c r="AD48" i="46"/>
  <c r="X48" i="46"/>
  <c r="Q48" i="46"/>
  <c r="W48" i="46"/>
  <c r="AC48" i="46"/>
  <c r="P48" i="46"/>
  <c r="AB48" i="46"/>
  <c r="U48" i="46"/>
  <c r="O48" i="46"/>
  <c r="AH48" i="46"/>
  <c r="AA48" i="46"/>
  <c r="T48" i="46"/>
  <c r="AG48" i="46"/>
  <c r="Z48" i="46"/>
  <c r="S48" i="46"/>
  <c r="AD7" i="46"/>
  <c r="X7" i="46"/>
  <c r="Q7" i="46"/>
  <c r="S83" i="75" s="1"/>
  <c r="W7" i="46"/>
  <c r="AC7" i="46"/>
  <c r="P7" i="46"/>
  <c r="R83" i="75" s="1"/>
  <c r="AB7" i="46"/>
  <c r="U7" i="46"/>
  <c r="O7" i="46"/>
  <c r="D83" i="75" s="1"/>
  <c r="AH7" i="46"/>
  <c r="AA7" i="46"/>
  <c r="S84" i="75" s="1"/>
  <c r="T7" i="46"/>
  <c r="AG7" i="46"/>
  <c r="Z7" i="46"/>
  <c r="R84" i="75" s="1"/>
  <c r="S7" i="46"/>
  <c r="R7" i="46"/>
  <c r="AE7" i="46"/>
  <c r="Y7" i="46"/>
  <c r="D84" i="75" s="1"/>
  <c r="AH37" i="46"/>
  <c r="AA37" i="46"/>
  <c r="T37" i="46"/>
  <c r="AG37" i="46"/>
  <c r="Z37" i="46"/>
  <c r="S37" i="46"/>
  <c r="AE37" i="46"/>
  <c r="Y37" i="46"/>
  <c r="R37" i="46"/>
  <c r="AD37" i="46"/>
  <c r="X37" i="46"/>
  <c r="Q37" i="46"/>
  <c r="AC37" i="46"/>
  <c r="P37" i="46"/>
  <c r="W37" i="46"/>
  <c r="AB37" i="46"/>
  <c r="U37" i="46"/>
  <c r="O37" i="46"/>
  <c r="R20" i="46"/>
  <c r="AE20" i="46"/>
  <c r="Y20" i="46"/>
  <c r="AD20" i="46"/>
  <c r="X20" i="46"/>
  <c r="Q20" i="46"/>
  <c r="W20" i="46"/>
  <c r="AC20" i="46"/>
  <c r="P20" i="46"/>
  <c r="AB20" i="46"/>
  <c r="U20" i="46"/>
  <c r="O20" i="46"/>
  <c r="AH20" i="46"/>
  <c r="AA20" i="46"/>
  <c r="T20" i="46"/>
  <c r="AG20" i="46"/>
  <c r="Z20" i="46"/>
  <c r="S20" i="46"/>
  <c r="AB22" i="46"/>
  <c r="U22" i="46"/>
  <c r="O22" i="46"/>
  <c r="AH22" i="46"/>
  <c r="AA22" i="46"/>
  <c r="T22" i="46"/>
  <c r="AG22" i="46"/>
  <c r="Z22" i="46"/>
  <c r="S22" i="46"/>
  <c r="R22" i="46"/>
  <c r="AE22" i="46"/>
  <c r="Y22" i="46"/>
  <c r="AD22" i="46"/>
  <c r="X22" i="46"/>
  <c r="Q22" i="46"/>
  <c r="W22" i="46"/>
  <c r="AC22" i="46"/>
  <c r="P22" i="46"/>
  <c r="AB49" i="46"/>
  <c r="U49" i="46"/>
  <c r="O49" i="46"/>
  <c r="AH49" i="46"/>
  <c r="AA49" i="46"/>
  <c r="T49" i="46"/>
  <c r="AG49" i="46"/>
  <c r="Z49" i="46"/>
  <c r="S49" i="46"/>
  <c r="R49" i="46"/>
  <c r="AE49" i="46"/>
  <c r="Y49" i="46"/>
  <c r="AD49" i="46"/>
  <c r="X49" i="46"/>
  <c r="Q49" i="46"/>
  <c r="W49" i="46"/>
  <c r="AC49" i="46"/>
  <c r="P49" i="46"/>
  <c r="AB25" i="46"/>
  <c r="U25" i="46"/>
  <c r="O25" i="46"/>
  <c r="AH25" i="46"/>
  <c r="AA25" i="46"/>
  <c r="T25" i="46"/>
  <c r="AG25" i="46"/>
  <c r="Z25" i="46"/>
  <c r="S25" i="46"/>
  <c r="R25" i="46"/>
  <c r="AE25" i="46"/>
  <c r="Y25" i="46"/>
  <c r="AD25" i="46"/>
  <c r="X25" i="46"/>
  <c r="Q25" i="46"/>
  <c r="W25" i="46"/>
  <c r="AC25" i="46"/>
  <c r="P25" i="46"/>
  <c r="AD8" i="46"/>
  <c r="X8" i="46"/>
  <c r="Q8" i="46"/>
  <c r="S98" i="75" s="1"/>
  <c r="W8" i="46"/>
  <c r="AC8" i="46"/>
  <c r="P8" i="46"/>
  <c r="R98" i="75" s="1"/>
  <c r="AB8" i="46"/>
  <c r="U8" i="46"/>
  <c r="O8" i="46"/>
  <c r="D98" i="75" s="1"/>
  <c r="AH8" i="46"/>
  <c r="AA8" i="46"/>
  <c r="S99" i="75" s="1"/>
  <c r="T8" i="46"/>
  <c r="AG8" i="46"/>
  <c r="Z8" i="46"/>
  <c r="R99" i="75" s="1"/>
  <c r="S8" i="46"/>
  <c r="R8" i="46"/>
  <c r="AE8" i="46"/>
  <c r="Y8" i="46"/>
  <c r="D99" i="75" s="1"/>
  <c r="AH11" i="46"/>
  <c r="AA11" i="46"/>
  <c r="S124" i="75" s="1"/>
  <c r="T11" i="46"/>
  <c r="AG11" i="46"/>
  <c r="Z11" i="46"/>
  <c r="R124" i="75" s="1"/>
  <c r="S11" i="46"/>
  <c r="R11" i="46"/>
  <c r="AE11" i="46"/>
  <c r="Y11" i="46"/>
  <c r="D124" i="75" s="1"/>
  <c r="AD11" i="46"/>
  <c r="X11" i="46"/>
  <c r="Q11" i="46"/>
  <c r="S123" i="75" s="1"/>
  <c r="W11" i="46"/>
  <c r="AC11" i="46"/>
  <c r="P11" i="46"/>
  <c r="R123" i="75" s="1"/>
  <c r="AB11" i="46"/>
  <c r="U11" i="46"/>
  <c r="O11" i="46"/>
  <c r="D123" i="75" s="1"/>
  <c r="AD35" i="46"/>
  <c r="X35" i="46"/>
  <c r="Q35" i="46"/>
  <c r="W35" i="46"/>
  <c r="AC35" i="46"/>
  <c r="P35" i="46"/>
  <c r="AB35" i="46"/>
  <c r="U35" i="46"/>
  <c r="O35" i="46"/>
  <c r="AH35" i="46"/>
  <c r="AA35" i="46"/>
  <c r="S9" i="75" s="1"/>
  <c r="T35" i="46"/>
  <c r="AG35" i="46"/>
  <c r="Z35" i="46"/>
  <c r="R9" i="75" s="1"/>
  <c r="S35" i="46"/>
  <c r="R35" i="46"/>
  <c r="AE35" i="46"/>
  <c r="Y35" i="46"/>
  <c r="D9" i="75" s="1"/>
  <c r="AD9" i="46"/>
  <c r="X9" i="46"/>
  <c r="Q9" i="46"/>
  <c r="S118" i="75" s="1"/>
  <c r="W9" i="46"/>
  <c r="AC9" i="46"/>
  <c r="P9" i="46"/>
  <c r="R118" i="75" s="1"/>
  <c r="AB9" i="46"/>
  <c r="U9" i="46"/>
  <c r="O9" i="46"/>
  <c r="D118" i="75" s="1"/>
  <c r="AH9" i="46"/>
  <c r="AA9" i="46"/>
  <c r="S119" i="75" s="1"/>
  <c r="T9" i="46"/>
  <c r="AG9" i="46"/>
  <c r="Z9" i="46"/>
  <c r="R119" i="75" s="1"/>
  <c r="S9" i="46"/>
  <c r="R9" i="46"/>
  <c r="AE9" i="46"/>
  <c r="Y9" i="46"/>
  <c r="D119" i="75" s="1"/>
  <c r="AC34" i="46"/>
  <c r="P34" i="46"/>
  <c r="AB34" i="46"/>
  <c r="U34" i="46"/>
  <c r="O34" i="46"/>
  <c r="AH34" i="46"/>
  <c r="AA34" i="46"/>
  <c r="T34" i="46"/>
  <c r="AG34" i="46"/>
  <c r="Z34" i="46"/>
  <c r="S34" i="46"/>
  <c r="R34" i="46"/>
  <c r="AE34" i="46"/>
  <c r="Y34" i="46"/>
  <c r="AD34" i="46"/>
  <c r="X34" i="46"/>
  <c r="Q34" i="46"/>
  <c r="W34" i="46"/>
  <c r="AC51" i="46"/>
  <c r="P51" i="46"/>
  <c r="AB51" i="46"/>
  <c r="U51" i="46"/>
  <c r="O51" i="46"/>
  <c r="AH51" i="46"/>
  <c r="AA51" i="46"/>
  <c r="T51" i="46"/>
  <c r="AG51" i="46"/>
  <c r="Z51" i="46"/>
  <c r="S51" i="46"/>
  <c r="R51" i="46"/>
  <c r="AE51" i="46"/>
  <c r="Y51" i="46"/>
  <c r="AD51" i="46"/>
  <c r="X51" i="46"/>
  <c r="Q51" i="46"/>
  <c r="W51" i="46"/>
  <c r="AE16" i="46"/>
  <c r="Y16" i="46"/>
  <c r="AD16" i="46"/>
  <c r="X16" i="46"/>
  <c r="Q16" i="46"/>
  <c r="W16" i="46"/>
  <c r="AC16" i="46"/>
  <c r="P16" i="46"/>
  <c r="AB16" i="46"/>
  <c r="U16" i="46"/>
  <c r="O16" i="46"/>
  <c r="AH16" i="46"/>
  <c r="AA16" i="46"/>
  <c r="T16" i="46"/>
  <c r="AG16" i="46"/>
  <c r="Z16" i="46"/>
  <c r="S16" i="46"/>
  <c r="R16" i="46"/>
  <c r="AH24" i="46"/>
  <c r="AA24" i="46"/>
  <c r="T24" i="46"/>
  <c r="AG24" i="46"/>
  <c r="Z24" i="46"/>
  <c r="S24" i="46"/>
  <c r="R24" i="46"/>
  <c r="AE24" i="46"/>
  <c r="Y24" i="46"/>
  <c r="AD24" i="46"/>
  <c r="X24" i="46"/>
  <c r="Q24" i="46"/>
  <c r="W24" i="46"/>
  <c r="AC24" i="46"/>
  <c r="P24" i="46"/>
  <c r="AB24" i="46"/>
  <c r="U24" i="46"/>
  <c r="O24" i="46"/>
  <c r="AB21" i="46"/>
  <c r="U21" i="46"/>
  <c r="O21" i="46"/>
  <c r="AH21" i="46"/>
  <c r="AA21" i="46"/>
  <c r="T21" i="46"/>
  <c r="AG21" i="46"/>
  <c r="Z21" i="46"/>
  <c r="S21" i="46"/>
  <c r="R21" i="46"/>
  <c r="AE21" i="46"/>
  <c r="Y21" i="46"/>
  <c r="AD21" i="46"/>
  <c r="X21" i="46"/>
  <c r="Q21" i="46"/>
  <c r="W21" i="46"/>
  <c r="AC21" i="46"/>
  <c r="P21" i="46"/>
  <c r="AH5" i="46"/>
  <c r="AA5" i="46"/>
  <c r="S39" i="75" s="1"/>
  <c r="T5" i="46"/>
  <c r="AG5" i="46"/>
  <c r="Z5" i="46"/>
  <c r="R39" i="75" s="1"/>
  <c r="S5" i="46"/>
  <c r="R5" i="46"/>
  <c r="AE5" i="46"/>
  <c r="Y5" i="46"/>
  <c r="D39" i="75" s="1"/>
  <c r="AD5" i="46"/>
  <c r="X5" i="46"/>
  <c r="Q5" i="46"/>
  <c r="S38" i="75" s="1"/>
  <c r="W5" i="46"/>
  <c r="AC5" i="46"/>
  <c r="P5" i="46"/>
  <c r="R38" i="75" s="1"/>
  <c r="AB5" i="46"/>
  <c r="U5" i="46"/>
  <c r="O5" i="46"/>
  <c r="D38" i="75" s="1"/>
  <c r="W46" i="46"/>
  <c r="AC46" i="46"/>
  <c r="P46" i="46"/>
  <c r="AB46" i="46"/>
  <c r="U46" i="46"/>
  <c r="O46" i="46"/>
  <c r="AH46" i="46"/>
  <c r="AA46" i="46"/>
  <c r="S129" i="75" s="1"/>
  <c r="T46" i="46"/>
  <c r="AG46" i="46"/>
  <c r="Z46" i="46"/>
  <c r="R129" i="75" s="1"/>
  <c r="S46" i="46"/>
  <c r="R46" i="46"/>
  <c r="AE46" i="46"/>
  <c r="Y46" i="46"/>
  <c r="D129" i="75" s="1"/>
  <c r="AD46" i="46"/>
  <c r="X46" i="46"/>
  <c r="Q46" i="46"/>
  <c r="AB4" i="46"/>
  <c r="U4" i="46"/>
  <c r="O4" i="46"/>
  <c r="AH4" i="46"/>
  <c r="AA4" i="46"/>
  <c r="T4" i="46"/>
  <c r="AG4" i="46"/>
  <c r="Z4" i="46"/>
  <c r="S4" i="46"/>
  <c r="R4" i="46"/>
  <c r="AE4" i="46"/>
  <c r="Y4" i="46"/>
  <c r="AD4" i="46"/>
  <c r="X4" i="46"/>
  <c r="Q4" i="46"/>
  <c r="W4" i="46"/>
  <c r="AC4" i="46"/>
  <c r="P4" i="46"/>
  <c r="R26" i="46"/>
  <c r="AE26" i="46"/>
  <c r="Y26" i="46"/>
  <c r="AD26" i="46"/>
  <c r="X26" i="46"/>
  <c r="Q26" i="46"/>
  <c r="W26" i="46"/>
  <c r="AC26" i="46"/>
  <c r="P26" i="46"/>
  <c r="AB26" i="46"/>
  <c r="U26" i="46"/>
  <c r="O26" i="46"/>
  <c r="AH26" i="46"/>
  <c r="AA26" i="46"/>
  <c r="T26" i="46"/>
  <c r="AG26" i="46"/>
  <c r="Z26" i="46"/>
  <c r="S26" i="46"/>
  <c r="AG19" i="46"/>
  <c r="Z19" i="46"/>
  <c r="S19" i="46"/>
  <c r="R19" i="46"/>
  <c r="AE19" i="46"/>
  <c r="Y19" i="46"/>
  <c r="AD19" i="46"/>
  <c r="X19" i="46"/>
  <c r="Q19" i="46"/>
  <c r="W19" i="46"/>
  <c r="AC19" i="46"/>
  <c r="P19" i="46"/>
  <c r="AB19" i="46"/>
  <c r="U19" i="46"/>
  <c r="O19" i="46"/>
  <c r="AH19" i="46"/>
  <c r="AA19" i="46"/>
  <c r="T19" i="46"/>
  <c r="AE45" i="46"/>
  <c r="Y45" i="46"/>
  <c r="AD45" i="46"/>
  <c r="X45" i="46"/>
  <c r="Q45" i="46"/>
  <c r="W45" i="46"/>
  <c r="AC45" i="46"/>
  <c r="P45" i="46"/>
  <c r="AB45" i="46"/>
  <c r="U45" i="46"/>
  <c r="O45" i="46"/>
  <c r="AH45" i="46"/>
  <c r="AA45" i="46"/>
  <c r="T45" i="46"/>
  <c r="AG45" i="46"/>
  <c r="Z45" i="46"/>
  <c r="S45" i="46"/>
  <c r="R45" i="46"/>
  <c r="AH27" i="46"/>
  <c r="AA27" i="46"/>
  <c r="T27" i="46"/>
  <c r="AG27" i="46"/>
  <c r="Z27" i="46"/>
  <c r="S27" i="46"/>
  <c r="R27" i="46"/>
  <c r="AE27" i="46"/>
  <c r="Y27" i="46"/>
  <c r="AD27" i="46"/>
  <c r="X27" i="46"/>
  <c r="Q27" i="46"/>
  <c r="W27" i="46"/>
  <c r="AC27" i="46"/>
  <c r="P27" i="46"/>
  <c r="AB27" i="46"/>
  <c r="U27" i="46"/>
  <c r="O27" i="46"/>
  <c r="AG36" i="46"/>
  <c r="Z36" i="46"/>
  <c r="R139" i="75" s="1"/>
  <c r="S36" i="46"/>
  <c r="R36" i="46"/>
  <c r="AE36" i="46"/>
  <c r="Y36" i="46"/>
  <c r="D139" i="75" s="1"/>
  <c r="AD36" i="46"/>
  <c r="X36" i="46"/>
  <c r="Q36" i="46"/>
  <c r="W36" i="46"/>
  <c r="AC36" i="46"/>
  <c r="P36" i="46"/>
  <c r="AB36" i="46"/>
  <c r="U36" i="46"/>
  <c r="O36" i="46"/>
  <c r="AH36" i="46"/>
  <c r="AA36" i="46"/>
  <c r="S139" i="75" s="1"/>
  <c r="T36" i="46"/>
  <c r="AD15" i="46"/>
  <c r="X15" i="46"/>
  <c r="Q15" i="46"/>
  <c r="W15" i="46"/>
  <c r="AC15" i="46"/>
  <c r="P15" i="46"/>
  <c r="AB15" i="46"/>
  <c r="U15" i="46"/>
  <c r="O15" i="46"/>
  <c r="AH15" i="46"/>
  <c r="AA15" i="46"/>
  <c r="T15" i="46"/>
  <c r="AG15" i="46"/>
  <c r="Z15" i="46"/>
  <c r="S15" i="46"/>
  <c r="R15" i="46"/>
  <c r="AE15" i="46"/>
  <c r="Y15" i="46"/>
  <c r="W6" i="46"/>
  <c r="AC6" i="46"/>
  <c r="P6" i="46"/>
  <c r="R63" i="75" s="1"/>
  <c r="AB6" i="46"/>
  <c r="U6" i="46"/>
  <c r="O6" i="46"/>
  <c r="D63" i="75" s="1"/>
  <c r="AH6" i="46"/>
  <c r="AA6" i="46"/>
  <c r="S64" i="75" s="1"/>
  <c r="T6" i="46"/>
  <c r="AG6" i="46"/>
  <c r="Z6" i="46"/>
  <c r="R64" i="75" s="1"/>
  <c r="S6" i="46"/>
  <c r="R6" i="46"/>
  <c r="AE6" i="46"/>
  <c r="Y6" i="46"/>
  <c r="D64" i="75" s="1"/>
  <c r="AD6" i="46"/>
  <c r="X6" i="46"/>
  <c r="Q6" i="46"/>
  <c r="S63" i="75" s="1"/>
  <c r="W29" i="46"/>
  <c r="AC29" i="46"/>
  <c r="P29" i="46"/>
  <c r="AB29" i="46"/>
  <c r="U29" i="46"/>
  <c r="O29" i="46"/>
  <c r="AH29" i="46"/>
  <c r="AA29" i="46"/>
  <c r="T29" i="46"/>
  <c r="AG29" i="46"/>
  <c r="Z29" i="46"/>
  <c r="S29" i="46"/>
  <c r="R29" i="46"/>
  <c r="AE29" i="46"/>
  <c r="Y29" i="46"/>
  <c r="AD29" i="46"/>
  <c r="X29" i="46"/>
  <c r="Q29" i="46"/>
  <c r="S27" i="27"/>
  <c r="S39" i="27"/>
  <c r="S15" i="27"/>
  <c r="G13" i="27"/>
  <c r="G28" i="27"/>
  <c r="S28" i="27"/>
  <c r="S4" i="27"/>
  <c r="S16" i="27"/>
  <c r="G14" i="27"/>
  <c r="G29" i="27"/>
  <c r="S29" i="27"/>
  <c r="S5" i="27"/>
  <c r="S17" i="27"/>
  <c r="G15" i="27"/>
  <c r="G30" i="27"/>
  <c r="S30" i="27"/>
  <c r="S6" i="27"/>
  <c r="G4" i="27"/>
  <c r="G16" i="27"/>
  <c r="G31" i="27"/>
  <c r="S31" i="27"/>
  <c r="S7" i="27"/>
  <c r="G5" i="27"/>
  <c r="G17" i="27"/>
  <c r="G32" i="27"/>
  <c r="S32" i="27"/>
  <c r="S8" i="27"/>
  <c r="G6" i="27"/>
  <c r="G18" i="27"/>
  <c r="G33" i="27"/>
  <c r="S33" i="27"/>
  <c r="S9" i="27"/>
  <c r="G7" i="27"/>
  <c r="G19" i="27"/>
  <c r="G34" i="27"/>
  <c r="S34" i="27"/>
  <c r="S10" i="27"/>
  <c r="G8" i="27"/>
  <c r="G20" i="27"/>
  <c r="G35" i="27"/>
  <c r="S35" i="27"/>
  <c r="S11" i="27"/>
  <c r="G9" i="27"/>
  <c r="G21" i="27"/>
  <c r="G37" i="27"/>
  <c r="S36" i="27"/>
  <c r="S12" i="27"/>
  <c r="G10" i="27"/>
  <c r="G25" i="27"/>
  <c r="G38" i="27"/>
  <c r="S37" i="27"/>
  <c r="S13" i="27"/>
  <c r="G11" i="27"/>
  <c r="G26" i="27"/>
  <c r="S26" i="27"/>
  <c r="S38" i="27"/>
  <c r="S14" i="27"/>
  <c r="G12" i="27"/>
  <c r="G27" i="27"/>
  <c r="P3" i="3"/>
  <c r="P15" i="3"/>
  <c r="P27" i="3"/>
  <c r="P79" i="3"/>
  <c r="P49" i="3"/>
  <c r="P83" i="3"/>
  <c r="P4" i="3"/>
  <c r="P16" i="3"/>
  <c r="P28" i="3"/>
  <c r="P80" i="3"/>
  <c r="P50" i="3"/>
  <c r="P47" i="3"/>
  <c r="P5" i="3"/>
  <c r="P17" i="3"/>
  <c r="P29" i="3"/>
  <c r="P39" i="3"/>
  <c r="P51" i="3"/>
  <c r="P6" i="3"/>
  <c r="P18" i="3"/>
  <c r="P30" i="3"/>
  <c r="P44" i="3"/>
  <c r="P52" i="3"/>
  <c r="P7" i="3"/>
  <c r="P19" i="3"/>
  <c r="P31" i="3"/>
  <c r="P40" i="3"/>
  <c r="P53" i="3"/>
  <c r="P8" i="3"/>
  <c r="P20" i="3"/>
  <c r="P32" i="3"/>
  <c r="P41" i="3"/>
  <c r="P54" i="3"/>
  <c r="P9" i="3"/>
  <c r="P21" i="3"/>
  <c r="P33" i="3"/>
  <c r="P45" i="3"/>
  <c r="P55" i="3"/>
  <c r="P37" i="3"/>
  <c r="P10" i="3"/>
  <c r="P22" i="3"/>
  <c r="P34" i="3"/>
  <c r="P46" i="3"/>
  <c r="P56" i="3"/>
  <c r="P78" i="3"/>
  <c r="P81" i="3"/>
  <c r="P11" i="3"/>
  <c r="P23" i="3"/>
  <c r="P35" i="3"/>
  <c r="P42" i="3"/>
  <c r="P57" i="3"/>
  <c r="P12" i="3"/>
  <c r="P24" i="3"/>
  <c r="P36" i="3"/>
  <c r="P43" i="3"/>
  <c r="P25" i="3"/>
  <c r="P13" i="3"/>
  <c r="P14" i="3"/>
  <c r="P26" i="3"/>
  <c r="P38" i="3"/>
  <c r="P48" i="3"/>
  <c r="P82" i="3"/>
  <c r="AH112" i="56" l="1"/>
  <c r="AJ121" i="56" a="1"/>
  <c r="AJ121" i="56" s="1"/>
  <c r="AJ116" i="56" a="1"/>
  <c r="AJ116" i="56" s="1"/>
  <c r="AJ111" i="56" a="1"/>
  <c r="AJ111" i="56" s="1"/>
  <c r="AJ132" i="56" a="1"/>
  <c r="AJ132" i="56" s="1"/>
  <c r="AJ137" i="56" a="1"/>
  <c r="AJ137" i="56" s="1"/>
  <c r="AJ150" i="56" a="1"/>
  <c r="AJ150" i="56" s="1"/>
  <c r="AJ133" i="56" a="1"/>
  <c r="AJ133" i="56" s="1"/>
  <c r="AJ142" i="56" a="1"/>
  <c r="AJ142" i="56" s="1"/>
  <c r="AI127" i="56"/>
  <c r="AI116" i="56"/>
  <c r="AJ146" i="56" a="1"/>
  <c r="AJ146" i="56" s="1"/>
  <c r="AJ125" i="56" a="1"/>
  <c r="AJ125" i="56" s="1"/>
  <c r="AJ120" i="56" a="1"/>
  <c r="AJ120" i="56" s="1"/>
  <c r="AJ145" i="56" a="1"/>
  <c r="AJ145" i="56" s="1"/>
  <c r="AI117" i="56"/>
  <c r="AJ118" i="56" a="1"/>
  <c r="AJ118" i="56" s="1"/>
  <c r="AJ136" i="56" a="1"/>
  <c r="AJ136" i="56" s="1"/>
  <c r="AJ127" i="56" a="1"/>
  <c r="AJ127" i="56" s="1"/>
  <c r="AH123" i="56"/>
  <c r="AJ115" i="56" a="1"/>
  <c r="AJ115" i="56" s="1"/>
  <c r="AJ154" i="56" a="1"/>
  <c r="AJ154" i="56" s="1"/>
  <c r="AJ113" i="56" a="1"/>
  <c r="AJ113" i="56" s="1"/>
  <c r="AH127" i="56"/>
  <c r="AH116" i="56"/>
  <c r="AJ151" i="56" a="1"/>
  <c r="AJ151" i="56" s="1"/>
  <c r="AJ155" i="56" a="1"/>
  <c r="AJ155" i="56" s="1"/>
  <c r="AJ130" i="56" a="1"/>
  <c r="AJ130" i="56" s="1"/>
  <c r="AJ134" i="56" a="1"/>
  <c r="AJ134" i="56" s="1"/>
  <c r="AJ135" i="56" a="1"/>
  <c r="AJ135" i="56" s="1"/>
  <c r="AJ126" i="56" a="1"/>
  <c r="AJ126" i="56" s="1"/>
  <c r="AE158" i="56"/>
  <c r="AG158" i="56" s="1"/>
  <c r="AJ117" i="56" a="1"/>
  <c r="AJ117" i="56" s="1"/>
  <c r="AJ140" i="56" a="1"/>
  <c r="AJ140" i="56" s="1"/>
  <c r="AI112" i="56"/>
  <c r="U164" i="56" a="1"/>
  <c r="U164" i="56" s="1"/>
  <c r="AM124" i="56" a="1"/>
  <c r="AM124" i="56" s="1"/>
  <c r="AM115" i="56" a="1"/>
  <c r="AM115" i="56" s="1"/>
  <c r="AM116" i="56" a="1"/>
  <c r="AM116" i="56" s="1"/>
  <c r="AM111" i="56" a="1"/>
  <c r="AM111" i="56" s="1"/>
  <c r="AM129" i="56" a="1"/>
  <c r="AM129" i="56" s="1"/>
  <c r="AM144" i="56" a="1"/>
  <c r="AM144" i="56" s="1"/>
  <c r="AM122" i="56" a="1"/>
  <c r="AM122" i="56" s="1"/>
  <c r="AM150" i="56" a="1"/>
  <c r="AM150" i="56" s="1"/>
  <c r="AM142" i="56" a="1"/>
  <c r="AM142" i="56" s="1"/>
  <c r="AM160" i="56" a="1"/>
  <c r="AM160" i="56" s="1"/>
  <c r="AM155" i="56" a="1"/>
  <c r="AM155" i="56" s="1"/>
  <c r="AM113" i="56" a="1"/>
  <c r="AM113" i="56" s="1"/>
  <c r="AM139" i="56" a="1"/>
  <c r="AM139" i="56" s="1"/>
  <c r="AM128" i="56" a="1"/>
  <c r="AM128" i="56" s="1"/>
  <c r="AM137" i="56" a="1"/>
  <c r="AM137" i="56" s="1"/>
  <c r="AM143" i="56" a="1"/>
  <c r="AM143" i="56" s="1"/>
  <c r="AM119" i="56" a="1"/>
  <c r="AM119" i="56" s="1"/>
  <c r="AM118" i="56" a="1"/>
  <c r="AM118" i="56" s="1"/>
  <c r="U203" i="56" a="1"/>
  <c r="U203" i="56" s="1"/>
  <c r="U168" i="56" a="1"/>
  <c r="U168" i="56" s="1"/>
  <c r="AM117" i="56" a="1"/>
  <c r="AM117" i="56" s="1"/>
  <c r="AM138" i="56" a="1"/>
  <c r="AM138" i="56" s="1"/>
  <c r="AM133" i="56" a="1"/>
  <c r="AM133" i="56" s="1"/>
  <c r="AM148" i="56" a="1"/>
  <c r="AM148" i="56" s="1"/>
  <c r="AM114" i="56" a="1"/>
  <c r="AM114" i="56" s="1"/>
  <c r="AI146" i="56"/>
  <c r="U188" i="56" a="1"/>
  <c r="U188" i="56" s="1"/>
  <c r="AM127" i="56" a="1"/>
  <c r="AM127" i="56" s="1"/>
  <c r="AM132" i="56" a="1"/>
  <c r="AM132" i="56" s="1"/>
  <c r="AJ157" i="56" a="1"/>
  <c r="AJ157" i="56" s="1"/>
  <c r="AM159" i="56" a="1"/>
  <c r="AM159" i="56" s="1"/>
  <c r="AM149" i="56" a="1"/>
  <c r="AM149" i="56" s="1"/>
  <c r="AM135" i="56" a="1"/>
  <c r="AM135" i="56" s="1"/>
  <c r="AI142" i="56"/>
  <c r="AI154" i="56"/>
  <c r="U193" i="56" a="1"/>
  <c r="U193" i="56" s="1"/>
  <c r="U208" i="56" a="1"/>
  <c r="U208" i="56" s="1"/>
  <c r="AM125" i="56" a="1"/>
  <c r="AM125" i="56" s="1"/>
  <c r="AM146" i="56" a="1"/>
  <c r="AM146" i="56" s="1"/>
  <c r="AM153" i="56" a="1"/>
  <c r="AM153" i="56" s="1"/>
  <c r="AM130" i="56" a="1"/>
  <c r="AM130" i="56" s="1"/>
  <c r="AH155" i="56"/>
  <c r="U213" i="56" a="1"/>
  <c r="U213" i="56" s="1"/>
  <c r="AM136" i="56" a="1"/>
  <c r="AM136" i="56" s="1"/>
  <c r="AM156" i="56" a="1"/>
  <c r="AM156" i="56" s="1"/>
  <c r="AM141" i="56" a="1"/>
  <c r="AM141" i="56" s="1"/>
  <c r="AM140" i="56" a="1"/>
  <c r="AM140" i="56" s="1"/>
  <c r="AM126" i="56" a="1"/>
  <c r="AM126" i="56" s="1"/>
  <c r="AM157" i="56" a="1"/>
  <c r="AM157" i="56" s="1"/>
  <c r="AM134" i="56" a="1"/>
  <c r="AM134" i="56" s="1"/>
  <c r="AM131" i="56" a="1"/>
  <c r="AM131" i="56" s="1"/>
  <c r="AM120" i="56" a="1"/>
  <c r="AM120" i="56" s="1"/>
  <c r="AM154" i="56" a="1"/>
  <c r="AM154" i="56" s="1"/>
  <c r="AM145" i="56" a="1"/>
  <c r="AM145" i="56" s="1"/>
  <c r="AM123" i="56" a="1"/>
  <c r="AM123" i="56" s="1"/>
  <c r="AM158" i="56" a="1"/>
  <c r="AM158" i="56" s="1"/>
  <c r="AM112" i="56" a="1"/>
  <c r="AM112" i="56" s="1"/>
  <c r="AM121" i="56" a="1"/>
  <c r="AM121" i="56" s="1"/>
  <c r="AM151" i="56" a="1"/>
  <c r="AM151" i="56" s="1"/>
  <c r="AE112" i="56"/>
  <c r="AG112" i="56" s="1"/>
  <c r="AL129" i="56" a="1"/>
  <c r="AL129" i="56" s="1"/>
  <c r="AL146" i="56" a="1"/>
  <c r="AL146" i="56" s="1"/>
  <c r="AL134" i="56" a="1"/>
  <c r="AL134" i="56" s="1"/>
  <c r="AL122" i="56" a="1"/>
  <c r="AL122" i="56" s="1"/>
  <c r="AI144" i="56"/>
  <c r="AH113" i="56"/>
  <c r="AL160" i="56" a="1"/>
  <c r="AL160" i="56" s="1"/>
  <c r="AL135" i="56" a="1"/>
  <c r="AL135" i="56" s="1"/>
  <c r="AL111" i="56" a="1"/>
  <c r="AL111" i="56" s="1"/>
  <c r="AL149" i="56" a="1"/>
  <c r="AL149" i="56" s="1"/>
  <c r="AL125" i="56" a="1"/>
  <c r="AL125" i="56" s="1"/>
  <c r="AL113" i="56" a="1"/>
  <c r="AL113" i="56" s="1"/>
  <c r="AL128" i="56" a="1"/>
  <c r="AL128" i="56" s="1"/>
  <c r="AJ152" i="56" a="1"/>
  <c r="AJ152" i="56" s="1"/>
  <c r="AL139" i="56" a="1"/>
  <c r="AL139" i="56" s="1"/>
  <c r="AL115" i="56" a="1"/>
  <c r="AL115" i="56" s="1"/>
  <c r="AL157" i="56" a="1"/>
  <c r="AL157" i="56" s="1"/>
  <c r="AL152" i="56" a="1"/>
  <c r="AL152" i="56" s="1"/>
  <c r="AL118" i="56" a="1"/>
  <c r="AL118" i="56" s="1"/>
  <c r="AL136" i="56" a="1"/>
  <c r="AL136" i="56" s="1"/>
  <c r="AL141" i="56" a="1"/>
  <c r="AL141" i="56" s="1"/>
  <c r="AL117" i="56" a="1"/>
  <c r="AL117" i="56" s="1"/>
  <c r="AL155" i="56" a="1"/>
  <c r="AL155" i="56" s="1"/>
  <c r="AL143" i="56" a="1"/>
  <c r="AL143" i="56" s="1"/>
  <c r="AL131" i="56" a="1"/>
  <c r="AL131" i="56" s="1"/>
  <c r="AL145" i="56" a="1"/>
  <c r="AL145" i="56" s="1"/>
  <c r="AL133" i="56" a="1"/>
  <c r="AL133" i="56" s="1"/>
  <c r="AL121" i="56" a="1"/>
  <c r="AL121" i="56" s="1"/>
  <c r="AJ147" i="56" a="1"/>
  <c r="AJ147" i="56" s="1"/>
  <c r="AL147" i="56" a="1"/>
  <c r="AL147" i="56" s="1"/>
  <c r="AI128" i="56"/>
  <c r="AE118" i="56"/>
  <c r="AG118" i="56" s="1"/>
  <c r="AK159" i="56"/>
  <c r="AL137" i="56" a="1"/>
  <c r="AL137" i="56" s="1"/>
  <c r="AL150" i="56" a="1"/>
  <c r="AL150" i="56" s="1"/>
  <c r="AL154" i="56" a="1"/>
  <c r="AL154" i="56" s="1"/>
  <c r="AL127" i="56" a="1"/>
  <c r="AL127" i="56" s="1"/>
  <c r="AL159" i="56" a="1"/>
  <c r="AL159" i="56" s="1"/>
  <c r="AL126" i="56" a="1"/>
  <c r="AL126" i="56" s="1"/>
  <c r="AL151" i="56" a="1"/>
  <c r="AL151" i="56" s="1"/>
  <c r="AI132" i="56"/>
  <c r="AJ114" i="56" a="1"/>
  <c r="AJ114" i="56" s="1"/>
  <c r="AL140" i="56" a="1"/>
  <c r="AL140" i="56" s="1"/>
  <c r="AL148" i="56" a="1"/>
  <c r="AL148" i="56" s="1"/>
  <c r="AL116" i="56" a="1"/>
  <c r="AL116" i="56" s="1"/>
  <c r="AL142" i="56" a="1"/>
  <c r="AL142" i="56" s="1"/>
  <c r="AL130" i="56" a="1"/>
  <c r="AL130" i="56" s="1"/>
  <c r="AJ138" i="56" a="1"/>
  <c r="AJ138" i="56" s="1"/>
  <c r="AL119" i="56" a="1"/>
  <c r="AL119" i="56" s="1"/>
  <c r="AL132" i="56" a="1"/>
  <c r="AL132" i="56" s="1"/>
  <c r="AL120" i="56" a="1"/>
  <c r="AL120" i="56" s="1"/>
  <c r="AI139" i="56"/>
  <c r="AI125" i="56"/>
  <c r="AH121" i="56"/>
  <c r="J168" i="75"/>
  <c r="AK152" i="56"/>
  <c r="AK137" i="56"/>
  <c r="AK156" i="56"/>
  <c r="AI121" i="56"/>
  <c r="J23" i="75"/>
  <c r="AK116" i="56"/>
  <c r="J83" i="75"/>
  <c r="AK131" i="56"/>
  <c r="AJ123" i="56" a="1"/>
  <c r="AJ123" i="56" s="1"/>
  <c r="AJ124" i="56" a="1"/>
  <c r="AJ124" i="56" s="1"/>
  <c r="J43" i="75"/>
  <c r="AK121" i="56"/>
  <c r="J38" i="75"/>
  <c r="AK119" i="56"/>
  <c r="AJ156" i="56" a="1"/>
  <c r="AJ156" i="56" s="1"/>
  <c r="AJ158" i="56" a="1"/>
  <c r="AJ158" i="56" s="1"/>
  <c r="AK146" i="56"/>
  <c r="AK136" i="56"/>
  <c r="AI136" i="56"/>
  <c r="AJ112" i="56" a="1"/>
  <c r="AJ112" i="56" s="1"/>
  <c r="AK129" i="56"/>
  <c r="AK113" i="56"/>
  <c r="J63" i="75"/>
  <c r="AK126" i="56"/>
  <c r="AK142" i="56"/>
  <c r="AK138" i="56"/>
  <c r="AK148" i="56"/>
  <c r="AK158" i="56"/>
  <c r="J138" i="75"/>
  <c r="AK144" i="56"/>
  <c r="J98" i="75"/>
  <c r="AK134" i="56"/>
  <c r="J8" i="75"/>
  <c r="AK112" i="56"/>
  <c r="AI152" i="56"/>
  <c r="AI145" i="56"/>
  <c r="AI122" i="56"/>
  <c r="AH114" i="56"/>
  <c r="AI118" i="56"/>
  <c r="AK147" i="56"/>
  <c r="J88" i="75"/>
  <c r="AK132" i="56"/>
  <c r="AI141" i="56"/>
  <c r="AI119" i="56"/>
  <c r="AH128" i="56"/>
  <c r="J28" i="75"/>
  <c r="AK117" i="56"/>
  <c r="J93" i="75"/>
  <c r="AK133" i="56"/>
  <c r="J33" i="75"/>
  <c r="AK118" i="56"/>
  <c r="J173" i="75"/>
  <c r="AK153" i="56"/>
  <c r="AK151" i="56"/>
  <c r="AH120" i="56"/>
  <c r="J118" i="75"/>
  <c r="AK139" i="56"/>
  <c r="J68" i="75"/>
  <c r="AK127" i="56"/>
  <c r="J3" i="75"/>
  <c r="AK111" i="56"/>
  <c r="AI159" i="56"/>
  <c r="AK154" i="56"/>
  <c r="AK122" i="56"/>
  <c r="J133" i="75"/>
  <c r="AK143" i="56"/>
  <c r="AJ144" i="56" a="1"/>
  <c r="AJ144" i="56" s="1"/>
  <c r="J123" i="75"/>
  <c r="AK141" i="56"/>
  <c r="J18" i="75"/>
  <c r="AK114" i="56"/>
  <c r="AJ153" i="56" a="1"/>
  <c r="AJ153" i="56" s="1"/>
  <c r="AK157" i="56"/>
  <c r="AK123" i="56"/>
  <c r="AH148" i="56"/>
  <c r="AI151" i="56"/>
  <c r="AK128" i="56"/>
  <c r="AK124" i="56"/>
  <c r="AK149" i="56"/>
  <c r="AJ149" i="56" a="1"/>
  <c r="AJ149" i="56" s="1"/>
  <c r="AI143" i="56"/>
  <c r="AI138" i="56"/>
  <c r="AJ139" i="56" a="1"/>
  <c r="AJ139" i="56" s="1"/>
  <c r="AJ129" i="56" a="1"/>
  <c r="AJ129" i="56" s="1"/>
  <c r="AH157" i="56"/>
  <c r="AI153" i="56"/>
  <c r="AI133" i="56"/>
  <c r="AI126" i="56"/>
  <c r="AI114" i="56"/>
  <c r="AI135" i="56"/>
  <c r="AI149" i="56"/>
  <c r="AJ159" i="56" a="1"/>
  <c r="AJ159" i="56" s="1"/>
  <c r="AJ141" i="56" a="1"/>
  <c r="AJ141" i="56" s="1"/>
  <c r="AJ131" i="56" a="1"/>
  <c r="AJ131" i="56" s="1"/>
  <c r="AI123" i="56"/>
  <c r="AI120" i="56"/>
  <c r="AI131" i="56"/>
  <c r="AJ119" i="56" a="1"/>
  <c r="AJ119" i="56" s="1"/>
  <c r="AJ143" i="56" a="1"/>
  <c r="AJ143" i="56" s="1"/>
  <c r="AI124" i="56"/>
  <c r="AI137" i="56"/>
  <c r="AH132" i="56"/>
  <c r="AI148" i="56"/>
  <c r="AI129" i="56"/>
  <c r="AI156" i="56"/>
  <c r="U158" i="56" a="1"/>
  <c r="U158" i="56" s="1"/>
  <c r="AI158" i="56"/>
  <c r="AH144" i="56"/>
  <c r="AI113" i="56"/>
  <c r="AH138" i="56"/>
  <c r="U111" i="56" a="1"/>
  <c r="U111" i="56" s="1"/>
  <c r="AI111" i="56"/>
  <c r="U150" i="56" a="1"/>
  <c r="U150" i="56" s="1"/>
  <c r="AI150" i="56"/>
  <c r="AI130" i="56"/>
  <c r="AI134" i="56"/>
  <c r="U115" i="56" a="1"/>
  <c r="U115" i="56" s="1"/>
  <c r="AI115" i="56"/>
  <c r="U140" i="56" a="1"/>
  <c r="U140" i="56" s="1"/>
  <c r="AI140" i="56"/>
  <c r="AE159" i="56"/>
  <c r="AG159" i="56" s="1"/>
  <c r="AH152" i="56"/>
  <c r="AH145" i="56"/>
  <c r="AH146" i="56"/>
  <c r="AH122" i="56"/>
  <c r="U160" i="56" a="1"/>
  <c r="U160" i="56" s="1"/>
  <c r="AI160" i="56"/>
  <c r="U155" i="56" a="1"/>
  <c r="U155" i="56" s="1"/>
  <c r="AI155" i="56"/>
  <c r="AI157" i="56"/>
  <c r="AH118" i="56"/>
  <c r="F83" i="75"/>
  <c r="AH131" i="56"/>
  <c r="AE143" i="56"/>
  <c r="AG143" i="56" s="1"/>
  <c r="AH137" i="56"/>
  <c r="AH117" i="56"/>
  <c r="F133" i="75"/>
  <c r="AH143" i="56"/>
  <c r="F78" i="75"/>
  <c r="AH129" i="56"/>
  <c r="AH124" i="56"/>
  <c r="AH151" i="56"/>
  <c r="F118" i="75"/>
  <c r="AH139" i="56"/>
  <c r="AH125" i="56"/>
  <c r="AH153" i="56"/>
  <c r="F3" i="75"/>
  <c r="AH111" i="56"/>
  <c r="AH133" i="56"/>
  <c r="F98" i="75"/>
  <c r="AH134" i="56"/>
  <c r="F63" i="75"/>
  <c r="AH126" i="56"/>
  <c r="AH115" i="56"/>
  <c r="AH150" i="56"/>
  <c r="AH136" i="56"/>
  <c r="AH130" i="56"/>
  <c r="F198" i="75"/>
  <c r="AH159" i="56"/>
  <c r="AH140" i="56"/>
  <c r="AH158" i="56"/>
  <c r="AH160" i="56"/>
  <c r="F123" i="75"/>
  <c r="AH141" i="56"/>
  <c r="AH142" i="56"/>
  <c r="F38" i="75"/>
  <c r="AH119" i="56"/>
  <c r="AH154" i="56"/>
  <c r="AH156" i="56"/>
  <c r="AH135" i="56"/>
  <c r="F158" i="75"/>
  <c r="AH149" i="56"/>
  <c r="AE142" i="56"/>
  <c r="AG142" i="56" s="1"/>
  <c r="AE125" i="56"/>
  <c r="AG125" i="56" s="1"/>
  <c r="AE120" i="56"/>
  <c r="AG120" i="56" s="1"/>
  <c r="AE146" i="56"/>
  <c r="AG146" i="56" s="1"/>
  <c r="AE117" i="56"/>
  <c r="AG117" i="56" s="1"/>
  <c r="AE126" i="56"/>
  <c r="AG126" i="56" s="1"/>
  <c r="AE114" i="56"/>
  <c r="AG114" i="56" s="1"/>
  <c r="AE130" i="56"/>
  <c r="AG130" i="56" s="1"/>
  <c r="AE151" i="56"/>
  <c r="AG151" i="56" s="1"/>
  <c r="AE113" i="56"/>
  <c r="AG113" i="56" s="1"/>
  <c r="AE134" i="56"/>
  <c r="AG134" i="56" s="1"/>
  <c r="AE155" i="56"/>
  <c r="AG155" i="56" s="1"/>
  <c r="AE157" i="56"/>
  <c r="AG157" i="56" s="1"/>
  <c r="AE139" i="56"/>
  <c r="AG139" i="56" s="1"/>
  <c r="AE122" i="56"/>
  <c r="AG122" i="56" s="1"/>
  <c r="AE127" i="56"/>
  <c r="AG127" i="56" s="1"/>
  <c r="AE148" i="56"/>
  <c r="AG148" i="56" s="1"/>
  <c r="AE131" i="56"/>
  <c r="AG131" i="56" s="1"/>
  <c r="AE153" i="56"/>
  <c r="AG153" i="56" s="1"/>
  <c r="AE115" i="56"/>
  <c r="AG115" i="56" s="1"/>
  <c r="AE136" i="56"/>
  <c r="AG136" i="56" s="1"/>
  <c r="AE145" i="56"/>
  <c r="AG145" i="56" s="1"/>
  <c r="AE119" i="56"/>
  <c r="AG119" i="56" s="1"/>
  <c r="AE141" i="56"/>
  <c r="AG141" i="56" s="1"/>
  <c r="AE150" i="56"/>
  <c r="AG150" i="56" s="1"/>
  <c r="AE124" i="56"/>
  <c r="AG124" i="56" s="1"/>
  <c r="AE133" i="56"/>
  <c r="AG133" i="56" s="1"/>
  <c r="AE129" i="56"/>
  <c r="AG129" i="56" s="1"/>
  <c r="AE138" i="56"/>
  <c r="AG138" i="56" s="1"/>
  <c r="AE121" i="56"/>
  <c r="AG121" i="56" s="1"/>
  <c r="AE156" i="56"/>
  <c r="AG156" i="56" s="1"/>
  <c r="AE152" i="56"/>
  <c r="AG152" i="56" s="1"/>
  <c r="AE147" i="56"/>
  <c r="AG147" i="56" s="1"/>
  <c r="AE140" i="56"/>
  <c r="AG140" i="56" s="1"/>
  <c r="AE135" i="56"/>
  <c r="AG135" i="56" s="1"/>
  <c r="AE160" i="56"/>
  <c r="AG160" i="56" s="1"/>
  <c r="AE128" i="56"/>
  <c r="AG128" i="56" s="1"/>
  <c r="AE149" i="56"/>
  <c r="AG149" i="56" s="1"/>
  <c r="AE123" i="56"/>
  <c r="AG123" i="56" s="1"/>
  <c r="AE144" i="56"/>
  <c r="AG144" i="56" s="1"/>
  <c r="AE154" i="56"/>
  <c r="AG154" i="56" s="1"/>
  <c r="AE116" i="56"/>
  <c r="AG116" i="56" s="1"/>
  <c r="AE137" i="56"/>
  <c r="AG137" i="56" s="1"/>
  <c r="AE111" i="56"/>
  <c r="AG111" i="56" s="1"/>
  <c r="AE132" i="56"/>
  <c r="AG132" i="56" s="1"/>
  <c r="U80" i="56" a="1"/>
  <c r="U80" i="56" s="1"/>
  <c r="H138" i="75"/>
  <c r="B138" i="75"/>
  <c r="G138" i="75"/>
  <c r="F138" i="75"/>
  <c r="D138" i="75"/>
  <c r="R138" i="75"/>
  <c r="S138" i="75"/>
  <c r="U130" i="56" a="1"/>
  <c r="U130" i="56" s="1"/>
  <c r="U100" i="56" a="1"/>
  <c r="U100" i="56" s="1"/>
  <c r="U98" i="56" a="1"/>
  <c r="U98" i="56" s="1"/>
  <c r="U77" i="56" a="1"/>
  <c r="U77" i="56" s="1"/>
  <c r="S109" i="75"/>
  <c r="R109" i="75"/>
  <c r="D109" i="75"/>
  <c r="U99" i="56" a="1"/>
  <c r="U99" i="56" s="1"/>
  <c r="U173" i="56" a="1"/>
  <c r="U173" i="56" s="1"/>
  <c r="U71" i="56" a="1"/>
  <c r="U71" i="56" s="1"/>
  <c r="U125" i="56" a="1"/>
  <c r="U125" i="56" s="1"/>
  <c r="U104" i="56" a="1"/>
  <c r="U104" i="56" s="1"/>
  <c r="U178" i="56" a="1"/>
  <c r="U178" i="56" s="1"/>
  <c r="E114" i="75"/>
  <c r="U191" i="56" a="1"/>
  <c r="U191" i="56" s="1"/>
  <c r="E184" i="75"/>
  <c r="U209" i="56" a="1"/>
  <c r="U209" i="56" s="1"/>
  <c r="E198" i="75"/>
  <c r="U159" i="56" a="1"/>
  <c r="U159" i="56" s="1"/>
  <c r="E9" i="75"/>
  <c r="U165" i="56" a="1"/>
  <c r="U165" i="56" s="1"/>
  <c r="E53" i="75"/>
  <c r="U123" i="56" a="1"/>
  <c r="U123" i="56" s="1"/>
  <c r="E68" i="75"/>
  <c r="E23" i="75"/>
  <c r="U116" i="56" a="1"/>
  <c r="U116" i="56" s="1"/>
  <c r="E148" i="75"/>
  <c r="U147" i="56" a="1"/>
  <c r="U147" i="56" s="1"/>
  <c r="E83" i="75"/>
  <c r="U131" i="56" a="1"/>
  <c r="U131" i="56" s="1"/>
  <c r="E94" i="75"/>
  <c r="U186" i="56" a="1"/>
  <c r="U186" i="56" s="1"/>
  <c r="U60" i="56" a="1"/>
  <c r="U60" i="56" s="1"/>
  <c r="E88" i="75"/>
  <c r="U132" i="56" a="1"/>
  <c r="U132" i="56" s="1"/>
  <c r="E58" i="75"/>
  <c r="E163" i="75"/>
  <c r="U151" i="56" a="1"/>
  <c r="U151" i="56" s="1"/>
  <c r="E108" i="75"/>
  <c r="U137" i="56" a="1"/>
  <c r="U137" i="56" s="1"/>
  <c r="E28" i="75"/>
  <c r="U117" i="56" a="1"/>
  <c r="U117" i="56" s="1"/>
  <c r="E194" i="75"/>
  <c r="U211" i="56" a="1"/>
  <c r="U211" i="56" s="1"/>
  <c r="E174" i="75"/>
  <c r="U206" i="56" a="1"/>
  <c r="U206" i="56" s="1"/>
  <c r="E159" i="75"/>
  <c r="U202" i="56" a="1"/>
  <c r="U202" i="56" s="1"/>
  <c r="E154" i="75"/>
  <c r="E183" i="75"/>
  <c r="E13" i="75"/>
  <c r="E138" i="75"/>
  <c r="U144" i="56" a="1"/>
  <c r="U144" i="56" s="1"/>
  <c r="E43" i="75"/>
  <c r="U121" i="56" a="1"/>
  <c r="U121" i="56" s="1"/>
  <c r="E139" i="75"/>
  <c r="U197" i="56" a="1"/>
  <c r="U197" i="56" s="1"/>
  <c r="E74" i="75"/>
  <c r="E164" i="75"/>
  <c r="U204" i="56" a="1"/>
  <c r="U204" i="56" s="1"/>
  <c r="E49" i="75"/>
  <c r="U175" i="56" a="1"/>
  <c r="U175" i="56" s="1"/>
  <c r="E119" i="75"/>
  <c r="U192" i="56" a="1"/>
  <c r="U192" i="56" s="1"/>
  <c r="U92" i="56" a="1"/>
  <c r="U92" i="56" s="1"/>
  <c r="E118" i="75"/>
  <c r="U139" i="56" a="1"/>
  <c r="U139" i="56" s="1"/>
  <c r="E8" i="75"/>
  <c r="U112" i="56" a="1"/>
  <c r="U112" i="56" s="1"/>
  <c r="E103" i="75"/>
  <c r="U136" i="56" a="1"/>
  <c r="U136" i="56" s="1"/>
  <c r="E173" i="75"/>
  <c r="U153" i="56" a="1"/>
  <c r="U153" i="56" s="1"/>
  <c r="E144" i="75"/>
  <c r="U199" i="56" a="1"/>
  <c r="U199" i="56" s="1"/>
  <c r="E124" i="75"/>
  <c r="U194" i="56" a="1"/>
  <c r="U194" i="56" s="1"/>
  <c r="E129" i="75"/>
  <c r="U195" i="56" a="1"/>
  <c r="U195" i="56" s="1"/>
  <c r="E79" i="75"/>
  <c r="E169" i="75"/>
  <c r="U205" i="56" a="1"/>
  <c r="U205" i="56" s="1"/>
  <c r="E179" i="75"/>
  <c r="U207" i="56" a="1"/>
  <c r="U207" i="56" s="1"/>
  <c r="E134" i="75"/>
  <c r="U196" i="56" a="1"/>
  <c r="U196" i="56" s="1"/>
  <c r="E153" i="75"/>
  <c r="U148" i="56" a="1"/>
  <c r="U148" i="56" s="1"/>
  <c r="E133" i="75"/>
  <c r="U143" i="56" a="1"/>
  <c r="U143" i="56" s="1"/>
  <c r="E78" i="75"/>
  <c r="U129" i="56" a="1"/>
  <c r="U129" i="56" s="1"/>
  <c r="E113" i="75"/>
  <c r="U138" i="56" a="1"/>
  <c r="U138" i="56" s="1"/>
  <c r="E149" i="75"/>
  <c r="U200" i="56" a="1"/>
  <c r="U200" i="56" s="1"/>
  <c r="E64" i="75"/>
  <c r="U179" i="56" a="1"/>
  <c r="U179" i="56" s="1"/>
  <c r="U79" i="56" a="1"/>
  <c r="U79" i="56" s="1"/>
  <c r="U72" i="56" a="1"/>
  <c r="U72" i="56" s="1"/>
  <c r="E93" i="75"/>
  <c r="E98" i="75"/>
  <c r="U134" i="56" a="1"/>
  <c r="U134" i="56" s="1"/>
  <c r="E63" i="75"/>
  <c r="U126" i="56" a="1"/>
  <c r="U126" i="56" s="1"/>
  <c r="E39" i="75"/>
  <c r="U172" i="56" a="1"/>
  <c r="U172" i="56" s="1"/>
  <c r="E14" i="75"/>
  <c r="U166" i="56" a="1"/>
  <c r="U166" i="56" s="1"/>
  <c r="E18" i="75"/>
  <c r="U114" i="56" a="1"/>
  <c r="U114" i="56" s="1"/>
  <c r="E84" i="75"/>
  <c r="U184" i="56" a="1"/>
  <c r="U184" i="56" s="1"/>
  <c r="E99" i="75"/>
  <c r="U187" i="56" a="1"/>
  <c r="U187" i="56" s="1"/>
  <c r="E69" i="75"/>
  <c r="E44" i="75"/>
  <c r="U174" i="56" a="1"/>
  <c r="U174" i="56" s="1"/>
  <c r="E168" i="75"/>
  <c r="U152" i="56" a="1"/>
  <c r="U152" i="56" s="1"/>
  <c r="U145" i="56" a="1"/>
  <c r="U145" i="56" s="1"/>
  <c r="E143" i="75"/>
  <c r="E48" i="75"/>
  <c r="U122" i="56" a="1"/>
  <c r="U122" i="56" s="1"/>
  <c r="E33" i="75"/>
  <c r="U118" i="56" a="1"/>
  <c r="U118" i="56" s="1"/>
  <c r="E24" i="75"/>
  <c r="U169" i="56" a="1"/>
  <c r="U169" i="56" s="1"/>
  <c r="U183" i="56" a="1"/>
  <c r="U183" i="56" s="1"/>
  <c r="E158" i="75"/>
  <c r="U149" i="56" a="1"/>
  <c r="U149" i="56" s="1"/>
  <c r="E34" i="75"/>
  <c r="U171" i="56" a="1"/>
  <c r="U171" i="56" s="1"/>
  <c r="E59" i="75"/>
  <c r="U177" i="56" a="1"/>
  <c r="U177" i="56" s="1"/>
  <c r="E188" i="75"/>
  <c r="U157" i="56" a="1"/>
  <c r="U157" i="56" s="1"/>
  <c r="E29" i="75"/>
  <c r="E123" i="75"/>
  <c r="U141" i="56" a="1"/>
  <c r="U141" i="56" s="1"/>
  <c r="E128" i="75"/>
  <c r="U142" i="56" a="1"/>
  <c r="U142" i="56" s="1"/>
  <c r="E38" i="75"/>
  <c r="U119" i="56" a="1"/>
  <c r="U119" i="56" s="1"/>
  <c r="E178" i="75"/>
  <c r="U154" i="56" a="1"/>
  <c r="U154" i="56" s="1"/>
  <c r="E54" i="75"/>
  <c r="U176" i="56" a="1"/>
  <c r="U176" i="56" s="1"/>
  <c r="U198" i="56" a="1"/>
  <c r="U198" i="56" s="1"/>
  <c r="E199" i="75"/>
  <c r="E109" i="75"/>
  <c r="E189" i="75"/>
  <c r="U210" i="56" a="1"/>
  <c r="U210" i="56" s="1"/>
  <c r="U85" i="56" a="1"/>
  <c r="U85" i="56" s="1"/>
  <c r="E73" i="75"/>
  <c r="U128" i="56" a="1"/>
  <c r="U128" i="56" s="1"/>
  <c r="E104" i="75"/>
  <c r="U189" i="56" a="1"/>
  <c r="U189" i="56" s="1"/>
  <c r="E89" i="75"/>
  <c r="U185" i="56" a="1"/>
  <c r="U185" i="56" s="1"/>
  <c r="E19" i="75"/>
  <c r="U167" i="56" a="1"/>
  <c r="U167" i="56" s="1"/>
  <c r="T114" i="56" a="1"/>
  <c r="T114" i="56" s="1"/>
  <c r="O18" i="75" s="1"/>
  <c r="U61" i="56" a="1"/>
  <c r="U61" i="56" s="1"/>
  <c r="U65" i="56" a="1"/>
  <c r="U65" i="56" s="1"/>
  <c r="U93" i="56" a="1"/>
  <c r="U93" i="56" s="1"/>
  <c r="U67" i="56" a="1"/>
  <c r="U67" i="56" s="1"/>
  <c r="U101" i="56" a="1"/>
  <c r="U101" i="56" s="1"/>
  <c r="U94" i="56" a="1"/>
  <c r="U94" i="56" s="1"/>
  <c r="U83" i="56" a="1"/>
  <c r="U83" i="56" s="1"/>
  <c r="U95" i="56" a="1"/>
  <c r="U95" i="56" s="1"/>
  <c r="U64" i="56" a="1"/>
  <c r="U64" i="56" s="1"/>
  <c r="H28" i="75"/>
  <c r="G28" i="75"/>
  <c r="F28" i="75"/>
  <c r="S28" i="75"/>
  <c r="D28" i="75"/>
  <c r="R28" i="75"/>
  <c r="H53" i="75"/>
  <c r="G53" i="75"/>
  <c r="B53" i="75"/>
  <c r="F53" i="75"/>
  <c r="S53" i="75"/>
  <c r="D53" i="75"/>
  <c r="R53" i="75"/>
  <c r="H108" i="75"/>
  <c r="B108" i="75"/>
  <c r="G108" i="75"/>
  <c r="F108" i="75"/>
  <c r="D108" i="75"/>
  <c r="R108" i="75"/>
  <c r="S108" i="75"/>
  <c r="R29" i="75"/>
  <c r="S29" i="75"/>
  <c r="D29" i="75"/>
  <c r="D89" i="75"/>
  <c r="S43" i="75"/>
  <c r="R128" i="75"/>
  <c r="S24" i="75"/>
  <c r="G178" i="75"/>
  <c r="G68" i="75"/>
  <c r="R89" i="75"/>
  <c r="S149" i="75"/>
  <c r="D178" i="75"/>
  <c r="B8" i="75"/>
  <c r="B193" i="75"/>
  <c r="G23" i="75"/>
  <c r="F183" i="75"/>
  <c r="D113" i="75"/>
  <c r="R33" i="75"/>
  <c r="D174" i="75"/>
  <c r="R183" i="75"/>
  <c r="D143" i="75"/>
  <c r="S93" i="75"/>
  <c r="R168" i="75"/>
  <c r="R48" i="75"/>
  <c r="R188" i="75"/>
  <c r="D163" i="75"/>
  <c r="S153" i="75"/>
  <c r="D153" i="75"/>
  <c r="D13" i="75"/>
  <c r="F68" i="75"/>
  <c r="F23" i="75"/>
  <c r="F148" i="75"/>
  <c r="G148" i="75"/>
  <c r="G58" i="75"/>
  <c r="B48" i="75"/>
  <c r="B88" i="75"/>
  <c r="H8" i="75"/>
  <c r="R103" i="75"/>
  <c r="F73" i="75"/>
  <c r="G143" i="75"/>
  <c r="D58" i="75"/>
  <c r="R114" i="75"/>
  <c r="D148" i="75"/>
  <c r="S23" i="75"/>
  <c r="D23" i="75"/>
  <c r="S34" i="75"/>
  <c r="S184" i="75"/>
  <c r="R144" i="75"/>
  <c r="R94" i="75"/>
  <c r="S169" i="75"/>
  <c r="S159" i="75"/>
  <c r="S54" i="75"/>
  <c r="S189" i="75"/>
  <c r="S19" i="75"/>
  <c r="R164" i="75"/>
  <c r="R14" i="75"/>
  <c r="S194" i="75"/>
  <c r="H148" i="75"/>
  <c r="H58" i="75"/>
  <c r="B153" i="75"/>
  <c r="B173" i="75"/>
  <c r="H188" i="75"/>
  <c r="S79" i="75"/>
  <c r="R194" i="75"/>
  <c r="F153" i="75"/>
  <c r="H43" i="75"/>
  <c r="H173" i="75"/>
  <c r="G103" i="75"/>
  <c r="B143" i="75"/>
  <c r="B18" i="75"/>
  <c r="B163" i="75"/>
  <c r="R79" i="75"/>
  <c r="D103" i="75"/>
  <c r="D114" i="75"/>
  <c r="S58" i="75"/>
  <c r="D44" i="75"/>
  <c r="S44" i="75"/>
  <c r="D59" i="75"/>
  <c r="R88" i="75"/>
  <c r="D43" i="75"/>
  <c r="R113" i="75"/>
  <c r="D8" i="75"/>
  <c r="S33" i="75"/>
  <c r="D33" i="75"/>
  <c r="S183" i="75"/>
  <c r="D183" i="75"/>
  <c r="D94" i="75"/>
  <c r="S168" i="75"/>
  <c r="D168" i="75"/>
  <c r="S48" i="75"/>
  <c r="S188" i="75"/>
  <c r="D188" i="75"/>
  <c r="D18" i="75"/>
  <c r="R163" i="75"/>
  <c r="D154" i="75"/>
  <c r="R153" i="75"/>
  <c r="R13" i="75"/>
  <c r="D199" i="75"/>
  <c r="R199" i="75"/>
  <c r="F88" i="75"/>
  <c r="F58" i="75"/>
  <c r="F163" i="75"/>
  <c r="G43" i="75"/>
  <c r="G173" i="75"/>
  <c r="H103" i="75"/>
  <c r="B28" i="75"/>
  <c r="B113" i="75"/>
  <c r="G188" i="75"/>
  <c r="G8" i="75"/>
  <c r="D79" i="75"/>
  <c r="S104" i="75"/>
  <c r="F193" i="75"/>
  <c r="B148" i="75"/>
  <c r="D88" i="75"/>
  <c r="R58" i="75"/>
  <c r="S89" i="75"/>
  <c r="R44" i="75"/>
  <c r="S114" i="75"/>
  <c r="R148" i="75"/>
  <c r="D24" i="75"/>
  <c r="R23" i="75"/>
  <c r="R174" i="75"/>
  <c r="R143" i="75"/>
  <c r="S144" i="75"/>
  <c r="S94" i="75"/>
  <c r="S164" i="75"/>
  <c r="S14" i="75"/>
  <c r="R193" i="75"/>
  <c r="F43" i="75"/>
  <c r="F113" i="75"/>
  <c r="H113" i="75"/>
  <c r="H93" i="75"/>
  <c r="H128" i="75"/>
  <c r="B98" i="75"/>
  <c r="R104" i="75"/>
  <c r="S103" i="75"/>
  <c r="D193" i="75"/>
  <c r="F8" i="75"/>
  <c r="F13" i="75"/>
  <c r="F173" i="75"/>
  <c r="G113" i="75"/>
  <c r="G93" i="75"/>
  <c r="G128" i="75"/>
  <c r="B58" i="75"/>
  <c r="B103" i="75"/>
  <c r="B128" i="75"/>
  <c r="F188" i="75"/>
  <c r="D104" i="75"/>
  <c r="H193" i="75"/>
  <c r="B188" i="75"/>
  <c r="S88" i="75"/>
  <c r="R43" i="75"/>
  <c r="S128" i="75"/>
  <c r="D128" i="75"/>
  <c r="S113" i="75"/>
  <c r="R8" i="75"/>
  <c r="D34" i="75"/>
  <c r="R173" i="75"/>
  <c r="D184" i="75"/>
  <c r="S143" i="75"/>
  <c r="D93" i="75"/>
  <c r="D169" i="75"/>
  <c r="D49" i="75"/>
  <c r="D159" i="75"/>
  <c r="D54" i="75"/>
  <c r="D189" i="75"/>
  <c r="D19" i="75"/>
  <c r="R18" i="75"/>
  <c r="S163" i="75"/>
  <c r="S13" i="75"/>
  <c r="R178" i="75"/>
  <c r="S179" i="75"/>
  <c r="F93" i="75"/>
  <c r="H33" i="75"/>
  <c r="H88" i="75"/>
  <c r="H48" i="75"/>
  <c r="H18" i="75"/>
  <c r="G13" i="75"/>
  <c r="H73" i="75"/>
  <c r="H168" i="75"/>
  <c r="B33" i="75"/>
  <c r="B178" i="75"/>
  <c r="B183" i="75"/>
  <c r="D73" i="75"/>
  <c r="E158" i="56"/>
  <c r="AC158" i="56" s="1"/>
  <c r="E193" i="75"/>
  <c r="R59" i="75"/>
  <c r="S148" i="75"/>
  <c r="S174" i="75"/>
  <c r="S49" i="75"/>
  <c r="R154" i="75"/>
  <c r="F103" i="75"/>
  <c r="G33" i="75"/>
  <c r="G88" i="75"/>
  <c r="G48" i="75"/>
  <c r="G18" i="75"/>
  <c r="H13" i="75"/>
  <c r="G73" i="75"/>
  <c r="G168" i="75"/>
  <c r="B168" i="75"/>
  <c r="B43" i="75"/>
  <c r="B13" i="75"/>
  <c r="S74" i="75"/>
  <c r="R149" i="75"/>
  <c r="R24" i="75"/>
  <c r="D179" i="75"/>
  <c r="S178" i="75"/>
  <c r="S193" i="75"/>
  <c r="F168" i="75"/>
  <c r="F143" i="75"/>
  <c r="F48" i="75"/>
  <c r="H163" i="75"/>
  <c r="G153" i="75"/>
  <c r="B68" i="75"/>
  <c r="B93" i="75"/>
  <c r="B63" i="75"/>
  <c r="B73" i="75"/>
  <c r="H183" i="75"/>
  <c r="R74" i="75"/>
  <c r="S8" i="75"/>
  <c r="D173" i="75"/>
  <c r="S18" i="75"/>
  <c r="S199" i="75"/>
  <c r="F18" i="75"/>
  <c r="G163" i="75"/>
  <c r="H153" i="75"/>
  <c r="G183" i="75"/>
  <c r="R73" i="75"/>
  <c r="G193" i="75"/>
  <c r="S173" i="75"/>
  <c r="R93" i="75"/>
  <c r="D48" i="75"/>
  <c r="D164" i="75"/>
  <c r="D14" i="75"/>
  <c r="S59" i="75"/>
  <c r="D149" i="75"/>
  <c r="R34" i="75"/>
  <c r="R184" i="75"/>
  <c r="D144" i="75"/>
  <c r="R169" i="75"/>
  <c r="R49" i="75"/>
  <c r="R159" i="75"/>
  <c r="R54" i="75"/>
  <c r="R189" i="75"/>
  <c r="R19" i="75"/>
  <c r="S154" i="75"/>
  <c r="R179" i="75"/>
  <c r="D194" i="75"/>
  <c r="F128" i="75"/>
  <c r="F178" i="75"/>
  <c r="F33" i="75"/>
  <c r="H178" i="75"/>
  <c r="H68" i="75"/>
  <c r="H23" i="75"/>
  <c r="H143" i="75"/>
  <c r="B23" i="75"/>
  <c r="D74" i="75"/>
  <c r="S73" i="75"/>
  <c r="D5" i="61"/>
  <c r="C6" i="61"/>
  <c r="C3" i="61"/>
  <c r="D3" i="61"/>
  <c r="T157" i="56" a="1"/>
  <c r="T157" i="56" s="1"/>
  <c r="O188" i="75" s="1"/>
  <c r="T72" i="56" a="1"/>
  <c r="T72" i="56" s="1"/>
  <c r="C4" i="61"/>
  <c r="D4" i="61"/>
  <c r="T113" i="56" a="1"/>
  <c r="T113" i="56" s="1"/>
  <c r="O13" i="75" s="1"/>
  <c r="T125" i="56" a="1"/>
  <c r="T125" i="56" s="1"/>
  <c r="AB64" i="56"/>
  <c r="AF13" i="46"/>
  <c r="T118" i="56" a="1"/>
  <c r="T118" i="56" s="1"/>
  <c r="O33" i="75" s="1"/>
  <c r="T120" i="56" a="1"/>
  <c r="T120" i="56" s="1"/>
  <c r="U120" i="56" s="1" a="1"/>
  <c r="U120" i="56" s="1"/>
  <c r="T115" i="56" a="1"/>
  <c r="T115" i="56" s="1"/>
  <c r="V13" i="46"/>
  <c r="E170" i="56"/>
  <c r="F170" i="56"/>
  <c r="G170" i="56"/>
  <c r="H170" i="56"/>
  <c r="AH170" i="56" s="1"/>
  <c r="T170" i="56" a="1"/>
  <c r="T170" i="56" s="1"/>
  <c r="O29" i="75" s="1"/>
  <c r="I170" i="56"/>
  <c r="V170" i="56" a="1"/>
  <c r="V170" i="56" s="1"/>
  <c r="AM52" i="56"/>
  <c r="AN52" i="56"/>
  <c r="AZ52" i="56"/>
  <c r="AO52" i="56"/>
  <c r="AP52" i="56"/>
  <c r="AI52" i="56"/>
  <c r="Y52" i="56"/>
  <c r="X52" i="56"/>
  <c r="W52" i="56"/>
  <c r="V52" i="56"/>
  <c r="D11" i="61"/>
  <c r="D13" i="61"/>
  <c r="E12" i="61"/>
  <c r="C9" i="61"/>
  <c r="E13" i="61"/>
  <c r="E16" i="61"/>
  <c r="C12" i="61"/>
  <c r="D9" i="61"/>
  <c r="C14" i="61"/>
  <c r="E11" i="61"/>
  <c r="C13" i="61"/>
  <c r="E10" i="61"/>
  <c r="E14" i="61"/>
  <c r="C10" i="61"/>
  <c r="E15" i="61"/>
  <c r="D12" i="61"/>
  <c r="C8" i="61"/>
  <c r="E9" i="61"/>
  <c r="D10" i="61"/>
  <c r="C11" i="61"/>
  <c r="C7" i="61"/>
  <c r="T124" i="56" a="1"/>
  <c r="T124" i="56" s="1"/>
  <c r="O58" i="75" s="1"/>
  <c r="T117" i="56" a="1"/>
  <c r="T117" i="56" s="1"/>
  <c r="O28" i="75" s="1"/>
  <c r="T133" i="56" a="1"/>
  <c r="T133" i="56" s="1"/>
  <c r="O93" i="75" s="1"/>
  <c r="E4" i="75"/>
  <c r="E5" i="61"/>
  <c r="E3" i="61"/>
  <c r="D7" i="61"/>
  <c r="E6" i="61"/>
  <c r="E8" i="61"/>
  <c r="E4" i="61"/>
  <c r="Q38" i="61"/>
  <c r="Q26" i="61"/>
  <c r="Q37" i="61"/>
  <c r="Q25" i="61"/>
  <c r="Q36" i="61"/>
  <c r="Q24" i="61"/>
  <c r="Q35" i="61"/>
  <c r="Q34" i="61"/>
  <c r="Q33" i="61"/>
  <c r="Q32" i="61"/>
  <c r="Q31" i="61"/>
  <c r="Q30" i="61"/>
  <c r="Q29" i="61"/>
  <c r="Q28" i="61"/>
  <c r="Q27" i="61"/>
  <c r="D8" i="61"/>
  <c r="D6" i="61"/>
  <c r="E7" i="61"/>
  <c r="O41" i="61"/>
  <c r="O44" i="61"/>
  <c r="M44" i="61"/>
  <c r="I43" i="61"/>
  <c r="G43" i="61"/>
  <c r="J43" i="61"/>
  <c r="M45" i="61"/>
  <c r="G44" i="61"/>
  <c r="J44" i="61"/>
  <c r="N43" i="61"/>
  <c r="G45" i="61"/>
  <c r="J45" i="61"/>
  <c r="E43" i="61"/>
  <c r="N45" i="61"/>
  <c r="K43" i="61"/>
  <c r="O45" i="61"/>
  <c r="E44" i="61"/>
  <c r="H43" i="61"/>
  <c r="K44" i="61"/>
  <c r="O43" i="61"/>
  <c r="L45" i="61"/>
  <c r="E45" i="61"/>
  <c r="H44" i="61"/>
  <c r="K45" i="61"/>
  <c r="L44" i="61"/>
  <c r="H45" i="61"/>
  <c r="L43" i="61"/>
  <c r="F43" i="61"/>
  <c r="F44" i="61"/>
  <c r="I44" i="61"/>
  <c r="N44" i="61"/>
  <c r="F45" i="61"/>
  <c r="I45" i="61"/>
  <c r="M43" i="61"/>
  <c r="T150" i="56" a="1"/>
  <c r="T150" i="56" s="1"/>
  <c r="B10" i="49" a="1"/>
  <c r="B10" i="49" s="1"/>
  <c r="F5" i="49"/>
  <c r="D5" i="49"/>
  <c r="C5" i="49"/>
  <c r="E5" i="49"/>
  <c r="AF28" i="46"/>
  <c r="AF31" i="46"/>
  <c r="V44" i="46"/>
  <c r="H5" i="49"/>
  <c r="AF12" i="46"/>
  <c r="V28" i="46"/>
  <c r="AF44" i="46"/>
  <c r="T136" i="56" a="1"/>
  <c r="T136" i="56" s="1"/>
  <c r="O103" i="75" s="1"/>
  <c r="G5" i="49"/>
  <c r="C6" i="49"/>
  <c r="V12" i="46"/>
  <c r="V31" i="46"/>
  <c r="I5" i="49"/>
  <c r="S3" i="75"/>
  <c r="D4" i="75"/>
  <c r="V24" i="46"/>
  <c r="D3" i="75"/>
  <c r="R4" i="75"/>
  <c r="V17" i="46"/>
  <c r="R3" i="75"/>
  <c r="S4" i="75"/>
  <c r="T105" i="56" a="1"/>
  <c r="T105" i="56" s="1"/>
  <c r="O192" i="75" s="1"/>
  <c r="AF19" i="46"/>
  <c r="V165" i="56" a="1"/>
  <c r="V165" i="56" s="1"/>
  <c r="E165" i="56"/>
  <c r="T165" i="56" a="1"/>
  <c r="T165" i="56" s="1"/>
  <c r="O9" i="75" s="1"/>
  <c r="F165" i="56"/>
  <c r="I165" i="56"/>
  <c r="G165" i="56"/>
  <c r="G9" i="75" s="1"/>
  <c r="H165" i="56"/>
  <c r="H9" i="75" s="1"/>
  <c r="T135" i="56" a="1"/>
  <c r="T135" i="56" s="1"/>
  <c r="U135" i="56" s="1" a="1"/>
  <c r="U135" i="56" s="1"/>
  <c r="E3" i="75"/>
  <c r="T106" i="56" a="1"/>
  <c r="T106" i="56" s="1"/>
  <c r="O197" i="75" s="1"/>
  <c r="E157" i="56"/>
  <c r="B3" i="75"/>
  <c r="E159" i="56"/>
  <c r="E156" i="56"/>
  <c r="T141" i="56" a="1"/>
  <c r="T141" i="56" s="1"/>
  <c r="O123" i="75" s="1"/>
  <c r="T121" i="56" a="1"/>
  <c r="T121" i="56" s="1"/>
  <c r="O43" i="75" s="1"/>
  <c r="T131" i="56" a="1"/>
  <c r="T131" i="56" s="1"/>
  <c r="O83" i="75" s="1"/>
  <c r="T147" i="56" a="1"/>
  <c r="T147" i="56" s="1"/>
  <c r="O148" i="75" s="1"/>
  <c r="AB93" i="56"/>
  <c r="C5" i="61" s="1"/>
  <c r="AB145" i="56"/>
  <c r="D16" i="61" s="1"/>
  <c r="E213" i="56"/>
  <c r="V213" i="56" a="1"/>
  <c r="V213" i="56" s="1"/>
  <c r="I213" i="56"/>
  <c r="T213" i="56" a="1"/>
  <c r="T213" i="56" s="1"/>
  <c r="H213" i="56"/>
  <c r="AH213" i="56" s="1"/>
  <c r="G213" i="56"/>
  <c r="F213" i="56"/>
  <c r="T145" i="56" a="1"/>
  <c r="T145" i="56" s="1"/>
  <c r="X51" i="56"/>
  <c r="V51" i="56"/>
  <c r="W51" i="56"/>
  <c r="AI51" i="56"/>
  <c r="Y51" i="56"/>
  <c r="AM51" i="56"/>
  <c r="AN51" i="56"/>
  <c r="AZ51" i="56"/>
  <c r="AO51" i="56"/>
  <c r="AP51" i="56"/>
  <c r="T152" i="56" a="1"/>
  <c r="T152" i="56" s="1"/>
  <c r="O168" i="75" s="1"/>
  <c r="T140" i="56" a="1"/>
  <c r="T140" i="56" s="1"/>
  <c r="T104" i="56" a="1"/>
  <c r="T104" i="56" s="1"/>
  <c r="O187" i="75" s="1"/>
  <c r="T156" i="56" a="1"/>
  <c r="T156" i="56" s="1"/>
  <c r="O183" i="75" s="1"/>
  <c r="T137" i="56" a="1"/>
  <c r="T137" i="56" s="1"/>
  <c r="O108" i="75" s="1"/>
  <c r="T138" i="56" a="1"/>
  <c r="T138" i="56" s="1"/>
  <c r="O113" i="75" s="1"/>
  <c r="T149" i="56" a="1"/>
  <c r="T149" i="56" s="1"/>
  <c r="O158" i="75" s="1"/>
  <c r="V14" i="46"/>
  <c r="T129" i="56" a="1"/>
  <c r="T129" i="56" s="1"/>
  <c r="O78" i="75" s="1"/>
  <c r="T142" i="56" a="1"/>
  <c r="T142" i="56" s="1"/>
  <c r="O128" i="75" s="1"/>
  <c r="T128" i="56" a="1"/>
  <c r="T128" i="56" s="1"/>
  <c r="O73" i="75" s="1"/>
  <c r="T123" i="56" a="1"/>
  <c r="T123" i="56" s="1"/>
  <c r="O53" i="75" s="1"/>
  <c r="T146" i="56" a="1"/>
  <c r="T146" i="56" s="1"/>
  <c r="O143" i="75" s="1"/>
  <c r="T155" i="56" a="1"/>
  <c r="T155" i="56" s="1"/>
  <c r="T154" i="56" a="1"/>
  <c r="T154" i="56" s="1"/>
  <c r="O178" i="75" s="1"/>
  <c r="T127" i="56" a="1"/>
  <c r="T127" i="56" s="1"/>
  <c r="O68" i="75" s="1"/>
  <c r="E209" i="56"/>
  <c r="F209" i="56"/>
  <c r="G209" i="56"/>
  <c r="H209" i="56"/>
  <c r="AH209" i="56" s="1"/>
  <c r="T209" i="56" a="1"/>
  <c r="T209" i="56" s="1"/>
  <c r="O184" i="75" s="1"/>
  <c r="I209" i="56"/>
  <c r="V209" i="56" a="1"/>
  <c r="V209" i="56" s="1"/>
  <c r="E210" i="56"/>
  <c r="F210" i="56"/>
  <c r="G210" i="56"/>
  <c r="H210" i="56"/>
  <c r="AH210" i="56" s="1"/>
  <c r="T210" i="56" a="1"/>
  <c r="T210" i="56" s="1"/>
  <c r="O189" i="75" s="1"/>
  <c r="I210" i="56"/>
  <c r="V210" i="56" a="1"/>
  <c r="V210" i="56" s="1"/>
  <c r="V49" i="56"/>
  <c r="W49" i="56"/>
  <c r="AI49" i="56"/>
  <c r="X49" i="56"/>
  <c r="Y49" i="56"/>
  <c r="AM49" i="56"/>
  <c r="AN49" i="56"/>
  <c r="AZ49" i="56"/>
  <c r="AO49" i="56"/>
  <c r="AP49" i="56"/>
  <c r="V50" i="56"/>
  <c r="W50" i="56"/>
  <c r="AI50" i="56"/>
  <c r="X50" i="56"/>
  <c r="Y50" i="56"/>
  <c r="AM50" i="56"/>
  <c r="AN50" i="56"/>
  <c r="AZ50" i="56"/>
  <c r="AO50" i="56"/>
  <c r="AP50" i="56"/>
  <c r="T160" i="56" a="1"/>
  <c r="T160" i="56" s="1"/>
  <c r="AB92" i="56"/>
  <c r="C15" i="61" s="1"/>
  <c r="T144" i="56" a="1"/>
  <c r="T144" i="56" s="1"/>
  <c r="O138" i="75" s="1"/>
  <c r="AB144" i="56"/>
  <c r="D15" i="61" s="1"/>
  <c r="T148" i="56" a="1"/>
  <c r="T148" i="56" s="1"/>
  <c r="O153" i="75" s="1"/>
  <c r="T151" i="56" a="1"/>
  <c r="T151" i="56" s="1"/>
  <c r="O163" i="75" s="1"/>
  <c r="T122" i="56" a="1"/>
  <c r="T122" i="56" s="1"/>
  <c r="O48" i="75" s="1"/>
  <c r="T139" i="56" a="1"/>
  <c r="T139" i="56" s="1"/>
  <c r="O118" i="75" s="1"/>
  <c r="T153" i="56" a="1"/>
  <c r="T153" i="56" s="1"/>
  <c r="O173" i="75" s="1"/>
  <c r="G183" i="56"/>
  <c r="V183" i="56" a="1"/>
  <c r="V183" i="56" s="1"/>
  <c r="H183" i="56"/>
  <c r="AH183" i="56" s="1"/>
  <c r="I183" i="56"/>
  <c r="F183" i="56"/>
  <c r="T183" i="56" a="1"/>
  <c r="T183" i="56" s="1"/>
  <c r="AB142" i="56"/>
  <c r="D14" i="61" s="1"/>
  <c r="B47" i="65"/>
  <c r="C47" i="65" s="1" a="1"/>
  <c r="C47" i="65" s="1"/>
  <c r="B46" i="65"/>
  <c r="C46" i="65" s="1" a="1"/>
  <c r="C46" i="65" s="1"/>
  <c r="A44" i="65"/>
  <c r="H44" i="65" s="1"/>
  <c r="E130" i="56"/>
  <c r="V190" i="56" a="1"/>
  <c r="V190" i="56" s="1"/>
  <c r="F190" i="56"/>
  <c r="H190" i="56"/>
  <c r="AH190" i="56" s="1"/>
  <c r="T190" i="56" a="1"/>
  <c r="T190" i="56" s="1"/>
  <c r="O109" i="75" s="1"/>
  <c r="G190" i="56"/>
  <c r="I190" i="56"/>
  <c r="I181" i="56"/>
  <c r="F181" i="56"/>
  <c r="G181" i="56"/>
  <c r="T181" i="56" a="1"/>
  <c r="T181" i="56" s="1"/>
  <c r="O74" i="75" s="1"/>
  <c r="H181" i="56"/>
  <c r="AH181" i="56" s="1"/>
  <c r="V181" i="56" a="1"/>
  <c r="V181" i="56" s="1"/>
  <c r="I204" i="56"/>
  <c r="V204" i="56" a="1"/>
  <c r="V204" i="56" s="1"/>
  <c r="G204" i="56"/>
  <c r="F204" i="56"/>
  <c r="T204" i="56" a="1"/>
  <c r="T204" i="56" s="1"/>
  <c r="O164" i="75" s="1"/>
  <c r="H204" i="56"/>
  <c r="AH204" i="56" s="1"/>
  <c r="F186" i="56"/>
  <c r="G186" i="56"/>
  <c r="T186" i="56" a="1"/>
  <c r="T186" i="56" s="1"/>
  <c r="O94" i="75" s="1"/>
  <c r="H186" i="56"/>
  <c r="AH186" i="56" s="1"/>
  <c r="V186" i="56" a="1"/>
  <c r="V186" i="56" s="1"/>
  <c r="I186" i="56"/>
  <c r="V178" i="56" a="1"/>
  <c r="V178" i="56" s="1"/>
  <c r="F178" i="56"/>
  <c r="G178" i="56"/>
  <c r="T178" i="56" a="1"/>
  <c r="T178" i="56" s="1"/>
  <c r="H178" i="56"/>
  <c r="AH178" i="56" s="1"/>
  <c r="I178" i="56"/>
  <c r="I167" i="56"/>
  <c r="V167" i="56" a="1"/>
  <c r="V167" i="56" s="1"/>
  <c r="G167" i="56"/>
  <c r="F167" i="56"/>
  <c r="T167" i="56" a="1"/>
  <c r="T167" i="56" s="1"/>
  <c r="O19" i="75" s="1"/>
  <c r="H167" i="56"/>
  <c r="AH167" i="56" s="1"/>
  <c r="T208" i="56" a="1"/>
  <c r="T208" i="56" s="1"/>
  <c r="H208" i="56"/>
  <c r="AH208" i="56" s="1"/>
  <c r="I208" i="56"/>
  <c r="V208" i="56" a="1"/>
  <c r="V208" i="56" s="1"/>
  <c r="F208" i="56"/>
  <c r="G208" i="56"/>
  <c r="T184" i="56" a="1"/>
  <c r="T184" i="56" s="1"/>
  <c r="O84" i="75" s="1"/>
  <c r="H184" i="56"/>
  <c r="H84" i="75" s="1"/>
  <c r="I184" i="56"/>
  <c r="F184" i="56"/>
  <c r="G184" i="56"/>
  <c r="G84" i="75" s="1"/>
  <c r="V184" i="56" a="1"/>
  <c r="V184" i="56" s="1"/>
  <c r="G169" i="56"/>
  <c r="T169" i="56" a="1"/>
  <c r="T169" i="56" s="1"/>
  <c r="O24" i="75" s="1"/>
  <c r="H169" i="56"/>
  <c r="AH169" i="56" s="1"/>
  <c r="I169" i="56"/>
  <c r="V169" i="56" a="1"/>
  <c r="V169" i="56" s="1"/>
  <c r="F169" i="56"/>
  <c r="AG169" i="56" s="1"/>
  <c r="V199" i="56" a="1"/>
  <c r="V199" i="56" s="1"/>
  <c r="F199" i="56"/>
  <c r="G199" i="56"/>
  <c r="I199" i="56"/>
  <c r="T199" i="56" a="1"/>
  <c r="T199" i="56" s="1"/>
  <c r="O144" i="75" s="1"/>
  <c r="H199" i="56"/>
  <c r="AH199" i="56" s="1"/>
  <c r="F200" i="56"/>
  <c r="G200" i="56"/>
  <c r="T200" i="56" a="1"/>
  <c r="T200" i="56" s="1"/>
  <c r="O149" i="75" s="1"/>
  <c r="H200" i="56"/>
  <c r="AH200" i="56" s="1"/>
  <c r="I200" i="56"/>
  <c r="V200" i="56" a="1"/>
  <c r="V200" i="56" s="1"/>
  <c r="AD200" i="56" s="1"/>
  <c r="AF200" i="56" s="1"/>
  <c r="T179" i="56" a="1"/>
  <c r="T179" i="56" s="1"/>
  <c r="O64" i="75" s="1"/>
  <c r="H179" i="56"/>
  <c r="H64" i="75" s="1"/>
  <c r="V179" i="56" a="1"/>
  <c r="V179" i="56" s="1"/>
  <c r="F179" i="56"/>
  <c r="G179" i="56"/>
  <c r="G64" i="75" s="1"/>
  <c r="I179" i="56"/>
  <c r="T89" i="56" a="1"/>
  <c r="T89" i="56" s="1"/>
  <c r="O127" i="75" s="1"/>
  <c r="F171" i="56"/>
  <c r="T171" i="56" a="1"/>
  <c r="T171" i="56" s="1"/>
  <c r="O34" i="75" s="1"/>
  <c r="H171" i="56"/>
  <c r="AH171" i="56" s="1"/>
  <c r="I171" i="56"/>
  <c r="V171" i="56" a="1"/>
  <c r="V171" i="56" s="1"/>
  <c r="AD171" i="56" s="1"/>
  <c r="AF171" i="56" s="1"/>
  <c r="G171" i="56"/>
  <c r="G194" i="56"/>
  <c r="G124" i="75" s="1"/>
  <c r="T194" i="56" a="1"/>
  <c r="T194" i="56" s="1"/>
  <c r="O124" i="75" s="1"/>
  <c r="H194" i="56"/>
  <c r="H124" i="75" s="1"/>
  <c r="I194" i="56"/>
  <c r="V194" i="56" a="1"/>
  <c r="V194" i="56" s="1"/>
  <c r="F194" i="56"/>
  <c r="G173" i="56"/>
  <c r="V173" i="56" a="1"/>
  <c r="V173" i="56" s="1"/>
  <c r="F173" i="56"/>
  <c r="T173" i="56" a="1"/>
  <c r="T173" i="56" s="1"/>
  <c r="H173" i="56"/>
  <c r="AH173" i="56" s="1"/>
  <c r="I173" i="56"/>
  <c r="T191" i="56" a="1"/>
  <c r="T191" i="56" s="1"/>
  <c r="O114" i="75" s="1"/>
  <c r="H191" i="56"/>
  <c r="AH191" i="56" s="1"/>
  <c r="V191" i="56" a="1"/>
  <c r="V191" i="56" s="1"/>
  <c r="I191" i="56"/>
  <c r="F191" i="56"/>
  <c r="G191" i="56"/>
  <c r="V175" i="56" a="1"/>
  <c r="V175" i="56" s="1"/>
  <c r="F175" i="56"/>
  <c r="G175" i="56"/>
  <c r="I175" i="56"/>
  <c r="T175" i="56" a="1"/>
  <c r="T175" i="56" s="1"/>
  <c r="O49" i="75" s="1"/>
  <c r="H175" i="56"/>
  <c r="AH175" i="56" s="1"/>
  <c r="I201" i="56"/>
  <c r="G201" i="56"/>
  <c r="T201" i="56" a="1"/>
  <c r="T201" i="56" s="1"/>
  <c r="O154" i="75" s="1"/>
  <c r="H201" i="56"/>
  <c r="AH201" i="56" s="1"/>
  <c r="F201" i="56"/>
  <c r="V201" i="56" a="1"/>
  <c r="V201" i="56" s="1"/>
  <c r="I189" i="56"/>
  <c r="G189" i="56"/>
  <c r="T189" i="56" a="1"/>
  <c r="T189" i="56" s="1"/>
  <c r="O104" i="75" s="1"/>
  <c r="H189" i="56"/>
  <c r="AH189" i="56" s="1"/>
  <c r="V189" i="56" a="1"/>
  <c r="V189" i="56" s="1"/>
  <c r="AD189" i="56" s="1"/>
  <c r="AF189" i="56" s="1"/>
  <c r="F189" i="56"/>
  <c r="V187" i="56" a="1"/>
  <c r="V187" i="56" s="1"/>
  <c r="F187" i="56"/>
  <c r="G187" i="56"/>
  <c r="G99" i="75" s="1"/>
  <c r="I187" i="56"/>
  <c r="T187" i="56" a="1"/>
  <c r="T187" i="56" s="1"/>
  <c r="O99" i="75" s="1"/>
  <c r="H187" i="56"/>
  <c r="H99" i="75" s="1"/>
  <c r="I180" i="56"/>
  <c r="V180" i="56" a="1"/>
  <c r="V180" i="56" s="1"/>
  <c r="G180" i="56"/>
  <c r="F180" i="56"/>
  <c r="T180" i="56" a="1"/>
  <c r="T180" i="56" s="1"/>
  <c r="O69" i="75" s="1"/>
  <c r="H180" i="56"/>
  <c r="AH180" i="56" s="1"/>
  <c r="F195" i="56"/>
  <c r="T195" i="56" a="1"/>
  <c r="T195" i="56" s="1"/>
  <c r="O129" i="75" s="1"/>
  <c r="H195" i="56"/>
  <c r="H129" i="75" s="1"/>
  <c r="I195" i="56"/>
  <c r="V195" i="56" a="1"/>
  <c r="V195" i="56" s="1"/>
  <c r="G195" i="56"/>
  <c r="G129" i="75" s="1"/>
  <c r="I192" i="56"/>
  <c r="V192" i="56" a="1"/>
  <c r="V192" i="56" s="1"/>
  <c r="G192" i="56"/>
  <c r="G119" i="75" s="1"/>
  <c r="F192" i="56"/>
  <c r="T192" i="56" a="1"/>
  <c r="T192" i="56" s="1"/>
  <c r="O119" i="75" s="1"/>
  <c r="H192" i="56"/>
  <c r="H119" i="75" s="1"/>
  <c r="I193" i="56"/>
  <c r="F193" i="56"/>
  <c r="T193" i="56" a="1"/>
  <c r="T193" i="56" s="1"/>
  <c r="H193" i="56"/>
  <c r="AH193" i="56" s="1"/>
  <c r="V193" i="56" a="1"/>
  <c r="V193" i="56" s="1"/>
  <c r="G193" i="56"/>
  <c r="F176" i="56"/>
  <c r="G176" i="56"/>
  <c r="T176" i="56" a="1"/>
  <c r="T176" i="56" s="1"/>
  <c r="O54" i="75" s="1"/>
  <c r="H176" i="56"/>
  <c r="AH176" i="56" s="1"/>
  <c r="I176" i="56"/>
  <c r="V176" i="56" a="1"/>
  <c r="V176" i="56" s="1"/>
  <c r="I168" i="56"/>
  <c r="F168" i="56"/>
  <c r="T168" i="56" a="1"/>
  <c r="T168" i="56" s="1"/>
  <c r="H168" i="56"/>
  <c r="AH168" i="56" s="1"/>
  <c r="G168" i="56"/>
  <c r="V168" i="56" a="1"/>
  <c r="V168" i="56" s="1"/>
  <c r="T172" i="56" a="1"/>
  <c r="T172" i="56" s="1"/>
  <c r="O39" i="75" s="1"/>
  <c r="H172" i="56"/>
  <c r="H39" i="75" s="1"/>
  <c r="I172" i="56"/>
  <c r="G172" i="56"/>
  <c r="G39" i="75" s="1"/>
  <c r="V172" i="56" a="1"/>
  <c r="V172" i="56" s="1"/>
  <c r="AD172" i="56" s="1"/>
  <c r="AF172" i="56" s="1"/>
  <c r="F172" i="56"/>
  <c r="G182" i="56"/>
  <c r="T182" i="56" a="1"/>
  <c r="T182" i="56" s="1"/>
  <c r="O79" i="75" s="1"/>
  <c r="H182" i="56"/>
  <c r="AH182" i="56" s="1"/>
  <c r="I182" i="56"/>
  <c r="V182" i="56" a="1"/>
  <c r="V182" i="56" s="1"/>
  <c r="F182" i="56"/>
  <c r="I205" i="56"/>
  <c r="F205" i="56"/>
  <c r="G205" i="56"/>
  <c r="T205" i="56" a="1"/>
  <c r="T205" i="56" s="1"/>
  <c r="O169" i="75" s="1"/>
  <c r="H205" i="56"/>
  <c r="AH205" i="56" s="1"/>
  <c r="V205" i="56" a="1"/>
  <c r="V205" i="56" s="1"/>
  <c r="T58" i="56" a="1"/>
  <c r="T58" i="56" s="1"/>
  <c r="O2" i="75" s="1"/>
  <c r="T71" i="56" a="1"/>
  <c r="T71" i="56" s="1"/>
  <c r="O57" i="75" s="1"/>
  <c r="G211" i="56"/>
  <c r="V211" i="56" a="1"/>
  <c r="V211" i="56" s="1"/>
  <c r="T211" i="56" a="1"/>
  <c r="T211" i="56" s="1"/>
  <c r="O194" i="75" s="1"/>
  <c r="H211" i="56"/>
  <c r="AH211" i="56" s="1"/>
  <c r="F211" i="56"/>
  <c r="I211" i="56"/>
  <c r="G185" i="56"/>
  <c r="V185" i="56" a="1"/>
  <c r="V185" i="56" s="1"/>
  <c r="H185" i="56"/>
  <c r="AH185" i="56" s="1"/>
  <c r="F185" i="56"/>
  <c r="I185" i="56"/>
  <c r="T185" i="56" a="1"/>
  <c r="T185" i="56" s="1"/>
  <c r="O89" i="75" s="1"/>
  <c r="I177" i="56"/>
  <c r="G177" i="56"/>
  <c r="T177" i="56" a="1"/>
  <c r="T177" i="56" s="1"/>
  <c r="O59" i="75" s="1"/>
  <c r="H177" i="56"/>
  <c r="AH177" i="56" s="1"/>
  <c r="F177" i="56"/>
  <c r="V177" i="56" a="1"/>
  <c r="V177" i="56" s="1"/>
  <c r="T166" i="56" a="1"/>
  <c r="T166" i="56" s="1"/>
  <c r="O14" i="75" s="1"/>
  <c r="H166" i="56"/>
  <c r="AH166" i="56" s="1"/>
  <c r="V166" i="56" a="1"/>
  <c r="V166" i="56" s="1"/>
  <c r="I166" i="56"/>
  <c r="G166" i="56"/>
  <c r="F166" i="56"/>
  <c r="T203" i="56" a="1"/>
  <c r="T203" i="56" s="1"/>
  <c r="H203" i="56"/>
  <c r="AH203" i="56" s="1"/>
  <c r="V203" i="56" a="1"/>
  <c r="V203" i="56" s="1"/>
  <c r="F203" i="56"/>
  <c r="G203" i="56"/>
  <c r="I203" i="56"/>
  <c r="F174" i="56"/>
  <c r="G174" i="56"/>
  <c r="T174" i="56" a="1"/>
  <c r="T174" i="56" s="1"/>
  <c r="O44" i="75" s="1"/>
  <c r="H174" i="56"/>
  <c r="AH174" i="56" s="1"/>
  <c r="I174" i="56"/>
  <c r="V174" i="56" a="1"/>
  <c r="V174" i="56" s="1"/>
  <c r="F207" i="56"/>
  <c r="T207" i="56" a="1"/>
  <c r="T207" i="56" s="1"/>
  <c r="O179" i="75" s="1"/>
  <c r="H207" i="56"/>
  <c r="AH207" i="56" s="1"/>
  <c r="I207" i="56"/>
  <c r="G207" i="56"/>
  <c r="V207" i="56" a="1"/>
  <c r="V207" i="56" s="1"/>
  <c r="G206" i="56"/>
  <c r="T206" i="56" a="1"/>
  <c r="T206" i="56" s="1"/>
  <c r="O174" i="75" s="1"/>
  <c r="H206" i="56"/>
  <c r="AH206" i="56" s="1"/>
  <c r="I206" i="56"/>
  <c r="V206" i="56" a="1"/>
  <c r="V206" i="56" s="1"/>
  <c r="F206" i="56"/>
  <c r="V202" i="56" a="1"/>
  <c r="V202" i="56" s="1"/>
  <c r="F202" i="56"/>
  <c r="G202" i="56"/>
  <c r="T202" i="56" a="1"/>
  <c r="T202" i="56" s="1"/>
  <c r="O159" i="75" s="1"/>
  <c r="H202" i="56"/>
  <c r="AH202" i="56" s="1"/>
  <c r="I202" i="56"/>
  <c r="F198" i="56"/>
  <c r="G198" i="56"/>
  <c r="T198" i="56" a="1"/>
  <c r="T198" i="56" s="1"/>
  <c r="H198" i="56"/>
  <c r="AH198" i="56" s="1"/>
  <c r="I198" i="56"/>
  <c r="V198" i="56" a="1"/>
  <c r="V198" i="56" s="1"/>
  <c r="T196" i="56" a="1"/>
  <c r="T196" i="56" s="1"/>
  <c r="O134" i="75" s="1"/>
  <c r="H196" i="56"/>
  <c r="H134" i="75" s="1"/>
  <c r="I196" i="56"/>
  <c r="G196" i="56"/>
  <c r="G134" i="75" s="1"/>
  <c r="V196" i="56" a="1"/>
  <c r="V196" i="56" s="1"/>
  <c r="F196" i="56"/>
  <c r="G197" i="56"/>
  <c r="G139" i="75" s="1"/>
  <c r="V197" i="56" a="1"/>
  <c r="V197" i="56" s="1"/>
  <c r="F197" i="56"/>
  <c r="T197" i="56" a="1"/>
  <c r="T197" i="56" s="1"/>
  <c r="O139" i="75" s="1"/>
  <c r="H197" i="56"/>
  <c r="H139" i="75" s="1"/>
  <c r="I197" i="56"/>
  <c r="I164" i="56"/>
  <c r="G164" i="56"/>
  <c r="G4" i="75" s="1"/>
  <c r="T164" i="56" a="1"/>
  <c r="T164" i="56" s="1"/>
  <c r="O4" i="75" s="1"/>
  <c r="H164" i="56"/>
  <c r="H4" i="75" s="1"/>
  <c r="V164" i="56" a="1"/>
  <c r="V164" i="56" s="1"/>
  <c r="F164" i="56"/>
  <c r="F212" i="56"/>
  <c r="G212" i="56"/>
  <c r="T212" i="56" a="1"/>
  <c r="T212" i="56" s="1"/>
  <c r="O199" i="75" s="1"/>
  <c r="H212" i="56"/>
  <c r="AH212" i="56" s="1"/>
  <c r="V212" i="56" a="1"/>
  <c r="V212" i="56" s="1"/>
  <c r="I212" i="56"/>
  <c r="F188" i="56"/>
  <c r="I188" i="56"/>
  <c r="G188" i="56"/>
  <c r="H188" i="56"/>
  <c r="AH188" i="56" s="1"/>
  <c r="V188" i="56" a="1"/>
  <c r="V188" i="56" s="1"/>
  <c r="T188" i="56" a="1"/>
  <c r="T188" i="56" s="1"/>
  <c r="T107" i="56" a="1"/>
  <c r="T107" i="56" s="1"/>
  <c r="T103" i="56" a="1"/>
  <c r="T103" i="56" s="1"/>
  <c r="O182" i="75" s="1"/>
  <c r="T102" i="56" a="1"/>
  <c r="T102" i="56" s="1"/>
  <c r="E166" i="56"/>
  <c r="AM47" i="56"/>
  <c r="AN47" i="56"/>
  <c r="AZ47" i="56"/>
  <c r="AO47" i="56"/>
  <c r="AP47" i="56"/>
  <c r="X47" i="56"/>
  <c r="V47" i="56"/>
  <c r="W47" i="56"/>
  <c r="Y47" i="56"/>
  <c r="AI47" i="56"/>
  <c r="E131" i="56"/>
  <c r="W131" i="56" s="1"/>
  <c r="P83" i="75" s="1"/>
  <c r="W48" i="56"/>
  <c r="X48" i="56"/>
  <c r="AI48" i="56"/>
  <c r="V48" i="56"/>
  <c r="Y48" i="56"/>
  <c r="AP48" i="56"/>
  <c r="AM48" i="56"/>
  <c r="AN48" i="56"/>
  <c r="AZ48" i="56"/>
  <c r="AO48" i="56"/>
  <c r="T98" i="56" a="1"/>
  <c r="T98" i="56" s="1"/>
  <c r="O162" i="75" s="1"/>
  <c r="T79" i="56" a="1"/>
  <c r="T79" i="56" s="1"/>
  <c r="O87" i="75" s="1"/>
  <c r="T80" i="56" a="1"/>
  <c r="T80" i="56" s="1"/>
  <c r="O92" i="75" s="1"/>
  <c r="T99" i="56" a="1"/>
  <c r="T99" i="56" s="1"/>
  <c r="O167" i="75" s="1"/>
  <c r="T97" i="56" a="1"/>
  <c r="T97" i="56" s="1"/>
  <c r="T84" i="56" a="1"/>
  <c r="T84" i="56" s="1"/>
  <c r="O107" i="75" s="1"/>
  <c r="T66" i="56" a="1"/>
  <c r="T66" i="56" s="1"/>
  <c r="O37" i="75" s="1"/>
  <c r="T64" i="56" a="1"/>
  <c r="T64" i="56" s="1"/>
  <c r="O27" i="75" s="1"/>
  <c r="T81" i="56" a="1"/>
  <c r="T81" i="56" s="1"/>
  <c r="O97" i="75" s="1"/>
  <c r="T62" i="56" a="1"/>
  <c r="T62" i="56" s="1"/>
  <c r="Z83" i="56"/>
  <c r="Q102" i="75" s="1"/>
  <c r="T92" i="56" a="1"/>
  <c r="T92" i="56" s="1"/>
  <c r="T78" i="56" a="1"/>
  <c r="T78" i="56" s="1"/>
  <c r="O82" i="75" s="1"/>
  <c r="T70" i="56" a="1"/>
  <c r="T70" i="56" s="1"/>
  <c r="O52" i="75" s="1"/>
  <c r="T76" i="56" a="1"/>
  <c r="T76" i="56" s="1"/>
  <c r="O77" i="75" s="1"/>
  <c r="T87" i="56" a="1"/>
  <c r="T87" i="56" s="1"/>
  <c r="T74" i="56" a="1"/>
  <c r="T74" i="56" s="1"/>
  <c r="O67" i="75" s="1"/>
  <c r="T67" i="56" a="1"/>
  <c r="T67" i="56" s="1"/>
  <c r="T59" i="56" a="1"/>
  <c r="T59" i="56" s="1"/>
  <c r="O7" i="75" s="1"/>
  <c r="T68" i="56" a="1"/>
  <c r="T68" i="56" s="1"/>
  <c r="O42" i="75" s="1"/>
  <c r="T94" i="56" a="1"/>
  <c r="T94" i="56" s="1"/>
  <c r="O147" i="75" s="1"/>
  <c r="T101" i="56" a="1"/>
  <c r="T101" i="56" s="1"/>
  <c r="O177" i="75" s="1"/>
  <c r="T63" i="56" a="1"/>
  <c r="T63" i="56" s="1"/>
  <c r="O22" i="75" s="1"/>
  <c r="T83" i="56" a="1"/>
  <c r="T83" i="56" s="1"/>
  <c r="O102" i="75" s="1"/>
  <c r="T88" i="56" a="1"/>
  <c r="T88" i="56" s="1"/>
  <c r="O122" i="75" s="1"/>
  <c r="T100" i="56" a="1"/>
  <c r="T100" i="56" s="1"/>
  <c r="O172" i="75" s="1"/>
  <c r="T91" i="56" a="1"/>
  <c r="T91" i="56" s="1"/>
  <c r="O137" i="75" s="1"/>
  <c r="T95" i="56" a="1"/>
  <c r="T95" i="56" s="1"/>
  <c r="O152" i="75" s="1"/>
  <c r="T73" i="56" a="1"/>
  <c r="T73" i="56" s="1"/>
  <c r="O62" i="75" s="1"/>
  <c r="T75" i="56" a="1"/>
  <c r="T75" i="56" s="1"/>
  <c r="O72" i="75" s="1"/>
  <c r="T69" i="56" a="1"/>
  <c r="T69" i="56" s="1"/>
  <c r="O47" i="75" s="1"/>
  <c r="T96" i="56" a="1"/>
  <c r="T96" i="56" s="1"/>
  <c r="O157" i="75" s="1"/>
  <c r="T61" i="56" a="1"/>
  <c r="T61" i="56" s="1"/>
  <c r="O17" i="75" s="1"/>
  <c r="T90" i="56" a="1"/>
  <c r="T90" i="56" s="1"/>
  <c r="O132" i="75" s="1"/>
  <c r="T60" i="56" a="1"/>
  <c r="T60" i="56" s="1"/>
  <c r="O12" i="75" s="1"/>
  <c r="T82" i="56" a="1"/>
  <c r="T82" i="56" s="1"/>
  <c r="T77" i="56" a="1"/>
  <c r="T77" i="56" s="1"/>
  <c r="T93" i="56" a="1"/>
  <c r="T93" i="56" s="1"/>
  <c r="O142" i="75" s="1"/>
  <c r="T85" i="56" a="1"/>
  <c r="T85" i="56" s="1"/>
  <c r="O112" i="75" s="1"/>
  <c r="T86" i="56" a="1"/>
  <c r="T86" i="56" s="1"/>
  <c r="O117" i="75" s="1"/>
  <c r="T65" i="56" a="1"/>
  <c r="T65" i="56" s="1"/>
  <c r="O32" i="75" s="1"/>
  <c r="O42" i="61"/>
  <c r="O26" i="61"/>
  <c r="O40" i="61"/>
  <c r="O34" i="61"/>
  <c r="O31" i="61"/>
  <c r="O36" i="61"/>
  <c r="O35" i="61"/>
  <c r="O37" i="61"/>
  <c r="O32" i="61"/>
  <c r="O33" i="61"/>
  <c r="O30" i="61"/>
  <c r="O25" i="61"/>
  <c r="O29" i="61"/>
  <c r="O24" i="61"/>
  <c r="O28" i="61"/>
  <c r="O38" i="61"/>
  <c r="O39" i="61"/>
  <c r="O27" i="61"/>
  <c r="D23" i="61"/>
  <c r="I33" i="61"/>
  <c r="M35" i="61"/>
  <c r="I36" i="61"/>
  <c r="G27" i="61"/>
  <c r="L42" i="61"/>
  <c r="E42" i="61"/>
  <c r="J30" i="61"/>
  <c r="F35" i="61"/>
  <c r="N34" i="61"/>
  <c r="M29" i="61"/>
  <c r="E38" i="61"/>
  <c r="L36" i="61"/>
  <c r="N29" i="61"/>
  <c r="H37" i="61"/>
  <c r="H27" i="61"/>
  <c r="J35" i="61"/>
  <c r="H38" i="61"/>
  <c r="G31" i="61"/>
  <c r="L28" i="61"/>
  <c r="F39" i="61"/>
  <c r="I29" i="61"/>
  <c r="K35" i="61"/>
  <c r="E28" i="61"/>
  <c r="M27" i="61"/>
  <c r="M41" i="61"/>
  <c r="G40" i="61"/>
  <c r="K41" i="61"/>
  <c r="F41" i="61"/>
  <c r="L41" i="61"/>
  <c r="N37" i="61"/>
  <c r="I35" i="61"/>
  <c r="E29" i="61"/>
  <c r="E41" i="61"/>
  <c r="E34" i="61"/>
  <c r="E27" i="61"/>
  <c r="L40" i="61"/>
  <c r="H41" i="61"/>
  <c r="F32" i="61"/>
  <c r="J28" i="61"/>
  <c r="E40" i="61"/>
  <c r="N35" i="61"/>
  <c r="H25" i="61"/>
  <c r="M39" i="61"/>
  <c r="L34" i="61"/>
  <c r="I42" i="61"/>
  <c r="F26" i="61"/>
  <c r="E37" i="61"/>
  <c r="N40" i="61"/>
  <c r="F36" i="61"/>
  <c r="I26" i="61"/>
  <c r="H31" i="61"/>
  <c r="I38" i="61"/>
  <c r="G29" i="61"/>
  <c r="K33" i="61"/>
  <c r="N31" i="61"/>
  <c r="H34" i="61"/>
  <c r="J40" i="61"/>
  <c r="M26" i="61"/>
  <c r="M40" i="61"/>
  <c r="K38" i="61"/>
  <c r="I32" i="61"/>
  <c r="L32" i="61"/>
  <c r="K27" i="61"/>
  <c r="H28" i="61"/>
  <c r="G26" i="61"/>
  <c r="M36" i="61"/>
  <c r="G36" i="61"/>
  <c r="N27" i="61"/>
  <c r="N28" i="61"/>
  <c r="N41" i="61"/>
  <c r="F34" i="61"/>
  <c r="J38" i="61"/>
  <c r="L29" i="61"/>
  <c r="G39" i="61"/>
  <c r="F25" i="61"/>
  <c r="K36" i="61"/>
  <c r="E33" i="61"/>
  <c r="G35" i="61"/>
  <c r="G42" i="61"/>
  <c r="J42" i="61"/>
  <c r="J32" i="61"/>
  <c r="N25" i="61"/>
  <c r="G33" i="61"/>
  <c r="H33" i="61"/>
  <c r="G30" i="61"/>
  <c r="N39" i="61"/>
  <c r="I41" i="61"/>
  <c r="H42" i="61"/>
  <c r="M42" i="61"/>
  <c r="N26" i="61"/>
  <c r="M32" i="61"/>
  <c r="M33" i="61"/>
  <c r="L27" i="61"/>
  <c r="E39" i="61"/>
  <c r="K34" i="61"/>
  <c r="E30" i="61"/>
  <c r="G25" i="61"/>
  <c r="L30" i="61"/>
  <c r="N33" i="61"/>
  <c r="M28" i="61"/>
  <c r="L33" i="61"/>
  <c r="E26" i="61"/>
  <c r="M30" i="61"/>
  <c r="F38" i="61"/>
  <c r="I31" i="61"/>
  <c r="J29" i="61"/>
  <c r="K29" i="61"/>
  <c r="L25" i="61"/>
  <c r="L26" i="61"/>
  <c r="L39" i="61"/>
  <c r="G41" i="61"/>
  <c r="F27" i="61"/>
  <c r="J27" i="61"/>
  <c r="G32" i="61"/>
  <c r="F30" i="61"/>
  <c r="M38" i="61"/>
  <c r="J31" i="61"/>
  <c r="G28" i="61"/>
  <c r="L35" i="61"/>
  <c r="H40" i="61"/>
  <c r="J26" i="61"/>
  <c r="E31" i="61"/>
  <c r="J34" i="61"/>
  <c r="I40" i="61"/>
  <c r="L37" i="61"/>
  <c r="L38" i="61"/>
  <c r="K32" i="61"/>
  <c r="H29" i="61"/>
  <c r="J39" i="61"/>
  <c r="N32" i="61"/>
  <c r="I34" i="61"/>
  <c r="E35" i="61"/>
  <c r="H32" i="61"/>
  <c r="J41" i="61"/>
  <c r="H30" i="61"/>
  <c r="F28" i="61"/>
  <c r="I30" i="61"/>
  <c r="K28" i="61"/>
  <c r="F29" i="61"/>
  <c r="L31" i="61"/>
  <c r="K26" i="61"/>
  <c r="I25" i="61"/>
  <c r="K25" i="61"/>
  <c r="K39" i="61"/>
  <c r="F31" i="61"/>
  <c r="M34" i="61"/>
  <c r="G38" i="61"/>
  <c r="I28" i="61"/>
  <c r="K30" i="61"/>
  <c r="K31" i="61"/>
  <c r="J25" i="61"/>
  <c r="N30" i="61"/>
  <c r="E32" i="61"/>
  <c r="M25" i="61"/>
  <c r="F37" i="61"/>
  <c r="I39" i="61"/>
  <c r="F42" i="61"/>
  <c r="I27" i="61"/>
  <c r="I37" i="61"/>
  <c r="F40" i="61"/>
  <c r="F33" i="61"/>
  <c r="K40" i="61"/>
  <c r="N38" i="61"/>
  <c r="E36" i="61"/>
  <c r="H26" i="61"/>
  <c r="K42" i="61"/>
  <c r="J36" i="61"/>
  <c r="J37" i="61"/>
  <c r="N42" i="61"/>
  <c r="G34" i="61"/>
  <c r="E25" i="61"/>
  <c r="M37" i="61"/>
  <c r="H39" i="61"/>
  <c r="K37" i="61"/>
  <c r="G37" i="61"/>
  <c r="N36" i="61"/>
  <c r="H35" i="61"/>
  <c r="J33" i="61"/>
  <c r="M31" i="61"/>
  <c r="H36" i="61"/>
  <c r="N24" i="61"/>
  <c r="I24" i="61"/>
  <c r="M24" i="61"/>
  <c r="H24" i="61"/>
  <c r="G24" i="61"/>
  <c r="F24" i="61"/>
  <c r="K24" i="61"/>
  <c r="E24" i="61"/>
  <c r="J24" i="61"/>
  <c r="L24" i="61"/>
  <c r="AO5" i="46" a="1"/>
  <c r="AO5" i="46" s="1"/>
  <c r="AS5" i="46" a="1"/>
  <c r="AS5" i="46" s="1"/>
  <c r="M21" i="58"/>
  <c r="P21" i="26"/>
  <c r="N21" i="58"/>
  <c r="O21" i="58"/>
  <c r="P21" i="58"/>
  <c r="AM4" i="59" a="1"/>
  <c r="AM4" i="59" s="1"/>
  <c r="AS4" i="59" a="1"/>
  <c r="AS4" i="59" s="1"/>
  <c r="Q21" i="26"/>
  <c r="E132" i="56"/>
  <c r="AM27" i="56"/>
  <c r="AN27" i="56"/>
  <c r="AZ27" i="56"/>
  <c r="AO27" i="56"/>
  <c r="AP27" i="56"/>
  <c r="AI27" i="56"/>
  <c r="W27" i="56"/>
  <c r="X27" i="56"/>
  <c r="V27" i="56"/>
  <c r="Y27" i="56"/>
  <c r="E208" i="56"/>
  <c r="Z90" i="56"/>
  <c r="Q132" i="75" s="1"/>
  <c r="Z89" i="56"/>
  <c r="Q127" i="75" s="1"/>
  <c r="E5" i="53"/>
  <c r="Z99" i="56"/>
  <c r="Q167" i="75" s="1"/>
  <c r="Z98" i="56"/>
  <c r="Q162" i="75" s="1"/>
  <c r="AF17" i="46"/>
  <c r="K36" i="27"/>
  <c r="J36" i="27"/>
  <c r="V43" i="46"/>
  <c r="V30" i="46"/>
  <c r="C5" i="53"/>
  <c r="K20" i="53"/>
  <c r="I20" i="53"/>
  <c r="C20" i="53"/>
  <c r="E20" i="53"/>
  <c r="V37" i="56"/>
  <c r="AI37" i="56"/>
  <c r="X37" i="56"/>
  <c r="W37" i="56"/>
  <c r="Y37" i="56"/>
  <c r="E124" i="56"/>
  <c r="W124" i="56" s="1"/>
  <c r="E118" i="56"/>
  <c r="W118" i="56" s="1"/>
  <c r="E199" i="56"/>
  <c r="E189" i="56"/>
  <c r="AZ34" i="56"/>
  <c r="AO34" i="56"/>
  <c r="AM34" i="56"/>
  <c r="AN34" i="56"/>
  <c r="AP34" i="56"/>
  <c r="V40" i="56"/>
  <c r="AI40" i="56"/>
  <c r="W40" i="56"/>
  <c r="Y40" i="56"/>
  <c r="X40" i="56"/>
  <c r="E134" i="56"/>
  <c r="W134" i="56" s="1"/>
  <c r="P98" i="75" s="1"/>
  <c r="E204" i="56"/>
  <c r="E141" i="56"/>
  <c r="W141" i="56" s="1"/>
  <c r="P123" i="75" s="1"/>
  <c r="AM31" i="56"/>
  <c r="AZ31" i="56"/>
  <c r="AN31" i="56"/>
  <c r="AO31" i="56"/>
  <c r="AP31" i="56"/>
  <c r="W38" i="56"/>
  <c r="AI38" i="56"/>
  <c r="Y38" i="56"/>
  <c r="V38" i="56"/>
  <c r="X38" i="56"/>
  <c r="AI36" i="56"/>
  <c r="Y36" i="56"/>
  <c r="X36" i="56"/>
  <c r="V36" i="56"/>
  <c r="W36" i="56"/>
  <c r="Y11" i="56"/>
  <c r="AI11" i="56"/>
  <c r="W11" i="56"/>
  <c r="V11" i="56"/>
  <c r="X11" i="56"/>
  <c r="E129" i="56"/>
  <c r="AO17" i="56"/>
  <c r="AZ17" i="56"/>
  <c r="AN17" i="56"/>
  <c r="AM17" i="56"/>
  <c r="AP17" i="56"/>
  <c r="AP37" i="56"/>
  <c r="AZ37" i="56"/>
  <c r="AM37" i="56"/>
  <c r="AN37" i="56"/>
  <c r="AO37" i="56"/>
  <c r="E175" i="56"/>
  <c r="E111" i="56"/>
  <c r="W111" i="56" s="1"/>
  <c r="P3" i="75" s="1"/>
  <c r="AZ43" i="56"/>
  <c r="AN43" i="56"/>
  <c r="AO43" i="56"/>
  <c r="AP43" i="56"/>
  <c r="AM43" i="56"/>
  <c r="E125" i="56"/>
  <c r="W125" i="56" s="1"/>
  <c r="E144" i="56"/>
  <c r="E184" i="56"/>
  <c r="AM26" i="56"/>
  <c r="AP26" i="56"/>
  <c r="AZ26" i="56"/>
  <c r="AN26" i="56"/>
  <c r="AO26" i="56"/>
  <c r="V12" i="56"/>
  <c r="AI12" i="56"/>
  <c r="W12" i="56"/>
  <c r="X12" i="56"/>
  <c r="Y12" i="56"/>
  <c r="E191" i="56"/>
  <c r="E150" i="56"/>
  <c r="E188" i="56"/>
  <c r="V32" i="56"/>
  <c r="W32" i="56"/>
  <c r="X32" i="56"/>
  <c r="Y32" i="56"/>
  <c r="AI32" i="56"/>
  <c r="Y22" i="56"/>
  <c r="AI22" i="56"/>
  <c r="W22" i="56"/>
  <c r="X22" i="56"/>
  <c r="V22" i="56"/>
  <c r="E168" i="56"/>
  <c r="E164" i="56"/>
  <c r="E114" i="56"/>
  <c r="AN40" i="56"/>
  <c r="AZ40" i="56"/>
  <c r="AM40" i="56"/>
  <c r="AO40" i="56"/>
  <c r="AP40" i="56"/>
  <c r="AZ38" i="56"/>
  <c r="AO38" i="56"/>
  <c r="AP38" i="56"/>
  <c r="AM38" i="56"/>
  <c r="AN38" i="56"/>
  <c r="AM11" i="56"/>
  <c r="AN11" i="56"/>
  <c r="AZ11" i="56"/>
  <c r="AP11" i="56"/>
  <c r="AO11" i="56"/>
  <c r="E142" i="56"/>
  <c r="W142" i="56" s="1"/>
  <c r="E113" i="56"/>
  <c r="E169" i="56"/>
  <c r="E181" i="56"/>
  <c r="E197" i="56"/>
  <c r="E128" i="56"/>
  <c r="W128" i="56" s="1"/>
  <c r="E192" i="56"/>
  <c r="AN12" i="56"/>
  <c r="AM12" i="56"/>
  <c r="AO12" i="56"/>
  <c r="AZ12" i="56"/>
  <c r="AP12" i="56"/>
  <c r="E138" i="56"/>
  <c r="E203" i="56"/>
  <c r="Y33" i="56"/>
  <c r="V33" i="56"/>
  <c r="X33" i="56"/>
  <c r="AI33" i="56"/>
  <c r="W33" i="56"/>
  <c r="E135" i="56"/>
  <c r="W135" i="56" s="1"/>
  <c r="E171" i="56"/>
  <c r="AN22" i="56"/>
  <c r="AZ22" i="56"/>
  <c r="AP22" i="56"/>
  <c r="AM22" i="56"/>
  <c r="AO22" i="56"/>
  <c r="V6" i="56"/>
  <c r="X6" i="56"/>
  <c r="W6" i="56"/>
  <c r="AI6" i="56"/>
  <c r="Y6" i="56"/>
  <c r="W4" i="56"/>
  <c r="V4" i="56"/>
  <c r="X4" i="56"/>
  <c r="U54" i="56"/>
  <c r="Y4" i="56"/>
  <c r="AI4" i="56"/>
  <c r="AM7" i="56"/>
  <c r="AP7" i="56"/>
  <c r="AN7" i="56"/>
  <c r="AO7" i="56"/>
  <c r="AZ7" i="56"/>
  <c r="E153" i="56"/>
  <c r="E119" i="56"/>
  <c r="AI43" i="56"/>
  <c r="X43" i="56"/>
  <c r="W43" i="56"/>
  <c r="V43" i="56"/>
  <c r="Y43" i="56"/>
  <c r="AN32" i="56"/>
  <c r="AP32" i="56"/>
  <c r="AO32" i="56"/>
  <c r="AM32" i="56"/>
  <c r="AZ32" i="56"/>
  <c r="X18" i="56"/>
  <c r="AI18" i="56"/>
  <c r="Y18" i="56"/>
  <c r="W18" i="56"/>
  <c r="V18" i="56"/>
  <c r="X35" i="56"/>
  <c r="Y35" i="56"/>
  <c r="W35" i="56"/>
  <c r="V35" i="56"/>
  <c r="AI35" i="56"/>
  <c r="AI21" i="56"/>
  <c r="V21" i="56"/>
  <c r="Y21" i="56"/>
  <c r="X21" i="56"/>
  <c r="W21" i="56"/>
  <c r="E139" i="56"/>
  <c r="W139" i="56" s="1"/>
  <c r="P118" i="75" s="1"/>
  <c r="Y29" i="56"/>
  <c r="X29" i="56"/>
  <c r="W29" i="56"/>
  <c r="AI29" i="56"/>
  <c r="V29" i="56"/>
  <c r="AI41" i="56"/>
  <c r="Y41" i="56"/>
  <c r="X41" i="56"/>
  <c r="W41" i="56"/>
  <c r="V41" i="56"/>
  <c r="AP33" i="56"/>
  <c r="AN33" i="56"/>
  <c r="AZ33" i="56"/>
  <c r="AO33" i="56"/>
  <c r="AM33" i="56"/>
  <c r="E115" i="56"/>
  <c r="E177" i="56"/>
  <c r="AM6" i="56"/>
  <c r="AN6" i="56"/>
  <c r="AP6" i="56"/>
  <c r="AZ6" i="56"/>
  <c r="AO6" i="56"/>
  <c r="AM4" i="56"/>
  <c r="AP4" i="56"/>
  <c r="AO4" i="56"/>
  <c r="AZ4" i="56"/>
  <c r="AN4" i="56"/>
  <c r="AL54" i="56"/>
  <c r="V7" i="56"/>
  <c r="Y7" i="56"/>
  <c r="W7" i="56"/>
  <c r="AI7" i="56"/>
  <c r="X7" i="56"/>
  <c r="E206" i="56"/>
  <c r="E195" i="56"/>
  <c r="W26" i="56"/>
  <c r="V26" i="56"/>
  <c r="AI26" i="56"/>
  <c r="Y26" i="56"/>
  <c r="X26" i="56"/>
  <c r="AN18" i="56"/>
  <c r="AM18" i="56"/>
  <c r="AZ18" i="56"/>
  <c r="AO18" i="56"/>
  <c r="AP18" i="56"/>
  <c r="AN35" i="56"/>
  <c r="AP35" i="56"/>
  <c r="AM35" i="56"/>
  <c r="AZ35" i="56"/>
  <c r="AO35" i="56"/>
  <c r="AM21" i="56"/>
  <c r="AP21" i="56"/>
  <c r="AO21" i="56"/>
  <c r="AN21" i="56"/>
  <c r="AZ21" i="56"/>
  <c r="E167" i="56"/>
  <c r="AN29" i="56"/>
  <c r="AZ29" i="56"/>
  <c r="AP29" i="56"/>
  <c r="AM29" i="56"/>
  <c r="AO29" i="56"/>
  <c r="AP41" i="56"/>
  <c r="AN41" i="56"/>
  <c r="AZ41" i="56"/>
  <c r="AM41" i="56"/>
  <c r="AO41" i="56"/>
  <c r="W25" i="56"/>
  <c r="AI25" i="56"/>
  <c r="X25" i="56"/>
  <c r="V25" i="56"/>
  <c r="Y25" i="56"/>
  <c r="AI8" i="56"/>
  <c r="Y8" i="56"/>
  <c r="W8" i="56"/>
  <c r="V8" i="56"/>
  <c r="X8" i="56"/>
  <c r="E121" i="56"/>
  <c r="W121" i="56" s="1"/>
  <c r="E154" i="56"/>
  <c r="E148" i="56"/>
  <c r="E122" i="56"/>
  <c r="W122" i="56" s="1"/>
  <c r="X44" i="56"/>
  <c r="W44" i="56"/>
  <c r="V44" i="56"/>
  <c r="AI44" i="56"/>
  <c r="Y44" i="56"/>
  <c r="AI17" i="56"/>
  <c r="Y17" i="56"/>
  <c r="W17" i="56"/>
  <c r="X17" i="56"/>
  <c r="V17" i="56"/>
  <c r="AO36" i="56"/>
  <c r="AZ36" i="56"/>
  <c r="AM36" i="56"/>
  <c r="AN36" i="56"/>
  <c r="AP36" i="56"/>
  <c r="AO42" i="56"/>
  <c r="AM42" i="56"/>
  <c r="AZ42" i="56"/>
  <c r="AN42" i="56"/>
  <c r="AP42" i="56"/>
  <c r="E212" i="56"/>
  <c r="E179" i="56"/>
  <c r="E117" i="56"/>
  <c r="E176" i="56"/>
  <c r="Y30" i="56"/>
  <c r="W30" i="56"/>
  <c r="AI30" i="56"/>
  <c r="V30" i="56"/>
  <c r="X30" i="56"/>
  <c r="E112" i="56"/>
  <c r="E186" i="56"/>
  <c r="E211" i="56"/>
  <c r="E126" i="56"/>
  <c r="W126" i="56" s="1"/>
  <c r="P63" i="75" s="1"/>
  <c r="AO25" i="56"/>
  <c r="AP25" i="56"/>
  <c r="AZ25" i="56"/>
  <c r="AM25" i="56"/>
  <c r="AN25" i="56"/>
  <c r="AZ8" i="56"/>
  <c r="AM8" i="56"/>
  <c r="AN8" i="56"/>
  <c r="AO8" i="56"/>
  <c r="AP8" i="56"/>
  <c r="X14" i="56"/>
  <c r="V14" i="56"/>
  <c r="Y14" i="56"/>
  <c r="AI14" i="56"/>
  <c r="W14" i="56"/>
  <c r="E207" i="56"/>
  <c r="E201" i="56"/>
  <c r="E178" i="56"/>
  <c r="AN44" i="56"/>
  <c r="AO44" i="56"/>
  <c r="AP44" i="56"/>
  <c r="AZ44" i="56"/>
  <c r="AM44" i="56"/>
  <c r="Y42" i="56"/>
  <c r="AI42" i="56"/>
  <c r="X42" i="56"/>
  <c r="W42" i="56"/>
  <c r="V42" i="56"/>
  <c r="E160" i="56"/>
  <c r="E123" i="56"/>
  <c r="E173" i="56"/>
  <c r="E120" i="56"/>
  <c r="AM30" i="56"/>
  <c r="AP30" i="56"/>
  <c r="AZ30" i="56"/>
  <c r="AO30" i="56"/>
  <c r="AN30" i="56"/>
  <c r="V5" i="56"/>
  <c r="AI5" i="56"/>
  <c r="W5" i="56"/>
  <c r="X5" i="56"/>
  <c r="Y5" i="56"/>
  <c r="E133" i="56"/>
  <c r="W133" i="56" s="1"/>
  <c r="P93" i="75" s="1"/>
  <c r="E155" i="56"/>
  <c r="E182" i="56"/>
  <c r="E190" i="56"/>
  <c r="E183" i="56"/>
  <c r="AN14" i="56"/>
  <c r="AZ14" i="56"/>
  <c r="AM14" i="56"/>
  <c r="AP14" i="56"/>
  <c r="AO14" i="56"/>
  <c r="AI45" i="56"/>
  <c r="Y45" i="56"/>
  <c r="W45" i="56"/>
  <c r="X45" i="56"/>
  <c r="V45" i="56"/>
  <c r="AI39" i="56"/>
  <c r="W39" i="56"/>
  <c r="V39" i="56"/>
  <c r="X39" i="56"/>
  <c r="Y39" i="56"/>
  <c r="W15" i="56"/>
  <c r="X15" i="56"/>
  <c r="Y15" i="56"/>
  <c r="AI15" i="56"/>
  <c r="V15" i="56"/>
  <c r="E172" i="56"/>
  <c r="C114" i="55" s="1"/>
  <c r="E136" i="56"/>
  <c r="W136" i="56" s="1"/>
  <c r="AI24" i="56"/>
  <c r="V24" i="56"/>
  <c r="X24" i="56"/>
  <c r="Y24" i="56"/>
  <c r="W24" i="56"/>
  <c r="X53" i="56"/>
  <c r="AI53" i="56"/>
  <c r="W53" i="56"/>
  <c r="Y53" i="56"/>
  <c r="V53" i="56"/>
  <c r="V16" i="56"/>
  <c r="X16" i="56"/>
  <c r="AI16" i="56"/>
  <c r="W16" i="56"/>
  <c r="Y16" i="56"/>
  <c r="Y10" i="56"/>
  <c r="AI10" i="56"/>
  <c r="V10" i="56"/>
  <c r="W10" i="56"/>
  <c r="X10" i="56"/>
  <c r="Y13" i="56"/>
  <c r="V13" i="56"/>
  <c r="W13" i="56"/>
  <c r="AI13" i="56"/>
  <c r="X13" i="56"/>
  <c r="E196" i="56"/>
  <c r="AM5" i="56"/>
  <c r="AZ5" i="56"/>
  <c r="AN5" i="56"/>
  <c r="AP5" i="56"/>
  <c r="AO5" i="56"/>
  <c r="W23" i="56"/>
  <c r="AI23" i="56"/>
  <c r="V23" i="56"/>
  <c r="Y23" i="56"/>
  <c r="X23" i="56"/>
  <c r="AZ19" i="56"/>
  <c r="AM19" i="56"/>
  <c r="AN19" i="56"/>
  <c r="AO19" i="56"/>
  <c r="AP19" i="56"/>
  <c r="E137" i="56"/>
  <c r="W137" i="56" s="1"/>
  <c r="E127" i="56"/>
  <c r="W127" i="56" s="1"/>
  <c r="E140" i="56"/>
  <c r="W140" i="56" s="1"/>
  <c r="AN45" i="56"/>
  <c r="AO45" i="56"/>
  <c r="AZ45" i="56"/>
  <c r="AP45" i="56"/>
  <c r="AM45" i="56"/>
  <c r="AP39" i="56"/>
  <c r="AZ39" i="56"/>
  <c r="AM39" i="56"/>
  <c r="AN39" i="56"/>
  <c r="AO39" i="56"/>
  <c r="AM15" i="56"/>
  <c r="AN15" i="56"/>
  <c r="AP15" i="56"/>
  <c r="AZ15" i="56"/>
  <c r="AO15" i="56"/>
  <c r="E116" i="56"/>
  <c r="W116" i="56" s="1"/>
  <c r="P23" i="75" s="1"/>
  <c r="E194" i="56"/>
  <c r="E185" i="56"/>
  <c r="AP53" i="56"/>
  <c r="AM53" i="56"/>
  <c r="AO53" i="56"/>
  <c r="AZ53" i="56"/>
  <c r="AN53" i="56"/>
  <c r="AP16" i="56"/>
  <c r="AN16" i="56"/>
  <c r="AZ16" i="56"/>
  <c r="AM16" i="56"/>
  <c r="AO16" i="56"/>
  <c r="AP10" i="56"/>
  <c r="AM10" i="56"/>
  <c r="AN10" i="56"/>
  <c r="AZ10" i="56"/>
  <c r="AO10" i="56"/>
  <c r="AZ13" i="56"/>
  <c r="AM13" i="56"/>
  <c r="AN13" i="56"/>
  <c r="AO13" i="56"/>
  <c r="AP13" i="56"/>
  <c r="E143" i="56"/>
  <c r="W143" i="56" s="1"/>
  <c r="P133" i="75" s="1"/>
  <c r="E202" i="56"/>
  <c r="AO23" i="56"/>
  <c r="AN23" i="56"/>
  <c r="AP23" i="56"/>
  <c r="AZ23" i="56"/>
  <c r="AM23" i="56"/>
  <c r="W46" i="56"/>
  <c r="V46" i="56"/>
  <c r="X46" i="56"/>
  <c r="Y46" i="56"/>
  <c r="AI46" i="56"/>
  <c r="AI19" i="56"/>
  <c r="W19" i="56"/>
  <c r="X19" i="56"/>
  <c r="Y19" i="56"/>
  <c r="V19" i="56"/>
  <c r="AI28" i="56"/>
  <c r="V28" i="56"/>
  <c r="W28" i="56"/>
  <c r="Y28" i="56"/>
  <c r="X28" i="56"/>
  <c r="AI20" i="56"/>
  <c r="V20" i="56"/>
  <c r="W20" i="56"/>
  <c r="Y20" i="56"/>
  <c r="X20" i="56"/>
  <c r="E193" i="56"/>
  <c r="E200" i="56"/>
  <c r="E198" i="56"/>
  <c r="E205" i="56"/>
  <c r="AI9" i="56"/>
  <c r="V9" i="56"/>
  <c r="Y9" i="56"/>
  <c r="X9" i="56"/>
  <c r="W9" i="56"/>
  <c r="AM24" i="56"/>
  <c r="AP24" i="56"/>
  <c r="AZ24" i="56"/>
  <c r="AN24" i="56"/>
  <c r="AO24" i="56"/>
  <c r="E180" i="56"/>
  <c r="C122" i="55" s="1"/>
  <c r="E174" i="56"/>
  <c r="E146" i="56"/>
  <c r="X34" i="56"/>
  <c r="V34" i="56"/>
  <c r="Y34" i="56"/>
  <c r="W34" i="56"/>
  <c r="AI34" i="56"/>
  <c r="E149" i="56"/>
  <c r="E187" i="56"/>
  <c r="AM46" i="56"/>
  <c r="AZ46" i="56"/>
  <c r="AN46" i="56"/>
  <c r="AO46" i="56"/>
  <c r="AP46" i="56"/>
  <c r="E151" i="56"/>
  <c r="AM28" i="56"/>
  <c r="AO28" i="56"/>
  <c r="AN28" i="56"/>
  <c r="AZ28" i="56"/>
  <c r="AP28" i="56"/>
  <c r="AZ20" i="56"/>
  <c r="AM20" i="56"/>
  <c r="AN20" i="56"/>
  <c r="AO20" i="56"/>
  <c r="AP20" i="56"/>
  <c r="AI31" i="56"/>
  <c r="W31" i="56"/>
  <c r="X31" i="56"/>
  <c r="Y31" i="56"/>
  <c r="V31" i="56"/>
  <c r="E147" i="56"/>
  <c r="E145" i="56"/>
  <c r="E152" i="56"/>
  <c r="AM9" i="56"/>
  <c r="AN9" i="56"/>
  <c r="AO9" i="56"/>
  <c r="AP9" i="56"/>
  <c r="AZ9" i="56"/>
  <c r="V25" i="46"/>
  <c r="V35" i="46"/>
  <c r="AF43" i="46"/>
  <c r="AF10" i="46"/>
  <c r="AF45" i="46"/>
  <c r="AF30" i="46"/>
  <c r="AF35" i="46"/>
  <c r="AF8" i="46"/>
  <c r="AF7" i="46"/>
  <c r="AF41" i="46"/>
  <c r="AF42" i="46"/>
  <c r="AF33" i="46"/>
  <c r="AF48" i="46"/>
  <c r="V46" i="46"/>
  <c r="AF4" i="46"/>
  <c r="AF25" i="46"/>
  <c r="AF22" i="46"/>
  <c r="AF40" i="46"/>
  <c r="AF32" i="46"/>
  <c r="AF50" i="46"/>
  <c r="AF18" i="46"/>
  <c r="V38" i="46"/>
  <c r="AF6" i="46"/>
  <c r="AF46" i="46"/>
  <c r="AF34" i="46"/>
  <c r="V37" i="46"/>
  <c r="AF15" i="46"/>
  <c r="AF36" i="46"/>
  <c r="AF21" i="46"/>
  <c r="AF9" i="46"/>
  <c r="AF49" i="46"/>
  <c r="AF3" i="46"/>
  <c r="AF23" i="46"/>
  <c r="AF47" i="46"/>
  <c r="AF29" i="46"/>
  <c r="AF27" i="46"/>
  <c r="AF26" i="46"/>
  <c r="AF5" i="46"/>
  <c r="AF24" i="46"/>
  <c r="AF11" i="46"/>
  <c r="AF20" i="46"/>
  <c r="AF37" i="46"/>
  <c r="AF14" i="46"/>
  <c r="AF38" i="46"/>
  <c r="AF39" i="46"/>
  <c r="AF16" i="46"/>
  <c r="AF51" i="46"/>
  <c r="V6" i="46"/>
  <c r="V27" i="46"/>
  <c r="V26" i="46"/>
  <c r="V5" i="46"/>
  <c r="V11" i="46"/>
  <c r="V20" i="46"/>
  <c r="V39" i="46"/>
  <c r="V34" i="46"/>
  <c r="V15" i="46"/>
  <c r="V19" i="46"/>
  <c r="V21" i="46"/>
  <c r="V9" i="46"/>
  <c r="V49" i="46"/>
  <c r="V3" i="46"/>
  <c r="V32" i="46"/>
  <c r="V50" i="46"/>
  <c r="V29" i="46"/>
  <c r="V48" i="46"/>
  <c r="V45" i="46"/>
  <c r="V16" i="46"/>
  <c r="V51" i="46"/>
  <c r="V10" i="46"/>
  <c r="V36" i="46"/>
  <c r="V4" i="46"/>
  <c r="V8" i="46"/>
  <c r="V22" i="46"/>
  <c r="V7" i="46"/>
  <c r="V40" i="46"/>
  <c r="V23" i="46"/>
  <c r="V41" i="46"/>
  <c r="V42" i="46"/>
  <c r="V18" i="46"/>
  <c r="V33" i="46"/>
  <c r="V47" i="46"/>
  <c r="E52" i="48"/>
  <c r="F52" i="48"/>
  <c r="D52" i="48"/>
  <c r="C52" i="48"/>
  <c r="K17" i="27"/>
  <c r="J17" i="27"/>
  <c r="J15" i="27"/>
  <c r="K15" i="27"/>
  <c r="V30" i="27"/>
  <c r="W30" i="27"/>
  <c r="J31" i="27"/>
  <c r="K31" i="27"/>
  <c r="V16" i="27"/>
  <c r="W16" i="27"/>
  <c r="K5" i="27"/>
  <c r="J5" i="27"/>
  <c r="W33" i="27"/>
  <c r="V33" i="27"/>
  <c r="K34" i="27"/>
  <c r="J34" i="27"/>
  <c r="K10" i="27"/>
  <c r="J10" i="27"/>
  <c r="V28" i="27"/>
  <c r="W28" i="27"/>
  <c r="V5" i="27"/>
  <c r="W5" i="27"/>
  <c r="J38" i="27"/>
  <c r="K38" i="27"/>
  <c r="K12" i="27"/>
  <c r="J12" i="27"/>
  <c r="W31" i="27"/>
  <c r="V31" i="27"/>
  <c r="W39" i="27"/>
  <c r="V39" i="27"/>
  <c r="V9" i="27"/>
  <c r="W9" i="27"/>
  <c r="J14" i="27"/>
  <c r="K14" i="27"/>
  <c r="V34" i="27"/>
  <c r="W34" i="27"/>
  <c r="K35" i="27"/>
  <c r="J35" i="27"/>
  <c r="J28" i="27"/>
  <c r="K28" i="27"/>
  <c r="W13" i="27"/>
  <c r="V13" i="27"/>
  <c r="V6" i="27"/>
  <c r="W6" i="27"/>
  <c r="J21" i="27"/>
  <c r="K21" i="27"/>
  <c r="K19" i="27"/>
  <c r="J19" i="27"/>
  <c r="W17" i="27"/>
  <c r="V17" i="27"/>
  <c r="V10" i="27"/>
  <c r="W10" i="27"/>
  <c r="J11" i="27"/>
  <c r="K11" i="27"/>
  <c r="K9" i="27"/>
  <c r="J9" i="27"/>
  <c r="K7" i="27"/>
  <c r="J7" i="27"/>
  <c r="W29" i="27"/>
  <c r="V29" i="27"/>
  <c r="W14" i="27"/>
  <c r="V14" i="27"/>
  <c r="V7" i="27"/>
  <c r="W7" i="27"/>
  <c r="W35" i="27"/>
  <c r="V35" i="27"/>
  <c r="W32" i="27"/>
  <c r="V32" i="27"/>
  <c r="J25" i="27"/>
  <c r="K25" i="27"/>
  <c r="W26" i="27"/>
  <c r="V26" i="27"/>
  <c r="V11" i="27"/>
  <c r="W11" i="27"/>
  <c r="K20" i="27"/>
  <c r="J20" i="27"/>
  <c r="K32" i="27"/>
  <c r="J32" i="27"/>
  <c r="J29" i="27"/>
  <c r="K29" i="27"/>
  <c r="W37" i="27"/>
  <c r="V37" i="27"/>
  <c r="W15" i="27"/>
  <c r="V15" i="27"/>
  <c r="K8" i="27"/>
  <c r="J8" i="27"/>
  <c r="J18" i="27"/>
  <c r="K18" i="27"/>
  <c r="J16" i="27"/>
  <c r="K16" i="27"/>
  <c r="K26" i="27"/>
  <c r="J26" i="27"/>
  <c r="V27" i="27"/>
  <c r="W27" i="27"/>
  <c r="V4" i="27"/>
  <c r="W4" i="27"/>
  <c r="J6" i="27"/>
  <c r="K6" i="27"/>
  <c r="K4" i="27"/>
  <c r="J4" i="27"/>
  <c r="K30" i="27"/>
  <c r="J30" i="27"/>
  <c r="V38" i="27"/>
  <c r="W38" i="27"/>
  <c r="V8" i="27"/>
  <c r="W8" i="27"/>
  <c r="W36" i="27"/>
  <c r="V36" i="27"/>
  <c r="J33" i="27"/>
  <c r="K33" i="27"/>
  <c r="J13" i="27"/>
  <c r="K13" i="27"/>
  <c r="J27" i="27"/>
  <c r="K27" i="27"/>
  <c r="V12" i="27"/>
  <c r="W12" i="27"/>
  <c r="K37" i="27"/>
  <c r="J37" i="27"/>
  <c r="K3" i="26"/>
  <c r="K4" i="26" s="1"/>
  <c r="K5" i="26" s="1"/>
  <c r="K6" i="26" s="1"/>
  <c r="K7" i="26" s="1"/>
  <c r="K8" i="26" s="1"/>
  <c r="K9" i="26" s="1"/>
  <c r="K10" i="26" s="1"/>
  <c r="K11" i="26" s="1"/>
  <c r="K12" i="26" s="1"/>
  <c r="K13" i="26" s="1"/>
  <c r="K14" i="26" s="1"/>
  <c r="K15" i="26" s="1"/>
  <c r="K16" i="26" s="1"/>
  <c r="K17" i="26" s="1"/>
  <c r="K18" i="26" s="1"/>
  <c r="K19" i="26" s="1"/>
  <c r="K20" i="26" s="1"/>
  <c r="J3" i="26"/>
  <c r="J4" i="26" s="1"/>
  <c r="J5" i="26" s="1"/>
  <c r="J6" i="26" s="1"/>
  <c r="J7" i="26" s="1"/>
  <c r="J8" i="26" s="1"/>
  <c r="J9" i="26" s="1"/>
  <c r="J10" i="26" s="1"/>
  <c r="J11" i="26" s="1"/>
  <c r="J12" i="26" s="1"/>
  <c r="J13" i="26" s="1"/>
  <c r="J14" i="26" s="1"/>
  <c r="J15" i="26" s="1"/>
  <c r="J16" i="26" s="1"/>
  <c r="J17" i="26" s="1"/>
  <c r="J18" i="26" s="1"/>
  <c r="J19" i="26" s="1"/>
  <c r="J20" i="26" s="1"/>
  <c r="I3" i="26"/>
  <c r="I4" i="26" s="1"/>
  <c r="I5" i="26" s="1"/>
  <c r="I6" i="26" s="1"/>
  <c r="I7" i="26" s="1"/>
  <c r="I8" i="26" s="1"/>
  <c r="I9" i="26" s="1"/>
  <c r="I10" i="26" s="1"/>
  <c r="I11" i="26" s="1"/>
  <c r="I12" i="26" s="1"/>
  <c r="I13" i="26" s="1"/>
  <c r="I14" i="26" s="1"/>
  <c r="I15" i="26" s="1"/>
  <c r="I16" i="26" s="1"/>
  <c r="I17" i="26" s="1"/>
  <c r="I18" i="26" s="1"/>
  <c r="I19" i="26" s="1"/>
  <c r="I20" i="26" s="1"/>
  <c r="H3" i="26"/>
  <c r="H4" i="26" s="1"/>
  <c r="H5" i="26" s="1"/>
  <c r="H6" i="26" s="1"/>
  <c r="H7" i="26" s="1"/>
  <c r="H8" i="26" s="1"/>
  <c r="H9" i="26" s="1"/>
  <c r="H10" i="26" s="1"/>
  <c r="H11" i="26" s="1"/>
  <c r="H12" i="26" s="1"/>
  <c r="H13" i="26" s="1"/>
  <c r="H14" i="26" s="1"/>
  <c r="H15" i="26" s="1"/>
  <c r="H16" i="26" s="1"/>
  <c r="H17" i="26" s="1"/>
  <c r="H18" i="26" s="1"/>
  <c r="H19" i="26" s="1"/>
  <c r="H20" i="26" s="1"/>
  <c r="AD213" i="56" l="1"/>
  <c r="AF213" i="56" s="1"/>
  <c r="AD187" i="56"/>
  <c r="AF187" i="56" s="1"/>
  <c r="AG183" i="56"/>
  <c r="AG173" i="56"/>
  <c r="AD188" i="56"/>
  <c r="AF188" i="56" s="1"/>
  <c r="AG177" i="56"/>
  <c r="AD192" i="56"/>
  <c r="AF192" i="56" s="1"/>
  <c r="AD180" i="56"/>
  <c r="AF180" i="56" s="1"/>
  <c r="AD212" i="56"/>
  <c r="AF212" i="56" s="1"/>
  <c r="AG199" i="56"/>
  <c r="AG181" i="56"/>
  <c r="AG209" i="56"/>
  <c r="AG188" i="56"/>
  <c r="AG168" i="56"/>
  <c r="AD179" i="56"/>
  <c r="AF179" i="56" s="1"/>
  <c r="AD208" i="56"/>
  <c r="AF208" i="56" s="1"/>
  <c r="AG204" i="56"/>
  <c r="AD196" i="56"/>
  <c r="AF196" i="56" s="1"/>
  <c r="AD209" i="56"/>
  <c r="AF209" i="56" s="1"/>
  <c r="AG202" i="56"/>
  <c r="AD186" i="56"/>
  <c r="AF186" i="56" s="1"/>
  <c r="AD197" i="56"/>
  <c r="AF197" i="56" s="1"/>
  <c r="AG167" i="56"/>
  <c r="AD170" i="56"/>
  <c r="AF170" i="56" s="1"/>
  <c r="AD206" i="56"/>
  <c r="AF206" i="56" s="1"/>
  <c r="AD167" i="56"/>
  <c r="AF167" i="56" s="1"/>
  <c r="AD210" i="56"/>
  <c r="AF210" i="56" s="1"/>
  <c r="AD166" i="56"/>
  <c r="AF166" i="56" s="1"/>
  <c r="AD191" i="56"/>
  <c r="AF191" i="56" s="1"/>
  <c r="AD173" i="56"/>
  <c r="AF173" i="56" s="1"/>
  <c r="AD199" i="56"/>
  <c r="AF199" i="56" s="1"/>
  <c r="AD177" i="56"/>
  <c r="AF177" i="56" s="1"/>
  <c r="AD205" i="56"/>
  <c r="AF205" i="56" s="1"/>
  <c r="AG207" i="56"/>
  <c r="AD185" i="56"/>
  <c r="AF185" i="56" s="1"/>
  <c r="AG180" i="56"/>
  <c r="AD169" i="56"/>
  <c r="AF169" i="56" s="1"/>
  <c r="AG213" i="56"/>
  <c r="AG203" i="56"/>
  <c r="AG200" i="56"/>
  <c r="AD165" i="56"/>
  <c r="AF165" i="56" s="1"/>
  <c r="F139" i="75"/>
  <c r="AG197" i="56"/>
  <c r="AG174" i="56"/>
  <c r="AD168" i="56"/>
  <c r="AF168" i="56" s="1"/>
  <c r="B4" i="75"/>
  <c r="AK164" i="56" a="1"/>
  <c r="AK164" i="56" s="1"/>
  <c r="AL164" i="56" a="1"/>
  <c r="AL164" i="56" s="1"/>
  <c r="AI164" i="56" a="1"/>
  <c r="AI164" i="56" s="1"/>
  <c r="AD202" i="56"/>
  <c r="AF202" i="56" s="1"/>
  <c r="AK177" i="56" a="1"/>
  <c r="AK177" i="56" s="1"/>
  <c r="AI177" i="56" a="1"/>
  <c r="AI177" i="56" s="1"/>
  <c r="AL177" i="56" a="1"/>
  <c r="AL177" i="56" s="1"/>
  <c r="F64" i="75"/>
  <c r="AG179" i="56"/>
  <c r="AL199" i="56" a="1"/>
  <c r="AL199" i="56" s="1"/>
  <c r="AK199" i="56" a="1"/>
  <c r="AK199" i="56" s="1"/>
  <c r="AI199" i="56" a="1"/>
  <c r="AI199" i="56" s="1"/>
  <c r="F84" i="75"/>
  <c r="AG184" i="56"/>
  <c r="AK212" i="56" a="1"/>
  <c r="AK212" i="56" s="1"/>
  <c r="AL212" i="56" a="1"/>
  <c r="AL212" i="56" s="1"/>
  <c r="AI212" i="56" a="1"/>
  <c r="AI212" i="56" s="1"/>
  <c r="B139" i="75"/>
  <c r="AL197" i="56" a="1"/>
  <c r="AL197" i="56" s="1"/>
  <c r="AI197" i="56" a="1"/>
  <c r="AI197" i="56" s="1"/>
  <c r="AK197" i="56" a="1"/>
  <c r="AK197" i="56" s="1"/>
  <c r="AD198" i="56"/>
  <c r="AF198" i="56" s="1"/>
  <c r="AG206" i="56"/>
  <c r="AD174" i="56"/>
  <c r="AF174" i="56" s="1"/>
  <c r="AG166" i="56"/>
  <c r="AG193" i="56"/>
  <c r="F99" i="75"/>
  <c r="AG187" i="56"/>
  <c r="B84" i="75"/>
  <c r="AI184" i="56" a="1"/>
  <c r="AI184" i="56" s="1"/>
  <c r="AK184" i="56" a="1"/>
  <c r="AK184" i="56" s="1"/>
  <c r="AL184" i="56" a="1"/>
  <c r="AL184" i="56" s="1"/>
  <c r="AL170" i="56" a="1"/>
  <c r="AL170" i="56" s="1"/>
  <c r="AK170" i="56" a="1"/>
  <c r="AK170" i="56" s="1"/>
  <c r="AI170" i="56" a="1"/>
  <c r="AI170" i="56" s="1"/>
  <c r="AK198" i="56" a="1"/>
  <c r="AK198" i="56" s="1"/>
  <c r="AI198" i="56" a="1"/>
  <c r="AI198" i="56" s="1"/>
  <c r="AL198" i="56" a="1"/>
  <c r="AL198" i="56" s="1"/>
  <c r="AI174" i="56" a="1"/>
  <c r="AI174" i="56" s="1"/>
  <c r="AK174" i="56" a="1"/>
  <c r="AK174" i="56" s="1"/>
  <c r="AL174" i="56" a="1"/>
  <c r="AL174" i="56" s="1"/>
  <c r="AL185" i="56" a="1"/>
  <c r="AL185" i="56" s="1"/>
  <c r="AI185" i="56" a="1"/>
  <c r="AI185" i="56" s="1"/>
  <c r="AK185" i="56" a="1"/>
  <c r="AK185" i="56" s="1"/>
  <c r="AL168" i="56" a="1"/>
  <c r="AL168" i="56" s="1"/>
  <c r="AK168" i="56" a="1"/>
  <c r="AK168" i="56" s="1"/>
  <c r="AI168" i="56" a="1"/>
  <c r="AI168" i="56" s="1"/>
  <c r="AI193" i="56" a="1"/>
  <c r="AI193" i="56" s="1"/>
  <c r="AL193" i="56" a="1"/>
  <c r="AL193" i="56" s="1"/>
  <c r="AK193" i="56" a="1"/>
  <c r="AK193" i="56" s="1"/>
  <c r="F129" i="75"/>
  <c r="AG195" i="56"/>
  <c r="AI201" i="56" a="1"/>
  <c r="AI201" i="56" s="1"/>
  <c r="AL201" i="56" a="1"/>
  <c r="AL201" i="56" s="1"/>
  <c r="AK201" i="56" a="1"/>
  <c r="AK201" i="56" s="1"/>
  <c r="AH187" i="56"/>
  <c r="AK206" i="56" a="1"/>
  <c r="AK206" i="56" s="1"/>
  <c r="AL206" i="56" a="1"/>
  <c r="AL206" i="56" s="1"/>
  <c r="AI206" i="56" a="1"/>
  <c r="AI206" i="56" s="1"/>
  <c r="AL166" i="56" a="1"/>
  <c r="AL166" i="56" s="1"/>
  <c r="AI166" i="56" a="1"/>
  <c r="AI166" i="56" s="1"/>
  <c r="AK166" i="56" a="1"/>
  <c r="AK166" i="56" s="1"/>
  <c r="AG185" i="56"/>
  <c r="F39" i="75"/>
  <c r="AG172" i="56"/>
  <c r="AD176" i="56"/>
  <c r="AF176" i="56" s="1"/>
  <c r="AG189" i="56"/>
  <c r="AI173" i="56" a="1"/>
  <c r="AI173" i="56" s="1"/>
  <c r="AK173" i="56" a="1"/>
  <c r="AK173" i="56" s="1"/>
  <c r="AL173" i="56" a="1"/>
  <c r="AL173" i="56" s="1"/>
  <c r="AK167" i="56" a="1"/>
  <c r="AK167" i="56" s="1"/>
  <c r="AI167" i="56" a="1"/>
  <c r="AI167" i="56" s="1"/>
  <c r="AL167" i="56" a="1"/>
  <c r="AL167" i="56" s="1"/>
  <c r="AG186" i="56"/>
  <c r="AI181" i="56" a="1"/>
  <c r="AI181" i="56" s="1"/>
  <c r="AL181" i="56" a="1"/>
  <c r="AL181" i="56" s="1"/>
  <c r="AK181" i="56" a="1"/>
  <c r="AK181" i="56" s="1"/>
  <c r="AK210" i="56" a="1"/>
  <c r="AK210" i="56" s="1"/>
  <c r="AL210" i="56" a="1"/>
  <c r="AL210" i="56" s="1"/>
  <c r="AI210" i="56" a="1"/>
  <c r="AI210" i="56" s="1"/>
  <c r="AL190" i="56" a="1"/>
  <c r="AL190" i="56" s="1"/>
  <c r="AI190" i="56" a="1"/>
  <c r="AI190" i="56" s="1"/>
  <c r="AK190" i="56" a="1"/>
  <c r="AK190" i="56" s="1"/>
  <c r="AH196" i="56"/>
  <c r="F119" i="75"/>
  <c r="AG192" i="56"/>
  <c r="AK175" i="56" a="1"/>
  <c r="AK175" i="56" s="1"/>
  <c r="AL175" i="56" a="1"/>
  <c r="AL175" i="56" s="1"/>
  <c r="AI175" i="56" a="1"/>
  <c r="AI175" i="56" s="1"/>
  <c r="AI171" i="56" a="1"/>
  <c r="AI171" i="56" s="1"/>
  <c r="AL171" i="56" a="1"/>
  <c r="AL171" i="56" s="1"/>
  <c r="AK171" i="56" a="1"/>
  <c r="AK171" i="56" s="1"/>
  <c r="AL200" i="56" a="1"/>
  <c r="AL200" i="56" s="1"/>
  <c r="AI200" i="56" a="1"/>
  <c r="AI200" i="56" s="1"/>
  <c r="AK200" i="56" a="1"/>
  <c r="AK200" i="56" s="1"/>
  <c r="AG208" i="56"/>
  <c r="AI183" i="56" a="1"/>
  <c r="AI183" i="56" s="1"/>
  <c r="AK183" i="56" a="1"/>
  <c r="AK183" i="56" s="1"/>
  <c r="AL183" i="56" a="1"/>
  <c r="AL183" i="56" s="1"/>
  <c r="B9" i="75"/>
  <c r="AK165" i="56" a="1"/>
  <c r="AK165" i="56" s="1"/>
  <c r="AL165" i="56" a="1"/>
  <c r="AL165" i="56" s="1"/>
  <c r="AI165" i="56" a="1"/>
  <c r="AI165" i="56" s="1"/>
  <c r="AG170" i="56"/>
  <c r="AL176" i="56" a="1"/>
  <c r="AL176" i="56" s="1"/>
  <c r="AI176" i="56" a="1"/>
  <c r="AI176" i="56" s="1"/>
  <c r="AK176" i="56" a="1"/>
  <c r="AK176" i="56" s="1"/>
  <c r="B39" i="75"/>
  <c r="AL172" i="56" a="1"/>
  <c r="AL172" i="56" s="1"/>
  <c r="AK172" i="56" a="1"/>
  <c r="AK172" i="56" s="1"/>
  <c r="AI172" i="56" a="1"/>
  <c r="AI172" i="56" s="1"/>
  <c r="AK169" i="56" a="1"/>
  <c r="AK169" i="56" s="1"/>
  <c r="AL169" i="56" a="1"/>
  <c r="AL169" i="56" s="1"/>
  <c r="AI169" i="56" a="1"/>
  <c r="AI169" i="56" s="1"/>
  <c r="F9" i="75"/>
  <c r="AG165" i="56"/>
  <c r="AH192" i="56"/>
  <c r="AG198" i="56"/>
  <c r="F4" i="75"/>
  <c r="AG164" i="56"/>
  <c r="F134" i="75"/>
  <c r="AG196" i="56"/>
  <c r="AI202" i="56" a="1"/>
  <c r="AI202" i="56" s="1"/>
  <c r="AL202" i="56" a="1"/>
  <c r="AL202" i="56" s="1"/>
  <c r="AK202" i="56" a="1"/>
  <c r="AK202" i="56" s="1"/>
  <c r="AL211" i="56" a="1"/>
  <c r="AL211" i="56" s="1"/>
  <c r="AK211" i="56" a="1"/>
  <c r="AK211" i="56" s="1"/>
  <c r="AI211" i="56" a="1"/>
  <c r="AI211" i="56" s="1"/>
  <c r="AG205" i="56"/>
  <c r="AK208" i="56" a="1"/>
  <c r="AK208" i="56" s="1"/>
  <c r="AL208" i="56" a="1"/>
  <c r="AL208" i="56" s="1"/>
  <c r="AI208" i="56" a="1"/>
  <c r="AI208" i="56" s="1"/>
  <c r="AD183" i="56"/>
  <c r="AF183" i="56" s="1"/>
  <c r="AG210" i="56"/>
  <c r="AH172" i="56"/>
  <c r="AH197" i="56"/>
  <c r="AL178" i="56" a="1"/>
  <c r="AL178" i="56" s="1"/>
  <c r="AK178" i="56" a="1"/>
  <c r="AK178" i="56" s="1"/>
  <c r="AI178" i="56" a="1"/>
  <c r="AI178" i="56" s="1"/>
  <c r="AD207" i="56"/>
  <c r="AF207" i="56" s="1"/>
  <c r="AI203" i="56" a="1"/>
  <c r="AI203" i="56" s="1"/>
  <c r="AL203" i="56" a="1"/>
  <c r="AL203" i="56" s="1"/>
  <c r="AK203" i="56" a="1"/>
  <c r="AK203" i="56" s="1"/>
  <c r="AG175" i="56"/>
  <c r="AD164" i="56"/>
  <c r="AF164" i="56" s="1"/>
  <c r="AG211" i="56"/>
  <c r="AI205" i="56" a="1"/>
  <c r="AI205" i="56" s="1"/>
  <c r="AK205" i="56" a="1"/>
  <c r="AK205" i="56" s="1"/>
  <c r="AL205" i="56" a="1"/>
  <c r="AL205" i="56" s="1"/>
  <c r="AG176" i="56"/>
  <c r="B119" i="75"/>
  <c r="AI192" i="56" a="1"/>
  <c r="AI192" i="56" s="1"/>
  <c r="AL192" i="56" a="1"/>
  <c r="AL192" i="56" s="1"/>
  <c r="AK192" i="56" a="1"/>
  <c r="AK192" i="56" s="1"/>
  <c r="AI180" i="56" a="1"/>
  <c r="AI180" i="56" s="1"/>
  <c r="AK180" i="56" a="1"/>
  <c r="AK180" i="56" s="1"/>
  <c r="AL180" i="56" a="1"/>
  <c r="AL180" i="56" s="1"/>
  <c r="AK189" i="56" a="1"/>
  <c r="AK189" i="56" s="1"/>
  <c r="AL189" i="56" a="1"/>
  <c r="AL189" i="56" s="1"/>
  <c r="AI189" i="56" a="1"/>
  <c r="AI189" i="56" s="1"/>
  <c r="AD175" i="56"/>
  <c r="AF175" i="56" s="1"/>
  <c r="AG171" i="56"/>
  <c r="AG178" i="56"/>
  <c r="AD204" i="56"/>
  <c r="AF204" i="56" s="1"/>
  <c r="AG190" i="56"/>
  <c r="AH165" i="56"/>
  <c r="AH195" i="56"/>
  <c r="AH179" i="56"/>
  <c r="AD201" i="56"/>
  <c r="AF201" i="56" s="1"/>
  <c r="F124" i="75"/>
  <c r="AG194" i="56"/>
  <c r="AD178" i="56"/>
  <c r="AF178" i="56" s="1"/>
  <c r="AI204" i="56" a="1"/>
  <c r="AI204" i="56" s="1"/>
  <c r="AK204" i="56" a="1"/>
  <c r="AK204" i="56" s="1"/>
  <c r="AL204" i="56" a="1"/>
  <c r="AL204" i="56" s="1"/>
  <c r="AD190" i="56"/>
  <c r="AF190" i="56" s="1"/>
  <c r="AH184" i="56"/>
  <c r="AH194" i="56"/>
  <c r="AG212" i="56"/>
  <c r="B134" i="75"/>
  <c r="AK196" i="56" a="1"/>
  <c r="AK196" i="56" s="1"/>
  <c r="AL196" i="56" a="1"/>
  <c r="AL196" i="56" s="1"/>
  <c r="AI196" i="56" a="1"/>
  <c r="AI196" i="56" s="1"/>
  <c r="AD203" i="56"/>
  <c r="AF203" i="56" s="1"/>
  <c r="AD182" i="56"/>
  <c r="AF182" i="56" s="1"/>
  <c r="AD193" i="56"/>
  <c r="AF193" i="56" s="1"/>
  <c r="AD195" i="56"/>
  <c r="AF195" i="56" s="1"/>
  <c r="AG201" i="56"/>
  <c r="AG191" i="56"/>
  <c r="AD194" i="56"/>
  <c r="AF194" i="56" s="1"/>
  <c r="B64" i="75"/>
  <c r="AK179" i="56" a="1"/>
  <c r="AK179" i="56" s="1"/>
  <c r="AL179" i="56" a="1"/>
  <c r="AL179" i="56" s="1"/>
  <c r="AI179" i="56" a="1"/>
  <c r="AI179" i="56" s="1"/>
  <c r="AD184" i="56"/>
  <c r="AF184" i="56" s="1"/>
  <c r="AL186" i="56" a="1"/>
  <c r="AL186" i="56" s="1"/>
  <c r="AI186" i="56" a="1"/>
  <c r="AI186" i="56" s="1"/>
  <c r="AK186" i="56" a="1"/>
  <c r="AK186" i="56" s="1"/>
  <c r="AD181" i="56"/>
  <c r="AF181" i="56" s="1"/>
  <c r="AI209" i="56" a="1"/>
  <c r="AI209" i="56" s="1"/>
  <c r="AK209" i="56" a="1"/>
  <c r="AK209" i="56" s="1"/>
  <c r="AL209" i="56" a="1"/>
  <c r="AL209" i="56" s="1"/>
  <c r="AH164" i="56"/>
  <c r="AK207" i="56" a="1"/>
  <c r="AK207" i="56" s="1"/>
  <c r="AL207" i="56" a="1"/>
  <c r="AL207" i="56" s="1"/>
  <c r="AI207" i="56" a="1"/>
  <c r="AI207" i="56" s="1"/>
  <c r="AG182" i="56"/>
  <c r="AL188" i="56" a="1"/>
  <c r="AL188" i="56" s="1"/>
  <c r="AK188" i="56" a="1"/>
  <c r="AK188" i="56" s="1"/>
  <c r="AI188" i="56" a="1"/>
  <c r="AI188" i="56" s="1"/>
  <c r="AD211" i="56"/>
  <c r="AF211" i="56" s="1"/>
  <c r="AI182" i="56" a="1"/>
  <c r="AI182" i="56" s="1"/>
  <c r="AL182" i="56" a="1"/>
  <c r="AL182" i="56" s="1"/>
  <c r="AK182" i="56" a="1"/>
  <c r="AK182" i="56" s="1"/>
  <c r="B129" i="75"/>
  <c r="AL195" i="56" a="1"/>
  <c r="AL195" i="56" s="1"/>
  <c r="AI195" i="56" a="1"/>
  <c r="AI195" i="56" s="1"/>
  <c r="AK195" i="56" a="1"/>
  <c r="AK195" i="56" s="1"/>
  <c r="B99" i="75"/>
  <c r="AL187" i="56" a="1"/>
  <c r="AL187" i="56" s="1"/>
  <c r="AI187" i="56" a="1"/>
  <c r="AI187" i="56" s="1"/>
  <c r="AK187" i="56" a="1"/>
  <c r="AK187" i="56" s="1"/>
  <c r="AI191" i="56" a="1"/>
  <c r="AI191" i="56" s="1"/>
  <c r="AL191" i="56" a="1"/>
  <c r="AL191" i="56" s="1"/>
  <c r="AK191" i="56" a="1"/>
  <c r="AK191" i="56" s="1"/>
  <c r="B124" i="75"/>
  <c r="AI194" i="56" a="1"/>
  <c r="AI194" i="56" s="1"/>
  <c r="AK194" i="56" a="1"/>
  <c r="AK194" i="56" s="1"/>
  <c r="AL194" i="56" a="1"/>
  <c r="AL194" i="56" s="1"/>
  <c r="AI213" i="56" a="1"/>
  <c r="AI213" i="56" s="1"/>
  <c r="AL213" i="56" a="1"/>
  <c r="AL213" i="56" s="1"/>
  <c r="AK213" i="56" a="1"/>
  <c r="AK213" i="56" s="1"/>
  <c r="U180" i="56" a="1"/>
  <c r="U180" i="56" s="1"/>
  <c r="U190" i="56" a="1"/>
  <c r="U190" i="56" s="1"/>
  <c r="U181" i="56" a="1"/>
  <c r="U181" i="56" s="1"/>
  <c r="U201" i="56" a="1"/>
  <c r="U201" i="56" s="1"/>
  <c r="H109" i="75"/>
  <c r="B109" i="75"/>
  <c r="G109" i="75"/>
  <c r="F109" i="75"/>
  <c r="U212" i="56" a="1"/>
  <c r="U212" i="56" s="1"/>
  <c r="U146" i="56" a="1"/>
  <c r="U146" i="56" s="1"/>
  <c r="U127" i="56" a="1"/>
  <c r="U127" i="56" s="1"/>
  <c r="U113" i="56" a="1"/>
  <c r="U113" i="56" s="1"/>
  <c r="U156" i="56" a="1"/>
  <c r="U156" i="56" s="1"/>
  <c r="U170" i="56" a="1"/>
  <c r="U170" i="56" s="1"/>
  <c r="U182" i="56" a="1"/>
  <c r="U182" i="56" s="1"/>
  <c r="U124" i="56" a="1"/>
  <c r="U124" i="56" s="1"/>
  <c r="U133" i="56" a="1"/>
  <c r="U133" i="56" s="1"/>
  <c r="H29" i="75"/>
  <c r="B29" i="75"/>
  <c r="G29" i="75"/>
  <c r="F29" i="75"/>
  <c r="W158" i="56"/>
  <c r="H179" i="75"/>
  <c r="B59" i="75"/>
  <c r="F154" i="75"/>
  <c r="B94" i="75"/>
  <c r="B199" i="75"/>
  <c r="F174" i="75"/>
  <c r="F14" i="75"/>
  <c r="G154" i="75"/>
  <c r="H114" i="75"/>
  <c r="G144" i="75"/>
  <c r="G19" i="75"/>
  <c r="G74" i="75"/>
  <c r="B44" i="75"/>
  <c r="G14" i="75"/>
  <c r="B89" i="75"/>
  <c r="G79" i="75"/>
  <c r="B154" i="75"/>
  <c r="F144" i="75"/>
  <c r="G94" i="75"/>
  <c r="F74" i="75"/>
  <c r="H184" i="75"/>
  <c r="G159" i="75"/>
  <c r="H199" i="75"/>
  <c r="B174" i="75"/>
  <c r="H44" i="75"/>
  <c r="B14" i="75"/>
  <c r="F89" i="75"/>
  <c r="H69" i="75"/>
  <c r="F104" i="75"/>
  <c r="H49" i="75"/>
  <c r="G34" i="75"/>
  <c r="B19" i="75"/>
  <c r="F94" i="75"/>
  <c r="B74" i="75"/>
  <c r="G184" i="75"/>
  <c r="H174" i="75"/>
  <c r="H89" i="75"/>
  <c r="H169" i="75"/>
  <c r="B54" i="75"/>
  <c r="F24" i="75"/>
  <c r="H164" i="75"/>
  <c r="F184" i="75"/>
  <c r="G199" i="75"/>
  <c r="G44" i="75"/>
  <c r="H14" i="75"/>
  <c r="H54" i="75"/>
  <c r="F69" i="75"/>
  <c r="H104" i="75"/>
  <c r="B49" i="75"/>
  <c r="B34" i="75"/>
  <c r="B149" i="75"/>
  <c r="B189" i="75"/>
  <c r="F199" i="75"/>
  <c r="G174" i="75"/>
  <c r="F44" i="75"/>
  <c r="G89" i="75"/>
  <c r="G169" i="75"/>
  <c r="G69" i="75"/>
  <c r="G49" i="75"/>
  <c r="H34" i="75"/>
  <c r="H149" i="75"/>
  <c r="B24" i="75"/>
  <c r="F164" i="75"/>
  <c r="B159" i="75"/>
  <c r="B194" i="75"/>
  <c r="F169" i="75"/>
  <c r="G54" i="75"/>
  <c r="G104" i="75"/>
  <c r="F49" i="75"/>
  <c r="H24" i="75"/>
  <c r="G164" i="75"/>
  <c r="H189" i="75"/>
  <c r="G179" i="75"/>
  <c r="F194" i="75"/>
  <c r="F54" i="75"/>
  <c r="B69" i="75"/>
  <c r="B104" i="75"/>
  <c r="F34" i="75"/>
  <c r="G149" i="75"/>
  <c r="G189" i="75"/>
  <c r="H159" i="75"/>
  <c r="F59" i="75"/>
  <c r="B169" i="75"/>
  <c r="B179" i="75"/>
  <c r="H59" i="75"/>
  <c r="H194" i="75"/>
  <c r="F79" i="75"/>
  <c r="G114" i="75"/>
  <c r="F149" i="75"/>
  <c r="G24" i="75"/>
  <c r="B164" i="75"/>
  <c r="F189" i="75"/>
  <c r="F114" i="75"/>
  <c r="H144" i="75"/>
  <c r="H19" i="75"/>
  <c r="F159" i="75"/>
  <c r="G59" i="75"/>
  <c r="B79" i="75"/>
  <c r="H154" i="75"/>
  <c r="B114" i="75"/>
  <c r="H74" i="75"/>
  <c r="F179" i="75"/>
  <c r="G194" i="75"/>
  <c r="H79" i="75"/>
  <c r="B144" i="75"/>
  <c r="F19" i="75"/>
  <c r="H94" i="75"/>
  <c r="B184" i="75"/>
  <c r="D114" i="55"/>
  <c r="X114" i="55"/>
  <c r="E114" i="55"/>
  <c r="F114" i="55"/>
  <c r="Y114" i="55"/>
  <c r="G114" i="55"/>
  <c r="H114" i="55"/>
  <c r="I114" i="55"/>
  <c r="W132" i="56"/>
  <c r="C75" i="55"/>
  <c r="B51" i="58"/>
  <c r="F51" i="58" s="1"/>
  <c r="B52" i="58"/>
  <c r="B44" i="58"/>
  <c r="C44" i="58" s="1"/>
  <c r="P170" i="56"/>
  <c r="Q170" i="56"/>
  <c r="R170" i="56"/>
  <c r="S170" i="56"/>
  <c r="W170" i="56"/>
  <c r="P29" i="75" s="1"/>
  <c r="J170" i="56"/>
  <c r="I29" i="75" s="1"/>
  <c r="K170" i="56"/>
  <c r="AH52" i="56"/>
  <c r="AJ52" i="56"/>
  <c r="AA52" i="56"/>
  <c r="AB52" i="56"/>
  <c r="AC52" i="56"/>
  <c r="AD52" i="56"/>
  <c r="Z52" i="56"/>
  <c r="AE52" i="56"/>
  <c r="AF52" i="56"/>
  <c r="AG52" i="56"/>
  <c r="AK52" i="56"/>
  <c r="BA52" i="56"/>
  <c r="AX52" i="56"/>
  <c r="BB52" i="56"/>
  <c r="AQ52" i="56"/>
  <c r="AR52" i="56"/>
  <c r="AW52" i="56"/>
  <c r="AT52" i="56"/>
  <c r="AS52" i="56"/>
  <c r="AU52" i="56"/>
  <c r="AV52" i="56"/>
  <c r="AY52" i="56"/>
  <c r="B40" i="58"/>
  <c r="D40" i="58" s="1"/>
  <c r="B39" i="58"/>
  <c r="C39" i="58" s="1"/>
  <c r="C16" i="61"/>
  <c r="D43" i="61"/>
  <c r="D44" i="61"/>
  <c r="D45" i="61"/>
  <c r="W144" i="56"/>
  <c r="B36" i="58"/>
  <c r="W145" i="56"/>
  <c r="B37" i="58"/>
  <c r="W151" i="56"/>
  <c r="B43" i="58"/>
  <c r="W146" i="56"/>
  <c r="B38" i="58"/>
  <c r="W154" i="56"/>
  <c r="B46" i="58"/>
  <c r="AC159" i="56"/>
  <c r="B50" i="58"/>
  <c r="W153" i="56"/>
  <c r="P173" i="75" s="1"/>
  <c r="B45" i="58"/>
  <c r="W150" i="56"/>
  <c r="B42" i="58"/>
  <c r="W155" i="56"/>
  <c r="B47" i="58"/>
  <c r="AC156" i="56"/>
  <c r="B48" i="58"/>
  <c r="W149" i="56"/>
  <c r="P158" i="75" s="1"/>
  <c r="B41" i="58"/>
  <c r="C101" i="55"/>
  <c r="D101" i="55" s="1"/>
  <c r="J101" i="55" s="1"/>
  <c r="B49" i="58"/>
  <c r="G6" i="49"/>
  <c r="F6" i="49"/>
  <c r="E6" i="49"/>
  <c r="D6" i="49"/>
  <c r="K6" i="49"/>
  <c r="K5" i="49"/>
  <c r="K7" i="49"/>
  <c r="S165" i="56"/>
  <c r="J165" i="56"/>
  <c r="I9" i="75" s="1"/>
  <c r="Q165" i="56"/>
  <c r="R165" i="56"/>
  <c r="K165" i="56"/>
  <c r="W165" i="56"/>
  <c r="P9" i="75" s="1"/>
  <c r="P165" i="56"/>
  <c r="W156" i="56"/>
  <c r="W159" i="56"/>
  <c r="P198" i="75" s="1"/>
  <c r="W157" i="56"/>
  <c r="AC157" i="56"/>
  <c r="D122" i="55"/>
  <c r="E122" i="55"/>
  <c r="F122" i="55"/>
  <c r="G122" i="55"/>
  <c r="H122" i="55"/>
  <c r="I122" i="55"/>
  <c r="C124" i="55"/>
  <c r="E124" i="55" s="1"/>
  <c r="C123" i="55"/>
  <c r="C97" i="55"/>
  <c r="D97" i="55" s="1"/>
  <c r="C96" i="55"/>
  <c r="P213" i="56"/>
  <c r="Q213" i="56"/>
  <c r="W213" i="56"/>
  <c r="R213" i="56"/>
  <c r="S213" i="56"/>
  <c r="J213" i="56"/>
  <c r="K213" i="56"/>
  <c r="AJ213" i="56" s="1"/>
  <c r="AX51" i="56"/>
  <c r="AY51" i="56"/>
  <c r="BA51" i="56"/>
  <c r="BB51" i="56"/>
  <c r="AQ51" i="56"/>
  <c r="AR51" i="56"/>
  <c r="AS51" i="56"/>
  <c r="AT51" i="56"/>
  <c r="AV51" i="56"/>
  <c r="AU51" i="56"/>
  <c r="AW51" i="56"/>
  <c r="Z51" i="56"/>
  <c r="AA51" i="56"/>
  <c r="AB51" i="56"/>
  <c r="AC51" i="56"/>
  <c r="AD51" i="56"/>
  <c r="AE51" i="56"/>
  <c r="AF51" i="56"/>
  <c r="AJ51" i="56"/>
  <c r="AG51" i="56"/>
  <c r="AH51" i="56"/>
  <c r="AK51" i="56"/>
  <c r="P209" i="56"/>
  <c r="Q209" i="56"/>
  <c r="R209" i="56"/>
  <c r="S209" i="56"/>
  <c r="J209" i="56"/>
  <c r="I184" i="75" s="1"/>
  <c r="K209" i="56"/>
  <c r="W209" i="56"/>
  <c r="P210" i="56"/>
  <c r="Q210" i="56"/>
  <c r="R210" i="56"/>
  <c r="S210" i="56"/>
  <c r="J210" i="56"/>
  <c r="I189" i="75" s="1"/>
  <c r="K210" i="56"/>
  <c r="W210" i="56"/>
  <c r="AX49" i="56"/>
  <c r="AY49" i="56"/>
  <c r="BA49" i="56"/>
  <c r="BB49" i="56"/>
  <c r="AQ49" i="56"/>
  <c r="AR49" i="56"/>
  <c r="AS49" i="56"/>
  <c r="AT49" i="56"/>
  <c r="AU49" i="56"/>
  <c r="AV49" i="56"/>
  <c r="AW49" i="56"/>
  <c r="Z49" i="56"/>
  <c r="AA49" i="56"/>
  <c r="AB49" i="56"/>
  <c r="AC49" i="56"/>
  <c r="AD49" i="56"/>
  <c r="AE49" i="56"/>
  <c r="AF49" i="56"/>
  <c r="AG49" i="56"/>
  <c r="AH49" i="56"/>
  <c r="AJ49" i="56"/>
  <c r="AK49" i="56"/>
  <c r="AX50" i="56"/>
  <c r="AY50" i="56"/>
  <c r="BA50" i="56"/>
  <c r="BB50" i="56"/>
  <c r="AQ50" i="56"/>
  <c r="AR50" i="56"/>
  <c r="AS50" i="56"/>
  <c r="AU50" i="56"/>
  <c r="AV50" i="56"/>
  <c r="AT50" i="56"/>
  <c r="AW50" i="56"/>
  <c r="Z50" i="56"/>
  <c r="AH50" i="56"/>
  <c r="AA50" i="56"/>
  <c r="AB50" i="56"/>
  <c r="AC50" i="56"/>
  <c r="AD50" i="56"/>
  <c r="AE50" i="56"/>
  <c r="AF50" i="56"/>
  <c r="AG50" i="56"/>
  <c r="AJ50" i="56"/>
  <c r="AK50" i="56"/>
  <c r="B48" i="65"/>
  <c r="C48" i="65" s="1" a="1"/>
  <c r="C48" i="65" s="1"/>
  <c r="A46" i="65"/>
  <c r="H46" i="65" s="1"/>
  <c r="B49" i="65"/>
  <c r="C49" i="65" s="1" a="1"/>
  <c r="C49" i="65" s="1"/>
  <c r="J187" i="56"/>
  <c r="I99" i="75" s="1"/>
  <c r="R187" i="56"/>
  <c r="W187" i="56"/>
  <c r="P99" i="75" s="1"/>
  <c r="K187" i="56"/>
  <c r="P187" i="56"/>
  <c r="Q187" i="56"/>
  <c r="S187" i="56"/>
  <c r="P186" i="56"/>
  <c r="Q186" i="56"/>
  <c r="S186" i="56"/>
  <c r="R186" i="56"/>
  <c r="J186" i="56"/>
  <c r="I94" i="75" s="1"/>
  <c r="W186" i="56"/>
  <c r="P94" i="75" s="1"/>
  <c r="K186" i="56"/>
  <c r="W189" i="56"/>
  <c r="P189" i="56"/>
  <c r="K189" i="56"/>
  <c r="Q189" i="56"/>
  <c r="S189" i="56"/>
  <c r="J189" i="56"/>
  <c r="I104" i="75" s="1"/>
  <c r="R189" i="56"/>
  <c r="W147" i="56"/>
  <c r="R172" i="56"/>
  <c r="J172" i="56"/>
  <c r="I39" i="75" s="1"/>
  <c r="W172" i="56"/>
  <c r="P39" i="75" s="1"/>
  <c r="K172" i="56"/>
  <c r="Q172" i="56"/>
  <c r="S172" i="56"/>
  <c r="P172" i="56"/>
  <c r="AA120" i="56"/>
  <c r="W120" i="56"/>
  <c r="W129" i="56"/>
  <c r="P78" i="75" s="1"/>
  <c r="R208" i="56"/>
  <c r="K208" i="56"/>
  <c r="AJ208" i="56" s="1"/>
  <c r="Q208" i="56"/>
  <c r="J208" i="56"/>
  <c r="S208" i="56"/>
  <c r="W208" i="56"/>
  <c r="P208" i="56"/>
  <c r="J190" i="56"/>
  <c r="I109" i="75" s="1"/>
  <c r="W190" i="56"/>
  <c r="K190" i="56"/>
  <c r="R190" i="56"/>
  <c r="S190" i="56"/>
  <c r="P190" i="56"/>
  <c r="Q190" i="56"/>
  <c r="W130" i="56"/>
  <c r="AC130" i="56"/>
  <c r="W197" i="56"/>
  <c r="P139" i="75" s="1"/>
  <c r="P197" i="56"/>
  <c r="K197" i="56"/>
  <c r="S197" i="56"/>
  <c r="J197" i="56"/>
  <c r="I139" i="75" s="1"/>
  <c r="R197" i="56"/>
  <c r="Q197" i="56"/>
  <c r="W173" i="56"/>
  <c r="P173" i="56"/>
  <c r="K173" i="56"/>
  <c r="AJ173" i="56" s="1"/>
  <c r="S173" i="56"/>
  <c r="J173" i="56"/>
  <c r="R173" i="56"/>
  <c r="Q173" i="56"/>
  <c r="J175" i="56"/>
  <c r="I49" i="75" s="1"/>
  <c r="R175" i="56"/>
  <c r="P175" i="56"/>
  <c r="Q175" i="56"/>
  <c r="S175" i="56"/>
  <c r="W175" i="56"/>
  <c r="K175" i="56"/>
  <c r="W123" i="56"/>
  <c r="J178" i="56"/>
  <c r="W178" i="56"/>
  <c r="K178" i="56"/>
  <c r="AJ178" i="56" s="1"/>
  <c r="R178" i="56"/>
  <c r="S178" i="56"/>
  <c r="P178" i="56"/>
  <c r="Q178" i="56"/>
  <c r="P195" i="56"/>
  <c r="Q195" i="56"/>
  <c r="S195" i="56"/>
  <c r="W195" i="56"/>
  <c r="P129" i="75" s="1"/>
  <c r="K195" i="56"/>
  <c r="J195" i="56"/>
  <c r="I129" i="75" s="1"/>
  <c r="R195" i="56"/>
  <c r="C112" i="55"/>
  <c r="I112" i="55" s="1"/>
  <c r="P171" i="56"/>
  <c r="Q171" i="56"/>
  <c r="S171" i="56"/>
  <c r="W171" i="56"/>
  <c r="K171" i="56"/>
  <c r="J171" i="56"/>
  <c r="I34" i="75" s="1"/>
  <c r="R171" i="56"/>
  <c r="C57" i="55"/>
  <c r="F57" i="55" s="1"/>
  <c r="W114" i="56"/>
  <c r="P166" i="56"/>
  <c r="S166" i="56"/>
  <c r="J166" i="56"/>
  <c r="I14" i="75" s="1"/>
  <c r="R166" i="56"/>
  <c r="W166" i="56"/>
  <c r="K166" i="56"/>
  <c r="Q166" i="56"/>
  <c r="W201" i="56"/>
  <c r="P201" i="56"/>
  <c r="K201" i="56"/>
  <c r="Q201" i="56"/>
  <c r="S201" i="56"/>
  <c r="R201" i="56"/>
  <c r="J201" i="56"/>
  <c r="I154" i="75" s="1"/>
  <c r="P207" i="56"/>
  <c r="Q207" i="56"/>
  <c r="S207" i="56"/>
  <c r="W207" i="56"/>
  <c r="K207" i="56"/>
  <c r="R207" i="56"/>
  <c r="J207" i="56"/>
  <c r="I179" i="75" s="1"/>
  <c r="P192" i="56"/>
  <c r="Q192" i="56"/>
  <c r="J192" i="56"/>
  <c r="I119" i="75" s="1"/>
  <c r="W192" i="56"/>
  <c r="P119" i="75" s="1"/>
  <c r="S192" i="56"/>
  <c r="K192" i="56"/>
  <c r="R192" i="56"/>
  <c r="AA168" i="56"/>
  <c r="R168" i="56"/>
  <c r="J168" i="56"/>
  <c r="W168" i="56"/>
  <c r="P168" i="56"/>
  <c r="K168" i="56"/>
  <c r="AJ168" i="56" s="1"/>
  <c r="Q168" i="56"/>
  <c r="S168" i="56"/>
  <c r="R184" i="56"/>
  <c r="K184" i="56"/>
  <c r="W184" i="56"/>
  <c r="P84" i="75" s="1"/>
  <c r="S184" i="56"/>
  <c r="P184" i="56"/>
  <c r="Q184" i="56"/>
  <c r="J184" i="56"/>
  <c r="I84" i="75" s="1"/>
  <c r="P206" i="56"/>
  <c r="S206" i="56"/>
  <c r="J206" i="56"/>
  <c r="I174" i="75" s="1"/>
  <c r="W206" i="56"/>
  <c r="P174" i="75" s="1"/>
  <c r="Q206" i="56"/>
  <c r="K206" i="56"/>
  <c r="R206" i="56"/>
  <c r="P188" i="56"/>
  <c r="W188" i="56"/>
  <c r="S188" i="56"/>
  <c r="K188" i="56"/>
  <c r="AJ188" i="56" s="1"/>
  <c r="Q188" i="56"/>
  <c r="R188" i="56"/>
  <c r="J188" i="56"/>
  <c r="P176" i="56"/>
  <c r="W176" i="56"/>
  <c r="S176" i="56"/>
  <c r="K176" i="56"/>
  <c r="Q176" i="56"/>
  <c r="J176" i="56"/>
  <c r="I54" i="75" s="1"/>
  <c r="R176" i="56"/>
  <c r="P167" i="56"/>
  <c r="Q167" i="56"/>
  <c r="J167" i="56"/>
  <c r="I19" i="75" s="1"/>
  <c r="W167" i="56"/>
  <c r="P19" i="75" s="1"/>
  <c r="S167" i="56"/>
  <c r="K167" i="56"/>
  <c r="R167" i="56"/>
  <c r="P191" i="56"/>
  <c r="S191" i="56"/>
  <c r="J191" i="56"/>
  <c r="I114" i="75" s="1"/>
  <c r="R191" i="56"/>
  <c r="W191" i="56"/>
  <c r="K191" i="56"/>
  <c r="Q191" i="56"/>
  <c r="W164" i="56"/>
  <c r="P4" i="75" s="1"/>
  <c r="K164" i="56"/>
  <c r="M4" i="75"/>
  <c r="Q164" i="56"/>
  <c r="J164" i="56"/>
  <c r="I4" i="75" s="1"/>
  <c r="K4" i="75"/>
  <c r="S164" i="56"/>
  <c r="L4" i="75"/>
  <c r="R164" i="56"/>
  <c r="N4" i="75"/>
  <c r="P164" i="56"/>
  <c r="W119" i="56"/>
  <c r="P38" i="75" s="1"/>
  <c r="W117" i="56"/>
  <c r="P28" i="75" s="1"/>
  <c r="P180" i="56"/>
  <c r="Q180" i="56"/>
  <c r="J180" i="56"/>
  <c r="I69" i="75" s="1"/>
  <c r="W180" i="56"/>
  <c r="S180" i="56"/>
  <c r="K180" i="56"/>
  <c r="R180" i="56"/>
  <c r="P179" i="56"/>
  <c r="S179" i="56"/>
  <c r="J179" i="56"/>
  <c r="I64" i="75" s="1"/>
  <c r="R179" i="56"/>
  <c r="K179" i="56"/>
  <c r="W179" i="56"/>
  <c r="P64" i="75" s="1"/>
  <c r="Q179" i="56"/>
  <c r="R181" i="56"/>
  <c r="P181" i="56"/>
  <c r="Q181" i="56"/>
  <c r="S181" i="56"/>
  <c r="J181" i="56"/>
  <c r="I74" i="75" s="1"/>
  <c r="W181" i="56"/>
  <c r="K181" i="56"/>
  <c r="P200" i="56"/>
  <c r="W200" i="56"/>
  <c r="S200" i="56"/>
  <c r="K200" i="56"/>
  <c r="Q200" i="56"/>
  <c r="J200" i="56"/>
  <c r="I149" i="75" s="1"/>
  <c r="R200" i="56"/>
  <c r="P212" i="56"/>
  <c r="Q212" i="56"/>
  <c r="S212" i="56"/>
  <c r="R212" i="56"/>
  <c r="J212" i="56"/>
  <c r="I199" i="75" s="1"/>
  <c r="W212" i="56"/>
  <c r="K212" i="56"/>
  <c r="W177" i="56"/>
  <c r="P177" i="56"/>
  <c r="K177" i="56"/>
  <c r="Q177" i="56"/>
  <c r="S177" i="56"/>
  <c r="R177" i="56"/>
  <c r="J177" i="56"/>
  <c r="I59" i="75" s="1"/>
  <c r="C111" i="55"/>
  <c r="D111" i="55" s="1"/>
  <c r="P169" i="56"/>
  <c r="S169" i="56"/>
  <c r="J169" i="56"/>
  <c r="I24" i="75" s="1"/>
  <c r="W169" i="56"/>
  <c r="P24" i="75" s="1"/>
  <c r="K169" i="56"/>
  <c r="Q169" i="56"/>
  <c r="R169" i="56"/>
  <c r="P198" i="56"/>
  <c r="Q198" i="56"/>
  <c r="S198" i="56"/>
  <c r="R198" i="56"/>
  <c r="J198" i="56"/>
  <c r="W198" i="56"/>
  <c r="K198" i="56"/>
  <c r="AJ198" i="56" s="1"/>
  <c r="R193" i="56"/>
  <c r="J193" i="56"/>
  <c r="W193" i="56"/>
  <c r="P193" i="56"/>
  <c r="K193" i="56"/>
  <c r="AJ193" i="56" s="1"/>
  <c r="Q193" i="56"/>
  <c r="S193" i="56"/>
  <c r="W185" i="56"/>
  <c r="P185" i="56"/>
  <c r="K185" i="56"/>
  <c r="S185" i="56"/>
  <c r="J185" i="56"/>
  <c r="I89" i="75" s="1"/>
  <c r="R185" i="56"/>
  <c r="Q185" i="56"/>
  <c r="R196" i="56"/>
  <c r="J196" i="56"/>
  <c r="I134" i="75" s="1"/>
  <c r="Q196" i="56"/>
  <c r="W196" i="56"/>
  <c r="P134" i="75" s="1"/>
  <c r="K196" i="56"/>
  <c r="S196" i="56"/>
  <c r="P196" i="56"/>
  <c r="P183" i="56"/>
  <c r="Q183" i="56"/>
  <c r="S183" i="56"/>
  <c r="W183" i="56"/>
  <c r="K183" i="56"/>
  <c r="AJ183" i="56" s="1"/>
  <c r="R183" i="56"/>
  <c r="J183" i="56"/>
  <c r="W211" i="56"/>
  <c r="P211" i="56"/>
  <c r="K211" i="56"/>
  <c r="S211" i="56"/>
  <c r="J211" i="56"/>
  <c r="I194" i="75" s="1"/>
  <c r="R211" i="56"/>
  <c r="Q211" i="56"/>
  <c r="W115" i="56"/>
  <c r="AA115" i="56"/>
  <c r="P203" i="56"/>
  <c r="S203" i="56"/>
  <c r="J203" i="56"/>
  <c r="R203" i="56"/>
  <c r="K203" i="56"/>
  <c r="AJ203" i="56" s="1"/>
  <c r="W203" i="56"/>
  <c r="Q203" i="56"/>
  <c r="W113" i="56"/>
  <c r="P174" i="56"/>
  <c r="Q174" i="56"/>
  <c r="S174" i="56"/>
  <c r="R174" i="56"/>
  <c r="J174" i="56"/>
  <c r="I44" i="75" s="1"/>
  <c r="W174" i="56"/>
  <c r="P44" i="75" s="1"/>
  <c r="K174" i="56"/>
  <c r="AA174" i="56"/>
  <c r="W152" i="56"/>
  <c r="P168" i="75" s="1"/>
  <c r="P194" i="56"/>
  <c r="S194" i="56"/>
  <c r="J194" i="56"/>
  <c r="I124" i="75" s="1"/>
  <c r="W194" i="56"/>
  <c r="P124" i="75" s="1"/>
  <c r="K194" i="56"/>
  <c r="Q194" i="56"/>
  <c r="R194" i="56"/>
  <c r="W160" i="56"/>
  <c r="R205" i="56"/>
  <c r="P205" i="56"/>
  <c r="Q205" i="56"/>
  <c r="S205" i="56"/>
  <c r="W205" i="56"/>
  <c r="K205" i="56"/>
  <c r="J205" i="56"/>
  <c r="I169" i="75" s="1"/>
  <c r="W148" i="56"/>
  <c r="W138" i="56"/>
  <c r="P204" i="56"/>
  <c r="Q204" i="56"/>
  <c r="J204" i="56"/>
  <c r="I164" i="75" s="1"/>
  <c r="W204" i="56"/>
  <c r="S204" i="56"/>
  <c r="K204" i="56"/>
  <c r="R204" i="56"/>
  <c r="J202" i="56"/>
  <c r="I159" i="75" s="1"/>
  <c r="W202" i="56"/>
  <c r="K202" i="56"/>
  <c r="R202" i="56"/>
  <c r="S202" i="56"/>
  <c r="P202" i="56"/>
  <c r="Q202" i="56"/>
  <c r="P182" i="56"/>
  <c r="S182" i="56"/>
  <c r="J182" i="56"/>
  <c r="I79" i="75" s="1"/>
  <c r="K182" i="56"/>
  <c r="Q182" i="56"/>
  <c r="R182" i="56"/>
  <c r="W182" i="56"/>
  <c r="C55" i="55"/>
  <c r="D55" i="55" s="1"/>
  <c r="W112" i="56"/>
  <c r="J199" i="56"/>
  <c r="I144" i="75" s="1"/>
  <c r="R199" i="56"/>
  <c r="P199" i="56"/>
  <c r="Q199" i="56"/>
  <c r="S199" i="56"/>
  <c r="W199" i="56"/>
  <c r="K199" i="56"/>
  <c r="AY48" i="56"/>
  <c r="AX48" i="56"/>
  <c r="AT48" i="56"/>
  <c r="BA48" i="56"/>
  <c r="AV48" i="56"/>
  <c r="BB48" i="56"/>
  <c r="AS48" i="56"/>
  <c r="AW48" i="56"/>
  <c r="AQ48" i="56"/>
  <c r="AR48" i="56"/>
  <c r="AU48" i="56"/>
  <c r="AH47" i="56"/>
  <c r="AJ47" i="56"/>
  <c r="AK47" i="56"/>
  <c r="AA47" i="56"/>
  <c r="AG47" i="56"/>
  <c r="AB47" i="56"/>
  <c r="Z47" i="56"/>
  <c r="AF47" i="56"/>
  <c r="AC47" i="56"/>
  <c r="AD47" i="56"/>
  <c r="AE47" i="56"/>
  <c r="AA48" i="56"/>
  <c r="AB48" i="56"/>
  <c r="AC48" i="56"/>
  <c r="AD48" i="56"/>
  <c r="Z48" i="56"/>
  <c r="AE48" i="56"/>
  <c r="AJ48" i="56"/>
  <c r="AK48" i="56"/>
  <c r="AH48" i="56"/>
  <c r="AF48" i="56"/>
  <c r="AG48" i="56"/>
  <c r="AW47" i="56"/>
  <c r="AY47" i="56"/>
  <c r="BA47" i="56"/>
  <c r="AU47" i="56"/>
  <c r="AX47" i="56"/>
  <c r="BB47" i="56"/>
  <c r="AV47" i="56"/>
  <c r="AT47" i="56"/>
  <c r="AQ47" i="56"/>
  <c r="AR47" i="56"/>
  <c r="AS47" i="56"/>
  <c r="AC131" i="56"/>
  <c r="C113" i="55"/>
  <c r="H113" i="55" s="1"/>
  <c r="C109" i="55"/>
  <c r="D109" i="55" s="1"/>
  <c r="C106" i="55"/>
  <c r="F106" i="55" s="1"/>
  <c r="L106" i="55" s="1"/>
  <c r="C152" i="55"/>
  <c r="H152" i="55" s="1"/>
  <c r="C120" i="55"/>
  <c r="H120" i="55" s="1"/>
  <c r="C150" i="55"/>
  <c r="H150" i="55" s="1"/>
  <c r="C130" i="55"/>
  <c r="G130" i="55" s="1"/>
  <c r="C138" i="55"/>
  <c r="F138" i="55" s="1"/>
  <c r="AC139" i="56"/>
  <c r="AC143" i="56"/>
  <c r="AC127" i="56"/>
  <c r="AC134" i="56"/>
  <c r="AC132" i="56"/>
  <c r="AC155" i="56"/>
  <c r="AC141" i="56"/>
  <c r="AC118" i="56"/>
  <c r="AC142" i="56"/>
  <c r="AC129" i="56"/>
  <c r="AC112" i="56"/>
  <c r="C100" i="55"/>
  <c r="D100" i="55" s="1"/>
  <c r="AC154" i="56"/>
  <c r="AC144" i="56"/>
  <c r="AC152" i="56"/>
  <c r="AC160" i="56"/>
  <c r="AC115" i="56"/>
  <c r="AC122" i="56"/>
  <c r="AC150" i="56"/>
  <c r="AC151" i="56"/>
  <c r="AC140" i="56"/>
  <c r="AC133" i="56"/>
  <c r="AC117" i="56"/>
  <c r="AC120" i="56"/>
  <c r="AC135" i="56"/>
  <c r="AC111" i="56"/>
  <c r="AC149" i="56"/>
  <c r="AC146" i="56"/>
  <c r="AC116" i="56"/>
  <c r="AC136" i="56"/>
  <c r="AC123" i="56"/>
  <c r="AC121" i="56"/>
  <c r="AC119" i="56"/>
  <c r="AC138" i="56"/>
  <c r="AC145" i="56"/>
  <c r="AC124" i="56"/>
  <c r="AC114" i="56"/>
  <c r="AC147" i="56"/>
  <c r="AC148" i="56"/>
  <c r="AC113" i="56"/>
  <c r="AC126" i="56"/>
  <c r="AC125" i="56"/>
  <c r="AC153" i="56"/>
  <c r="AC128" i="56"/>
  <c r="AC137" i="56"/>
  <c r="D39" i="61"/>
  <c r="D28" i="61"/>
  <c r="D29" i="61"/>
  <c r="D25" i="61"/>
  <c r="D40" i="61"/>
  <c r="D41" i="61"/>
  <c r="D34" i="61"/>
  <c r="D37" i="61"/>
  <c r="D36" i="61"/>
  <c r="D26" i="61"/>
  <c r="D30" i="61"/>
  <c r="D42" i="61"/>
  <c r="D38" i="61"/>
  <c r="D33" i="61"/>
  <c r="D35" i="61"/>
  <c r="D32" i="61"/>
  <c r="D27" i="61"/>
  <c r="D31" i="61"/>
  <c r="D24" i="61"/>
  <c r="AR5" i="46" a="1"/>
  <c r="AR5" i="46" s="1"/>
  <c r="AV5" i="46" a="1"/>
  <c r="AV5" i="46" s="1"/>
  <c r="B16" i="58"/>
  <c r="C16" i="58" s="1"/>
  <c r="AT27" i="56"/>
  <c r="BB27" i="56"/>
  <c r="AQ27" i="56"/>
  <c r="AV27" i="56"/>
  <c r="AR27" i="56"/>
  <c r="AS27" i="56"/>
  <c r="AY27" i="56"/>
  <c r="AW27" i="56"/>
  <c r="AU27" i="56"/>
  <c r="AX27" i="56"/>
  <c r="BA27" i="56"/>
  <c r="AF27" i="56"/>
  <c r="AG27" i="56"/>
  <c r="AK27" i="56"/>
  <c r="AE27" i="56"/>
  <c r="AJ27" i="56"/>
  <c r="AA27" i="56"/>
  <c r="Z27" i="56"/>
  <c r="AD27" i="56"/>
  <c r="AB27" i="56"/>
  <c r="AC27" i="56"/>
  <c r="AH27" i="56"/>
  <c r="C125" i="55"/>
  <c r="G125" i="55" s="1"/>
  <c r="C128" i="55"/>
  <c r="G128" i="55" s="1"/>
  <c r="C137" i="55"/>
  <c r="H137" i="55" s="1"/>
  <c r="C135" i="55"/>
  <c r="H135" i="55" s="1"/>
  <c r="C133" i="55"/>
  <c r="G133" i="55" s="1"/>
  <c r="C132" i="55"/>
  <c r="I132" i="55" s="1"/>
  <c r="C151" i="55"/>
  <c r="D151" i="55" s="1"/>
  <c r="C142" i="55"/>
  <c r="F142" i="55" s="1"/>
  <c r="C127" i="55"/>
  <c r="I127" i="55" s="1"/>
  <c r="C141" i="55"/>
  <c r="G141" i="55" s="1"/>
  <c r="C146" i="55"/>
  <c r="I146" i="55" s="1"/>
  <c r="E6" i="53"/>
  <c r="C148" i="55"/>
  <c r="G148" i="55" s="1"/>
  <c r="C136" i="55"/>
  <c r="D136" i="55" s="1"/>
  <c r="C116" i="55"/>
  <c r="E116" i="55" s="1"/>
  <c r="E7" i="53"/>
  <c r="C126" i="55"/>
  <c r="D126" i="55" s="1"/>
  <c r="E8" i="53"/>
  <c r="C129" i="55"/>
  <c r="D129" i="55" s="1"/>
  <c r="C134" i="55"/>
  <c r="F134" i="55" s="1"/>
  <c r="C143" i="55"/>
  <c r="E143" i="55" s="1"/>
  <c r="B17" i="58"/>
  <c r="C17" i="58" s="1"/>
  <c r="C119" i="55"/>
  <c r="I119" i="55" s="1"/>
  <c r="C147" i="55"/>
  <c r="G147" i="55" s="1"/>
  <c r="C153" i="55"/>
  <c r="I153" i="55" s="1"/>
  <c r="C131" i="55"/>
  <c r="D131" i="55" s="1"/>
  <c r="C140" i="55"/>
  <c r="D140" i="55" s="1"/>
  <c r="C139" i="55"/>
  <c r="D139" i="55" s="1"/>
  <c r="C108" i="55"/>
  <c r="F108" i="55" s="1"/>
  <c r="C41" i="49"/>
  <c r="C85" i="55"/>
  <c r="D85" i="55" s="1"/>
  <c r="B25" i="58"/>
  <c r="C74" i="55"/>
  <c r="H74" i="55" s="1"/>
  <c r="B15" i="58"/>
  <c r="C82" i="55"/>
  <c r="F82" i="55" s="1"/>
  <c r="B22" i="58"/>
  <c r="C87" i="55"/>
  <c r="E87" i="55" s="1"/>
  <c r="B27" i="58"/>
  <c r="C92" i="55"/>
  <c r="G92" i="55" s="1"/>
  <c r="B30" i="58"/>
  <c r="C61" i="55"/>
  <c r="I61" i="55" s="1"/>
  <c r="B6" i="58"/>
  <c r="C73" i="55"/>
  <c r="I73" i="55" s="1"/>
  <c r="B14" i="58"/>
  <c r="C93" i="55"/>
  <c r="D93" i="55" s="1"/>
  <c r="B31" i="58"/>
  <c r="C63" i="55"/>
  <c r="I63" i="55" s="1"/>
  <c r="B7" i="58"/>
  <c r="C83" i="55"/>
  <c r="E83" i="55" s="1"/>
  <c r="B23" i="58"/>
  <c r="C99" i="55"/>
  <c r="G99" i="55" s="1"/>
  <c r="B34" i="58"/>
  <c r="C98" i="55"/>
  <c r="E98" i="55" s="1"/>
  <c r="B33" i="58"/>
  <c r="C54" i="55"/>
  <c r="D54" i="55" s="1"/>
  <c r="B3" i="58"/>
  <c r="C79" i="55"/>
  <c r="D79" i="55" s="1"/>
  <c r="B19" i="58"/>
  <c r="C67" i="55"/>
  <c r="H67" i="55" s="1"/>
  <c r="B9" i="58"/>
  <c r="C59" i="55"/>
  <c r="F59" i="55" s="1"/>
  <c r="B5" i="58"/>
  <c r="C95" i="55"/>
  <c r="F95" i="55" s="1"/>
  <c r="B32" i="58"/>
  <c r="C86" i="55"/>
  <c r="G86" i="55" s="1"/>
  <c r="B26" i="58"/>
  <c r="C58" i="55"/>
  <c r="G58" i="55" s="1"/>
  <c r="B4" i="58"/>
  <c r="C71" i="55"/>
  <c r="H71" i="55" s="1"/>
  <c r="B12" i="58"/>
  <c r="C70" i="55"/>
  <c r="G70" i="55" s="1"/>
  <c r="B11" i="58"/>
  <c r="C69" i="55"/>
  <c r="G69" i="55" s="1"/>
  <c r="B10" i="58"/>
  <c r="C66" i="55"/>
  <c r="G66" i="55" s="1"/>
  <c r="B8" i="58"/>
  <c r="C72" i="55"/>
  <c r="E72" i="55" s="1"/>
  <c r="B13" i="58"/>
  <c r="C91" i="55"/>
  <c r="I91" i="55" s="1"/>
  <c r="B29" i="58"/>
  <c r="C88" i="55"/>
  <c r="D88" i="55" s="1"/>
  <c r="B28" i="58"/>
  <c r="C78" i="55"/>
  <c r="H78" i="55" s="1"/>
  <c r="B18" i="58"/>
  <c r="C80" i="55"/>
  <c r="H80" i="55" s="1"/>
  <c r="B20" i="58"/>
  <c r="C102" i="55"/>
  <c r="H102" i="55" s="1"/>
  <c r="B35" i="58"/>
  <c r="C81" i="55"/>
  <c r="H81" i="55" s="1"/>
  <c r="B21" i="58"/>
  <c r="C84" i="55"/>
  <c r="G84" i="55" s="1"/>
  <c r="B24" i="58"/>
  <c r="H36" i="27"/>
  <c r="I36" i="27" s="1"/>
  <c r="L36" i="27" s="1"/>
  <c r="E9" i="53"/>
  <c r="C8" i="53"/>
  <c r="C7" i="53"/>
  <c r="C6" i="53"/>
  <c r="C9" i="53"/>
  <c r="C94" i="55"/>
  <c r="C23" i="53"/>
  <c r="C76" i="55"/>
  <c r="C155" i="55"/>
  <c r="C60" i="55"/>
  <c r="I21" i="53"/>
  <c r="C115" i="55"/>
  <c r="C56" i="55"/>
  <c r="E21" i="53"/>
  <c r="C110" i="55"/>
  <c r="C90" i="55"/>
  <c r="C62" i="55"/>
  <c r="E22" i="53"/>
  <c r="E23" i="53"/>
  <c r="C107" i="55"/>
  <c r="C149" i="55"/>
  <c r="C68" i="55"/>
  <c r="C103" i="55"/>
  <c r="C154" i="55"/>
  <c r="C121" i="55"/>
  <c r="C145" i="55"/>
  <c r="E24" i="53"/>
  <c r="C118" i="55"/>
  <c r="K21" i="53"/>
  <c r="C89" i="55"/>
  <c r="C64" i="55"/>
  <c r="C22" i="53"/>
  <c r="I22" i="53"/>
  <c r="K23" i="53"/>
  <c r="C117" i="55"/>
  <c r="C77" i="55"/>
  <c r="C24" i="53"/>
  <c r="C65" i="55"/>
  <c r="I24" i="53"/>
  <c r="K24" i="53"/>
  <c r="C144" i="55"/>
  <c r="C21" i="53"/>
  <c r="I23" i="53"/>
  <c r="K22" i="53"/>
  <c r="BB9" i="56"/>
  <c r="AR9" i="56"/>
  <c r="AQ9" i="56"/>
  <c r="AW9" i="56"/>
  <c r="AT9" i="56"/>
  <c r="AX9" i="56"/>
  <c r="AU9" i="56"/>
  <c r="AS9" i="56"/>
  <c r="AY9" i="56"/>
  <c r="AV9" i="56"/>
  <c r="BA9" i="56"/>
  <c r="BA20" i="56"/>
  <c r="BB20" i="56"/>
  <c r="AQ20" i="56"/>
  <c r="AX20" i="56"/>
  <c r="AR20" i="56"/>
  <c r="AY20" i="56"/>
  <c r="AS20" i="56"/>
  <c r="AT20" i="56"/>
  <c r="AV20" i="56"/>
  <c r="AW20" i="56"/>
  <c r="AU20" i="56"/>
  <c r="AF34" i="56"/>
  <c r="AB34" i="56"/>
  <c r="AK34" i="56"/>
  <c r="AA34" i="56"/>
  <c r="AJ34" i="56"/>
  <c r="AD34" i="56"/>
  <c r="AG34" i="56"/>
  <c r="Z34" i="56"/>
  <c r="AH34" i="56"/>
  <c r="AE34" i="56"/>
  <c r="AC34" i="56"/>
  <c r="AN54" i="56"/>
  <c r="AU33" i="56"/>
  <c r="AW33" i="56"/>
  <c r="AT33" i="56"/>
  <c r="AX33" i="56"/>
  <c r="AY33" i="56"/>
  <c r="BA33" i="56"/>
  <c r="AQ33" i="56"/>
  <c r="AR33" i="56"/>
  <c r="AS33" i="56"/>
  <c r="BB33" i="56"/>
  <c r="AV33" i="56"/>
  <c r="AV32" i="56"/>
  <c r="AS32" i="56"/>
  <c r="AU32" i="56"/>
  <c r="BB32" i="56"/>
  <c r="AQ32" i="56"/>
  <c r="AR32" i="56"/>
  <c r="AT32" i="56"/>
  <c r="AY32" i="56"/>
  <c r="AW32" i="56"/>
  <c r="AX32" i="56"/>
  <c r="BA32" i="56"/>
  <c r="AT38" i="56"/>
  <c r="AV38" i="56"/>
  <c r="AW38" i="56"/>
  <c r="BB38" i="56"/>
  <c r="AR38" i="56"/>
  <c r="AX38" i="56"/>
  <c r="AY38" i="56"/>
  <c r="BA38" i="56"/>
  <c r="AU38" i="56"/>
  <c r="AS38" i="56"/>
  <c r="AQ38" i="56"/>
  <c r="AB32" i="56"/>
  <c r="AC32" i="56"/>
  <c r="AA32" i="56"/>
  <c r="Z32" i="56"/>
  <c r="AD32" i="56"/>
  <c r="AF32" i="56"/>
  <c r="AE32" i="56"/>
  <c r="AH32" i="56"/>
  <c r="AG32" i="56"/>
  <c r="AJ32" i="56"/>
  <c r="AK32" i="56"/>
  <c r="AG11" i="56"/>
  <c r="Z11" i="56"/>
  <c r="AH11" i="56"/>
  <c r="AF11" i="56"/>
  <c r="AJ11" i="56"/>
  <c r="AE11" i="56"/>
  <c r="AK11" i="56"/>
  <c r="AD11" i="56"/>
  <c r="AC11" i="56"/>
  <c r="AB11" i="56"/>
  <c r="AA11" i="56"/>
  <c r="AV26" i="56"/>
  <c r="AS26" i="56"/>
  <c r="AT26" i="56"/>
  <c r="AU26" i="56"/>
  <c r="AW26" i="56"/>
  <c r="AR26" i="56"/>
  <c r="AX26" i="56"/>
  <c r="AY26" i="56"/>
  <c r="BA26" i="56"/>
  <c r="BB26" i="56"/>
  <c r="AQ26" i="56"/>
  <c r="AE20" i="56"/>
  <c r="AG20" i="56"/>
  <c r="AK20" i="56"/>
  <c r="AF20" i="56"/>
  <c r="AD20" i="56"/>
  <c r="AA20" i="56"/>
  <c r="Z20" i="56"/>
  <c r="AC20" i="56"/>
  <c r="AH20" i="56"/>
  <c r="AB20" i="56"/>
  <c r="AJ20" i="56"/>
  <c r="AD45" i="56"/>
  <c r="Z45" i="56"/>
  <c r="AB45" i="56"/>
  <c r="AF45" i="56"/>
  <c r="AC45" i="56"/>
  <c r="AE45" i="56"/>
  <c r="AK45" i="56"/>
  <c r="AA45" i="56"/>
  <c r="AG45" i="56"/>
  <c r="AJ45" i="56"/>
  <c r="AH45" i="56"/>
  <c r="AZ54" i="56"/>
  <c r="BB42" i="56"/>
  <c r="AS42" i="56"/>
  <c r="AT42" i="56"/>
  <c r="AU42" i="56"/>
  <c r="AV42" i="56"/>
  <c r="AY42" i="56"/>
  <c r="AX42" i="56"/>
  <c r="AR42" i="56"/>
  <c r="BA42" i="56"/>
  <c r="AW42" i="56"/>
  <c r="AQ42" i="56"/>
  <c r="AY41" i="56"/>
  <c r="BA41" i="56"/>
  <c r="AU41" i="56"/>
  <c r="AV41" i="56"/>
  <c r="AW41" i="56"/>
  <c r="BB41" i="56"/>
  <c r="AS41" i="56"/>
  <c r="AT41" i="56"/>
  <c r="AQ41" i="56"/>
  <c r="AX41" i="56"/>
  <c r="AR41" i="56"/>
  <c r="AA7" i="56"/>
  <c r="AF7" i="56"/>
  <c r="AE7" i="56"/>
  <c r="AD7" i="56"/>
  <c r="Z7" i="56"/>
  <c r="AK7" i="56"/>
  <c r="AC7" i="56"/>
  <c r="AH7" i="56"/>
  <c r="AB7" i="56"/>
  <c r="AG7" i="56"/>
  <c r="AJ7" i="56"/>
  <c r="Z35" i="56"/>
  <c r="AD35" i="56"/>
  <c r="AF35" i="56"/>
  <c r="AB35" i="56"/>
  <c r="AJ35" i="56"/>
  <c r="AC35" i="56"/>
  <c r="AE35" i="56"/>
  <c r="AH35" i="56"/>
  <c r="AA35" i="56"/>
  <c r="AK35" i="56"/>
  <c r="AG35" i="56"/>
  <c r="AQ7" i="56"/>
  <c r="AS7" i="56"/>
  <c r="AT7" i="56"/>
  <c r="AV7" i="56"/>
  <c r="AU7" i="56"/>
  <c r="AR7" i="56"/>
  <c r="BA7" i="56"/>
  <c r="BB7" i="56"/>
  <c r="AY7" i="56"/>
  <c r="AW7" i="56"/>
  <c r="AX7" i="56"/>
  <c r="AW17" i="56"/>
  <c r="AX17" i="56"/>
  <c r="AY17" i="56"/>
  <c r="BB17" i="56"/>
  <c r="AR17" i="56"/>
  <c r="AS17" i="56"/>
  <c r="BA17" i="56"/>
  <c r="AQ17" i="56"/>
  <c r="AU17" i="56"/>
  <c r="AT17" i="56"/>
  <c r="AV17" i="56"/>
  <c r="AC23" i="56"/>
  <c r="AB23" i="56"/>
  <c r="AA23" i="56"/>
  <c r="AG23" i="56"/>
  <c r="AH23" i="56"/>
  <c r="AJ23" i="56"/>
  <c r="AD23" i="56"/>
  <c r="AK23" i="56"/>
  <c r="Z23" i="56"/>
  <c r="AF23" i="56"/>
  <c r="AE23" i="56"/>
  <c r="AF24" i="56"/>
  <c r="AE24" i="56"/>
  <c r="AC24" i="56"/>
  <c r="AD24" i="56"/>
  <c r="AB24" i="56"/>
  <c r="AG24" i="56"/>
  <c r="AA24" i="56"/>
  <c r="AJ24" i="56"/>
  <c r="Z24" i="56"/>
  <c r="AH24" i="56"/>
  <c r="AK24" i="56"/>
  <c r="AM54" i="56"/>
  <c r="AU8" i="56"/>
  <c r="AV8" i="56"/>
  <c r="AW8" i="56"/>
  <c r="AY8" i="56"/>
  <c r="AT8" i="56"/>
  <c r="BA8" i="56"/>
  <c r="AR8" i="56"/>
  <c r="BB8" i="56"/>
  <c r="AQ8" i="56"/>
  <c r="AX8" i="56"/>
  <c r="AS8" i="56"/>
  <c r="AT6" i="56"/>
  <c r="AU6" i="56"/>
  <c r="AV6" i="56"/>
  <c r="AW6" i="56"/>
  <c r="AX6" i="56"/>
  <c r="AY6" i="56"/>
  <c r="BB6" i="56"/>
  <c r="BA6" i="56"/>
  <c r="AR6" i="56"/>
  <c r="AQ6" i="56"/>
  <c r="AS6" i="56"/>
  <c r="AI54" i="56"/>
  <c r="AY22" i="56"/>
  <c r="BA22" i="56"/>
  <c r="AX22" i="56"/>
  <c r="BB22" i="56"/>
  <c r="AQ22" i="56"/>
  <c r="AR22" i="56"/>
  <c r="AS22" i="56"/>
  <c r="AT22" i="56"/>
  <c r="AV22" i="56"/>
  <c r="AU22" i="56"/>
  <c r="AW22" i="56"/>
  <c r="AK22" i="56"/>
  <c r="AG22" i="56"/>
  <c r="AH22" i="56"/>
  <c r="AD22" i="56"/>
  <c r="AF22" i="56"/>
  <c r="AB22" i="56"/>
  <c r="AA22" i="56"/>
  <c r="AE22" i="56"/>
  <c r="AC22" i="56"/>
  <c r="Z22" i="56"/>
  <c r="AJ22" i="56"/>
  <c r="AD31" i="56"/>
  <c r="AA31" i="56"/>
  <c r="AF31" i="56"/>
  <c r="AC31" i="56"/>
  <c r="Z31" i="56"/>
  <c r="AB31" i="56"/>
  <c r="AK31" i="56"/>
  <c r="AJ31" i="56"/>
  <c r="AE31" i="56"/>
  <c r="AG31" i="56"/>
  <c r="AH31" i="56"/>
  <c r="AU53" i="56"/>
  <c r="AW53" i="56"/>
  <c r="AX53" i="56"/>
  <c r="AQ53" i="56"/>
  <c r="AR53" i="56"/>
  <c r="AV53" i="56"/>
  <c r="BB53" i="56"/>
  <c r="AY53" i="56"/>
  <c r="AS53" i="56"/>
  <c r="BA53" i="56"/>
  <c r="AT53" i="56"/>
  <c r="AQ15" i="56"/>
  <c r="AR15" i="56"/>
  <c r="AS15" i="56"/>
  <c r="AU15" i="56"/>
  <c r="BA15" i="56"/>
  <c r="BB15" i="56"/>
  <c r="AT15" i="56"/>
  <c r="AW15" i="56"/>
  <c r="AX15" i="56"/>
  <c r="AY15" i="56"/>
  <c r="AV15" i="56"/>
  <c r="AH16" i="56"/>
  <c r="AD16" i="56"/>
  <c r="AJ16" i="56"/>
  <c r="Z16" i="56"/>
  <c r="AK16" i="56"/>
  <c r="AC16" i="56"/>
  <c r="AE16" i="56"/>
  <c r="AB16" i="56"/>
  <c r="AA16" i="56"/>
  <c r="AG16" i="56"/>
  <c r="AF16" i="56"/>
  <c r="AC15" i="56"/>
  <c r="AE15" i="56"/>
  <c r="AB15" i="56"/>
  <c r="AJ15" i="56"/>
  <c r="Z15" i="56"/>
  <c r="AH15" i="56"/>
  <c r="AK15" i="56"/>
  <c r="AG15" i="56"/>
  <c r="AF15" i="56"/>
  <c r="AA15" i="56"/>
  <c r="AD15" i="56"/>
  <c r="AG42" i="56"/>
  <c r="AH42" i="56"/>
  <c r="AJ42" i="56"/>
  <c r="AK42" i="56"/>
  <c r="Z42" i="56"/>
  <c r="AE42" i="56"/>
  <c r="AC42" i="56"/>
  <c r="AD42" i="56"/>
  <c r="AB42" i="56"/>
  <c r="AF42" i="56"/>
  <c r="AA42" i="56"/>
  <c r="BA25" i="56"/>
  <c r="BB25" i="56"/>
  <c r="AS25" i="56"/>
  <c r="AU25" i="56"/>
  <c r="AQ25" i="56"/>
  <c r="AR25" i="56"/>
  <c r="AT25" i="56"/>
  <c r="AV25" i="56"/>
  <c r="AX25" i="56"/>
  <c r="AW25" i="56"/>
  <c r="AY25" i="56"/>
  <c r="AC44" i="56"/>
  <c r="AF44" i="56"/>
  <c r="Z44" i="56"/>
  <c r="AB44" i="56"/>
  <c r="AD44" i="56"/>
  <c r="AA44" i="56"/>
  <c r="AE44" i="56"/>
  <c r="AJ44" i="56"/>
  <c r="AK44" i="56"/>
  <c r="AH44" i="56"/>
  <c r="AG44" i="56"/>
  <c r="AB8" i="56"/>
  <c r="AD8" i="56"/>
  <c r="AF8" i="56"/>
  <c r="AE8" i="56"/>
  <c r="AC8" i="56"/>
  <c r="Z8" i="56"/>
  <c r="AA8" i="56"/>
  <c r="AG8" i="56"/>
  <c r="AJ8" i="56"/>
  <c r="AK8" i="56"/>
  <c r="AH8" i="56"/>
  <c r="Y54" i="56"/>
  <c r="AG46" i="56"/>
  <c r="AA46" i="56"/>
  <c r="AJ46" i="56"/>
  <c r="AE46" i="56"/>
  <c r="AC46" i="56"/>
  <c r="AF46" i="56"/>
  <c r="AD46" i="56"/>
  <c r="Z46" i="56"/>
  <c r="AK46" i="56"/>
  <c r="AH46" i="56"/>
  <c r="AB46" i="56"/>
  <c r="AF13" i="56"/>
  <c r="AB13" i="56"/>
  <c r="AA13" i="56"/>
  <c r="AC13" i="56"/>
  <c r="AE13" i="56"/>
  <c r="Z13" i="56"/>
  <c r="AD13" i="56"/>
  <c r="AH13" i="56"/>
  <c r="AJ13" i="56"/>
  <c r="AK13" i="56"/>
  <c r="AG13" i="56"/>
  <c r="AB53" i="56"/>
  <c r="AG53" i="56"/>
  <c r="AJ53" i="56"/>
  <c r="AA53" i="56"/>
  <c r="AK53" i="56"/>
  <c r="AE53" i="56"/>
  <c r="Z53" i="56"/>
  <c r="AD53" i="56"/>
  <c r="AH53" i="56"/>
  <c r="AF53" i="56"/>
  <c r="AC53" i="56"/>
  <c r="BB18" i="56"/>
  <c r="AT18" i="56"/>
  <c r="AX18" i="56"/>
  <c r="AY18" i="56"/>
  <c r="BA18" i="56"/>
  <c r="AV18" i="56"/>
  <c r="AR18" i="56"/>
  <c r="AU18" i="56"/>
  <c r="AW18" i="56"/>
  <c r="AQ18" i="56"/>
  <c r="AS18" i="56"/>
  <c r="AC41" i="56"/>
  <c r="AF41" i="56"/>
  <c r="AD41" i="56"/>
  <c r="AA41" i="56"/>
  <c r="AB41" i="56"/>
  <c r="Z41" i="56"/>
  <c r="AG41" i="56"/>
  <c r="AE41" i="56"/>
  <c r="AH41" i="56"/>
  <c r="AJ41" i="56"/>
  <c r="AK41" i="56"/>
  <c r="Z43" i="56"/>
  <c r="AC43" i="56"/>
  <c r="AF43" i="56"/>
  <c r="AA43" i="56"/>
  <c r="AD43" i="56"/>
  <c r="AG43" i="56"/>
  <c r="AH43" i="56"/>
  <c r="AE43" i="56"/>
  <c r="AK43" i="56"/>
  <c r="AB43" i="56"/>
  <c r="AJ43" i="56"/>
  <c r="AQ43" i="56"/>
  <c r="AS43" i="56"/>
  <c r="AU43" i="56"/>
  <c r="AV43" i="56"/>
  <c r="AW43" i="56"/>
  <c r="AY43" i="56"/>
  <c r="BA43" i="56"/>
  <c r="AX43" i="56"/>
  <c r="BB43" i="56"/>
  <c r="AR43" i="56"/>
  <c r="AT43" i="56"/>
  <c r="AA36" i="56"/>
  <c r="AD36" i="56"/>
  <c r="Z36" i="56"/>
  <c r="AG36" i="56"/>
  <c r="AF36" i="56"/>
  <c r="AH36" i="56"/>
  <c r="AB36" i="56"/>
  <c r="AJ36" i="56"/>
  <c r="AC36" i="56"/>
  <c r="AK36" i="56"/>
  <c r="AE36" i="56"/>
  <c r="AG40" i="56"/>
  <c r="AC40" i="56"/>
  <c r="AD40" i="56"/>
  <c r="AH40" i="56"/>
  <c r="Z40" i="56"/>
  <c r="AJ40" i="56"/>
  <c r="AE40" i="56"/>
  <c r="AK40" i="56"/>
  <c r="AA40" i="56"/>
  <c r="AB40" i="56"/>
  <c r="AF40" i="56"/>
  <c r="AE6" i="56"/>
  <c r="Z6" i="56"/>
  <c r="AD6" i="56"/>
  <c r="AB6" i="56"/>
  <c r="AC6" i="56"/>
  <c r="AA6" i="56"/>
  <c r="AF6" i="56"/>
  <c r="AG6" i="56"/>
  <c r="AH6" i="56"/>
  <c r="AJ6" i="56"/>
  <c r="AK6" i="56"/>
  <c r="AQ28" i="56"/>
  <c r="AR28" i="56"/>
  <c r="AV28" i="56"/>
  <c r="BA28" i="56"/>
  <c r="BB28" i="56"/>
  <c r="AU28" i="56"/>
  <c r="AT28" i="56"/>
  <c r="AS28" i="56"/>
  <c r="AX28" i="56"/>
  <c r="AW28" i="56"/>
  <c r="AY28" i="56"/>
  <c r="BA10" i="56"/>
  <c r="BB10" i="56"/>
  <c r="AQ10" i="56"/>
  <c r="AR10" i="56"/>
  <c r="AS10" i="56"/>
  <c r="AT10" i="56"/>
  <c r="AU10" i="56"/>
  <c r="AV10" i="56"/>
  <c r="AW10" i="56"/>
  <c r="AX10" i="56"/>
  <c r="AY10" i="56"/>
  <c r="AX36" i="56"/>
  <c r="AT36" i="56"/>
  <c r="AY36" i="56"/>
  <c r="BB36" i="56"/>
  <c r="AS36" i="56"/>
  <c r="AU36" i="56"/>
  <c r="AV36" i="56"/>
  <c r="AW36" i="56"/>
  <c r="AR36" i="56"/>
  <c r="BA36" i="56"/>
  <c r="AQ36" i="56"/>
  <c r="AH18" i="56"/>
  <c r="AJ18" i="56"/>
  <c r="AK18" i="56"/>
  <c r="AD18" i="56"/>
  <c r="AB18" i="56"/>
  <c r="AA18" i="56"/>
  <c r="AF18" i="56"/>
  <c r="AE18" i="56"/>
  <c r="AC18" i="56"/>
  <c r="Z18" i="56"/>
  <c r="AG18" i="56"/>
  <c r="X54" i="56"/>
  <c r="AT40" i="56"/>
  <c r="AU40" i="56"/>
  <c r="AV40" i="56"/>
  <c r="AX40" i="56"/>
  <c r="AR40" i="56"/>
  <c r="BA40" i="56"/>
  <c r="BB40" i="56"/>
  <c r="AQ40" i="56"/>
  <c r="AW40" i="56"/>
  <c r="AY40" i="56"/>
  <c r="AS40" i="56"/>
  <c r="AS31" i="56"/>
  <c r="AV31" i="56"/>
  <c r="AX31" i="56"/>
  <c r="AY31" i="56"/>
  <c r="AT31" i="56"/>
  <c r="BA31" i="56"/>
  <c r="AU31" i="56"/>
  <c r="AQ31" i="56"/>
  <c r="AR31" i="56"/>
  <c r="BB31" i="56"/>
  <c r="AW31" i="56"/>
  <c r="AQ46" i="56"/>
  <c r="AV46" i="56"/>
  <c r="AX46" i="56"/>
  <c r="BA46" i="56"/>
  <c r="BB46" i="56"/>
  <c r="AR46" i="56"/>
  <c r="AT46" i="56"/>
  <c r="AU46" i="56"/>
  <c r="AS46" i="56"/>
  <c r="AW46" i="56"/>
  <c r="AY46" i="56"/>
  <c r="Z28" i="56"/>
  <c r="AK28" i="56"/>
  <c r="AC28" i="56"/>
  <c r="AG28" i="56"/>
  <c r="AB28" i="56"/>
  <c r="AA28" i="56"/>
  <c r="AH28" i="56"/>
  <c r="AF28" i="56"/>
  <c r="AJ28" i="56"/>
  <c r="AD28" i="56"/>
  <c r="AE28" i="56"/>
  <c r="AV23" i="56"/>
  <c r="AW23" i="56"/>
  <c r="AX23" i="56"/>
  <c r="AY23" i="56"/>
  <c r="BB23" i="56"/>
  <c r="BA23" i="56"/>
  <c r="AQ23" i="56"/>
  <c r="AT23" i="56"/>
  <c r="AR23" i="56"/>
  <c r="AS23" i="56"/>
  <c r="AU23" i="56"/>
  <c r="AX39" i="56"/>
  <c r="AY39" i="56"/>
  <c r="BA39" i="56"/>
  <c r="BB39" i="56"/>
  <c r="AQ39" i="56"/>
  <c r="AR39" i="56"/>
  <c r="AS39" i="56"/>
  <c r="AT39" i="56"/>
  <c r="AW39" i="56"/>
  <c r="AU39" i="56"/>
  <c r="AV39" i="56"/>
  <c r="BB29" i="56"/>
  <c r="AQ29" i="56"/>
  <c r="AR29" i="56"/>
  <c r="AS29" i="56"/>
  <c r="AT29" i="56"/>
  <c r="AU29" i="56"/>
  <c r="AW29" i="56"/>
  <c r="AY29" i="56"/>
  <c r="AV29" i="56"/>
  <c r="BA29" i="56"/>
  <c r="AX29" i="56"/>
  <c r="AD4" i="56"/>
  <c r="AC4" i="56"/>
  <c r="Z4" i="56"/>
  <c r="AA4" i="56"/>
  <c r="AG4" i="56"/>
  <c r="AH4" i="56"/>
  <c r="AK4" i="56"/>
  <c r="AJ4" i="56"/>
  <c r="AF4" i="56"/>
  <c r="AE4" i="56"/>
  <c r="AB4" i="56"/>
  <c r="V54" i="56"/>
  <c r="AT5" i="56"/>
  <c r="AR5" i="56"/>
  <c r="BB5" i="56"/>
  <c r="AQ5" i="56"/>
  <c r="AS5" i="56"/>
  <c r="AV5" i="56"/>
  <c r="BA5" i="56"/>
  <c r="AW5" i="56"/>
  <c r="AU5" i="56"/>
  <c r="AX5" i="56"/>
  <c r="AY5" i="56"/>
  <c r="AG5" i="56"/>
  <c r="AH5" i="56"/>
  <c r="AJ5" i="56"/>
  <c r="AK5" i="56"/>
  <c r="AF5" i="56"/>
  <c r="AD5" i="56"/>
  <c r="Z5" i="56"/>
  <c r="AC5" i="56"/>
  <c r="AB5" i="56"/>
  <c r="AE5" i="56"/>
  <c r="AA5" i="56"/>
  <c r="Z14" i="56"/>
  <c r="AK14" i="56"/>
  <c r="AA14" i="56"/>
  <c r="AC14" i="56"/>
  <c r="AG14" i="56"/>
  <c r="AD14" i="56"/>
  <c r="AH14" i="56"/>
  <c r="AJ14" i="56"/>
  <c r="AF14" i="56"/>
  <c r="AB14" i="56"/>
  <c r="AE14" i="56"/>
  <c r="AQ21" i="56"/>
  <c r="AR21" i="56"/>
  <c r="AS21" i="56"/>
  <c r="AX21" i="56"/>
  <c r="BA21" i="56"/>
  <c r="BB21" i="56"/>
  <c r="AU21" i="56"/>
  <c r="AV21" i="56"/>
  <c r="AW21" i="56"/>
  <c r="AY21" i="56"/>
  <c r="AT21" i="56"/>
  <c r="AX4" i="56"/>
  <c r="BA4" i="56"/>
  <c r="AQ4" i="56"/>
  <c r="AR4" i="56"/>
  <c r="AS4" i="56"/>
  <c r="BB4" i="56"/>
  <c r="AT4" i="56"/>
  <c r="AU4" i="56"/>
  <c r="AV4" i="56"/>
  <c r="AY4" i="56"/>
  <c r="AW4" i="56"/>
  <c r="W54" i="56"/>
  <c r="AC33" i="56"/>
  <c r="AD33" i="56"/>
  <c r="Z33" i="56"/>
  <c r="AH33" i="56"/>
  <c r="AK33" i="56"/>
  <c r="AE33" i="56"/>
  <c r="AA33" i="56"/>
  <c r="AF33" i="56"/>
  <c r="AJ33" i="56"/>
  <c r="AB33" i="56"/>
  <c r="AG33" i="56"/>
  <c r="AD12" i="56"/>
  <c r="AK12" i="56"/>
  <c r="AB12" i="56"/>
  <c r="AE12" i="56"/>
  <c r="AA12" i="56"/>
  <c r="AC12" i="56"/>
  <c r="AF12" i="56"/>
  <c r="AG12" i="56"/>
  <c r="AH12" i="56"/>
  <c r="Z12" i="56"/>
  <c r="AJ12" i="56"/>
  <c r="AQ34" i="56"/>
  <c r="AR34" i="56"/>
  <c r="AS34" i="56"/>
  <c r="AU34" i="56"/>
  <c r="AV34" i="56"/>
  <c r="AX34" i="56"/>
  <c r="BA34" i="56"/>
  <c r="AT34" i="56"/>
  <c r="AY34" i="56"/>
  <c r="AW34" i="56"/>
  <c r="BB34" i="56"/>
  <c r="BA30" i="56"/>
  <c r="AQ30" i="56"/>
  <c r="AR30" i="56"/>
  <c r="AS30" i="56"/>
  <c r="AT30" i="56"/>
  <c r="AU30" i="56"/>
  <c r="AW30" i="56"/>
  <c r="AX30" i="56"/>
  <c r="AY30" i="56"/>
  <c r="AV30" i="56"/>
  <c r="BB30" i="56"/>
  <c r="AW24" i="56"/>
  <c r="AR24" i="56"/>
  <c r="BB24" i="56"/>
  <c r="AT24" i="56"/>
  <c r="AU24" i="56"/>
  <c r="AV24" i="56"/>
  <c r="AQ24" i="56"/>
  <c r="AS24" i="56"/>
  <c r="AX24" i="56"/>
  <c r="AY24" i="56"/>
  <c r="BA24" i="56"/>
  <c r="AB19" i="56"/>
  <c r="Z19" i="56"/>
  <c r="AE19" i="56"/>
  <c r="AA19" i="56"/>
  <c r="AD19" i="56"/>
  <c r="AC19" i="56"/>
  <c r="AG19" i="56"/>
  <c r="AH19" i="56"/>
  <c r="AJ19" i="56"/>
  <c r="AK19" i="56"/>
  <c r="AF19" i="56"/>
  <c r="AW16" i="56"/>
  <c r="AX16" i="56"/>
  <c r="AY16" i="56"/>
  <c r="BA16" i="56"/>
  <c r="BB16" i="56"/>
  <c r="AQ16" i="56"/>
  <c r="AR16" i="56"/>
  <c r="AU16" i="56"/>
  <c r="AS16" i="56"/>
  <c r="AT16" i="56"/>
  <c r="AV16" i="56"/>
  <c r="AU19" i="56"/>
  <c r="AR19" i="56"/>
  <c r="AT19" i="56"/>
  <c r="AV19" i="56"/>
  <c r="BB19" i="56"/>
  <c r="AS19" i="56"/>
  <c r="AW19" i="56"/>
  <c r="BA19" i="56"/>
  <c r="AX19" i="56"/>
  <c r="AY19" i="56"/>
  <c r="AQ19" i="56"/>
  <c r="AD10" i="56"/>
  <c r="AA10" i="56"/>
  <c r="AF10" i="56"/>
  <c r="AC10" i="56"/>
  <c r="AB10" i="56"/>
  <c r="AH10" i="56"/>
  <c r="AE10" i="56"/>
  <c r="AG10" i="56"/>
  <c r="AJ10" i="56"/>
  <c r="AK10" i="56"/>
  <c r="Z10" i="56"/>
  <c r="BA14" i="56"/>
  <c r="AS14" i="56"/>
  <c r="AT14" i="56"/>
  <c r="AV14" i="56"/>
  <c r="AX14" i="56"/>
  <c r="AY14" i="56"/>
  <c r="AU14" i="56"/>
  <c r="AR14" i="56"/>
  <c r="AW14" i="56"/>
  <c r="BB14" i="56"/>
  <c r="AQ14" i="56"/>
  <c r="AS44" i="56"/>
  <c r="AU44" i="56"/>
  <c r="BA44" i="56"/>
  <c r="AY44" i="56"/>
  <c r="BB44" i="56"/>
  <c r="AT44" i="56"/>
  <c r="AQ44" i="56"/>
  <c r="AR44" i="56"/>
  <c r="AW44" i="56"/>
  <c r="AV44" i="56"/>
  <c r="AX44" i="56"/>
  <c r="Z17" i="56"/>
  <c r="AB17" i="56"/>
  <c r="AG17" i="56"/>
  <c r="AH17" i="56"/>
  <c r="AJ17" i="56"/>
  <c r="AK17" i="56"/>
  <c r="AD17" i="56"/>
  <c r="AE17" i="56"/>
  <c r="AA17" i="56"/>
  <c r="AF17" i="56"/>
  <c r="AC17" i="56"/>
  <c r="AA25" i="56"/>
  <c r="AE25" i="56"/>
  <c r="AJ25" i="56"/>
  <c r="AD25" i="56"/>
  <c r="AB25" i="56"/>
  <c r="AC25" i="56"/>
  <c r="Z25" i="56"/>
  <c r="AH25" i="56"/>
  <c r="AG25" i="56"/>
  <c r="AF25" i="56"/>
  <c r="AK25" i="56"/>
  <c r="AG9" i="56"/>
  <c r="AH9" i="56"/>
  <c r="AJ9" i="56"/>
  <c r="AD9" i="56"/>
  <c r="AB9" i="56"/>
  <c r="AE9" i="56"/>
  <c r="Z9" i="56"/>
  <c r="AC9" i="56"/>
  <c r="AA9" i="56"/>
  <c r="AF9" i="56"/>
  <c r="AK9" i="56"/>
  <c r="AS45" i="56"/>
  <c r="AT45" i="56"/>
  <c r="AV45" i="56"/>
  <c r="AY45" i="56"/>
  <c r="BA45" i="56"/>
  <c r="AQ45" i="56"/>
  <c r="AR45" i="56"/>
  <c r="AX45" i="56"/>
  <c r="BB45" i="56"/>
  <c r="AU45" i="56"/>
  <c r="AW45" i="56"/>
  <c r="AP54" i="56"/>
  <c r="AF26" i="56"/>
  <c r="AC26" i="56"/>
  <c r="AD26" i="56"/>
  <c r="AE26" i="56"/>
  <c r="Z26" i="56"/>
  <c r="AB26" i="56"/>
  <c r="AK26" i="56"/>
  <c r="AG26" i="56"/>
  <c r="AH26" i="56"/>
  <c r="AJ26" i="56"/>
  <c r="AA26" i="56"/>
  <c r="AG29" i="56"/>
  <c r="AE29" i="56"/>
  <c r="AA29" i="56"/>
  <c r="AF29" i="56"/>
  <c r="AB29" i="56"/>
  <c r="AC29" i="56"/>
  <c r="AD29" i="56"/>
  <c r="Z29" i="56"/>
  <c r="AK29" i="56"/>
  <c r="AH29" i="56"/>
  <c r="AJ29" i="56"/>
  <c r="AT11" i="56"/>
  <c r="AY11" i="56"/>
  <c r="AX11" i="56"/>
  <c r="AR11" i="56"/>
  <c r="AS11" i="56"/>
  <c r="BA11" i="56"/>
  <c r="BB11" i="56"/>
  <c r="AQ11" i="56"/>
  <c r="AU11" i="56"/>
  <c r="AV11" i="56"/>
  <c r="AW11" i="56"/>
  <c r="AS37" i="56"/>
  <c r="AW37" i="56"/>
  <c r="AX37" i="56"/>
  <c r="AY37" i="56"/>
  <c r="BA37" i="56"/>
  <c r="BB37" i="56"/>
  <c r="AV37" i="56"/>
  <c r="AR37" i="56"/>
  <c r="AT37" i="56"/>
  <c r="AU37" i="56"/>
  <c r="AQ37" i="56"/>
  <c r="AE38" i="56"/>
  <c r="AF38" i="56"/>
  <c r="AG38" i="56"/>
  <c r="AD38" i="56"/>
  <c r="Z38" i="56"/>
  <c r="AH38" i="56"/>
  <c r="AJ38" i="56"/>
  <c r="AB38" i="56"/>
  <c r="AK38" i="56"/>
  <c r="AC38" i="56"/>
  <c r="AA38" i="56"/>
  <c r="AV13" i="56"/>
  <c r="AW13" i="56"/>
  <c r="AX13" i="56"/>
  <c r="AY13" i="56"/>
  <c r="AT13" i="56"/>
  <c r="AU13" i="56"/>
  <c r="BA13" i="56"/>
  <c r="BB13" i="56"/>
  <c r="AQ13" i="56"/>
  <c r="AR13" i="56"/>
  <c r="AS13" i="56"/>
  <c r="AD39" i="56"/>
  <c r="AK39" i="56"/>
  <c r="AF39" i="56"/>
  <c r="AB39" i="56"/>
  <c r="AG39" i="56"/>
  <c r="AA39" i="56"/>
  <c r="AH39" i="56"/>
  <c r="Z39" i="56"/>
  <c r="AJ39" i="56"/>
  <c r="AE39" i="56"/>
  <c r="AC39" i="56"/>
  <c r="AO54" i="56"/>
  <c r="AE30" i="56"/>
  <c r="AB30" i="56"/>
  <c r="AA30" i="56"/>
  <c r="AH30" i="56"/>
  <c r="AD30" i="56"/>
  <c r="Z30" i="56"/>
  <c r="AC30" i="56"/>
  <c r="AF30" i="56"/>
  <c r="AK30" i="56"/>
  <c r="AG30" i="56"/>
  <c r="AJ30" i="56"/>
  <c r="BA35" i="56"/>
  <c r="AT35" i="56"/>
  <c r="AV35" i="56"/>
  <c r="AW35" i="56"/>
  <c r="AX35" i="56"/>
  <c r="AQ35" i="56"/>
  <c r="AR35" i="56"/>
  <c r="AS35" i="56"/>
  <c r="AU35" i="56"/>
  <c r="BB35" i="56"/>
  <c r="AY35" i="56"/>
  <c r="AH21" i="56"/>
  <c r="AJ21" i="56"/>
  <c r="AD21" i="56"/>
  <c r="AC21" i="56"/>
  <c r="AB21" i="56"/>
  <c r="AF21" i="56"/>
  <c r="AK21" i="56"/>
  <c r="Z21" i="56"/>
  <c r="AE21" i="56"/>
  <c r="AA21" i="56"/>
  <c r="AG21" i="56"/>
  <c r="BA12" i="56"/>
  <c r="AV12" i="56"/>
  <c r="AW12" i="56"/>
  <c r="AX12" i="56"/>
  <c r="AU12" i="56"/>
  <c r="AY12" i="56"/>
  <c r="AQ12" i="56"/>
  <c r="AS12" i="56"/>
  <c r="BB12" i="56"/>
  <c r="AR12" i="56"/>
  <c r="AT12" i="56"/>
  <c r="AH37" i="56"/>
  <c r="AF37" i="56"/>
  <c r="Z37" i="56"/>
  <c r="AG37" i="56"/>
  <c r="AJ37" i="56"/>
  <c r="AK37" i="56"/>
  <c r="AD37" i="56"/>
  <c r="AC37" i="56"/>
  <c r="AE37" i="56"/>
  <c r="AA37" i="56"/>
  <c r="AB37" i="56"/>
  <c r="O20" i="53"/>
  <c r="H13" i="27"/>
  <c r="I13" i="27" s="1"/>
  <c r="L13" i="27" s="1"/>
  <c r="H18" i="27"/>
  <c r="I18" i="27" s="1"/>
  <c r="M18" i="27" s="1"/>
  <c r="T10" i="27"/>
  <c r="U10" i="27" s="1"/>
  <c r="X10" i="27" s="1"/>
  <c r="H30" i="27"/>
  <c r="I30" i="27" s="1"/>
  <c r="L30" i="27" s="1"/>
  <c r="H16" i="27"/>
  <c r="I16" i="27" s="1"/>
  <c r="L16" i="27" s="1"/>
  <c r="H37" i="27"/>
  <c r="I37" i="27" s="1"/>
  <c r="L37" i="27" s="1"/>
  <c r="H19" i="27"/>
  <c r="I19" i="27" s="1"/>
  <c r="L19" i="27" s="1"/>
  <c r="H35" i="27"/>
  <c r="I35" i="27" s="1"/>
  <c r="M35" i="27" s="1"/>
  <c r="T12" i="27"/>
  <c r="U12" i="27" s="1"/>
  <c r="Y12" i="27" s="1"/>
  <c r="H29" i="27"/>
  <c r="I29" i="27" s="1"/>
  <c r="L29" i="27" s="1"/>
  <c r="T16" i="27"/>
  <c r="U16" i="27" s="1"/>
  <c r="Y16" i="27" s="1"/>
  <c r="H11" i="27"/>
  <c r="I11" i="27" s="1"/>
  <c r="L11" i="27" s="1"/>
  <c r="T14" i="27"/>
  <c r="U14" i="27" s="1"/>
  <c r="Y14" i="27" s="1"/>
  <c r="T17" i="27"/>
  <c r="U17" i="27" s="1"/>
  <c r="Y17" i="27" s="1"/>
  <c r="T31" i="27"/>
  <c r="U31" i="27" s="1"/>
  <c r="X31" i="27" s="1"/>
  <c r="H33" i="27"/>
  <c r="I33" i="27" s="1"/>
  <c r="L33" i="27" s="1"/>
  <c r="T11" i="27"/>
  <c r="U11" i="27" s="1"/>
  <c r="X11" i="27" s="1"/>
  <c r="H31" i="27"/>
  <c r="I31" i="27" s="1"/>
  <c r="L31" i="27" s="1"/>
  <c r="T36" i="27"/>
  <c r="U36" i="27" s="1"/>
  <c r="Y36" i="27" s="1"/>
  <c r="T15" i="27"/>
  <c r="U15" i="27" s="1"/>
  <c r="Y15" i="27" s="1"/>
  <c r="H10" i="27"/>
  <c r="I10" i="27" s="1"/>
  <c r="L10" i="27" s="1"/>
  <c r="T37" i="27"/>
  <c r="U37" i="27" s="1"/>
  <c r="Y37" i="27" s="1"/>
  <c r="T33" i="27"/>
  <c r="U33" i="27" s="1"/>
  <c r="X33" i="27" s="1"/>
  <c r="H15" i="27"/>
  <c r="I15" i="27" s="1"/>
  <c r="L15" i="27" s="1"/>
  <c r="T38" i="27"/>
  <c r="U38" i="27" s="1"/>
  <c r="X38" i="27" s="1"/>
  <c r="T32" i="27"/>
  <c r="U32" i="27" s="1"/>
  <c r="X32" i="27" s="1"/>
  <c r="H21" i="27"/>
  <c r="I21" i="27" s="1"/>
  <c r="L21" i="27" s="1"/>
  <c r="T34" i="27"/>
  <c r="U34" i="27" s="1"/>
  <c r="X34" i="27" s="1"/>
  <c r="H12" i="27"/>
  <c r="I12" i="27" s="1"/>
  <c r="L12" i="27" s="1"/>
  <c r="H17" i="27"/>
  <c r="I17" i="27" s="1"/>
  <c r="L17" i="27" s="1"/>
  <c r="T35" i="27"/>
  <c r="U35" i="27" s="1"/>
  <c r="Y35" i="27" s="1"/>
  <c r="H38" i="27"/>
  <c r="I38" i="27" s="1"/>
  <c r="M38" i="27" s="1"/>
  <c r="T39" i="27"/>
  <c r="U39" i="27" s="1"/>
  <c r="X39" i="27" s="1"/>
  <c r="T30" i="27"/>
  <c r="U30" i="27" s="1"/>
  <c r="X30" i="27" s="1"/>
  <c r="T9" i="27"/>
  <c r="U9" i="27" s="1"/>
  <c r="X9" i="27" s="1"/>
  <c r="T13" i="27"/>
  <c r="U13" i="27" s="1"/>
  <c r="Y13" i="27" s="1"/>
  <c r="H20" i="27"/>
  <c r="I20" i="27" s="1"/>
  <c r="M20" i="27" s="1"/>
  <c r="H14" i="27"/>
  <c r="I14" i="27" s="1"/>
  <c r="M14" i="27" s="1"/>
  <c r="H32" i="27"/>
  <c r="I32" i="27" s="1"/>
  <c r="L32" i="27" s="1"/>
  <c r="H34" i="27"/>
  <c r="I34" i="27" s="1"/>
  <c r="M34" i="27" s="1"/>
  <c r="T8" i="27"/>
  <c r="U8" i="27" s="1"/>
  <c r="Y8" i="27" s="1"/>
  <c r="H28" i="27"/>
  <c r="I28" i="27" s="1"/>
  <c r="M28" i="27" s="1"/>
  <c r="H9" i="27"/>
  <c r="I9" i="27" s="1"/>
  <c r="L9" i="27" s="1"/>
  <c r="T29" i="27"/>
  <c r="U29" i="27" s="1"/>
  <c r="X29" i="27" s="1"/>
  <c r="H27" i="27"/>
  <c r="I27" i="27" s="1"/>
  <c r="M27" i="27" s="1"/>
  <c r="T28" i="27"/>
  <c r="U28" i="27" s="1"/>
  <c r="X28" i="27" s="1"/>
  <c r="T7" i="27"/>
  <c r="U7" i="27" s="1"/>
  <c r="Y7" i="27" s="1"/>
  <c r="H8" i="27"/>
  <c r="I8" i="27" s="1"/>
  <c r="L8" i="27" s="1"/>
  <c r="T6" i="27"/>
  <c r="U6" i="27" s="1"/>
  <c r="Y6" i="27" s="1"/>
  <c r="H4" i="27"/>
  <c r="I4" i="27" s="1"/>
  <c r="M4" i="27" s="1"/>
  <c r="T27" i="27"/>
  <c r="U27" i="27" s="1"/>
  <c r="X27" i="27" s="1"/>
  <c r="H5" i="27"/>
  <c r="I5" i="27" s="1"/>
  <c r="M5" i="27" s="1"/>
  <c r="T26" i="27"/>
  <c r="U26" i="27" s="1"/>
  <c r="X26" i="27" s="1"/>
  <c r="H25" i="27"/>
  <c r="I25" i="27" s="1"/>
  <c r="L25" i="27" s="1"/>
  <c r="H26" i="27"/>
  <c r="I26" i="27" s="1"/>
  <c r="M26" i="27" s="1"/>
  <c r="T5" i="27"/>
  <c r="U5" i="27" s="1"/>
  <c r="Y5" i="27" s="1"/>
  <c r="H7" i="27"/>
  <c r="I7" i="27" s="1"/>
  <c r="M7" i="27" s="1"/>
  <c r="H6" i="27"/>
  <c r="I6" i="27" s="1"/>
  <c r="L6" i="27" s="1"/>
  <c r="T4" i="27"/>
  <c r="U4" i="27" s="1"/>
  <c r="Y4" i="27" s="1"/>
  <c r="J19" i="75" l="1"/>
  <c r="AJ167" i="56"/>
  <c r="J59" i="75"/>
  <c r="AJ177" i="56"/>
  <c r="J79" i="75"/>
  <c r="AJ182" i="56"/>
  <c r="J4" i="75"/>
  <c r="AJ164" i="56"/>
  <c r="J179" i="75"/>
  <c r="AJ207" i="56"/>
  <c r="J199" i="75"/>
  <c r="AJ212" i="56"/>
  <c r="J14" i="75"/>
  <c r="AJ166" i="56"/>
  <c r="J99" i="75"/>
  <c r="AJ187" i="56"/>
  <c r="J149" i="75"/>
  <c r="AJ200" i="56"/>
  <c r="J104" i="75"/>
  <c r="AJ189" i="56"/>
  <c r="J114" i="75"/>
  <c r="AJ191" i="56"/>
  <c r="J139" i="75"/>
  <c r="AJ197" i="56"/>
  <c r="J74" i="75"/>
  <c r="AJ181" i="56"/>
  <c r="J39" i="75"/>
  <c r="AJ172" i="56"/>
  <c r="J94" i="75"/>
  <c r="AJ186" i="56"/>
  <c r="J9" i="75"/>
  <c r="AJ165" i="56"/>
  <c r="J164" i="75"/>
  <c r="AJ204" i="56"/>
  <c r="J119" i="75"/>
  <c r="AJ192" i="56"/>
  <c r="J89" i="75"/>
  <c r="AJ185" i="56"/>
  <c r="J84" i="75"/>
  <c r="AJ184" i="56"/>
  <c r="J189" i="75"/>
  <c r="AJ210" i="56"/>
  <c r="J154" i="75"/>
  <c r="AJ201" i="56"/>
  <c r="J144" i="75"/>
  <c r="AJ199" i="56"/>
  <c r="J44" i="75"/>
  <c r="AJ174" i="56"/>
  <c r="J109" i="75"/>
  <c r="AJ190" i="56"/>
  <c r="J24" i="75"/>
  <c r="AJ169" i="56"/>
  <c r="J64" i="75"/>
  <c r="AJ179" i="56"/>
  <c r="J184" i="75"/>
  <c r="AJ209" i="56"/>
  <c r="J159" i="75"/>
  <c r="AJ202" i="56"/>
  <c r="J69" i="75"/>
  <c r="AJ180" i="56"/>
  <c r="J54" i="75"/>
  <c r="AJ176" i="56"/>
  <c r="J174" i="75"/>
  <c r="AJ206" i="56"/>
  <c r="J34" i="75"/>
  <c r="AJ171" i="56"/>
  <c r="J169" i="75"/>
  <c r="AJ205" i="56"/>
  <c r="J129" i="75"/>
  <c r="AJ195" i="56"/>
  <c r="J29" i="75"/>
  <c r="AJ170" i="56"/>
  <c r="J124" i="75"/>
  <c r="AJ194" i="56"/>
  <c r="J194" i="75"/>
  <c r="AJ211" i="56"/>
  <c r="J134" i="75"/>
  <c r="AJ196" i="56"/>
  <c r="J49" i="75"/>
  <c r="AJ175" i="56"/>
  <c r="P138" i="75"/>
  <c r="P43" i="75"/>
  <c r="P109" i="75"/>
  <c r="P53" i="75"/>
  <c r="P108" i="75"/>
  <c r="P8" i="75"/>
  <c r="P169" i="75"/>
  <c r="P199" i="75"/>
  <c r="P14" i="75"/>
  <c r="P104" i="75"/>
  <c r="P143" i="75"/>
  <c r="P128" i="75"/>
  <c r="P114" i="75"/>
  <c r="P73" i="75"/>
  <c r="P113" i="75"/>
  <c r="P74" i="75"/>
  <c r="P188" i="75"/>
  <c r="P163" i="75"/>
  <c r="P48" i="75"/>
  <c r="P153" i="75"/>
  <c r="P189" i="75"/>
  <c r="P33" i="75"/>
  <c r="P58" i="75"/>
  <c r="P13" i="75"/>
  <c r="P183" i="75"/>
  <c r="P103" i="75"/>
  <c r="P68" i="75"/>
  <c r="P79" i="75"/>
  <c r="P159" i="75"/>
  <c r="P89" i="75"/>
  <c r="P18" i="75"/>
  <c r="P148" i="75"/>
  <c r="P193" i="75"/>
  <c r="P69" i="75"/>
  <c r="P54" i="75"/>
  <c r="P49" i="75"/>
  <c r="P194" i="75"/>
  <c r="P144" i="75"/>
  <c r="P154" i="75"/>
  <c r="P164" i="75"/>
  <c r="P59" i="75"/>
  <c r="P34" i="75"/>
  <c r="P184" i="75"/>
  <c r="P178" i="75"/>
  <c r="P149" i="75"/>
  <c r="P179" i="75"/>
  <c r="P88" i="75"/>
  <c r="V114" i="55"/>
  <c r="W114" i="55" s="1"/>
  <c r="C51" i="58"/>
  <c r="E51" i="58"/>
  <c r="D51" i="58"/>
  <c r="O114" i="55"/>
  <c r="U114" i="55"/>
  <c r="N114" i="55"/>
  <c r="T114" i="55"/>
  <c r="M114" i="55"/>
  <c r="S114" i="55"/>
  <c r="L114" i="55"/>
  <c r="R114" i="55"/>
  <c r="Q114" i="55"/>
  <c r="K114" i="55"/>
  <c r="P114" i="55"/>
  <c r="J114" i="55"/>
  <c r="D75" i="55"/>
  <c r="E75" i="55"/>
  <c r="F75" i="55"/>
  <c r="G75" i="55"/>
  <c r="H75" i="55"/>
  <c r="I75" i="55"/>
  <c r="C52" i="58"/>
  <c r="F52" i="58"/>
  <c r="E52" i="58"/>
  <c r="D52" i="58"/>
  <c r="E44" i="58"/>
  <c r="D44" i="58"/>
  <c r="F44" i="58"/>
  <c r="E40" i="58"/>
  <c r="C40" i="58"/>
  <c r="F40" i="58"/>
  <c r="F39" i="58"/>
  <c r="E39" i="58"/>
  <c r="D39" i="58"/>
  <c r="P101" i="55"/>
  <c r="E101" i="55"/>
  <c r="Q101" i="55" s="1"/>
  <c r="F47" i="58"/>
  <c r="E47" i="58"/>
  <c r="D47" i="58"/>
  <c r="C47" i="58"/>
  <c r="D49" i="58"/>
  <c r="C49" i="58"/>
  <c r="F49" i="58"/>
  <c r="E49" i="58"/>
  <c r="F50" i="58"/>
  <c r="D50" i="58"/>
  <c r="C50" i="58"/>
  <c r="E50" i="58"/>
  <c r="D43" i="58"/>
  <c r="E43" i="58"/>
  <c r="C43" i="58"/>
  <c r="F43" i="58"/>
  <c r="I101" i="55"/>
  <c r="O101" i="55" s="1"/>
  <c r="U101" i="55" s="1"/>
  <c r="C46" i="58"/>
  <c r="D46" i="58"/>
  <c r="F46" i="58"/>
  <c r="E46" i="58"/>
  <c r="C37" i="58"/>
  <c r="F37" i="58"/>
  <c r="E37" i="58"/>
  <c r="D37" i="58"/>
  <c r="F101" i="55"/>
  <c r="G101" i="55"/>
  <c r="M101" i="55" s="1"/>
  <c r="S101" i="55" s="1"/>
  <c r="H101" i="55"/>
  <c r="N101" i="55" s="1"/>
  <c r="T101" i="55" s="1"/>
  <c r="G51" i="58"/>
  <c r="C36" i="58"/>
  <c r="F36" i="58"/>
  <c r="E36" i="58"/>
  <c r="D36" i="58"/>
  <c r="J5" i="49"/>
  <c r="C41" i="58"/>
  <c r="D41" i="58"/>
  <c r="E41" i="58"/>
  <c r="F41" i="58"/>
  <c r="D42" i="58"/>
  <c r="E42" i="58"/>
  <c r="C42" i="58"/>
  <c r="F42" i="58"/>
  <c r="C48" i="58"/>
  <c r="E48" i="58"/>
  <c r="F48" i="58"/>
  <c r="D48" i="58"/>
  <c r="D45" i="58"/>
  <c r="E45" i="58"/>
  <c r="C45" i="58"/>
  <c r="F45" i="58"/>
  <c r="C38" i="58"/>
  <c r="F38" i="58"/>
  <c r="D38" i="58"/>
  <c r="E38" i="58"/>
  <c r="J6" i="49"/>
  <c r="I6" i="49"/>
  <c r="H6" i="49"/>
  <c r="V122" i="55"/>
  <c r="W122" i="55" s="1"/>
  <c r="D124" i="55"/>
  <c r="P124" i="55" s="1"/>
  <c r="O122" i="55"/>
  <c r="U122" i="55"/>
  <c r="N122" i="55"/>
  <c r="T122" i="55"/>
  <c r="M122" i="55"/>
  <c r="S122" i="55" s="1"/>
  <c r="L122" i="55"/>
  <c r="R122" i="55" s="1"/>
  <c r="I124" i="55"/>
  <c r="O124" i="55" s="1"/>
  <c r="Q122" i="55"/>
  <c r="K122" i="55"/>
  <c r="F124" i="55"/>
  <c r="J122" i="55"/>
  <c r="P122" i="55" s="1"/>
  <c r="H124" i="55"/>
  <c r="N124" i="55" s="1"/>
  <c r="G124" i="55"/>
  <c r="D123" i="55"/>
  <c r="E123" i="55"/>
  <c r="F123" i="55"/>
  <c r="G123" i="55"/>
  <c r="H123" i="55"/>
  <c r="I123" i="55"/>
  <c r="Q124" i="55"/>
  <c r="K124" i="55"/>
  <c r="I97" i="55"/>
  <c r="O97" i="55" s="1"/>
  <c r="H97" i="55"/>
  <c r="T97" i="55" s="1"/>
  <c r="G97" i="55"/>
  <c r="M97" i="55" s="1"/>
  <c r="S97" i="55" s="1"/>
  <c r="F97" i="55"/>
  <c r="L97" i="55" s="1"/>
  <c r="R97" i="55" s="1"/>
  <c r="E97" i="55"/>
  <c r="K97" i="55" s="1"/>
  <c r="Q97" i="55" s="1"/>
  <c r="D96" i="55"/>
  <c r="E96" i="55"/>
  <c r="F96" i="55"/>
  <c r="G96" i="55"/>
  <c r="H96" i="55"/>
  <c r="I96" i="55"/>
  <c r="J97" i="55"/>
  <c r="P97" i="55" s="1"/>
  <c r="D112" i="55"/>
  <c r="J112" i="55" s="1"/>
  <c r="B51" i="65"/>
  <c r="C51" i="65" s="1" a="1"/>
  <c r="C51" i="65" s="1"/>
  <c r="B50" i="65"/>
  <c r="C50" i="65" s="1" a="1"/>
  <c r="C50" i="65" s="1"/>
  <c r="A48" i="65"/>
  <c r="H48" i="65" s="1"/>
  <c r="F112" i="55"/>
  <c r="L112" i="55" s="1"/>
  <c r="E112" i="55"/>
  <c r="Q112" i="55" s="1"/>
  <c r="G112" i="55"/>
  <c r="M112" i="55" s="1"/>
  <c r="D57" i="55"/>
  <c r="G57" i="55"/>
  <c r="S57" i="55" s="1"/>
  <c r="H57" i="55"/>
  <c r="N57" i="55" s="1"/>
  <c r="H111" i="55"/>
  <c r="N111" i="55" s="1"/>
  <c r="T111" i="55" s="1"/>
  <c r="I111" i="55"/>
  <c r="U111" i="55" s="1"/>
  <c r="G111" i="55"/>
  <c r="S111" i="55" s="1"/>
  <c r="F111" i="55"/>
  <c r="R111" i="55" s="1"/>
  <c r="E111" i="55"/>
  <c r="Q111" i="55" s="1"/>
  <c r="H112" i="55"/>
  <c r="N112" i="55" s="1"/>
  <c r="T112" i="55" s="1"/>
  <c r="E57" i="55"/>
  <c r="K57" i="55" s="1"/>
  <c r="Q57" i="55" s="1"/>
  <c r="I57" i="55"/>
  <c r="I55" i="55"/>
  <c r="U55" i="55" s="1"/>
  <c r="H55" i="55"/>
  <c r="T55" i="55" s="1"/>
  <c r="G55" i="55"/>
  <c r="M55" i="55" s="1"/>
  <c r="F55" i="55"/>
  <c r="L55" i="55" s="1"/>
  <c r="E55" i="55"/>
  <c r="Q55" i="55" s="1"/>
  <c r="L57" i="55"/>
  <c r="R57" i="55" s="1"/>
  <c r="O112" i="55"/>
  <c r="U112" i="55"/>
  <c r="P111" i="55"/>
  <c r="J111" i="55"/>
  <c r="P55" i="55"/>
  <c r="J55" i="55"/>
  <c r="E113" i="55"/>
  <c r="K113" i="55" s="1"/>
  <c r="Q113" i="55" s="1"/>
  <c r="H106" i="55"/>
  <c r="T106" i="55" s="1"/>
  <c r="D106" i="55"/>
  <c r="P106" i="55" s="1"/>
  <c r="E106" i="55"/>
  <c r="Q106" i="55" s="1"/>
  <c r="G106" i="55"/>
  <c r="M106" i="55" s="1"/>
  <c r="I106" i="55"/>
  <c r="U106" i="55" s="1"/>
  <c r="G120" i="55"/>
  <c r="M120" i="55" s="1"/>
  <c r="S120" i="55" s="1"/>
  <c r="I100" i="55"/>
  <c r="O100" i="55" s="1"/>
  <c r="U100" i="55" s="1"/>
  <c r="F152" i="55"/>
  <c r="L152" i="55" s="1"/>
  <c r="R152" i="55" s="1"/>
  <c r="I120" i="55"/>
  <c r="O120" i="55" s="1"/>
  <c r="U120" i="55" s="1"/>
  <c r="G152" i="55"/>
  <c r="M152" i="55" s="1"/>
  <c r="S152" i="55" s="1"/>
  <c r="E138" i="55"/>
  <c r="K138" i="55" s="1"/>
  <c r="Q138" i="55" s="1"/>
  <c r="D152" i="55"/>
  <c r="J152" i="55" s="1"/>
  <c r="P152" i="55" s="1"/>
  <c r="G138" i="55"/>
  <c r="M138" i="55" s="1"/>
  <c r="S138" i="55" s="1"/>
  <c r="I138" i="55"/>
  <c r="O138" i="55" s="1"/>
  <c r="U138" i="55" s="1"/>
  <c r="H138" i="55"/>
  <c r="N138" i="55" s="1"/>
  <c r="T138" i="55" s="1"/>
  <c r="D138" i="55"/>
  <c r="J138" i="55" s="1"/>
  <c r="P138" i="55" s="1"/>
  <c r="E152" i="55"/>
  <c r="K152" i="55" s="1"/>
  <c r="Q152" i="55" s="1"/>
  <c r="I152" i="55"/>
  <c r="E109" i="55"/>
  <c r="K109" i="55" s="1"/>
  <c r="Q109" i="55" s="1"/>
  <c r="I109" i="55"/>
  <c r="O109" i="55" s="1"/>
  <c r="U109" i="55" s="1"/>
  <c r="H130" i="55"/>
  <c r="N130" i="55" s="1"/>
  <c r="G109" i="55"/>
  <c r="S109" i="55" s="1"/>
  <c r="E130" i="55"/>
  <c r="K130" i="55" s="1"/>
  <c r="Q130" i="55" s="1"/>
  <c r="F109" i="55"/>
  <c r="R109" i="55" s="1"/>
  <c r="I130" i="55"/>
  <c r="H109" i="55"/>
  <c r="T109" i="55" s="1"/>
  <c r="E120" i="55"/>
  <c r="K120" i="55" s="1"/>
  <c r="Q120" i="55" s="1"/>
  <c r="D120" i="55"/>
  <c r="P120" i="55" s="1"/>
  <c r="F120" i="55"/>
  <c r="R120" i="55" s="1"/>
  <c r="F130" i="55"/>
  <c r="L130" i="55" s="1"/>
  <c r="R130" i="55" s="1"/>
  <c r="D130" i="55"/>
  <c r="J130" i="55" s="1"/>
  <c r="P130" i="55" s="1"/>
  <c r="G113" i="55"/>
  <c r="S113" i="55" s="1"/>
  <c r="D113" i="55"/>
  <c r="J113" i="55" s="1"/>
  <c r="I113" i="55"/>
  <c r="U113" i="55" s="1"/>
  <c r="F113" i="55"/>
  <c r="G150" i="55"/>
  <c r="M150" i="55" s="1"/>
  <c r="S150" i="55" s="1"/>
  <c r="F150" i="55"/>
  <c r="L150" i="55" s="1"/>
  <c r="R150" i="55" s="1"/>
  <c r="E150" i="55"/>
  <c r="K150" i="55" s="1"/>
  <c r="Q150" i="55" s="1"/>
  <c r="I150" i="55"/>
  <c r="O150" i="55" s="1"/>
  <c r="U150" i="55" s="1"/>
  <c r="D150" i="55"/>
  <c r="J150" i="55" s="1"/>
  <c r="P150" i="55" s="1"/>
  <c r="F100" i="55"/>
  <c r="L100" i="55" s="1"/>
  <c r="E100" i="55"/>
  <c r="H100" i="55"/>
  <c r="G100" i="55"/>
  <c r="M21" i="27"/>
  <c r="E16" i="58"/>
  <c r="D16" i="58"/>
  <c r="F16" i="58"/>
  <c r="M37" i="27"/>
  <c r="I137" i="55"/>
  <c r="O137" i="55" s="1"/>
  <c r="U137" i="55" s="1"/>
  <c r="I125" i="55"/>
  <c r="D125" i="55"/>
  <c r="J125" i="55" s="1"/>
  <c r="D108" i="55"/>
  <c r="J108" i="55" s="1"/>
  <c r="P108" i="55" s="1"/>
  <c r="F153" i="55"/>
  <c r="L153" i="55" s="1"/>
  <c r="R153" i="55" s="1"/>
  <c r="G137" i="55"/>
  <c r="M137" i="55" s="1"/>
  <c r="S137" i="55" s="1"/>
  <c r="E137" i="55"/>
  <c r="K137" i="55" s="1"/>
  <c r="Q137" i="55" s="1"/>
  <c r="D137" i="55"/>
  <c r="J137" i="55" s="1"/>
  <c r="P137" i="55" s="1"/>
  <c r="L20" i="27"/>
  <c r="L38" i="27"/>
  <c r="G126" i="55"/>
  <c r="F137" i="55"/>
  <c r="L137" i="55" s="1"/>
  <c r="R137" i="55" s="1"/>
  <c r="F146" i="55"/>
  <c r="L146" i="55" s="1"/>
  <c r="R146" i="55" s="1"/>
  <c r="I116" i="55"/>
  <c r="U116" i="55" s="1"/>
  <c r="H131" i="55"/>
  <c r="E131" i="55"/>
  <c r="N152" i="55"/>
  <c r="T152" i="55" s="1"/>
  <c r="D141" i="55"/>
  <c r="F119" i="55"/>
  <c r="H147" i="55"/>
  <c r="P100" i="55"/>
  <c r="J100" i="55"/>
  <c r="E125" i="55"/>
  <c r="K125" i="55" s="1"/>
  <c r="Q125" i="55" s="1"/>
  <c r="H134" i="55"/>
  <c r="E135" i="55"/>
  <c r="K135" i="55" s="1"/>
  <c r="Q135" i="55" s="1"/>
  <c r="F125" i="55"/>
  <c r="G135" i="55"/>
  <c r="M135" i="55" s="1"/>
  <c r="S135" i="55" s="1"/>
  <c r="H125" i="55"/>
  <c r="N125" i="55" s="1"/>
  <c r="I135" i="55"/>
  <c r="D135" i="55"/>
  <c r="J135" i="55" s="1"/>
  <c r="E139" i="55"/>
  <c r="K139" i="55" s="1"/>
  <c r="Q139" i="55" s="1"/>
  <c r="F135" i="55"/>
  <c r="H139" i="55"/>
  <c r="E134" i="55"/>
  <c r="K134" i="55" s="1"/>
  <c r="Q134" i="55" s="1"/>
  <c r="F139" i="55"/>
  <c r="L139" i="55" s="1"/>
  <c r="R139" i="55" s="1"/>
  <c r="G134" i="55"/>
  <c r="M134" i="55" s="1"/>
  <c r="S134" i="55" s="1"/>
  <c r="I139" i="55"/>
  <c r="O139" i="55" s="1"/>
  <c r="U139" i="55" s="1"/>
  <c r="I134" i="55"/>
  <c r="O134" i="55" s="1"/>
  <c r="U134" i="55" s="1"/>
  <c r="G139" i="55"/>
  <c r="M139" i="55" s="1"/>
  <c r="S139" i="55" s="1"/>
  <c r="D134" i="55"/>
  <c r="J134" i="55" s="1"/>
  <c r="P134" i="55" s="1"/>
  <c r="D143" i="55"/>
  <c r="J143" i="55" s="1"/>
  <c r="P143" i="55" s="1"/>
  <c r="G143" i="55"/>
  <c r="M143" i="55" s="1"/>
  <c r="S143" i="55" s="1"/>
  <c r="E126" i="55"/>
  <c r="I126" i="55"/>
  <c r="O126" i="55" s="1"/>
  <c r="U126" i="55" s="1"/>
  <c r="F126" i="55"/>
  <c r="L126" i="55" s="1"/>
  <c r="H126" i="55"/>
  <c r="N126" i="55" s="1"/>
  <c r="T126" i="55" s="1"/>
  <c r="H108" i="55"/>
  <c r="G108" i="55"/>
  <c r="S108" i="55" s="1"/>
  <c r="I108" i="55"/>
  <c r="D153" i="55"/>
  <c r="J153" i="55" s="1"/>
  <c r="P153" i="55" s="1"/>
  <c r="H153" i="55"/>
  <c r="N153" i="55" s="1"/>
  <c r="T153" i="55" s="1"/>
  <c r="E153" i="55"/>
  <c r="D132" i="55"/>
  <c r="G153" i="55"/>
  <c r="M153" i="55" s="1"/>
  <c r="S153" i="55" s="1"/>
  <c r="H132" i="55"/>
  <c r="N132" i="55" s="1"/>
  <c r="F132" i="55"/>
  <c r="I129" i="55"/>
  <c r="E132" i="55"/>
  <c r="F129" i="55"/>
  <c r="L129" i="55" s="1"/>
  <c r="R129" i="55" s="1"/>
  <c r="G132" i="55"/>
  <c r="M132" i="55" s="1"/>
  <c r="E108" i="55"/>
  <c r="K108" i="55" s="1"/>
  <c r="Q108" i="55" s="1"/>
  <c r="D147" i="55"/>
  <c r="J147" i="55" s="1"/>
  <c r="P147" i="55" s="1"/>
  <c r="D146" i="55"/>
  <c r="G116" i="55"/>
  <c r="H133" i="55"/>
  <c r="N133" i="55" s="1"/>
  <c r="D128" i="55"/>
  <c r="J128" i="55" s="1"/>
  <c r="P128" i="55" s="1"/>
  <c r="I128" i="55"/>
  <c r="O128" i="55" s="1"/>
  <c r="U128" i="55" s="1"/>
  <c r="F128" i="55"/>
  <c r="L128" i="55" s="1"/>
  <c r="R128" i="55" s="1"/>
  <c r="H128" i="55"/>
  <c r="N128" i="55" s="1"/>
  <c r="T128" i="55" s="1"/>
  <c r="E128" i="55"/>
  <c r="K128" i="55" s="1"/>
  <c r="H146" i="55"/>
  <c r="D116" i="55"/>
  <c r="J116" i="55" s="1"/>
  <c r="P116" i="55" s="1"/>
  <c r="E146" i="55"/>
  <c r="K146" i="55" s="1"/>
  <c r="Q146" i="55" s="1"/>
  <c r="F116" i="55"/>
  <c r="L116" i="55" s="1"/>
  <c r="R116" i="55" s="1"/>
  <c r="G146" i="55"/>
  <c r="M146" i="55" s="1"/>
  <c r="S146" i="55" s="1"/>
  <c r="H116" i="55"/>
  <c r="N116" i="55" s="1"/>
  <c r="T116" i="55" s="1"/>
  <c r="F133" i="55"/>
  <c r="L133" i="55" s="1"/>
  <c r="R133" i="55" s="1"/>
  <c r="F131" i="55"/>
  <c r="D119" i="55"/>
  <c r="J119" i="55" s="1"/>
  <c r="I141" i="55"/>
  <c r="O141" i="55" s="1"/>
  <c r="U141" i="55" s="1"/>
  <c r="G131" i="55"/>
  <c r="F141" i="55"/>
  <c r="L141" i="55" s="1"/>
  <c r="R141" i="55" s="1"/>
  <c r="I131" i="55"/>
  <c r="O131" i="55" s="1"/>
  <c r="U131" i="55" s="1"/>
  <c r="D17" i="58"/>
  <c r="H141" i="55"/>
  <c r="N141" i="55" s="1"/>
  <c r="T141" i="55" s="1"/>
  <c r="F17" i="58"/>
  <c r="E141" i="55"/>
  <c r="K141" i="55" s="1"/>
  <c r="Q141" i="55" s="1"/>
  <c r="E17" i="58"/>
  <c r="H119" i="55"/>
  <c r="N119" i="55" s="1"/>
  <c r="T119" i="55" s="1"/>
  <c r="E119" i="55"/>
  <c r="G119" i="55"/>
  <c r="M119" i="55" s="1"/>
  <c r="S119" i="55" s="1"/>
  <c r="E10" i="53"/>
  <c r="I147" i="55"/>
  <c r="U147" i="55" s="1"/>
  <c r="D133" i="55"/>
  <c r="F147" i="55"/>
  <c r="L147" i="55" s="1"/>
  <c r="R147" i="55" s="1"/>
  <c r="I133" i="55"/>
  <c r="I148" i="55"/>
  <c r="O148" i="55" s="1"/>
  <c r="U148" i="55" s="1"/>
  <c r="E133" i="55"/>
  <c r="K133" i="55" s="1"/>
  <c r="Q133" i="55" s="1"/>
  <c r="F148" i="55"/>
  <c r="L148" i="55" s="1"/>
  <c r="R148" i="55" s="1"/>
  <c r="H148" i="55"/>
  <c r="N148" i="55" s="1"/>
  <c r="T148" i="55" s="1"/>
  <c r="D148" i="55"/>
  <c r="J148" i="55" s="1"/>
  <c r="P148" i="55" s="1"/>
  <c r="E148" i="55"/>
  <c r="E147" i="55"/>
  <c r="I143" i="55"/>
  <c r="O143" i="55" s="1"/>
  <c r="U143" i="55" s="1"/>
  <c r="F143" i="55"/>
  <c r="L143" i="55" s="1"/>
  <c r="R143" i="55" s="1"/>
  <c r="F136" i="55"/>
  <c r="L136" i="55" s="1"/>
  <c r="R136" i="55" s="1"/>
  <c r="H143" i="55"/>
  <c r="N143" i="55" s="1"/>
  <c r="T143" i="55" s="1"/>
  <c r="F127" i="55"/>
  <c r="L127" i="55" s="1"/>
  <c r="R127" i="55" s="1"/>
  <c r="E140" i="55"/>
  <c r="K140" i="55" s="1"/>
  <c r="Q140" i="55" s="1"/>
  <c r="H142" i="55"/>
  <c r="N142" i="55" s="1"/>
  <c r="T142" i="55" s="1"/>
  <c r="E136" i="55"/>
  <c r="D127" i="55"/>
  <c r="J127" i="55" s="1"/>
  <c r="P127" i="55" s="1"/>
  <c r="G140" i="55"/>
  <c r="M140" i="55" s="1"/>
  <c r="S140" i="55" s="1"/>
  <c r="D142" i="55"/>
  <c r="J142" i="55" s="1"/>
  <c r="P142" i="55" s="1"/>
  <c r="H136" i="55"/>
  <c r="N136" i="55" s="1"/>
  <c r="T136" i="55" s="1"/>
  <c r="H127" i="55"/>
  <c r="N127" i="55" s="1"/>
  <c r="H140" i="55"/>
  <c r="N140" i="55" s="1"/>
  <c r="T140" i="55" s="1"/>
  <c r="E142" i="55"/>
  <c r="K142" i="55" s="1"/>
  <c r="Q142" i="55" s="1"/>
  <c r="G136" i="55"/>
  <c r="E127" i="55"/>
  <c r="F140" i="55"/>
  <c r="L140" i="55" s="1"/>
  <c r="R140" i="55" s="1"/>
  <c r="G142" i="55"/>
  <c r="M142" i="55" s="1"/>
  <c r="S142" i="55" s="1"/>
  <c r="I136" i="55"/>
  <c r="O136" i="55" s="1"/>
  <c r="U136" i="55" s="1"/>
  <c r="G127" i="55"/>
  <c r="M127" i="55" s="1"/>
  <c r="S127" i="55" s="1"/>
  <c r="I140" i="55"/>
  <c r="I142" i="55"/>
  <c r="E151" i="55"/>
  <c r="K151" i="55" s="1"/>
  <c r="Q151" i="55" s="1"/>
  <c r="F151" i="55"/>
  <c r="L151" i="55" s="1"/>
  <c r="R151" i="55" s="1"/>
  <c r="E11" i="53"/>
  <c r="H151" i="55"/>
  <c r="N151" i="55" s="1"/>
  <c r="T151" i="55" s="1"/>
  <c r="I151" i="55"/>
  <c r="O151" i="55" s="1"/>
  <c r="U151" i="55" s="1"/>
  <c r="G151" i="55"/>
  <c r="M151" i="55" s="1"/>
  <c r="S151" i="55" s="1"/>
  <c r="H129" i="55"/>
  <c r="E129" i="55"/>
  <c r="K129" i="55" s="1"/>
  <c r="Q129" i="55" s="1"/>
  <c r="G129" i="55"/>
  <c r="S129" i="55" s="1"/>
  <c r="E15" i="53"/>
  <c r="Y39" i="27"/>
  <c r="X17" i="27"/>
  <c r="H63" i="55"/>
  <c r="T63" i="55" s="1"/>
  <c r="G63" i="55"/>
  <c r="S63" i="55" s="1"/>
  <c r="E71" i="55"/>
  <c r="K71" i="55" s="1"/>
  <c r="Q71" i="55" s="1"/>
  <c r="I78" i="55"/>
  <c r="D78" i="55"/>
  <c r="P78" i="55" s="1"/>
  <c r="H54" i="55"/>
  <c r="N54" i="55" s="1"/>
  <c r="I54" i="55"/>
  <c r="U54" i="55" s="1"/>
  <c r="D83" i="55"/>
  <c r="J83" i="55" s="1"/>
  <c r="P83" i="55" s="1"/>
  <c r="I83" i="55"/>
  <c r="O83" i="55" s="1"/>
  <c r="H83" i="55"/>
  <c r="N83" i="55" s="1"/>
  <c r="T83" i="55" s="1"/>
  <c r="G83" i="55"/>
  <c r="F83" i="55"/>
  <c r="L83" i="55" s="1"/>
  <c r="R83" i="55" s="1"/>
  <c r="E63" i="55"/>
  <c r="Q63" i="55" s="1"/>
  <c r="H98" i="55"/>
  <c r="N98" i="55" s="1"/>
  <c r="T98" i="55" s="1"/>
  <c r="F63" i="55"/>
  <c r="L63" i="55" s="1"/>
  <c r="R63" i="55" s="1"/>
  <c r="D63" i="55"/>
  <c r="P63" i="55" s="1"/>
  <c r="G88" i="55"/>
  <c r="M88" i="55" s="1"/>
  <c r="S88" i="55" s="1"/>
  <c r="D86" i="55"/>
  <c r="E88" i="55"/>
  <c r="E86" i="55"/>
  <c r="K86" i="55" s="1"/>
  <c r="Q86" i="55" s="1"/>
  <c r="I88" i="55"/>
  <c r="H86" i="55"/>
  <c r="N86" i="55" s="1"/>
  <c r="T86" i="55" s="1"/>
  <c r="D98" i="55"/>
  <c r="H88" i="55"/>
  <c r="I86" i="55"/>
  <c r="O86" i="55" s="1"/>
  <c r="U86" i="55" s="1"/>
  <c r="I98" i="55"/>
  <c r="O98" i="55" s="1"/>
  <c r="U98" i="55" s="1"/>
  <c r="F88" i="55"/>
  <c r="L88" i="55" s="1"/>
  <c r="R88" i="55" s="1"/>
  <c r="F86" i="55"/>
  <c r="G98" i="55"/>
  <c r="M98" i="55" s="1"/>
  <c r="S98" i="55" s="1"/>
  <c r="F98" i="55"/>
  <c r="L98" i="55" s="1"/>
  <c r="H70" i="55"/>
  <c r="N70" i="55" s="1"/>
  <c r="T70" i="55" s="1"/>
  <c r="F70" i="55"/>
  <c r="L70" i="55" s="1"/>
  <c r="R70" i="55" s="1"/>
  <c r="D70" i="55"/>
  <c r="J70" i="55" s="1"/>
  <c r="P70" i="55" s="1"/>
  <c r="I70" i="55"/>
  <c r="O70" i="55" s="1"/>
  <c r="U70" i="55" s="1"/>
  <c r="E70" i="55"/>
  <c r="K70" i="55" s="1"/>
  <c r="Q70" i="55" s="1"/>
  <c r="E81" i="55"/>
  <c r="D81" i="55"/>
  <c r="J81" i="55" s="1"/>
  <c r="P81" i="55" s="1"/>
  <c r="G54" i="55"/>
  <c r="M54" i="55" s="1"/>
  <c r="S54" i="55" s="1"/>
  <c r="I81" i="55"/>
  <c r="O81" i="55" s="1"/>
  <c r="U81" i="55" s="1"/>
  <c r="G81" i="55"/>
  <c r="M81" i="55" s="1"/>
  <c r="S81" i="55" s="1"/>
  <c r="F54" i="55"/>
  <c r="R54" i="55" s="1"/>
  <c r="F81" i="55"/>
  <c r="E54" i="55"/>
  <c r="K54" i="55" s="1"/>
  <c r="E69" i="55"/>
  <c r="I69" i="55"/>
  <c r="G78" i="55"/>
  <c r="M78" i="55" s="1"/>
  <c r="S78" i="55" s="1"/>
  <c r="H69" i="55"/>
  <c r="N69" i="55" s="1"/>
  <c r="F78" i="55"/>
  <c r="F69" i="55"/>
  <c r="L69" i="55" s="1"/>
  <c r="R69" i="55" s="1"/>
  <c r="E78" i="55"/>
  <c r="K78" i="55" s="1"/>
  <c r="Q78" i="55" s="1"/>
  <c r="D69" i="55"/>
  <c r="J69" i="55" s="1"/>
  <c r="I72" i="55"/>
  <c r="O72" i="55" s="1"/>
  <c r="U72" i="55" s="1"/>
  <c r="H72" i="55"/>
  <c r="G80" i="55"/>
  <c r="E61" i="55"/>
  <c r="F67" i="55"/>
  <c r="L67" i="55" s="1"/>
  <c r="R67" i="55" s="1"/>
  <c r="D95" i="55"/>
  <c r="J95" i="55" s="1"/>
  <c r="D67" i="55"/>
  <c r="J67" i="55" s="1"/>
  <c r="P67" i="55" s="1"/>
  <c r="F61" i="55"/>
  <c r="I67" i="55"/>
  <c r="E67" i="55"/>
  <c r="K67" i="55" s="1"/>
  <c r="Q67" i="55" s="1"/>
  <c r="G67" i="55"/>
  <c r="M67" i="55" s="1"/>
  <c r="S67" i="55" s="1"/>
  <c r="E85" i="55"/>
  <c r="K85" i="55" s="1"/>
  <c r="Q85" i="55" s="1"/>
  <c r="E91" i="55"/>
  <c r="K91" i="55" s="1"/>
  <c r="Q91" i="55" s="1"/>
  <c r="H91" i="55"/>
  <c r="F91" i="55"/>
  <c r="L91" i="55" s="1"/>
  <c r="R91" i="55" s="1"/>
  <c r="G72" i="55"/>
  <c r="S72" i="55" s="1"/>
  <c r="F72" i="55"/>
  <c r="D80" i="55"/>
  <c r="J80" i="55" s="1"/>
  <c r="P80" i="55" s="1"/>
  <c r="E80" i="55"/>
  <c r="I80" i="55"/>
  <c r="O80" i="55" s="1"/>
  <c r="U80" i="55" s="1"/>
  <c r="G79" i="55"/>
  <c r="M79" i="55" s="1"/>
  <c r="S79" i="55" s="1"/>
  <c r="F80" i="55"/>
  <c r="L80" i="55" s="1"/>
  <c r="E79" i="55"/>
  <c r="I79" i="55"/>
  <c r="H79" i="55"/>
  <c r="N79" i="55" s="1"/>
  <c r="T79" i="55" s="1"/>
  <c r="F79" i="55"/>
  <c r="L79" i="55" s="1"/>
  <c r="D72" i="55"/>
  <c r="J72" i="55" s="1"/>
  <c r="P72" i="55" s="1"/>
  <c r="D82" i="55"/>
  <c r="J82" i="55" s="1"/>
  <c r="P82" i="55" s="1"/>
  <c r="D84" i="55"/>
  <c r="J84" i="55" s="1"/>
  <c r="E82" i="55"/>
  <c r="E84" i="55"/>
  <c r="K84" i="55" s="1"/>
  <c r="Q84" i="55" s="1"/>
  <c r="G82" i="55"/>
  <c r="M82" i="55" s="1"/>
  <c r="S82" i="55" s="1"/>
  <c r="I84" i="55"/>
  <c r="I82" i="55"/>
  <c r="O82" i="55" s="1"/>
  <c r="U82" i="55" s="1"/>
  <c r="H84" i="55"/>
  <c r="N84" i="55" s="1"/>
  <c r="H82" i="55"/>
  <c r="N82" i="55" s="1"/>
  <c r="T82" i="55" s="1"/>
  <c r="F84" i="55"/>
  <c r="L84" i="55" s="1"/>
  <c r="R84" i="55" s="1"/>
  <c r="D91" i="55"/>
  <c r="J91" i="55" s="1"/>
  <c r="P91" i="55" s="1"/>
  <c r="D61" i="55"/>
  <c r="F85" i="55"/>
  <c r="G61" i="55"/>
  <c r="M61" i="55" s="1"/>
  <c r="S61" i="55" s="1"/>
  <c r="G85" i="55"/>
  <c r="I102" i="55"/>
  <c r="O102" i="55" s="1"/>
  <c r="U102" i="55" s="1"/>
  <c r="H85" i="55"/>
  <c r="D102" i="55"/>
  <c r="P102" i="55" s="1"/>
  <c r="I85" i="55"/>
  <c r="O85" i="55" s="1"/>
  <c r="U85" i="55" s="1"/>
  <c r="F102" i="55"/>
  <c r="L102" i="55" s="1"/>
  <c r="G91" i="55"/>
  <c r="M91" i="55" s="1"/>
  <c r="S91" i="55" s="1"/>
  <c r="E102" i="55"/>
  <c r="K102" i="55" s="1"/>
  <c r="Q102" i="55" s="1"/>
  <c r="G102" i="55"/>
  <c r="M102" i="55" s="1"/>
  <c r="S102" i="55" s="1"/>
  <c r="H61" i="55"/>
  <c r="T61" i="55" s="1"/>
  <c r="D71" i="55"/>
  <c r="J71" i="55" s="1"/>
  <c r="P71" i="55" s="1"/>
  <c r="I71" i="55"/>
  <c r="G71" i="55"/>
  <c r="S71" i="55" s="1"/>
  <c r="F71" i="55"/>
  <c r="E74" i="55"/>
  <c r="K74" i="55" s="1"/>
  <c r="Q74" i="55" s="1"/>
  <c r="I74" i="55"/>
  <c r="U74" i="55" s="1"/>
  <c r="L18" i="27"/>
  <c r="D74" i="55"/>
  <c r="J74" i="55" s="1"/>
  <c r="P74" i="55" s="1"/>
  <c r="D73" i="55"/>
  <c r="J73" i="55" s="1"/>
  <c r="P73" i="55" s="1"/>
  <c r="H73" i="55"/>
  <c r="N73" i="55" s="1"/>
  <c r="T73" i="55" s="1"/>
  <c r="G73" i="55"/>
  <c r="G74" i="55"/>
  <c r="F73" i="55"/>
  <c r="L73" i="55" s="1"/>
  <c r="R73" i="55" s="1"/>
  <c r="E73" i="55"/>
  <c r="K73" i="55" s="1"/>
  <c r="Q73" i="55" s="1"/>
  <c r="D59" i="55"/>
  <c r="P59" i="55" s="1"/>
  <c r="F74" i="55"/>
  <c r="D99" i="55"/>
  <c r="F99" i="55"/>
  <c r="L99" i="55" s="1"/>
  <c r="E99" i="55"/>
  <c r="F93" i="55"/>
  <c r="I99" i="55"/>
  <c r="O99" i="55" s="1"/>
  <c r="U99" i="55" s="1"/>
  <c r="G93" i="55"/>
  <c r="H99" i="55"/>
  <c r="N99" i="55" s="1"/>
  <c r="T99" i="55" s="1"/>
  <c r="E93" i="55"/>
  <c r="H95" i="55"/>
  <c r="H93" i="55"/>
  <c r="N93" i="55" s="1"/>
  <c r="T93" i="55" s="1"/>
  <c r="G95" i="55"/>
  <c r="M95" i="55" s="1"/>
  <c r="S95" i="55" s="1"/>
  <c r="I93" i="55"/>
  <c r="O93" i="55" s="1"/>
  <c r="I95" i="55"/>
  <c r="O95" i="55" s="1"/>
  <c r="U95" i="55" s="1"/>
  <c r="E95" i="55"/>
  <c r="K95" i="55" s="1"/>
  <c r="Q95" i="55" s="1"/>
  <c r="G87" i="55"/>
  <c r="D66" i="55"/>
  <c r="J66" i="55" s="1"/>
  <c r="P66" i="55" s="1"/>
  <c r="I58" i="55"/>
  <c r="O58" i="55" s="1"/>
  <c r="F92" i="55"/>
  <c r="L92" i="55" s="1"/>
  <c r="R92" i="55" s="1"/>
  <c r="H58" i="55"/>
  <c r="N58" i="55" s="1"/>
  <c r="E58" i="55"/>
  <c r="K58" i="55" s="1"/>
  <c r="Q58" i="55" s="1"/>
  <c r="F58" i="55"/>
  <c r="R58" i="55" s="1"/>
  <c r="D58" i="55"/>
  <c r="P58" i="55" s="1"/>
  <c r="I66" i="55"/>
  <c r="D87" i="55"/>
  <c r="H66" i="55"/>
  <c r="N66" i="55" s="1"/>
  <c r="T66" i="55" s="1"/>
  <c r="I87" i="55"/>
  <c r="O87" i="55" s="1"/>
  <c r="U87" i="55" s="1"/>
  <c r="F66" i="55"/>
  <c r="L66" i="55" s="1"/>
  <c r="R66" i="55" s="1"/>
  <c r="F87" i="55"/>
  <c r="H87" i="55"/>
  <c r="N87" i="55" s="1"/>
  <c r="T87" i="55" s="1"/>
  <c r="E66" i="55"/>
  <c r="K66" i="55" s="1"/>
  <c r="G59" i="55"/>
  <c r="I92" i="55"/>
  <c r="O92" i="55" s="1"/>
  <c r="U92" i="55" s="1"/>
  <c r="C5" i="58"/>
  <c r="D5" i="58"/>
  <c r="F5" i="58"/>
  <c r="E5" i="58"/>
  <c r="D30" i="58"/>
  <c r="F30" i="58"/>
  <c r="E30" i="58"/>
  <c r="C30" i="58"/>
  <c r="D8" i="58"/>
  <c r="C8" i="58"/>
  <c r="E8" i="58"/>
  <c r="F8" i="58"/>
  <c r="D14" i="58"/>
  <c r="C14" i="58"/>
  <c r="F14" i="58"/>
  <c r="E14" i="58"/>
  <c r="D15" i="58"/>
  <c r="C15" i="58"/>
  <c r="E15" i="58"/>
  <c r="F15" i="58"/>
  <c r="I59" i="55"/>
  <c r="U59" i="55" s="1"/>
  <c r="D92" i="55"/>
  <c r="J92" i="55" s="1"/>
  <c r="P92" i="55" s="1"/>
  <c r="D35" i="58"/>
  <c r="E35" i="58"/>
  <c r="F35" i="58"/>
  <c r="C35" i="58"/>
  <c r="D29" i="58"/>
  <c r="F29" i="58"/>
  <c r="C29" i="58"/>
  <c r="E29" i="58"/>
  <c r="D9" i="58"/>
  <c r="E9" i="58"/>
  <c r="C9" i="58"/>
  <c r="F9" i="58"/>
  <c r="D27" i="58"/>
  <c r="E27" i="58"/>
  <c r="F27" i="58"/>
  <c r="C27" i="58"/>
  <c r="H59" i="55"/>
  <c r="N59" i="55" s="1"/>
  <c r="T59" i="55" s="1"/>
  <c r="E92" i="55"/>
  <c r="K92" i="55" s="1"/>
  <c r="Q92" i="55" s="1"/>
  <c r="C24" i="58"/>
  <c r="F24" i="58"/>
  <c r="E24" i="58"/>
  <c r="D24" i="58"/>
  <c r="D6" i="58"/>
  <c r="F6" i="58"/>
  <c r="C6" i="58"/>
  <c r="E6" i="58"/>
  <c r="C25" i="58"/>
  <c r="D25" i="58"/>
  <c r="F25" i="58"/>
  <c r="E25" i="58"/>
  <c r="E59" i="55"/>
  <c r="K59" i="55" s="1"/>
  <c r="Q59" i="55" s="1"/>
  <c r="H92" i="55"/>
  <c r="D20" i="58"/>
  <c r="C20" i="58"/>
  <c r="F20" i="58"/>
  <c r="E20" i="58"/>
  <c r="C13" i="58"/>
  <c r="E13" i="58"/>
  <c r="D13" i="58"/>
  <c r="F13" i="58"/>
  <c r="D19" i="58"/>
  <c r="E19" i="58"/>
  <c r="F19" i="58"/>
  <c r="C19" i="58"/>
  <c r="D22" i="58"/>
  <c r="C22" i="58"/>
  <c r="E22" i="58"/>
  <c r="F22" i="58"/>
  <c r="D21" i="58"/>
  <c r="F21" i="58"/>
  <c r="C21" i="58"/>
  <c r="E21" i="58"/>
  <c r="D10" i="58"/>
  <c r="F10" i="58"/>
  <c r="C10" i="58"/>
  <c r="E10" i="58"/>
  <c r="D18" i="58"/>
  <c r="C18" i="58"/>
  <c r="E18" i="58"/>
  <c r="F18" i="58"/>
  <c r="F3" i="58"/>
  <c r="E3" i="58"/>
  <c r="C3" i="58"/>
  <c r="D3" i="58"/>
  <c r="D11" i="58"/>
  <c r="C11" i="58"/>
  <c r="E11" i="58"/>
  <c r="F11" i="58"/>
  <c r="D23" i="58"/>
  <c r="E23" i="58"/>
  <c r="C23" i="58"/>
  <c r="F23" i="58"/>
  <c r="C28" i="58"/>
  <c r="F28" i="58"/>
  <c r="E28" i="58"/>
  <c r="D28" i="58"/>
  <c r="D26" i="58"/>
  <c r="C26" i="58"/>
  <c r="E26" i="58"/>
  <c r="F26" i="58"/>
  <c r="C33" i="58"/>
  <c r="F33" i="58"/>
  <c r="E33" i="58"/>
  <c r="D33" i="58"/>
  <c r="M19" i="27"/>
  <c r="C12" i="58"/>
  <c r="F12" i="58"/>
  <c r="D12" i="58"/>
  <c r="E12" i="58"/>
  <c r="C7" i="58"/>
  <c r="E7" i="58"/>
  <c r="F7" i="58"/>
  <c r="D7" i="58"/>
  <c r="D32" i="58"/>
  <c r="E32" i="58"/>
  <c r="C32" i="58"/>
  <c r="F32" i="58"/>
  <c r="C34" i="58"/>
  <c r="F34" i="58"/>
  <c r="D34" i="58"/>
  <c r="E34" i="58"/>
  <c r="D4" i="58"/>
  <c r="C4" i="58"/>
  <c r="E4" i="58"/>
  <c r="F4" i="58"/>
  <c r="D31" i="58"/>
  <c r="F31" i="58"/>
  <c r="E31" i="58"/>
  <c r="C31" i="58"/>
  <c r="M36" i="27"/>
  <c r="F145" i="55"/>
  <c r="H115" i="55"/>
  <c r="F117" i="55"/>
  <c r="G149" i="55"/>
  <c r="G118" i="55"/>
  <c r="M118" i="55" s="1"/>
  <c r="H121" i="55"/>
  <c r="D107" i="55"/>
  <c r="E154" i="55"/>
  <c r="D155" i="55"/>
  <c r="F144" i="55"/>
  <c r="L144" i="55" s="1"/>
  <c r="G110" i="55"/>
  <c r="S110" i="55" s="1"/>
  <c r="O146" i="55"/>
  <c r="U146" i="55" s="1"/>
  <c r="S130" i="55"/>
  <c r="M130" i="55"/>
  <c r="J129" i="55"/>
  <c r="P129" i="55" s="1"/>
  <c r="L138" i="55"/>
  <c r="R138" i="55" s="1"/>
  <c r="M141" i="55"/>
  <c r="S141" i="55" s="1"/>
  <c r="T135" i="55"/>
  <c r="N135" i="55"/>
  <c r="O119" i="55"/>
  <c r="U119" i="55" s="1"/>
  <c r="J151" i="55"/>
  <c r="P151" i="55" s="1"/>
  <c r="J126" i="55"/>
  <c r="P126" i="55" s="1"/>
  <c r="J136" i="55"/>
  <c r="P136" i="55" s="1"/>
  <c r="J109" i="55"/>
  <c r="P109" i="55" s="1"/>
  <c r="L134" i="55"/>
  <c r="R134" i="55" s="1"/>
  <c r="K116" i="55"/>
  <c r="Q116" i="55" s="1"/>
  <c r="S133" i="55"/>
  <c r="M133" i="55"/>
  <c r="J140" i="55"/>
  <c r="P140" i="55" s="1"/>
  <c r="O153" i="55"/>
  <c r="U153" i="55" s="1"/>
  <c r="M128" i="55"/>
  <c r="S128" i="55" s="1"/>
  <c r="M147" i="55"/>
  <c r="S147" i="55" s="1"/>
  <c r="N113" i="55"/>
  <c r="T113" i="55" s="1"/>
  <c r="K143" i="55"/>
  <c r="Q143" i="55" s="1"/>
  <c r="J139" i="55"/>
  <c r="P139" i="55" s="1"/>
  <c r="O132" i="55"/>
  <c r="U132" i="55" s="1"/>
  <c r="M148" i="55"/>
  <c r="S148" i="55" s="1"/>
  <c r="M125" i="55"/>
  <c r="S125" i="55" s="1"/>
  <c r="N150" i="55"/>
  <c r="T150" i="55" s="1"/>
  <c r="R108" i="55"/>
  <c r="L108" i="55"/>
  <c r="N137" i="55"/>
  <c r="T137" i="55" s="1"/>
  <c r="O127" i="55"/>
  <c r="U127" i="55" s="1"/>
  <c r="J131" i="55"/>
  <c r="P131" i="55" s="1"/>
  <c r="L142" i="55"/>
  <c r="R142" i="55" s="1"/>
  <c r="N120" i="55"/>
  <c r="T120" i="55" s="1"/>
  <c r="R106" i="55"/>
  <c r="U61" i="55"/>
  <c r="O61" i="55"/>
  <c r="S58" i="55"/>
  <c r="M58" i="55"/>
  <c r="M66" i="55"/>
  <c r="S66" i="55" s="1"/>
  <c r="M92" i="55"/>
  <c r="S92" i="55" s="1"/>
  <c r="N80" i="55"/>
  <c r="T80" i="55" s="1"/>
  <c r="M99" i="55"/>
  <c r="S99" i="55" s="1"/>
  <c r="U91" i="55"/>
  <c r="O91" i="55"/>
  <c r="M86" i="55"/>
  <c r="S86" i="55" s="1"/>
  <c r="M84" i="55"/>
  <c r="S84" i="55" s="1"/>
  <c r="O73" i="55"/>
  <c r="U73" i="55" s="1"/>
  <c r="U63" i="55"/>
  <c r="O63" i="55"/>
  <c r="N67" i="55"/>
  <c r="T67" i="55" s="1"/>
  <c r="N74" i="55"/>
  <c r="T74" i="55" s="1"/>
  <c r="N81" i="55"/>
  <c r="T81" i="55" s="1"/>
  <c r="N102" i="55"/>
  <c r="T102" i="55" s="1"/>
  <c r="M69" i="55"/>
  <c r="S69" i="55" s="1"/>
  <c r="M70" i="55"/>
  <c r="S70" i="55" s="1"/>
  <c r="N78" i="55"/>
  <c r="T78" i="55" s="1"/>
  <c r="N71" i="55"/>
  <c r="T71" i="55" s="1"/>
  <c r="L95" i="55"/>
  <c r="R95" i="55" s="1"/>
  <c r="L82" i="55"/>
  <c r="R82" i="55" s="1"/>
  <c r="R59" i="55"/>
  <c r="L59" i="55"/>
  <c r="J54" i="55"/>
  <c r="K87" i="55"/>
  <c r="Q87" i="55" s="1"/>
  <c r="K98" i="55"/>
  <c r="Q98" i="55" s="1"/>
  <c r="K72" i="55"/>
  <c r="Q72" i="55" s="1"/>
  <c r="K83" i="55"/>
  <c r="Q83" i="55" s="1"/>
  <c r="J85" i="55"/>
  <c r="P85" i="55" s="1"/>
  <c r="J88" i="55"/>
  <c r="P88" i="55" s="1"/>
  <c r="J79" i="55"/>
  <c r="P79" i="55" s="1"/>
  <c r="J93" i="55"/>
  <c r="P93" i="55" s="1"/>
  <c r="P54" i="55"/>
  <c r="G103" i="55"/>
  <c r="F76" i="55"/>
  <c r="H68" i="55"/>
  <c r="F94" i="55"/>
  <c r="I77" i="55"/>
  <c r="G64" i="55"/>
  <c r="I62" i="55"/>
  <c r="D65" i="55"/>
  <c r="E60" i="55"/>
  <c r="E90" i="55"/>
  <c r="G89" i="55"/>
  <c r="H56" i="55"/>
  <c r="E30" i="53"/>
  <c r="N30" i="53" s="1"/>
  <c r="C30" i="53"/>
  <c r="M30" i="53" s="1"/>
  <c r="Y38" i="27"/>
  <c r="X16" i="27"/>
  <c r="M17" i="27"/>
  <c r="C10" i="53"/>
  <c r="C11" i="53"/>
  <c r="C15" i="53"/>
  <c r="X37" i="27"/>
  <c r="L35" i="27"/>
  <c r="G65" i="55"/>
  <c r="E62" i="55"/>
  <c r="M16" i="27"/>
  <c r="I68" i="55"/>
  <c r="D115" i="55"/>
  <c r="G77" i="55"/>
  <c r="H77" i="55"/>
  <c r="D76" i="55"/>
  <c r="D77" i="55"/>
  <c r="F77" i="55"/>
  <c r="E77" i="55"/>
  <c r="E76" i="55"/>
  <c r="I76" i="55"/>
  <c r="H76" i="55"/>
  <c r="G76" i="55"/>
  <c r="I115" i="55"/>
  <c r="G115" i="55"/>
  <c r="F115" i="55"/>
  <c r="E115" i="55"/>
  <c r="D145" i="55"/>
  <c r="G144" i="55"/>
  <c r="H62" i="55"/>
  <c r="I65" i="55"/>
  <c r="F65" i="55"/>
  <c r="H65" i="55"/>
  <c r="E65" i="55"/>
  <c r="F62" i="55"/>
  <c r="D62" i="55"/>
  <c r="G62" i="55"/>
  <c r="H145" i="55"/>
  <c r="E145" i="55"/>
  <c r="G145" i="55"/>
  <c r="I145" i="55"/>
  <c r="G68" i="55"/>
  <c r="D68" i="55"/>
  <c r="F68" i="55"/>
  <c r="E68" i="55"/>
  <c r="F89" i="55"/>
  <c r="I117" i="55"/>
  <c r="E117" i="55"/>
  <c r="D117" i="55"/>
  <c r="G117" i="55"/>
  <c r="H117" i="55"/>
  <c r="H110" i="55"/>
  <c r="I149" i="55"/>
  <c r="E149" i="55"/>
  <c r="H149" i="55"/>
  <c r="E144" i="55"/>
  <c r="H144" i="55"/>
  <c r="I144" i="55"/>
  <c r="I89" i="55"/>
  <c r="D144" i="55"/>
  <c r="I155" i="55"/>
  <c r="E155" i="55"/>
  <c r="H155" i="55"/>
  <c r="G155" i="55"/>
  <c r="F155" i="55"/>
  <c r="F107" i="55"/>
  <c r="H64" i="55"/>
  <c r="I64" i="55"/>
  <c r="D64" i="55"/>
  <c r="H118" i="55"/>
  <c r="E64" i="55"/>
  <c r="E118" i="55"/>
  <c r="F64" i="55"/>
  <c r="D118" i="55"/>
  <c r="F118" i="55"/>
  <c r="E121" i="55"/>
  <c r="H107" i="55"/>
  <c r="I121" i="55"/>
  <c r="F121" i="55"/>
  <c r="G121" i="55"/>
  <c r="G107" i="55"/>
  <c r="I118" i="55"/>
  <c r="D121" i="55"/>
  <c r="E107" i="55"/>
  <c r="I107" i="55"/>
  <c r="D149" i="55"/>
  <c r="D94" i="55"/>
  <c r="E94" i="55"/>
  <c r="I94" i="55"/>
  <c r="H94" i="55"/>
  <c r="G94" i="55"/>
  <c r="F149" i="55"/>
  <c r="E89" i="55"/>
  <c r="D89" i="55"/>
  <c r="H89" i="55"/>
  <c r="I90" i="55"/>
  <c r="I110" i="55"/>
  <c r="D103" i="55"/>
  <c r="G56" i="55"/>
  <c r="D110" i="55"/>
  <c r="F103" i="55"/>
  <c r="I56" i="55"/>
  <c r="F110" i="55"/>
  <c r="E110" i="55"/>
  <c r="H103" i="55"/>
  <c r="D56" i="55"/>
  <c r="E103" i="55"/>
  <c r="E56" i="55"/>
  <c r="I103" i="55"/>
  <c r="F56" i="55"/>
  <c r="H90" i="55"/>
  <c r="G90" i="55"/>
  <c r="F90" i="55"/>
  <c r="D90" i="55"/>
  <c r="G154" i="55"/>
  <c r="D154" i="55"/>
  <c r="I154" i="55"/>
  <c r="F154" i="55"/>
  <c r="H154" i="55"/>
  <c r="E25" i="53"/>
  <c r="N25" i="53" s="1"/>
  <c r="I26" i="53"/>
  <c r="O26" i="53" s="1"/>
  <c r="K25" i="53"/>
  <c r="P25" i="53" s="1"/>
  <c r="I30" i="53"/>
  <c r="O30" i="53" s="1"/>
  <c r="K26" i="53"/>
  <c r="P26" i="53" s="1"/>
  <c r="K30" i="53"/>
  <c r="P30" i="53" s="1"/>
  <c r="C25" i="53"/>
  <c r="M25" i="53" s="1"/>
  <c r="E26" i="53"/>
  <c r="N26" i="53" s="1"/>
  <c r="F60" i="55"/>
  <c r="D60" i="55"/>
  <c r="H60" i="55"/>
  <c r="G60" i="55"/>
  <c r="C26" i="53"/>
  <c r="M26" i="53" s="1"/>
  <c r="I60" i="55"/>
  <c r="I25" i="53"/>
  <c r="O25" i="53" s="1"/>
  <c r="AG54" i="56"/>
  <c r="AR54" i="56"/>
  <c r="BB54" i="56"/>
  <c r="AK54" i="56"/>
  <c r="AA54" i="56"/>
  <c r="BA54" i="56"/>
  <c r="AC54" i="56"/>
  <c r="AV54" i="56"/>
  <c r="AT54" i="56"/>
  <c r="AY54" i="56"/>
  <c r="AE54" i="56"/>
  <c r="AJ54" i="56"/>
  <c r="AH54" i="56"/>
  <c r="AX54" i="56"/>
  <c r="C27" i="53"/>
  <c r="N22" i="53"/>
  <c r="N23" i="53"/>
  <c r="O22" i="53"/>
  <c r="P23" i="53"/>
  <c r="M21" i="53"/>
  <c r="P21" i="53"/>
  <c r="M20" i="53"/>
  <c r="O23" i="53"/>
  <c r="M23" i="53"/>
  <c r="N21" i="53"/>
  <c r="P20" i="53"/>
  <c r="M22" i="53"/>
  <c r="O21" i="53"/>
  <c r="P22" i="53"/>
  <c r="N20" i="53"/>
  <c r="X15" i="27"/>
  <c r="X36" i="27"/>
  <c r="L34" i="27"/>
  <c r="M15" i="27"/>
  <c r="Y28" i="27"/>
  <c r="X35" i="27"/>
  <c r="M29" i="27"/>
  <c r="L26" i="27"/>
  <c r="X8" i="27"/>
  <c r="Y29" i="27"/>
  <c r="Y11" i="27"/>
  <c r="X14" i="27"/>
  <c r="M13" i="27"/>
  <c r="Y9" i="27"/>
  <c r="M32" i="27"/>
  <c r="L5" i="27"/>
  <c r="Y26" i="27"/>
  <c r="M6" i="27"/>
  <c r="M8" i="27"/>
  <c r="M10" i="27"/>
  <c r="X6" i="27"/>
  <c r="M30" i="27"/>
  <c r="X12" i="27"/>
  <c r="Y34" i="27"/>
  <c r="L7" i="27"/>
  <c r="Y33" i="27"/>
  <c r="M33" i="27"/>
  <c r="Y30" i="27"/>
  <c r="M11" i="27"/>
  <c r="M12" i="27"/>
  <c r="Y10" i="27"/>
  <c r="X13" i="27"/>
  <c r="X5" i="27"/>
  <c r="M9" i="27"/>
  <c r="M25" i="27"/>
  <c r="Y31" i="27"/>
  <c r="X7" i="27"/>
  <c r="M31" i="27"/>
  <c r="L27" i="27"/>
  <c r="L14" i="27"/>
  <c r="Y32" i="27"/>
  <c r="Y27" i="27"/>
  <c r="X4" i="27"/>
  <c r="L28" i="27"/>
  <c r="L4" i="27"/>
  <c r="Y122" i="55" l="1"/>
  <c r="X122" i="55" s="1"/>
  <c r="G52" i="58"/>
  <c r="I51" i="58"/>
  <c r="J51" i="58" s="1"/>
  <c r="G39" i="58"/>
  <c r="H39" i="58" s="1"/>
  <c r="V75" i="55"/>
  <c r="W75" i="55" s="1"/>
  <c r="G47" i="58"/>
  <c r="H47" i="58" s="1"/>
  <c r="O75" i="55"/>
  <c r="U75" i="55"/>
  <c r="N75" i="55"/>
  <c r="T75" i="55"/>
  <c r="I52" i="58"/>
  <c r="J52" i="58" s="1"/>
  <c r="M75" i="55"/>
  <c r="S75" i="55" s="1"/>
  <c r="R75" i="55"/>
  <c r="L75" i="55"/>
  <c r="K75" i="55"/>
  <c r="Q75" i="55" s="1"/>
  <c r="P75" i="55"/>
  <c r="J75" i="55"/>
  <c r="G43" i="58"/>
  <c r="H43" i="58" s="1"/>
  <c r="G42" i="58"/>
  <c r="H42" i="58" s="1"/>
  <c r="G44" i="58"/>
  <c r="H44" i="58" s="1"/>
  <c r="I44" i="58"/>
  <c r="J44" i="58" s="1"/>
  <c r="G40" i="58"/>
  <c r="H40" i="58" s="1"/>
  <c r="I40" i="58"/>
  <c r="J40" i="58" s="1"/>
  <c r="I39" i="58"/>
  <c r="J39" i="58" s="1"/>
  <c r="K101" i="55"/>
  <c r="L101" i="55"/>
  <c r="R101" i="55" s="1"/>
  <c r="Y101" i="55" s="1"/>
  <c r="X101" i="55" s="1"/>
  <c r="G36" i="58"/>
  <c r="H36" i="58" s="1"/>
  <c r="G50" i="58"/>
  <c r="H50" i="58" s="1"/>
  <c r="G37" i="58"/>
  <c r="H37" i="58" s="1"/>
  <c r="I41" i="58"/>
  <c r="J41" i="58" s="1"/>
  <c r="I49" i="58"/>
  <c r="J49" i="58" s="1"/>
  <c r="I38" i="58"/>
  <c r="J38" i="58" s="1"/>
  <c r="I47" i="58"/>
  <c r="J47" i="58" s="1"/>
  <c r="G45" i="58"/>
  <c r="H45" i="58" s="1"/>
  <c r="I36" i="58"/>
  <c r="J36" i="58" s="1"/>
  <c r="G46" i="58"/>
  <c r="H46" i="58" s="1"/>
  <c r="G48" i="58"/>
  <c r="H48" i="58" s="1"/>
  <c r="G41" i="58"/>
  <c r="G49" i="58"/>
  <c r="K51" i="58"/>
  <c r="H51" i="58"/>
  <c r="I46" i="58"/>
  <c r="J46" i="58" s="1"/>
  <c r="I42" i="58"/>
  <c r="J42" i="58" s="1"/>
  <c r="I45" i="58"/>
  <c r="J45" i="58" s="1"/>
  <c r="V101" i="55"/>
  <c r="W101" i="55" s="1"/>
  <c r="I50" i="58"/>
  <c r="J50" i="58" s="1"/>
  <c r="G38" i="58"/>
  <c r="I37" i="58"/>
  <c r="J37" i="58" s="1"/>
  <c r="I48" i="58"/>
  <c r="J48" i="58" s="1"/>
  <c r="I43" i="58"/>
  <c r="J124" i="55"/>
  <c r="M124" i="55"/>
  <c r="S124" i="55" s="1"/>
  <c r="V123" i="55"/>
  <c r="W123" i="55" s="1"/>
  <c r="V124" i="55"/>
  <c r="W124" i="55" s="1"/>
  <c r="U124" i="55"/>
  <c r="L124" i="55"/>
  <c r="R124" i="55" s="1"/>
  <c r="T124" i="55"/>
  <c r="O123" i="55"/>
  <c r="U123" i="55" s="1"/>
  <c r="N123" i="55"/>
  <c r="T123" i="55" s="1"/>
  <c r="M123" i="55"/>
  <c r="S123" i="55" s="1"/>
  <c r="L123" i="55"/>
  <c r="R123" i="55" s="1"/>
  <c r="K123" i="55"/>
  <c r="Q123" i="55" s="1"/>
  <c r="J123" i="55"/>
  <c r="P123" i="55" s="1"/>
  <c r="N97" i="55"/>
  <c r="U97" i="55"/>
  <c r="Y97" i="55" s="1"/>
  <c r="X97" i="55" s="1"/>
  <c r="V97" i="55"/>
  <c r="W97" i="55" s="1"/>
  <c r="O96" i="55"/>
  <c r="U96" i="55"/>
  <c r="N96" i="55"/>
  <c r="T96" i="55" s="1"/>
  <c r="M96" i="55"/>
  <c r="S96" i="55" s="1"/>
  <c r="L96" i="55"/>
  <c r="R96" i="55" s="1"/>
  <c r="K96" i="55"/>
  <c r="Q96" i="55" s="1"/>
  <c r="J96" i="55"/>
  <c r="P96" i="55" s="1"/>
  <c r="V96" i="55"/>
  <c r="W96" i="55" s="1"/>
  <c r="P112" i="55"/>
  <c r="B52" i="65"/>
  <c r="C52" i="65" s="1" a="1"/>
  <c r="C52" i="65" s="1"/>
  <c r="A50" i="65"/>
  <c r="H50" i="65" s="1"/>
  <c r="B53" i="65"/>
  <c r="C53" i="65" s="1" a="1"/>
  <c r="C53" i="65" s="1"/>
  <c r="K112" i="55"/>
  <c r="R112" i="55"/>
  <c r="S112" i="55"/>
  <c r="T57" i="55"/>
  <c r="K55" i="55"/>
  <c r="V57" i="55"/>
  <c r="W57" i="55" s="1"/>
  <c r="M57" i="55"/>
  <c r="O111" i="55"/>
  <c r="M111" i="55"/>
  <c r="S106" i="55"/>
  <c r="J57" i="55"/>
  <c r="P57" i="55" s="1"/>
  <c r="N55" i="55"/>
  <c r="O55" i="55"/>
  <c r="R55" i="55"/>
  <c r="S55" i="55"/>
  <c r="V111" i="55"/>
  <c r="W111" i="55" s="1"/>
  <c r="V55" i="55"/>
  <c r="W55" i="55" s="1"/>
  <c r="V112" i="55"/>
  <c r="L111" i="55"/>
  <c r="O57" i="55"/>
  <c r="U57" i="55" s="1"/>
  <c r="K111" i="55"/>
  <c r="J106" i="55"/>
  <c r="N106" i="55"/>
  <c r="Y111" i="55"/>
  <c r="V106" i="55"/>
  <c r="W106" i="55" s="1"/>
  <c r="K106" i="55"/>
  <c r="M113" i="55"/>
  <c r="T130" i="55"/>
  <c r="P113" i="55"/>
  <c r="L109" i="55"/>
  <c r="O106" i="55"/>
  <c r="O130" i="55"/>
  <c r="U130" i="55" s="1"/>
  <c r="N109" i="55"/>
  <c r="M109" i="55"/>
  <c r="V120" i="55"/>
  <c r="W120" i="55" s="1"/>
  <c r="V138" i="55"/>
  <c r="W138" i="55" s="1"/>
  <c r="J120" i="55"/>
  <c r="L120" i="55"/>
  <c r="V152" i="55"/>
  <c r="W152" i="55" s="1"/>
  <c r="O152" i="55"/>
  <c r="U152" i="55" s="1"/>
  <c r="V109" i="55"/>
  <c r="W109" i="55" s="1"/>
  <c r="V130" i="55"/>
  <c r="W130" i="55" s="1"/>
  <c r="V113" i="55"/>
  <c r="O113" i="55"/>
  <c r="L113" i="55"/>
  <c r="R113" i="55" s="1"/>
  <c r="V150" i="55"/>
  <c r="W150" i="55" s="1"/>
  <c r="V100" i="55"/>
  <c r="W100" i="55" s="1"/>
  <c r="K100" i="55"/>
  <c r="Q100" i="55" s="1"/>
  <c r="R100" i="55"/>
  <c r="M100" i="55"/>
  <c r="S100" i="55" s="1"/>
  <c r="N100" i="55"/>
  <c r="T100" i="55" s="1"/>
  <c r="I16" i="58"/>
  <c r="J16" i="58" s="1"/>
  <c r="G16" i="58"/>
  <c r="P125" i="55"/>
  <c r="O125" i="55"/>
  <c r="U125" i="55" s="1"/>
  <c r="N147" i="55"/>
  <c r="T147" i="55" s="1"/>
  <c r="M126" i="55"/>
  <c r="S126" i="55" s="1"/>
  <c r="K131" i="55"/>
  <c r="Q131" i="55" s="1"/>
  <c r="M129" i="55"/>
  <c r="O116" i="55"/>
  <c r="N108" i="55"/>
  <c r="T108" i="55" s="1"/>
  <c r="V137" i="55"/>
  <c r="O129" i="55"/>
  <c r="U129" i="55" s="1"/>
  <c r="N131" i="55"/>
  <c r="T131" i="55" s="1"/>
  <c r="N134" i="55"/>
  <c r="T134" i="55" s="1"/>
  <c r="Y134" i="55" s="1"/>
  <c r="J132" i="55"/>
  <c r="P132" i="55" s="1"/>
  <c r="L119" i="55"/>
  <c r="R119" i="55" s="1"/>
  <c r="L132" i="55"/>
  <c r="R132" i="55" s="1"/>
  <c r="O108" i="55"/>
  <c r="U108" i="55" s="1"/>
  <c r="T125" i="55"/>
  <c r="P135" i="55"/>
  <c r="R98" i="55"/>
  <c r="R126" i="55"/>
  <c r="N146" i="55"/>
  <c r="T146" i="55" s="1"/>
  <c r="M108" i="55"/>
  <c r="V125" i="55"/>
  <c r="S132" i="55"/>
  <c r="K126" i="55"/>
  <c r="Q126" i="55" s="1"/>
  <c r="V108" i="55"/>
  <c r="W108" i="55" s="1"/>
  <c r="J141" i="55"/>
  <c r="P141" i="55" s="1"/>
  <c r="Y141" i="55" s="1"/>
  <c r="Q128" i="55"/>
  <c r="Y128" i="55" s="1"/>
  <c r="O135" i="55"/>
  <c r="U135" i="55" s="1"/>
  <c r="T132" i="55"/>
  <c r="T133" i="55"/>
  <c r="V129" i="55"/>
  <c r="W129" i="55" s="1"/>
  <c r="M131" i="55"/>
  <c r="S131" i="55" s="1"/>
  <c r="L125" i="55"/>
  <c r="R125" i="55" s="1"/>
  <c r="V134" i="55"/>
  <c r="V139" i="55"/>
  <c r="W139" i="55" s="1"/>
  <c r="V135" i="55"/>
  <c r="W135" i="55" s="1"/>
  <c r="V126" i="55"/>
  <c r="K153" i="55"/>
  <c r="Q153" i="55" s="1"/>
  <c r="Y153" i="55" s="1"/>
  <c r="V132" i="55"/>
  <c r="W132" i="55" s="1"/>
  <c r="N139" i="55"/>
  <c r="T139" i="55" s="1"/>
  <c r="Y139" i="55" s="1"/>
  <c r="L135" i="55"/>
  <c r="R135" i="55" s="1"/>
  <c r="V141" i="55"/>
  <c r="V151" i="55"/>
  <c r="V116" i="55"/>
  <c r="W116" i="55" s="1"/>
  <c r="V131" i="55"/>
  <c r="V153" i="55"/>
  <c r="W153" i="55" s="1"/>
  <c r="L131" i="55"/>
  <c r="R131" i="55" s="1"/>
  <c r="K148" i="55"/>
  <c r="Q148" i="55" s="1"/>
  <c r="Y148" i="55" s="1"/>
  <c r="V148" i="55"/>
  <c r="W148" i="55" s="1"/>
  <c r="V119" i="55"/>
  <c r="W119" i="55" s="1"/>
  <c r="B15" i="53"/>
  <c r="K132" i="55"/>
  <c r="Q132" i="55" s="1"/>
  <c r="K136" i="55"/>
  <c r="Q136" i="55" s="1"/>
  <c r="M116" i="55"/>
  <c r="V146" i="55"/>
  <c r="W146" i="55" s="1"/>
  <c r="P119" i="55"/>
  <c r="S116" i="55"/>
  <c r="Y116" i="55" s="1"/>
  <c r="V140" i="55"/>
  <c r="W140" i="55" s="1"/>
  <c r="V136" i="55"/>
  <c r="V128" i="55"/>
  <c r="K127" i="55"/>
  <c r="Q127" i="55" s="1"/>
  <c r="K119" i="55"/>
  <c r="Q119" i="55" s="1"/>
  <c r="J146" i="55"/>
  <c r="P146" i="55" s="1"/>
  <c r="I17" i="58"/>
  <c r="J17" i="58" s="1"/>
  <c r="O140" i="55"/>
  <c r="U140" i="55" s="1"/>
  <c r="Y140" i="55" s="1"/>
  <c r="V133" i="55"/>
  <c r="W133" i="55" s="1"/>
  <c r="G17" i="58"/>
  <c r="V147" i="55"/>
  <c r="W147" i="55" s="1"/>
  <c r="O133" i="55"/>
  <c r="U133" i="55" s="1"/>
  <c r="T127" i="55"/>
  <c r="V143" i="55"/>
  <c r="W143" i="55" s="1"/>
  <c r="V142" i="55"/>
  <c r="W142" i="55" s="1"/>
  <c r="J133" i="55"/>
  <c r="P133" i="55" s="1"/>
  <c r="K147" i="55"/>
  <c r="Q147" i="55" s="1"/>
  <c r="O147" i="55"/>
  <c r="O142" i="55"/>
  <c r="U142" i="55" s="1"/>
  <c r="Y142" i="55" s="1"/>
  <c r="M136" i="55"/>
  <c r="S136" i="55" s="1"/>
  <c r="V127" i="55"/>
  <c r="W127" i="55" s="1"/>
  <c r="M63" i="55"/>
  <c r="T54" i="55"/>
  <c r="J86" i="55"/>
  <c r="P86" i="55" s="1"/>
  <c r="N129" i="55"/>
  <c r="T129" i="55" s="1"/>
  <c r="O78" i="55"/>
  <c r="U78" i="55" s="1"/>
  <c r="J78" i="55"/>
  <c r="O54" i="55"/>
  <c r="Q54" i="55"/>
  <c r="K88" i="55"/>
  <c r="Q88" i="55" s="1"/>
  <c r="K61" i="55"/>
  <c r="Q61" i="55" s="1"/>
  <c r="U83" i="55"/>
  <c r="K82" i="55"/>
  <c r="Q82" i="55" s="1"/>
  <c r="Y82" i="55" s="1"/>
  <c r="N63" i="55"/>
  <c r="K69" i="55"/>
  <c r="Q69" i="55" s="1"/>
  <c r="P95" i="55"/>
  <c r="O69" i="55"/>
  <c r="U69" i="55" s="1"/>
  <c r="M85" i="55"/>
  <c r="S85" i="55" s="1"/>
  <c r="M71" i="55"/>
  <c r="O88" i="55"/>
  <c r="U88" i="55" s="1"/>
  <c r="M83" i="55"/>
  <c r="S83" i="55" s="1"/>
  <c r="K63" i="55"/>
  <c r="V83" i="55"/>
  <c r="R80" i="55"/>
  <c r="T84" i="55"/>
  <c r="R102" i="55"/>
  <c r="Y102" i="55" s="1"/>
  <c r="K79" i="55"/>
  <c r="Q79" i="55" s="1"/>
  <c r="L93" i="55"/>
  <c r="R93" i="55" s="1"/>
  <c r="P69" i="55"/>
  <c r="J63" i="55"/>
  <c r="V86" i="55"/>
  <c r="W86" i="55" s="1"/>
  <c r="L86" i="55"/>
  <c r="R86" i="55" s="1"/>
  <c r="V63" i="55"/>
  <c r="W63" i="55" s="1"/>
  <c r="V88" i="55"/>
  <c r="W88" i="55" s="1"/>
  <c r="V98" i="55"/>
  <c r="W98" i="55" s="1"/>
  <c r="O79" i="55"/>
  <c r="U79" i="55" s="1"/>
  <c r="J98" i="55"/>
  <c r="P98" i="55" s="1"/>
  <c r="V70" i="55"/>
  <c r="N88" i="55"/>
  <c r="T88" i="55" s="1"/>
  <c r="K81" i="55"/>
  <c r="Q81" i="55" s="1"/>
  <c r="L54" i="55"/>
  <c r="V54" i="55"/>
  <c r="N72" i="55"/>
  <c r="T72" i="55" s="1"/>
  <c r="V81" i="55"/>
  <c r="W81" i="55" s="1"/>
  <c r="L81" i="55"/>
  <c r="R81" i="55" s="1"/>
  <c r="M80" i="55"/>
  <c r="S80" i="55" s="1"/>
  <c r="T69" i="55"/>
  <c r="V69" i="55"/>
  <c r="W69" i="55" s="1"/>
  <c r="L61" i="55"/>
  <c r="R61" i="55" s="1"/>
  <c r="N85" i="55"/>
  <c r="T85" i="55" s="1"/>
  <c r="L74" i="55"/>
  <c r="R74" i="55" s="1"/>
  <c r="V80" i="55"/>
  <c r="L71" i="55"/>
  <c r="R71" i="55" s="1"/>
  <c r="U93" i="55"/>
  <c r="K80" i="55"/>
  <c r="Q80" i="55" s="1"/>
  <c r="O84" i="55"/>
  <c r="U84" i="55" s="1"/>
  <c r="V67" i="55"/>
  <c r="W67" i="55" s="1"/>
  <c r="O67" i="55"/>
  <c r="U67" i="55" s="1"/>
  <c r="Y67" i="55" s="1"/>
  <c r="J102" i="55"/>
  <c r="V78" i="55"/>
  <c r="L78" i="55"/>
  <c r="R78" i="55" s="1"/>
  <c r="O74" i="55"/>
  <c r="N91" i="55"/>
  <c r="T91" i="55" s="1"/>
  <c r="Y91" i="55" s="1"/>
  <c r="J61" i="55"/>
  <c r="P61" i="55" s="1"/>
  <c r="N61" i="55"/>
  <c r="V85" i="55"/>
  <c r="W85" i="55" s="1"/>
  <c r="V82" i="55"/>
  <c r="W82" i="55" s="1"/>
  <c r="V71" i="55"/>
  <c r="M72" i="55"/>
  <c r="L85" i="55"/>
  <c r="R85" i="55" s="1"/>
  <c r="V72" i="55"/>
  <c r="W72" i="55" s="1"/>
  <c r="V61" i="55"/>
  <c r="W61" i="55" s="1"/>
  <c r="P84" i="55"/>
  <c r="V84" i="55"/>
  <c r="L72" i="55"/>
  <c r="R72" i="55" s="1"/>
  <c r="J58" i="55"/>
  <c r="V79" i="55"/>
  <c r="O71" i="55"/>
  <c r="U71" i="55" s="1"/>
  <c r="R79" i="55"/>
  <c r="V91" i="55"/>
  <c r="W91" i="55" s="1"/>
  <c r="V102" i="55"/>
  <c r="R144" i="55"/>
  <c r="T58" i="55"/>
  <c r="V74" i="55"/>
  <c r="W74" i="55" s="1"/>
  <c r="M73" i="55"/>
  <c r="S73" i="55" s="1"/>
  <c r="Y73" i="55" s="1"/>
  <c r="AA130" i="56" s="1"/>
  <c r="M110" i="55"/>
  <c r="S118" i="55"/>
  <c r="K93" i="55"/>
  <c r="Q93" i="55" s="1"/>
  <c r="M74" i="55"/>
  <c r="S74" i="55"/>
  <c r="L145" i="55"/>
  <c r="R145" i="55" s="1"/>
  <c r="J59" i="55"/>
  <c r="J99" i="55"/>
  <c r="P99" i="55" s="1"/>
  <c r="N115" i="55"/>
  <c r="T115" i="55" s="1"/>
  <c r="J87" i="55"/>
  <c r="P87" i="55" s="1"/>
  <c r="K154" i="55"/>
  <c r="Q154" i="55" s="1"/>
  <c r="M93" i="55"/>
  <c r="S93" i="55" s="1"/>
  <c r="V73" i="55"/>
  <c r="J107" i="55"/>
  <c r="P107" i="55" s="1"/>
  <c r="M87" i="55"/>
  <c r="S87" i="55" s="1"/>
  <c r="K99" i="55"/>
  <c r="Q99" i="55" s="1"/>
  <c r="R99" i="55"/>
  <c r="V99" i="55"/>
  <c r="W99" i="55" s="1"/>
  <c r="M59" i="55"/>
  <c r="S59" i="55" s="1"/>
  <c r="Y59" i="55" s="1"/>
  <c r="V93" i="55"/>
  <c r="W93" i="55" s="1"/>
  <c r="O66" i="55"/>
  <c r="U66" i="55" s="1"/>
  <c r="O59" i="55"/>
  <c r="L58" i="55"/>
  <c r="V95" i="55"/>
  <c r="N95" i="55"/>
  <c r="T95" i="55" s="1"/>
  <c r="U58" i="55"/>
  <c r="M149" i="55"/>
  <c r="S149" i="55" s="1"/>
  <c r="V59" i="55"/>
  <c r="W59" i="55" s="1"/>
  <c r="V58" i="55"/>
  <c r="W58" i="55" s="1"/>
  <c r="V87" i="55"/>
  <c r="L87" i="55"/>
  <c r="R87" i="55" s="1"/>
  <c r="L117" i="55"/>
  <c r="R117" i="55" s="1"/>
  <c r="J155" i="55"/>
  <c r="P155" i="55" s="1"/>
  <c r="V92" i="55"/>
  <c r="V66" i="55"/>
  <c r="G30" i="58"/>
  <c r="I34" i="58"/>
  <c r="J34" i="58" s="1"/>
  <c r="Q66" i="55"/>
  <c r="G12" i="58"/>
  <c r="G4" i="58"/>
  <c r="N92" i="55"/>
  <c r="T92" i="55" s="1"/>
  <c r="Y92" i="55" s="1"/>
  <c r="I3" i="58"/>
  <c r="J3" i="58" s="1"/>
  <c r="G21" i="58"/>
  <c r="G35" i="58"/>
  <c r="G23" i="58"/>
  <c r="I9" i="58"/>
  <c r="J9" i="58" s="1"/>
  <c r="G24" i="58"/>
  <c r="G29" i="58"/>
  <c r="I15" i="58"/>
  <c r="J15" i="58" s="1"/>
  <c r="I4" i="58"/>
  <c r="J4" i="58" s="1"/>
  <c r="I33" i="58"/>
  <c r="J33" i="58" s="1"/>
  <c r="G7" i="58"/>
  <c r="G13" i="58"/>
  <c r="G25" i="58"/>
  <c r="I27" i="58"/>
  <c r="J27" i="58" s="1"/>
  <c r="I6" i="58"/>
  <c r="J6" i="58" s="1"/>
  <c r="G5" i="58"/>
  <c r="G26" i="58"/>
  <c r="G18" i="58"/>
  <c r="G22" i="58"/>
  <c r="I5" i="58"/>
  <c r="J5" i="58" s="1"/>
  <c r="I20" i="58"/>
  <c r="J20" i="58" s="1"/>
  <c r="I8" i="58"/>
  <c r="J8" i="58" s="1"/>
  <c r="G31" i="58"/>
  <c r="G32" i="58"/>
  <c r="I12" i="58"/>
  <c r="J12" i="58" s="1"/>
  <c r="G11" i="58"/>
  <c r="G28" i="58"/>
  <c r="I19" i="58"/>
  <c r="J19" i="58" s="1"/>
  <c r="G10" i="58"/>
  <c r="I32" i="58"/>
  <c r="J32" i="58" s="1"/>
  <c r="I21" i="58"/>
  <c r="J21" i="58" s="1"/>
  <c r="G14" i="58"/>
  <c r="I26" i="58"/>
  <c r="J26" i="58" s="1"/>
  <c r="G9" i="58"/>
  <c r="I35" i="58"/>
  <c r="J35" i="58" s="1"/>
  <c r="I30" i="58"/>
  <c r="J30" i="58" s="1"/>
  <c r="I24" i="58"/>
  <c r="J24" i="58" s="1"/>
  <c r="I18" i="58"/>
  <c r="J18" i="58" s="1"/>
  <c r="G33" i="58"/>
  <c r="I25" i="58"/>
  <c r="J25" i="58" s="1"/>
  <c r="I14" i="58"/>
  <c r="J14" i="58" s="1"/>
  <c r="I11" i="58"/>
  <c r="J11" i="58" s="1"/>
  <c r="I13" i="58"/>
  <c r="J13" i="58" s="1"/>
  <c r="I28" i="58"/>
  <c r="J28" i="58" s="1"/>
  <c r="I22" i="58"/>
  <c r="J22" i="58" s="1"/>
  <c r="G20" i="58"/>
  <c r="G6" i="58"/>
  <c r="I31" i="58"/>
  <c r="J31" i="58" s="1"/>
  <c r="G34" i="58"/>
  <c r="G3" i="58"/>
  <c r="I10" i="58"/>
  <c r="J10" i="58" s="1"/>
  <c r="G15" i="58"/>
  <c r="G8" i="58"/>
  <c r="I7" i="58"/>
  <c r="J7" i="58" s="1"/>
  <c r="G19" i="58"/>
  <c r="G27" i="58"/>
  <c r="I29" i="58"/>
  <c r="J29" i="58" s="1"/>
  <c r="I23" i="58"/>
  <c r="J23" i="58" s="1"/>
  <c r="Y151" i="55"/>
  <c r="Y143" i="55"/>
  <c r="Y138" i="55"/>
  <c r="Y106" i="55"/>
  <c r="AA164" i="56" s="1"/>
  <c r="Y137" i="55"/>
  <c r="Y109" i="55"/>
  <c r="AA167" i="56" s="1"/>
  <c r="Y120" i="55"/>
  <c r="Y150" i="55"/>
  <c r="N121" i="55"/>
  <c r="T121" i="55" s="1"/>
  <c r="N154" i="55"/>
  <c r="T154" i="55" s="1"/>
  <c r="P121" i="55"/>
  <c r="J121" i="55"/>
  <c r="O117" i="55"/>
  <c r="U117" i="55" s="1"/>
  <c r="K155" i="55"/>
  <c r="Q155" i="55" s="1"/>
  <c r="J115" i="55"/>
  <c r="P115" i="55" s="1"/>
  <c r="K118" i="55"/>
  <c r="Q118" i="55" s="1"/>
  <c r="J144" i="55"/>
  <c r="P144" i="55" s="1"/>
  <c r="K117" i="55"/>
  <c r="Q117" i="55" s="1"/>
  <c r="L154" i="55"/>
  <c r="R154" i="55" s="1"/>
  <c r="O118" i="55"/>
  <c r="U118" i="55" s="1"/>
  <c r="N118" i="55"/>
  <c r="T118" i="55" s="1"/>
  <c r="O144" i="55"/>
  <c r="U144" i="55" s="1"/>
  <c r="J117" i="55"/>
  <c r="P117" i="55" s="1"/>
  <c r="O154" i="55"/>
  <c r="U154" i="55" s="1"/>
  <c r="M107" i="55"/>
  <c r="S107" i="55" s="1"/>
  <c r="N144" i="55"/>
  <c r="T144" i="55" s="1"/>
  <c r="K107" i="55"/>
  <c r="Q107" i="55" s="1"/>
  <c r="U115" i="55"/>
  <c r="O115" i="55"/>
  <c r="J154" i="55"/>
  <c r="P154" i="55" s="1"/>
  <c r="K110" i="55"/>
  <c r="Q110" i="55" s="1"/>
  <c r="L149" i="55"/>
  <c r="R149" i="55" s="1"/>
  <c r="M121" i="55"/>
  <c r="S121" i="55" s="1"/>
  <c r="K144" i="55"/>
  <c r="Q144" i="55" s="1"/>
  <c r="M154" i="55"/>
  <c r="S154" i="55" s="1"/>
  <c r="R110" i="55"/>
  <c r="L110" i="55"/>
  <c r="L121" i="55"/>
  <c r="R121" i="55" s="1"/>
  <c r="N149" i="55"/>
  <c r="T149" i="55" s="1"/>
  <c r="J149" i="55"/>
  <c r="P149" i="55" s="1"/>
  <c r="J118" i="55"/>
  <c r="P118" i="55" s="1"/>
  <c r="M117" i="55"/>
  <c r="S117" i="55" s="1"/>
  <c r="N145" i="55"/>
  <c r="T145" i="55" s="1"/>
  <c r="L115" i="55"/>
  <c r="R115" i="55" s="1"/>
  <c r="U107" i="55"/>
  <c r="O107" i="55"/>
  <c r="O110" i="55"/>
  <c r="U110" i="55" s="1"/>
  <c r="T107" i="55"/>
  <c r="N107" i="55"/>
  <c r="L155" i="55"/>
  <c r="R155" i="55" s="1"/>
  <c r="O149" i="55"/>
  <c r="U149" i="55" s="1"/>
  <c r="O145" i="55"/>
  <c r="U145" i="55" s="1"/>
  <c r="M144" i="55"/>
  <c r="S144" i="55" s="1"/>
  <c r="M115" i="55"/>
  <c r="S115" i="55" s="1"/>
  <c r="M155" i="55"/>
  <c r="S155" i="55" s="1"/>
  <c r="J145" i="55"/>
  <c r="P145" i="55" s="1"/>
  <c r="O155" i="55"/>
  <c r="U155" i="55" s="1"/>
  <c r="O121" i="55"/>
  <c r="U121" i="55" s="1"/>
  <c r="L107" i="55"/>
  <c r="R107" i="55" s="1"/>
  <c r="K149" i="55"/>
  <c r="Q149" i="55" s="1"/>
  <c r="P110" i="55"/>
  <c r="J110" i="55"/>
  <c r="K121" i="55"/>
  <c r="Q121" i="55" s="1"/>
  <c r="N110" i="55"/>
  <c r="T110" i="55" s="1"/>
  <c r="M145" i="55"/>
  <c r="S145" i="55" s="1"/>
  <c r="L118" i="55"/>
  <c r="R118" i="55" s="1"/>
  <c r="N155" i="55"/>
  <c r="T155" i="55" s="1"/>
  <c r="N117" i="55"/>
  <c r="T117" i="55" s="1"/>
  <c r="K145" i="55"/>
  <c r="Q145" i="55" s="1"/>
  <c r="K115" i="55"/>
  <c r="Q115" i="55" s="1"/>
  <c r="O90" i="55"/>
  <c r="U90" i="55" s="1"/>
  <c r="O68" i="55"/>
  <c r="U68" i="55" s="1"/>
  <c r="M89" i="55"/>
  <c r="S89" i="55" s="1"/>
  <c r="N89" i="55"/>
  <c r="T89" i="55" s="1"/>
  <c r="O89" i="55"/>
  <c r="U89" i="55" s="1"/>
  <c r="S76" i="55"/>
  <c r="M76" i="55"/>
  <c r="M60" i="55"/>
  <c r="S60" i="55" s="1"/>
  <c r="T76" i="55"/>
  <c r="N76" i="55"/>
  <c r="N60" i="55"/>
  <c r="T60" i="55" s="1"/>
  <c r="N103" i="55"/>
  <c r="T103" i="55" s="1"/>
  <c r="N65" i="55"/>
  <c r="T65" i="55" s="1"/>
  <c r="O76" i="55"/>
  <c r="U76" i="55" s="1"/>
  <c r="M65" i="55"/>
  <c r="S65" i="55" s="1"/>
  <c r="N68" i="55"/>
  <c r="T68" i="55" s="1"/>
  <c r="O103" i="55"/>
  <c r="U103" i="55" s="1"/>
  <c r="M62" i="55"/>
  <c r="S62" i="55" s="1"/>
  <c r="N56" i="55"/>
  <c r="T56" i="55" s="1"/>
  <c r="O77" i="55"/>
  <c r="U77" i="55" s="1"/>
  <c r="O64" i="55"/>
  <c r="U64" i="55" s="1"/>
  <c r="M94" i="55"/>
  <c r="S94" i="55" s="1"/>
  <c r="N64" i="55"/>
  <c r="T64" i="55" s="1"/>
  <c r="O65" i="55"/>
  <c r="U65" i="55" s="1"/>
  <c r="M77" i="55"/>
  <c r="S77" i="55" s="1"/>
  <c r="M64" i="55"/>
  <c r="S64" i="55" s="1"/>
  <c r="U56" i="55"/>
  <c r="O56" i="55"/>
  <c r="N94" i="55"/>
  <c r="T94" i="55" s="1"/>
  <c r="M68" i="55"/>
  <c r="S68" i="55" s="1"/>
  <c r="T62" i="55"/>
  <c r="N62" i="55"/>
  <c r="M103" i="55"/>
  <c r="S103" i="55" s="1"/>
  <c r="O94" i="55"/>
  <c r="U94" i="55" s="1"/>
  <c r="U62" i="55"/>
  <c r="O62" i="55"/>
  <c r="U60" i="55"/>
  <c r="O60" i="55"/>
  <c r="M90" i="55"/>
  <c r="S90" i="55" s="1"/>
  <c r="N90" i="55"/>
  <c r="T90" i="55" s="1"/>
  <c r="M56" i="55"/>
  <c r="S56" i="55" s="1"/>
  <c r="N77" i="55"/>
  <c r="T77" i="55" s="1"/>
  <c r="L90" i="55"/>
  <c r="R90" i="55" s="1"/>
  <c r="L103" i="55"/>
  <c r="R103" i="55" s="1"/>
  <c r="L56" i="55"/>
  <c r="R56" i="55" s="1"/>
  <c r="L64" i="55"/>
  <c r="R64" i="55" s="1"/>
  <c r="L62" i="55"/>
  <c r="R62" i="55" s="1"/>
  <c r="L89" i="55"/>
  <c r="R89" i="55" s="1"/>
  <c r="Y63" i="55"/>
  <c r="L94" i="55"/>
  <c r="R94" i="55" s="1"/>
  <c r="L68" i="55"/>
  <c r="R68" i="55" s="1"/>
  <c r="L65" i="55"/>
  <c r="R65" i="55" s="1"/>
  <c r="L76" i="55"/>
  <c r="R76" i="55" s="1"/>
  <c r="R60" i="55"/>
  <c r="L60" i="55"/>
  <c r="L77" i="55"/>
  <c r="R77" i="55" s="1"/>
  <c r="K103" i="55"/>
  <c r="Q103" i="55" s="1"/>
  <c r="K65" i="55"/>
  <c r="Q65" i="55" s="1"/>
  <c r="K62" i="55"/>
  <c r="Q62" i="55" s="1"/>
  <c r="K90" i="55"/>
  <c r="Q90" i="55" s="1"/>
  <c r="K89" i="55"/>
  <c r="Q89" i="55" s="1"/>
  <c r="K68" i="55"/>
  <c r="Q68" i="55" s="1"/>
  <c r="Y70" i="55"/>
  <c r="Q64" i="55"/>
  <c r="K64" i="55"/>
  <c r="K76" i="55"/>
  <c r="Q76" i="55" s="1"/>
  <c r="K60" i="55"/>
  <c r="Q60" i="55" s="1"/>
  <c r="K94" i="55"/>
  <c r="Q94" i="55" s="1"/>
  <c r="K77" i="55"/>
  <c r="Q77" i="55" s="1"/>
  <c r="K56" i="55"/>
  <c r="Q56" i="55" s="1"/>
  <c r="J90" i="55"/>
  <c r="P90" i="55" s="1"/>
  <c r="J77" i="55"/>
  <c r="P77" i="55" s="1"/>
  <c r="J56" i="55"/>
  <c r="P56" i="55" s="1"/>
  <c r="J68" i="55"/>
  <c r="P68" i="55" s="1"/>
  <c r="J76" i="55"/>
  <c r="P76" i="55" s="1"/>
  <c r="J94" i="55"/>
  <c r="P94" i="55" s="1"/>
  <c r="P103" i="55"/>
  <c r="J103" i="55"/>
  <c r="J60" i="55"/>
  <c r="P60" i="55" s="1"/>
  <c r="J65" i="55"/>
  <c r="P65" i="55" s="1"/>
  <c r="J89" i="55"/>
  <c r="P89" i="55" s="1"/>
  <c r="P62" i="55"/>
  <c r="J62" i="55"/>
  <c r="J64" i="55"/>
  <c r="P64" i="55" s="1"/>
  <c r="F15" i="53"/>
  <c r="V77" i="55"/>
  <c r="V76" i="55"/>
  <c r="V115" i="55"/>
  <c r="V62" i="55"/>
  <c r="V68" i="55"/>
  <c r="V65" i="55"/>
  <c r="W65" i="55" s="1"/>
  <c r="V145" i="55"/>
  <c r="W145" i="55" s="1"/>
  <c r="V117" i="55"/>
  <c r="V155" i="55"/>
  <c r="V144" i="55"/>
  <c r="V118" i="55"/>
  <c r="W118" i="55" s="1"/>
  <c r="V107" i="55"/>
  <c r="X165" i="56" s="1"/>
  <c r="V64" i="55"/>
  <c r="W64" i="55" s="1"/>
  <c r="V121" i="55"/>
  <c r="W121" i="55" s="1"/>
  <c r="V149" i="55"/>
  <c r="V90" i="55"/>
  <c r="V89" i="55"/>
  <c r="W89" i="55" s="1"/>
  <c r="V94" i="55"/>
  <c r="V103" i="55"/>
  <c r="V154" i="55"/>
  <c r="V110" i="55"/>
  <c r="V56" i="55"/>
  <c r="W56" i="55" s="1"/>
  <c r="M27" i="53"/>
  <c r="C12" i="53"/>
  <c r="K27" i="53"/>
  <c r="P27" i="53" s="1"/>
  <c r="V60" i="55"/>
  <c r="E12" i="53"/>
  <c r="I27" i="53"/>
  <c r="O27" i="53" s="1"/>
  <c r="E27" i="53"/>
  <c r="N27" i="53" s="1"/>
  <c r="L22" i="53"/>
  <c r="L21" i="53"/>
  <c r="L26" i="53"/>
  <c r="L25" i="53"/>
  <c r="B30" i="53"/>
  <c r="F30" i="53"/>
  <c r="H30" i="53"/>
  <c r="L30" i="53"/>
  <c r="F23" i="53"/>
  <c r="B23" i="53"/>
  <c r="H23" i="53"/>
  <c r="L23" i="53"/>
  <c r="F20" i="53"/>
  <c r="B20" i="53"/>
  <c r="L20" i="53"/>
  <c r="H20" i="53"/>
  <c r="H25" i="53"/>
  <c r="B25" i="53"/>
  <c r="F25" i="53"/>
  <c r="B22" i="53"/>
  <c r="H22" i="53"/>
  <c r="F22" i="53"/>
  <c r="F26" i="53"/>
  <c r="B26" i="53"/>
  <c r="H26" i="53"/>
  <c r="H21" i="53"/>
  <c r="B21" i="53"/>
  <c r="F21" i="53"/>
  <c r="C28" i="53"/>
  <c r="Y66" i="55" l="1"/>
  <c r="AA123" i="56" s="1"/>
  <c r="Y75" i="55"/>
  <c r="X75" i="55" s="1"/>
  <c r="K52" i="58"/>
  <c r="H52" i="58"/>
  <c r="AA158" i="56"/>
  <c r="K39" i="58"/>
  <c r="K43" i="58"/>
  <c r="J43" i="58"/>
  <c r="T3" i="58" s="1" a="1"/>
  <c r="T3" i="58" s="1"/>
  <c r="T20" i="58" s="1"/>
  <c r="K47" i="58"/>
  <c r="K42" i="58"/>
  <c r="Y108" i="55"/>
  <c r="AA166" i="56" s="1"/>
  <c r="K44" i="58"/>
  <c r="Y55" i="55"/>
  <c r="AA112" i="56" s="1"/>
  <c r="K40" i="58"/>
  <c r="Y61" i="55"/>
  <c r="AA118" i="56" s="1"/>
  <c r="Y112" i="55"/>
  <c r="X112" i="55" s="1"/>
  <c r="Z170" i="56" s="1"/>
  <c r="Q29" i="75" s="1"/>
  <c r="W112" i="55"/>
  <c r="Y170" i="56" s="1"/>
  <c r="X170" i="56"/>
  <c r="W102" i="55"/>
  <c r="Y158" i="56" s="1"/>
  <c r="X158" i="56"/>
  <c r="Q6" i="49"/>
  <c r="Q8" i="49"/>
  <c r="K36" i="58"/>
  <c r="K49" i="58"/>
  <c r="H49" i="58"/>
  <c r="K41" i="58"/>
  <c r="H41" i="58"/>
  <c r="K50" i="58"/>
  <c r="K45" i="58"/>
  <c r="K38" i="58"/>
  <c r="H38" i="58"/>
  <c r="K48" i="58"/>
  <c r="K37" i="58"/>
  <c r="K46" i="58"/>
  <c r="Q7" i="49"/>
  <c r="Q5" i="49"/>
  <c r="Q4" i="49"/>
  <c r="P9" i="49"/>
  <c r="P4" i="49"/>
  <c r="P8" i="49"/>
  <c r="P7" i="49"/>
  <c r="P6" i="49"/>
  <c r="P5" i="49"/>
  <c r="Y152" i="55"/>
  <c r="X152" i="55" s="1"/>
  <c r="Q9" i="49"/>
  <c r="Y57" i="55"/>
  <c r="AA114" i="56" s="1"/>
  <c r="Y124" i="55"/>
  <c r="X124" i="55" s="1"/>
  <c r="Y123" i="55"/>
  <c r="X123" i="55" s="1"/>
  <c r="Y96" i="55"/>
  <c r="X96" i="55" s="1"/>
  <c r="X212" i="56"/>
  <c r="X213" i="56"/>
  <c r="X156" i="56"/>
  <c r="X159" i="56"/>
  <c r="Y98" i="55"/>
  <c r="X98" i="55" s="1"/>
  <c r="Y147" i="55"/>
  <c r="AA205" i="56" s="1"/>
  <c r="Y81" i="55"/>
  <c r="X81" i="55" s="1"/>
  <c r="X82" i="55"/>
  <c r="X210" i="56"/>
  <c r="X209" i="56"/>
  <c r="W103" i="55"/>
  <c r="X157" i="56"/>
  <c r="X92" i="55"/>
  <c r="AA148" i="56"/>
  <c r="X151" i="55"/>
  <c r="B55" i="65"/>
  <c r="C55" i="65" s="1" a="1"/>
  <c r="C55" i="65" s="1"/>
  <c r="B54" i="65"/>
  <c r="C54" i="65" s="1" a="1"/>
  <c r="C54" i="65" s="1"/>
  <c r="A52" i="65"/>
  <c r="H52" i="65" s="1"/>
  <c r="X123" i="56"/>
  <c r="Y112" i="56"/>
  <c r="X120" i="55"/>
  <c r="X140" i="55"/>
  <c r="AA195" i="56"/>
  <c r="X137" i="55"/>
  <c r="AA192" i="56"/>
  <c r="X142" i="55"/>
  <c r="AA197" i="56"/>
  <c r="X138" i="55"/>
  <c r="AA193" i="56"/>
  <c r="X153" i="55"/>
  <c r="AA208" i="56"/>
  <c r="X141" i="55"/>
  <c r="AA196" i="56"/>
  <c r="X111" i="55"/>
  <c r="AA169" i="56"/>
  <c r="X143" i="55"/>
  <c r="AA198" i="56"/>
  <c r="X148" i="55"/>
  <c r="Y130" i="55"/>
  <c r="X102" i="55"/>
  <c r="Z158" i="56" s="1"/>
  <c r="Q193" i="75" s="1"/>
  <c r="X67" i="55"/>
  <c r="AA124" i="56"/>
  <c r="X70" i="55"/>
  <c r="AA127" i="56"/>
  <c r="X59" i="55"/>
  <c r="AA116" i="56"/>
  <c r="Y113" i="55"/>
  <c r="X73" i="55"/>
  <c r="Y131" i="55"/>
  <c r="Y127" i="55"/>
  <c r="Y65" i="55"/>
  <c r="X130" i="56"/>
  <c r="Y118" i="55"/>
  <c r="Y72" i="55"/>
  <c r="Y119" i="55"/>
  <c r="AA177" i="56" s="1"/>
  <c r="X169" i="56"/>
  <c r="X191" i="56"/>
  <c r="X185" i="56"/>
  <c r="X204" i="56"/>
  <c r="W113" i="55"/>
  <c r="X183" i="56"/>
  <c r="Y129" i="55"/>
  <c r="X186" i="56"/>
  <c r="X193" i="56"/>
  <c r="X173" i="56"/>
  <c r="X171" i="56"/>
  <c r="X189" i="56"/>
  <c r="X181" i="56"/>
  <c r="X180" i="56"/>
  <c r="X206" i="56"/>
  <c r="X196" i="56"/>
  <c r="X192" i="56"/>
  <c r="W107" i="55"/>
  <c r="X166" i="56"/>
  <c r="W76" i="55"/>
  <c r="X131" i="56"/>
  <c r="Y146" i="55"/>
  <c r="Y78" i="55"/>
  <c r="Y155" i="55"/>
  <c r="X205" i="56"/>
  <c r="Y145" i="55"/>
  <c r="AA203" i="56" s="1"/>
  <c r="Y136" i="55"/>
  <c r="Y87" i="55"/>
  <c r="Y107" i="55"/>
  <c r="Y80" i="55"/>
  <c r="Y110" i="55"/>
  <c r="X110" i="55" s="1"/>
  <c r="Y126" i="55"/>
  <c r="Y56" i="55"/>
  <c r="AA113" i="56" s="1"/>
  <c r="Y117" i="55"/>
  <c r="Y115" i="55"/>
  <c r="Y79" i="55"/>
  <c r="Y60" i="55"/>
  <c r="Y74" i="55"/>
  <c r="Y71" i="55"/>
  <c r="Y90" i="55"/>
  <c r="Y68" i="55"/>
  <c r="Y95" i="55"/>
  <c r="Y64" i="55"/>
  <c r="AA121" i="56" s="1"/>
  <c r="Y121" i="55"/>
  <c r="AA179" i="56" s="1"/>
  <c r="Y62" i="55"/>
  <c r="Y100" i="55"/>
  <c r="K16" i="58"/>
  <c r="H16" i="58"/>
  <c r="Y125" i="55"/>
  <c r="W137" i="55"/>
  <c r="Y195" i="56" s="1"/>
  <c r="Y135" i="55"/>
  <c r="Y84" i="55"/>
  <c r="X201" i="56"/>
  <c r="K9" i="58"/>
  <c r="K19" i="58"/>
  <c r="K25" i="58"/>
  <c r="K34" i="58"/>
  <c r="K15" i="58"/>
  <c r="X203" i="56"/>
  <c r="K3" i="58"/>
  <c r="K31" i="58"/>
  <c r="K12" i="58"/>
  <c r="K20" i="58"/>
  <c r="K4" i="58"/>
  <c r="K27" i="58"/>
  <c r="K22" i="58"/>
  <c r="K17" i="58"/>
  <c r="K10" i="58"/>
  <c r="K26" i="58"/>
  <c r="K5" i="58"/>
  <c r="K6" i="58"/>
  <c r="K7" i="58"/>
  <c r="K14" i="58"/>
  <c r="K29" i="58"/>
  <c r="K18" i="58"/>
  <c r="K24" i="58"/>
  <c r="K30" i="58"/>
  <c r="K8" i="58"/>
  <c r="K23" i="58"/>
  <c r="K33" i="58"/>
  <c r="K28" i="58"/>
  <c r="K11" i="58"/>
  <c r="K35" i="58"/>
  <c r="K21" i="58"/>
  <c r="K32" i="58"/>
  <c r="K13" i="58"/>
  <c r="H19" i="58"/>
  <c r="H22" i="58"/>
  <c r="H29" i="58"/>
  <c r="H17" i="58"/>
  <c r="H30" i="58"/>
  <c r="H8" i="58"/>
  <c r="H10" i="58"/>
  <c r="H26" i="58"/>
  <c r="H18" i="58"/>
  <c r="H15" i="58"/>
  <c r="H5" i="58"/>
  <c r="H23" i="58"/>
  <c r="H33" i="58"/>
  <c r="H28" i="58"/>
  <c r="H24" i="58"/>
  <c r="H11" i="58"/>
  <c r="H35" i="58"/>
  <c r="H34" i="58"/>
  <c r="H25" i="58"/>
  <c r="H21" i="58"/>
  <c r="H32" i="58"/>
  <c r="H13" i="58"/>
  <c r="H6" i="58"/>
  <c r="H31" i="58"/>
  <c r="H7" i="58"/>
  <c r="H20" i="58"/>
  <c r="H9" i="58"/>
  <c r="H4" i="58"/>
  <c r="H12" i="58"/>
  <c r="H27" i="58"/>
  <c r="H14" i="58"/>
  <c r="H3" i="58"/>
  <c r="X190" i="56"/>
  <c r="W126" i="55"/>
  <c r="Y133" i="55"/>
  <c r="W125" i="55"/>
  <c r="Y180" i="56" s="1"/>
  <c r="W136" i="55"/>
  <c r="X184" i="56"/>
  <c r="Y132" i="55"/>
  <c r="W131" i="55"/>
  <c r="Y188" i="56" s="1"/>
  <c r="X168" i="56"/>
  <c r="X194" i="56"/>
  <c r="W128" i="55"/>
  <c r="Y185" i="56" s="1"/>
  <c r="W134" i="55"/>
  <c r="W151" i="55"/>
  <c r="X174" i="56"/>
  <c r="X187" i="56"/>
  <c r="X195" i="56"/>
  <c r="X202" i="56"/>
  <c r="X151" i="56"/>
  <c r="W141" i="55"/>
  <c r="Y196" i="56" s="1"/>
  <c r="X188" i="56"/>
  <c r="X177" i="56"/>
  <c r="W154" i="55"/>
  <c r="X208" i="56"/>
  <c r="X182" i="56"/>
  <c r="Y83" i="55"/>
  <c r="X147" i="56"/>
  <c r="X141" i="56"/>
  <c r="X197" i="56"/>
  <c r="Y54" i="55"/>
  <c r="AA111" i="56" s="1"/>
  <c r="X128" i="56"/>
  <c r="M28" i="53"/>
  <c r="C13" i="53"/>
  <c r="X152" i="56"/>
  <c r="X198" i="56"/>
  <c r="Y86" i="55"/>
  <c r="W77" i="55"/>
  <c r="X132" i="56"/>
  <c r="X137" i="56"/>
  <c r="Y177" i="56"/>
  <c r="Y200" i="56"/>
  <c r="Y88" i="55"/>
  <c r="Y89" i="55"/>
  <c r="Y85" i="55"/>
  <c r="Y149" i="55"/>
  <c r="AA207" i="56" s="1"/>
  <c r="Y118" i="56"/>
  <c r="X126" i="56"/>
  <c r="Y167" i="56"/>
  <c r="Y176" i="56"/>
  <c r="Y103" i="55"/>
  <c r="Y113" i="56"/>
  <c r="Y99" i="55"/>
  <c r="Y93" i="55"/>
  <c r="Y154" i="55"/>
  <c r="Y144" i="55"/>
  <c r="AA199" i="56" s="1"/>
  <c r="Y94" i="55"/>
  <c r="X164" i="56"/>
  <c r="X91" i="55"/>
  <c r="X63" i="55"/>
  <c r="Y205" i="56"/>
  <c r="X199" i="56"/>
  <c r="X144" i="56"/>
  <c r="Y154" i="56"/>
  <c r="Y164" i="56"/>
  <c r="X172" i="56"/>
  <c r="X111" i="56"/>
  <c r="X175" i="56"/>
  <c r="X136" i="56"/>
  <c r="X178" i="56"/>
  <c r="X125" i="56"/>
  <c r="X207" i="56"/>
  <c r="X116" i="55"/>
  <c r="X121" i="56"/>
  <c r="X135" i="56"/>
  <c r="X117" i="56"/>
  <c r="X150" i="55"/>
  <c r="X149" i="56"/>
  <c r="Y153" i="56"/>
  <c r="X140" i="56"/>
  <c r="W80" i="55"/>
  <c r="W54" i="55"/>
  <c r="Y111" i="56" s="1"/>
  <c r="W83" i="55"/>
  <c r="W70" i="55"/>
  <c r="Y127" i="56" s="1"/>
  <c r="X143" i="56"/>
  <c r="X138" i="56"/>
  <c r="X118" i="56"/>
  <c r="X145" i="56"/>
  <c r="X153" i="56"/>
  <c r="W78" i="55"/>
  <c r="X124" i="56"/>
  <c r="X116" i="56"/>
  <c r="Y69" i="55"/>
  <c r="AA126" i="56" s="1"/>
  <c r="X129" i="56"/>
  <c r="X142" i="56"/>
  <c r="X122" i="56"/>
  <c r="X127" i="56"/>
  <c r="X154" i="56"/>
  <c r="X139" i="56"/>
  <c r="X148" i="56"/>
  <c r="W71" i="55"/>
  <c r="W84" i="55"/>
  <c r="W79" i="55"/>
  <c r="X155" i="56"/>
  <c r="W87" i="55"/>
  <c r="Y58" i="55"/>
  <c r="W73" i="55"/>
  <c r="Y129" i="56" s="1"/>
  <c r="X150" i="56"/>
  <c r="W66" i="55"/>
  <c r="Y121" i="56" s="1"/>
  <c r="W92" i="55"/>
  <c r="W95" i="55"/>
  <c r="Y152" i="56" s="1"/>
  <c r="X114" i="56"/>
  <c r="X113" i="56"/>
  <c r="X128" i="55"/>
  <c r="X106" i="55"/>
  <c r="Z164" i="56" s="1"/>
  <c r="Q4" i="75" s="1"/>
  <c r="X109" i="55"/>
  <c r="X134" i="55"/>
  <c r="X139" i="55"/>
  <c r="Y77" i="55"/>
  <c r="AA133" i="56" s="1"/>
  <c r="Y76" i="55"/>
  <c r="X179" i="56"/>
  <c r="W117" i="55"/>
  <c r="Y175" i="56" s="1"/>
  <c r="W62" i="55"/>
  <c r="W115" i="55"/>
  <c r="X134" i="56"/>
  <c r="X133" i="56"/>
  <c r="W68" i="55"/>
  <c r="X146" i="56"/>
  <c r="X120" i="56"/>
  <c r="X200" i="56"/>
  <c r="W155" i="55"/>
  <c r="W149" i="55"/>
  <c r="Y204" i="56" s="1"/>
  <c r="X167" i="56"/>
  <c r="W144" i="55"/>
  <c r="Y201" i="56" s="1"/>
  <c r="X119" i="56"/>
  <c r="X176" i="56"/>
  <c r="W94" i="55"/>
  <c r="X211" i="56"/>
  <c r="W110" i="55"/>
  <c r="X112" i="56"/>
  <c r="W90" i="55"/>
  <c r="X160" i="56"/>
  <c r="X115" i="56"/>
  <c r="W60" i="55"/>
  <c r="Y115" i="56" s="1"/>
  <c r="E13" i="53"/>
  <c r="I28" i="53"/>
  <c r="E28" i="53"/>
  <c r="K28" i="53"/>
  <c r="P28" i="53" s="1"/>
  <c r="B27" i="53"/>
  <c r="F27" i="53"/>
  <c r="H27" i="53"/>
  <c r="L27" i="53"/>
  <c r="O24" i="53"/>
  <c r="N24" i="53"/>
  <c r="M24" i="53"/>
  <c r="P24" i="53"/>
  <c r="B5" i="53"/>
  <c r="F5" i="53"/>
  <c r="F7" i="53"/>
  <c r="F8" i="53"/>
  <c r="F6" i="53"/>
  <c r="B7" i="53"/>
  <c r="B8" i="53"/>
  <c r="B6" i="53"/>
  <c r="X66" i="55" l="1"/>
  <c r="R3" i="58" a="1"/>
  <c r="R3" i="58" s="1"/>
  <c r="R20" i="58" s="1"/>
  <c r="S3" i="58" a="1"/>
  <c r="S3" i="58" s="1"/>
  <c r="S20" i="58" s="1"/>
  <c r="Q3" i="58" a="1"/>
  <c r="Q3" i="58" s="1"/>
  <c r="Q20" i="58" s="1"/>
  <c r="AA138" i="56"/>
  <c r="AA155" i="56"/>
  <c r="AA146" i="56"/>
  <c r="AA147" i="56"/>
  <c r="X61" i="55"/>
  <c r="Z118" i="56" s="1"/>
  <c r="Q33" i="75" s="1"/>
  <c r="X108" i="55"/>
  <c r="Z166" i="56" s="1"/>
  <c r="Q14" i="75" s="1"/>
  <c r="X55" i="55"/>
  <c r="AA183" i="56"/>
  <c r="AA189" i="56"/>
  <c r="AA209" i="56"/>
  <c r="X56" i="55"/>
  <c r="AA178" i="56"/>
  <c r="AA172" i="56"/>
  <c r="AA171" i="56"/>
  <c r="AA206" i="56"/>
  <c r="AA170" i="56"/>
  <c r="X60" i="55"/>
  <c r="Z117" i="56" s="1"/>
  <c r="Q28" i="75" s="1"/>
  <c r="AA117" i="56"/>
  <c r="AA175" i="56"/>
  <c r="Y191" i="56"/>
  <c r="Y206" i="56"/>
  <c r="Y193" i="56"/>
  <c r="Y182" i="56"/>
  <c r="Y155" i="56"/>
  <c r="AA191" i="56"/>
  <c r="X57" i="55"/>
  <c r="Z114" i="56" s="1"/>
  <c r="Q18" i="75" s="1"/>
  <c r="Y199" i="56"/>
  <c r="X107" i="55"/>
  <c r="Z165" i="56" s="1"/>
  <c r="Q9" i="75" s="1"/>
  <c r="AA165" i="56"/>
  <c r="AA182" i="56"/>
  <c r="Y183" i="56"/>
  <c r="Y186" i="56"/>
  <c r="Z195" i="56"/>
  <c r="Q129" i="75" s="1"/>
  <c r="AA190" i="56"/>
  <c r="AA194" i="56"/>
  <c r="Y192" i="56"/>
  <c r="Z196" i="56"/>
  <c r="Q134" i="75" s="1"/>
  <c r="AA185" i="56"/>
  <c r="AA202" i="56"/>
  <c r="X147" i="55"/>
  <c r="AA212" i="56"/>
  <c r="AA213" i="56"/>
  <c r="Y212" i="56"/>
  <c r="Y213" i="56"/>
  <c r="AA159" i="56"/>
  <c r="AA160" i="56"/>
  <c r="Y156" i="56"/>
  <c r="Y159" i="56"/>
  <c r="AA156" i="56"/>
  <c r="AA157" i="56"/>
  <c r="AA152" i="56"/>
  <c r="X127" i="55"/>
  <c r="X119" i="55"/>
  <c r="X115" i="55"/>
  <c r="AA173" i="56"/>
  <c r="AA137" i="56"/>
  <c r="X72" i="55"/>
  <c r="AA129" i="56"/>
  <c r="X62" i="55"/>
  <c r="AA119" i="56"/>
  <c r="X146" i="55"/>
  <c r="AA201" i="56"/>
  <c r="X133" i="55"/>
  <c r="AA188" i="56"/>
  <c r="Y210" i="56"/>
  <c r="Y209" i="56"/>
  <c r="AA211" i="56"/>
  <c r="AA210" i="56"/>
  <c r="Y160" i="56"/>
  <c r="Y157" i="56"/>
  <c r="B56" i="65"/>
  <c r="C56" i="65" s="1" a="1"/>
  <c r="C56" i="65" s="1"/>
  <c r="A54" i="65"/>
  <c r="H54" i="65" s="1"/>
  <c r="B57" i="65"/>
  <c r="C57" i="65" s="1" a="1"/>
  <c r="C57" i="65" s="1"/>
  <c r="X113" i="55"/>
  <c r="Z171" i="56" s="1"/>
  <c r="Q34" i="75" s="1"/>
  <c r="X130" i="55"/>
  <c r="X132" i="55"/>
  <c r="AA187" i="56"/>
  <c r="X149" i="55"/>
  <c r="Z206" i="56" s="1"/>
  <c r="Q174" i="75" s="1"/>
  <c r="AA204" i="56"/>
  <c r="X126" i="55"/>
  <c r="Z181" i="56" s="1"/>
  <c r="Q74" i="75" s="1"/>
  <c r="AA181" i="56"/>
  <c r="X118" i="55"/>
  <c r="AA176" i="56"/>
  <c r="X125" i="55"/>
  <c r="Z180" i="56" s="1"/>
  <c r="Q69" i="75" s="1"/>
  <c r="AA180" i="56"/>
  <c r="X129" i="55"/>
  <c r="AA184" i="56"/>
  <c r="X131" i="55"/>
  <c r="AA186" i="56"/>
  <c r="X145" i="55"/>
  <c r="Z200" i="56" s="1"/>
  <c r="Q149" i="75" s="1"/>
  <c r="AA200" i="56"/>
  <c r="Z116" i="56"/>
  <c r="Q23" i="75" s="1"/>
  <c r="X99" i="55"/>
  <c r="Z153" i="56" s="1"/>
  <c r="Q173" i="75" s="1"/>
  <c r="AA153" i="56"/>
  <c r="X100" i="55"/>
  <c r="AA154" i="56"/>
  <c r="X78" i="55"/>
  <c r="AA134" i="56"/>
  <c r="X88" i="55"/>
  <c r="AA144" i="56"/>
  <c r="X84" i="55"/>
  <c r="AA140" i="56"/>
  <c r="X89" i="55"/>
  <c r="AA145" i="56"/>
  <c r="X93" i="55"/>
  <c r="Z149" i="56" s="1"/>
  <c r="Q158" i="75" s="1"/>
  <c r="AA149" i="56"/>
  <c r="X95" i="55"/>
  <c r="Z152" i="56" s="1"/>
  <c r="Q168" i="75" s="1"/>
  <c r="AA151" i="56"/>
  <c r="X83" i="55"/>
  <c r="Z139" i="56" s="1"/>
  <c r="Q118" i="75" s="1"/>
  <c r="AA139" i="56"/>
  <c r="X68" i="55"/>
  <c r="AA125" i="56"/>
  <c r="X80" i="55"/>
  <c r="Z137" i="56" s="1"/>
  <c r="Q108" i="75" s="1"/>
  <c r="AA136" i="56"/>
  <c r="X85" i="55"/>
  <c r="AA141" i="56"/>
  <c r="X65" i="55"/>
  <c r="Z122" i="56" s="1"/>
  <c r="Q48" i="75" s="1"/>
  <c r="AA122" i="56"/>
  <c r="X86" i="55"/>
  <c r="AA142" i="56"/>
  <c r="X71" i="55"/>
  <c r="Z128" i="56" s="1"/>
  <c r="Q73" i="75" s="1"/>
  <c r="AA128" i="56"/>
  <c r="X87" i="55"/>
  <c r="AA143" i="56"/>
  <c r="X94" i="55"/>
  <c r="AA150" i="56"/>
  <c r="X74" i="55"/>
  <c r="AA131" i="56"/>
  <c r="X76" i="55"/>
  <c r="AA132" i="56"/>
  <c r="X79" i="55"/>
  <c r="AA135" i="56"/>
  <c r="X54" i="55"/>
  <c r="Z111" i="56" s="1"/>
  <c r="Q3" i="75" s="1"/>
  <c r="Y128" i="56"/>
  <c r="Y117" i="56"/>
  <c r="Y123" i="56"/>
  <c r="Z120" i="56"/>
  <c r="Y119" i="56"/>
  <c r="Y189" i="56"/>
  <c r="Y194" i="56"/>
  <c r="Y171" i="56"/>
  <c r="X136" i="55"/>
  <c r="Y181" i="56"/>
  <c r="Z169" i="56"/>
  <c r="Q24" i="75" s="1"/>
  <c r="Y179" i="56"/>
  <c r="Y184" i="56"/>
  <c r="Y173" i="56"/>
  <c r="Y187" i="56"/>
  <c r="Y208" i="56"/>
  <c r="Y168" i="56"/>
  <c r="Y190" i="56"/>
  <c r="Y178" i="56"/>
  <c r="Y149" i="56"/>
  <c r="Y166" i="56"/>
  <c r="Y165" i="56"/>
  <c r="Y137" i="56"/>
  <c r="Y144" i="56"/>
  <c r="Y138" i="56"/>
  <c r="Y141" i="56"/>
  <c r="Y131" i="56"/>
  <c r="Y130" i="56"/>
  <c r="Z167" i="56"/>
  <c r="Q19" i="75" s="1"/>
  <c r="X155" i="55"/>
  <c r="X90" i="55"/>
  <c r="X121" i="55"/>
  <c r="Z179" i="56" s="1"/>
  <c r="Q64" i="75" s="1"/>
  <c r="X64" i="55"/>
  <c r="X117" i="55"/>
  <c r="X103" i="55"/>
  <c r="P3" i="58" a="1"/>
  <c r="P3" i="58" s="1"/>
  <c r="P20" i="58" s="1"/>
  <c r="O3" i="58" a="1"/>
  <c r="O3" i="58" s="1"/>
  <c r="O20" i="58" s="1"/>
  <c r="N3" i="58" a="1"/>
  <c r="N3" i="58" s="1"/>
  <c r="N20" i="58" s="1"/>
  <c r="M3" i="58" a="1"/>
  <c r="M3" i="58" s="1"/>
  <c r="M20" i="58" s="1"/>
  <c r="X135" i="55"/>
  <c r="Z192" i="56" s="1"/>
  <c r="Q119" i="75" s="1"/>
  <c r="Y133" i="56"/>
  <c r="F13" i="53"/>
  <c r="Y136" i="56"/>
  <c r="X154" i="55"/>
  <c r="X144" i="55"/>
  <c r="Z199" i="56" s="1"/>
  <c r="Q144" i="75" s="1"/>
  <c r="Y151" i="56"/>
  <c r="Y124" i="56"/>
  <c r="Z198" i="56"/>
  <c r="Y132" i="56"/>
  <c r="Y126" i="56"/>
  <c r="Y142" i="56"/>
  <c r="Y134" i="56"/>
  <c r="Y197" i="56"/>
  <c r="Y207" i="56"/>
  <c r="Y147" i="56"/>
  <c r="Y145" i="56"/>
  <c r="Y202" i="56"/>
  <c r="Y140" i="56"/>
  <c r="Y146" i="56"/>
  <c r="X77" i="55"/>
  <c r="Y174" i="56"/>
  <c r="Y120" i="56"/>
  <c r="Y150" i="56"/>
  <c r="Y135" i="56"/>
  <c r="Y198" i="56"/>
  <c r="Y211" i="56"/>
  <c r="Z168" i="56"/>
  <c r="Y116" i="56"/>
  <c r="Y125" i="56"/>
  <c r="Y143" i="56"/>
  <c r="Y172" i="56"/>
  <c r="Y169" i="56"/>
  <c r="Y139" i="56"/>
  <c r="Y203" i="56"/>
  <c r="Y114" i="56"/>
  <c r="X69" i="55"/>
  <c r="Z126" i="56" s="1"/>
  <c r="Q63" i="75" s="1"/>
  <c r="Y148" i="56"/>
  <c r="X58" i="55"/>
  <c r="Z115" i="56" s="1"/>
  <c r="Y122" i="56"/>
  <c r="B13" i="53"/>
  <c r="N28" i="53"/>
  <c r="O28" i="53"/>
  <c r="L24" i="53"/>
  <c r="B24" i="53"/>
  <c r="H24" i="53"/>
  <c r="F24" i="53"/>
  <c r="B11" i="53"/>
  <c r="B10" i="53"/>
  <c r="F10" i="53"/>
  <c r="F11" i="53"/>
  <c r="F12" i="53"/>
  <c r="B12" i="53"/>
  <c r="Z141" i="56" l="1"/>
  <c r="Q123" i="75" s="1"/>
  <c r="Z135" i="56"/>
  <c r="Z146" i="56"/>
  <c r="Q143" i="75" s="1"/>
  <c r="Z142" i="56"/>
  <c r="Q128" i="75" s="1"/>
  <c r="Z151" i="56"/>
  <c r="Q163" i="75" s="1"/>
  <c r="Z147" i="56"/>
  <c r="Q148" i="75" s="1"/>
  <c r="Z136" i="56"/>
  <c r="Q103" i="75" s="1"/>
  <c r="Z175" i="56"/>
  <c r="Q49" i="75" s="1"/>
  <c r="Z172" i="56"/>
  <c r="Q39" i="75" s="1"/>
  <c r="Z178" i="56"/>
  <c r="Z176" i="56"/>
  <c r="Q54" i="75" s="1"/>
  <c r="Z174" i="56"/>
  <c r="Q44" i="75" s="1"/>
  <c r="Z201" i="56"/>
  <c r="Q154" i="75" s="1"/>
  <c r="Z150" i="56"/>
  <c r="Z130" i="56"/>
  <c r="Z138" i="56"/>
  <c r="Q113" i="75" s="1"/>
  <c r="Z186" i="56"/>
  <c r="Q94" i="75" s="1"/>
  <c r="Z182" i="56"/>
  <c r="Q79" i="75" s="1"/>
  <c r="Z125" i="56"/>
  <c r="Z148" i="56"/>
  <c r="Q153" i="75" s="1"/>
  <c r="Z193" i="56"/>
  <c r="Z127" i="56"/>
  <c r="Q68" i="75" s="1"/>
  <c r="Z183" i="56"/>
  <c r="Z155" i="56"/>
  <c r="Z203" i="56"/>
  <c r="Z191" i="56"/>
  <c r="Q114" i="75" s="1"/>
  <c r="Z185" i="56"/>
  <c r="Q89" i="75" s="1"/>
  <c r="Z190" i="56"/>
  <c r="Q109" i="75" s="1"/>
  <c r="Z204" i="56"/>
  <c r="Q164" i="75" s="1"/>
  <c r="Z187" i="56"/>
  <c r="Q99" i="75" s="1"/>
  <c r="Z202" i="56"/>
  <c r="Q159" i="75" s="1"/>
  <c r="Z184" i="56"/>
  <c r="Q84" i="75" s="1"/>
  <c r="Z205" i="56"/>
  <c r="Q169" i="75" s="1"/>
  <c r="Z194" i="56"/>
  <c r="Q124" i="75" s="1"/>
  <c r="Z212" i="56"/>
  <c r="Q199" i="75" s="1"/>
  <c r="Z213" i="56"/>
  <c r="Z156" i="56"/>
  <c r="Q183" i="75" s="1"/>
  <c r="Z159" i="56"/>
  <c r="Q198" i="75" s="1"/>
  <c r="Z129" i="56"/>
  <c r="Q78" i="75" s="1"/>
  <c r="Z119" i="56"/>
  <c r="Q38" i="75" s="1"/>
  <c r="Z210" i="56"/>
  <c r="Q189" i="75" s="1"/>
  <c r="Z209" i="56"/>
  <c r="Q184" i="75" s="1"/>
  <c r="Z160" i="56"/>
  <c r="Z157" i="56"/>
  <c r="Q188" i="75" s="1"/>
  <c r="B59" i="65"/>
  <c r="C59" i="65" s="1" a="1"/>
  <c r="C59" i="65" s="1"/>
  <c r="B58" i="65"/>
  <c r="C58" i="65" s="1" a="1"/>
  <c r="C58" i="65" s="1"/>
  <c r="A56" i="65"/>
  <c r="H56" i="65" s="1"/>
  <c r="Z140" i="56"/>
  <c r="Z143" i="56"/>
  <c r="Q133" i="75" s="1"/>
  <c r="Z145" i="56"/>
  <c r="Z121" i="56"/>
  <c r="Q43" i="75" s="1"/>
  <c r="Z154" i="56"/>
  <c r="Q178" i="75" s="1"/>
  <c r="Z189" i="56"/>
  <c r="Q104" i="75" s="1"/>
  <c r="Z208" i="56"/>
  <c r="Z188" i="56"/>
  <c r="Z197" i="56"/>
  <c r="Q139" i="75" s="1"/>
  <c r="Z173" i="56"/>
  <c r="Z144" i="56"/>
  <c r="Q138" i="75" s="1"/>
  <c r="Z177" i="56"/>
  <c r="Q59" i="75" s="1"/>
  <c r="Z131" i="56"/>
  <c r="Q83" i="75" s="1"/>
  <c r="Z133" i="56"/>
  <c r="Q93" i="75" s="1"/>
  <c r="Z207" i="56"/>
  <c r="Q179" i="75" s="1"/>
  <c r="Z211" i="56"/>
  <c r="Q194" i="75" s="1"/>
  <c r="Z134" i="56"/>
  <c r="Q98" i="75" s="1"/>
  <c r="Z132" i="56"/>
  <c r="Q88" i="75" s="1"/>
  <c r="Z124" i="56"/>
  <c r="Q58" i="75" s="1"/>
  <c r="Z123" i="56"/>
  <c r="Q53" i="75" s="1"/>
  <c r="Z113" i="56"/>
  <c r="Q13" i="75" s="1"/>
  <c r="Z112" i="56"/>
  <c r="Q8" i="75" s="1"/>
  <c r="F28" i="53"/>
  <c r="H28" i="53"/>
  <c r="B28" i="53"/>
  <c r="L28" i="53"/>
  <c r="A3" i="63" l="1" a="1"/>
  <c r="A3" i="63" s="1"/>
  <c r="B60" i="65"/>
  <c r="C60" i="65" s="1" a="1"/>
  <c r="C60" i="65" s="1"/>
  <c r="A58" i="65"/>
  <c r="H58" i="65" s="1"/>
  <c r="B61" i="65"/>
  <c r="C61" i="65" s="1" a="1"/>
  <c r="C61" i="65" s="1"/>
  <c r="B9" i="53"/>
  <c r="F9" i="53"/>
  <c r="C29" i="53"/>
  <c r="B63" i="65" l="1"/>
  <c r="C63" i="65" s="1" a="1"/>
  <c r="C63" i="65" s="1"/>
  <c r="B62" i="65"/>
  <c r="C62" i="65" s="1" a="1"/>
  <c r="C62" i="65" s="1"/>
  <c r="A60" i="65"/>
  <c r="H60" i="65" s="1"/>
  <c r="D41" i="49"/>
  <c r="K29" i="53"/>
  <c r="P29" i="53" s="1"/>
  <c r="I29" i="53"/>
  <c r="O29" i="53" s="1"/>
  <c r="E14" i="53"/>
  <c r="C14" i="53"/>
  <c r="E29" i="53"/>
  <c r="C44" i="49" l="1"/>
  <c r="M40" i="49"/>
  <c r="A62" i="65"/>
  <c r="H62" i="65" s="1"/>
  <c r="B64" i="65"/>
  <c r="C64" i="65" s="1" a="1"/>
  <c r="C64" i="65" s="1"/>
  <c r="B65" i="65"/>
  <c r="C65" i="65" s="1" a="1"/>
  <c r="C65" i="65" s="1"/>
  <c r="C295" i="49"/>
  <c r="C210" i="49"/>
  <c r="C66" i="49"/>
  <c r="C244" i="49"/>
  <c r="C100" i="49"/>
  <c r="C291" i="49"/>
  <c r="C147" i="49"/>
  <c r="C303" i="49"/>
  <c r="C194" i="49"/>
  <c r="C50" i="49"/>
  <c r="C241" i="49"/>
  <c r="C97" i="49"/>
  <c r="C276" i="49"/>
  <c r="C132" i="49"/>
  <c r="C245" i="49"/>
  <c r="C191" i="49"/>
  <c r="C47" i="49"/>
  <c r="C250" i="49"/>
  <c r="C106" i="49"/>
  <c r="C261" i="49"/>
  <c r="C117" i="49"/>
  <c r="C224" i="49"/>
  <c r="C80" i="49"/>
  <c r="C151" i="49"/>
  <c r="C307" i="49"/>
  <c r="C293" i="49"/>
  <c r="C198" i="49"/>
  <c r="C54" i="49"/>
  <c r="C232" i="49"/>
  <c r="C88" i="49"/>
  <c r="C279" i="49"/>
  <c r="C135" i="49"/>
  <c r="C233" i="49"/>
  <c r="C182" i="49"/>
  <c r="C338" i="49"/>
  <c r="C229" i="49"/>
  <c r="C85" i="49"/>
  <c r="C264" i="49"/>
  <c r="C120" i="49"/>
  <c r="C161" i="49"/>
  <c r="C179" i="49"/>
  <c r="C335" i="49"/>
  <c r="C238" i="49"/>
  <c r="C94" i="49"/>
  <c r="C249" i="49"/>
  <c r="C105" i="49"/>
  <c r="C212" i="49"/>
  <c r="C68" i="49"/>
  <c r="C283" i="49"/>
  <c r="C139" i="49"/>
  <c r="C209" i="49"/>
  <c r="C186" i="49"/>
  <c r="C342" i="49"/>
  <c r="C220" i="49"/>
  <c r="C76" i="49"/>
  <c r="C267" i="49"/>
  <c r="C123" i="49"/>
  <c r="C113" i="49"/>
  <c r="C170" i="49"/>
  <c r="C326" i="49"/>
  <c r="C217" i="49"/>
  <c r="C73" i="49"/>
  <c r="C252" i="49"/>
  <c r="C108" i="49"/>
  <c r="C101" i="49"/>
  <c r="C167" i="49"/>
  <c r="C323" i="49"/>
  <c r="C226" i="49"/>
  <c r="C82" i="49"/>
  <c r="C237" i="49"/>
  <c r="C93" i="49"/>
  <c r="C200" i="49"/>
  <c r="C56" i="49"/>
  <c r="C271" i="49"/>
  <c r="C127" i="49"/>
  <c r="C284" i="49"/>
  <c r="C174" i="49"/>
  <c r="C330" i="49"/>
  <c r="C208" i="49"/>
  <c r="C64" i="49"/>
  <c r="C255" i="49"/>
  <c r="C111" i="49"/>
  <c r="C329" i="49"/>
  <c r="C158" i="49"/>
  <c r="C314" i="49"/>
  <c r="C205" i="49"/>
  <c r="C61" i="49"/>
  <c r="C240" i="49"/>
  <c r="C96" i="49"/>
  <c r="C65" i="49"/>
  <c r="C155" i="49"/>
  <c r="C311" i="49"/>
  <c r="C214" i="49"/>
  <c r="C70" i="49"/>
  <c r="C225" i="49"/>
  <c r="C81" i="49"/>
  <c r="C188" i="49"/>
  <c r="C344" i="49"/>
  <c r="C259" i="49"/>
  <c r="C115" i="49"/>
  <c r="C248" i="49"/>
  <c r="C162" i="49"/>
  <c r="C318" i="49"/>
  <c r="C196" i="49"/>
  <c r="C52" i="49"/>
  <c r="C243" i="49"/>
  <c r="C99" i="49"/>
  <c r="C290" i="49"/>
  <c r="C146" i="49"/>
  <c r="C302" i="49"/>
  <c r="C193" i="49"/>
  <c r="C49" i="49"/>
  <c r="C228" i="49"/>
  <c r="C84" i="49"/>
  <c r="C287" i="49"/>
  <c r="C143" i="49"/>
  <c r="C299" i="49"/>
  <c r="C202" i="49"/>
  <c r="C58" i="49"/>
  <c r="C213" i="49"/>
  <c r="C69" i="49"/>
  <c r="C176" i="49"/>
  <c r="C332" i="49"/>
  <c r="C247" i="49"/>
  <c r="C103" i="49"/>
  <c r="C294" i="49"/>
  <c r="C150" i="49"/>
  <c r="C306" i="49"/>
  <c r="C184" i="49"/>
  <c r="C340" i="49"/>
  <c r="C231" i="49"/>
  <c r="C87" i="49"/>
  <c r="C278" i="49"/>
  <c r="C134" i="49"/>
  <c r="C257" i="49"/>
  <c r="C181" i="49"/>
  <c r="C337" i="49"/>
  <c r="C216" i="49"/>
  <c r="C72" i="49"/>
  <c r="C275" i="49"/>
  <c r="C131" i="49"/>
  <c r="C221" i="49"/>
  <c r="C190" i="49"/>
  <c r="C46" i="49"/>
  <c r="C201" i="49"/>
  <c r="C57" i="49"/>
  <c r="C164" i="49"/>
  <c r="C320" i="49"/>
  <c r="C235" i="49"/>
  <c r="C91" i="49"/>
  <c r="C282" i="49"/>
  <c r="C138" i="49"/>
  <c r="C173" i="49"/>
  <c r="C172" i="49"/>
  <c r="C328" i="49"/>
  <c r="C219" i="49"/>
  <c r="C75" i="49"/>
  <c r="C266" i="49"/>
  <c r="C122" i="49"/>
  <c r="C149" i="49"/>
  <c r="C169" i="49"/>
  <c r="C325" i="49"/>
  <c r="C204" i="49"/>
  <c r="C60" i="49"/>
  <c r="C263" i="49"/>
  <c r="C119" i="49"/>
  <c r="C125" i="49"/>
  <c r="C178" i="49"/>
  <c r="C334" i="49"/>
  <c r="C189" i="49"/>
  <c r="C45" i="49"/>
  <c r="C152" i="49"/>
  <c r="C308" i="49"/>
  <c r="C223" i="49"/>
  <c r="C79" i="49"/>
  <c r="C270" i="49"/>
  <c r="C126" i="49"/>
  <c r="C305" i="49"/>
  <c r="C160" i="49"/>
  <c r="C316" i="49"/>
  <c r="C207" i="49"/>
  <c r="C63" i="49"/>
  <c r="C254" i="49"/>
  <c r="C110" i="49"/>
  <c r="C341" i="49"/>
  <c r="C157" i="49"/>
  <c r="C313" i="49"/>
  <c r="C192" i="49"/>
  <c r="C48" i="49"/>
  <c r="C251" i="49"/>
  <c r="C107" i="49"/>
  <c r="C89" i="49"/>
  <c r="C166" i="49"/>
  <c r="C322" i="49"/>
  <c r="C177" i="49"/>
  <c r="C333" i="49"/>
  <c r="C140" i="49"/>
  <c r="C296" i="49"/>
  <c r="C211" i="49"/>
  <c r="C67" i="49"/>
  <c r="C258" i="49"/>
  <c r="C114" i="49"/>
  <c r="C292" i="49"/>
  <c r="C148" i="49"/>
  <c r="C304" i="49"/>
  <c r="C195" i="49"/>
  <c r="C51" i="49"/>
  <c r="C242" i="49"/>
  <c r="C98" i="49"/>
  <c r="C289" i="49"/>
  <c r="C145" i="49"/>
  <c r="C301" i="49"/>
  <c r="C180" i="49"/>
  <c r="C336" i="49"/>
  <c r="C239" i="49"/>
  <c r="C95" i="49"/>
  <c r="C77" i="49"/>
  <c r="C154" i="49"/>
  <c r="C310" i="49"/>
  <c r="C165" i="49"/>
  <c r="C321" i="49"/>
  <c r="C128" i="49"/>
  <c r="C281" i="49"/>
  <c r="C199" i="49"/>
  <c r="C55" i="49"/>
  <c r="C246" i="49"/>
  <c r="C102" i="49"/>
  <c r="C280" i="49"/>
  <c r="C136" i="49"/>
  <c r="C269" i="49"/>
  <c r="C183" i="49"/>
  <c r="C339" i="49"/>
  <c r="C230" i="49"/>
  <c r="C86" i="49"/>
  <c r="C277" i="49"/>
  <c r="C133" i="49"/>
  <c r="C197" i="49"/>
  <c r="C168" i="49"/>
  <c r="C324" i="49"/>
  <c r="C227" i="49"/>
  <c r="C83" i="49"/>
  <c r="C286" i="49"/>
  <c r="C142" i="49"/>
  <c r="C298" i="49"/>
  <c r="C153" i="49"/>
  <c r="C309" i="49"/>
  <c r="C116" i="49"/>
  <c r="C185" i="49"/>
  <c r="C187" i="49"/>
  <c r="C343" i="49"/>
  <c r="C234" i="49"/>
  <c r="C90" i="49"/>
  <c r="C268" i="49"/>
  <c r="C124" i="49"/>
  <c r="C137" i="49"/>
  <c r="C171" i="49"/>
  <c r="C327" i="49"/>
  <c r="C218" i="49"/>
  <c r="C74" i="49"/>
  <c r="C265" i="49"/>
  <c r="C121" i="49"/>
  <c r="C53" i="49"/>
  <c r="C156" i="49"/>
  <c r="C312" i="49"/>
  <c r="C215" i="49"/>
  <c r="C71" i="49"/>
  <c r="C274" i="49"/>
  <c r="C130" i="49"/>
  <c r="C285" i="49"/>
  <c r="C141" i="49"/>
  <c r="C297" i="49"/>
  <c r="C104" i="49"/>
  <c r="C272" i="49"/>
  <c r="C175" i="49"/>
  <c r="C331" i="49"/>
  <c r="C222" i="49"/>
  <c r="C78" i="49"/>
  <c r="C256" i="49"/>
  <c r="C112" i="49"/>
  <c r="C317" i="49"/>
  <c r="C159" i="49"/>
  <c r="C315" i="49"/>
  <c r="C206" i="49"/>
  <c r="C62" i="49"/>
  <c r="C253" i="49"/>
  <c r="C109" i="49"/>
  <c r="C288" i="49"/>
  <c r="C144" i="49"/>
  <c r="C300" i="49"/>
  <c r="C203" i="49"/>
  <c r="C59" i="49"/>
  <c r="C262" i="49"/>
  <c r="C118" i="49"/>
  <c r="C273" i="49"/>
  <c r="C129" i="49"/>
  <c r="C260" i="49"/>
  <c r="C92" i="49"/>
  <c r="C236" i="49"/>
  <c r="C163" i="49"/>
  <c r="C319" i="49"/>
  <c r="B14" i="53"/>
  <c r="M29" i="53"/>
  <c r="F14" i="53"/>
  <c r="N29" i="53"/>
  <c r="L41" i="49" l="1"/>
  <c r="K41" i="49"/>
  <c r="B67" i="65"/>
  <c r="C67" i="65" s="1" a="1"/>
  <c r="C67" i="65" s="1"/>
  <c r="B66" i="65"/>
  <c r="C66" i="65" s="1" a="1"/>
  <c r="C66" i="65" s="1"/>
  <c r="A64" i="65"/>
  <c r="H64" i="65" s="1"/>
  <c r="G42" i="49"/>
  <c r="I42" i="49"/>
  <c r="F29" i="53"/>
  <c r="H29" i="53"/>
  <c r="L29" i="53"/>
  <c r="B29" i="53"/>
  <c r="K42" i="49" l="1"/>
  <c r="B68" i="65"/>
  <c r="C68" i="65" s="1" a="1"/>
  <c r="C68" i="65" s="1"/>
  <c r="A66" i="65"/>
  <c r="H66" i="65" s="1"/>
  <c r="B69" i="65"/>
  <c r="C69" i="65" s="1" a="1"/>
  <c r="C69" i="65" s="1"/>
  <c r="B71" i="65" l="1"/>
  <c r="C71" i="65" s="1" a="1"/>
  <c r="C71" i="65" s="1"/>
  <c r="B70" i="65"/>
  <c r="C70" i="65" s="1" a="1"/>
  <c r="C70" i="65" s="1"/>
  <c r="A68" i="65"/>
  <c r="H68" i="65" s="1"/>
  <c r="B72" i="65" l="1"/>
  <c r="A70" i="65"/>
  <c r="H70" i="65" s="1"/>
  <c r="B73" i="65"/>
  <c r="B75" i="65" l="1"/>
  <c r="C73" i="65" a="1"/>
  <c r="C73" i="65" s="1"/>
  <c r="B74" i="65"/>
  <c r="C72" i="65" a="1"/>
  <c r="C72" i="65" s="1"/>
  <c r="A72" i="65"/>
  <c r="H72" i="65" s="1"/>
  <c r="A74" i="65" l="1"/>
  <c r="H74" i="65" s="1"/>
  <c r="B76" i="65"/>
  <c r="C74" i="65" a="1"/>
  <c r="C74" i="65" s="1"/>
  <c r="C75" i="65" a="1"/>
  <c r="C75" i="65" s="1"/>
  <c r="B77" i="65"/>
  <c r="B79" i="65" l="1"/>
  <c r="C77" i="65" a="1"/>
  <c r="C77" i="65" s="1"/>
  <c r="A76" i="65"/>
  <c r="H76" i="65" s="1"/>
  <c r="B78" i="65"/>
  <c r="C76" i="65" a="1"/>
  <c r="C76" i="65" s="1"/>
  <c r="B80" i="65" l="1"/>
  <c r="A78" i="65"/>
  <c r="H78" i="65" s="1"/>
  <c r="C78" i="65" a="1"/>
  <c r="C78" i="65" s="1"/>
  <c r="C79" i="65" a="1"/>
  <c r="C79" i="65" s="1"/>
  <c r="B81" i="65"/>
  <c r="C81" i="65" l="1" a="1"/>
  <c r="C81" i="65" s="1"/>
  <c r="B83" i="65"/>
  <c r="B82" i="65"/>
  <c r="A80" i="65"/>
  <c r="H80" i="65" s="1"/>
  <c r="C80" i="65" a="1"/>
  <c r="C80" i="65" s="1"/>
  <c r="A82" i="65" l="1"/>
  <c r="H82" i="65" s="1"/>
  <c r="B84" i="65"/>
  <c r="B86" i="65" s="1"/>
  <c r="C82" i="65" a="1"/>
  <c r="C82" i="65" s="1"/>
  <c r="C83" i="65" a="1"/>
  <c r="C83" i="65" s="1"/>
  <c r="B85" i="65"/>
  <c r="C85" i="65" l="1" a="1"/>
  <c r="C85" i="65" s="1"/>
  <c r="B87" i="65"/>
  <c r="C86" i="65" a="1"/>
  <c r="C86" i="65" s="1"/>
  <c r="A86" i="65"/>
  <c r="H86" i="65" s="1"/>
  <c r="A84" i="65"/>
  <c r="H84" i="65" s="1"/>
  <c r="C84" i="65" a="1"/>
  <c r="C84" i="65" s="1"/>
  <c r="C87" i="65" l="1" a="1"/>
  <c r="C87" i="6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<sst xmlns="http://schemas.openxmlformats.org/spreadsheetml/2006/main" count="3339" uniqueCount="828">
  <si>
    <t>Team</t>
  </si>
  <si>
    <t>ID</t>
  </si>
  <si>
    <t>Gegner</t>
  </si>
  <si>
    <t>Datum</t>
  </si>
  <si>
    <t>E</t>
  </si>
  <si>
    <t>ST</t>
  </si>
  <si>
    <t>Tim Becker</t>
  </si>
  <si>
    <t>Erste Männermannschaft</t>
  </si>
  <si>
    <t>Zweite Männermannschaft</t>
  </si>
  <si>
    <t>Z</t>
  </si>
  <si>
    <t>D</t>
  </si>
  <si>
    <t>Dritte Männermannschaft</t>
  </si>
  <si>
    <t>Tim Beger</t>
  </si>
  <si>
    <t>Name</t>
  </si>
  <si>
    <t>Katrin Fiedler</t>
  </si>
  <si>
    <t>Katrin Keller</t>
  </si>
  <si>
    <t>F</t>
  </si>
  <si>
    <t>U14</t>
  </si>
  <si>
    <t>M</t>
  </si>
  <si>
    <t>Spiele H</t>
  </si>
  <si>
    <t>Spiele A</t>
  </si>
  <si>
    <t>Volle</t>
  </si>
  <si>
    <t>Räumer</t>
  </si>
  <si>
    <t>Fehler</t>
  </si>
  <si>
    <t>SP</t>
  </si>
  <si>
    <t>MP</t>
  </si>
  <si>
    <t>Gesamt</t>
  </si>
  <si>
    <t>Spieltag</t>
  </si>
  <si>
    <t>S1H</t>
  </si>
  <si>
    <t>S2H</t>
  </si>
  <si>
    <t>S3H</t>
  </si>
  <si>
    <t>S4H</t>
  </si>
  <si>
    <t>S1</t>
  </si>
  <si>
    <t>S2</t>
  </si>
  <si>
    <t>S3</t>
  </si>
  <si>
    <t>S4</t>
  </si>
  <si>
    <t>S-NR</t>
  </si>
  <si>
    <t>H/A</t>
  </si>
  <si>
    <t>L/P/E</t>
  </si>
  <si>
    <t>GES</t>
  </si>
  <si>
    <t>GEGGES</t>
  </si>
  <si>
    <t>SA-NR</t>
  </si>
  <si>
    <t>Spiele MP</t>
  </si>
  <si>
    <t>Spiele MPH</t>
  </si>
  <si>
    <t>VolleH</t>
  </si>
  <si>
    <t>RäumerH</t>
  </si>
  <si>
    <t>FehlerH</t>
  </si>
  <si>
    <t>GEGGESH</t>
  </si>
  <si>
    <t>GESH</t>
  </si>
  <si>
    <t>SPH</t>
  </si>
  <si>
    <t>MPH</t>
  </si>
  <si>
    <t>Spiele MPA</t>
  </si>
  <si>
    <t>VolleA</t>
  </si>
  <si>
    <t>RäumerA</t>
  </si>
  <si>
    <t>FehlerA</t>
  </si>
  <si>
    <t>S1A</t>
  </si>
  <si>
    <t>S2A</t>
  </si>
  <si>
    <t>S3A</t>
  </si>
  <si>
    <t>S4A</t>
  </si>
  <si>
    <t>GEGGESA</t>
  </si>
  <si>
    <t>GESA</t>
  </si>
  <si>
    <t>SPA</t>
  </si>
  <si>
    <t>MPA</t>
  </si>
  <si>
    <t>Schnitt</t>
  </si>
  <si>
    <t>Gesamtholz</t>
  </si>
  <si>
    <t>S/U/N</t>
  </si>
  <si>
    <t>Position</t>
  </si>
  <si>
    <t>BP</t>
  </si>
  <si>
    <t>VOLL AUTOMATISCH</t>
  </si>
  <si>
    <t>EINGABE</t>
  </si>
  <si>
    <t>SANR</t>
  </si>
  <si>
    <t>Eingetragen?</t>
  </si>
  <si>
    <t>H</t>
  </si>
  <si>
    <t>SSV Planeta Radebeul</t>
  </si>
  <si>
    <t>A</t>
  </si>
  <si>
    <t>SC Riesa</t>
  </si>
  <si>
    <t>SG Kleinröhrsdorf</t>
  </si>
  <si>
    <t>SV Fortschritt Pirna</t>
  </si>
  <si>
    <t>Königsbrücker KV WR</t>
  </si>
  <si>
    <t>SG Hohentanne</t>
  </si>
  <si>
    <t>SSV Turbine Dresden</t>
  </si>
  <si>
    <t>KSV Dresden-Leuben</t>
  </si>
  <si>
    <t>Königswarthaer SV</t>
  </si>
  <si>
    <t>Dresdner SV II</t>
  </si>
  <si>
    <t>SV MoMi Dresden</t>
  </si>
  <si>
    <t>KV Reinsdorf</t>
  </si>
  <si>
    <t>SpG Wechselburg/Mittweida</t>
  </si>
  <si>
    <t>TSV Geyer</t>
  </si>
  <si>
    <t>KSV Hainichen 92</t>
  </si>
  <si>
    <t>ESV Zschorlau</t>
  </si>
  <si>
    <t>SV Dörnthal</t>
  </si>
  <si>
    <t>SV Fortschritt Glauchau</t>
  </si>
  <si>
    <t>KSV Pockau-Lengefeld</t>
  </si>
  <si>
    <t>SpG Neustädtel/Aue</t>
  </si>
  <si>
    <t>Gespielt</t>
  </si>
  <si>
    <t>Flöha</t>
  </si>
  <si>
    <t>Freiberg</t>
  </si>
  <si>
    <t>Mittweida</t>
  </si>
  <si>
    <t>Hirschfeld</t>
  </si>
  <si>
    <t>Ergebnis</t>
  </si>
  <si>
    <t>Spiele</t>
  </si>
  <si>
    <t>Chronologie</t>
  </si>
  <si>
    <t>Platz</t>
  </si>
  <si>
    <t>HP</t>
  </si>
  <si>
    <t>S1P</t>
  </si>
  <si>
    <t>S2P</t>
  </si>
  <si>
    <t>S3P</t>
  </si>
  <si>
    <t>S4P</t>
  </si>
  <si>
    <t>S1PH</t>
  </si>
  <si>
    <t>S2PH</t>
  </si>
  <si>
    <t>S3PH</t>
  </si>
  <si>
    <t>S4PH</t>
  </si>
  <si>
    <t>S4PA</t>
  </si>
  <si>
    <t>S3PA</t>
  </si>
  <si>
    <t>S2PA</t>
  </si>
  <si>
    <t>S1PA</t>
  </si>
  <si>
    <t>Zahl</t>
  </si>
  <si>
    <t>Zahl2</t>
  </si>
  <si>
    <t>Heim</t>
  </si>
  <si>
    <t>Auswärts</t>
  </si>
  <si>
    <t>Bahn gesamt</t>
  </si>
  <si>
    <t>Bahn 1</t>
  </si>
  <si>
    <t>Bahn 2</t>
  </si>
  <si>
    <t>Bahn 3</t>
  </si>
  <si>
    <t>Bahn 4</t>
  </si>
  <si>
    <t>Anzahl</t>
  </si>
  <si>
    <t>Endstand</t>
  </si>
  <si>
    <t>Duelle</t>
  </si>
  <si>
    <t>Gegner Gesamt</t>
  </si>
  <si>
    <t>Frauenmannschaft</t>
  </si>
  <si>
    <t>Name:</t>
  </si>
  <si>
    <t>Team:</t>
  </si>
  <si>
    <t>Lorsch</t>
  </si>
  <si>
    <t>Egeg</t>
  </si>
  <si>
    <t>Zgeg</t>
  </si>
  <si>
    <t>Dgeg</t>
  </si>
  <si>
    <t>Fgeg</t>
  </si>
  <si>
    <t>GES H</t>
  </si>
  <si>
    <t>Volle H</t>
  </si>
  <si>
    <t>Räumer H</t>
  </si>
  <si>
    <t>GES A</t>
  </si>
  <si>
    <t>Volle A</t>
  </si>
  <si>
    <t>GEGGES A</t>
  </si>
  <si>
    <t>GEGGES H</t>
  </si>
  <si>
    <t>S1 H</t>
  </si>
  <si>
    <t>S2 H</t>
  </si>
  <si>
    <t>S3 H</t>
  </si>
  <si>
    <t>S4 H</t>
  </si>
  <si>
    <t>Fehler H</t>
  </si>
  <si>
    <t>Räumer A</t>
  </si>
  <si>
    <t>S1 A</t>
  </si>
  <si>
    <t>S2 A</t>
  </si>
  <si>
    <t>S3 A</t>
  </si>
  <si>
    <t>S4 A</t>
  </si>
  <si>
    <t>Fehler A</t>
  </si>
  <si>
    <t>Ort</t>
  </si>
  <si>
    <t>Anschrift</t>
  </si>
  <si>
    <t>SG Lückersdorf-Gelenau</t>
  </si>
  <si>
    <t>SC Großschweidnitz/Löbau</t>
  </si>
  <si>
    <t>KSV 66 Steinitz</t>
  </si>
  <si>
    <t>Thonberger SC 1931</t>
  </si>
  <si>
    <t>Hauptstr. 4 A, 01917 Kamenz</t>
  </si>
  <si>
    <t>Dr.-Max-Krell-Park, 02708 Großschweidnitz</t>
  </si>
  <si>
    <t>Kötitzer Str. 40, 01445 Radebeul</t>
  </si>
  <si>
    <t>Kolonie 11, 01587 Riesa</t>
  </si>
  <si>
    <t>An der Schule 1, 01936 Königsbrück</t>
  </si>
  <si>
    <t>Am Festplatz, 01900 Großröhrsdorf</t>
  </si>
  <si>
    <t>Alt-Rottwerndorf 22, 01796 Pirna</t>
  </si>
  <si>
    <t>Rothenburger Str. 14A, 02956 Rietschen</t>
  </si>
  <si>
    <t>Weißeritzstr. 4, 01067 Dresden</t>
  </si>
  <si>
    <t>Gasanstaltstr. 13, 01237 Dresden</t>
  </si>
  <si>
    <t>Oskar-Röder-Str. 4A, 01237 Dresden</t>
  </si>
  <si>
    <t>An den Sportanlagen 1, 02699 Königswartha</t>
  </si>
  <si>
    <t>Bautzner Str. 279, 01917 Kamenz</t>
  </si>
  <si>
    <t>Pestalozziplatz 20, 01127 Dresden</t>
  </si>
  <si>
    <t>Hirschfelder SV</t>
  </si>
  <si>
    <t>Reinsberger Straße 2, 09634 Hirschfeld</t>
  </si>
  <si>
    <t>KC "Gut Holz" Drebach</t>
  </si>
  <si>
    <t>Schachtstraße 9, 08141 Reinsdorf</t>
  </si>
  <si>
    <t>Dr. Wilhelm-Külz-Str. 30, 09648 Mittweida</t>
  </si>
  <si>
    <t>Hopfgartener Str. 38 D, 09430 Drebach / OT Scharfenstein</t>
  </si>
  <si>
    <t>Zwönitzer Straße 12, 09468 Geyer</t>
  </si>
  <si>
    <t>Gabelsberger Straße 11, 09661 Hainichen</t>
  </si>
  <si>
    <t>Schulstraße 2, 08321 Zschorlau</t>
  </si>
  <si>
    <t>Dörnthal 89, 09526 Olbernhau OT Dörnthal</t>
  </si>
  <si>
    <t>TKV Flöha/Plaue</t>
  </si>
  <si>
    <t>SV Rot-Weiß Niederschmiedeberg</t>
  </si>
  <si>
    <t>SV Grün-Weiß Schweikershain</t>
  </si>
  <si>
    <t>KSV Grün-Weiß Leubsdorf</t>
  </si>
  <si>
    <t>Feldstraße 44, 09514 Pockau-Lengefeld</t>
  </si>
  <si>
    <t>Dammstraße 4, 09557 Flöha</t>
  </si>
  <si>
    <t>Talstraße 20, 09518 Großrückerswalde / OT Niederschmiedeberg</t>
  </si>
  <si>
    <t>Hauptstraße, 09306 Erlau / OT Schweikershain</t>
  </si>
  <si>
    <t>Fürstenplatz 5, 08289 Schneeberg</t>
  </si>
  <si>
    <t>Hauptstraße 117, 09573 Leubsdorf</t>
  </si>
  <si>
    <t>An der Sachsenlandhalle 3, 08371 Glauchau</t>
  </si>
  <si>
    <t>STABW</t>
  </si>
  <si>
    <t>STABW A</t>
  </si>
  <si>
    <t>STABW H</t>
  </si>
  <si>
    <t>Beste
Position</t>
  </si>
  <si>
    <t>P1</t>
  </si>
  <si>
    <t>Radebeul</t>
  </si>
  <si>
    <t>Riesa</t>
  </si>
  <si>
    <t>Königsbrück</t>
  </si>
  <si>
    <t>Pirna</t>
  </si>
  <si>
    <t>Rietschen</t>
  </si>
  <si>
    <t>Königswartha</t>
  </si>
  <si>
    <t>Reinsdorf</t>
  </si>
  <si>
    <t>Geyer</t>
  </si>
  <si>
    <t>Hainichen</t>
  </si>
  <si>
    <t>Zschorlau</t>
  </si>
  <si>
    <t>Dörnthal</t>
  </si>
  <si>
    <t>Schweikershain</t>
  </si>
  <si>
    <t>Leubsdorf</t>
  </si>
  <si>
    <t>Glauchau</t>
  </si>
  <si>
    <t>Drebach</t>
  </si>
  <si>
    <t>Jahnstraße 11, 09618 Brand-Erbisdorf</t>
  </si>
  <si>
    <t>Berthelsdorfer Str. 113, 09599 Freiberg</t>
  </si>
  <si>
    <t>Trend</t>
  </si>
  <si>
    <t>Nummer</t>
  </si>
  <si>
    <t>KW</t>
  </si>
  <si>
    <t>Bahn</t>
  </si>
  <si>
    <t>Bahn H</t>
  </si>
  <si>
    <t>Bahn A</t>
  </si>
  <si>
    <t>PLZ</t>
  </si>
  <si>
    <t>MP H</t>
  </si>
  <si>
    <t>SP H</t>
  </si>
  <si>
    <t>MP A</t>
  </si>
  <si>
    <t>SP A</t>
  </si>
  <si>
    <t>Kurzform</t>
  </si>
  <si>
    <t>Lückersdorf</t>
  </si>
  <si>
    <t>Hohentanne</t>
  </si>
  <si>
    <t>Kleinröhrsdorf</t>
  </si>
  <si>
    <t>DD SV II</t>
  </si>
  <si>
    <t>Turbine DD</t>
  </si>
  <si>
    <t>DD Leuben</t>
  </si>
  <si>
    <t>Steinitz</t>
  </si>
  <si>
    <t>Thonberg</t>
  </si>
  <si>
    <t>MoMi DD</t>
  </si>
  <si>
    <t>HSV</t>
  </si>
  <si>
    <t>Pockau</t>
  </si>
  <si>
    <t>Aue</t>
  </si>
  <si>
    <t>Krummi</t>
  </si>
  <si>
    <t>Brand-E.</t>
  </si>
  <si>
    <t>Weißenborn</t>
  </si>
  <si>
    <t>Großschirma</t>
  </si>
  <si>
    <t>Sachsenbuckelstraße 1, 64653 Lorsch</t>
  </si>
  <si>
    <t>Frauensteiner Str. 14, 09600 Weißenborn</t>
  </si>
  <si>
    <t>An der Schäferei 6, 09603 Großschirma</t>
  </si>
  <si>
    <t>Kategorie</t>
  </si>
  <si>
    <t>H/A/G</t>
  </si>
  <si>
    <t>"+/-"</t>
  </si>
  <si>
    <t>Trend (Saison)</t>
  </si>
  <si>
    <t>Trend (3)</t>
  </si>
  <si>
    <t>P2</t>
  </si>
  <si>
    <t>P3</t>
  </si>
  <si>
    <t>P4</t>
  </si>
  <si>
    <t>P5</t>
  </si>
  <si>
    <t>P6</t>
  </si>
  <si>
    <t>P1 H</t>
  </si>
  <si>
    <t>P2 H</t>
  </si>
  <si>
    <t>P3 H</t>
  </si>
  <si>
    <t>P4 H</t>
  </si>
  <si>
    <t>P5 H</t>
  </si>
  <si>
    <t>P6 H</t>
  </si>
  <si>
    <t>P1 S</t>
  </si>
  <si>
    <t>P2 S</t>
  </si>
  <si>
    <t>P3 S</t>
  </si>
  <si>
    <t>P4 S</t>
  </si>
  <si>
    <t>P5 S</t>
  </si>
  <si>
    <t>P6 S</t>
  </si>
  <si>
    <t>#HP</t>
  </si>
  <si>
    <t>P1 %</t>
  </si>
  <si>
    <t>P2 %</t>
  </si>
  <si>
    <t>P3 %</t>
  </si>
  <si>
    <t>P4 %</t>
  </si>
  <si>
    <t>P5 %</t>
  </si>
  <si>
    <t>P6 %</t>
  </si>
  <si>
    <t>% BP</t>
  </si>
  <si>
    <t>HP H</t>
  </si>
  <si>
    <t>#HP H</t>
  </si>
  <si>
    <t>BP H</t>
  </si>
  <si>
    <t>% BP H</t>
  </si>
  <si>
    <t>Heimbahn 1</t>
  </si>
  <si>
    <t>Heimbahn 2</t>
  </si>
  <si>
    <t>Heimbahn 3</t>
  </si>
  <si>
    <t>Heimbahn 4</t>
  </si>
  <si>
    <t>Waldenburg</t>
  </si>
  <si>
    <t>Werdau</t>
  </si>
  <si>
    <t>Mehltheuer</t>
  </si>
  <si>
    <t>Kirchberg</t>
  </si>
  <si>
    <t>Bernsbach</t>
  </si>
  <si>
    <t>Treuen</t>
  </si>
  <si>
    <t>Rochlitz</t>
  </si>
  <si>
    <t>BW Chemnitz</t>
  </si>
  <si>
    <t>Plauen</t>
  </si>
  <si>
    <t>Cranzahl</t>
  </si>
  <si>
    <t>Falkenstein</t>
  </si>
  <si>
    <t>Lößnitz</t>
  </si>
  <si>
    <t>Ehrenfriedersdorf</t>
  </si>
  <si>
    <t>Fraureuth</t>
  </si>
  <si>
    <t>KC 69 Marienberg</t>
  </si>
  <si>
    <t>TSV Erlau</t>
  </si>
  <si>
    <t>ZZZ</t>
  </si>
  <si>
    <t>Schnitt G</t>
  </si>
  <si>
    <t>S1P H</t>
  </si>
  <si>
    <t>S2P H</t>
  </si>
  <si>
    <t>S3P H</t>
  </si>
  <si>
    <t>S4P H</t>
  </si>
  <si>
    <t>Spiele MP A</t>
  </si>
  <si>
    <t>S1P A</t>
  </si>
  <si>
    <t>S2P A</t>
  </si>
  <si>
    <t>S3P A</t>
  </si>
  <si>
    <t>S4P A</t>
  </si>
  <si>
    <t>HP A</t>
  </si>
  <si>
    <t>#HP A</t>
  </si>
  <si>
    <t>BP A</t>
  </si>
  <si>
    <t>% BP A</t>
  </si>
  <si>
    <t>Häufigste
Position</t>
  </si>
  <si>
    <t>Anzahl häufigste
Position</t>
  </si>
  <si>
    <t>% Beste
Position</t>
  </si>
  <si>
    <t>Lieblingsbahn</t>
  </si>
  <si>
    <t>Name H</t>
  </si>
  <si>
    <t>P1 S H</t>
  </si>
  <si>
    <t>P2 S H</t>
  </si>
  <si>
    <t>P3 S H</t>
  </si>
  <si>
    <t>P4 S H</t>
  </si>
  <si>
    <t>P5 S H</t>
  </si>
  <si>
    <t>P6 S H</t>
  </si>
  <si>
    <t>P1 % H</t>
  </si>
  <si>
    <t>P2 % H</t>
  </si>
  <si>
    <t>P3 % H</t>
  </si>
  <si>
    <t>P4 % H</t>
  </si>
  <si>
    <t>P5 % H</t>
  </si>
  <si>
    <t>P6 % H</t>
  </si>
  <si>
    <t>Name A</t>
  </si>
  <si>
    <t>P1 A</t>
  </si>
  <si>
    <t>P2 A</t>
  </si>
  <si>
    <t>P3 A</t>
  </si>
  <si>
    <t>P4 A</t>
  </si>
  <si>
    <t>P5 A</t>
  </si>
  <si>
    <t>P6 A</t>
  </si>
  <si>
    <t>P1 S A</t>
  </si>
  <si>
    <t>P2 S A</t>
  </si>
  <si>
    <t>P3 S A</t>
  </si>
  <si>
    <t>P4 S A</t>
  </si>
  <si>
    <t>P5 S A</t>
  </si>
  <si>
    <t>P6 S A</t>
  </si>
  <si>
    <t>P1 % A</t>
  </si>
  <si>
    <t>P2 % A</t>
  </si>
  <si>
    <t>P3 % A</t>
  </si>
  <si>
    <t>P4 % A</t>
  </si>
  <si>
    <t>P5 % A</t>
  </si>
  <si>
    <t>P6 % A</t>
  </si>
  <si>
    <t>Frauen</t>
  </si>
  <si>
    <t>SV Rot-Weiß Treuen</t>
  </si>
  <si>
    <t>Fr.-Engels-Str. 7, 08233 Treuen</t>
  </si>
  <si>
    <t>VfB Lengenfeld</t>
  </si>
  <si>
    <t>Waldkirchener Weg 15, 08485 Lengenfeld</t>
  </si>
  <si>
    <t>TSV Fortschritt Mittweida</t>
  </si>
  <si>
    <t>Dr.-Wilhelm-Külz-Str. 30, 09648 Mittweida</t>
  </si>
  <si>
    <t>SV Saxonia Bernsbach</t>
  </si>
  <si>
    <t>Lauterer Straße 37, 08315 Lauter-Bernsbach</t>
  </si>
  <si>
    <t>Lengenfeld</t>
  </si>
  <si>
    <t>Siegmar</t>
  </si>
  <si>
    <t>Erlau</t>
  </si>
  <si>
    <t>Chemnitzer SV Siegmar 48</t>
  </si>
  <si>
    <t>Jagdschänkenstraße 35, 09117 Chemnitz</t>
  </si>
  <si>
    <t>SpVgg Blau-Weiß Chemnitz 02</t>
  </si>
  <si>
    <t>Promenadenstraße 48, 09111 Chemnitz</t>
  </si>
  <si>
    <t>SV Rotation Weißenborn</t>
  </si>
  <si>
    <t>SKV Auerbach/V.</t>
  </si>
  <si>
    <t>Am Sportplatz 1, 08539 Mehltheuer</t>
  </si>
  <si>
    <t>SV Krummenhennersdorf</t>
  </si>
  <si>
    <t>Bienenweg 20a, 08209 Auerbach/V.</t>
  </si>
  <si>
    <t>VfB Eintracht Fraureuth</t>
  </si>
  <si>
    <t>Werdauer Straße 71a, 08427 Fraureuth</t>
  </si>
  <si>
    <t>Lößnitzer SV 1847</t>
  </si>
  <si>
    <t>Ringstraße 15, 08294 Lößnitz</t>
  </si>
  <si>
    <t>Marienberg</t>
  </si>
  <si>
    <t>Auerbach</t>
  </si>
  <si>
    <t>Reichenbach</t>
  </si>
  <si>
    <t>KSC Reichenbach/Mylau</t>
  </si>
  <si>
    <t>Göltzschtal 17, OT Mylau, 08499 Reichenbach</t>
  </si>
  <si>
    <t>Stresemannstraße 83, 08527 Plauen</t>
  </si>
  <si>
    <t>KSV Plauen 04</t>
  </si>
  <si>
    <t>Rathenaustraße 9, 08223 Falkenstein/Vogtland</t>
  </si>
  <si>
    <t>KV 1912 Falkenstein</t>
  </si>
  <si>
    <t>BSV Ehrenfriedersdorf</t>
  </si>
  <si>
    <t>Wiesenstraße 18, 09427 Ehrenfriedersdorf</t>
  </si>
  <si>
    <t>BSC Motor Rochlitz</t>
  </si>
  <si>
    <t>Am Regenbogen 23, 09306 Rochlitz</t>
  </si>
  <si>
    <t>SSV 91 Brand-Erbisdorf</t>
  </si>
  <si>
    <t>TuS 1875 Großschirma</t>
  </si>
  <si>
    <t>BKC 52</t>
  </si>
  <si>
    <t>BKC</t>
  </si>
  <si>
    <t>Katharinenstraße 20b, 09496 Marienberg</t>
  </si>
  <si>
    <t>SV Rot-Weiß Werdau</t>
  </si>
  <si>
    <t>Holzstraße 41, 08412 Werdau</t>
  </si>
  <si>
    <t>Am Freiheitsplatz 1848, 08396 Waldenburg</t>
  </si>
  <si>
    <t>SV Waldenburg 1844</t>
  </si>
  <si>
    <t>Marienthaler Str. 120, 08060 Zwickau</t>
  </si>
  <si>
    <t>Kirchberger KV 1845</t>
  </si>
  <si>
    <t>Neustädtler SV</t>
  </si>
  <si>
    <t>Neustädtl</t>
  </si>
  <si>
    <t>KV Blau-Weiß Lumpen 1896 Cranzahl</t>
  </si>
  <si>
    <t>Turnerheimstraße 3, 09465 Sehmatal-Cranzahl</t>
  </si>
  <si>
    <t>Kegelbahnverzeichnis</t>
  </si>
  <si>
    <t>Normalverteilung</t>
  </si>
  <si>
    <t>größer als</t>
  </si>
  <si>
    <t>kleiner als</t>
  </si>
  <si>
    <t>zwischen</t>
  </si>
  <si>
    <t xml:space="preserve">MP </t>
  </si>
  <si>
    <t>Großschw.</t>
  </si>
  <si>
    <t>Niederschm.</t>
  </si>
  <si>
    <t>Bester Bahn (Schnitt)</t>
  </si>
  <si>
    <t>Beste Bahn</t>
  </si>
  <si>
    <t>Schlechteste Bahn (Schnitt)</t>
  </si>
  <si>
    <t>Schlechteste Bahn</t>
  </si>
  <si>
    <t>KSV 51 Bennewitz</t>
  </si>
  <si>
    <t>An der Mulde 11, 04828 Bennewitz</t>
  </si>
  <si>
    <t>Bennewitz</t>
  </si>
  <si>
    <t>1</t>
  </si>
  <si>
    <t>2</t>
  </si>
  <si>
    <t>3</t>
  </si>
  <si>
    <t>4</t>
  </si>
  <si>
    <t>5</t>
  </si>
  <si>
    <t>6</t>
  </si>
  <si>
    <t>Differenz</t>
  </si>
  <si>
    <t>Prozentual</t>
  </si>
  <si>
    <t>Rang</t>
  </si>
  <si>
    <t>Rang A</t>
  </si>
  <si>
    <t>Männer I</t>
  </si>
  <si>
    <t>Männer II</t>
  </si>
  <si>
    <t>U14 I</t>
  </si>
  <si>
    <t>U14II</t>
  </si>
  <si>
    <t>U14 II</t>
  </si>
  <si>
    <t>Männer III</t>
  </si>
  <si>
    <t>.</t>
  </si>
  <si>
    <t>Hohnstädter SV</t>
  </si>
  <si>
    <t>Hohnstädt</t>
  </si>
  <si>
    <t>Seumeparkweg 1, 04668 Hohnstädt</t>
  </si>
  <si>
    <t>KV Bautzen</t>
  </si>
  <si>
    <t>Thomas – Mann – Str. 7, 02625 Bautzen</t>
  </si>
  <si>
    <t>SV Motor Sörnewitz</t>
  </si>
  <si>
    <t>Kahlhügelweg 31, 01640 Coswig / Sörnewitz</t>
  </si>
  <si>
    <t>Sörnewitz</t>
  </si>
  <si>
    <t>Spiel</t>
  </si>
  <si>
    <t>Trend 
(Saison) H</t>
  </si>
  <si>
    <t>Trend 
(letzte 3 Spiele) H</t>
  </si>
  <si>
    <t>Trend 
(Saison)</t>
  </si>
  <si>
    <t>Trend 
(letzte 3 Spiele)</t>
  </si>
  <si>
    <t>Trend 
(Saison) A</t>
  </si>
  <si>
    <t>Trend 
(letzte 3 Spiele) A</t>
  </si>
  <si>
    <t>GEG
GES</t>
  </si>
  <si>
    <t>Philipp Paulmann</t>
  </si>
  <si>
    <t>Heiko Wüstling</t>
  </si>
  <si>
    <t>Anastasia Landau</t>
  </si>
  <si>
    <t>Anna Müller</t>
  </si>
  <si>
    <t>Ben Becker</t>
  </si>
  <si>
    <t>Mick Becker</t>
  </si>
  <si>
    <t>Michael Becker</t>
  </si>
  <si>
    <t>Peter Weißling</t>
  </si>
  <si>
    <t>Peter Paulmann</t>
  </si>
  <si>
    <t>Lea Meinert</t>
  </si>
  <si>
    <t>Olaf Kurtze</t>
  </si>
  <si>
    <t>Martin Börner</t>
  </si>
  <si>
    <t>Jörg Nötzel</t>
  </si>
  <si>
    <t>Lisa Stirl</t>
  </si>
  <si>
    <t>Patrick Hohmann</t>
  </si>
  <si>
    <t>Marcel Giese</t>
  </si>
  <si>
    <t>Hannah Sünderhauf</t>
  </si>
  <si>
    <t>Claudia Lorenz</t>
  </si>
  <si>
    <t>Bruno Bergelt</t>
  </si>
  <si>
    <t>Cora Keller</t>
  </si>
  <si>
    <t>Dietmar Klose</t>
  </si>
  <si>
    <t>Emelie Schiffel</t>
  </si>
  <si>
    <t>Emma Hettmann</t>
  </si>
  <si>
    <t>Erik Krutak</t>
  </si>
  <si>
    <t>Florian Jäger</t>
  </si>
  <si>
    <t>Heike Scholz</t>
  </si>
  <si>
    <t>Luca Landau</t>
  </si>
  <si>
    <t>Max Dost</t>
  </si>
  <si>
    <t>Michael Klose</t>
  </si>
  <si>
    <t>Sophia Stirl</t>
  </si>
  <si>
    <t>Pia Wätzig</t>
  </si>
  <si>
    <t>Zoi Weber</t>
  </si>
  <si>
    <t>Markus Unvericht</t>
  </si>
  <si>
    <t>Ulli Baumgarten</t>
  </si>
  <si>
    <t>Stefan Teuber</t>
  </si>
  <si>
    <t>Stefan Ulbricht</t>
  </si>
  <si>
    <t>Teo Rühle</t>
  </si>
  <si>
    <t>Sylke Schmidt</t>
  </si>
  <si>
    <t>Patrick Frenzel</t>
  </si>
  <si>
    <t>Petra Kubon</t>
  </si>
  <si>
    <t>Andreas Ehrlich</t>
  </si>
  <si>
    <t>Konrad Scheller</t>
  </si>
  <si>
    <t>Ligaschnitt</t>
  </si>
  <si>
    <t>Spiele MP H</t>
  </si>
  <si>
    <t/>
  </si>
  <si>
    <t>Schnitt Gesamt</t>
  </si>
  <si>
    <t>STABW GES</t>
  </si>
  <si>
    <t>Trend GES</t>
  </si>
  <si>
    <t>Schnitt Heim</t>
  </si>
  <si>
    <t>STABW Heim</t>
  </si>
  <si>
    <t>Trend Heim</t>
  </si>
  <si>
    <t>Schnitt Auswärts</t>
  </si>
  <si>
    <t>STABW Auswärts</t>
  </si>
  <si>
    <t>Trend Auswärts</t>
  </si>
  <si>
    <t>Position GES</t>
  </si>
  <si>
    <t>Position Heim</t>
  </si>
  <si>
    <t>Position Auswärts</t>
  </si>
  <si>
    <t>[1][2]</t>
  </si>
  <si>
    <t>[4][5]</t>
  </si>
  <si>
    <t>[3]</t>
  </si>
  <si>
    <t>[1]</t>
  </si>
  <si>
    <t>[2]</t>
  </si>
  <si>
    <t>[5][6]</t>
  </si>
  <si>
    <t>[6]</t>
  </si>
  <si>
    <t>[1][5]</t>
  </si>
  <si>
    <t>[4]</t>
  </si>
  <si>
    <t>[5]</t>
  </si>
  <si>
    <t>[3][4]</t>
  </si>
  <si>
    <t>[3][6]</t>
  </si>
  <si>
    <t>[1][3]</t>
  </si>
  <si>
    <t>[2][6]</t>
  </si>
  <si>
    <t>[2][3][4]</t>
  </si>
  <si>
    <t>[4][6]</t>
  </si>
  <si>
    <t>[1][6]</t>
  </si>
  <si>
    <t>SSV 1952 Torgau</t>
  </si>
  <si>
    <t>Torgau</t>
  </si>
  <si>
    <t>Taucha</t>
  </si>
  <si>
    <t>SpG Plauen/Zwickau</t>
  </si>
  <si>
    <t>SpG Mittweida/Penig</t>
  </si>
  <si>
    <t>SpG Reinsdorf/Zwickau</t>
  </si>
  <si>
    <t>Stollberg III</t>
  </si>
  <si>
    <t>SKV 9-Pins Stollberg III</t>
  </si>
  <si>
    <t>Thurm</t>
  </si>
  <si>
    <t>SG Motor Thurm</t>
  </si>
  <si>
    <t>Stollberg IV</t>
  </si>
  <si>
    <t>Kegelsportstätte Taucha, Kriekauer Str., 04425 Taucha</t>
  </si>
  <si>
    <t>Kegelbahn SSV Torgau, Dahlener Str.15, 04860 Torgau</t>
  </si>
  <si>
    <t>KegelHalle 9PINS, Bergstr.4, 09366 Stollberg</t>
  </si>
  <si>
    <t>Am Sportzentrum 3, 08132 Mülsen / OT Stangendorf</t>
  </si>
  <si>
    <t>13:00 Uhr</t>
  </si>
  <si>
    <t>KSV 1991 Freital</t>
  </si>
  <si>
    <t>Burgker Str. 4, 01705 Freital</t>
  </si>
  <si>
    <t>Freital</t>
  </si>
  <si>
    <t>09:00 Uhr</t>
  </si>
  <si>
    <t>13:30 Uhr</t>
  </si>
  <si>
    <t>11:00 Uhr</t>
  </si>
  <si>
    <t>14:00 Uhr</t>
  </si>
  <si>
    <t>09:15 Uhr</t>
  </si>
  <si>
    <t>09:30 Uhr</t>
  </si>
  <si>
    <t>Teams</t>
  </si>
  <si>
    <t>Winterpause + Weihnachten</t>
  </si>
  <si>
    <t>Startzeit</t>
  </si>
  <si>
    <t>Endzeit</t>
  </si>
  <si>
    <t>Bahnen</t>
  </si>
  <si>
    <t>Kegelbahn Stresemannstr. 83, 08527 Plauen</t>
  </si>
  <si>
    <t>Start</t>
  </si>
  <si>
    <t>V1</t>
  </si>
  <si>
    <t>V2</t>
  </si>
  <si>
    <t>V3</t>
  </si>
  <si>
    <t>V4</t>
  </si>
  <si>
    <t>R1</t>
  </si>
  <si>
    <t>R2</t>
  </si>
  <si>
    <t>R3</t>
  </si>
  <si>
    <t>R4</t>
  </si>
  <si>
    <t>F1</t>
  </si>
  <si>
    <t>F2</t>
  </si>
  <si>
    <t>F3</t>
  </si>
  <si>
    <t>F4</t>
  </si>
  <si>
    <t>Volle Schnitt</t>
  </si>
  <si>
    <t>Volle Bahn Schnitt</t>
  </si>
  <si>
    <t>V1 Diff</t>
  </si>
  <si>
    <t>V2 Diff</t>
  </si>
  <si>
    <t>V3 Diff</t>
  </si>
  <si>
    <t>V4 Diff</t>
  </si>
  <si>
    <t>VOLLE</t>
  </si>
  <si>
    <t>Bahn Schnitt</t>
  </si>
  <si>
    <t>S1 Diff</t>
  </si>
  <si>
    <t>S2 Diff</t>
  </si>
  <si>
    <t>S3 Diff</t>
  </si>
  <si>
    <t>S4 Diff</t>
  </si>
  <si>
    <t>Räumer Bahn Schnitt</t>
  </si>
  <si>
    <t>Räumer Schnitt</t>
  </si>
  <si>
    <t>R1 Diff</t>
  </si>
  <si>
    <t>R2 Diff</t>
  </si>
  <si>
    <t>R3 Diff</t>
  </si>
  <si>
    <t>R4 Diff</t>
  </si>
  <si>
    <t>Ben Böhmer</t>
  </si>
  <si>
    <t>Madlen Baumgarten</t>
  </si>
  <si>
    <t>Fehler Schnitt</t>
  </si>
  <si>
    <t>Fehler Bahn Schnitt</t>
  </si>
  <si>
    <t>F1 Diff</t>
  </si>
  <si>
    <t>F2 Diff</t>
  </si>
  <si>
    <t>F3 Diff</t>
  </si>
  <si>
    <t>F4 Diff</t>
  </si>
  <si>
    <t>Lisa Marutschke</t>
  </si>
  <si>
    <t>Volle alternativ</t>
  </si>
  <si>
    <t>Räumer alternativ</t>
  </si>
  <si>
    <t>Fehler alternativ</t>
  </si>
  <si>
    <t>Beste
Volle</t>
  </si>
  <si>
    <t>Beste
Räumer</t>
  </si>
  <si>
    <t>Bestes
Spiel</t>
  </si>
  <si>
    <t>Satz 1</t>
  </si>
  <si>
    <t>Satz 2</t>
  </si>
  <si>
    <t>Satz 3</t>
  </si>
  <si>
    <t>Satz 4</t>
  </si>
  <si>
    <t>Schnitt
Vorsaison</t>
  </si>
  <si>
    <t>Gegner
Schnitt</t>
  </si>
  <si>
    <t>SP 1</t>
  </si>
  <si>
    <t>SP 2</t>
  </si>
  <si>
    <t>SP 3</t>
  </si>
  <si>
    <t>SP 4</t>
  </si>
  <si>
    <t>Wo</t>
  </si>
  <si>
    <t>Modus</t>
  </si>
  <si>
    <t>Freiburg</t>
  </si>
  <si>
    <t>Oelsnitz</t>
  </si>
  <si>
    <t>Kamenz</t>
  </si>
  <si>
    <t>Vorjahr</t>
  </si>
  <si>
    <t>Halsbrücker Str. 23, 09633 Krummenhennersdorf</t>
  </si>
  <si>
    <t>München</t>
  </si>
  <si>
    <t>D-Liga-1</t>
  </si>
  <si>
    <t>D-Liga-2</t>
  </si>
  <si>
    <t>D-Liga-3</t>
  </si>
  <si>
    <t>D-Liga-4</t>
  </si>
  <si>
    <t>D-Liga-5</t>
  </si>
  <si>
    <t>D-Liga-6</t>
  </si>
  <si>
    <t>D-Liga-7</t>
  </si>
  <si>
    <t>D-Liga-8</t>
  </si>
  <si>
    <t>D-Liga-9</t>
  </si>
  <si>
    <t>D-Liga-10</t>
  </si>
  <si>
    <t>D-Liga-11</t>
  </si>
  <si>
    <t>D-Liga-12</t>
  </si>
  <si>
    <t>D-Liga-13</t>
  </si>
  <si>
    <t>D-Liga-14</t>
  </si>
  <si>
    <t>SV Einheit Kamenz</t>
  </si>
  <si>
    <t>Dittrichstraße 31, 01917 Kamenz</t>
  </si>
  <si>
    <t>Münchner Kegler-Verein e.V.</t>
  </si>
  <si>
    <t>Säbener Str. 49, 81547 München</t>
  </si>
  <si>
    <t>TuS Oelsnitz/E.</t>
  </si>
  <si>
    <t>Rathauspl. 3, 09376 Oelsnitz/Erzgebirge</t>
  </si>
  <si>
    <t>Zwickau</t>
  </si>
  <si>
    <t>KSV Freiburg e.V.</t>
  </si>
  <si>
    <t>Ensisheimer Str. 7, 79110 Freiburg</t>
  </si>
  <si>
    <t>Gesamt [Streicher]</t>
  </si>
  <si>
    <t>U14-Liga-1</t>
  </si>
  <si>
    <t>U14-Liga-2</t>
  </si>
  <si>
    <t>U14-Liga-3</t>
  </si>
  <si>
    <t>U14-Liga-4</t>
  </si>
  <si>
    <t>U14-Liga-5</t>
  </si>
  <si>
    <t>U14-Liga-6</t>
  </si>
  <si>
    <t>Einzelspiele</t>
  </si>
  <si>
    <t>Wurf</t>
  </si>
  <si>
    <t>Kegel</t>
  </si>
  <si>
    <t>L-P-Spiele</t>
  </si>
  <si>
    <t>Maik Fuhrmann</t>
  </si>
  <si>
    <t>Heiko Fuhrmann</t>
  </si>
  <si>
    <t>Andreas Rippin</t>
  </si>
  <si>
    <t>Mario Hägemann</t>
  </si>
  <si>
    <t>TSV 90 Zwickau II</t>
  </si>
  <si>
    <t>L</t>
  </si>
  <si>
    <t>SpG Großschirma/Brand-Erbisdorf</t>
  </si>
  <si>
    <t>SV Schönberg</t>
  </si>
  <si>
    <t>Schönberg</t>
  </si>
  <si>
    <t>SKV 9-Pins Stollberg II</t>
  </si>
  <si>
    <t>KSV Blau-Gelb Taucha II</t>
  </si>
  <si>
    <t>SG Grün-Weiß Mehltheuer II</t>
  </si>
  <si>
    <t>KSC Stahl Rietschen</t>
  </si>
  <si>
    <t>ISG Hagenwerder</t>
  </si>
  <si>
    <t>Hagenwerder</t>
  </si>
  <si>
    <t>MSV Bautzen 04</t>
  </si>
  <si>
    <t>SKV 9-Pins Stollberg</t>
  </si>
  <si>
    <t>MSV Bautzen</t>
  </si>
  <si>
    <t>Stollberg</t>
  </si>
  <si>
    <t>KSV Heidenau</t>
  </si>
  <si>
    <t>Am Sportforum 4, 01809 Heidenau</t>
  </si>
  <si>
    <t>Heidenau</t>
  </si>
  <si>
    <t>Bergstr.4, 09366 Stollberg</t>
  </si>
  <si>
    <t>Neusalzaer Str. 57, 02625 Bautzen</t>
  </si>
  <si>
    <t xml:space="preserve">TSV 1848 Flöha </t>
  </si>
  <si>
    <t xml:space="preserve">SV Grün-Weiß Niederwiesa </t>
  </si>
  <si>
    <t>Niederwiesa</t>
  </si>
  <si>
    <t>DKBC-Pokal</t>
  </si>
  <si>
    <t>SV Siltronic Freiberg</t>
  </si>
  <si>
    <t>12:20 Uhr</t>
  </si>
  <si>
    <t>10:40 Uhr</t>
  </si>
  <si>
    <t>Uwe Zippack</t>
  </si>
  <si>
    <t>E-L-1</t>
  </si>
  <si>
    <t>E-L-2</t>
  </si>
  <si>
    <t>E-L-3</t>
  </si>
  <si>
    <t>E-L-4</t>
  </si>
  <si>
    <t>E-L-5</t>
  </si>
  <si>
    <t>E-L-6</t>
  </si>
  <si>
    <t>E-L-7</t>
  </si>
  <si>
    <t>E-L-8</t>
  </si>
  <si>
    <t>E-L-9</t>
  </si>
  <si>
    <t>E-L-10</t>
  </si>
  <si>
    <t>E-L-11</t>
  </si>
  <si>
    <t>E-L-12</t>
  </si>
  <si>
    <t>E-L-13</t>
  </si>
  <si>
    <t>E-L-14</t>
  </si>
  <si>
    <t>E-L-15</t>
  </si>
  <si>
    <t>E-L-16</t>
  </si>
  <si>
    <t>E-L-17</t>
  </si>
  <si>
    <t>E-L-18</t>
  </si>
  <si>
    <t>F-L-1</t>
  </si>
  <si>
    <t>F-L-2</t>
  </si>
  <si>
    <t>F-L-3</t>
  </si>
  <si>
    <t>F-L-4</t>
  </si>
  <si>
    <t>F-L-5</t>
  </si>
  <si>
    <t>F-L-6</t>
  </si>
  <si>
    <t>F-L-7</t>
  </si>
  <si>
    <t>F-L-8</t>
  </si>
  <si>
    <t>F-L-9</t>
  </si>
  <si>
    <t>F-L-10</t>
  </si>
  <si>
    <t>F-L-11</t>
  </si>
  <si>
    <t>F-L-12</t>
  </si>
  <si>
    <t>F-L-13</t>
  </si>
  <si>
    <t>F-L-14</t>
  </si>
  <si>
    <t>Z-L-1</t>
  </si>
  <si>
    <t>Z-L-2</t>
  </si>
  <si>
    <t>Z-L-3</t>
  </si>
  <si>
    <t>Z-L-4</t>
  </si>
  <si>
    <t>Z-L-5</t>
  </si>
  <si>
    <t>Z-L-6</t>
  </si>
  <si>
    <t>Z-L-7</t>
  </si>
  <si>
    <t>Z-L-8</t>
  </si>
  <si>
    <t>Z-L-9</t>
  </si>
  <si>
    <t>Z-L-10</t>
  </si>
  <si>
    <t>Z-L-11</t>
  </si>
  <si>
    <t>Z-L-12</t>
  </si>
  <si>
    <t>Z-L-13</t>
  </si>
  <si>
    <t>Z-L-14</t>
  </si>
  <si>
    <t>Jens Starke</t>
  </si>
  <si>
    <t>TuS Gerolsheim</t>
  </si>
  <si>
    <t>Gerolsheim</t>
  </si>
  <si>
    <t>BEL</t>
  </si>
  <si>
    <t>RLT</t>
  </si>
  <si>
    <t>An der Alten F99, 02827 Hagenwerder</t>
  </si>
  <si>
    <t>P</t>
  </si>
  <si>
    <t>SV Dölzig</t>
  </si>
  <si>
    <t>Dölzig</t>
  </si>
  <si>
    <t>Am Sportpark 2, 04179 Leipzig</t>
  </si>
  <si>
    <t>Lok Köthen</t>
  </si>
  <si>
    <t>Köthen</t>
  </si>
  <si>
    <t>Am Güterbahnhof, 06366 Köthen</t>
  </si>
  <si>
    <t>[1][3][5]</t>
  </si>
  <si>
    <t>[3][4][5][6]</t>
  </si>
  <si>
    <t>[3][4][6]</t>
  </si>
  <si>
    <t>[2][3]</t>
  </si>
  <si>
    <t>[1][2][3]</t>
  </si>
  <si>
    <t>[2][3][4][5][6]</t>
  </si>
  <si>
    <t>[2][5]</t>
  </si>
  <si>
    <t>KEM</t>
  </si>
  <si>
    <t>V</t>
  </si>
  <si>
    <t>Median</t>
  </si>
  <si>
    <t>IQA</t>
  </si>
  <si>
    <t>KI</t>
  </si>
  <si>
    <t>V/R</t>
  </si>
  <si>
    <t>W/F</t>
  </si>
  <si>
    <t>Z-Score</t>
  </si>
  <si>
    <t>Diff</t>
  </si>
  <si>
    <t>MP unter Druck</t>
  </si>
  <si>
    <t>Clutch</t>
  </si>
  <si>
    <t>Spiel gegen Starke Gegner</t>
  </si>
  <si>
    <t>Spiel gegen schwache Gegner</t>
  </si>
  <si>
    <t>Berechnung</t>
  </si>
  <si>
    <t>Auswertung</t>
  </si>
  <si>
    <t>Oberes Quartil - Unteres Quartil</t>
  </si>
  <si>
    <t>Variatonskoeffizient</t>
  </si>
  <si>
    <t>STABW/Mittelwert</t>
  </si>
  <si>
    <t>Streuungsmaß</t>
  </si>
  <si>
    <t>Abkürzung</t>
  </si>
  <si>
    <t>Interquartilabstand</t>
  </si>
  <si>
    <t>VK</t>
  </si>
  <si>
    <t>Konstanzindex</t>
  </si>
  <si>
    <t>1/VK</t>
  </si>
  <si>
    <t>Voller-Räumer-Verhältnis</t>
  </si>
  <si>
    <t>Wurf pro Fehler</t>
  </si>
  <si>
    <t>Spiele*60/Fehler</t>
  </si>
  <si>
    <t>MP-D</t>
  </si>
  <si>
    <t>0 ist wie immer, negativ ist schlechter, positiv besser</t>
  </si>
  <si>
    <t>MP gewonnen bei Spielen unter 15 Holz / MP normal * 10</t>
  </si>
  <si>
    <t>SSG</t>
  </si>
  <si>
    <t>SWG</t>
  </si>
  <si>
    <t>Schnitt - Schnitt gegen schwache Gegner</t>
  </si>
  <si>
    <t>Schnitt - Schnitt gegen gute Gegner</t>
  </si>
  <si>
    <t>Druckkoeffizient</t>
  </si>
  <si>
    <t>Schnitt Druck - Schnitt normal / STABW</t>
  </si>
  <si>
    <t>Kritisch</t>
  </si>
  <si>
    <t>Volle/Räumer - 2</t>
  </si>
  <si>
    <t>Stärken in Vollen / Räumer</t>
  </si>
  <si>
    <t>U19</t>
  </si>
  <si>
    <t>U19-Liga-1</t>
  </si>
  <si>
    <t>U19-Liga-2</t>
  </si>
  <si>
    <t>U19-Liga-3</t>
  </si>
  <si>
    <t>U19-Liga-4</t>
  </si>
  <si>
    <t>U19-Liga-5</t>
  </si>
  <si>
    <t>U19-Liga-6</t>
  </si>
  <si>
    <t>U23</t>
  </si>
  <si>
    <t>Ü60</t>
  </si>
  <si>
    <t>Ü50</t>
  </si>
  <si>
    <t>SV Linda</t>
  </si>
  <si>
    <t>Linda</t>
  </si>
  <si>
    <t>Am Sportlerheim 6, 09618 Linda</t>
  </si>
  <si>
    <t>Median H</t>
  </si>
  <si>
    <t>VK H</t>
  </si>
  <si>
    <t>IQA H</t>
  </si>
  <si>
    <t>KI H</t>
  </si>
  <si>
    <t>V/R H</t>
  </si>
  <si>
    <t>W/F H</t>
  </si>
  <si>
    <t>Clutch H</t>
  </si>
  <si>
    <t>MP-D H</t>
  </si>
  <si>
    <t>SSG H</t>
  </si>
  <si>
    <t>SWG H</t>
  </si>
  <si>
    <t>Median A</t>
  </si>
  <si>
    <t>VK A</t>
  </si>
  <si>
    <t>IQA A</t>
  </si>
  <si>
    <t>KI A</t>
  </si>
  <si>
    <t>V/R A</t>
  </si>
  <si>
    <t>W/F A</t>
  </si>
  <si>
    <t>Clutch A</t>
  </si>
  <si>
    <t>MP-D A</t>
  </si>
  <si>
    <t>SSG A</t>
  </si>
  <si>
    <t>SWG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</si>
</sst>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00000"/>
    <numFmt numFmtId="166" formatCode="0.000"/>
    <numFmt numFmtId="167" formatCode="0.0%"/>
    <numFmt numFmtId="168" formatCode="[$-407]dddd:\ dd/mm/yyyy"/>
    <numFmt numFmtId="169" formatCode="h:mm;@"/>
  </numFmts>
  <fonts count="37" x14ac:knownFonts="1">
    <font>
      <sz val="11"/>
      <color theme="1"/>
      <name val="Calibri"/>
      <family val="2"/>
      <scheme val="minor"/>
    </font>
    <font>
      <sz val="8"/>
      <name val="Calibri"/>
      <family val="2"/>
      <scheme val="minor"/>
    </font>
    <font>
      <sz val="11"/>
      <color theme="1"/>
      <name val="Calibri"/>
      <family val="2"/>
      <scheme val="minor"/>
    </font>
    <font>
      <sz val="12"/>
      <color rgb="FF3F3F76"/>
      <name val="Arial"/>
      <family val="2"/>
    </font>
    <font>
      <sz val="12"/>
      <color theme="1"/>
      <name val="Bierstadt Display"/>
      <family val="2"/>
    </font>
    <font>
      <b/>
      <sz val="12"/>
      <color theme="1"/>
      <name val="Bierstadt Display"/>
      <family val="2"/>
    </font>
    <font>
      <b/>
      <sz val="12"/>
      <color theme="0"/>
      <name val="Bierstadt Display"/>
      <family val="2"/>
    </font>
    <font>
      <sz val="11"/>
      <color theme="1"/>
      <name val="Bierstadt Display"/>
      <family val="2"/>
    </font>
    <font>
      <b/>
      <sz val="11"/>
      <color theme="1"/>
      <name val="Bierstadt Display"/>
      <family val="2"/>
    </font>
    <font>
      <sz val="12"/>
      <color rgb="FF3F3F76"/>
      <name val="Bierstadt Display"/>
      <family val="2"/>
    </font>
    <font>
      <i/>
      <sz val="12"/>
      <color theme="1"/>
      <name val="Bierstadt Display"/>
      <family val="2"/>
    </font>
    <font>
      <b/>
      <sz val="16"/>
      <color theme="1"/>
      <name val="Bierstadt Display"/>
      <family val="2"/>
    </font>
    <font>
      <sz val="12"/>
      <color theme="1"/>
      <name val="Bierstadt"/>
      <family val="2"/>
    </font>
    <font>
      <b/>
      <sz val="12"/>
      <color theme="1"/>
      <name val="Bierstadt"/>
      <family val="2"/>
    </font>
    <font>
      <sz val="12"/>
      <name val="Bierstadt"/>
      <family val="2"/>
    </font>
    <font>
      <sz val="12"/>
      <color theme="2"/>
      <name val="Bierstadt"/>
      <family val="2"/>
    </font>
    <font>
      <sz val="12"/>
      <color theme="6"/>
      <name val="Bierstadt"/>
      <family val="2"/>
    </font>
    <font>
      <b/>
      <sz val="12"/>
      <color theme="0"/>
      <name val="Bierstadt"/>
      <family val="2"/>
    </font>
    <font>
      <b/>
      <sz val="11"/>
      <name val="Bierstadt Display"/>
      <family val="2"/>
    </font>
    <font>
      <b/>
      <u/>
      <sz val="12"/>
      <color theme="1"/>
      <name val="Bierstadt"/>
      <family val="2"/>
    </font>
    <font>
      <b/>
      <sz val="11"/>
      <color theme="1"/>
      <name val="Calibri"/>
      <family val="2"/>
      <scheme val="minor"/>
    </font>
    <font>
      <sz val="12"/>
      <color theme="0"/>
      <name val="Arial"/>
      <family val="2"/>
    </font>
    <font>
      <sz val="12"/>
      <color theme="3"/>
      <name val="Bierstadt"/>
      <family val="2"/>
    </font>
    <font>
      <b/>
      <sz val="12"/>
      <color theme="3"/>
      <name val="Bierstadt"/>
      <family val="2"/>
    </font>
    <font>
      <sz val="9"/>
      <color theme="1"/>
      <name val="Bierstadt"/>
      <family val="2"/>
    </font>
    <font>
      <b/>
      <sz val="12"/>
      <color theme="2"/>
      <name val="Bierstadt"/>
      <family val="2"/>
    </font>
    <font>
      <b/>
      <sz val="16"/>
      <color theme="2"/>
      <name val="Bierstadt"/>
      <family val="2"/>
    </font>
    <font>
      <b/>
      <sz val="16"/>
      <name val="Bierstadt Display"/>
      <family val="2"/>
    </font>
    <font>
      <b/>
      <sz val="12"/>
      <color rgb="FF3F3F76"/>
      <name val="Bierstadt"/>
      <family val="2"/>
    </font>
    <font>
      <b/>
      <sz val="20"/>
      <color theme="1"/>
      <name val="Bierstadt"/>
      <family val="2"/>
    </font>
    <font>
      <b/>
      <sz val="12"/>
      <color rgb="FFFA7D00"/>
      <name val="Arial"/>
      <family val="2"/>
    </font>
    <font>
      <sz val="11"/>
      <color theme="1"/>
      <name val="Bierstadt"/>
      <family val="2"/>
    </font>
    <font>
      <b/>
      <sz val="11"/>
      <color theme="1"/>
      <name val="Bierstadt"/>
      <family val="2"/>
    </font>
    <font>
      <b/>
      <sz val="11"/>
      <name val="Bierstadt"/>
      <family val="2"/>
    </font>
    <font>
      <b/>
      <u/>
      <sz val="12"/>
      <color theme="2" tint="-0.89999084444715716"/>
      <name val="Bierstadt Display"/>
      <family val="2"/>
    </font>
    <font>
      <b/>
      <sz val="12"/>
      <color theme="2" tint="-0.89999084444715716"/>
      <name val="Bierstadt Display"/>
      <family val="2"/>
    </font>
    <font>
      <sz val="12"/>
      <color theme="2" tint="-0.89999084444715716"/>
      <name val="Bierstadt Display"/>
      <family val="2"/>
    </font>
  </fonts>
  <fills count="38">
    <fill>
      <patternFill patternType="none"/>
    </fill>
    <fill>
      <patternFill patternType="gray125"/>
    </fill>
    <fill>
      <patternFill patternType="solid">
        <fgColor theme="0" tint="-0.14999847407452621"/>
        <bgColor theme="0" tint="-0.14999847407452621"/>
      </patternFill>
    </fill>
    <fill>
      <patternFill patternType="solid">
        <fgColor rgb="FF00CC66"/>
        <bgColor indexed="64"/>
      </patternFill>
    </fill>
    <fill>
      <patternFill patternType="solid">
        <fgColor rgb="FF92D05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D9D9D9"/>
        <bgColor indexed="64"/>
      </patternFill>
    </fill>
    <fill>
      <patternFill patternType="solid">
        <fgColor rgb="FFFFCC99"/>
      </patternFill>
    </fill>
    <fill>
      <patternFill patternType="solid">
        <fgColor theme="0" tint="-0.249977111117893"/>
        <bgColor theme="6" tint="0.59999389629810485"/>
      </patternFill>
    </fill>
    <fill>
      <patternFill patternType="solid">
        <fgColor theme="0" tint="-0.249977111117893"/>
        <bgColor theme="6" tint="0.79998168889431442"/>
      </patternFill>
    </fill>
    <fill>
      <patternFill patternType="solid">
        <fgColor theme="0" tint="-0.499984740745262"/>
        <bgColor theme="6"/>
      </patternFill>
    </fill>
    <fill>
      <patternFill patternType="solid">
        <fgColor theme="0" tint="-0.14999847407452621"/>
        <bgColor theme="6" tint="0.59999389629810485"/>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rgb="FF0099FF"/>
        <bgColor indexed="64"/>
      </patternFill>
    </fill>
    <fill>
      <patternFill patternType="solid">
        <fgColor theme="0" tint="-0.249977111117893"/>
        <bgColor indexed="64"/>
      </patternFill>
    </fill>
    <fill>
      <patternFill patternType="solid">
        <fgColor rgb="FF00B050"/>
        <bgColor theme="6"/>
      </patternFill>
    </fill>
    <fill>
      <patternFill patternType="solid">
        <fgColor theme="8"/>
        <bgColor indexed="64"/>
      </patternFill>
    </fill>
    <fill>
      <patternFill patternType="solid">
        <fgColor theme="4" tint="0.79998168889431442"/>
        <bgColor theme="4" tint="0.79998168889431442"/>
      </patternFill>
    </fill>
    <fill>
      <patternFill patternType="solid">
        <fgColor theme="6" tint="0.79998168889431442"/>
        <bgColor theme="6" tint="0.79998168889431442"/>
      </patternFill>
    </fill>
    <fill>
      <patternFill patternType="solid">
        <fgColor theme="8" tint="0.79998168889431442"/>
        <bgColor theme="8" tint="0.79998168889431442"/>
      </patternFill>
    </fill>
    <fill>
      <patternFill patternType="solid">
        <fgColor theme="5"/>
        <bgColor theme="5"/>
      </patternFill>
    </fill>
    <fill>
      <patternFill patternType="solid">
        <fgColor rgb="FF00B050"/>
        <bgColor indexed="64"/>
      </patternFill>
    </fill>
    <fill>
      <patternFill patternType="solid">
        <fgColor theme="7"/>
        <bgColor theme="7"/>
      </patternFill>
    </fill>
    <fill>
      <patternFill patternType="solid">
        <fgColor theme="9"/>
        <bgColor theme="9"/>
      </patternFill>
    </fill>
    <fill>
      <patternFill patternType="solid">
        <fgColor theme="2"/>
        <bgColor indexed="64"/>
      </patternFill>
    </fill>
    <fill>
      <patternFill patternType="solid">
        <fgColor theme="4"/>
      </patternFill>
    </fill>
    <fill>
      <patternFill patternType="solid">
        <fgColor theme="9"/>
      </patternFill>
    </fill>
    <fill>
      <patternFill patternType="solid">
        <fgColor theme="2" tint="-0.89999084444715716"/>
        <bgColor indexed="64"/>
      </patternFill>
    </fill>
    <fill>
      <patternFill patternType="solid">
        <fgColor rgb="FFF2F2F2"/>
      </patternFill>
    </fill>
    <fill>
      <patternFill patternType="solid">
        <fgColor theme="6" tint="0.59999389629810485"/>
        <bgColor indexed="64"/>
      </patternFill>
    </fill>
    <fill>
      <patternFill patternType="solid">
        <fgColor theme="8" tint="0.59999389629810485"/>
        <bgColor indexed="64"/>
      </patternFill>
    </fill>
    <fill>
      <patternFill patternType="solid">
        <fgColor theme="4" tint="0.59999389629810485"/>
        <bgColor theme="4" tint="0.59999389629810485"/>
      </patternFill>
    </fill>
  </fills>
  <borders count="9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theme="1"/>
      </right>
      <top/>
      <bottom style="medium">
        <color indexed="64"/>
      </bottom>
      <diagonal/>
    </border>
    <border>
      <left style="thin">
        <color theme="1"/>
      </left>
      <right style="thin">
        <color theme="1"/>
      </right>
      <top/>
      <bottom style="medium">
        <color indexed="64"/>
      </bottom>
      <diagonal/>
    </border>
    <border>
      <left/>
      <right/>
      <top style="medium">
        <color indexed="64"/>
      </top>
      <bottom style="medium">
        <color indexed="64"/>
      </bottom>
      <diagonal/>
    </border>
    <border>
      <left/>
      <right style="thin">
        <color theme="1"/>
      </right>
      <top/>
      <bottom style="medium">
        <color indexed="64"/>
      </bottom>
      <diagonal/>
    </border>
    <border>
      <left style="thin">
        <color theme="1"/>
      </left>
      <right/>
      <top/>
      <bottom style="medium">
        <color indexed="64"/>
      </bottom>
      <diagonal/>
    </border>
    <border>
      <left style="thin">
        <color indexed="64"/>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right style="thin">
        <color theme="1"/>
      </right>
      <top/>
      <bottom/>
      <diagonal/>
    </border>
    <border>
      <left/>
      <right style="thin">
        <color indexed="64"/>
      </right>
      <top style="thin">
        <color indexed="64"/>
      </top>
      <bottom style="medium">
        <color indexed="64"/>
      </bottom>
      <diagonal/>
    </border>
    <border>
      <left/>
      <right style="thin">
        <color indexed="64"/>
      </right>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theme="1"/>
      </left>
      <right/>
      <top/>
      <bottom/>
      <diagonal/>
    </border>
    <border>
      <left style="thin">
        <color theme="1"/>
      </left>
      <right style="thin">
        <color theme="1"/>
      </right>
      <top/>
      <bottom/>
      <diagonal/>
    </border>
    <border>
      <left style="thin">
        <color rgb="FF7F7F7F"/>
      </left>
      <right style="thin">
        <color rgb="FF7F7F7F"/>
      </right>
      <top style="thin">
        <color rgb="FF7F7F7F"/>
      </top>
      <bottom style="thin">
        <color rgb="FF7F7F7F"/>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right style="medium">
        <color indexed="64"/>
      </right>
      <top style="thin">
        <color indexed="64"/>
      </top>
      <bottom style="medium">
        <color indexed="64"/>
      </bottom>
      <diagonal/>
    </border>
    <border>
      <left/>
      <right style="thin">
        <color theme="1"/>
      </right>
      <top style="thin">
        <color theme="1"/>
      </top>
      <bottom style="thin">
        <color theme="1"/>
      </bottom>
      <diagonal/>
    </border>
    <border>
      <left style="thin">
        <color theme="1"/>
      </left>
      <right/>
      <top/>
      <bottom style="thin">
        <color theme="1"/>
      </bottom>
      <diagonal/>
    </border>
    <border>
      <left style="thin">
        <color indexed="64"/>
      </left>
      <right style="thin">
        <color indexed="64"/>
      </right>
      <top style="medium">
        <color indexed="64"/>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theme="8" tint="0.39997558519241921"/>
      </left>
      <right style="thin">
        <color theme="8" tint="0.39997558519241921"/>
      </right>
      <top style="thin">
        <color theme="8" tint="0.39997558519241921"/>
      </top>
      <bottom style="thin">
        <color theme="8" tint="0.39997558519241921"/>
      </bottom>
      <diagonal/>
    </border>
    <border>
      <left/>
      <right style="thin">
        <color indexed="64"/>
      </right>
      <top/>
      <bottom style="medium">
        <color indexed="64"/>
      </bottom>
      <diagonal/>
    </border>
    <border>
      <left style="thin">
        <color indexed="64"/>
      </left>
      <right/>
      <top/>
      <bottom style="medium">
        <color indexed="64"/>
      </bottom>
      <diagonal/>
    </border>
    <border>
      <left/>
      <right/>
      <top style="thin">
        <color rgb="FF7F7F7F"/>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rgb="FF000000"/>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thin">
        <color rgb="FF7F7F7F"/>
      </left>
      <right/>
      <top/>
      <bottom/>
      <diagonal/>
    </border>
    <border>
      <left/>
      <right style="medium">
        <color rgb="FF000000"/>
      </right>
      <top style="medium">
        <color indexed="64"/>
      </top>
      <bottom style="medium">
        <color indexed="64"/>
      </bottom>
      <diagonal/>
    </border>
    <border>
      <left style="medium">
        <color indexed="64"/>
      </left>
      <right style="thin">
        <color theme="4" tint="0.39997558519241921"/>
      </right>
      <top style="medium">
        <color indexed="64"/>
      </top>
      <bottom style="thin">
        <color theme="4" tint="0.39997558519241921"/>
      </bottom>
      <diagonal/>
    </border>
    <border>
      <left style="thin">
        <color theme="4" tint="0.39997558519241921"/>
      </left>
      <right style="thin">
        <color theme="4" tint="0.39997558519241921"/>
      </right>
      <top style="medium">
        <color indexed="64"/>
      </top>
      <bottom style="thin">
        <color theme="4" tint="0.39997558519241921"/>
      </bottom>
      <diagonal/>
    </border>
    <border>
      <left style="thin">
        <color theme="4" tint="0.39997558519241921"/>
      </left>
      <right style="medium">
        <color indexed="64"/>
      </right>
      <top style="medium">
        <color indexed="64"/>
      </top>
      <bottom style="thin">
        <color theme="4" tint="0.39997558519241921"/>
      </bottom>
      <diagonal/>
    </border>
    <border>
      <left style="medium">
        <color indexed="64"/>
      </left>
      <right style="thin">
        <color theme="4" tint="0.39997558519241921"/>
      </right>
      <top style="thin">
        <color theme="4" tint="0.39997558519241921"/>
      </top>
      <bottom style="thin">
        <color theme="4" tint="0.39997558519241921"/>
      </bottom>
      <diagonal/>
    </border>
    <border>
      <left style="thin">
        <color theme="4" tint="0.39997558519241921"/>
      </left>
      <right style="medium">
        <color indexed="64"/>
      </right>
      <top style="thin">
        <color theme="4" tint="0.39997558519241921"/>
      </top>
      <bottom style="thin">
        <color theme="4" tint="0.39997558519241921"/>
      </bottom>
      <diagonal/>
    </border>
    <border>
      <left style="medium">
        <color indexed="64"/>
      </left>
      <right style="thin">
        <color theme="4" tint="0.39997558519241921"/>
      </right>
      <top style="thin">
        <color theme="4" tint="0.39997558519241921"/>
      </top>
      <bottom style="medium">
        <color indexed="64"/>
      </bottom>
      <diagonal/>
    </border>
    <border>
      <left style="thin">
        <color theme="4" tint="0.39997558519241921"/>
      </left>
      <right style="thin">
        <color theme="4" tint="0.39997558519241921"/>
      </right>
      <top style="thin">
        <color theme="4" tint="0.39997558519241921"/>
      </top>
      <bottom style="medium">
        <color indexed="64"/>
      </bottom>
      <diagonal/>
    </border>
    <border>
      <left style="thin">
        <color theme="4" tint="0.39997558519241921"/>
      </left>
      <right style="medium">
        <color indexed="64"/>
      </right>
      <top style="thin">
        <color theme="4" tint="0.39997558519241921"/>
      </top>
      <bottom style="medium">
        <color indexed="64"/>
      </bottom>
      <diagonal/>
    </border>
    <border>
      <left style="medium">
        <color indexed="64"/>
      </left>
      <right style="medium">
        <color rgb="FF000000"/>
      </right>
      <top style="medium">
        <color indexed="64"/>
      </top>
      <bottom/>
      <diagonal/>
    </border>
    <border>
      <left style="medium">
        <color rgb="FFCCCCCC"/>
      </left>
      <right style="medium">
        <color rgb="FF000000"/>
      </right>
      <top style="medium">
        <color indexed="64"/>
      </top>
      <bottom/>
      <diagonal/>
    </border>
  </borders>
  <cellStyleXfs count="6">
    <xf numFmtId="0" fontId="0" fillId="0" borderId="0"/>
    <xf numFmtId="9" fontId="2" fillId="0" borderId="0" applyFont="0" applyFill="0" applyBorder="0" applyAlignment="0" applyProtection="0"/>
    <xf numFmtId="0" fontId="3" fillId="8" borderId="49" applyNumberFormat="0" applyAlignment="0" applyProtection="0"/>
    <xf numFmtId="0" fontId="21" fillId="31" borderId="0" applyNumberFormat="0" applyBorder="0" applyAlignment="0" applyProtection="0"/>
    <xf numFmtId="0" fontId="21" fillId="32" borderId="0" applyNumberFormat="0" applyBorder="0" applyAlignment="0" applyProtection="0"/>
    <xf numFmtId="0" fontId="30" fillId="34" borderId="49" applyNumberFormat="0" applyAlignment="0" applyProtection="0"/>
  </cellStyleXfs>
  <cellXfs count="486">
    <xf numFmtId="0" fontId="0" fillId="0" borderId="0" xfId="0"/>
    <xf numFmtId="0" fontId="4" fillId="0" borderId="0" xfId="0" applyFont="1"/>
    <xf numFmtId="0" fontId="4" fillId="0" borderId="0" xfId="0" applyFont="1" applyAlignment="1">
      <alignment horizontal="center"/>
    </xf>
    <xf numFmtId="0" fontId="4" fillId="0" borderId="27" xfId="0" applyFont="1" applyBorder="1" applyAlignment="1">
      <alignment horizontal="center"/>
    </xf>
    <xf numFmtId="0" fontId="4" fillId="0" borderId="34" xfId="0" applyFont="1" applyBorder="1" applyAlignment="1">
      <alignment horizontal="center"/>
    </xf>
    <xf numFmtId="0" fontId="4" fillId="0" borderId="28" xfId="0" applyFont="1" applyBorder="1" applyAlignment="1">
      <alignment horizontal="center"/>
    </xf>
    <xf numFmtId="0" fontId="4" fillId="0" borderId="0" xfId="0" applyFont="1" applyAlignment="1">
      <alignment horizontal="center" vertical="center"/>
    </xf>
    <xf numFmtId="0" fontId="5" fillId="0" borderId="0" xfId="0" applyFont="1" applyAlignment="1">
      <alignment horizontal="center" vertical="center"/>
    </xf>
    <xf numFmtId="0" fontId="5" fillId="0" borderId="29" xfId="0" applyFont="1" applyBorder="1" applyAlignment="1">
      <alignment horizontal="center" vertical="center"/>
    </xf>
    <xf numFmtId="0" fontId="4" fillId="0" borderId="33" xfId="0" applyFont="1" applyBorder="1" applyAlignment="1">
      <alignment horizontal="center" vertical="center"/>
    </xf>
    <xf numFmtId="0" fontId="4" fillId="0" borderId="1" xfId="0" applyFont="1" applyBorder="1" applyAlignment="1">
      <alignment horizontal="center" vertical="center"/>
    </xf>
    <xf numFmtId="0" fontId="4" fillId="0" borderId="7" xfId="0" applyFont="1" applyBorder="1" applyAlignment="1">
      <alignment horizontal="center" vertical="center"/>
    </xf>
    <xf numFmtId="0" fontId="4" fillId="0" borderId="25" xfId="0" applyFont="1" applyBorder="1" applyAlignment="1">
      <alignment horizontal="center" vertical="center"/>
    </xf>
    <xf numFmtId="0" fontId="4" fillId="0" borderId="34" xfId="0" applyFont="1" applyBorder="1" applyAlignment="1">
      <alignment horizontal="center" vertical="center"/>
    </xf>
    <xf numFmtId="0" fontId="4" fillId="0" borderId="28" xfId="0" applyFont="1" applyBorder="1" applyAlignment="1">
      <alignment horizontal="center" vertical="center"/>
    </xf>
    <xf numFmtId="0" fontId="7" fillId="0" borderId="0" xfId="0" applyFont="1"/>
    <xf numFmtId="0" fontId="5" fillId="2" borderId="17" xfId="0" applyFont="1" applyFill="1" applyBorder="1" applyAlignment="1">
      <alignment horizontal="center" vertical="center"/>
    </xf>
    <xf numFmtId="0" fontId="4" fillId="2" borderId="24" xfId="0" applyFont="1" applyFill="1" applyBorder="1" applyAlignment="1">
      <alignment horizontal="center" vertical="center"/>
    </xf>
    <xf numFmtId="0" fontId="5" fillId="0" borderId="0" xfId="0" applyFont="1"/>
    <xf numFmtId="0" fontId="4" fillId="0" borderId="41" xfId="0" applyFont="1" applyBorder="1" applyAlignment="1">
      <alignment horizontal="center" vertical="center"/>
    </xf>
    <xf numFmtId="1" fontId="4" fillId="0" borderId="0" xfId="0" applyNumberFormat="1" applyFont="1" applyAlignment="1">
      <alignment horizontal="center"/>
    </xf>
    <xf numFmtId="0" fontId="4" fillId="0" borderId="4" xfId="0" applyFont="1" applyBorder="1" applyAlignment="1">
      <alignment horizontal="center" vertical="center"/>
    </xf>
    <xf numFmtId="0" fontId="4" fillId="0" borderId="12" xfId="0" applyFont="1" applyBorder="1" applyAlignment="1">
      <alignment horizontal="center" vertical="center"/>
    </xf>
    <xf numFmtId="0" fontId="4" fillId="0" borderId="6" xfId="0" applyFont="1" applyBorder="1" applyAlignment="1">
      <alignment horizontal="center" vertical="center"/>
    </xf>
    <xf numFmtId="0" fontId="5" fillId="2" borderId="21" xfId="0" applyFont="1" applyFill="1" applyBorder="1" applyAlignment="1">
      <alignment horizontal="center" vertical="center"/>
    </xf>
    <xf numFmtId="0" fontId="5" fillId="2" borderId="22" xfId="0" applyFont="1" applyFill="1" applyBorder="1" applyAlignment="1">
      <alignment horizontal="center" vertical="center"/>
    </xf>
    <xf numFmtId="0" fontId="5" fillId="2" borderId="18" xfId="0" applyFont="1" applyFill="1" applyBorder="1" applyAlignment="1">
      <alignment horizontal="center" vertical="center"/>
    </xf>
    <xf numFmtId="0" fontId="5" fillId="2" borderId="19" xfId="0" applyFont="1" applyFill="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20" xfId="0" applyFont="1" applyBorder="1" applyAlignment="1">
      <alignment horizontal="center" vertical="center"/>
    </xf>
    <xf numFmtId="9" fontId="5" fillId="2" borderId="19" xfId="1" applyFont="1" applyFill="1" applyBorder="1" applyAlignment="1">
      <alignment horizontal="center" vertical="center"/>
    </xf>
    <xf numFmtId="0" fontId="5" fillId="2" borderId="36" xfId="0" applyFont="1" applyFill="1" applyBorder="1" applyAlignment="1">
      <alignment horizontal="center" vertical="center"/>
    </xf>
    <xf numFmtId="0" fontId="4" fillId="0" borderId="10" xfId="0" applyFont="1" applyBorder="1" applyAlignment="1">
      <alignment horizontal="center"/>
    </xf>
    <xf numFmtId="0" fontId="4" fillId="0" borderId="9" xfId="0" applyFont="1" applyBorder="1" applyAlignment="1">
      <alignment horizontal="center"/>
    </xf>
    <xf numFmtId="0" fontId="4" fillId="0" borderId="3" xfId="0" applyFont="1" applyBorder="1" applyAlignment="1">
      <alignment horizontal="center" vertical="center"/>
    </xf>
    <xf numFmtId="14" fontId="4" fillId="0" borderId="3" xfId="0" applyNumberFormat="1" applyFont="1" applyBorder="1" applyAlignment="1">
      <alignment horizontal="center" vertical="center"/>
    </xf>
    <xf numFmtId="0" fontId="4" fillId="3" borderId="33" xfId="0" applyFont="1" applyFill="1" applyBorder="1" applyAlignment="1">
      <alignment horizontal="center" vertical="center"/>
    </xf>
    <xf numFmtId="0" fontId="4" fillId="3" borderId="1" xfId="0" applyFont="1" applyFill="1" applyBorder="1" applyAlignment="1">
      <alignment horizontal="center" vertical="center"/>
    </xf>
    <xf numFmtId="14" fontId="4" fillId="0" borderId="6" xfId="0" applyNumberFormat="1" applyFont="1" applyBorder="1" applyAlignment="1">
      <alignment horizontal="center" vertical="center"/>
    </xf>
    <xf numFmtId="0" fontId="4" fillId="3" borderId="34" xfId="0" applyFont="1" applyFill="1" applyBorder="1" applyAlignment="1">
      <alignment horizontal="center" vertical="center"/>
    </xf>
    <xf numFmtId="0" fontId="5" fillId="2" borderId="42" xfId="0" applyFont="1" applyFill="1" applyBorder="1" applyAlignment="1">
      <alignment horizontal="center" vertical="center"/>
    </xf>
    <xf numFmtId="0" fontId="5" fillId="2" borderId="54" xfId="0" applyFont="1" applyFill="1" applyBorder="1" applyAlignment="1">
      <alignment horizontal="center" vertical="center"/>
    </xf>
    <xf numFmtId="0" fontId="4" fillId="2" borderId="55" xfId="0" applyFont="1" applyFill="1" applyBorder="1" applyAlignment="1">
      <alignment horizontal="center" vertical="center"/>
    </xf>
    <xf numFmtId="0" fontId="5" fillId="2" borderId="5" xfId="0" applyFont="1" applyFill="1" applyBorder="1" applyAlignment="1">
      <alignment horizontal="center" vertical="center"/>
    </xf>
    <xf numFmtId="0" fontId="10" fillId="0" borderId="0" xfId="0" applyFont="1" applyAlignment="1">
      <alignment horizontal="right"/>
    </xf>
    <xf numFmtId="0" fontId="10" fillId="0" borderId="0" xfId="0" applyFont="1"/>
    <xf numFmtId="0" fontId="5" fillId="0" borderId="30" xfId="0" applyFont="1" applyBorder="1" applyAlignment="1">
      <alignment horizontal="center" vertical="center"/>
    </xf>
    <xf numFmtId="0" fontId="5" fillId="0" borderId="50" xfId="0" applyFont="1" applyBorder="1" applyAlignment="1">
      <alignment horizontal="center" vertical="center"/>
    </xf>
    <xf numFmtId="0" fontId="5" fillId="0" borderId="23" xfId="0" applyFont="1" applyBorder="1" applyAlignment="1">
      <alignment horizontal="center" vertical="center"/>
    </xf>
    <xf numFmtId="0" fontId="5" fillId="0" borderId="51" xfId="0" applyFont="1" applyBorder="1" applyAlignment="1">
      <alignment horizontal="center" vertical="center"/>
    </xf>
    <xf numFmtId="0" fontId="4" fillId="0" borderId="7" xfId="0" applyFont="1" applyBorder="1" applyAlignment="1">
      <alignment horizontal="center"/>
    </xf>
    <xf numFmtId="0" fontId="4" fillId="0" borderId="1" xfId="0" applyFont="1" applyBorder="1" applyAlignment="1">
      <alignment horizontal="center"/>
    </xf>
    <xf numFmtId="0" fontId="5" fillId="0" borderId="26" xfId="0" applyFont="1" applyBorder="1" applyAlignment="1">
      <alignment horizontal="left" vertical="center"/>
    </xf>
    <xf numFmtId="0" fontId="5" fillId="0" borderId="27" xfId="0" applyFont="1" applyBorder="1" applyAlignment="1">
      <alignment horizontal="left" vertical="center"/>
    </xf>
    <xf numFmtId="0" fontId="4" fillId="0" borderId="2" xfId="0" applyFont="1" applyBorder="1" applyAlignment="1">
      <alignment horizontal="center" vertical="center"/>
    </xf>
    <xf numFmtId="0" fontId="4" fillId="0" borderId="5" xfId="0" applyFont="1" applyBorder="1" applyAlignment="1">
      <alignment horizontal="center" vertical="center"/>
    </xf>
    <xf numFmtId="0" fontId="4" fillId="0" borderId="0" xfId="0" applyFont="1" applyAlignment="1">
      <alignment horizontal="left"/>
    </xf>
    <xf numFmtId="1" fontId="4" fillId="0" borderId="3" xfId="0" applyNumberFormat="1" applyFont="1" applyBorder="1" applyAlignment="1">
      <alignment horizontal="center" vertical="center"/>
    </xf>
    <xf numFmtId="1" fontId="4" fillId="0" borderId="6" xfId="0" applyNumberFormat="1" applyFont="1" applyBorder="1" applyAlignment="1">
      <alignment horizontal="center" vertical="center"/>
    </xf>
    <xf numFmtId="0" fontId="4" fillId="9" borderId="7" xfId="0" applyFont="1" applyFill="1" applyBorder="1" applyAlignment="1">
      <alignment horizontal="center" vertical="center"/>
    </xf>
    <xf numFmtId="0" fontId="4" fillId="9" borderId="1" xfId="0" applyFont="1" applyFill="1" applyBorder="1" applyAlignment="1">
      <alignment horizontal="center" vertical="center"/>
    </xf>
    <xf numFmtId="14" fontId="4" fillId="9" borderId="11" xfId="0" applyNumberFormat="1" applyFont="1" applyFill="1" applyBorder="1" applyAlignment="1">
      <alignment horizontal="center" vertical="center"/>
    </xf>
    <xf numFmtId="0" fontId="4" fillId="9" borderId="1" xfId="0" applyFont="1" applyFill="1" applyBorder="1" applyAlignment="1">
      <alignment horizontal="left" vertical="center"/>
    </xf>
    <xf numFmtId="0" fontId="4" fillId="9" borderId="23" xfId="0" applyFont="1" applyFill="1" applyBorder="1" applyAlignment="1">
      <alignment horizontal="center" vertical="center"/>
    </xf>
    <xf numFmtId="14" fontId="4" fillId="10" borderId="11" xfId="0" applyNumberFormat="1" applyFont="1" applyFill="1" applyBorder="1" applyAlignment="1">
      <alignment horizontal="center" vertical="center"/>
    </xf>
    <xf numFmtId="0" fontId="4" fillId="10" borderId="1" xfId="0" applyFont="1" applyFill="1" applyBorder="1" applyAlignment="1">
      <alignment horizontal="center" vertical="center"/>
    </xf>
    <xf numFmtId="0" fontId="4" fillId="10" borderId="1" xfId="0" applyFont="1" applyFill="1" applyBorder="1" applyAlignment="1">
      <alignment horizontal="left" vertical="center"/>
    </xf>
    <xf numFmtId="14" fontId="4" fillId="9" borderId="1" xfId="0" applyNumberFormat="1" applyFont="1" applyFill="1" applyBorder="1" applyAlignment="1">
      <alignment horizontal="center" vertical="center"/>
    </xf>
    <xf numFmtId="14" fontId="4" fillId="10" borderId="1" xfId="0" applyNumberFormat="1" applyFont="1" applyFill="1" applyBorder="1" applyAlignment="1">
      <alignment horizontal="center" vertical="center"/>
    </xf>
    <xf numFmtId="0" fontId="4" fillId="2" borderId="48" xfId="0" applyFont="1" applyFill="1" applyBorder="1" applyAlignment="1">
      <alignment horizontal="center" vertical="center"/>
    </xf>
    <xf numFmtId="0" fontId="4" fillId="2" borderId="47" xfId="0" applyFont="1" applyFill="1" applyBorder="1" applyAlignment="1">
      <alignment horizontal="center" vertical="center"/>
    </xf>
    <xf numFmtId="0" fontId="4" fillId="9" borderId="11" xfId="0" applyFont="1" applyFill="1" applyBorder="1" applyAlignment="1">
      <alignment horizontal="left" vertical="center"/>
    </xf>
    <xf numFmtId="0" fontId="4" fillId="10" borderId="11" xfId="0" applyFont="1" applyFill="1" applyBorder="1" applyAlignment="1">
      <alignment horizontal="left" vertical="center"/>
    </xf>
    <xf numFmtId="0" fontId="4" fillId="12" borderId="1" xfId="0" applyFont="1" applyFill="1" applyBorder="1" applyAlignment="1">
      <alignment horizontal="center" vertical="center"/>
    </xf>
    <xf numFmtId="1" fontId="4" fillId="9" borderId="23" xfId="0" applyNumberFormat="1" applyFont="1" applyFill="1" applyBorder="1" applyAlignment="1">
      <alignment horizontal="center" vertical="center"/>
    </xf>
    <xf numFmtId="0" fontId="7" fillId="0" borderId="0" xfId="0" applyFont="1" applyAlignment="1">
      <alignment horizontal="center"/>
    </xf>
    <xf numFmtId="14" fontId="7" fillId="0" borderId="0" xfId="0" applyNumberFormat="1" applyFont="1" applyAlignment="1">
      <alignment horizontal="center"/>
    </xf>
    <xf numFmtId="0" fontId="8" fillId="0" borderId="0" xfId="0" applyFont="1" applyAlignment="1">
      <alignment horizontal="center"/>
    </xf>
    <xf numFmtId="0" fontId="9" fillId="8" borderId="49" xfId="2" applyFont="1" applyAlignment="1">
      <alignment horizontal="center"/>
    </xf>
    <xf numFmtId="0" fontId="7" fillId="0" borderId="0" xfId="0" applyFont="1" applyAlignment="1">
      <alignment horizontal="left"/>
    </xf>
    <xf numFmtId="0" fontId="8" fillId="17" borderId="0" xfId="0" applyFont="1" applyFill="1" applyAlignment="1">
      <alignment horizontal="center"/>
    </xf>
    <xf numFmtId="0" fontId="8" fillId="17" borderId="0" xfId="0" applyFont="1" applyFill="1" applyAlignment="1">
      <alignment horizontal="left"/>
    </xf>
    <xf numFmtId="0" fontId="4" fillId="9" borderId="50" xfId="0" applyFont="1" applyFill="1" applyBorder="1" applyAlignment="1">
      <alignment horizontal="center" vertical="center"/>
    </xf>
    <xf numFmtId="14" fontId="4" fillId="9" borderId="51" xfId="0" applyNumberFormat="1" applyFont="1" applyFill="1" applyBorder="1" applyAlignment="1">
      <alignment horizontal="center" vertical="center"/>
    </xf>
    <xf numFmtId="0" fontId="4" fillId="9" borderId="23" xfId="0" applyFont="1" applyFill="1" applyBorder="1" applyAlignment="1">
      <alignment horizontal="left" vertical="center"/>
    </xf>
    <xf numFmtId="0" fontId="4" fillId="9" borderId="51" xfId="0" applyFont="1" applyFill="1" applyBorder="1" applyAlignment="1">
      <alignment horizontal="left" vertical="center"/>
    </xf>
    <xf numFmtId="1" fontId="4" fillId="9" borderId="23" xfId="0" applyNumberFormat="1" applyFont="1" applyFill="1" applyBorder="1" applyAlignment="1">
      <alignment horizontal="left" vertical="center"/>
    </xf>
    <xf numFmtId="0" fontId="4" fillId="0" borderId="8" xfId="0" applyFont="1" applyBorder="1" applyAlignment="1">
      <alignment horizontal="center" vertical="center"/>
    </xf>
    <xf numFmtId="0" fontId="4" fillId="0" borderId="16" xfId="0" applyFont="1" applyBorder="1" applyAlignment="1">
      <alignment horizontal="center" vertical="center"/>
    </xf>
    <xf numFmtId="0" fontId="4" fillId="3" borderId="31"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32" xfId="0" applyFont="1" applyFill="1" applyBorder="1" applyAlignment="1">
      <alignment horizontal="center" vertical="center"/>
    </xf>
    <xf numFmtId="0" fontId="4" fillId="6" borderId="29" xfId="0" applyFont="1" applyFill="1" applyBorder="1" applyAlignment="1">
      <alignment horizontal="center" vertical="center"/>
    </xf>
    <xf numFmtId="0" fontId="4" fillId="6" borderId="26" xfId="0" applyFont="1" applyFill="1" applyBorder="1" applyAlignment="1">
      <alignment horizontal="center" vertical="center"/>
    </xf>
    <xf numFmtId="1" fontId="4" fillId="0" borderId="0" xfId="0" applyNumberFormat="1" applyFont="1" applyAlignment="1">
      <alignment horizontal="center" vertical="center"/>
    </xf>
    <xf numFmtId="0" fontId="4" fillId="6" borderId="27" xfId="0" applyFont="1" applyFill="1" applyBorder="1" applyAlignment="1">
      <alignment horizontal="center" vertical="center"/>
    </xf>
    <xf numFmtId="1" fontId="7" fillId="0" borderId="0" xfId="0" applyNumberFormat="1" applyFont="1" applyAlignment="1">
      <alignment horizontal="center"/>
    </xf>
    <xf numFmtId="0" fontId="12" fillId="0" borderId="0" xfId="0" applyFont="1"/>
    <xf numFmtId="0" fontId="12" fillId="18" borderId="57" xfId="0" applyFont="1" applyFill="1" applyBorder="1" applyAlignment="1">
      <alignment horizontal="center" vertical="center"/>
    </xf>
    <xf numFmtId="0" fontId="12" fillId="18" borderId="58" xfId="0" applyFont="1" applyFill="1" applyBorder="1" applyAlignment="1">
      <alignment horizontal="center" vertical="center"/>
    </xf>
    <xf numFmtId="0" fontId="15" fillId="0" borderId="0" xfId="0" applyFont="1"/>
    <xf numFmtId="0" fontId="12" fillId="18" borderId="60" xfId="0" applyFont="1" applyFill="1" applyBorder="1" applyAlignment="1">
      <alignment horizontal="center" vertical="center"/>
    </xf>
    <xf numFmtId="0" fontId="3" fillId="8" borderId="17" xfId="2" applyBorder="1" applyAlignment="1">
      <alignment horizontal="center" vertical="center"/>
    </xf>
    <xf numFmtId="1" fontId="12" fillId="16" borderId="43" xfId="0" applyNumberFormat="1" applyFont="1" applyFill="1" applyBorder="1" applyAlignment="1">
      <alignment horizontal="center"/>
    </xf>
    <xf numFmtId="1" fontId="12" fillId="19" borderId="59" xfId="0" applyNumberFormat="1" applyFont="1" applyFill="1" applyBorder="1"/>
    <xf numFmtId="0" fontId="13" fillId="18" borderId="62" xfId="0" applyFont="1" applyFill="1" applyBorder="1" applyAlignment="1">
      <alignment horizontal="center" vertical="center"/>
    </xf>
    <xf numFmtId="0" fontId="12" fillId="18" borderId="63" xfId="0" applyFont="1" applyFill="1" applyBorder="1" applyAlignment="1">
      <alignment horizontal="center" vertical="center"/>
    </xf>
    <xf numFmtId="0" fontId="12" fillId="18" borderId="64" xfId="0" applyFont="1" applyFill="1" applyBorder="1" applyAlignment="1">
      <alignment horizontal="center" vertical="center"/>
    </xf>
    <xf numFmtId="0" fontId="13" fillId="18" borderId="6" xfId="0" applyFont="1" applyFill="1" applyBorder="1" applyAlignment="1">
      <alignment horizontal="center" vertical="center"/>
    </xf>
    <xf numFmtId="0" fontId="13" fillId="18" borderId="29" xfId="0" applyFont="1" applyFill="1" applyBorder="1" applyAlignment="1">
      <alignment horizontal="center" vertical="center"/>
    </xf>
    <xf numFmtId="0" fontId="13" fillId="18" borderId="30" xfId="0" applyFont="1" applyFill="1" applyBorder="1" applyAlignment="1">
      <alignment horizontal="center" vertical="center"/>
    </xf>
    <xf numFmtId="0" fontId="13" fillId="18" borderId="44" xfId="0" applyFont="1" applyFill="1" applyBorder="1" applyAlignment="1">
      <alignment horizontal="center"/>
    </xf>
    <xf numFmtId="0" fontId="13" fillId="18" borderId="53" xfId="0" applyFont="1" applyFill="1" applyBorder="1" applyAlignment="1">
      <alignment horizontal="center"/>
    </xf>
    <xf numFmtId="164" fontId="12" fillId="19" borderId="59" xfId="0" applyNumberFormat="1" applyFont="1" applyFill="1" applyBorder="1"/>
    <xf numFmtId="164" fontId="12" fillId="16" borderId="43" xfId="0" applyNumberFormat="1" applyFont="1" applyFill="1" applyBorder="1" applyAlignment="1">
      <alignment horizontal="center"/>
    </xf>
    <xf numFmtId="0" fontId="4" fillId="20" borderId="1" xfId="0" applyFont="1" applyFill="1" applyBorder="1" applyAlignment="1">
      <alignment horizontal="center"/>
    </xf>
    <xf numFmtId="1" fontId="4" fillId="20" borderId="1" xfId="0" applyNumberFormat="1" applyFont="1" applyFill="1" applyBorder="1" applyAlignment="1">
      <alignment horizontal="center"/>
    </xf>
    <xf numFmtId="0" fontId="5" fillId="20" borderId="26" xfId="0" applyFont="1" applyFill="1" applyBorder="1" applyAlignment="1">
      <alignment horizontal="center"/>
    </xf>
    <xf numFmtId="0" fontId="4" fillId="20" borderId="11" xfId="0" applyFont="1" applyFill="1" applyBorder="1" applyAlignment="1">
      <alignment horizontal="center"/>
    </xf>
    <xf numFmtId="0" fontId="4" fillId="20" borderId="43" xfId="0" applyFont="1" applyFill="1" applyBorder="1" applyAlignment="1">
      <alignment horizontal="center"/>
    </xf>
    <xf numFmtId="9" fontId="4" fillId="20" borderId="1" xfId="1" applyFont="1" applyFill="1" applyBorder="1" applyAlignment="1">
      <alignment horizontal="center"/>
    </xf>
    <xf numFmtId="1" fontId="4" fillId="20" borderId="43" xfId="0" applyNumberFormat="1" applyFont="1" applyFill="1" applyBorder="1" applyAlignment="1">
      <alignment horizontal="center"/>
    </xf>
    <xf numFmtId="164" fontId="4" fillId="20" borderId="1" xfId="0" applyNumberFormat="1" applyFont="1" applyFill="1" applyBorder="1" applyAlignment="1">
      <alignment horizontal="center"/>
    </xf>
    <xf numFmtId="0" fontId="4" fillId="20" borderId="32" xfId="0" applyFont="1" applyFill="1" applyBorder="1" applyAlignment="1">
      <alignment horizontal="center"/>
    </xf>
    <xf numFmtId="0" fontId="4" fillId="20" borderId="44" xfId="0" applyFont="1" applyFill="1" applyBorder="1" applyAlignment="1">
      <alignment horizontal="center"/>
    </xf>
    <xf numFmtId="9" fontId="4" fillId="20" borderId="34" xfId="1" applyFont="1" applyFill="1" applyBorder="1" applyAlignment="1">
      <alignment horizontal="center"/>
    </xf>
    <xf numFmtId="0" fontId="4" fillId="20" borderId="34" xfId="0" applyFont="1" applyFill="1" applyBorder="1" applyAlignment="1">
      <alignment horizontal="center"/>
    </xf>
    <xf numFmtId="0" fontId="13" fillId="0" borderId="0" xfId="0" applyFont="1"/>
    <xf numFmtId="0" fontId="12" fillId="0" borderId="0" xfId="0" applyFont="1" applyAlignment="1">
      <alignment horizontal="center" vertical="center"/>
    </xf>
    <xf numFmtId="0" fontId="4" fillId="0" borderId="60" xfId="0" applyFont="1" applyBorder="1" applyAlignment="1">
      <alignment horizontal="center" vertical="center"/>
    </xf>
    <xf numFmtId="0" fontId="4" fillId="0" borderId="57" xfId="0" applyFont="1" applyBorder="1" applyAlignment="1">
      <alignment horizontal="center" vertical="center"/>
    </xf>
    <xf numFmtId="0" fontId="7" fillId="0" borderId="1" xfId="0" applyFont="1" applyBorder="1"/>
    <xf numFmtId="165" fontId="7" fillId="0" borderId="1" xfId="0" applyNumberFormat="1" applyFont="1" applyBorder="1" applyAlignment="1">
      <alignment horizontal="center" vertical="center"/>
    </xf>
    <xf numFmtId="0" fontId="4" fillId="0" borderId="1" xfId="0" applyFont="1" applyBorder="1"/>
    <xf numFmtId="0" fontId="4" fillId="3" borderId="20" xfId="0" applyFont="1" applyFill="1" applyBorder="1" applyAlignment="1">
      <alignment horizontal="center" vertical="center"/>
    </xf>
    <xf numFmtId="164" fontId="12" fillId="19" borderId="53" xfId="0" applyNumberFormat="1" applyFont="1" applyFill="1" applyBorder="1"/>
    <xf numFmtId="164" fontId="12" fillId="16" borderId="44" xfId="0" applyNumberFormat="1" applyFont="1" applyFill="1" applyBorder="1" applyAlignment="1">
      <alignment horizontal="center"/>
    </xf>
    <xf numFmtId="0" fontId="16" fillId="18" borderId="61" xfId="0" applyFont="1" applyFill="1" applyBorder="1" applyAlignment="1">
      <alignment horizontal="center"/>
    </xf>
    <xf numFmtId="0" fontId="16" fillId="18" borderId="69" xfId="0" applyFont="1" applyFill="1" applyBorder="1" applyAlignment="1">
      <alignment horizontal="center"/>
    </xf>
    <xf numFmtId="0" fontId="16" fillId="18" borderId="42" xfId="0" applyFont="1" applyFill="1" applyBorder="1" applyAlignment="1">
      <alignment horizontal="center"/>
    </xf>
    <xf numFmtId="1" fontId="15" fillId="0" borderId="0" xfId="0" applyNumberFormat="1" applyFont="1" applyAlignment="1">
      <alignment horizontal="center" vertical="center"/>
    </xf>
    <xf numFmtId="1" fontId="14" fillId="16" borderId="50" xfId="0" applyNumberFormat="1" applyFont="1" applyFill="1" applyBorder="1" applyAlignment="1">
      <alignment horizontal="center"/>
    </xf>
    <xf numFmtId="164" fontId="14" fillId="16" borderId="50" xfId="0" applyNumberFormat="1" applyFont="1" applyFill="1" applyBorder="1" applyAlignment="1">
      <alignment horizontal="center"/>
    </xf>
    <xf numFmtId="1" fontId="14" fillId="19" borderId="51" xfId="0" applyNumberFormat="1" applyFont="1" applyFill="1" applyBorder="1" applyAlignment="1">
      <alignment horizontal="center" vertical="center"/>
    </xf>
    <xf numFmtId="164" fontId="14" fillId="19" borderId="51" xfId="0" applyNumberFormat="1" applyFont="1" applyFill="1" applyBorder="1" applyAlignment="1">
      <alignment horizontal="center" vertical="center"/>
    </xf>
    <xf numFmtId="1" fontId="14" fillId="16" borderId="73" xfId="0" applyNumberFormat="1" applyFont="1" applyFill="1" applyBorder="1" applyAlignment="1">
      <alignment horizontal="center"/>
    </xf>
    <xf numFmtId="1" fontId="14" fillId="19" borderId="74" xfId="0" applyNumberFormat="1" applyFont="1" applyFill="1" applyBorder="1" applyAlignment="1">
      <alignment horizontal="center" vertical="center"/>
    </xf>
    <xf numFmtId="1" fontId="14" fillId="22" borderId="51" xfId="0" applyNumberFormat="1" applyFont="1" applyFill="1" applyBorder="1" applyAlignment="1">
      <alignment horizontal="center" vertical="center"/>
    </xf>
    <xf numFmtId="164" fontId="14" fillId="22" borderId="51" xfId="0" applyNumberFormat="1" applyFont="1" applyFill="1" applyBorder="1" applyAlignment="1">
      <alignment horizontal="center" vertical="center"/>
    </xf>
    <xf numFmtId="1" fontId="14" fillId="4" borderId="50" xfId="0" applyNumberFormat="1" applyFont="1" applyFill="1" applyBorder="1" applyAlignment="1">
      <alignment horizontal="center"/>
    </xf>
    <xf numFmtId="164" fontId="14" fillId="4" borderId="50" xfId="0" applyNumberFormat="1" applyFont="1" applyFill="1" applyBorder="1" applyAlignment="1">
      <alignment horizontal="center"/>
    </xf>
    <xf numFmtId="1" fontId="14" fillId="4" borderId="73" xfId="0" applyNumberFormat="1" applyFont="1" applyFill="1" applyBorder="1" applyAlignment="1">
      <alignment horizontal="center"/>
    </xf>
    <xf numFmtId="1" fontId="14" fillId="22" borderId="74" xfId="0" applyNumberFormat="1" applyFont="1" applyFill="1" applyBorder="1" applyAlignment="1">
      <alignment horizontal="center" vertical="center"/>
    </xf>
    <xf numFmtId="1" fontId="12" fillId="16" borderId="65" xfId="0" applyNumberFormat="1" applyFont="1" applyFill="1" applyBorder="1" applyAlignment="1">
      <alignment horizontal="right"/>
    </xf>
    <xf numFmtId="1" fontId="12" fillId="19" borderId="66" xfId="0" applyNumberFormat="1" applyFont="1" applyFill="1" applyBorder="1" applyAlignment="1">
      <alignment horizontal="right"/>
    </xf>
    <xf numFmtId="1" fontId="12" fillId="4" borderId="65" xfId="0" applyNumberFormat="1" applyFont="1" applyFill="1" applyBorder="1" applyAlignment="1">
      <alignment horizontal="right"/>
    </xf>
    <xf numFmtId="166" fontId="12" fillId="4" borderId="65" xfId="0" applyNumberFormat="1" applyFont="1" applyFill="1" applyBorder="1" applyAlignment="1">
      <alignment horizontal="right"/>
    </xf>
    <xf numFmtId="1" fontId="12" fillId="22" borderId="66" xfId="0" applyNumberFormat="1" applyFont="1" applyFill="1" applyBorder="1" applyAlignment="1">
      <alignment horizontal="right"/>
    </xf>
    <xf numFmtId="1" fontId="12" fillId="16" borderId="5" xfId="0" applyNumberFormat="1" applyFont="1" applyFill="1" applyBorder="1" applyAlignment="1">
      <alignment horizontal="right"/>
    </xf>
    <xf numFmtId="1" fontId="12" fillId="19" borderId="16" xfId="0" applyNumberFormat="1" applyFont="1" applyFill="1" applyBorder="1" applyAlignment="1">
      <alignment horizontal="right"/>
    </xf>
    <xf numFmtId="1" fontId="12" fillId="4" borderId="5" xfId="0" applyNumberFormat="1" applyFont="1" applyFill="1" applyBorder="1" applyAlignment="1">
      <alignment horizontal="right"/>
    </xf>
    <xf numFmtId="1" fontId="12" fillId="22" borderId="16" xfId="0" applyNumberFormat="1" applyFont="1" applyFill="1" applyBorder="1" applyAlignment="1">
      <alignment horizontal="right"/>
    </xf>
    <xf numFmtId="164" fontId="12" fillId="22" borderId="66" xfId="0" applyNumberFormat="1" applyFont="1" applyFill="1" applyBorder="1" applyAlignment="1">
      <alignment horizontal="right"/>
    </xf>
    <xf numFmtId="0" fontId="12" fillId="0" borderId="0" xfId="0" applyFont="1" applyAlignment="1">
      <alignment horizontal="center"/>
    </xf>
    <xf numFmtId="0" fontId="13" fillId="0" borderId="0" xfId="0" applyFont="1" applyAlignment="1">
      <alignment horizontal="center" vertical="center"/>
    </xf>
    <xf numFmtId="167" fontId="7" fillId="0" borderId="0" xfId="1" applyNumberFormat="1" applyFont="1" applyAlignment="1">
      <alignment horizontal="center"/>
    </xf>
    <xf numFmtId="10" fontId="7" fillId="0" borderId="0" xfId="1" applyNumberFormat="1" applyFont="1" applyAlignment="1">
      <alignment horizontal="center"/>
    </xf>
    <xf numFmtId="0" fontId="13" fillId="23" borderId="70" xfId="0" applyFont="1" applyFill="1" applyBorder="1" applyAlignment="1">
      <alignment horizontal="center"/>
    </xf>
    <xf numFmtId="9" fontId="12" fillId="0" borderId="0" xfId="1" applyFont="1" applyAlignment="1">
      <alignment horizontal="center"/>
    </xf>
    <xf numFmtId="0" fontId="12" fillId="0" borderId="0" xfId="1" applyNumberFormat="1" applyFont="1" applyAlignment="1">
      <alignment horizontal="center"/>
    </xf>
    <xf numFmtId="0" fontId="13" fillId="24" borderId="71" xfId="0" applyFont="1" applyFill="1" applyBorder="1" applyAlignment="1">
      <alignment horizontal="center" vertical="center"/>
    </xf>
    <xf numFmtId="9" fontId="12" fillId="0" borderId="0" xfId="1" applyFont="1" applyAlignment="1">
      <alignment horizontal="center" vertical="center"/>
    </xf>
    <xf numFmtId="0" fontId="13" fillId="25" borderId="72" xfId="0" applyFont="1" applyFill="1" applyBorder="1" applyAlignment="1">
      <alignment horizontal="center" vertical="center"/>
    </xf>
    <xf numFmtId="0" fontId="18" fillId="0" borderId="0" xfId="0" applyFont="1" applyAlignment="1">
      <alignment horizontal="center" vertical="center"/>
    </xf>
    <xf numFmtId="0" fontId="18" fillId="0" borderId="0" xfId="0" applyFont="1" applyAlignment="1">
      <alignment horizontal="center"/>
    </xf>
    <xf numFmtId="2" fontId="12" fillId="19" borderId="66" xfId="0" applyNumberFormat="1" applyFont="1" applyFill="1" applyBorder="1" applyAlignment="1">
      <alignment horizontal="right"/>
    </xf>
    <xf numFmtId="1" fontId="12" fillId="16" borderId="76" xfId="0" applyNumberFormat="1" applyFont="1" applyFill="1" applyBorder="1" applyAlignment="1">
      <alignment horizontal="center"/>
    </xf>
    <xf numFmtId="1" fontId="14" fillId="16" borderId="39" xfId="0" applyNumberFormat="1" applyFont="1" applyFill="1" applyBorder="1" applyAlignment="1">
      <alignment horizontal="center"/>
    </xf>
    <xf numFmtId="0" fontId="12" fillId="18" borderId="77" xfId="0" applyFont="1" applyFill="1" applyBorder="1" applyAlignment="1">
      <alignment horizontal="center" vertical="center"/>
    </xf>
    <xf numFmtId="1" fontId="14" fillId="19" borderId="31" xfId="0" applyNumberFormat="1" applyFont="1" applyFill="1" applyBorder="1" applyAlignment="1">
      <alignment horizontal="center" vertical="center"/>
    </xf>
    <xf numFmtId="1" fontId="12" fillId="19" borderId="78" xfId="0" applyNumberFormat="1" applyFont="1" applyFill="1" applyBorder="1"/>
    <xf numFmtId="0" fontId="19" fillId="0" borderId="0" xfId="0" applyFont="1" applyAlignment="1">
      <alignment horizontal="center"/>
    </xf>
    <xf numFmtId="2" fontId="18" fillId="0" borderId="0" xfId="0" applyNumberFormat="1" applyFont="1" applyAlignment="1">
      <alignment horizontal="center" vertical="center"/>
    </xf>
    <xf numFmtId="2" fontId="9" fillId="8" borderId="49" xfId="2" applyNumberFormat="1" applyFont="1" applyAlignment="1">
      <alignment horizontal="center"/>
    </xf>
    <xf numFmtId="0" fontId="20" fillId="0" borderId="0" xfId="0" applyFont="1"/>
    <xf numFmtId="0" fontId="17" fillId="26" borderId="0" xfId="0" applyFont="1" applyFill="1" applyAlignment="1">
      <alignment horizontal="center" vertical="center"/>
    </xf>
    <xf numFmtId="0" fontId="17" fillId="28" borderId="0" xfId="0" applyFont="1" applyFill="1" applyAlignment="1">
      <alignment horizontal="center" vertical="center"/>
    </xf>
    <xf numFmtId="0" fontId="13" fillId="0" borderId="1" xfId="0" applyFont="1" applyBorder="1" applyAlignment="1">
      <alignment horizontal="center" vertical="center"/>
    </xf>
    <xf numFmtId="0" fontId="12" fillId="0" borderId="1" xfId="0" applyFont="1" applyBorder="1" applyAlignment="1">
      <alignment horizontal="center" vertical="center"/>
    </xf>
    <xf numFmtId="0" fontId="17" fillId="29" borderId="0" xfId="0" applyFont="1" applyFill="1" applyAlignment="1">
      <alignment horizontal="center" vertical="center"/>
    </xf>
    <xf numFmtId="0" fontId="4" fillId="0" borderId="79" xfId="0" applyFont="1" applyBorder="1" applyAlignment="1">
      <alignment horizontal="center"/>
    </xf>
    <xf numFmtId="0" fontId="4" fillId="0" borderId="62" xfId="0" applyFont="1" applyBorder="1" applyAlignment="1">
      <alignment horizontal="center"/>
    </xf>
    <xf numFmtId="0" fontId="4" fillId="0" borderId="80" xfId="0" applyFont="1" applyBorder="1" applyAlignment="1">
      <alignment horizontal="center"/>
    </xf>
    <xf numFmtId="0" fontId="4" fillId="0" borderId="26" xfId="0" applyFont="1" applyBorder="1" applyAlignment="1">
      <alignment horizontal="center"/>
    </xf>
    <xf numFmtId="0" fontId="4" fillId="0" borderId="25" xfId="0" applyFont="1" applyBorder="1" applyAlignment="1">
      <alignment horizontal="center"/>
    </xf>
    <xf numFmtId="9" fontId="4" fillId="0" borderId="40" xfId="1" applyFont="1" applyBorder="1" applyAlignment="1">
      <alignment horizontal="center"/>
    </xf>
    <xf numFmtId="9" fontId="4" fillId="0" borderId="9" xfId="1" applyFont="1" applyBorder="1" applyAlignment="1">
      <alignment horizontal="center"/>
    </xf>
    <xf numFmtId="9" fontId="4" fillId="0" borderId="52" xfId="1" applyFont="1" applyBorder="1" applyAlignment="1">
      <alignment horizontal="center"/>
    </xf>
    <xf numFmtId="164" fontId="4" fillId="20" borderId="23" xfId="0" applyNumberFormat="1" applyFont="1" applyFill="1" applyBorder="1" applyAlignment="1">
      <alignment horizontal="center"/>
    </xf>
    <xf numFmtId="164" fontId="4" fillId="0" borderId="0" xfId="0" applyNumberFormat="1" applyFont="1"/>
    <xf numFmtId="164" fontId="4" fillId="0" borderId="0" xfId="0" applyNumberFormat="1" applyFont="1" applyAlignment="1">
      <alignment horizontal="center"/>
    </xf>
    <xf numFmtId="164" fontId="5" fillId="2" borderId="19" xfId="0" applyNumberFormat="1" applyFont="1" applyFill="1" applyBorder="1" applyAlignment="1">
      <alignment horizontal="center" vertical="center"/>
    </xf>
    <xf numFmtId="164" fontId="4" fillId="0" borderId="0" xfId="0" applyNumberFormat="1" applyFont="1" applyAlignment="1">
      <alignment horizontal="center" vertical="center"/>
    </xf>
    <xf numFmtId="164" fontId="4" fillId="20" borderId="34" xfId="0" applyNumberFormat="1" applyFont="1" applyFill="1" applyBorder="1" applyAlignment="1">
      <alignment horizontal="center"/>
    </xf>
    <xf numFmtId="0" fontId="5" fillId="16" borderId="0" xfId="0" applyFont="1" applyFill="1" applyAlignment="1">
      <alignment horizontal="center" vertical="center"/>
    </xf>
    <xf numFmtId="0" fontId="5" fillId="19" borderId="0" xfId="0" applyFont="1" applyFill="1" applyAlignment="1">
      <alignment horizontal="center" vertical="center"/>
    </xf>
    <xf numFmtId="0" fontId="5" fillId="4" borderId="0" xfId="0" applyFont="1" applyFill="1" applyAlignment="1">
      <alignment horizontal="center" vertical="center"/>
    </xf>
    <xf numFmtId="0" fontId="5" fillId="22" borderId="0" xfId="0" applyFont="1" applyFill="1" applyAlignment="1">
      <alignment horizontal="center" vertical="center"/>
    </xf>
    <xf numFmtId="1" fontId="4" fillId="0" borderId="0" xfId="0" applyNumberFormat="1" applyFont="1"/>
    <xf numFmtId="0" fontId="12" fillId="30" borderId="1" xfId="0" applyFont="1" applyFill="1" applyBorder="1" applyAlignment="1">
      <alignment horizontal="center" vertical="center"/>
    </xf>
    <xf numFmtId="0" fontId="13" fillId="17" borderId="23" xfId="0" applyFont="1" applyFill="1" applyBorder="1" applyAlignment="1">
      <alignment horizontal="center" vertical="center"/>
    </xf>
    <xf numFmtId="0" fontId="13" fillId="17" borderId="68" xfId="0" applyFont="1" applyFill="1" applyBorder="1" applyAlignment="1">
      <alignment horizontal="center" vertical="center"/>
    </xf>
    <xf numFmtId="0" fontId="13" fillId="17" borderId="67" xfId="0" applyFont="1" applyFill="1" applyBorder="1" applyAlignment="1">
      <alignment horizontal="center" vertical="center"/>
    </xf>
    <xf numFmtId="0" fontId="12" fillId="30" borderId="26" xfId="0" applyFont="1" applyFill="1" applyBorder="1" applyAlignment="1">
      <alignment horizontal="center" vertical="center"/>
    </xf>
    <xf numFmtId="0" fontId="12" fillId="30" borderId="25" xfId="0" applyFont="1" applyFill="1" applyBorder="1" applyAlignment="1">
      <alignment horizontal="center" vertical="center"/>
    </xf>
    <xf numFmtId="0" fontId="12" fillId="30" borderId="27" xfId="0" applyFont="1" applyFill="1" applyBorder="1" applyAlignment="1">
      <alignment horizontal="center" vertical="center"/>
    </xf>
    <xf numFmtId="0" fontId="12" fillId="30" borderId="34" xfId="0" applyFont="1" applyFill="1" applyBorder="1" applyAlignment="1">
      <alignment horizontal="center" vertical="center"/>
    </xf>
    <xf numFmtId="0" fontId="12" fillId="30" borderId="28" xfId="0" applyFont="1" applyFill="1" applyBorder="1" applyAlignment="1">
      <alignment horizontal="center" vertical="center"/>
    </xf>
    <xf numFmtId="0" fontId="13" fillId="17" borderId="43" xfId="0" applyFont="1" applyFill="1" applyBorder="1"/>
    <xf numFmtId="0" fontId="13" fillId="30" borderId="43" xfId="0" applyFont="1" applyFill="1" applyBorder="1"/>
    <xf numFmtId="0" fontId="13" fillId="30" borderId="44" xfId="0" applyFont="1" applyFill="1" applyBorder="1"/>
    <xf numFmtId="0" fontId="4" fillId="30" borderId="1" xfId="0" applyFont="1" applyFill="1" applyBorder="1" applyAlignment="1">
      <alignment horizontal="center" vertical="center"/>
    </xf>
    <xf numFmtId="0" fontId="4" fillId="30" borderId="26" xfId="0" applyFont="1" applyFill="1" applyBorder="1" applyAlignment="1">
      <alignment horizontal="center" vertical="center"/>
    </xf>
    <xf numFmtId="0" fontId="4" fillId="30" borderId="27" xfId="0" applyFont="1" applyFill="1" applyBorder="1" applyAlignment="1">
      <alignment horizontal="center" vertical="center"/>
    </xf>
    <xf numFmtId="0" fontId="4" fillId="30" borderId="34" xfId="0" applyFont="1" applyFill="1" applyBorder="1" applyAlignment="1">
      <alignment horizontal="center" vertical="center"/>
    </xf>
    <xf numFmtId="0" fontId="5" fillId="17" borderId="26" xfId="0" applyFont="1" applyFill="1" applyBorder="1" applyAlignment="1">
      <alignment horizontal="center"/>
    </xf>
    <xf numFmtId="0" fontId="5" fillId="17" borderId="1" xfId="0" applyFont="1" applyFill="1" applyBorder="1" applyAlignment="1">
      <alignment horizontal="center"/>
    </xf>
    <xf numFmtId="0" fontId="5" fillId="17" borderId="25" xfId="0" applyFont="1" applyFill="1" applyBorder="1" applyAlignment="1">
      <alignment horizontal="center"/>
    </xf>
    <xf numFmtId="0" fontId="4" fillId="30" borderId="25" xfId="0" applyFont="1" applyFill="1" applyBorder="1" applyAlignment="1">
      <alignment horizontal="center" vertical="center"/>
    </xf>
    <xf numFmtId="0" fontId="4" fillId="30" borderId="28" xfId="0" applyFont="1" applyFill="1" applyBorder="1" applyAlignment="1">
      <alignment horizontal="center" vertical="center"/>
    </xf>
    <xf numFmtId="0" fontId="4" fillId="16" borderId="61" xfId="0" applyFont="1" applyFill="1" applyBorder="1" applyAlignment="1">
      <alignment horizontal="center" vertical="center"/>
    </xf>
    <xf numFmtId="0" fontId="5" fillId="17" borderId="45" xfId="0" applyFont="1" applyFill="1" applyBorder="1" applyAlignment="1">
      <alignment horizontal="left"/>
    </xf>
    <xf numFmtId="0" fontId="5" fillId="30" borderId="45" xfId="0" applyFont="1" applyFill="1" applyBorder="1"/>
    <xf numFmtId="0" fontId="5" fillId="30" borderId="46" xfId="0" applyFont="1" applyFill="1" applyBorder="1"/>
    <xf numFmtId="0" fontId="4" fillId="2" borderId="5" xfId="0" applyFont="1" applyFill="1" applyBorder="1" applyAlignment="1">
      <alignment horizontal="center" vertical="center"/>
    </xf>
    <xf numFmtId="14" fontId="4" fillId="3" borderId="39" xfId="0" applyNumberFormat="1" applyFont="1" applyFill="1" applyBorder="1" applyAlignment="1">
      <alignment horizontal="center" vertical="center"/>
    </xf>
    <xf numFmtId="0" fontId="4" fillId="3" borderId="7" xfId="0" applyFont="1" applyFill="1" applyBorder="1" applyAlignment="1">
      <alignment horizontal="center" vertical="center"/>
    </xf>
    <xf numFmtId="14" fontId="4" fillId="3" borderId="7" xfId="0" applyNumberFormat="1" applyFont="1" applyFill="1" applyBorder="1" applyAlignment="1">
      <alignment horizontal="center" vertical="center"/>
    </xf>
    <xf numFmtId="0" fontId="4" fillId="3" borderId="37" xfId="0" applyFont="1" applyFill="1" applyBorder="1" applyAlignment="1">
      <alignment horizontal="center" vertical="center"/>
    </xf>
    <xf numFmtId="14" fontId="4" fillId="0" borderId="0" xfId="0" applyNumberFormat="1" applyFont="1" applyAlignment="1">
      <alignment horizontal="center" vertical="center"/>
    </xf>
    <xf numFmtId="0" fontId="4" fillId="0" borderId="56" xfId="0" applyFont="1" applyBorder="1" applyAlignment="1">
      <alignment horizontal="center" vertical="center"/>
    </xf>
    <xf numFmtId="14" fontId="4" fillId="0" borderId="30" xfId="0" applyNumberFormat="1" applyFont="1" applyBorder="1" applyAlignment="1">
      <alignment horizontal="center" vertical="center"/>
    </xf>
    <xf numFmtId="14" fontId="4" fillId="0" borderId="25" xfId="0" applyNumberFormat="1" applyFont="1" applyBorder="1" applyAlignment="1">
      <alignment horizontal="center" vertical="center"/>
    </xf>
    <xf numFmtId="14" fontId="4" fillId="0" borderId="28" xfId="0" applyNumberFormat="1" applyFont="1" applyBorder="1" applyAlignment="1">
      <alignment horizontal="center" vertical="center"/>
    </xf>
    <xf numFmtId="0" fontId="12" fillId="30" borderId="50" xfId="0" applyFont="1" applyFill="1" applyBorder="1" applyAlignment="1">
      <alignment horizontal="center"/>
    </xf>
    <xf numFmtId="0" fontId="12" fillId="30" borderId="23" xfId="0" applyFont="1" applyFill="1" applyBorder="1" applyAlignment="1">
      <alignment horizontal="center"/>
    </xf>
    <xf numFmtId="0" fontId="12" fillId="30" borderId="51" xfId="0" applyFont="1" applyFill="1" applyBorder="1" applyAlignment="1">
      <alignment horizontal="center"/>
    </xf>
    <xf numFmtId="0" fontId="12" fillId="30" borderId="7" xfId="0" applyFont="1" applyFill="1" applyBorder="1" applyAlignment="1">
      <alignment horizontal="center"/>
    </xf>
    <xf numFmtId="0" fontId="12" fillId="30" borderId="1" xfId="0" applyFont="1" applyFill="1" applyBorder="1" applyAlignment="1">
      <alignment horizontal="center"/>
    </xf>
    <xf numFmtId="1" fontId="12" fillId="30" borderId="1" xfId="0" applyNumberFormat="1" applyFont="1" applyFill="1" applyBorder="1" applyAlignment="1">
      <alignment horizontal="center" vertical="center"/>
    </xf>
    <xf numFmtId="1" fontId="12" fillId="30" borderId="1" xfId="0" applyNumberFormat="1" applyFont="1" applyFill="1" applyBorder="1" applyAlignment="1">
      <alignment horizontal="center"/>
    </xf>
    <xf numFmtId="1" fontId="12" fillId="30" borderId="11" xfId="0" applyNumberFormat="1" applyFont="1" applyFill="1" applyBorder="1" applyAlignment="1">
      <alignment horizontal="center"/>
    </xf>
    <xf numFmtId="0" fontId="12" fillId="30" borderId="10" xfId="0" applyFont="1" applyFill="1" applyBorder="1" applyAlignment="1">
      <alignment horizontal="center"/>
    </xf>
    <xf numFmtId="0" fontId="12" fillId="30" borderId="9" xfId="0" applyFont="1" applyFill="1" applyBorder="1" applyAlignment="1">
      <alignment horizontal="center"/>
    </xf>
    <xf numFmtId="1" fontId="12" fillId="30" borderId="9" xfId="0" applyNumberFormat="1" applyFont="1" applyFill="1" applyBorder="1" applyAlignment="1">
      <alignment horizontal="center"/>
    </xf>
    <xf numFmtId="1" fontId="12" fillId="30" borderId="9" xfId="0" applyNumberFormat="1" applyFont="1" applyFill="1" applyBorder="1" applyAlignment="1">
      <alignment horizontal="center" vertical="center"/>
    </xf>
    <xf numFmtId="1" fontId="12" fillId="30" borderId="15" xfId="0" applyNumberFormat="1" applyFont="1" applyFill="1" applyBorder="1" applyAlignment="1">
      <alignment horizontal="center"/>
    </xf>
    <xf numFmtId="0" fontId="22" fillId="8" borderId="49" xfId="2" applyFont="1" applyAlignment="1">
      <alignment horizontal="center" vertical="center"/>
    </xf>
    <xf numFmtId="0" fontId="22" fillId="31" borderId="1" xfId="3" applyFont="1" applyBorder="1" applyAlignment="1">
      <alignment horizontal="center"/>
    </xf>
    <xf numFmtId="0" fontId="15" fillId="32" borderId="0" xfId="4" applyFont="1" applyAlignment="1">
      <alignment horizontal="center" vertical="center"/>
    </xf>
    <xf numFmtId="0" fontId="4" fillId="3" borderId="26" xfId="0" applyFont="1" applyFill="1" applyBorder="1" applyAlignment="1">
      <alignment horizontal="center" vertical="center"/>
    </xf>
    <xf numFmtId="0" fontId="4" fillId="0" borderId="35" xfId="0" applyFont="1" applyBorder="1" applyAlignment="1">
      <alignment horizontal="center" vertical="center"/>
    </xf>
    <xf numFmtId="0" fontId="23" fillId="16" borderId="1" xfId="0" applyFont="1" applyFill="1" applyBorder="1"/>
    <xf numFmtId="0" fontId="23" fillId="16" borderId="1" xfId="0" applyFont="1" applyFill="1" applyBorder="1" applyAlignment="1">
      <alignment horizontal="center"/>
    </xf>
    <xf numFmtId="0" fontId="13" fillId="18" borderId="1" xfId="0" applyFont="1" applyFill="1" applyBorder="1" applyAlignment="1">
      <alignment horizontal="center" vertical="center"/>
    </xf>
    <xf numFmtId="9" fontId="7" fillId="0" borderId="0" xfId="1" applyFont="1" applyAlignment="1">
      <alignment horizontal="center"/>
    </xf>
    <xf numFmtId="2" fontId="4" fillId="20" borderId="1" xfId="0" applyNumberFormat="1" applyFont="1" applyFill="1" applyBorder="1" applyAlignment="1">
      <alignment horizontal="center"/>
    </xf>
    <xf numFmtId="1" fontId="4" fillId="20" borderId="1" xfId="1" applyNumberFormat="1" applyFont="1" applyFill="1" applyBorder="1" applyAlignment="1">
      <alignment horizontal="center"/>
    </xf>
    <xf numFmtId="9" fontId="5" fillId="2" borderId="19" xfId="1" applyFont="1" applyFill="1" applyBorder="1" applyAlignment="1">
      <alignment horizontal="center" vertical="center" wrapText="1"/>
    </xf>
    <xf numFmtId="0" fontId="5" fillId="2" borderId="19" xfId="0" applyFont="1" applyFill="1" applyBorder="1" applyAlignment="1">
      <alignment horizontal="center" vertical="center" wrapText="1"/>
    </xf>
    <xf numFmtId="0" fontId="13" fillId="0" borderId="0" xfId="0" applyFont="1" applyAlignment="1">
      <alignment horizontal="left"/>
    </xf>
    <xf numFmtId="1" fontId="4" fillId="20" borderId="44" xfId="0" applyNumberFormat="1" applyFont="1" applyFill="1" applyBorder="1" applyAlignment="1">
      <alignment horizontal="center"/>
    </xf>
    <xf numFmtId="9" fontId="12" fillId="0" borderId="0" xfId="1" applyFont="1"/>
    <xf numFmtId="1" fontId="12" fillId="0" borderId="0" xfId="0" applyNumberFormat="1" applyFont="1" applyAlignment="1">
      <alignment horizontal="center"/>
    </xf>
    <xf numFmtId="1" fontId="12" fillId="0" borderId="0" xfId="0" applyNumberFormat="1" applyFont="1"/>
    <xf numFmtId="0" fontId="4" fillId="20" borderId="15" xfId="0" applyFont="1" applyFill="1" applyBorder="1" applyAlignment="1">
      <alignment horizontal="center"/>
    </xf>
    <xf numFmtId="0" fontId="4" fillId="20" borderId="9" xfId="0" applyFont="1" applyFill="1" applyBorder="1" applyAlignment="1">
      <alignment horizontal="center"/>
    </xf>
    <xf numFmtId="9" fontId="4" fillId="20" borderId="9" xfId="1" applyFont="1" applyFill="1" applyBorder="1" applyAlignment="1">
      <alignment horizontal="center"/>
    </xf>
    <xf numFmtId="164" fontId="4" fillId="20" borderId="9" xfId="0" applyNumberFormat="1" applyFont="1" applyFill="1" applyBorder="1" applyAlignment="1">
      <alignment horizontal="center"/>
    </xf>
    <xf numFmtId="0" fontId="4" fillId="20" borderId="63" xfId="0" applyFont="1" applyFill="1" applyBorder="1" applyAlignment="1">
      <alignment horizontal="center"/>
    </xf>
    <xf numFmtId="0" fontId="5" fillId="6" borderId="1" xfId="0" applyFont="1" applyFill="1" applyBorder="1" applyAlignment="1">
      <alignment horizontal="center"/>
    </xf>
    <xf numFmtId="0" fontId="5" fillId="6" borderId="1" xfId="0" applyFont="1" applyFill="1" applyBorder="1"/>
    <xf numFmtId="0" fontId="5" fillId="6" borderId="1" xfId="0" applyFont="1" applyFill="1" applyBorder="1" applyAlignment="1">
      <alignment horizontal="center" vertical="center"/>
    </xf>
    <xf numFmtId="1" fontId="4" fillId="13" borderId="1" xfId="0" applyNumberFormat="1" applyFont="1" applyFill="1" applyBorder="1" applyAlignment="1">
      <alignment horizontal="center"/>
    </xf>
    <xf numFmtId="0" fontId="5" fillId="20" borderId="26" xfId="0" applyFont="1" applyFill="1" applyBorder="1" applyAlignment="1">
      <alignment horizontal="left"/>
    </xf>
    <xf numFmtId="0" fontId="12" fillId="0" borderId="50" xfId="0" applyFont="1" applyBorder="1"/>
    <xf numFmtId="0" fontId="12" fillId="0" borderId="23" xfId="0" applyFont="1" applyBorder="1"/>
    <xf numFmtId="0" fontId="12" fillId="0" borderId="51" xfId="0" applyFont="1" applyBorder="1"/>
    <xf numFmtId="0" fontId="12" fillId="0" borderId="1" xfId="0" applyFont="1" applyBorder="1" applyAlignment="1">
      <alignment horizontal="center"/>
    </xf>
    <xf numFmtId="0" fontId="12" fillId="0" borderId="9" xfId="0" applyFont="1" applyBorder="1" applyAlignment="1">
      <alignment horizontal="center"/>
    </xf>
    <xf numFmtId="0" fontId="12" fillId="0" borderId="7" xfId="0" applyFont="1" applyBorder="1" applyAlignment="1">
      <alignment horizontal="center"/>
    </xf>
    <xf numFmtId="0" fontId="12" fillId="0" borderId="11" xfId="0" applyFont="1" applyBorder="1" applyAlignment="1">
      <alignment horizontal="center"/>
    </xf>
    <xf numFmtId="0" fontId="12" fillId="0" borderId="10" xfId="0" applyFont="1" applyBorder="1" applyAlignment="1">
      <alignment horizontal="center"/>
    </xf>
    <xf numFmtId="0" fontId="12" fillId="0" borderId="15" xfId="0" applyFont="1" applyBorder="1" applyAlignment="1">
      <alignment horizontal="center"/>
    </xf>
    <xf numFmtId="0" fontId="24" fillId="0" borderId="0" xfId="0" applyFont="1" applyAlignment="1">
      <alignment horizontal="center" vertical="center"/>
    </xf>
    <xf numFmtId="0" fontId="6" fillId="11" borderId="62" xfId="0" applyFont="1" applyFill="1" applyBorder="1" applyAlignment="1">
      <alignment horizontal="center" vertical="center"/>
    </xf>
    <xf numFmtId="0" fontId="7" fillId="0" borderId="1" xfId="0" applyFont="1" applyBorder="1" applyAlignment="1">
      <alignment wrapText="1"/>
    </xf>
    <xf numFmtId="0" fontId="0" fillId="0" borderId="1" xfId="0" applyBorder="1"/>
    <xf numFmtId="0" fontId="6" fillId="21" borderId="82" xfId="0" applyFont="1" applyFill="1" applyBorder="1" applyAlignment="1">
      <alignment horizontal="center" vertical="center"/>
    </xf>
    <xf numFmtId="20" fontId="4" fillId="9" borderId="23" xfId="0" applyNumberFormat="1" applyFont="1" applyFill="1" applyBorder="1" applyAlignment="1">
      <alignment horizontal="left" vertical="center"/>
    </xf>
    <xf numFmtId="0" fontId="7" fillId="0" borderId="9" xfId="0" applyFont="1" applyBorder="1"/>
    <xf numFmtId="165" fontId="7" fillId="0" borderId="9" xfId="0" applyNumberFormat="1" applyFont="1" applyBorder="1" applyAlignment="1">
      <alignment horizontal="center" vertical="center"/>
    </xf>
    <xf numFmtId="0" fontId="4" fillId="0" borderId="9" xfId="0" applyFont="1" applyBorder="1"/>
    <xf numFmtId="0" fontId="28" fillId="8" borderId="49" xfId="2" applyFont="1" applyAlignment="1">
      <alignment horizontal="center"/>
    </xf>
    <xf numFmtId="0" fontId="12" fillId="16" borderId="1" xfId="0" applyFont="1" applyFill="1" applyBorder="1" applyAlignment="1">
      <alignment horizontal="left" vertical="center" wrapText="1" indent="1"/>
    </xf>
    <xf numFmtId="0" fontId="12" fillId="15" borderId="1" xfId="0" applyFont="1" applyFill="1" applyBorder="1" applyAlignment="1">
      <alignment horizontal="left" vertical="center" wrapText="1" indent="1"/>
    </xf>
    <xf numFmtId="0" fontId="26" fillId="33" borderId="2" xfId="0" applyFont="1" applyFill="1" applyBorder="1" applyAlignment="1">
      <alignment horizontal="center" vertical="center"/>
    </xf>
    <xf numFmtId="0" fontId="26" fillId="33" borderId="3" xfId="0" applyFont="1" applyFill="1" applyBorder="1" applyAlignment="1">
      <alignment horizontal="center" vertical="center"/>
    </xf>
    <xf numFmtId="0" fontId="12" fillId="16" borderId="25" xfId="0" applyFont="1" applyFill="1" applyBorder="1" applyAlignment="1">
      <alignment horizontal="left" vertical="center" wrapText="1" indent="1"/>
    </xf>
    <xf numFmtId="0" fontId="12" fillId="15" borderId="25" xfId="0" applyFont="1" applyFill="1" applyBorder="1" applyAlignment="1">
      <alignment horizontal="left" vertical="center" wrapText="1" indent="1"/>
    </xf>
    <xf numFmtId="0" fontId="12" fillId="15" borderId="34" xfId="0" applyFont="1" applyFill="1" applyBorder="1" applyAlignment="1">
      <alignment horizontal="left" vertical="center" wrapText="1" indent="1"/>
    </xf>
    <xf numFmtId="0" fontId="12" fillId="15" borderId="28" xfId="0" applyFont="1" applyFill="1" applyBorder="1" applyAlignment="1">
      <alignment horizontal="left" vertical="center" wrapText="1" indent="1"/>
    </xf>
    <xf numFmtId="0" fontId="12" fillId="0" borderId="3" xfId="0" applyFont="1" applyBorder="1"/>
    <xf numFmtId="0" fontId="13" fillId="0" borderId="4" xfId="0" applyFont="1" applyBorder="1" applyAlignment="1">
      <alignment horizontal="center" vertical="center"/>
    </xf>
    <xf numFmtId="0" fontId="12" fillId="0" borderId="0" xfId="0" applyFont="1" applyAlignment="1">
      <alignment horizontal="left" vertical="center" wrapText="1" indent="1"/>
    </xf>
    <xf numFmtId="0" fontId="12" fillId="0" borderId="0" xfId="0" applyFont="1" applyAlignment="1">
      <alignment horizontal="left" wrapText="1" indent="1"/>
    </xf>
    <xf numFmtId="168" fontId="12" fillId="16" borderId="1" xfId="0" applyNumberFormat="1" applyFont="1" applyFill="1" applyBorder="1" applyAlignment="1">
      <alignment horizontal="left" vertical="center" indent="1"/>
    </xf>
    <xf numFmtId="168" fontId="12" fillId="15" borderId="1" xfId="0" applyNumberFormat="1" applyFont="1" applyFill="1" applyBorder="1" applyAlignment="1">
      <alignment horizontal="left" vertical="center" indent="1"/>
    </xf>
    <xf numFmtId="168" fontId="12" fillId="15" borderId="34" xfId="0" applyNumberFormat="1" applyFont="1" applyFill="1" applyBorder="1" applyAlignment="1">
      <alignment horizontal="left" vertical="center" indent="1"/>
    </xf>
    <xf numFmtId="0" fontId="12" fillId="0" borderId="0" xfId="0" applyFont="1" applyAlignment="1">
      <alignment horizontal="left" vertical="center" indent="1"/>
    </xf>
    <xf numFmtId="0" fontId="6" fillId="11" borderId="82" xfId="0" applyFont="1" applyFill="1" applyBorder="1" applyAlignment="1">
      <alignment horizontal="center" vertical="center"/>
    </xf>
    <xf numFmtId="0" fontId="6" fillId="11" borderId="6" xfId="0" applyFont="1" applyFill="1" applyBorder="1" applyAlignment="1">
      <alignment horizontal="center" vertical="center"/>
    </xf>
    <xf numFmtId="0" fontId="6" fillId="21" borderId="83" xfId="0" applyFont="1" applyFill="1" applyBorder="1" applyAlignment="1">
      <alignment horizontal="center" vertical="center"/>
    </xf>
    <xf numFmtId="0" fontId="6" fillId="11" borderId="83" xfId="0" applyFont="1" applyFill="1" applyBorder="1" applyAlignment="1">
      <alignment horizontal="center" vertical="center"/>
    </xf>
    <xf numFmtId="169" fontId="4" fillId="9" borderId="1" xfId="0" applyNumberFormat="1" applyFont="1" applyFill="1" applyBorder="1" applyAlignment="1">
      <alignment horizontal="center" vertical="center"/>
    </xf>
    <xf numFmtId="0" fontId="6" fillId="11" borderId="84" xfId="0" applyFont="1" applyFill="1" applyBorder="1" applyAlignment="1">
      <alignment horizontal="center" vertical="center"/>
    </xf>
    <xf numFmtId="0" fontId="6" fillId="11" borderId="69" xfId="0" applyFont="1" applyFill="1" applyBorder="1" applyAlignment="1">
      <alignment horizontal="center" vertical="center"/>
    </xf>
    <xf numFmtId="0" fontId="6" fillId="11" borderId="85" xfId="0" applyFont="1" applyFill="1" applyBorder="1" applyAlignment="1">
      <alignment horizontal="center" vertical="center"/>
    </xf>
    <xf numFmtId="0" fontId="12" fillId="16" borderId="11" xfId="0" applyFont="1" applyFill="1" applyBorder="1" applyAlignment="1">
      <alignment horizontal="left" vertical="center" wrapText="1" indent="1"/>
    </xf>
    <xf numFmtId="0" fontId="12" fillId="15" borderId="11" xfId="0" applyFont="1" applyFill="1" applyBorder="1" applyAlignment="1">
      <alignment horizontal="left" vertical="center" wrapText="1" indent="1"/>
    </xf>
    <xf numFmtId="0" fontId="12" fillId="15" borderId="32" xfId="0" applyFont="1" applyFill="1" applyBorder="1" applyAlignment="1">
      <alignment horizontal="left" vertical="center" wrapText="1" indent="1"/>
    </xf>
    <xf numFmtId="0" fontId="13" fillId="0" borderId="9" xfId="0" applyFont="1" applyBorder="1" applyAlignment="1">
      <alignment horizontal="center" vertical="center"/>
    </xf>
    <xf numFmtId="0" fontId="12" fillId="0" borderId="9" xfId="0" applyFont="1" applyBorder="1" applyAlignment="1">
      <alignment horizontal="center" vertical="center"/>
    </xf>
    <xf numFmtId="0" fontId="4" fillId="3" borderId="39" xfId="0" applyFont="1" applyFill="1" applyBorder="1" applyAlignment="1">
      <alignment horizontal="center" vertical="center"/>
    </xf>
    <xf numFmtId="0" fontId="12" fillId="0" borderId="7" xfId="0" applyFont="1" applyBorder="1"/>
    <xf numFmtId="0" fontId="12" fillId="0" borderId="10" xfId="0" applyFont="1" applyBorder="1"/>
    <xf numFmtId="0" fontId="30" fillId="34" borderId="49" xfId="5"/>
    <xf numFmtId="0" fontId="13" fillId="0" borderId="50" xfId="0" applyFont="1" applyBorder="1"/>
    <xf numFmtId="0" fontId="13" fillId="0" borderId="23" xfId="0" applyFont="1" applyBorder="1"/>
    <xf numFmtId="0" fontId="12" fillId="0" borderId="11" xfId="0" applyFont="1" applyBorder="1" applyAlignment="1">
      <alignment horizontal="center" vertical="center"/>
    </xf>
    <xf numFmtId="0" fontId="12" fillId="0" borderId="15" xfId="0" applyFont="1" applyBorder="1" applyAlignment="1">
      <alignment horizontal="center" vertical="center"/>
    </xf>
    <xf numFmtId="0" fontId="13" fillId="0" borderId="23" xfId="0" applyFont="1" applyBorder="1" applyAlignment="1">
      <alignment horizontal="center" vertical="center"/>
    </xf>
    <xf numFmtId="0" fontId="13" fillId="0" borderId="51" xfId="0" applyFont="1" applyBorder="1" applyAlignment="1">
      <alignment horizontal="center" vertical="center"/>
    </xf>
    <xf numFmtId="0" fontId="4" fillId="12" borderId="9" xfId="0" applyFont="1" applyFill="1" applyBorder="1" applyAlignment="1">
      <alignment horizontal="center" vertical="center"/>
    </xf>
    <xf numFmtId="1" fontId="4" fillId="20" borderId="63" xfId="0" applyNumberFormat="1" applyFont="1" applyFill="1" applyBorder="1" applyAlignment="1">
      <alignment horizontal="center"/>
    </xf>
    <xf numFmtId="0" fontId="32" fillId="7" borderId="81" xfId="0" applyFont="1" applyFill="1" applyBorder="1" applyAlignment="1">
      <alignment horizontal="center" vertical="center"/>
    </xf>
    <xf numFmtId="0" fontId="32" fillId="7" borderId="81" xfId="0" applyFont="1" applyFill="1" applyBorder="1" applyAlignment="1">
      <alignment horizontal="center" vertical="center" wrapText="1"/>
    </xf>
    <xf numFmtId="0" fontId="32" fillId="7" borderId="17" xfId="0" applyFont="1" applyFill="1" applyBorder="1" applyAlignment="1">
      <alignment horizontal="center" vertical="center" wrapText="1"/>
    </xf>
    <xf numFmtId="0" fontId="32" fillId="7" borderId="87" xfId="0" applyFont="1" applyFill="1" applyBorder="1" applyAlignment="1">
      <alignment horizontal="center" vertical="center"/>
    </xf>
    <xf numFmtId="0" fontId="33" fillId="16" borderId="42" xfId="0" applyFont="1" applyFill="1" applyBorder="1" applyAlignment="1">
      <alignment horizontal="center" vertical="center"/>
    </xf>
    <xf numFmtId="0" fontId="33" fillId="18" borderId="17" xfId="0" applyFont="1" applyFill="1" applyBorder="1" applyAlignment="1">
      <alignment horizontal="center" vertical="center"/>
    </xf>
    <xf numFmtId="0" fontId="33" fillId="22" borderId="17" xfId="0" applyFont="1" applyFill="1" applyBorder="1" applyAlignment="1">
      <alignment horizontal="center" vertical="center"/>
    </xf>
    <xf numFmtId="0" fontId="32" fillId="4" borderId="17" xfId="0" applyFont="1" applyFill="1" applyBorder="1" applyAlignment="1">
      <alignment horizontal="center" vertical="center"/>
    </xf>
    <xf numFmtId="0" fontId="31" fillId="0" borderId="0" xfId="0" applyFont="1" applyAlignment="1">
      <alignment horizontal="center" vertical="center"/>
    </xf>
    <xf numFmtId="0" fontId="31" fillId="14" borderId="50" xfId="0" applyFont="1" applyFill="1" applyBorder="1" applyAlignment="1">
      <alignment horizontal="center" vertical="center"/>
    </xf>
    <xf numFmtId="0" fontId="31" fillId="14" borderId="23" xfId="0" applyFont="1" applyFill="1" applyBorder="1" applyAlignment="1">
      <alignment horizontal="center" vertical="center"/>
    </xf>
    <xf numFmtId="9" fontId="31" fillId="14" borderId="23" xfId="1" applyFont="1" applyFill="1" applyBorder="1" applyAlignment="1">
      <alignment horizontal="center" vertical="center"/>
    </xf>
    <xf numFmtId="0" fontId="31" fillId="35" borderId="7" xfId="0" applyFont="1" applyFill="1" applyBorder="1" applyAlignment="1">
      <alignment horizontal="center" vertical="center"/>
    </xf>
    <xf numFmtId="0" fontId="31" fillId="35" borderId="1" xfId="0" applyFont="1" applyFill="1" applyBorder="1" applyAlignment="1">
      <alignment horizontal="center" vertical="center"/>
    </xf>
    <xf numFmtId="9" fontId="31" fillId="35" borderId="1" xfId="1" applyFont="1" applyFill="1" applyBorder="1" applyAlignment="1">
      <alignment horizontal="center" vertical="center"/>
    </xf>
    <xf numFmtId="0" fontId="31" fillId="36" borderId="7" xfId="0" applyFont="1" applyFill="1" applyBorder="1" applyAlignment="1">
      <alignment horizontal="center" vertical="center"/>
    </xf>
    <xf numFmtId="0" fontId="31" fillId="36" borderId="1" xfId="0" applyFont="1" applyFill="1" applyBorder="1" applyAlignment="1">
      <alignment horizontal="center" vertical="center"/>
    </xf>
    <xf numFmtId="9" fontId="31" fillId="36" borderId="1" xfId="1" applyFont="1" applyFill="1" applyBorder="1" applyAlignment="1">
      <alignment horizontal="center" vertical="center"/>
    </xf>
    <xf numFmtId="1" fontId="4" fillId="20" borderId="9" xfId="0" applyNumberFormat="1" applyFont="1" applyFill="1" applyBorder="1" applyAlignment="1">
      <alignment horizontal="center"/>
    </xf>
    <xf numFmtId="1" fontId="4" fillId="20" borderId="34" xfId="0" applyNumberFormat="1" applyFont="1" applyFill="1" applyBorder="1" applyAlignment="1">
      <alignment horizontal="center"/>
    </xf>
    <xf numFmtId="2" fontId="7" fillId="0" borderId="0" xfId="0" applyNumberFormat="1" applyFont="1" applyAlignment="1">
      <alignment horizontal="center"/>
    </xf>
    <xf numFmtId="0" fontId="4" fillId="9" borderId="9" xfId="0" applyFont="1" applyFill="1" applyBorder="1" applyAlignment="1">
      <alignment horizontal="left" vertical="center"/>
    </xf>
    <xf numFmtId="169" fontId="4" fillId="9" borderId="9" xfId="0" applyNumberFormat="1" applyFont="1" applyFill="1" applyBorder="1" applyAlignment="1">
      <alignment horizontal="center" vertical="center"/>
    </xf>
    <xf numFmtId="0" fontId="4" fillId="3" borderId="0" xfId="0" applyFont="1" applyFill="1" applyAlignment="1">
      <alignment horizontal="center" vertical="center"/>
    </xf>
    <xf numFmtId="0" fontId="4" fillId="3" borderId="38" xfId="0" applyFont="1" applyFill="1" applyBorder="1" applyAlignment="1">
      <alignment horizontal="center" vertical="center"/>
    </xf>
    <xf numFmtId="0" fontId="4" fillId="3" borderId="14" xfId="0" applyFont="1" applyFill="1" applyBorder="1" applyAlignment="1">
      <alignment horizontal="center" vertical="center"/>
    </xf>
    <xf numFmtId="0" fontId="5" fillId="0" borderId="40" xfId="0" applyFont="1" applyBorder="1" applyAlignment="1">
      <alignment horizontal="left" vertical="center"/>
    </xf>
    <xf numFmtId="0" fontId="4" fillId="0" borderId="52" xfId="0" applyFont="1" applyBorder="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0" fontId="36" fillId="0" borderId="0" xfId="0" applyFont="1" applyAlignment="1">
      <alignment horizontal="center" vertical="center"/>
    </xf>
    <xf numFmtId="1" fontId="36" fillId="0" borderId="0" xfId="0" applyNumberFormat="1" applyFont="1" applyAlignment="1">
      <alignment horizontal="center" vertical="center"/>
    </xf>
    <xf numFmtId="9" fontId="36" fillId="0" borderId="0" xfId="1" applyFont="1" applyAlignment="1">
      <alignment horizontal="center" vertical="center"/>
    </xf>
    <xf numFmtId="0" fontId="34" fillId="23" borderId="88" xfId="0" applyFont="1" applyFill="1" applyBorder="1" applyAlignment="1">
      <alignment horizontal="center" vertical="center"/>
    </xf>
    <xf numFmtId="0" fontId="35" fillId="23" borderId="89" xfId="0" applyFont="1" applyFill="1" applyBorder="1" applyAlignment="1">
      <alignment horizontal="center" vertical="center"/>
    </xf>
    <xf numFmtId="0" fontId="35" fillId="23" borderId="90" xfId="0" applyFont="1" applyFill="1" applyBorder="1" applyAlignment="1">
      <alignment horizontal="center" vertical="center"/>
    </xf>
    <xf numFmtId="0" fontId="35" fillId="37" borderId="91" xfId="0" applyFont="1" applyFill="1" applyBorder="1" applyAlignment="1">
      <alignment horizontal="center" vertical="center"/>
    </xf>
    <xf numFmtId="0" fontId="36" fillId="37" borderId="70" xfId="0" applyFont="1" applyFill="1" applyBorder="1" applyAlignment="1">
      <alignment horizontal="center" vertical="center"/>
    </xf>
    <xf numFmtId="0" fontId="36" fillId="37" borderId="92" xfId="0" applyFont="1" applyFill="1" applyBorder="1" applyAlignment="1">
      <alignment horizontal="center" vertical="center"/>
    </xf>
    <xf numFmtId="0" fontId="35" fillId="23" borderId="91" xfId="0" applyFont="1" applyFill="1" applyBorder="1" applyAlignment="1">
      <alignment horizontal="center" vertical="center"/>
    </xf>
    <xf numFmtId="0" fontId="36" fillId="23" borderId="70" xfId="0" applyFont="1" applyFill="1" applyBorder="1" applyAlignment="1">
      <alignment horizontal="center" vertical="center"/>
    </xf>
    <xf numFmtId="0" fontId="36" fillId="23" borderId="92" xfId="0" applyFont="1" applyFill="1" applyBorder="1" applyAlignment="1">
      <alignment horizontal="center" vertical="center"/>
    </xf>
    <xf numFmtId="0" fontId="35" fillId="23" borderId="93" xfId="0" applyFont="1" applyFill="1" applyBorder="1" applyAlignment="1">
      <alignment horizontal="center" vertical="center"/>
    </xf>
    <xf numFmtId="0" fontId="36" fillId="23" borderId="94" xfId="0" applyFont="1" applyFill="1" applyBorder="1" applyAlignment="1">
      <alignment horizontal="center" vertical="center"/>
    </xf>
    <xf numFmtId="0" fontId="36" fillId="23" borderId="95" xfId="0" applyFont="1" applyFill="1" applyBorder="1" applyAlignment="1">
      <alignment horizontal="center" vertical="center"/>
    </xf>
    <xf numFmtId="9" fontId="4" fillId="0" borderId="0" xfId="1" applyFont="1" applyAlignment="1">
      <alignment horizontal="center"/>
    </xf>
    <xf numFmtId="0" fontId="4" fillId="9" borderId="10" xfId="0" applyFont="1" applyFill="1" applyBorder="1" applyAlignment="1">
      <alignment horizontal="center" vertical="center"/>
    </xf>
    <xf numFmtId="0" fontId="4" fillId="9" borderId="9" xfId="0" applyFont="1" applyFill="1" applyBorder="1" applyAlignment="1">
      <alignment horizontal="center" vertical="center"/>
    </xf>
    <xf numFmtId="14" fontId="4" fillId="9" borderId="9" xfId="0" applyNumberFormat="1" applyFont="1" applyFill="1" applyBorder="1" applyAlignment="1">
      <alignment horizontal="center" vertical="center"/>
    </xf>
    <xf numFmtId="0" fontId="4" fillId="9" borderId="83" xfId="0" applyFont="1" applyFill="1" applyBorder="1" applyAlignment="1">
      <alignment horizontal="center" vertical="center"/>
    </xf>
    <xf numFmtId="1" fontId="4" fillId="9" borderId="9" xfId="0" applyNumberFormat="1" applyFont="1" applyFill="1" applyBorder="1" applyAlignment="1">
      <alignment horizontal="center" vertical="center"/>
    </xf>
    <xf numFmtId="1" fontId="4" fillId="9" borderId="83" xfId="0" applyNumberFormat="1" applyFont="1" applyFill="1" applyBorder="1" applyAlignment="1">
      <alignment horizontal="left" vertical="center"/>
    </xf>
    <xf numFmtId="0" fontId="4" fillId="9" borderId="83" xfId="0" applyFont="1" applyFill="1" applyBorder="1" applyAlignment="1">
      <alignment horizontal="left" vertical="center"/>
    </xf>
    <xf numFmtId="0" fontId="4" fillId="0" borderId="15" xfId="0" applyFont="1" applyBorder="1"/>
    <xf numFmtId="0" fontId="4" fillId="0" borderId="65" xfId="0" applyFont="1" applyBorder="1" applyAlignment="1">
      <alignment horizontal="center" vertical="center"/>
    </xf>
    <xf numFmtId="0" fontId="4" fillId="0" borderId="66" xfId="0" applyFont="1" applyBorder="1" applyAlignment="1">
      <alignment horizontal="center" vertical="center"/>
    </xf>
    <xf numFmtId="0" fontId="4" fillId="0" borderId="43" xfId="0" applyFont="1" applyBorder="1" applyAlignment="1">
      <alignment horizontal="center" vertical="center"/>
    </xf>
    <xf numFmtId="0" fontId="4" fillId="0" borderId="59" xfId="0" applyFont="1" applyBorder="1" applyAlignment="1">
      <alignment horizontal="center" vertical="center"/>
    </xf>
    <xf numFmtId="0" fontId="4" fillId="0" borderId="63" xfId="0" applyFont="1" applyBorder="1" applyAlignment="1">
      <alignment horizontal="center" vertical="center"/>
    </xf>
    <xf numFmtId="0" fontId="4" fillId="0" borderId="64" xfId="0" applyFont="1" applyBorder="1" applyAlignment="1">
      <alignment horizontal="center" vertical="center"/>
    </xf>
    <xf numFmtId="0" fontId="5" fillId="18" borderId="0" xfId="0" applyFont="1" applyFill="1" applyAlignment="1">
      <alignment horizontal="center" vertical="center"/>
    </xf>
    <xf numFmtId="0" fontId="5" fillId="18" borderId="4" xfId="0" applyFont="1" applyFill="1" applyBorder="1" applyAlignment="1">
      <alignment horizontal="center" vertical="center"/>
    </xf>
    <xf numFmtId="0" fontId="5" fillId="18" borderId="12" xfId="0" applyFont="1" applyFill="1" applyBorder="1" applyAlignment="1">
      <alignment horizontal="center" vertical="center"/>
    </xf>
    <xf numFmtId="0" fontId="4" fillId="0" borderId="44" xfId="0" applyFont="1" applyBorder="1" applyAlignment="1">
      <alignment horizontal="center" vertical="center"/>
    </xf>
    <xf numFmtId="0" fontId="4" fillId="0" borderId="58" xfId="0" applyFont="1" applyBorder="1" applyAlignment="1">
      <alignment horizontal="center" vertical="center"/>
    </xf>
    <xf numFmtId="0" fontId="4" fillId="0" borderId="53" xfId="0" applyFont="1" applyBorder="1" applyAlignment="1">
      <alignment horizontal="center" vertical="center"/>
    </xf>
    <xf numFmtId="164" fontId="12" fillId="0" borderId="0" xfId="0" applyNumberFormat="1" applyFont="1" applyAlignment="1">
      <alignment horizontal="center"/>
    </xf>
    <xf numFmtId="0" fontId="12" fillId="0" borderId="1" xfId="0" applyFont="1" applyBorder="1" applyAlignment="1">
      <alignment horizontal="left" vertical="center" wrapText="1" indent="1"/>
    </xf>
    <xf numFmtId="0" fontId="12" fillId="0" borderId="34" xfId="0" applyFont="1" applyBorder="1" applyAlignment="1">
      <alignment horizontal="left" vertical="center" wrapText="1" indent="1"/>
    </xf>
    <xf numFmtId="0" fontId="13" fillId="7" borderId="96" xfId="0" applyFont="1" applyFill="1" applyBorder="1" applyAlignment="1">
      <alignment horizontal="center" vertical="center" wrapText="1"/>
    </xf>
    <xf numFmtId="0" fontId="13" fillId="7" borderId="97" xfId="0" applyFont="1" applyFill="1" applyBorder="1" applyAlignment="1">
      <alignment horizontal="center" vertical="center" wrapText="1"/>
    </xf>
    <xf numFmtId="1" fontId="13" fillId="7" borderId="97" xfId="0" applyNumberFormat="1" applyFont="1" applyFill="1" applyBorder="1" applyAlignment="1">
      <alignment horizontal="center" vertical="center" wrapText="1"/>
    </xf>
    <xf numFmtId="9" fontId="13" fillId="7" borderId="97" xfId="1" applyFont="1" applyFill="1" applyBorder="1" applyAlignment="1">
      <alignment horizontal="center" vertical="center" wrapText="1"/>
    </xf>
    <xf numFmtId="0" fontId="13" fillId="7" borderId="61" xfId="0" applyFont="1" applyFill="1" applyBorder="1" applyAlignment="1">
      <alignment horizontal="center" vertical="center" wrapText="1"/>
    </xf>
    <xf numFmtId="0" fontId="13" fillId="0" borderId="1" xfId="0" applyFont="1" applyBorder="1" applyAlignment="1">
      <alignment horizontal="left"/>
    </xf>
    <xf numFmtId="1" fontId="12" fillId="0" borderId="1" xfId="0" applyNumberFormat="1" applyFont="1" applyBorder="1" applyAlignment="1">
      <alignment horizontal="center"/>
    </xf>
    <xf numFmtId="9" fontId="12" fillId="0" borderId="1" xfId="1" applyFont="1" applyBorder="1" applyAlignment="1">
      <alignment horizontal="center"/>
    </xf>
    <xf numFmtId="164" fontId="12" fillId="0" borderId="1" xfId="0" applyNumberFormat="1" applyFont="1" applyBorder="1" applyAlignment="1">
      <alignment horizontal="center"/>
    </xf>
    <xf numFmtId="0" fontId="25" fillId="33" borderId="26" xfId="0" applyFont="1" applyFill="1" applyBorder="1" applyAlignment="1">
      <alignment horizontal="center" vertical="center"/>
    </xf>
    <xf numFmtId="168" fontId="29" fillId="13" borderId="63" xfId="0" applyNumberFormat="1" applyFont="1" applyFill="1" applyBorder="1" applyAlignment="1">
      <alignment horizontal="center" vertical="center"/>
    </xf>
    <xf numFmtId="168" fontId="29" fillId="13" borderId="41" xfId="0" applyNumberFormat="1" applyFont="1" applyFill="1" applyBorder="1" applyAlignment="1">
      <alignment horizontal="center" vertical="center"/>
    </xf>
    <xf numFmtId="168" fontId="29" fillId="13" borderId="65" xfId="0" applyNumberFormat="1" applyFont="1" applyFill="1" applyBorder="1" applyAlignment="1">
      <alignment horizontal="center" vertical="center"/>
    </xf>
    <xf numFmtId="168" fontId="29" fillId="13" borderId="60" xfId="0" applyNumberFormat="1" applyFont="1" applyFill="1" applyBorder="1" applyAlignment="1">
      <alignment horizontal="center" vertical="center"/>
    </xf>
    <xf numFmtId="0" fontId="25" fillId="33" borderId="40" xfId="0" applyFont="1" applyFill="1" applyBorder="1" applyAlignment="1">
      <alignment horizontal="center" vertical="center"/>
    </xf>
    <xf numFmtId="0" fontId="25" fillId="33" borderId="68" xfId="0" applyFont="1" applyFill="1" applyBorder="1" applyAlignment="1">
      <alignment horizontal="center" vertical="center"/>
    </xf>
    <xf numFmtId="0" fontId="26" fillId="33" borderId="3" xfId="0" applyFont="1" applyFill="1" applyBorder="1" applyAlignment="1">
      <alignment horizontal="center" vertical="center" wrapText="1"/>
    </xf>
    <xf numFmtId="0" fontId="26" fillId="33" borderId="8" xfId="0" applyFont="1" applyFill="1" applyBorder="1" applyAlignment="1">
      <alignment horizontal="center" vertical="center" wrapText="1"/>
    </xf>
    <xf numFmtId="0" fontId="25" fillId="33" borderId="27" xfId="0" applyFont="1" applyFill="1" applyBorder="1" applyAlignment="1">
      <alignment horizontal="center" vertical="center"/>
    </xf>
    <xf numFmtId="0" fontId="27" fillId="6" borderId="13" xfId="0" applyFont="1" applyFill="1" applyBorder="1" applyAlignment="1">
      <alignment horizontal="center"/>
    </xf>
    <xf numFmtId="0" fontId="27" fillId="6" borderId="20" xfId="0" applyFont="1" applyFill="1" applyBorder="1" applyAlignment="1">
      <alignment horizontal="center"/>
    </xf>
    <xf numFmtId="0" fontId="27" fillId="6" borderId="14" xfId="0" applyFont="1" applyFill="1" applyBorder="1" applyAlignment="1">
      <alignment horizontal="center"/>
    </xf>
    <xf numFmtId="0" fontId="11" fillId="6" borderId="13" xfId="0" applyFont="1" applyFill="1" applyBorder="1" applyAlignment="1">
      <alignment horizontal="center"/>
    </xf>
    <xf numFmtId="0" fontId="11" fillId="6" borderId="20" xfId="0" applyFont="1" applyFill="1" applyBorder="1" applyAlignment="1">
      <alignment horizontal="center"/>
    </xf>
    <xf numFmtId="0" fontId="11" fillId="6" borderId="14" xfId="0" applyFont="1" applyFill="1" applyBorder="1" applyAlignment="1">
      <alignment horizont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0" borderId="13" xfId="0" applyFont="1" applyBorder="1" applyAlignment="1">
      <alignment horizontal="center" vertical="center"/>
    </xf>
    <xf numFmtId="0" fontId="5" fillId="0" borderId="3" xfId="0" applyFont="1" applyBorder="1" applyAlignment="1">
      <alignment horizontal="center" vertical="center"/>
    </xf>
    <xf numFmtId="0" fontId="5" fillId="0" borderId="8" xfId="0" applyFont="1" applyBorder="1" applyAlignment="1">
      <alignment horizontal="center" vertical="center"/>
    </xf>
    <xf numFmtId="0" fontId="5" fillId="0" borderId="20" xfId="0" applyFont="1" applyBorder="1" applyAlignment="1">
      <alignment horizontal="center" vertical="center"/>
    </xf>
    <xf numFmtId="0" fontId="5" fillId="0" borderId="14" xfId="0" applyFont="1" applyBorder="1" applyAlignment="1">
      <alignment horizontal="center" vertical="center"/>
    </xf>
    <xf numFmtId="0" fontId="8" fillId="0" borderId="0" xfId="0" applyFont="1" applyAlignment="1">
      <alignment horizontal="center"/>
    </xf>
    <xf numFmtId="10" fontId="7" fillId="0" borderId="75" xfId="1" applyNumberFormat="1" applyFont="1" applyBorder="1" applyAlignment="1">
      <alignment horizontal="center"/>
    </xf>
    <xf numFmtId="0" fontId="5" fillId="0" borderId="0" xfId="0" applyFont="1" applyAlignment="1">
      <alignment horizontal="center"/>
    </xf>
    <xf numFmtId="0" fontId="5" fillId="16" borderId="2" xfId="0" applyFont="1" applyFill="1" applyBorder="1" applyAlignment="1">
      <alignment horizontal="center"/>
    </xf>
    <xf numFmtId="0" fontId="5" fillId="16" borderId="3" xfId="0" applyFont="1" applyFill="1" applyBorder="1" applyAlignment="1">
      <alignment horizontal="center"/>
    </xf>
    <xf numFmtId="0" fontId="5" fillId="16" borderId="8" xfId="0" applyFont="1" applyFill="1" applyBorder="1" applyAlignment="1">
      <alignment horizontal="center"/>
    </xf>
    <xf numFmtId="0" fontId="12" fillId="18" borderId="8" xfId="0" applyFont="1" applyFill="1" applyBorder="1" applyAlignment="1">
      <alignment horizontal="center"/>
    </xf>
    <xf numFmtId="0" fontId="12" fillId="18" borderId="66" xfId="0" applyFont="1" applyFill="1" applyBorder="1" applyAlignment="1">
      <alignment horizontal="center"/>
    </xf>
    <xf numFmtId="0" fontId="12" fillId="18" borderId="2" xfId="0" applyFont="1" applyFill="1" applyBorder="1" applyAlignment="1">
      <alignment horizontal="center"/>
    </xf>
    <xf numFmtId="0" fontId="12" fillId="18" borderId="65" xfId="0" applyFont="1" applyFill="1" applyBorder="1" applyAlignment="1">
      <alignment horizontal="center"/>
    </xf>
    <xf numFmtId="0" fontId="5" fillId="6" borderId="1" xfId="0" applyFont="1" applyFill="1" applyBorder="1" applyAlignment="1">
      <alignment horizontal="center"/>
    </xf>
    <xf numFmtId="0" fontId="5" fillId="18" borderId="2" xfId="0" applyFont="1" applyFill="1" applyBorder="1" applyAlignment="1">
      <alignment horizontal="center"/>
    </xf>
    <xf numFmtId="0" fontId="5" fillId="18" borderId="3" xfId="0" applyFont="1" applyFill="1" applyBorder="1" applyAlignment="1">
      <alignment horizontal="center"/>
    </xf>
    <xf numFmtId="0" fontId="5" fillId="18" borderId="8" xfId="0" applyFont="1" applyFill="1" applyBorder="1" applyAlignment="1">
      <alignment horizontal="center"/>
    </xf>
    <xf numFmtId="0" fontId="5" fillId="4" borderId="13" xfId="0" applyFont="1" applyFill="1" applyBorder="1" applyAlignment="1">
      <alignment horizontal="center"/>
    </xf>
    <xf numFmtId="0" fontId="5" fillId="4" borderId="20" xfId="0" applyFont="1" applyFill="1" applyBorder="1" applyAlignment="1">
      <alignment horizontal="center"/>
    </xf>
    <xf numFmtId="0" fontId="5" fillId="4" borderId="14" xfId="0" applyFont="1" applyFill="1" applyBorder="1" applyAlignment="1">
      <alignment horizontal="center"/>
    </xf>
    <xf numFmtId="0" fontId="5" fillId="22" borderId="13" xfId="0" applyFont="1" applyFill="1" applyBorder="1" applyAlignment="1">
      <alignment horizontal="center"/>
    </xf>
    <xf numFmtId="0" fontId="5" fillId="22" borderId="20" xfId="0" applyFont="1" applyFill="1" applyBorder="1" applyAlignment="1">
      <alignment horizontal="center"/>
    </xf>
    <xf numFmtId="0" fontId="5" fillId="22" borderId="14" xfId="0" applyFont="1" applyFill="1" applyBorder="1" applyAlignment="1">
      <alignment horizontal="center"/>
    </xf>
    <xf numFmtId="0" fontId="5" fillId="16" borderId="13" xfId="0" applyFont="1" applyFill="1" applyBorder="1" applyAlignment="1">
      <alignment horizontal="center"/>
    </xf>
    <xf numFmtId="0" fontId="5" fillId="16" borderId="20" xfId="0" applyFont="1" applyFill="1" applyBorder="1" applyAlignment="1">
      <alignment horizontal="center"/>
    </xf>
    <xf numFmtId="0" fontId="5" fillId="16" borderId="14" xfId="0" applyFont="1" applyFill="1" applyBorder="1" applyAlignment="1">
      <alignment horizontal="center"/>
    </xf>
    <xf numFmtId="0" fontId="5" fillId="19" borderId="13" xfId="0" applyFont="1" applyFill="1" applyBorder="1" applyAlignment="1">
      <alignment horizontal="center"/>
    </xf>
    <xf numFmtId="0" fontId="5" fillId="19" borderId="20" xfId="0" applyFont="1" applyFill="1" applyBorder="1" applyAlignment="1">
      <alignment horizontal="center"/>
    </xf>
    <xf numFmtId="0" fontId="5" fillId="19" borderId="14" xfId="0" applyFont="1" applyFill="1" applyBorder="1" applyAlignment="1">
      <alignment horizontal="center"/>
    </xf>
    <xf numFmtId="0" fontId="13" fillId="16" borderId="2" xfId="0" applyFont="1" applyFill="1" applyBorder="1" applyAlignment="1">
      <alignment horizontal="center"/>
    </xf>
    <xf numFmtId="0" fontId="13" fillId="16" borderId="3" xfId="0" applyFont="1" applyFill="1" applyBorder="1" applyAlignment="1">
      <alignment horizontal="center"/>
    </xf>
    <xf numFmtId="0" fontId="13" fillId="16" borderId="8" xfId="0" applyFont="1" applyFill="1" applyBorder="1" applyAlignment="1">
      <alignment horizontal="center"/>
    </xf>
    <xf numFmtId="0" fontId="13" fillId="16" borderId="65" xfId="0" applyFont="1" applyFill="1" applyBorder="1" applyAlignment="1">
      <alignment horizontal="center"/>
    </xf>
    <xf numFmtId="0" fontId="13" fillId="16" borderId="60" xfId="0" applyFont="1" applyFill="1" applyBorder="1" applyAlignment="1">
      <alignment horizontal="center"/>
    </xf>
    <xf numFmtId="0" fontId="13" fillId="16" borderId="66" xfId="0" applyFont="1" applyFill="1" applyBorder="1" applyAlignment="1">
      <alignment horizontal="center"/>
    </xf>
    <xf numFmtId="0" fontId="12" fillId="16" borderId="2" xfId="0" applyFont="1" applyFill="1" applyBorder="1" applyAlignment="1">
      <alignment horizontal="center"/>
    </xf>
    <xf numFmtId="0" fontId="12" fillId="16" borderId="4" xfId="0" applyFont="1" applyFill="1" applyBorder="1" applyAlignment="1">
      <alignment horizontal="center"/>
    </xf>
    <xf numFmtId="0" fontId="13" fillId="27" borderId="0" xfId="0" applyFont="1" applyFill="1" applyAlignment="1">
      <alignment horizontal="center"/>
    </xf>
    <xf numFmtId="0" fontId="13" fillId="5" borderId="0" xfId="0" applyFont="1" applyFill="1" applyAlignment="1">
      <alignment horizontal="center"/>
    </xf>
    <xf numFmtId="0" fontId="13" fillId="0" borderId="86" xfId="0" applyFont="1" applyBorder="1" applyAlignment="1">
      <alignment horizontal="center"/>
    </xf>
    <xf numFmtId="0" fontId="13" fillId="0" borderId="0" xfId="0" applyFont="1" applyAlignment="1">
      <alignment horizontal="center"/>
    </xf>
  </cellXfs>
  <cellStyles count="6">
    <cellStyle name="Akzent1" xfId="3" builtinId="29"/>
    <cellStyle name="Akzent6" xfId="4" builtinId="49"/>
    <cellStyle name="Berechnung" xfId="5" builtinId="22"/>
    <cellStyle name="Eingabe" xfId="2" builtinId="20"/>
    <cellStyle name="Prozent" xfId="1" builtinId="5"/>
    <cellStyle name="Standard" xfId="0" builtinId="0"/>
  </cellStyles>
  <dxfs count="1206">
    <dxf>
      <font>
        <color theme="1" tint="0.499984740745262"/>
      </font>
      <fill>
        <patternFill>
          <bgColor theme="1" tint="0.499984740745262"/>
        </patternFill>
      </fill>
    </dxf>
    <dxf>
      <fill>
        <patternFill>
          <bgColor theme="9"/>
        </patternFill>
      </fill>
    </dxf>
    <dxf>
      <fill>
        <patternFill>
          <bgColor theme="8"/>
        </patternFill>
      </fill>
    </dxf>
    <dxf>
      <fill>
        <patternFill>
          <bgColor theme="6"/>
        </patternFill>
      </fill>
    </dxf>
    <dxf>
      <fill>
        <patternFill>
          <bgColor theme="5"/>
        </patternFill>
      </fill>
    </dxf>
    <dxf>
      <fill>
        <patternFill>
          <bgColor theme="4"/>
        </patternFill>
      </fill>
    </dxf>
    <dxf>
      <fill>
        <patternFill>
          <bgColor rgb="FF92D050"/>
        </patternFill>
      </fill>
    </dxf>
    <dxf>
      <fill>
        <patternFill>
          <bgColor rgb="FF00B050"/>
        </patternFill>
      </fill>
    </dxf>
    <dxf>
      <font>
        <color theme="0" tint="-0.14996795556505021"/>
      </font>
    </dxf>
    <dxf>
      <fill>
        <patternFill patternType="lightUp"/>
      </fill>
    </dxf>
    <dxf>
      <fill>
        <patternFill patternType="lightUp"/>
      </fill>
    </dxf>
    <dxf>
      <font>
        <color theme="0" tint="-0.14996795556505021"/>
      </font>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ill>
        <patternFill patternType="lightUp"/>
      </fill>
    </dxf>
    <dxf>
      <font>
        <b/>
        <i val="0"/>
      </font>
      <fill>
        <patternFill>
          <bgColor rgb="FF00B050"/>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ill>
        <patternFill patternType="lightUp"/>
      </fill>
    </dxf>
    <dxf>
      <fill>
        <patternFill patternType="lightUp"/>
      </fill>
    </dxf>
    <dxf>
      <fill>
        <patternFill patternType="lightUp"/>
      </fill>
    </dxf>
    <dxf>
      <fill>
        <patternFill>
          <bgColor rgb="FFFF0000"/>
        </patternFill>
      </fill>
    </dxf>
    <dxf>
      <fill>
        <patternFill>
          <bgColor theme="0" tint="-0.24994659260841701"/>
        </patternFill>
      </fill>
    </dxf>
    <dxf>
      <fill>
        <patternFill>
          <bgColor rgb="FF00B050"/>
        </patternFill>
      </fill>
    </dxf>
    <dxf>
      <fill>
        <patternFill>
          <bgColor rgb="FFFF0000"/>
        </patternFill>
      </fill>
    </dxf>
    <dxf>
      <fill>
        <patternFill>
          <bgColor theme="0" tint="-0.24994659260841701"/>
        </patternFill>
      </fill>
    </dxf>
    <dxf>
      <fill>
        <patternFill>
          <bgColor rgb="FF00B050"/>
        </patternFill>
      </fill>
    </dxf>
    <dxf>
      <fill>
        <patternFill>
          <bgColor rgb="FFFF0000"/>
        </patternFill>
      </fill>
    </dxf>
    <dxf>
      <fill>
        <patternFill>
          <bgColor theme="0" tint="-0.24994659260841701"/>
        </patternFill>
      </fill>
    </dxf>
    <dxf>
      <fill>
        <patternFill>
          <bgColor rgb="FF00B050"/>
        </patternFill>
      </fill>
    </dxf>
    <dxf>
      <fill>
        <patternFill>
          <bgColor rgb="FFFF0000"/>
        </patternFill>
      </fill>
    </dxf>
    <dxf>
      <fill>
        <patternFill>
          <bgColor theme="0" tint="-0.24994659260841701"/>
        </patternFill>
      </fill>
    </dxf>
    <dxf>
      <fill>
        <patternFill>
          <bgColor rgb="FF00B050"/>
        </patternFill>
      </fill>
    </dxf>
    <dxf>
      <fill>
        <patternFill>
          <bgColor rgb="FFFF0000"/>
        </patternFill>
      </fill>
    </dxf>
    <dxf>
      <fill>
        <patternFill>
          <bgColor theme="0" tint="-0.24994659260841701"/>
        </patternFill>
      </fill>
    </dxf>
    <dxf>
      <fill>
        <patternFill>
          <bgColor rgb="FF00B050"/>
        </patternFill>
      </fill>
    </dxf>
    <dxf>
      <fill>
        <patternFill>
          <bgColor rgb="FFFF0000"/>
        </patternFill>
      </fill>
    </dxf>
    <dxf>
      <fill>
        <patternFill>
          <bgColor theme="0" tint="-0.24994659260841701"/>
        </patternFill>
      </fill>
    </dxf>
    <dxf>
      <fill>
        <patternFill>
          <bgColor rgb="FF00B050"/>
        </patternFill>
      </fill>
    </dxf>
    <dxf>
      <font>
        <b/>
        <i val="0"/>
      </font>
    </dxf>
    <dxf>
      <font>
        <b/>
        <i val="0"/>
        <color rgb="FF92D050"/>
      </font>
    </dxf>
    <dxf>
      <font>
        <b/>
        <i val="0"/>
        <color theme="8"/>
      </font>
    </dxf>
    <dxf>
      <font>
        <b/>
        <i val="0"/>
        <color rgb="FF92D050"/>
      </font>
    </dxf>
    <dxf>
      <font>
        <b/>
        <i val="0"/>
        <color theme="8"/>
      </font>
    </dxf>
    <dxf>
      <font>
        <b/>
        <i val="0"/>
        <color rgb="FF92D050"/>
      </font>
    </dxf>
    <dxf>
      <font>
        <b/>
        <i val="0"/>
        <color theme="8"/>
      </font>
    </dxf>
    <dxf>
      <font>
        <b/>
        <i val="0"/>
        <color rgb="FF92D050"/>
      </font>
    </dxf>
    <dxf>
      <font>
        <b/>
        <i val="0"/>
        <color theme="8"/>
      </font>
    </dxf>
    <dxf>
      <font>
        <b/>
        <i val="0"/>
        <color rgb="FF92D050"/>
      </font>
    </dxf>
    <dxf>
      <font>
        <b/>
        <i val="0"/>
        <color theme="8"/>
      </font>
    </dxf>
    <dxf>
      <font>
        <b/>
        <i val="0"/>
        <color rgb="FF92D050"/>
      </font>
    </dxf>
    <dxf>
      <font>
        <b/>
        <i val="0"/>
        <color theme="8"/>
      </font>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ill>
        <patternFill patternType="lightUp"/>
      </fill>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val="double"/>
      </font>
    </dxf>
    <dxf>
      <font>
        <b/>
        <i val="0"/>
        <u/>
      </font>
    </dxf>
    <dxf>
      <font>
        <b/>
        <i val="0"/>
        <u/>
      </font>
    </dxf>
    <dxf>
      <font>
        <b/>
        <i val="0"/>
        <u val="double"/>
      </font>
    </dxf>
    <dxf>
      <font>
        <b/>
        <i val="0"/>
        <u val="double"/>
      </font>
    </dxf>
    <dxf>
      <font>
        <b/>
        <i val="0"/>
        <u/>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val="double"/>
      </font>
    </dxf>
    <dxf>
      <font>
        <b/>
        <i val="0"/>
        <u/>
      </font>
    </dxf>
    <dxf>
      <font>
        <b/>
        <i val="0"/>
        <u/>
      </font>
    </dxf>
    <dxf>
      <font>
        <b/>
        <i val="0"/>
        <u val="double"/>
      </font>
    </dxf>
    <dxf>
      <font>
        <b/>
        <i val="0"/>
        <u/>
      </font>
    </dxf>
    <dxf>
      <font>
        <b/>
        <i val="0"/>
        <u val="double"/>
      </font>
    </dxf>
    <dxf>
      <font>
        <color auto="1"/>
      </font>
      <fill>
        <patternFill patternType="darkUp">
          <bgColor theme="0"/>
        </patternFill>
      </fill>
    </dxf>
    <dxf>
      <font>
        <b/>
        <i val="0"/>
        <u val="double"/>
      </font>
    </dxf>
    <dxf>
      <font>
        <b/>
        <i val="0"/>
        <u/>
      </font>
    </dxf>
    <dxf>
      <fill>
        <patternFill patternType="darkUp"/>
      </fill>
    </dxf>
    <dxf>
      <border>
        <left style="thin">
          <color auto="1"/>
        </left>
        <right style="thin">
          <color auto="1"/>
        </right>
        <top style="thin">
          <color auto="1"/>
        </top>
        <bottom style="thin">
          <color auto="1"/>
        </bottom>
        <vertical/>
        <horizontal/>
      </border>
    </dxf>
    <dxf>
      <fill>
        <patternFill patternType="lightUp"/>
      </fill>
    </dxf>
    <dxf>
      <fill>
        <patternFill patternType="darkUp"/>
      </fill>
    </dxf>
    <dxf>
      <fill>
        <patternFill>
          <bgColor rgb="FF92D050"/>
        </patternFill>
      </fill>
    </dxf>
    <dxf>
      <fill>
        <patternFill>
          <bgColor theme="6"/>
        </patternFill>
      </fill>
    </dxf>
    <dxf>
      <fill>
        <patternFill>
          <bgColor theme="8"/>
        </patternFill>
      </fill>
    </dxf>
    <dxf>
      <fill>
        <patternFill>
          <bgColor rgb="FF0099FF"/>
        </patternFill>
      </fill>
    </dxf>
    <dxf>
      <fill>
        <patternFill>
          <bgColor theme="4"/>
        </patternFill>
      </fill>
    </dxf>
    <dxf>
      <fill>
        <patternFill>
          <bgColor rgb="FF92D050"/>
        </patternFill>
      </fill>
    </dxf>
    <dxf>
      <fill>
        <patternFill>
          <bgColor rgb="FF0099FF"/>
        </patternFill>
      </fill>
    </dxf>
    <dxf>
      <fill>
        <patternFill>
          <bgColor theme="4"/>
        </patternFill>
      </fill>
    </dxf>
    <dxf>
      <fill>
        <patternFill patternType="darkUp"/>
      </fill>
    </dxf>
    <dxf>
      <fill>
        <patternFill>
          <bgColor theme="6"/>
        </patternFill>
      </fill>
    </dxf>
    <dxf>
      <fill>
        <patternFill>
          <bgColor theme="8"/>
        </patternFill>
      </fill>
    </dxf>
    <dxf>
      <fill>
        <patternFill>
          <bgColor rgb="FF92D050"/>
        </patternFill>
      </fill>
    </dxf>
    <dxf>
      <fill>
        <patternFill>
          <bgColor theme="6"/>
        </patternFill>
      </fill>
    </dxf>
    <dxf>
      <fill>
        <patternFill>
          <bgColor theme="8"/>
        </patternFill>
      </fill>
    </dxf>
    <dxf>
      <fill>
        <patternFill>
          <bgColor rgb="FF0099FF"/>
        </patternFill>
      </fill>
    </dxf>
    <dxf>
      <fill>
        <patternFill>
          <bgColor theme="4"/>
        </patternFill>
      </fill>
    </dxf>
    <dxf>
      <fill>
        <patternFill patternType="darkUp"/>
      </fill>
    </dxf>
    <dxf>
      <fill>
        <patternFill>
          <bgColor theme="4"/>
        </patternFill>
      </fill>
    </dxf>
    <dxf>
      <fill>
        <patternFill>
          <bgColor rgb="FF0099FF"/>
        </patternFill>
      </fill>
    </dxf>
    <dxf>
      <fill>
        <patternFill>
          <bgColor theme="8"/>
        </patternFill>
      </fill>
    </dxf>
    <dxf>
      <fill>
        <patternFill>
          <bgColor theme="6"/>
        </patternFill>
      </fill>
    </dxf>
    <dxf>
      <fill>
        <patternFill>
          <bgColor rgb="FF92D050"/>
        </patternFill>
      </fill>
    </dxf>
    <dxf>
      <fill>
        <patternFill>
          <bgColor theme="6"/>
        </patternFill>
      </fill>
    </dxf>
    <dxf>
      <fill>
        <patternFill>
          <bgColor theme="4"/>
        </patternFill>
      </fill>
    </dxf>
    <dxf>
      <fill>
        <patternFill>
          <bgColor rgb="FF92D050"/>
        </patternFill>
      </fill>
    </dxf>
    <dxf>
      <fill>
        <patternFill>
          <bgColor rgb="FF0099FF"/>
        </patternFill>
      </fill>
    </dxf>
    <dxf>
      <fill>
        <patternFill patternType="darkUp"/>
      </fill>
    </dxf>
    <dxf>
      <fill>
        <patternFill>
          <bgColor theme="8"/>
        </patternFill>
      </fill>
    </dxf>
    <dxf>
      <fill>
        <patternFill patternType="darkUp"/>
      </fill>
    </dxf>
    <dxf>
      <fill>
        <patternFill>
          <bgColor theme="8"/>
        </patternFill>
      </fill>
    </dxf>
    <dxf>
      <fill>
        <patternFill>
          <bgColor theme="6"/>
        </patternFill>
      </fill>
    </dxf>
    <dxf>
      <fill>
        <patternFill>
          <bgColor rgb="FF92D050"/>
        </patternFill>
      </fill>
    </dxf>
    <dxf>
      <fill>
        <patternFill>
          <bgColor rgb="FF0099FF"/>
        </patternFill>
      </fill>
    </dxf>
    <dxf>
      <fill>
        <patternFill>
          <bgColor theme="4"/>
        </patternFill>
      </fill>
    </dxf>
    <dxf>
      <fill>
        <patternFill>
          <bgColor rgb="FF0099FF"/>
        </patternFill>
      </fill>
    </dxf>
    <dxf>
      <fill>
        <patternFill>
          <bgColor rgb="FF92D050"/>
        </patternFill>
      </fill>
    </dxf>
    <dxf>
      <fill>
        <patternFill>
          <bgColor theme="4"/>
        </patternFill>
      </fill>
    </dxf>
    <dxf>
      <fill>
        <patternFill patternType="darkUp"/>
      </fill>
    </dxf>
    <dxf>
      <fill>
        <patternFill>
          <bgColor theme="6"/>
        </patternFill>
      </fill>
    </dxf>
    <dxf>
      <fill>
        <patternFill>
          <bgColor theme="8"/>
        </patternFill>
      </fill>
    </dxf>
    <dxf>
      <fill>
        <patternFill patternType="darkUp"/>
      </fill>
    </dxf>
    <dxf>
      <fill>
        <patternFill>
          <bgColor theme="4"/>
        </patternFill>
      </fill>
    </dxf>
    <dxf>
      <fill>
        <patternFill>
          <bgColor rgb="FF0099FF"/>
        </patternFill>
      </fill>
    </dxf>
    <dxf>
      <fill>
        <patternFill>
          <bgColor theme="8"/>
        </patternFill>
      </fill>
    </dxf>
    <dxf>
      <fill>
        <patternFill>
          <bgColor rgb="FF92D050"/>
        </patternFill>
      </fill>
    </dxf>
    <dxf>
      <fill>
        <patternFill>
          <bgColor theme="6"/>
        </patternFill>
      </fill>
    </dxf>
    <dxf>
      <fill>
        <patternFill>
          <bgColor theme="4"/>
        </patternFill>
      </fill>
    </dxf>
    <dxf>
      <fill>
        <patternFill>
          <bgColor theme="6"/>
        </patternFill>
      </fill>
    </dxf>
    <dxf>
      <fill>
        <patternFill>
          <bgColor rgb="FF92D050"/>
        </patternFill>
      </fill>
    </dxf>
    <dxf>
      <fill>
        <patternFill>
          <bgColor theme="8"/>
        </patternFill>
      </fill>
    </dxf>
    <dxf>
      <fill>
        <patternFill>
          <bgColor rgb="FF0099FF"/>
        </patternFill>
      </fill>
    </dxf>
    <dxf>
      <fill>
        <patternFill>
          <bgColor theme="4"/>
        </patternFill>
      </fill>
    </dxf>
    <dxf>
      <fill>
        <patternFill>
          <bgColor rgb="FF0099FF"/>
        </patternFill>
      </fill>
    </dxf>
    <dxf>
      <fill>
        <patternFill>
          <bgColor rgb="FF92D050"/>
        </patternFill>
      </fill>
    </dxf>
    <dxf>
      <fill>
        <patternFill>
          <bgColor theme="6"/>
        </patternFill>
      </fill>
    </dxf>
    <dxf>
      <fill>
        <patternFill patternType="darkUp"/>
      </fill>
    </dxf>
    <dxf>
      <fill>
        <patternFill>
          <bgColor theme="8"/>
        </patternFill>
      </fill>
    </dxf>
    <dxf>
      <fill>
        <patternFill patternType="darkUp"/>
      </fill>
    </dxf>
    <dxf>
      <fill>
        <patternFill>
          <bgColor rgb="FF92D050"/>
        </patternFill>
      </fill>
    </dxf>
    <dxf>
      <fill>
        <patternFill>
          <bgColor theme="6"/>
        </patternFill>
      </fill>
    </dxf>
    <dxf>
      <fill>
        <patternFill>
          <bgColor theme="4"/>
        </patternFill>
      </fill>
    </dxf>
    <dxf>
      <fill>
        <patternFill>
          <bgColor rgb="FF0099FF"/>
        </patternFill>
      </fill>
    </dxf>
    <dxf>
      <fill>
        <patternFill>
          <bgColor theme="8"/>
        </patternFill>
      </fill>
    </dxf>
    <dxf>
      <fill>
        <patternFill>
          <bgColor rgb="FF92D050"/>
        </patternFill>
      </fill>
    </dxf>
    <dxf>
      <fill>
        <patternFill>
          <bgColor theme="8"/>
        </patternFill>
      </fill>
    </dxf>
    <dxf>
      <fill>
        <patternFill>
          <bgColor rgb="FF0099FF"/>
        </patternFill>
      </fill>
    </dxf>
    <dxf>
      <fill>
        <patternFill>
          <bgColor theme="4"/>
        </patternFill>
      </fill>
    </dxf>
    <dxf>
      <fill>
        <patternFill patternType="darkUp"/>
      </fill>
    </dxf>
    <dxf>
      <fill>
        <patternFill>
          <bgColor theme="6"/>
        </patternFill>
      </fill>
    </dxf>
    <dxf>
      <fill>
        <patternFill>
          <bgColor theme="6"/>
        </patternFill>
      </fill>
    </dxf>
    <dxf>
      <fill>
        <patternFill>
          <bgColor rgb="FF0099FF"/>
        </patternFill>
      </fill>
    </dxf>
    <dxf>
      <fill>
        <patternFill>
          <bgColor theme="8"/>
        </patternFill>
      </fill>
    </dxf>
    <dxf>
      <fill>
        <patternFill>
          <bgColor rgb="FF92D050"/>
        </patternFill>
      </fill>
    </dxf>
    <dxf>
      <fill>
        <patternFill>
          <bgColor theme="6"/>
        </patternFill>
      </fill>
    </dxf>
    <dxf>
      <fill>
        <patternFill patternType="darkUp"/>
      </fill>
    </dxf>
    <dxf>
      <fill>
        <patternFill>
          <bgColor theme="4"/>
        </patternFill>
      </fill>
    </dxf>
    <dxf>
      <fill>
        <patternFill patternType="darkUp"/>
      </fill>
    </dxf>
    <dxf>
      <fill>
        <patternFill>
          <bgColor rgb="FF0099FF"/>
        </patternFill>
      </fill>
    </dxf>
    <dxf>
      <fill>
        <patternFill>
          <bgColor theme="8"/>
        </patternFill>
      </fill>
    </dxf>
    <dxf>
      <fill>
        <patternFill>
          <bgColor rgb="FF92D050"/>
        </patternFill>
      </fill>
    </dxf>
    <dxf>
      <fill>
        <patternFill>
          <bgColor theme="4"/>
        </patternFill>
      </fill>
    </dxf>
    <dxf>
      <fill>
        <patternFill>
          <bgColor theme="6"/>
        </patternFill>
      </fill>
    </dxf>
    <dxf>
      <fill>
        <patternFill>
          <bgColor theme="4"/>
        </patternFill>
      </fill>
    </dxf>
    <dxf>
      <fill>
        <patternFill patternType="lightUp"/>
      </fill>
    </dxf>
    <dxf>
      <fill>
        <patternFill>
          <bgColor rgb="FF0099FF"/>
        </patternFill>
      </fill>
    </dxf>
    <dxf>
      <fill>
        <patternFill>
          <bgColor rgb="FF92D050"/>
        </patternFill>
      </fill>
    </dxf>
    <dxf>
      <fill>
        <patternFill>
          <bgColor theme="8"/>
        </patternFill>
      </fill>
    </dxf>
    <dxf>
      <fill>
        <patternFill>
          <bgColor rgb="FF92D050"/>
        </patternFill>
      </fill>
    </dxf>
    <dxf>
      <fill>
        <patternFill>
          <bgColor theme="8"/>
        </patternFill>
      </fill>
    </dxf>
    <dxf>
      <fill>
        <patternFill>
          <bgColor rgb="FF0099FF"/>
        </patternFill>
      </fill>
    </dxf>
    <dxf>
      <fill>
        <patternFill>
          <bgColor theme="4"/>
        </patternFill>
      </fill>
    </dxf>
    <dxf>
      <fill>
        <patternFill patternType="lightUp"/>
      </fill>
    </dxf>
    <dxf>
      <fill>
        <patternFill>
          <bgColor theme="6"/>
        </patternFill>
      </fill>
    </dxf>
    <dxf>
      <fill>
        <patternFill>
          <bgColor theme="4"/>
        </patternFill>
      </fill>
    </dxf>
    <dxf>
      <fill>
        <patternFill>
          <bgColor rgb="FF0099FF"/>
        </patternFill>
      </fill>
    </dxf>
    <dxf>
      <fill>
        <patternFill>
          <bgColor theme="8"/>
        </patternFill>
      </fill>
    </dxf>
    <dxf>
      <fill>
        <patternFill>
          <bgColor rgb="FF92D050"/>
        </patternFill>
      </fill>
    </dxf>
    <dxf>
      <fill>
        <patternFill>
          <bgColor theme="6"/>
        </patternFill>
      </fill>
    </dxf>
    <dxf>
      <fill>
        <patternFill patternType="lightUp"/>
      </fill>
    </dxf>
    <dxf>
      <fill>
        <patternFill patternType="darkUp"/>
      </fill>
    </dxf>
    <dxf>
      <fill>
        <patternFill>
          <bgColor theme="6"/>
        </patternFill>
      </fill>
    </dxf>
    <dxf>
      <fill>
        <patternFill>
          <bgColor rgb="FF92D050"/>
        </patternFill>
      </fill>
    </dxf>
    <dxf>
      <fill>
        <patternFill>
          <bgColor theme="8"/>
        </patternFill>
      </fill>
    </dxf>
    <dxf>
      <fill>
        <patternFill>
          <bgColor rgb="FF0099FF"/>
        </patternFill>
      </fill>
    </dxf>
    <dxf>
      <fill>
        <patternFill>
          <bgColor theme="4"/>
        </patternFill>
      </fill>
    </dxf>
    <dxf>
      <fill>
        <patternFill patternType="lightUp"/>
      </fill>
    </dxf>
    <dxf>
      <fill>
        <patternFill patternType="lightUp"/>
      </fill>
    </dxf>
    <dxf>
      <fill>
        <patternFill patternType="darkUp"/>
      </fill>
    </dxf>
    <dxf>
      <fill>
        <patternFill patternType="lightUp"/>
      </fill>
    </dxf>
    <dxf>
      <fill>
        <patternFill>
          <bgColor theme="8"/>
        </patternFill>
      </fill>
    </dxf>
    <dxf>
      <fill>
        <patternFill>
          <bgColor rgb="FF0099FF"/>
        </patternFill>
      </fill>
    </dxf>
    <dxf>
      <fill>
        <patternFill>
          <bgColor theme="4"/>
        </patternFill>
      </fill>
    </dxf>
    <dxf>
      <fill>
        <patternFill>
          <bgColor theme="6"/>
        </patternFill>
      </fill>
    </dxf>
    <dxf>
      <fill>
        <patternFill>
          <bgColor rgb="FF92D050"/>
        </patternFill>
      </fill>
    </dxf>
    <dxf>
      <fill>
        <patternFill patternType="lightUp"/>
      </fill>
    </dxf>
    <dxf>
      <fill>
        <patternFill patternType="lightUp"/>
      </fill>
    </dxf>
    <dxf>
      <font>
        <b/>
        <i val="0"/>
        <color auto="1"/>
      </font>
      <numFmt numFmtId="0" formatCode="General"/>
    </dxf>
    <dxf>
      <font>
        <b/>
        <i val="0"/>
        <color theme="1"/>
      </font>
      <fill>
        <gradientFill type="path" left="0.5" right="0.5" top="0.5" bottom="0.5">
          <stop position="0">
            <color theme="0"/>
          </stop>
          <stop position="1">
            <color theme="8" tint="-0.25098422193060094"/>
          </stop>
        </gradientFill>
      </fill>
    </dxf>
    <dxf>
      <font>
        <b/>
        <i val="0"/>
        <color theme="1"/>
      </font>
      <fill>
        <gradientFill type="path" left="0.5" right="0.5" top="0.5" bottom="0.5">
          <stop position="0">
            <color theme="0"/>
          </stop>
          <stop position="1">
            <color theme="0" tint="-0.49803155613879818"/>
          </stop>
        </gradientFill>
      </fill>
    </dxf>
    <dxf>
      <font>
        <b/>
        <i val="0"/>
        <color theme="1"/>
      </font>
      <fill>
        <gradientFill type="path" left="0.5" right="0.5" top="0.5" bottom="0.5">
          <stop position="0">
            <color theme="0"/>
          </stop>
          <stop position="1">
            <color theme="4"/>
          </stop>
        </gradientFill>
      </fill>
    </dxf>
    <dxf>
      <font>
        <b/>
        <i val="0"/>
        <color auto="1"/>
      </font>
      <numFmt numFmtId="0" formatCode="General"/>
    </dxf>
    <dxf>
      <font>
        <b/>
        <i val="0"/>
        <color theme="1"/>
      </font>
      <fill>
        <gradientFill type="path" left="0.5" right="0.5" top="0.5" bottom="0.5">
          <stop position="0">
            <color theme="0"/>
          </stop>
          <stop position="1">
            <color theme="8" tint="-0.25098422193060094"/>
          </stop>
        </gradientFill>
      </fill>
    </dxf>
    <dxf>
      <font>
        <b/>
        <i val="0"/>
        <color theme="1"/>
      </font>
      <fill>
        <gradientFill type="path" left="0.5" right="0.5" top="0.5" bottom="0.5">
          <stop position="0">
            <color theme="0"/>
          </stop>
          <stop position="1">
            <color theme="0" tint="-0.49803155613879818"/>
          </stop>
        </gradientFill>
      </fill>
    </dxf>
    <dxf>
      <font>
        <b/>
        <i val="0"/>
        <color theme="1"/>
      </font>
      <fill>
        <gradientFill type="path" left="0.5" right="0.5" top="0.5" bottom="0.5">
          <stop position="0">
            <color theme="0"/>
          </stop>
          <stop position="1">
            <color theme="4"/>
          </stop>
        </gradientFill>
      </fill>
    </dxf>
    <dxf>
      <font>
        <b/>
        <i val="0"/>
      </font>
      <numFmt numFmtId="0" formatCode="General"/>
    </dxf>
    <dxf>
      <font>
        <b/>
        <i val="0"/>
        <color theme="1"/>
      </font>
      <fill>
        <gradientFill type="path" left="0.5" right="0.5" top="0.5" bottom="0.5">
          <stop position="0">
            <color theme="0"/>
          </stop>
          <stop position="1">
            <color theme="8" tint="-0.25098422193060094"/>
          </stop>
        </gradientFill>
      </fill>
    </dxf>
    <dxf>
      <font>
        <b/>
        <i val="0"/>
        <color theme="1"/>
      </font>
      <fill>
        <gradientFill type="path" left="0.5" right="0.5" top="0.5" bottom="0.5">
          <stop position="0">
            <color theme="0"/>
          </stop>
          <stop position="1">
            <color theme="0" tint="-0.49803155613879818"/>
          </stop>
        </gradientFill>
      </fill>
    </dxf>
    <dxf>
      <font>
        <b/>
        <i val="0"/>
        <color theme="1"/>
      </font>
      <fill>
        <gradientFill type="path" left="0.5" right="0.5" top="0.5" bottom="0.5">
          <stop position="0">
            <color theme="0"/>
          </stop>
          <stop position="1">
            <color theme="4"/>
          </stop>
        </gradientFill>
      </fill>
    </dxf>
    <dxf>
      <font>
        <b/>
        <i val="0"/>
        <color auto="1"/>
      </font>
      <numFmt numFmtId="0" formatCode="General"/>
    </dxf>
    <dxf>
      <font>
        <b/>
        <i val="0"/>
        <color theme="1"/>
      </font>
      <fill>
        <gradientFill type="path" left="0.5" right="0.5" top="0.5" bottom="0.5">
          <stop position="0">
            <color theme="0"/>
          </stop>
          <stop position="1">
            <color theme="8" tint="-0.25098422193060094"/>
          </stop>
        </gradientFill>
      </fill>
    </dxf>
    <dxf>
      <font>
        <b/>
        <i val="0"/>
        <color theme="1"/>
      </font>
      <fill>
        <gradientFill type="path" left="0.5" right="0.5" top="0.5" bottom="0.5">
          <stop position="0">
            <color theme="0"/>
          </stop>
          <stop position="1">
            <color theme="0" tint="-0.49803155613879818"/>
          </stop>
        </gradientFill>
      </fill>
    </dxf>
    <dxf>
      <font>
        <b/>
        <i val="0"/>
        <color theme="1"/>
      </font>
      <fill>
        <gradientFill type="path" left="0.5" right="0.5" top="0.5" bottom="0.5">
          <stop position="0">
            <color theme="0"/>
          </stop>
          <stop position="1">
            <color theme="4"/>
          </stop>
        </gradientFill>
      </fill>
    </dxf>
    <dxf>
      <font>
        <b/>
        <i val="0"/>
      </font>
      <numFmt numFmtId="0" formatCode="General"/>
    </dxf>
    <dxf>
      <font>
        <b/>
        <i val="0"/>
        <color theme="1"/>
      </font>
      <fill>
        <gradientFill type="path" left="0.5" right="0.5" top="0.5" bottom="0.5">
          <stop position="0">
            <color theme="0"/>
          </stop>
          <stop position="1">
            <color theme="8" tint="-0.25098422193060094"/>
          </stop>
        </gradientFill>
      </fill>
    </dxf>
    <dxf>
      <font>
        <b/>
        <i val="0"/>
        <color theme="1"/>
      </font>
      <fill>
        <gradientFill type="path" left="0.5" right="0.5" top="0.5" bottom="0.5">
          <stop position="0">
            <color theme="0"/>
          </stop>
          <stop position="1">
            <color theme="0" tint="-0.49803155613879818"/>
          </stop>
        </gradientFill>
      </fill>
    </dxf>
    <dxf>
      <font>
        <b/>
        <i val="0"/>
        <color theme="1"/>
      </font>
      <fill>
        <gradientFill type="path" left="0.5" right="0.5" top="0.5" bottom="0.5">
          <stop position="0">
            <color theme="0"/>
          </stop>
          <stop position="1">
            <color theme="4"/>
          </stop>
        </gradientFill>
      </fill>
    </dxf>
    <dxf>
      <fill>
        <patternFill patternType="lightUp"/>
      </fill>
    </dxf>
    <dxf>
      <font>
        <color theme="0" tint="-0.14996795556505021"/>
      </font>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theme="4"/>
        </patternFill>
      </fill>
    </dxf>
    <dxf>
      <fill>
        <patternFill>
          <bgColor rgb="FF3399FF"/>
        </patternFill>
      </fill>
    </dxf>
    <dxf>
      <fill>
        <patternFill>
          <bgColor theme="8"/>
        </patternFill>
      </fill>
    </dxf>
    <dxf>
      <fill>
        <patternFill>
          <bgColor rgb="FF92D050"/>
        </patternFill>
      </fill>
    </dxf>
    <dxf>
      <fill>
        <patternFill>
          <bgColor theme="6"/>
        </patternFill>
      </fill>
    </dxf>
    <dxf>
      <fill>
        <patternFill>
          <bgColor theme="0" tint="-0.14996795556505021"/>
        </patternFill>
      </fill>
    </dxf>
    <dxf>
      <fill>
        <patternFill>
          <bgColor theme="2" tint="-9.9948118533890809E-2"/>
        </patternFill>
      </fill>
    </dxf>
    <dxf>
      <fill>
        <patternFill>
          <bgColor theme="0" tint="-0.34998626667073579"/>
        </patternFill>
      </fill>
    </dxf>
    <dxf>
      <font>
        <b/>
        <i val="0"/>
        <color rgb="FFFF0000"/>
      </font>
    </dxf>
    <dxf>
      <fill>
        <patternFill>
          <bgColor theme="4"/>
        </patternFill>
      </fill>
    </dxf>
    <dxf>
      <fill>
        <patternFill>
          <bgColor rgb="FF92D050"/>
        </patternFill>
      </fill>
    </dxf>
    <dxf>
      <fill>
        <patternFill>
          <bgColor theme="6"/>
        </patternFill>
      </fill>
    </dxf>
    <dxf>
      <fill>
        <patternFill>
          <bgColor theme="8"/>
        </patternFill>
      </fill>
    </dxf>
    <dxf>
      <fill>
        <patternFill>
          <bgColor rgb="FF3399FF"/>
        </patternFill>
      </fill>
    </dxf>
    <dxf>
      <fill>
        <patternFill>
          <bgColor theme="6"/>
        </patternFill>
      </fill>
      <border>
        <left style="thin">
          <color auto="1"/>
        </left>
        <right style="thin">
          <color auto="1"/>
        </right>
        <top style="thin">
          <color auto="1"/>
        </top>
        <bottom style="thin">
          <color auto="1"/>
        </bottom>
        <vertical/>
        <horizontal/>
      </border>
    </dxf>
    <dxf>
      <fill>
        <patternFill>
          <bgColor rgb="FF92D050"/>
        </patternFill>
      </fill>
      <border>
        <left style="thin">
          <color auto="1"/>
        </left>
        <right style="thin">
          <color auto="1"/>
        </right>
        <top style="thin">
          <color auto="1"/>
        </top>
        <bottom style="thin">
          <color auto="1"/>
        </bottom>
        <vertical/>
        <horizontal/>
      </border>
    </dxf>
    <dxf>
      <fill>
        <patternFill>
          <bgColor theme="8"/>
        </patternFill>
      </fill>
      <border>
        <left style="thin">
          <color auto="1"/>
        </left>
        <right style="thin">
          <color auto="1"/>
        </right>
        <top style="thin">
          <color auto="1"/>
        </top>
        <bottom style="thin">
          <color auto="1"/>
        </bottom>
        <vertical/>
        <horizontal/>
      </border>
    </dxf>
    <dxf>
      <fill>
        <patternFill>
          <bgColor rgb="FF3399FF"/>
        </patternFill>
      </fill>
      <border>
        <left style="thin">
          <color auto="1"/>
        </left>
        <right style="thin">
          <color auto="1"/>
        </right>
        <top style="thin">
          <color auto="1"/>
        </top>
        <bottom style="thin">
          <color auto="1"/>
        </bottom>
        <vertical/>
        <horizontal/>
      </border>
    </dxf>
    <dxf>
      <fill>
        <patternFill>
          <bgColor theme="4"/>
        </patternFill>
      </fill>
      <border>
        <left style="thin">
          <color auto="1"/>
        </left>
        <right style="thin">
          <color auto="1"/>
        </right>
        <top style="thin">
          <color auto="1"/>
        </top>
        <bottom style="thin">
          <color auto="1"/>
        </bottom>
        <vertical/>
        <horizontal/>
      </border>
    </dxf>
    <dxf>
      <fill>
        <patternFill patternType="lightUp"/>
      </fill>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border>
        <bottom style="thin">
          <color indexed="64"/>
        </bottom>
      </border>
    </dxf>
    <dxf>
      <font>
        <strike val="0"/>
        <outline val="0"/>
        <shadow val="0"/>
        <u val="none"/>
        <vertAlign val="baseline"/>
        <sz val="12"/>
        <color theme="1"/>
        <name val="Bierstadt"/>
        <family val="2"/>
        <scheme val="none"/>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border diagonalUp="0" diagonalDown="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dxf>
    <dxf>
      <border>
        <bottom style="thin">
          <color indexed="64"/>
        </bottom>
      </border>
    </dxf>
    <dxf>
      <font>
        <b/>
        <strike val="0"/>
        <outline val="0"/>
        <shadow val="0"/>
        <u val="none"/>
        <vertAlign val="baseline"/>
        <sz val="12"/>
        <color theme="1"/>
        <name val="Bierstadt"/>
        <family val="2"/>
        <scheme val="none"/>
      </font>
      <border diagonalUp="0" diagonalDown="0" outline="0">
        <left style="thin">
          <color indexed="64"/>
        </left>
        <right style="thin">
          <color indexed="64"/>
        </right>
        <top/>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dxf>
    <dxf>
      <border>
        <bottom style="thin">
          <color indexed="64"/>
        </bottom>
      </border>
    </dxf>
    <dxf>
      <font>
        <b/>
        <strike val="0"/>
        <outline val="0"/>
        <shadow val="0"/>
        <u val="none"/>
        <vertAlign val="baseline"/>
        <sz val="12"/>
        <color theme="1"/>
        <name val="Bierstadt"/>
        <family val="2"/>
        <scheme val="none"/>
      </font>
      <border diagonalUp="0" diagonalDown="0" outline="0">
        <left style="thin">
          <color indexed="64"/>
        </left>
        <right style="thin">
          <color indexed="64"/>
        </right>
        <top/>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border diagonalUp="0" diagonalDown="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dxf>
    <dxf>
      <border>
        <bottom style="thin">
          <color indexed="64"/>
        </bottom>
      </border>
    </dxf>
    <dxf>
      <font>
        <b/>
        <strike val="0"/>
        <outline val="0"/>
        <shadow val="0"/>
        <u val="none"/>
        <vertAlign val="baseline"/>
        <sz val="12"/>
        <color theme="1"/>
        <name val="Bierstadt"/>
        <family val="2"/>
        <scheme val="none"/>
      </font>
      <border diagonalUp="0" diagonalDown="0" outline="0">
        <left style="thin">
          <color indexed="64"/>
        </left>
        <right style="thin">
          <color indexed="64"/>
        </right>
        <top/>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border diagonalUp="0" diagonalDown="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dxf>
    <dxf>
      <border>
        <bottom style="thin">
          <color indexed="64"/>
        </bottom>
      </border>
    </dxf>
    <dxf>
      <font>
        <b/>
        <strike val="0"/>
        <outline val="0"/>
        <shadow val="0"/>
        <u val="none"/>
        <vertAlign val="baseline"/>
        <sz val="12"/>
        <color theme="1"/>
        <name val="Bierstadt"/>
        <family val="2"/>
        <scheme val="none"/>
      </font>
      <border diagonalUp="0" diagonalDown="0" outline="0">
        <left style="thin">
          <color indexed="64"/>
        </left>
        <right style="thin">
          <color indexed="64"/>
        </right>
        <top/>
        <bottom/>
      </border>
    </dxf>
    <dxf>
      <font>
        <strike val="0"/>
        <outline val="0"/>
        <shadow val="0"/>
        <u val="none"/>
        <vertAlign val="baseline"/>
        <sz val="12"/>
        <color theme="1"/>
        <name val="Bierstadt"/>
        <family val="2"/>
        <scheme val="none"/>
      </font>
      <numFmt numFmtId="1" formatCode="0"/>
      <fill>
        <patternFill patternType="solid">
          <fgColor indexed="64"/>
          <bgColor theme="2"/>
        </patternFill>
      </fill>
      <alignment horizont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1" formatCode="0"/>
      <fill>
        <patternFill patternType="solid">
          <fgColor indexed="64"/>
          <bgColor theme="2"/>
        </patternFill>
      </fil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1" formatCode="0"/>
      <fill>
        <patternFill patternType="solid">
          <fgColor indexed="64"/>
          <bgColor theme="2"/>
        </patternFill>
      </fil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1" formatCode="0"/>
      <fill>
        <patternFill patternType="solid">
          <fgColor indexed="64"/>
          <bgColor theme="2"/>
        </patternFill>
      </fil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1" formatCode="0"/>
      <fill>
        <patternFill patternType="solid">
          <fgColor indexed="64"/>
          <bgColor theme="2"/>
        </patternFill>
      </fil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1" formatCode="0"/>
      <fill>
        <patternFill patternType="solid">
          <fgColor indexed="64"/>
          <bgColor theme="2"/>
        </patternFill>
      </fil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1" formatCode="0"/>
      <fill>
        <patternFill patternType="solid">
          <fgColor indexed="64"/>
          <bgColor theme="2"/>
        </patternFill>
      </fil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1" formatCode="0"/>
      <fill>
        <patternFill patternType="solid">
          <fgColor indexed="64"/>
          <bgColor theme="2"/>
        </patternFill>
      </fil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1" formatCode="0"/>
      <fill>
        <patternFill patternType="solid">
          <fgColor indexed="64"/>
          <bgColor theme="2"/>
        </patternFill>
      </fil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0" formatCode="General"/>
      <fill>
        <patternFill patternType="solid">
          <fgColor indexed="64"/>
          <bgColor them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fill>
        <patternFill patternType="solid">
          <fgColor indexed="64"/>
          <bgColor theme="2"/>
        </patternFill>
      </fill>
      <alignment horizont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fill>
        <patternFill patternType="solid">
          <fgColor indexed="64"/>
          <bgColor theme="2"/>
        </patternFill>
      </fill>
      <alignment horizontal="center" textRotation="0" wrapText="0" indent="0" justifyLastLine="0" shrinkToFit="0" readingOrder="0"/>
    </dxf>
    <dxf>
      <border>
        <bottom style="thin">
          <color indexed="64"/>
        </bottom>
      </border>
    </dxf>
    <dxf>
      <font>
        <strike val="0"/>
        <outline val="0"/>
        <shadow val="0"/>
        <u val="none"/>
        <vertAlign val="baseline"/>
        <sz val="12"/>
        <color theme="1"/>
        <name val="Bierstadt"/>
        <family val="2"/>
        <scheme val="none"/>
      </font>
      <fill>
        <patternFill patternType="solid">
          <fgColor indexed="64"/>
          <bgColor theme="2"/>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theme="1"/>
        </left>
        <right/>
        <top/>
        <bottom style="thin">
          <color theme="1"/>
        </bottom>
        <vertical/>
        <horizontal/>
      </border>
    </dxf>
    <dxf>
      <font>
        <b val="0"/>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right style="thin">
          <color theme="1"/>
        </right>
        <top/>
        <bottom/>
      </border>
    </dxf>
    <dxf>
      <font>
        <b/>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right style="thin">
          <color theme="1"/>
        </right>
        <top style="thin">
          <color theme="1"/>
        </top>
        <bottom style="thin">
          <color theme="1"/>
        </bottom>
        <vertical/>
        <horizontal/>
      </border>
    </dxf>
    <dxf>
      <border outline="0">
        <left style="medium">
          <color indexed="64"/>
        </left>
        <right style="medium">
          <color indexed="64"/>
        </right>
        <top style="medium">
          <color indexed="64"/>
        </top>
      </border>
    </dxf>
    <dxf>
      <font>
        <b val="0"/>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b/>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b/>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b/>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13" formatCode="0%"/>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13" formatCode="0%"/>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13" formatCode="0%"/>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13" formatCode="0%"/>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style="medium">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style="medium">
          <color indexed="64"/>
        </left>
        <right/>
        <top style="thin">
          <color indexed="64"/>
        </top>
        <bottom style="thin">
          <color indexed="64"/>
        </bottom>
        <vertical/>
        <horizontal/>
      </border>
    </dxf>
    <dxf>
      <border outline="0">
        <top style="medium">
          <color indexed="64"/>
        </top>
        <bottom style="thin">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1"/>
        <name val="Bierstadt Display"/>
        <family val="2"/>
        <scheme val="none"/>
      </font>
      <fill>
        <patternFill patternType="solid">
          <fgColor indexed="64"/>
          <bgColor theme="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border outline="0">
        <top style="medium">
          <color indexed="64"/>
        </top>
        <bottom style="thin">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1"/>
        <name val="Bierstadt Display"/>
        <family val="2"/>
        <scheme val="none"/>
      </font>
      <fill>
        <patternFill patternType="solid">
          <fgColor indexed="64"/>
          <bgColor theme="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border outline="0">
        <left style="medium">
          <color indexed="64"/>
        </left>
        <right style="medium">
          <color indexed="64"/>
        </right>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1"/>
        <name val="Bierstadt Display"/>
        <family val="2"/>
        <scheme val="none"/>
      </font>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border outline="0">
        <left style="medium">
          <color indexed="64"/>
        </left>
        <right style="medium">
          <color indexed="64"/>
        </right>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1"/>
        <name val="Bierstadt Display"/>
        <family val="2"/>
        <scheme val="none"/>
      </font>
      <fill>
        <patternFill patternType="solid">
          <fgColor indexed="64"/>
          <bgColor theme="8"/>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border outline="0">
        <left style="medium">
          <color indexed="64"/>
        </left>
        <right style="medium">
          <color indexed="64"/>
        </right>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1"/>
        <name val="Bierstadt Display"/>
        <family val="2"/>
        <scheme val="none"/>
      </font>
      <fill>
        <patternFill patternType="solid">
          <fgColor indexed="64"/>
          <bgColor rgb="FF0099FF"/>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border outline="0">
        <left style="medium">
          <color indexed="64"/>
        </left>
        <right style="medium">
          <color indexed="64"/>
        </right>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1"/>
        <name val="Bierstadt Display"/>
        <family val="2"/>
        <scheme val="none"/>
      </font>
      <fill>
        <patternFill patternType="solid">
          <fgColor indexed="6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left/>
        <right style="medium">
          <color indexed="64"/>
        </right>
        <top style="thin">
          <color indexed="64"/>
        </top>
        <bottom style="thin">
          <color indexed="64"/>
        </bottom>
      </border>
    </dxf>
    <dxf>
      <font>
        <b/>
        <i val="0"/>
        <strike val="0"/>
        <condense val="0"/>
        <extend val="0"/>
        <outline val="0"/>
        <shadow val="0"/>
        <u val="none"/>
        <vertAlign val="baseline"/>
        <sz val="12"/>
        <color theme="1"/>
        <name val="Bierstadt Display"/>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alignment horizontal="center"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dxf>
    <dxf>
      <font>
        <b val="0"/>
        <i val="0"/>
        <strike val="0"/>
        <condense val="0"/>
        <extend val="0"/>
        <outline val="0"/>
        <shadow val="0"/>
        <u val="none"/>
        <vertAlign val="baseline"/>
        <sz val="12"/>
        <color theme="2" tint="-0.89999084444715716"/>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2" tint="-0.89999084444715716"/>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2" tint="-0.89999084444715716"/>
        <name val="Bierstadt Display"/>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2" tint="-0.89999084444715716"/>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2" tint="-0.89999084444715716"/>
        <name val="Bierstadt Display"/>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2"/>
        <color theme="2" tint="-0.89999084444715716"/>
        <name val="Bierstadt Display"/>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2" tint="-0.89999084444715716"/>
        <name val="Bierstadt Display"/>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2" tint="-0.89999084444715716"/>
        <name val="Bierstadt Display"/>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2" tint="-0.89999084444715716"/>
        <name val="Bierstadt Display"/>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2" tint="-0.89999084444715716"/>
        <name val="Bierstadt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2" tint="-0.89999084444715716"/>
        <name val="Bierstadt Display"/>
        <family val="2"/>
        <scheme val="none"/>
      </font>
      <alignment horizontal="center" vertical="center" textRotation="0" wrapText="0" indent="0" justifyLastLine="0" shrinkToFit="0" readingOrder="0"/>
    </dxf>
    <dxf>
      <border diagonalUp="0" diagonalDown="0">
        <left style="thick">
          <color theme="3"/>
        </left>
        <right style="thick">
          <color theme="3"/>
        </right>
        <top style="thick">
          <color theme="3"/>
        </top>
        <bottom style="thick">
          <color theme="3"/>
        </bottom>
      </border>
    </dxf>
    <dxf>
      <font>
        <b val="0"/>
        <i val="0"/>
        <strike val="0"/>
        <condense val="0"/>
        <extend val="0"/>
        <outline val="0"/>
        <shadow val="0"/>
        <u val="none"/>
        <vertAlign val="baseline"/>
        <sz val="12"/>
        <color theme="2" tint="-0.89999084444715716"/>
        <name val="Bierstadt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2" tint="-0.89999084444715716"/>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medium">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medium">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left" vertical="bottom"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theme="1"/>
        </left>
        <right style="thin">
          <color theme="1"/>
        </right>
        <top/>
        <bottom/>
      </border>
    </dxf>
    <dxf>
      <font>
        <b/>
        <i val="0"/>
        <strike val="0"/>
        <condense val="0"/>
        <extend val="0"/>
        <outline val="0"/>
        <shadow val="0"/>
        <u val="none"/>
        <vertAlign val="baseline"/>
        <sz val="12"/>
        <color rgb="FF0D0D0D"/>
        <name val="Bierstadt Display"/>
        <family val="2"/>
        <scheme val="none"/>
      </font>
      <fill>
        <patternFill patternType="solid">
          <fgColor rgb="FF000000"/>
          <bgColor rgb="FFBFBFBF"/>
        </patternFill>
      </fill>
      <alignment horizontal="center" vertical="bottom" textRotation="0" wrapText="0" indent="0" justifyLastLine="0" shrinkToFit="0" readingOrder="0"/>
      <border diagonalUp="0" diagonalDown="0">
        <left style="thin">
          <color rgb="FF000000"/>
        </left>
        <right style="thin">
          <color rgb="FF000000"/>
        </right>
        <top/>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2"/>
        <color rgb="FF0D0D0D"/>
        <name val="Bierstadt Display"/>
        <family val="2"/>
        <scheme val="none"/>
      </font>
      <fill>
        <patternFill patternType="solid">
          <fgColor rgb="FF000000"/>
          <bgColor rgb="FFBFBFBF"/>
        </patternFill>
      </fill>
      <alignment horizontal="center" vertical="bottom" textRotation="0" wrapText="0" indent="0" justifyLastLine="0" shrinkToFit="0" readingOrder="0"/>
      <border diagonalUp="0" diagonalDown="0">
        <left style="thin">
          <color rgb="FF000000"/>
        </left>
        <right style="thin">
          <color rgb="FF000000"/>
        </right>
        <top/>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2"/>
        <color theme="1"/>
        <name val="Bierstadt Display"/>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rgb="FF0D0D0D"/>
        <name val="Bierstadt Display"/>
        <family val="2"/>
        <scheme val="none"/>
      </font>
      <fill>
        <patternFill patternType="solid">
          <fgColor rgb="FF000000"/>
          <bgColor rgb="FFBFBFBF"/>
        </patternFill>
      </fill>
      <alignment horizontal="center" vertical="bottom" textRotation="0" wrapText="0" indent="0" justifyLastLine="0" shrinkToFit="0" readingOrder="0"/>
      <border diagonalUp="0" diagonalDown="0">
        <left style="thin">
          <color rgb="FF000000"/>
        </left>
        <right style="thin">
          <color rgb="FF000000"/>
        </right>
        <top/>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rgb="FF0D0D0D"/>
        <name val="Bierstadt Display"/>
        <family val="2"/>
        <scheme val="none"/>
      </font>
      <fill>
        <patternFill patternType="solid">
          <fgColor rgb="FF000000"/>
          <bgColor rgb="FFBFBFBF"/>
        </patternFill>
      </fill>
      <alignment horizontal="center" vertical="bottom" textRotation="0" wrapText="0" indent="0" justifyLastLine="0" shrinkToFit="0" readingOrder="0"/>
      <border diagonalUp="0" diagonalDown="0">
        <left style="thin">
          <color rgb="FF000000"/>
        </left>
        <right style="thin">
          <color rgb="FF000000"/>
        </right>
        <top/>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rgb="FF0D0D0D"/>
        <name val="Bierstadt Display"/>
        <family val="2"/>
        <scheme val="none"/>
      </font>
      <fill>
        <patternFill patternType="solid">
          <fgColor rgb="FF000000"/>
          <bgColor rgb="FFBFBFBF"/>
        </patternFill>
      </fill>
      <alignment horizontal="center" vertical="bottom" textRotation="0" wrapText="0" indent="0" justifyLastLine="0" shrinkToFit="0" readingOrder="0"/>
      <border diagonalUp="0" diagonalDown="0">
        <left style="thin">
          <color rgb="FF000000"/>
        </left>
        <right style="thin">
          <color rgb="FF000000"/>
        </right>
        <top/>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border>
    </dxf>
    <dxf>
      <font>
        <b/>
        <i val="0"/>
        <strike val="0"/>
        <condense val="0"/>
        <extend val="0"/>
        <outline val="0"/>
        <shadow val="0"/>
        <u val="none"/>
        <vertAlign val="baseline"/>
        <sz val="12"/>
        <color rgb="FF0D0D0D"/>
        <name val="Bierstadt Display"/>
        <family val="2"/>
        <scheme val="none"/>
      </font>
      <numFmt numFmtId="2" formatCode="0.00"/>
      <fill>
        <patternFill patternType="solid">
          <fgColor rgb="FF000000"/>
          <bgColor rgb="FFBFBFBF"/>
        </patternFill>
      </fill>
      <alignment horizontal="center"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2"/>
        <color rgb="FF0D0D0D"/>
        <name val="Bierstadt Display"/>
        <family val="2"/>
        <scheme val="none"/>
      </font>
      <numFmt numFmtId="2" formatCode="0.00"/>
      <fill>
        <patternFill patternType="solid">
          <fgColor rgb="FF000000"/>
          <bgColor rgb="FFBFBFBF"/>
        </patternFill>
      </fill>
      <alignment horizontal="center"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2"/>
        <color rgb="FF0D0D0D"/>
        <name val="Bierstadt Display"/>
        <family val="2"/>
        <scheme val="none"/>
      </font>
      <numFmt numFmtId="2" formatCode="0.00"/>
      <fill>
        <patternFill patternType="solid">
          <fgColor rgb="FF000000"/>
          <bgColor rgb="FFBFBFBF"/>
        </patternFill>
      </fill>
      <alignment horizontal="center"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2"/>
        <color rgb="FF0D0D0D"/>
        <name val="Bierstadt Display"/>
        <family val="2"/>
        <scheme val="none"/>
      </font>
      <fill>
        <patternFill patternType="solid">
          <fgColor rgb="FF000000"/>
          <bgColor rgb="FFBFBFBF"/>
        </patternFill>
      </fill>
      <alignment horizontal="center" vertical="bottom" textRotation="0" wrapText="0" indent="0" justifyLastLine="0" shrinkToFit="0" readingOrder="0"/>
      <border diagonalUp="0" diagonalDown="0">
        <left style="thin">
          <color rgb="FF000000"/>
        </left>
        <right style="thin">
          <color rgb="FF000000"/>
        </right>
        <top/>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2"/>
        <color rgb="FF0D0D0D"/>
        <name val="Bierstadt Display"/>
        <family val="2"/>
        <scheme val="none"/>
      </font>
      <fill>
        <patternFill patternType="solid">
          <fgColor rgb="FF000000"/>
          <bgColor rgb="FFBFBFBF"/>
        </patternFill>
      </fill>
      <alignment horizontal="center" vertical="bottom" textRotation="0" wrapText="0" indent="0" justifyLastLine="0" shrinkToFit="0" readingOrder="0"/>
      <border diagonalUp="0" diagonalDown="0">
        <left style="thin">
          <color rgb="FF000000"/>
        </left>
        <right style="thin">
          <color rgb="FF000000"/>
        </right>
        <top/>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medium">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medium">
          <color indexed="64"/>
        </left>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right style="thin">
          <color indexed="64"/>
        </right>
        <top/>
        <bottom/>
      </border>
    </dxf>
    <dxf>
      <font>
        <b/>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left" vertical="bottom"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font>
        <b/>
        <i val="0"/>
        <strike val="0"/>
        <condense val="0"/>
        <extend val="0"/>
        <outline val="0"/>
        <shadow val="0"/>
        <u val="none"/>
        <vertAlign val="baseline"/>
        <sz val="12"/>
        <color rgb="FF0D0D0D"/>
        <name val="Bierstadt Display"/>
        <family val="2"/>
        <scheme val="none"/>
      </font>
      <numFmt numFmtId="2" formatCode="0.00"/>
      <fill>
        <patternFill patternType="solid">
          <fgColor rgb="FF000000"/>
          <bgColor rgb="FFBFBFBF"/>
        </patternFill>
      </fill>
      <alignment horizontal="center" vertical="bottom" textRotation="0" wrapText="0" indent="0" justifyLastLine="0" shrinkToFit="0" readingOrder="0"/>
      <border diagonalUp="0" diagonalDown="0" outline="0">
        <left style="thin">
          <color rgb="FF000000"/>
        </left>
        <right style="thin">
          <color rgb="FF000000"/>
        </right>
        <top/>
        <bottom/>
      </border>
    </dxf>
    <dxf>
      <border diagonalUp="0" diagonalDown="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164" formatCode="0.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164" formatCode="0.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outline="0">
        <left style="medium">
          <color indexed="64"/>
        </left>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outline="0">
        <left style="medium">
          <color indexed="64"/>
        </left>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style="medium">
          <color indexed="64"/>
        </left>
        <right/>
        <top style="medium">
          <color indexed="64"/>
        </top>
        <bottom style="medium">
          <color indexed="64"/>
        </bottom>
      </border>
    </dxf>
    <dxf>
      <font>
        <b/>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rgb="FF000000"/>
        <name val="Bierstadt Display"/>
        <family val="2"/>
        <scheme val="none"/>
      </font>
      <alignment horizontal="center" vertical="center" textRotation="0" wrapText="0" indent="0" justifyLastLine="0" shrinkToFit="0" readingOrder="0"/>
    </dxf>
    <dxf>
      <border diagonalUp="0" diagonalDown="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rgb="FF000000"/>
        <name val="Bierstadt Display"/>
        <family val="2"/>
        <scheme val="none"/>
      </font>
      <alignment horizontal="center" vertical="center" textRotation="0" wrapText="0" indent="0" justifyLastLine="0" shrinkToFit="0" readingOrder="0"/>
    </dxf>
    <dxf>
      <border outline="0">
        <bottom style="medium">
          <color rgb="FF000000"/>
        </bottom>
      </border>
    </dxf>
    <dxf>
      <font>
        <b/>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theme="1"/>
        </left>
        <right style="thin">
          <color theme="1"/>
        </right>
        <top/>
        <bottom/>
      </border>
    </dxf>
    <dxf>
      <font>
        <strike val="0"/>
        <outline val="0"/>
        <shadow val="0"/>
        <u val="none"/>
        <vertAlign val="baseline"/>
        <sz val="12"/>
        <color theme="1"/>
        <name val="Bahnschrift Light"/>
        <family val="2"/>
        <scheme val="none"/>
      </font>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strike val="0"/>
        <outline val="0"/>
        <shadow val="0"/>
        <u val="none"/>
        <vertAlign val="baseline"/>
        <sz val="12"/>
        <color theme="1"/>
        <name val="Bahnschrift Light"/>
        <family val="2"/>
        <scheme val="none"/>
      </font>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strike val="0"/>
        <outline val="0"/>
        <shadow val="0"/>
        <u val="none"/>
        <vertAlign val="baseline"/>
        <sz val="12"/>
        <color theme="1"/>
        <name val="Bahnschrift Light"/>
        <family val="2"/>
        <scheme val="none"/>
      </font>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strike val="0"/>
        <outline val="0"/>
        <shadow val="0"/>
        <u val="none"/>
        <vertAlign val="baseline"/>
        <sz val="12"/>
        <color theme="1"/>
        <name val="Bahnschrift Light"/>
        <family val="2"/>
        <scheme val="none"/>
      </font>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strike val="0"/>
        <outline val="0"/>
        <shadow val="0"/>
        <u val="none"/>
        <vertAlign val="baseline"/>
        <sz val="12"/>
        <color theme="1"/>
        <name val="Bahnschrift Light"/>
        <family val="2"/>
        <scheme val="none"/>
      </font>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strike val="0"/>
        <outline val="0"/>
        <shadow val="0"/>
        <u val="none"/>
        <vertAlign val="baseline"/>
        <sz val="12"/>
        <color theme="1"/>
        <name val="Bahnschrift Light"/>
        <family val="2"/>
        <scheme val="none"/>
      </font>
    </dxf>
    <dxf>
      <font>
        <b val="0"/>
        <i val="0"/>
        <strike val="0"/>
        <condense val="0"/>
        <extend val="0"/>
        <outline val="0"/>
        <shadow val="0"/>
        <u val="none"/>
        <vertAlign val="baseline"/>
        <sz val="12"/>
        <color theme="1"/>
        <name val="Bierstadt Display"/>
        <family val="2"/>
        <scheme val="none"/>
      </font>
      <numFmt numFmtId="1" formatCode="0"/>
      <alignment horizontal="center" vertical="center" textRotation="0" wrapText="0" indent="0" justifyLastLine="0" shrinkToFit="0" readingOrder="0"/>
    </dxf>
    <dxf>
      <font>
        <strike val="0"/>
        <outline val="0"/>
        <shadow val="0"/>
        <u val="none"/>
        <vertAlign val="baseline"/>
        <sz val="12"/>
        <color theme="1"/>
        <name val="Bahnschrift Light"/>
        <family val="2"/>
        <scheme val="none"/>
      </font>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b val="0"/>
        <i val="0"/>
        <strike val="0"/>
        <condense val="0"/>
        <extend val="0"/>
        <outline val="0"/>
        <shadow val="0"/>
        <u val="none"/>
        <vertAlign val="baseline"/>
        <sz val="12"/>
        <color theme="1"/>
        <name val="Bahnschrift Light"/>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border diagonalUp="0" diagonalDown="0">
        <left style="thin">
          <color indexed="64"/>
        </left>
      </border>
    </dxf>
    <dxf>
      <font>
        <b val="0"/>
        <i val="0"/>
        <strike val="0"/>
        <condense val="0"/>
        <extend val="0"/>
        <outline val="0"/>
        <shadow val="0"/>
        <u val="none"/>
        <vertAlign val="baseline"/>
        <sz val="12"/>
        <color theme="1"/>
        <name val="Bahnschrift Light"/>
        <family val="2"/>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rgb="FF00CC66"/>
        </patternFill>
      </fill>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Bahnschrift Light"/>
        <family val="2"/>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rgb="FF00CC66"/>
        </patternFill>
      </fill>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Bahnschrift Light"/>
        <family val="2"/>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rgb="FF00CC66"/>
        </patternFill>
      </fill>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Bahnschrift Light"/>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rgb="FF00CC66"/>
        </patternFill>
      </fill>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Bahnschrift Light"/>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rgb="FF00CC66"/>
        </patternFill>
      </fill>
      <alignment horizontal="center" vertical="center" wrapText="0" indent="0" justifyLastLine="0" shrinkToFit="0" readingOrder="0"/>
      <border outline="0">
        <right style="thin">
          <color indexed="64"/>
        </right>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rgb="FF00CC66"/>
        </patternFill>
      </fill>
      <alignment horizontal="center" vertical="center" wrapText="0" indent="0" justifyLastLine="0" shrinkToFit="0" readingOrder="0"/>
    </dxf>
    <dxf>
      <font>
        <b val="0"/>
        <i val="0"/>
        <strike val="0"/>
        <condense val="0"/>
        <extend val="0"/>
        <outline val="0"/>
        <shadow val="0"/>
        <u val="none"/>
        <vertAlign val="baseline"/>
        <sz val="12"/>
        <color theme="1"/>
        <name val="Bahnschrift Light"/>
        <family val="2"/>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rgb="FF00CC66"/>
        </patternFill>
      </fill>
      <alignment horizontal="center" vertical="center" wrapText="0" indent="0" justifyLastLine="0" shrinkToFit="0" readingOrder="0"/>
    </dxf>
    <dxf>
      <font>
        <b val="0"/>
        <i val="0"/>
        <strike val="0"/>
        <condense val="0"/>
        <extend val="0"/>
        <outline val="0"/>
        <shadow val="0"/>
        <u val="none"/>
        <vertAlign val="baseline"/>
        <sz val="12"/>
        <color theme="1"/>
        <name val="Bahnschrift Light"/>
        <family val="2"/>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rgb="FF00CC66"/>
        </patternFill>
      </fill>
      <alignment horizontal="center" vertical="center" wrapText="0" indent="0" justifyLastLine="0" shrinkToFit="0" readingOrder="0"/>
    </dxf>
    <dxf>
      <font>
        <b val="0"/>
        <i val="0"/>
        <strike val="0"/>
        <condense val="0"/>
        <extend val="0"/>
        <outline val="0"/>
        <shadow val="0"/>
        <u val="none"/>
        <vertAlign val="baseline"/>
        <sz val="12"/>
        <color theme="1"/>
        <name val="Bahnschrift Light"/>
        <family val="2"/>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rgb="FF00CC66"/>
        </patternFill>
      </fill>
      <alignment horizontal="center" vertical="center"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strike val="0"/>
        <outline val="0"/>
        <shadow val="0"/>
        <u val="none"/>
        <vertAlign val="baseline"/>
        <sz val="12"/>
        <color theme="1"/>
        <name val="Bahnschrift Light"/>
        <family val="2"/>
        <scheme val="none"/>
      </font>
    </dxf>
    <dxf>
      <font>
        <b val="0"/>
        <i val="0"/>
        <strike val="0"/>
        <condense val="0"/>
        <extend val="0"/>
        <outline val="0"/>
        <shadow val="0"/>
        <u val="none"/>
        <vertAlign val="baseline"/>
        <sz val="12"/>
        <color theme="1"/>
        <name val="Bierstadt Display"/>
        <family val="2"/>
        <scheme val="none"/>
      </font>
      <alignment horizontal="center" vertical="center" wrapText="0" indent="0" justifyLastLine="0" shrinkToFit="0" readingOrder="0"/>
    </dxf>
    <dxf>
      <border>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wrapText="0" indent="0" justifyLastLine="0" shrinkToFit="0" readingOrder="0"/>
    </dxf>
    <dxf>
      <font>
        <strike val="0"/>
        <outline val="0"/>
        <shadow val="0"/>
        <u val="none"/>
        <vertAlign val="baseline"/>
        <color theme="1"/>
        <name val="Bierstadt Display"/>
        <family val="2"/>
        <scheme val="none"/>
      </font>
      <alignment horizontal="center" vertical="center" textRotation="0" wrapText="0" indent="0" justifyLastLine="0" shrinkToFit="0" readingOrder="0"/>
    </dxf>
    <dxf>
      <font>
        <strike val="0"/>
        <outline val="0"/>
        <shadow val="0"/>
        <u val="none"/>
        <vertAlign val="baseline"/>
        <color theme="1"/>
        <name val="Bierstadt Display"/>
        <family val="2"/>
        <scheme val="none"/>
      </font>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Bierstadt Display"/>
        <family val="2"/>
        <scheme val="none"/>
      </font>
      <numFmt numFmtId="165" formatCode="\D\-00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Bierstadt Display"/>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Bierstadt Display"/>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color theme="1"/>
        <name val="Bierstadt Display"/>
        <family val="2"/>
        <scheme val="none"/>
      </font>
    </dxf>
    <dxf>
      <border>
        <bottom style="medium">
          <color indexed="64"/>
        </bottom>
      </border>
    </dxf>
    <dxf>
      <font>
        <b/>
        <i val="0"/>
        <strike val="0"/>
        <condense val="0"/>
        <extend val="0"/>
        <outline val="0"/>
        <shadow val="0"/>
        <u val="none"/>
        <vertAlign val="baseline"/>
        <sz val="12"/>
        <color theme="0"/>
        <name val="Bierstadt Display"/>
        <family val="2"/>
        <scheme val="none"/>
      </font>
      <fill>
        <patternFill patternType="solid">
          <fgColor theme="6"/>
          <bgColor theme="0" tint="-0.499984740745262"/>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169" formatCode="h:mm;@"/>
      <fill>
        <patternFill patternType="solid">
          <fgColor theme="6" tint="0.59999389629810485"/>
          <bgColor theme="0" tint="-0.249977111117893"/>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69" formatCode="h:mm;@"/>
      <fill>
        <patternFill patternType="solid">
          <fgColor theme="6" tint="0.59999389629810485"/>
          <bgColor theme="0" tint="-0.249977111117893"/>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6" tint="0.59999389629810485"/>
          <bgColor theme="0" tint="-0.249977111117893"/>
        </patternFill>
      </fill>
      <alignment horizontal="left"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theme="6" tint="0.59999389629810485"/>
          <bgColor theme="0" tint="-0.249977111117893"/>
        </patternFill>
      </fill>
      <alignment horizontal="left"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theme="6" tint="0.59999389629810485"/>
          <bgColor theme="0" tint="-0.249977111117893"/>
        </patternFill>
      </fill>
      <alignment horizontal="left" vertical="center" textRotation="0" wrapText="0" indent="0" justifyLastLine="0" shrinkToFit="0" readingOrder="0"/>
      <border diagonalUp="0" diagonalDown="0">
        <left style="thin">
          <color indexed="64"/>
        </left>
        <right style="thin">
          <color indexed="64"/>
        </right>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theme="6" tint="0.59999389629810485"/>
          <bgColor theme="0" tint="-0.249977111117893"/>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6" tint="0.59999389629810485"/>
          <bgColor theme="0"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6" tint="0.59999389629810485"/>
          <bgColor theme="0" tint="-0.249977111117893"/>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6" tint="0.59999389629810485"/>
          <bgColor theme="0" tint="-0.249977111117893"/>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9" formatCode="dd/mm/yyyy"/>
      <fill>
        <patternFill patternType="solid">
          <fgColor theme="6" tint="0.59999389629810485"/>
          <bgColor theme="0" tint="-0.249977111117893"/>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6" tint="0.59999389629810485"/>
          <bgColor theme="0" tint="-0.249977111117893"/>
        </patternFill>
      </fill>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font>
        <strike val="0"/>
        <outline val="0"/>
        <shadow val="0"/>
        <u val="none"/>
        <vertAlign val="baseline"/>
        <sz val="12"/>
        <color theme="1"/>
        <name val="Bierstadt Display"/>
        <family val="2"/>
        <scheme val="none"/>
      </font>
      <numFmt numFmtId="0" formatCode="General"/>
      <fill>
        <patternFill patternType="solid">
          <fgColor theme="6" tint="0.59999389629810485"/>
          <bgColor theme="0" tint="-0.249977111117893"/>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fill>
        <patternFill patternType="solid">
          <fgColor theme="6" tint="0.59999389629810485"/>
          <bgColor theme="0" tint="-0.249977111117893"/>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fill>
        <patternFill patternType="solid">
          <fgColor theme="6" tint="0.59999389629810485"/>
          <bgColor theme="0" tint="-0.249977111117893"/>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fill>
        <patternFill patternType="solid">
          <fgColor theme="6" tint="0.59999389629810485"/>
          <bgColor theme="0" tint="-0.249977111117893"/>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9" formatCode="dd/mm/yyyy"/>
      <fill>
        <patternFill patternType="solid">
          <fgColor theme="6" tint="0.59999389629810485"/>
          <bgColor theme="0" tint="-0.249977111117893"/>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6" tint="0.59999389629810485"/>
          <bgColor theme="0" tint="-0.249977111117893"/>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6" tint="0.59999389629810485"/>
          <bgColor theme="0" tint="-0.249977111117893"/>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fill>
        <patternFill patternType="solid">
          <fgColor theme="6" tint="0.59999389629810485"/>
          <bgColor theme="0" tint="-0.249977111117893"/>
        </patternFill>
      </fill>
      <alignment horizontal="center" vertical="center" textRotation="0" wrapText="0" indent="0" justifyLastLine="0" shrinkToFit="0" readingOrder="0"/>
    </dxf>
    <dxf>
      <border>
        <bottom style="medium">
          <color indexed="64"/>
        </bottom>
      </border>
    </dxf>
    <dxf>
      <font>
        <b/>
        <i val="0"/>
        <strike val="0"/>
        <condense val="0"/>
        <extend val="0"/>
        <outline val="0"/>
        <shadow val="0"/>
        <u val="none"/>
        <vertAlign val="baseline"/>
        <sz val="12"/>
        <color theme="0"/>
        <name val="Bierstadt Display"/>
        <family val="2"/>
        <scheme val="none"/>
      </font>
      <fill>
        <patternFill patternType="solid">
          <fgColor theme="6"/>
          <bgColor theme="0" tint="-0.499984740745262"/>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border>
    </dxf>
    <dxf>
      <font>
        <strike val="0"/>
        <outline val="0"/>
        <shadow val="0"/>
        <u val="none"/>
        <vertAlign val="baseline"/>
        <sz val="12"/>
        <name val="Bierstadt Display"/>
        <family val="2"/>
        <scheme val="none"/>
      </font>
      <fill>
        <patternFill patternType="solid">
          <fgColor theme="6" tint="0.59999389629810485"/>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Bierstadt Display"/>
        <family val="2"/>
        <scheme val="none"/>
      </font>
      <fill>
        <patternFill patternType="solid">
          <fgColor theme="6" tint="0.59999389629810485"/>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Bierstadt Display"/>
        <family val="2"/>
        <scheme val="none"/>
      </font>
      <fill>
        <patternFill patternType="solid">
          <fgColor theme="6" tint="0.59999389629810485"/>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2"/>
        <name val="Bierstadt Display"/>
        <family val="2"/>
        <scheme val="none"/>
      </font>
      <fill>
        <patternFill patternType="solid">
          <fgColor theme="6" tint="0.59999389629810485"/>
          <bgColor theme="0" tint="-0.14999847407452621"/>
        </patternFill>
      </fill>
      <alignment horizontal="center"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theme="0"/>
        <name val="Bierstadt Display"/>
        <family val="2"/>
        <scheme val="none"/>
      </font>
      <fill>
        <patternFill patternType="solid">
          <fgColor theme="6"/>
          <bgColor theme="0" tint="-0.49998474074526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bgColor rgb="FF85E187"/>
        </patternFill>
      </fill>
    </dxf>
    <dxf>
      <fill>
        <patternFill>
          <bgColor rgb="FFB4F2A6"/>
        </patternFill>
      </fill>
    </dxf>
    <dxf>
      <font>
        <b/>
        <i val="0"/>
      </font>
      <fill>
        <patternFill>
          <bgColor rgb="FF92D050"/>
        </patternFill>
      </fill>
    </dxf>
    <dxf>
      <border>
        <left style="thin">
          <color auto="1"/>
        </left>
        <right style="thin">
          <color auto="1"/>
        </right>
        <top style="thin">
          <color auto="1"/>
        </top>
        <bottom style="thin">
          <color auto="1"/>
        </bottom>
        <vertical style="thin">
          <color auto="1"/>
        </vertical>
        <horizontal style="thin">
          <color auto="1"/>
        </horizontal>
      </border>
    </dxf>
    <dxf>
      <fill>
        <patternFill>
          <bgColor rgb="FF66CCFF"/>
        </patternFill>
      </fill>
    </dxf>
    <dxf>
      <fill>
        <patternFill>
          <bgColor rgb="FF3399FF"/>
        </patternFill>
      </fill>
    </dxf>
    <dxf>
      <fill>
        <patternFill>
          <bgColor rgb="FF0033CC"/>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2" defaultTableStyle="TableStyleMedium2" defaultPivotStyle="PivotStyleLight16">
    <tableStyle name="Blau (Z)" pivot="0" count="4" xr9:uid="{C0E5E48A-75C3-463D-9F19-C6B07053E641}">
      <tableStyleElement type="wholeTable" dxfId="1205"/>
      <tableStyleElement type="headerRow" dxfId="1204"/>
      <tableStyleElement type="firstRowStripe" dxfId="1203"/>
      <tableStyleElement type="secondRowStripe" dxfId="1202"/>
    </tableStyle>
    <tableStyle name="Tabellenformat 1" pivot="0" count="4" xr9:uid="{63F4EADE-7944-40DE-8597-159D5C8F7442}">
      <tableStyleElement type="wholeTable" dxfId="1201"/>
      <tableStyleElement type="headerRow" dxfId="1200"/>
      <tableStyleElement type="firstRowStripe" dxfId="1199"/>
      <tableStyleElement type="secondRowStripe" dxfId="1198"/>
    </tableStyle>
  </tableStyles>
  <colors>
    <mruColors>
      <color rgb="FF0033CC"/>
      <color rgb="FFCCFF99"/>
      <color rgb="FF85E187"/>
      <color rgb="FFCCCC00"/>
      <color rgb="FF3399FF"/>
      <color rgb="FFB4F2A6"/>
      <color rgb="FF66FF99"/>
      <color rgb="FF99FF99"/>
      <color rgb="FF0099FF"/>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calcChain" Target="calcChain.xml"/><Relationship Id="rId30"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1"/>
        <c:ser>
          <c:idx val="0"/>
          <c:order val="0"/>
          <c:tx>
            <c:v>GEG/GEGGES</c:v>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linear"/>
            <c:forward val="2"/>
            <c:dispRSqr val="0"/>
            <c:dispEq val="0"/>
          </c:trendline>
          <c:xVal>
            <c:numRef>
              <c:f>Koeffizienten!$J$2:$J$13</c:f>
              <c:numCache>
                <c:formatCode>General</c:formatCode>
                <c:ptCount val="12"/>
                <c:pt idx="0">
                  <c:v>610</c:v>
                </c:pt>
                <c:pt idx="1">
                  <c:v>550</c:v>
                </c:pt>
                <c:pt idx="2">
                  <c:v>599</c:v>
                </c:pt>
                <c:pt idx="3">
                  <c:v>605</c:v>
                </c:pt>
                <c:pt idx="4">
                  <c:v>593</c:v>
                </c:pt>
                <c:pt idx="5">
                  <c:v>536</c:v>
                </c:pt>
                <c:pt idx="6">
                  <c:v>578</c:v>
                </c:pt>
                <c:pt idx="7">
                  <c:v>539</c:v>
                </c:pt>
                <c:pt idx="8">
                  <c:v>519</c:v>
                </c:pt>
                <c:pt idx="9">
                  <c:v>558</c:v>
                </c:pt>
                <c:pt idx="10">
                  <c:v>649</c:v>
                </c:pt>
                <c:pt idx="11">
                  <c:v>512</c:v>
                </c:pt>
              </c:numCache>
            </c:numRef>
          </c:xVal>
          <c:yVal>
            <c:numRef>
              <c:f>Koeffizienten!$K$2:$K$13</c:f>
              <c:numCache>
                <c:formatCode>General</c:formatCode>
                <c:ptCount val="12"/>
                <c:pt idx="0">
                  <c:v>571</c:v>
                </c:pt>
                <c:pt idx="1">
                  <c:v>598</c:v>
                </c:pt>
                <c:pt idx="2">
                  <c:v>539</c:v>
                </c:pt>
                <c:pt idx="3">
                  <c:v>466</c:v>
                </c:pt>
                <c:pt idx="4">
                  <c:v>521</c:v>
                </c:pt>
                <c:pt idx="5">
                  <c:v>519</c:v>
                </c:pt>
                <c:pt idx="6">
                  <c:v>535</c:v>
                </c:pt>
                <c:pt idx="7">
                  <c:v>589</c:v>
                </c:pt>
                <c:pt idx="8">
                  <c:v>521</c:v>
                </c:pt>
                <c:pt idx="9">
                  <c:v>564</c:v>
                </c:pt>
                <c:pt idx="10">
                  <c:v>556</c:v>
                </c:pt>
                <c:pt idx="11">
                  <c:v>591</c:v>
                </c:pt>
              </c:numCache>
            </c:numRef>
          </c:yVal>
          <c:smooth val="0"/>
          <c:extLst>
            <c:ext xmlns:c16="http://schemas.microsoft.com/office/drawing/2014/chart" uri="{C3380CC4-5D6E-409C-BE32-E72D297353CC}">
              <c16:uniqueId val="{00000000-A83D-425E-A214-70D9F21912DC}"/>
            </c:ext>
          </c:extLst>
        </c:ser>
        <c:ser>
          <c:idx val="1"/>
          <c:order val="1"/>
          <c:tx>
            <c:v>Linear</c:v>
          </c:tx>
          <c:spPr>
            <a:ln w="12700" cap="rnd">
              <a:solidFill>
                <a:schemeClr val="tx1"/>
              </a:solidFill>
              <a:prstDash val="sysDash"/>
              <a:round/>
            </a:ln>
            <a:effectLst/>
          </c:spPr>
          <c:marker>
            <c:symbol val="none"/>
          </c:marker>
          <c:xVal>
            <c:numRef>
              <c:f>Koeffizienten!$L$2:$L$11</c:f>
              <c:numCache>
                <c:formatCode>General</c:formatCode>
                <c:ptCount val="10"/>
                <c:pt idx="0">
                  <c:v>440</c:v>
                </c:pt>
                <c:pt idx="1">
                  <c:v>460</c:v>
                </c:pt>
                <c:pt idx="2">
                  <c:v>480</c:v>
                </c:pt>
                <c:pt idx="3">
                  <c:v>500</c:v>
                </c:pt>
                <c:pt idx="4">
                  <c:v>520</c:v>
                </c:pt>
                <c:pt idx="5">
                  <c:v>540</c:v>
                </c:pt>
                <c:pt idx="6">
                  <c:v>560</c:v>
                </c:pt>
                <c:pt idx="7">
                  <c:v>580</c:v>
                </c:pt>
                <c:pt idx="8">
                  <c:v>600</c:v>
                </c:pt>
                <c:pt idx="9">
                  <c:v>620</c:v>
                </c:pt>
              </c:numCache>
            </c:numRef>
          </c:xVal>
          <c:yVal>
            <c:numRef>
              <c:f>Koeffizienten!$M$2:$M$11</c:f>
              <c:numCache>
                <c:formatCode>General</c:formatCode>
                <c:ptCount val="10"/>
                <c:pt idx="0">
                  <c:v>440</c:v>
                </c:pt>
                <c:pt idx="1">
                  <c:v>460</c:v>
                </c:pt>
                <c:pt idx="2">
                  <c:v>480</c:v>
                </c:pt>
                <c:pt idx="3">
                  <c:v>500</c:v>
                </c:pt>
                <c:pt idx="4">
                  <c:v>520</c:v>
                </c:pt>
                <c:pt idx="5">
                  <c:v>540</c:v>
                </c:pt>
                <c:pt idx="6">
                  <c:v>560</c:v>
                </c:pt>
                <c:pt idx="7">
                  <c:v>580</c:v>
                </c:pt>
                <c:pt idx="8">
                  <c:v>600</c:v>
                </c:pt>
                <c:pt idx="9">
                  <c:v>620</c:v>
                </c:pt>
              </c:numCache>
            </c:numRef>
          </c:yVal>
          <c:smooth val="0"/>
          <c:extLst>
            <c:ext xmlns:c16="http://schemas.microsoft.com/office/drawing/2014/chart" uri="{C3380CC4-5D6E-409C-BE32-E72D297353CC}">
              <c16:uniqueId val="{00000003-A83D-425E-A214-70D9F21912DC}"/>
            </c:ext>
          </c:extLst>
        </c:ser>
        <c:dLbls>
          <c:showLegendKey val="0"/>
          <c:showVal val="0"/>
          <c:showCatName val="0"/>
          <c:showSerName val="0"/>
          <c:showPercent val="0"/>
          <c:showBubbleSize val="0"/>
        </c:dLbls>
        <c:axId val="670963776"/>
        <c:axId val="670963296"/>
      </c:scatterChart>
      <c:valAx>
        <c:axId val="670963776"/>
        <c:scaling>
          <c:orientation val="minMax"/>
          <c:max val="600"/>
          <c:min val="480"/>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de-DE"/>
                  <a:t>GES</a:t>
                </a:r>
              </a:p>
            </c:rich>
          </c:tx>
          <c:overlay val="0"/>
          <c:spPr>
            <a:noFill/>
            <a:ln>
              <a:noFill/>
            </a:ln>
            <a:effectLst/>
          </c:sp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de-DE"/>
          </a:p>
        </c:txPr>
        <c:crossAx val="670963296"/>
        <c:crosses val="autoZero"/>
        <c:crossBetween val="midCat"/>
      </c:valAx>
      <c:valAx>
        <c:axId val="670963296"/>
        <c:scaling>
          <c:orientation val="minMax"/>
          <c:max val="600"/>
          <c:min val="480"/>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de-DE"/>
                  <a:t>GEGGES</a:t>
                </a:r>
              </a:p>
            </c:rich>
          </c:tx>
          <c:overlay val="0"/>
          <c:spPr>
            <a:noFill/>
            <a:ln>
              <a:noFill/>
            </a:ln>
            <a:effectLst/>
          </c:sp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de-DE"/>
          </a:p>
        </c:txPr>
        <c:crossAx val="6709637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x"/>
            <c:size val="6"/>
            <c:spPr>
              <a:noFill/>
              <a:ln w="25400">
                <a:solidFill>
                  <a:schemeClr val="tx1">
                    <a:alpha val="60000"/>
                  </a:schemeClr>
                </a:solidFill>
              </a:ln>
              <a:effectLst/>
            </c:spPr>
          </c:marker>
          <c:xVal>
            <c:numRef>
              <c:f>Koeffizienten!$S$2:$S$20</c:f>
              <c:numCache>
                <c:formatCode>General</c:formatCode>
                <c:ptCount val="19"/>
                <c:pt idx="0">
                  <c:v>378</c:v>
                </c:pt>
                <c:pt idx="1">
                  <c:v>367</c:v>
                </c:pt>
                <c:pt idx="2">
                  <c:v>379</c:v>
                </c:pt>
                <c:pt idx="3">
                  <c:v>382</c:v>
                </c:pt>
                <c:pt idx="4">
                  <c:v>385</c:v>
                </c:pt>
                <c:pt idx="5">
                  <c:v>356</c:v>
                </c:pt>
                <c:pt idx="6">
                  <c:v>367</c:v>
                </c:pt>
                <c:pt idx="7">
                  <c:v>350</c:v>
                </c:pt>
                <c:pt idx="8">
                  <c:v>361</c:v>
                </c:pt>
                <c:pt idx="9">
                  <c:v>364</c:v>
                </c:pt>
                <c:pt idx="10">
                  <c:v>405</c:v>
                </c:pt>
                <c:pt idx="11">
                  <c:v>349</c:v>
                </c:pt>
                <c:pt idx="12">
                  <c:v>358</c:v>
                </c:pt>
              </c:numCache>
            </c:numRef>
          </c:xVal>
          <c:yVal>
            <c:numRef>
              <c:f>Koeffizienten!$T$2:$T$20</c:f>
              <c:numCache>
                <c:formatCode>General</c:formatCode>
                <c:ptCount val="19"/>
                <c:pt idx="0">
                  <c:v>232</c:v>
                </c:pt>
                <c:pt idx="1">
                  <c:v>183</c:v>
                </c:pt>
                <c:pt idx="2">
                  <c:v>220</c:v>
                </c:pt>
                <c:pt idx="3">
                  <c:v>223</c:v>
                </c:pt>
                <c:pt idx="4">
                  <c:v>208</c:v>
                </c:pt>
                <c:pt idx="5">
                  <c:v>180</c:v>
                </c:pt>
                <c:pt idx="6">
                  <c:v>211</c:v>
                </c:pt>
                <c:pt idx="7">
                  <c:v>189</c:v>
                </c:pt>
                <c:pt idx="8">
                  <c:v>158</c:v>
                </c:pt>
                <c:pt idx="9">
                  <c:v>194</c:v>
                </c:pt>
                <c:pt idx="10">
                  <c:v>244</c:v>
                </c:pt>
                <c:pt idx="11">
                  <c:v>163</c:v>
                </c:pt>
                <c:pt idx="12">
                  <c:v>182</c:v>
                </c:pt>
              </c:numCache>
            </c:numRef>
          </c:yVal>
          <c:smooth val="0"/>
          <c:extLst>
            <c:ext xmlns:c16="http://schemas.microsoft.com/office/drawing/2014/chart" uri="{C3380CC4-5D6E-409C-BE32-E72D297353CC}">
              <c16:uniqueId val="{00000000-734E-4209-A2F3-60371E9FEA3A}"/>
            </c:ext>
          </c:extLst>
        </c:ser>
        <c:ser>
          <c:idx val="1"/>
          <c:order val="1"/>
          <c:tx>
            <c:v>Schnitt</c:v>
          </c:tx>
          <c:spPr>
            <a:ln w="25400" cap="rnd">
              <a:noFill/>
              <a:round/>
            </a:ln>
            <a:effectLst/>
          </c:spPr>
          <c:marker>
            <c:symbol val="none"/>
          </c:marker>
          <c:trendline>
            <c:spPr>
              <a:ln w="12700" cap="rnd">
                <a:solidFill>
                  <a:srgbClr val="0033CC"/>
                </a:solidFill>
                <a:prstDash val="dash"/>
              </a:ln>
              <a:effectLst/>
            </c:spPr>
            <c:trendlineType val="linear"/>
            <c:dispRSqr val="0"/>
            <c:dispEq val="0"/>
          </c:trendline>
          <c:xVal>
            <c:numRef>
              <c:f>Koeffizienten!$U$2:$U$3</c:f>
              <c:numCache>
                <c:formatCode>General</c:formatCode>
                <c:ptCount val="2"/>
                <c:pt idx="0">
                  <c:v>200</c:v>
                </c:pt>
                <c:pt idx="1">
                  <c:v>500</c:v>
                </c:pt>
              </c:numCache>
            </c:numRef>
          </c:xVal>
          <c:yVal>
            <c:numRef>
              <c:f>Koeffizienten!$V$2:$V$3</c:f>
              <c:numCache>
                <c:formatCode>General</c:formatCode>
                <c:ptCount val="2"/>
                <c:pt idx="0">
                  <c:v>100</c:v>
                </c:pt>
                <c:pt idx="1">
                  <c:v>250</c:v>
                </c:pt>
              </c:numCache>
            </c:numRef>
          </c:yVal>
          <c:smooth val="0"/>
          <c:extLst>
            <c:ext xmlns:c16="http://schemas.microsoft.com/office/drawing/2014/chart" uri="{C3380CC4-5D6E-409C-BE32-E72D297353CC}">
              <c16:uniqueId val="{00000002-734E-4209-A2F3-60371E9FEA3A}"/>
            </c:ext>
          </c:extLst>
        </c:ser>
        <c:dLbls>
          <c:showLegendKey val="0"/>
          <c:showVal val="0"/>
          <c:showCatName val="0"/>
          <c:showSerName val="0"/>
          <c:showPercent val="0"/>
          <c:showBubbleSize val="0"/>
        </c:dLbls>
        <c:axId val="93289503"/>
        <c:axId val="93289983"/>
      </c:scatterChart>
      <c:valAx>
        <c:axId val="93289503"/>
        <c:scaling>
          <c:orientation val="minMax"/>
          <c:max val="420"/>
          <c:min val="26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de-DE"/>
                  <a:t>Volle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de-DE"/>
          </a:p>
        </c:txPr>
        <c:crossAx val="93289983"/>
        <c:crosses val="autoZero"/>
        <c:crossBetween val="midCat"/>
        <c:majorUnit val="10"/>
      </c:valAx>
      <c:valAx>
        <c:axId val="93289983"/>
        <c:scaling>
          <c:orientation val="minMax"/>
          <c:max val="250"/>
          <c:min val="13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de-DE"/>
                  <a:t>Räumer</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de-DE"/>
          </a:p>
        </c:txPr>
        <c:crossAx val="932895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7491481327991893E-2"/>
          <c:y val="6.6500722735744991E-2"/>
          <c:w val="0.90334542063820966"/>
          <c:h val="0.74926141732283469"/>
        </c:manualLayout>
      </c:layout>
      <c:barChart>
        <c:barDir val="col"/>
        <c:grouping val="stacked"/>
        <c:varyColors val="0"/>
        <c:ser>
          <c:idx val="1"/>
          <c:order val="0"/>
          <c:tx>
            <c:v>Volle</c:v>
          </c:tx>
          <c:spPr>
            <a:solidFill>
              <a:schemeClr val="bg2">
                <a:lumMod val="25000"/>
              </a:schemeClr>
            </a:solidFill>
            <a:ln w="12700">
              <a:solidFill>
                <a:schemeClr val="bg2">
                  <a:lumMod val="10000"/>
                </a:schemeClr>
              </a:solid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800" b="0" i="0" u="none" strike="noStrike" kern="1200" baseline="0">
                    <a:solidFill>
                      <a:schemeClr val="bg1"/>
                    </a:solidFill>
                    <a:latin typeface="Bierstadt"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[0]!Einzelfilter_Gegner</c:f>
              <c:strCache>
                <c:ptCount val="13"/>
                <c:pt idx="0">
                  <c:v>TSV 90 Zwickau II [H]</c:v>
                </c:pt>
                <c:pt idx="1">
                  <c:v>Brand-Erbisdorf</c:v>
                </c:pt>
                <c:pt idx="2">
                  <c:v>SG Grün-Weiß Mehltheuer II [H]</c:v>
                </c:pt>
                <c:pt idx="3">
                  <c:v>TuS Gerolsheim [H]</c:v>
                </c:pt>
                <c:pt idx="4">
                  <c:v>KSV Blau-Gelb Taucha II [H]</c:v>
                </c:pt>
                <c:pt idx="5">
                  <c:v>SG Hohentanne [H]</c:v>
                </c:pt>
                <c:pt idx="6">
                  <c:v>Leipzig</c:v>
                </c:pt>
                <c:pt idx="7">
                  <c:v>SKV 9-Pins Stollberg II [H]</c:v>
                </c:pt>
                <c:pt idx="8">
                  <c:v>Köthen</c:v>
                </c:pt>
                <c:pt idx="9">
                  <c:v>Treuen</c:v>
                </c:pt>
                <c:pt idx="10">
                  <c:v>Zwickau</c:v>
                </c:pt>
                <c:pt idx="11">
                  <c:v>SpG Großschirma/Brand-Erbisdorf [H]</c:v>
                </c:pt>
                <c:pt idx="12">
                  <c:v>Königsbrücker KV WR [H]</c:v>
                </c:pt>
              </c:strCache>
            </c:strRef>
          </c:cat>
          <c:val>
            <c:numRef>
              <c:f>[0]!Einzelfilter_Volle</c:f>
              <c:numCache>
                <c:formatCode>General</c:formatCode>
                <c:ptCount val="13"/>
                <c:pt idx="0">
                  <c:v>378</c:v>
                </c:pt>
                <c:pt idx="1">
                  <c:v>367</c:v>
                </c:pt>
                <c:pt idx="2">
                  <c:v>379</c:v>
                </c:pt>
                <c:pt idx="3">
                  <c:v>364</c:v>
                </c:pt>
                <c:pt idx="4">
                  <c:v>382</c:v>
                </c:pt>
                <c:pt idx="5">
                  <c:v>385</c:v>
                </c:pt>
                <c:pt idx="6">
                  <c:v>405</c:v>
                </c:pt>
                <c:pt idx="7">
                  <c:v>356</c:v>
                </c:pt>
                <c:pt idx="8">
                  <c:v>349</c:v>
                </c:pt>
                <c:pt idx="9">
                  <c:v>367</c:v>
                </c:pt>
                <c:pt idx="10">
                  <c:v>350</c:v>
                </c:pt>
                <c:pt idx="11">
                  <c:v>361</c:v>
                </c:pt>
                <c:pt idx="12">
                  <c:v>358</c:v>
                </c:pt>
              </c:numCache>
            </c:numRef>
          </c:val>
          <c:extLst>
            <c:ext xmlns:c16="http://schemas.microsoft.com/office/drawing/2014/chart" uri="{C3380CC4-5D6E-409C-BE32-E72D297353CC}">
              <c16:uniqueId val="{00000002-CD79-4A32-8F0C-BE4174683F08}"/>
            </c:ext>
          </c:extLst>
        </c:ser>
        <c:ser>
          <c:idx val="2"/>
          <c:order val="1"/>
          <c:tx>
            <c:v>Räumer</c:v>
          </c:tx>
          <c:spPr>
            <a:solidFill>
              <a:schemeClr val="tx2">
                <a:lumMod val="75000"/>
                <a:lumOff val="25000"/>
              </a:schemeClr>
            </a:solidFill>
            <a:ln w="12700">
              <a:solidFill>
                <a:schemeClr val="bg2">
                  <a:lumMod val="10000"/>
                </a:schemeClr>
              </a:solid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800" b="0" i="0" u="none" strike="noStrike" kern="1200" baseline="0">
                    <a:solidFill>
                      <a:schemeClr val="bg1"/>
                    </a:solidFill>
                    <a:latin typeface="Bierstadt"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[0]!Einzelfilter_Gegner</c:f>
              <c:strCache>
                <c:ptCount val="13"/>
                <c:pt idx="0">
                  <c:v>TSV 90 Zwickau II [H]</c:v>
                </c:pt>
                <c:pt idx="1">
                  <c:v>Brand-Erbisdorf</c:v>
                </c:pt>
                <c:pt idx="2">
                  <c:v>SG Grün-Weiß Mehltheuer II [H]</c:v>
                </c:pt>
                <c:pt idx="3">
                  <c:v>TuS Gerolsheim [H]</c:v>
                </c:pt>
                <c:pt idx="4">
                  <c:v>KSV Blau-Gelb Taucha II [H]</c:v>
                </c:pt>
                <c:pt idx="5">
                  <c:v>SG Hohentanne [H]</c:v>
                </c:pt>
                <c:pt idx="6">
                  <c:v>Leipzig</c:v>
                </c:pt>
                <c:pt idx="7">
                  <c:v>SKV 9-Pins Stollberg II [H]</c:v>
                </c:pt>
                <c:pt idx="8">
                  <c:v>Köthen</c:v>
                </c:pt>
                <c:pt idx="9">
                  <c:v>Treuen</c:v>
                </c:pt>
                <c:pt idx="10">
                  <c:v>Zwickau</c:v>
                </c:pt>
                <c:pt idx="11">
                  <c:v>SpG Großschirma/Brand-Erbisdorf [H]</c:v>
                </c:pt>
                <c:pt idx="12">
                  <c:v>Königsbrücker KV WR [H]</c:v>
                </c:pt>
              </c:strCache>
            </c:strRef>
          </c:cat>
          <c:val>
            <c:numRef>
              <c:f>[0]!Einzelfilter_Räumer</c:f>
              <c:numCache>
                <c:formatCode>General</c:formatCode>
                <c:ptCount val="13"/>
                <c:pt idx="0">
                  <c:v>232</c:v>
                </c:pt>
                <c:pt idx="1">
                  <c:v>183</c:v>
                </c:pt>
                <c:pt idx="2">
                  <c:v>220</c:v>
                </c:pt>
                <c:pt idx="3">
                  <c:v>194</c:v>
                </c:pt>
                <c:pt idx="4">
                  <c:v>223</c:v>
                </c:pt>
                <c:pt idx="5">
                  <c:v>208</c:v>
                </c:pt>
                <c:pt idx="6">
                  <c:v>244</c:v>
                </c:pt>
                <c:pt idx="7">
                  <c:v>180</c:v>
                </c:pt>
                <c:pt idx="8">
                  <c:v>163</c:v>
                </c:pt>
                <c:pt idx="9">
                  <c:v>211</c:v>
                </c:pt>
                <c:pt idx="10">
                  <c:v>189</c:v>
                </c:pt>
                <c:pt idx="11">
                  <c:v>158</c:v>
                </c:pt>
                <c:pt idx="12">
                  <c:v>182</c:v>
                </c:pt>
              </c:numCache>
            </c:numRef>
          </c:val>
          <c:extLst>
            <c:ext xmlns:c16="http://schemas.microsoft.com/office/drawing/2014/chart" uri="{C3380CC4-5D6E-409C-BE32-E72D297353CC}">
              <c16:uniqueId val="{00000003-CD79-4A32-8F0C-BE4174683F08}"/>
            </c:ext>
          </c:extLst>
        </c:ser>
        <c:dLbls>
          <c:showLegendKey val="0"/>
          <c:showVal val="0"/>
          <c:showCatName val="0"/>
          <c:showSerName val="0"/>
          <c:showPercent val="0"/>
          <c:showBubbleSize val="0"/>
        </c:dLbls>
        <c:gapWidth val="200"/>
        <c:overlap val="100"/>
        <c:serLines>
          <c:spPr>
            <a:ln w="9525" cap="flat" cmpd="sng" algn="ctr">
              <a:solidFill>
                <a:schemeClr val="tx1"/>
              </a:solidFill>
              <a:round/>
            </a:ln>
            <a:effectLst/>
          </c:spPr>
        </c:serLines>
        <c:axId val="1684922192"/>
        <c:axId val="1558539184"/>
      </c:barChart>
      <c:lineChart>
        <c:grouping val="standard"/>
        <c:varyColors val="0"/>
        <c:ser>
          <c:idx val="0"/>
          <c:order val="2"/>
          <c:tx>
            <c:v>Gesamt</c:v>
          </c:tx>
          <c:spPr>
            <a:ln w="28575" cap="rnd">
              <a:solidFill>
                <a:schemeClr val="bg2">
                  <a:lumMod val="10000"/>
                </a:schemeClr>
              </a:solidFill>
              <a:round/>
            </a:ln>
            <a:effectLst/>
          </c:spPr>
          <c:marker>
            <c:symbol val="circle"/>
            <c:size val="10"/>
            <c:spPr>
              <a:solidFill>
                <a:schemeClr val="bg2">
                  <a:lumMod val="10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Bierstadt" panose="020B0004020202020204" pitchFamily="34" charset="0"/>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00B050"/>
                </a:solidFill>
                <a:prstDash val="sysDot"/>
              </a:ln>
              <a:effectLst/>
            </c:spPr>
            <c:trendlineType val="linear"/>
            <c:dispRSqr val="0"/>
            <c:dispEq val="0"/>
          </c:trendline>
          <c:cat>
            <c:strRef>
              <c:f>[0]!Einzelfilter_Gegner</c:f>
              <c:strCache>
                <c:ptCount val="13"/>
                <c:pt idx="0">
                  <c:v>TSV 90 Zwickau II [H]</c:v>
                </c:pt>
                <c:pt idx="1">
                  <c:v>Brand-Erbisdorf</c:v>
                </c:pt>
                <c:pt idx="2">
                  <c:v>SG Grün-Weiß Mehltheuer II [H]</c:v>
                </c:pt>
                <c:pt idx="3">
                  <c:v>TuS Gerolsheim [H]</c:v>
                </c:pt>
                <c:pt idx="4">
                  <c:v>KSV Blau-Gelb Taucha II [H]</c:v>
                </c:pt>
                <c:pt idx="5">
                  <c:v>SG Hohentanne [H]</c:v>
                </c:pt>
                <c:pt idx="6">
                  <c:v>Leipzig</c:v>
                </c:pt>
                <c:pt idx="7">
                  <c:v>SKV 9-Pins Stollberg II [H]</c:v>
                </c:pt>
                <c:pt idx="8">
                  <c:v>Köthen</c:v>
                </c:pt>
                <c:pt idx="9">
                  <c:v>Treuen</c:v>
                </c:pt>
                <c:pt idx="10">
                  <c:v>Zwickau</c:v>
                </c:pt>
                <c:pt idx="11">
                  <c:v>SpG Großschirma/Brand-Erbisdorf [H]</c:v>
                </c:pt>
                <c:pt idx="12">
                  <c:v>Königsbrücker KV WR [H]</c:v>
                </c:pt>
              </c:strCache>
            </c:strRef>
          </c:cat>
          <c:val>
            <c:numRef>
              <c:f>[0]!Einzelfilter_Gesamt</c:f>
              <c:numCache>
                <c:formatCode>General</c:formatCode>
                <c:ptCount val="13"/>
                <c:pt idx="0">
                  <c:v>610</c:v>
                </c:pt>
                <c:pt idx="1">
                  <c:v>550</c:v>
                </c:pt>
                <c:pt idx="2">
                  <c:v>599</c:v>
                </c:pt>
                <c:pt idx="3">
                  <c:v>558</c:v>
                </c:pt>
                <c:pt idx="4">
                  <c:v>605</c:v>
                </c:pt>
                <c:pt idx="5">
                  <c:v>593</c:v>
                </c:pt>
                <c:pt idx="6">
                  <c:v>649</c:v>
                </c:pt>
                <c:pt idx="7">
                  <c:v>536</c:v>
                </c:pt>
                <c:pt idx="8">
                  <c:v>512</c:v>
                </c:pt>
                <c:pt idx="9">
                  <c:v>578</c:v>
                </c:pt>
                <c:pt idx="10">
                  <c:v>539</c:v>
                </c:pt>
                <c:pt idx="11">
                  <c:v>519</c:v>
                </c:pt>
                <c:pt idx="12">
                  <c:v>540</c:v>
                </c:pt>
              </c:numCache>
            </c:numRef>
          </c:val>
          <c:smooth val="0"/>
          <c:extLst>
            <c:ext xmlns:c16="http://schemas.microsoft.com/office/drawing/2014/chart" uri="{C3380CC4-5D6E-409C-BE32-E72D297353CC}">
              <c16:uniqueId val="{0000000A-CD79-4A32-8F0C-BE4174683F08}"/>
            </c:ext>
          </c:extLst>
        </c:ser>
        <c:ser>
          <c:idx val="3"/>
          <c:order val="3"/>
          <c:tx>
            <c:v>Schnitt</c:v>
          </c:tx>
          <c:spPr>
            <a:ln w="22225" cap="rnd">
              <a:solidFill>
                <a:schemeClr val="accent5"/>
              </a:solidFill>
              <a:prstDash val="dash"/>
              <a:round/>
            </a:ln>
            <a:effectLst/>
          </c:spPr>
          <c:marker>
            <c:symbol val="none"/>
          </c:marker>
          <c:dLbls>
            <c:delete val="1"/>
          </c:dLbls>
          <c:cat>
            <c:strRef>
              <c:f>[0]!Einzelfilter_Gegner</c:f>
              <c:strCache>
                <c:ptCount val="13"/>
                <c:pt idx="0">
                  <c:v>TSV 90 Zwickau II [H]</c:v>
                </c:pt>
                <c:pt idx="1">
                  <c:v>Brand-Erbisdorf</c:v>
                </c:pt>
                <c:pt idx="2">
                  <c:v>SG Grün-Weiß Mehltheuer II [H]</c:v>
                </c:pt>
                <c:pt idx="3">
                  <c:v>TuS Gerolsheim [H]</c:v>
                </c:pt>
                <c:pt idx="4">
                  <c:v>KSV Blau-Gelb Taucha II [H]</c:v>
                </c:pt>
                <c:pt idx="5">
                  <c:v>SG Hohentanne [H]</c:v>
                </c:pt>
                <c:pt idx="6">
                  <c:v>Leipzig</c:v>
                </c:pt>
                <c:pt idx="7">
                  <c:v>SKV 9-Pins Stollberg II [H]</c:v>
                </c:pt>
                <c:pt idx="8">
                  <c:v>Köthen</c:v>
                </c:pt>
                <c:pt idx="9">
                  <c:v>Treuen</c:v>
                </c:pt>
                <c:pt idx="10">
                  <c:v>Zwickau</c:v>
                </c:pt>
                <c:pt idx="11">
                  <c:v>SpG Großschirma/Brand-Erbisdorf [H]</c:v>
                </c:pt>
                <c:pt idx="12">
                  <c:v>Königsbrücker KV WR [H]</c:v>
                </c:pt>
              </c:strCache>
            </c:strRef>
          </c:cat>
          <c:val>
            <c:numRef>
              <c:f>[0]!Einzelfilter_Schnitt</c:f>
              <c:numCache>
                <c:formatCode>0</c:formatCode>
                <c:ptCount val="13"/>
                <c:pt idx="0">
                  <c:v>568</c:v>
                </c:pt>
                <c:pt idx="1">
                  <c:v>568</c:v>
                </c:pt>
                <c:pt idx="2">
                  <c:v>568</c:v>
                </c:pt>
                <c:pt idx="3">
                  <c:v>568</c:v>
                </c:pt>
                <c:pt idx="4">
                  <c:v>568</c:v>
                </c:pt>
                <c:pt idx="5">
                  <c:v>568</c:v>
                </c:pt>
                <c:pt idx="6">
                  <c:v>568</c:v>
                </c:pt>
                <c:pt idx="7">
                  <c:v>568</c:v>
                </c:pt>
                <c:pt idx="8">
                  <c:v>568</c:v>
                </c:pt>
                <c:pt idx="9">
                  <c:v>568</c:v>
                </c:pt>
                <c:pt idx="10">
                  <c:v>568</c:v>
                </c:pt>
                <c:pt idx="11">
                  <c:v>568</c:v>
                </c:pt>
                <c:pt idx="12">
                  <c:v>568</c:v>
                </c:pt>
              </c:numCache>
            </c:numRef>
          </c:val>
          <c:smooth val="0"/>
          <c:extLst>
            <c:ext xmlns:c16="http://schemas.microsoft.com/office/drawing/2014/chart" uri="{C3380CC4-5D6E-409C-BE32-E72D297353CC}">
              <c16:uniqueId val="{0000000C-CD79-4A32-8F0C-BE4174683F08}"/>
            </c:ext>
          </c:extLst>
        </c:ser>
        <c:dLbls>
          <c:dLblPos val="ctr"/>
          <c:showLegendKey val="0"/>
          <c:showVal val="1"/>
          <c:showCatName val="0"/>
          <c:showSerName val="0"/>
          <c:showPercent val="0"/>
          <c:showBubbleSize val="0"/>
        </c:dLbls>
        <c:marker val="1"/>
        <c:smooth val="0"/>
        <c:axId val="1684922192"/>
        <c:axId val="1558539184"/>
      </c:lineChart>
      <c:catAx>
        <c:axId val="1684922192"/>
        <c:scaling>
          <c:orientation val="minMax"/>
        </c:scaling>
        <c:delete val="0"/>
        <c:axPos val="b"/>
        <c:numFmt formatCode="General" sourceLinked="1"/>
        <c:majorTickMark val="none"/>
        <c:minorTickMark val="none"/>
        <c:tickLblPos val="nextTo"/>
        <c:spPr>
          <a:noFill/>
          <a:ln w="9525" cap="flat" cmpd="sng" algn="ctr">
            <a:solidFill>
              <a:srgbClr val="E5DEDB">
                <a:lumMod val="10000"/>
              </a:srgbClr>
            </a:solidFill>
            <a:round/>
          </a:ln>
          <a:effectLst/>
        </c:spPr>
        <c:txPr>
          <a:bodyPr rot="-60000000" spcFirstLastPara="1" vertOverflow="ellipsis" vert="horz" wrap="square" anchor="ctr" anchorCtr="1"/>
          <a:lstStyle/>
          <a:p>
            <a:pPr>
              <a:defRPr sz="800" b="1" i="0" u="none" strike="noStrike" kern="1200" baseline="0">
                <a:solidFill>
                  <a:schemeClr val="bg2">
                    <a:lumMod val="10000"/>
                  </a:schemeClr>
                </a:solidFill>
                <a:latin typeface="Bierstadt" panose="020B0004020202020204" pitchFamily="34" charset="0"/>
                <a:ea typeface="+mn-ea"/>
                <a:cs typeface="+mn-cs"/>
              </a:defRPr>
            </a:pPr>
            <a:endParaRPr lang="de-DE"/>
          </a:p>
        </c:txPr>
        <c:crossAx val="1558539184"/>
        <c:crosses val="autoZero"/>
        <c:auto val="0"/>
        <c:lblAlgn val="ctr"/>
        <c:lblOffset val="100"/>
        <c:noMultiLvlLbl val="0"/>
      </c:catAx>
      <c:valAx>
        <c:axId val="1558539184"/>
        <c:scaling>
          <c:orientation val="minMax"/>
          <c:max val="640"/>
          <c:min val="300"/>
        </c:scaling>
        <c:delete val="0"/>
        <c:axPos val="l"/>
        <c:majorGridlines>
          <c:spPr>
            <a:ln w="3175" cap="flat" cmpd="sng" algn="ctr">
              <a:solidFill>
                <a:schemeClr val="bg2">
                  <a:lumMod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2">
                    <a:lumMod val="10000"/>
                  </a:schemeClr>
                </a:solidFill>
                <a:latin typeface="Bierstadt" panose="020B0004020202020204" pitchFamily="34" charset="0"/>
                <a:ea typeface="+mn-ea"/>
                <a:cs typeface="+mn-cs"/>
              </a:defRPr>
            </a:pPr>
            <a:endParaRPr lang="de-DE"/>
          </a:p>
        </c:txPr>
        <c:crossAx val="1684922192"/>
        <c:crosses val="autoZero"/>
        <c:crossBetween val="between"/>
      </c:valAx>
      <c:spPr>
        <a:noFill/>
        <a:ln>
          <a:noFill/>
        </a:ln>
        <a:effectLst/>
      </c:spPr>
    </c:plotArea>
    <c:plotVisOnly val="1"/>
    <c:dispBlanksAs val="gap"/>
    <c:showDLblsOverMax val="0"/>
    <c:extLst/>
  </c:chart>
  <c:spPr>
    <a:solidFill>
      <a:schemeClr val="accent1"/>
    </a:solidFill>
    <a:ln w="38100" cap="flat" cmpd="sng" algn="ctr">
      <a:solidFill>
        <a:schemeClr val="bg2">
          <a:lumMod val="10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Einzel!$B$41</c:f>
          <c:strCache>
            <c:ptCount val="1"/>
            <c:pt idx="0">
              <c:v>Philipp Paulmann</c:v>
            </c:pt>
          </c:strCache>
        </c:strRef>
      </c:tx>
      <c:layout>
        <c:manualLayout>
          <c:xMode val="edge"/>
          <c:yMode val="edge"/>
          <c:x val="0.15531452276759014"/>
          <c:y val="8.2590023125206469E-2"/>
        </c:manualLayout>
      </c:layout>
      <c:overlay val="1"/>
      <c:spPr>
        <a:solidFill>
          <a:schemeClr val="tx2"/>
        </a:solidFill>
        <a:ln>
          <a:noFill/>
        </a:ln>
        <a:effectLst/>
      </c:spPr>
      <c:txPr>
        <a:bodyPr rot="0" spcFirstLastPara="1" vertOverflow="ellipsis" vert="horz" wrap="square" anchor="ctr" anchorCtr="1"/>
        <a:lstStyle/>
        <a:p>
          <a:pPr>
            <a:defRPr sz="2400" b="1" i="0" u="none" strike="noStrike" kern="1200" cap="none" spc="20" baseline="0">
              <a:solidFill>
                <a:schemeClr val="accent1"/>
              </a:solidFill>
              <a:latin typeface="Bierstadt" panose="020B0004020202020204" pitchFamily="34" charset="0"/>
              <a:ea typeface="+mn-ea"/>
              <a:cs typeface="+mn-cs"/>
            </a:defRPr>
          </a:pPr>
          <a:endParaRPr lang="de-DE"/>
        </a:p>
      </c:txPr>
    </c:title>
    <c:autoTitleDeleted val="0"/>
    <c:plotArea>
      <c:layout/>
      <c:lineChart>
        <c:grouping val="standard"/>
        <c:varyColors val="0"/>
        <c:ser>
          <c:idx val="0"/>
          <c:order val="0"/>
          <c:spPr>
            <a:ln w="22225" cap="rnd" cmpd="sng" algn="ctr">
              <a:solidFill>
                <a:schemeClr val="bg2">
                  <a:lumMod val="10000"/>
                </a:schemeClr>
              </a:solidFill>
              <a:round/>
            </a:ln>
            <a:effectLst/>
          </c:spPr>
          <c:marker>
            <c:symbol val="none"/>
          </c:marker>
          <c:cat>
            <c:numRef>
              <c:f>Einzel!$B$44:$B$344</c:f>
              <c:numCache>
                <c:formatCode>General</c:formatCode>
                <c:ptCount val="301"/>
                <c:pt idx="0">
                  <c:v>350</c:v>
                </c:pt>
                <c:pt idx="1">
                  <c:v>351</c:v>
                </c:pt>
                <c:pt idx="2">
                  <c:v>352</c:v>
                </c:pt>
                <c:pt idx="3">
                  <c:v>353</c:v>
                </c:pt>
                <c:pt idx="4">
                  <c:v>354</c:v>
                </c:pt>
                <c:pt idx="5">
                  <c:v>355</c:v>
                </c:pt>
                <c:pt idx="6">
                  <c:v>356</c:v>
                </c:pt>
                <c:pt idx="7">
                  <c:v>357</c:v>
                </c:pt>
                <c:pt idx="8">
                  <c:v>358</c:v>
                </c:pt>
                <c:pt idx="9">
                  <c:v>359</c:v>
                </c:pt>
                <c:pt idx="10">
                  <c:v>360</c:v>
                </c:pt>
                <c:pt idx="11">
                  <c:v>361</c:v>
                </c:pt>
                <c:pt idx="12">
                  <c:v>362</c:v>
                </c:pt>
                <c:pt idx="13">
                  <c:v>363</c:v>
                </c:pt>
                <c:pt idx="14">
                  <c:v>364</c:v>
                </c:pt>
                <c:pt idx="15">
                  <c:v>365</c:v>
                </c:pt>
                <c:pt idx="16">
                  <c:v>366</c:v>
                </c:pt>
                <c:pt idx="17">
                  <c:v>367</c:v>
                </c:pt>
                <c:pt idx="18">
                  <c:v>368</c:v>
                </c:pt>
                <c:pt idx="19">
                  <c:v>369</c:v>
                </c:pt>
                <c:pt idx="20">
                  <c:v>370</c:v>
                </c:pt>
                <c:pt idx="21">
                  <c:v>371</c:v>
                </c:pt>
                <c:pt idx="22">
                  <c:v>372</c:v>
                </c:pt>
                <c:pt idx="23">
                  <c:v>373</c:v>
                </c:pt>
                <c:pt idx="24">
                  <c:v>374</c:v>
                </c:pt>
                <c:pt idx="25">
                  <c:v>375</c:v>
                </c:pt>
                <c:pt idx="26">
                  <c:v>376</c:v>
                </c:pt>
                <c:pt idx="27">
                  <c:v>377</c:v>
                </c:pt>
                <c:pt idx="28">
                  <c:v>378</c:v>
                </c:pt>
                <c:pt idx="29">
                  <c:v>379</c:v>
                </c:pt>
                <c:pt idx="30">
                  <c:v>380</c:v>
                </c:pt>
                <c:pt idx="31">
                  <c:v>381</c:v>
                </c:pt>
                <c:pt idx="32">
                  <c:v>382</c:v>
                </c:pt>
                <c:pt idx="33">
                  <c:v>383</c:v>
                </c:pt>
                <c:pt idx="34">
                  <c:v>384</c:v>
                </c:pt>
                <c:pt idx="35">
                  <c:v>385</c:v>
                </c:pt>
                <c:pt idx="36">
                  <c:v>386</c:v>
                </c:pt>
                <c:pt idx="37">
                  <c:v>387</c:v>
                </c:pt>
                <c:pt idx="38">
                  <c:v>388</c:v>
                </c:pt>
                <c:pt idx="39">
                  <c:v>389</c:v>
                </c:pt>
                <c:pt idx="40">
                  <c:v>390</c:v>
                </c:pt>
                <c:pt idx="41">
                  <c:v>391</c:v>
                </c:pt>
                <c:pt idx="42">
                  <c:v>392</c:v>
                </c:pt>
                <c:pt idx="43">
                  <c:v>393</c:v>
                </c:pt>
                <c:pt idx="44">
                  <c:v>394</c:v>
                </c:pt>
                <c:pt idx="45">
                  <c:v>395</c:v>
                </c:pt>
                <c:pt idx="46">
                  <c:v>396</c:v>
                </c:pt>
                <c:pt idx="47">
                  <c:v>397</c:v>
                </c:pt>
                <c:pt idx="48">
                  <c:v>398</c:v>
                </c:pt>
                <c:pt idx="49">
                  <c:v>399</c:v>
                </c:pt>
                <c:pt idx="50">
                  <c:v>400</c:v>
                </c:pt>
                <c:pt idx="51">
                  <c:v>401</c:v>
                </c:pt>
                <c:pt idx="52">
                  <c:v>402</c:v>
                </c:pt>
                <c:pt idx="53">
                  <c:v>403</c:v>
                </c:pt>
                <c:pt idx="54">
                  <c:v>404</c:v>
                </c:pt>
                <c:pt idx="55">
                  <c:v>405</c:v>
                </c:pt>
                <c:pt idx="56">
                  <c:v>406</c:v>
                </c:pt>
                <c:pt idx="57">
                  <c:v>407</c:v>
                </c:pt>
                <c:pt idx="58">
                  <c:v>408</c:v>
                </c:pt>
                <c:pt idx="59">
                  <c:v>409</c:v>
                </c:pt>
                <c:pt idx="60">
                  <c:v>410</c:v>
                </c:pt>
                <c:pt idx="61">
                  <c:v>411</c:v>
                </c:pt>
                <c:pt idx="62">
                  <c:v>412</c:v>
                </c:pt>
                <c:pt idx="63">
                  <c:v>413</c:v>
                </c:pt>
                <c:pt idx="64">
                  <c:v>414</c:v>
                </c:pt>
                <c:pt idx="65">
                  <c:v>415</c:v>
                </c:pt>
                <c:pt idx="66">
                  <c:v>416</c:v>
                </c:pt>
                <c:pt idx="67">
                  <c:v>417</c:v>
                </c:pt>
                <c:pt idx="68">
                  <c:v>418</c:v>
                </c:pt>
                <c:pt idx="69">
                  <c:v>419</c:v>
                </c:pt>
                <c:pt idx="70">
                  <c:v>420</c:v>
                </c:pt>
                <c:pt idx="71">
                  <c:v>421</c:v>
                </c:pt>
                <c:pt idx="72">
                  <c:v>422</c:v>
                </c:pt>
                <c:pt idx="73">
                  <c:v>423</c:v>
                </c:pt>
                <c:pt idx="74">
                  <c:v>424</c:v>
                </c:pt>
                <c:pt idx="75">
                  <c:v>425</c:v>
                </c:pt>
                <c:pt idx="76">
                  <c:v>426</c:v>
                </c:pt>
                <c:pt idx="77">
                  <c:v>427</c:v>
                </c:pt>
                <c:pt idx="78">
                  <c:v>428</c:v>
                </c:pt>
                <c:pt idx="79">
                  <c:v>429</c:v>
                </c:pt>
                <c:pt idx="80">
                  <c:v>430</c:v>
                </c:pt>
                <c:pt idx="81">
                  <c:v>431</c:v>
                </c:pt>
                <c:pt idx="82">
                  <c:v>432</c:v>
                </c:pt>
                <c:pt idx="83">
                  <c:v>433</c:v>
                </c:pt>
                <c:pt idx="84">
                  <c:v>434</c:v>
                </c:pt>
                <c:pt idx="85">
                  <c:v>435</c:v>
                </c:pt>
                <c:pt idx="86">
                  <c:v>436</c:v>
                </c:pt>
                <c:pt idx="87">
                  <c:v>437</c:v>
                </c:pt>
                <c:pt idx="88">
                  <c:v>438</c:v>
                </c:pt>
                <c:pt idx="89">
                  <c:v>439</c:v>
                </c:pt>
                <c:pt idx="90">
                  <c:v>440</c:v>
                </c:pt>
                <c:pt idx="91">
                  <c:v>441</c:v>
                </c:pt>
                <c:pt idx="92">
                  <c:v>442</c:v>
                </c:pt>
                <c:pt idx="93">
                  <c:v>443</c:v>
                </c:pt>
                <c:pt idx="94">
                  <c:v>444</c:v>
                </c:pt>
                <c:pt idx="95">
                  <c:v>445</c:v>
                </c:pt>
                <c:pt idx="96">
                  <c:v>446</c:v>
                </c:pt>
                <c:pt idx="97">
                  <c:v>447</c:v>
                </c:pt>
                <c:pt idx="98">
                  <c:v>448</c:v>
                </c:pt>
                <c:pt idx="99">
                  <c:v>449</c:v>
                </c:pt>
                <c:pt idx="100">
                  <c:v>450</c:v>
                </c:pt>
                <c:pt idx="101">
                  <c:v>451</c:v>
                </c:pt>
                <c:pt idx="102">
                  <c:v>452</c:v>
                </c:pt>
                <c:pt idx="103">
                  <c:v>453</c:v>
                </c:pt>
                <c:pt idx="104">
                  <c:v>454</c:v>
                </c:pt>
                <c:pt idx="105">
                  <c:v>455</c:v>
                </c:pt>
                <c:pt idx="106">
                  <c:v>456</c:v>
                </c:pt>
                <c:pt idx="107">
                  <c:v>457</c:v>
                </c:pt>
                <c:pt idx="108">
                  <c:v>458</c:v>
                </c:pt>
                <c:pt idx="109">
                  <c:v>459</c:v>
                </c:pt>
                <c:pt idx="110">
                  <c:v>460</c:v>
                </c:pt>
                <c:pt idx="111">
                  <c:v>461</c:v>
                </c:pt>
                <c:pt idx="112">
                  <c:v>462</c:v>
                </c:pt>
                <c:pt idx="113">
                  <c:v>463</c:v>
                </c:pt>
                <c:pt idx="114">
                  <c:v>464</c:v>
                </c:pt>
                <c:pt idx="115">
                  <c:v>465</c:v>
                </c:pt>
                <c:pt idx="116">
                  <c:v>466</c:v>
                </c:pt>
                <c:pt idx="117">
                  <c:v>467</c:v>
                </c:pt>
                <c:pt idx="118">
                  <c:v>468</c:v>
                </c:pt>
                <c:pt idx="119">
                  <c:v>469</c:v>
                </c:pt>
                <c:pt idx="120">
                  <c:v>470</c:v>
                </c:pt>
                <c:pt idx="121">
                  <c:v>471</c:v>
                </c:pt>
                <c:pt idx="122">
                  <c:v>472</c:v>
                </c:pt>
                <c:pt idx="123">
                  <c:v>473</c:v>
                </c:pt>
                <c:pt idx="124">
                  <c:v>474</c:v>
                </c:pt>
                <c:pt idx="125">
                  <c:v>475</c:v>
                </c:pt>
                <c:pt idx="126">
                  <c:v>476</c:v>
                </c:pt>
                <c:pt idx="127">
                  <c:v>477</c:v>
                </c:pt>
                <c:pt idx="128">
                  <c:v>478</c:v>
                </c:pt>
                <c:pt idx="129">
                  <c:v>479</c:v>
                </c:pt>
                <c:pt idx="130">
                  <c:v>480</c:v>
                </c:pt>
                <c:pt idx="131">
                  <c:v>481</c:v>
                </c:pt>
                <c:pt idx="132">
                  <c:v>482</c:v>
                </c:pt>
                <c:pt idx="133">
                  <c:v>483</c:v>
                </c:pt>
                <c:pt idx="134">
                  <c:v>484</c:v>
                </c:pt>
                <c:pt idx="135">
                  <c:v>485</c:v>
                </c:pt>
                <c:pt idx="136">
                  <c:v>486</c:v>
                </c:pt>
                <c:pt idx="137">
                  <c:v>487</c:v>
                </c:pt>
                <c:pt idx="138">
                  <c:v>488</c:v>
                </c:pt>
                <c:pt idx="139">
                  <c:v>489</c:v>
                </c:pt>
                <c:pt idx="140">
                  <c:v>490</c:v>
                </c:pt>
                <c:pt idx="141">
                  <c:v>491</c:v>
                </c:pt>
                <c:pt idx="142">
                  <c:v>492</c:v>
                </c:pt>
                <c:pt idx="143">
                  <c:v>493</c:v>
                </c:pt>
                <c:pt idx="144">
                  <c:v>494</c:v>
                </c:pt>
                <c:pt idx="145">
                  <c:v>495</c:v>
                </c:pt>
                <c:pt idx="146">
                  <c:v>496</c:v>
                </c:pt>
                <c:pt idx="147">
                  <c:v>497</c:v>
                </c:pt>
                <c:pt idx="148">
                  <c:v>498</c:v>
                </c:pt>
                <c:pt idx="149">
                  <c:v>499</c:v>
                </c:pt>
                <c:pt idx="150">
                  <c:v>500</c:v>
                </c:pt>
                <c:pt idx="151">
                  <c:v>501</c:v>
                </c:pt>
                <c:pt idx="152">
                  <c:v>502</c:v>
                </c:pt>
                <c:pt idx="153">
                  <c:v>503</c:v>
                </c:pt>
                <c:pt idx="154">
                  <c:v>504</c:v>
                </c:pt>
                <c:pt idx="155">
                  <c:v>505</c:v>
                </c:pt>
                <c:pt idx="156">
                  <c:v>506</c:v>
                </c:pt>
                <c:pt idx="157">
                  <c:v>507</c:v>
                </c:pt>
                <c:pt idx="158">
                  <c:v>508</c:v>
                </c:pt>
                <c:pt idx="159">
                  <c:v>509</c:v>
                </c:pt>
                <c:pt idx="160">
                  <c:v>510</c:v>
                </c:pt>
                <c:pt idx="161">
                  <c:v>511</c:v>
                </c:pt>
                <c:pt idx="162">
                  <c:v>512</c:v>
                </c:pt>
                <c:pt idx="163">
                  <c:v>513</c:v>
                </c:pt>
                <c:pt idx="164">
                  <c:v>514</c:v>
                </c:pt>
                <c:pt idx="165">
                  <c:v>515</c:v>
                </c:pt>
                <c:pt idx="166">
                  <c:v>516</c:v>
                </c:pt>
                <c:pt idx="167">
                  <c:v>517</c:v>
                </c:pt>
                <c:pt idx="168">
                  <c:v>518</c:v>
                </c:pt>
                <c:pt idx="169">
                  <c:v>519</c:v>
                </c:pt>
                <c:pt idx="170">
                  <c:v>520</c:v>
                </c:pt>
                <c:pt idx="171">
                  <c:v>521</c:v>
                </c:pt>
                <c:pt idx="172">
                  <c:v>522</c:v>
                </c:pt>
                <c:pt idx="173">
                  <c:v>523</c:v>
                </c:pt>
                <c:pt idx="174">
                  <c:v>524</c:v>
                </c:pt>
                <c:pt idx="175">
                  <c:v>525</c:v>
                </c:pt>
                <c:pt idx="176">
                  <c:v>526</c:v>
                </c:pt>
                <c:pt idx="177">
                  <c:v>527</c:v>
                </c:pt>
                <c:pt idx="178">
                  <c:v>528</c:v>
                </c:pt>
                <c:pt idx="179">
                  <c:v>529</c:v>
                </c:pt>
                <c:pt idx="180">
                  <c:v>530</c:v>
                </c:pt>
                <c:pt idx="181">
                  <c:v>531</c:v>
                </c:pt>
                <c:pt idx="182">
                  <c:v>532</c:v>
                </c:pt>
                <c:pt idx="183">
                  <c:v>533</c:v>
                </c:pt>
                <c:pt idx="184">
                  <c:v>534</c:v>
                </c:pt>
                <c:pt idx="185">
                  <c:v>535</c:v>
                </c:pt>
                <c:pt idx="186">
                  <c:v>536</c:v>
                </c:pt>
                <c:pt idx="187">
                  <c:v>537</c:v>
                </c:pt>
                <c:pt idx="188">
                  <c:v>538</c:v>
                </c:pt>
                <c:pt idx="189">
                  <c:v>539</c:v>
                </c:pt>
                <c:pt idx="190">
                  <c:v>540</c:v>
                </c:pt>
                <c:pt idx="191">
                  <c:v>541</c:v>
                </c:pt>
                <c:pt idx="192">
                  <c:v>542</c:v>
                </c:pt>
                <c:pt idx="193">
                  <c:v>543</c:v>
                </c:pt>
                <c:pt idx="194">
                  <c:v>544</c:v>
                </c:pt>
                <c:pt idx="195">
                  <c:v>545</c:v>
                </c:pt>
                <c:pt idx="196">
                  <c:v>546</c:v>
                </c:pt>
                <c:pt idx="197">
                  <c:v>547</c:v>
                </c:pt>
                <c:pt idx="198">
                  <c:v>548</c:v>
                </c:pt>
                <c:pt idx="199">
                  <c:v>549</c:v>
                </c:pt>
                <c:pt idx="200">
                  <c:v>550</c:v>
                </c:pt>
                <c:pt idx="201">
                  <c:v>551</c:v>
                </c:pt>
                <c:pt idx="202">
                  <c:v>552</c:v>
                </c:pt>
                <c:pt idx="203">
                  <c:v>553</c:v>
                </c:pt>
                <c:pt idx="204">
                  <c:v>554</c:v>
                </c:pt>
                <c:pt idx="205">
                  <c:v>555</c:v>
                </c:pt>
                <c:pt idx="206">
                  <c:v>556</c:v>
                </c:pt>
                <c:pt idx="207">
                  <c:v>557</c:v>
                </c:pt>
                <c:pt idx="208">
                  <c:v>558</c:v>
                </c:pt>
                <c:pt idx="209">
                  <c:v>559</c:v>
                </c:pt>
                <c:pt idx="210">
                  <c:v>560</c:v>
                </c:pt>
                <c:pt idx="211">
                  <c:v>561</c:v>
                </c:pt>
                <c:pt idx="212">
                  <c:v>562</c:v>
                </c:pt>
                <c:pt idx="213">
                  <c:v>563</c:v>
                </c:pt>
                <c:pt idx="214">
                  <c:v>564</c:v>
                </c:pt>
                <c:pt idx="215">
                  <c:v>565</c:v>
                </c:pt>
                <c:pt idx="216">
                  <c:v>566</c:v>
                </c:pt>
                <c:pt idx="217">
                  <c:v>567</c:v>
                </c:pt>
                <c:pt idx="218">
                  <c:v>568</c:v>
                </c:pt>
                <c:pt idx="219">
                  <c:v>569</c:v>
                </c:pt>
                <c:pt idx="220">
                  <c:v>570</c:v>
                </c:pt>
                <c:pt idx="221">
                  <c:v>571</c:v>
                </c:pt>
                <c:pt idx="222">
                  <c:v>572</c:v>
                </c:pt>
                <c:pt idx="223">
                  <c:v>573</c:v>
                </c:pt>
                <c:pt idx="224">
                  <c:v>574</c:v>
                </c:pt>
                <c:pt idx="225">
                  <c:v>575</c:v>
                </c:pt>
                <c:pt idx="226">
                  <c:v>576</c:v>
                </c:pt>
                <c:pt idx="227">
                  <c:v>577</c:v>
                </c:pt>
                <c:pt idx="228">
                  <c:v>578</c:v>
                </c:pt>
                <c:pt idx="229">
                  <c:v>579</c:v>
                </c:pt>
                <c:pt idx="230">
                  <c:v>580</c:v>
                </c:pt>
                <c:pt idx="231">
                  <c:v>581</c:v>
                </c:pt>
                <c:pt idx="232">
                  <c:v>582</c:v>
                </c:pt>
                <c:pt idx="233">
                  <c:v>583</c:v>
                </c:pt>
                <c:pt idx="234">
                  <c:v>584</c:v>
                </c:pt>
                <c:pt idx="235">
                  <c:v>585</c:v>
                </c:pt>
                <c:pt idx="236">
                  <c:v>586</c:v>
                </c:pt>
                <c:pt idx="237">
                  <c:v>587</c:v>
                </c:pt>
                <c:pt idx="238">
                  <c:v>588</c:v>
                </c:pt>
                <c:pt idx="239">
                  <c:v>589</c:v>
                </c:pt>
                <c:pt idx="240">
                  <c:v>590</c:v>
                </c:pt>
                <c:pt idx="241">
                  <c:v>591</c:v>
                </c:pt>
                <c:pt idx="242">
                  <c:v>592</c:v>
                </c:pt>
                <c:pt idx="243">
                  <c:v>593</c:v>
                </c:pt>
                <c:pt idx="244">
                  <c:v>594</c:v>
                </c:pt>
                <c:pt idx="245">
                  <c:v>595</c:v>
                </c:pt>
                <c:pt idx="246">
                  <c:v>596</c:v>
                </c:pt>
                <c:pt idx="247">
                  <c:v>597</c:v>
                </c:pt>
                <c:pt idx="248">
                  <c:v>598</c:v>
                </c:pt>
                <c:pt idx="249">
                  <c:v>599</c:v>
                </c:pt>
                <c:pt idx="250">
                  <c:v>600</c:v>
                </c:pt>
                <c:pt idx="251">
                  <c:v>601</c:v>
                </c:pt>
                <c:pt idx="252">
                  <c:v>602</c:v>
                </c:pt>
                <c:pt idx="253">
                  <c:v>603</c:v>
                </c:pt>
                <c:pt idx="254">
                  <c:v>604</c:v>
                </c:pt>
                <c:pt idx="255">
                  <c:v>605</c:v>
                </c:pt>
                <c:pt idx="256">
                  <c:v>606</c:v>
                </c:pt>
                <c:pt idx="257">
                  <c:v>607</c:v>
                </c:pt>
                <c:pt idx="258">
                  <c:v>608</c:v>
                </c:pt>
                <c:pt idx="259">
                  <c:v>609</c:v>
                </c:pt>
                <c:pt idx="260">
                  <c:v>610</c:v>
                </c:pt>
                <c:pt idx="261">
                  <c:v>611</c:v>
                </c:pt>
                <c:pt idx="262">
                  <c:v>612</c:v>
                </c:pt>
                <c:pt idx="263">
                  <c:v>613</c:v>
                </c:pt>
                <c:pt idx="264">
                  <c:v>614</c:v>
                </c:pt>
                <c:pt idx="265">
                  <c:v>615</c:v>
                </c:pt>
                <c:pt idx="266">
                  <c:v>616</c:v>
                </c:pt>
                <c:pt idx="267">
                  <c:v>617</c:v>
                </c:pt>
                <c:pt idx="268">
                  <c:v>618</c:v>
                </c:pt>
                <c:pt idx="269">
                  <c:v>619</c:v>
                </c:pt>
                <c:pt idx="270">
                  <c:v>620</c:v>
                </c:pt>
                <c:pt idx="271">
                  <c:v>621</c:v>
                </c:pt>
                <c:pt idx="272">
                  <c:v>622</c:v>
                </c:pt>
                <c:pt idx="273">
                  <c:v>623</c:v>
                </c:pt>
                <c:pt idx="274">
                  <c:v>624</c:v>
                </c:pt>
                <c:pt idx="275">
                  <c:v>625</c:v>
                </c:pt>
                <c:pt idx="276">
                  <c:v>626</c:v>
                </c:pt>
                <c:pt idx="277">
                  <c:v>627</c:v>
                </c:pt>
                <c:pt idx="278">
                  <c:v>628</c:v>
                </c:pt>
                <c:pt idx="279">
                  <c:v>629</c:v>
                </c:pt>
                <c:pt idx="280">
                  <c:v>630</c:v>
                </c:pt>
                <c:pt idx="281">
                  <c:v>631</c:v>
                </c:pt>
                <c:pt idx="282">
                  <c:v>632</c:v>
                </c:pt>
                <c:pt idx="283">
                  <c:v>633</c:v>
                </c:pt>
                <c:pt idx="284">
                  <c:v>634</c:v>
                </c:pt>
                <c:pt idx="285">
                  <c:v>635</c:v>
                </c:pt>
                <c:pt idx="286">
                  <c:v>636</c:v>
                </c:pt>
                <c:pt idx="287">
                  <c:v>637</c:v>
                </c:pt>
                <c:pt idx="288">
                  <c:v>638</c:v>
                </c:pt>
                <c:pt idx="289">
                  <c:v>639</c:v>
                </c:pt>
                <c:pt idx="290">
                  <c:v>640</c:v>
                </c:pt>
                <c:pt idx="291">
                  <c:v>641</c:v>
                </c:pt>
                <c:pt idx="292">
                  <c:v>642</c:v>
                </c:pt>
                <c:pt idx="293">
                  <c:v>643</c:v>
                </c:pt>
                <c:pt idx="294">
                  <c:v>644</c:v>
                </c:pt>
                <c:pt idx="295">
                  <c:v>645</c:v>
                </c:pt>
                <c:pt idx="296">
                  <c:v>646</c:v>
                </c:pt>
                <c:pt idx="297">
                  <c:v>647</c:v>
                </c:pt>
                <c:pt idx="298">
                  <c:v>648</c:v>
                </c:pt>
                <c:pt idx="299">
                  <c:v>649</c:v>
                </c:pt>
                <c:pt idx="300">
                  <c:v>650</c:v>
                </c:pt>
              </c:numCache>
            </c:numRef>
          </c:cat>
          <c:val>
            <c:numRef>
              <c:f>Einzel!$C$44:$C$344</c:f>
              <c:numCache>
                <c:formatCode>0.0%</c:formatCode>
                <c:ptCount val="301"/>
                <c:pt idx="0">
                  <c:v>1.6789170258315482E-9</c:v>
                </c:pt>
                <c:pt idx="1">
                  <c:v>1.9370127866845082E-9</c:v>
                </c:pt>
                <c:pt idx="2">
                  <c:v>2.2333161666021534E-9</c:v>
                </c:pt>
                <c:pt idx="3">
                  <c:v>2.5732524777842601E-9</c:v>
                </c:pt>
                <c:pt idx="4">
                  <c:v>2.9629823013397571E-9</c:v>
                </c:pt>
                <c:pt idx="5">
                  <c:v>3.409495980889118E-9</c:v>
                </c:pt>
                <c:pt idx="6">
                  <c:v>3.9207195311135897E-9</c:v>
                </c:pt>
                <c:pt idx="7">
                  <c:v>4.5056332411340132E-9</c:v>
                </c:pt>
                <c:pt idx="8">
                  <c:v>5.1744043832003749E-9</c:v>
                </c:pt>
                <c:pt idx="9">
                  <c:v>5.9385355794868608E-9</c:v>
                </c:pt>
                <c:pt idx="10">
                  <c:v>6.8110305346715702E-9</c:v>
                </c:pt>
                <c:pt idx="11">
                  <c:v>7.8065790103345694E-9</c:v>
                </c:pt>
                <c:pt idx="12">
                  <c:v>8.9417630999646601E-9</c:v>
                </c:pt>
                <c:pt idx="13">
                  <c:v>1.0235287061502324E-8</c:v>
                </c:pt>
                <c:pt idx="14">
                  <c:v>1.1708233178866226E-8</c:v>
                </c:pt>
                <c:pt idx="15">
                  <c:v>1.3384346355860783E-8</c:v>
                </c:pt>
                <c:pt idx="16">
                  <c:v>1.5290350396307448E-8</c:v>
                </c:pt>
                <c:pt idx="17">
                  <c:v>1.7456299194284076E-8</c:v>
                </c:pt>
                <c:pt idx="18">
                  <c:v>1.991596634910771E-8</c:v>
                </c:pt>
                <c:pt idx="19">
                  <c:v>2.2707277032290999E-8</c:v>
                </c:pt>
                <c:pt idx="20">
                  <c:v>2.5872786269279352E-8</c:v>
                </c:pt>
                <c:pt idx="21">
                  <c:v>2.9460208158481774E-8</c:v>
                </c:pt>
                <c:pt idx="22">
                  <c:v>3.3523000935064309E-8</c:v>
                </c:pt>
                <c:pt idx="23">
                  <c:v>3.8121013198315329E-8</c:v>
                </c:pt>
                <c:pt idx="24">
                  <c:v>4.3321197060184637E-8</c:v>
                </c:pt>
                <c:pt idx="25">
                  <c:v>4.9198394439904061E-8</c:v>
                </c:pt>
                <c:pt idx="26">
                  <c:v>5.5836203226396984E-8</c:v>
                </c:pt>
                <c:pt idx="27">
                  <c:v>6.3327930557406741E-8</c:v>
                </c:pt>
                <c:pt idx="28">
                  <c:v>7.1777641022744665E-8</c:v>
                </c:pt>
                <c:pt idx="29">
                  <c:v>8.1301308189513775E-8</c:v>
                </c:pt>
                <c:pt idx="30">
                  <c:v>9.2028078470205023E-8</c:v>
                </c:pt>
                <c:pt idx="31">
                  <c:v>1.0410165701063793E-7</c:v>
                </c:pt>
                <c:pt idx="32">
                  <c:v>1.1768182596413038E-7</c:v>
                </c:pt>
                <c:pt idx="33">
                  <c:v>1.3294610624110641E-7</c:v>
                </c:pt>
                <c:pt idx="34">
                  <c:v>1.5009157457946933E-7</c:v>
                </c:pt>
                <c:pt idx="35">
                  <c:v>1.6933684857009588E-7</c:v>
                </c:pt>
                <c:pt idx="36">
                  <c:v>1.9092425309307668E-7</c:v>
                </c:pt>
                <c:pt idx="37">
                  <c:v>2.1512218247290102E-7</c:v>
                </c:pt>
                <c:pt idx="38">
                  <c:v>2.4222767354328433E-7</c:v>
                </c:pt>
                <c:pt idx="39">
                  <c:v>2.7256920572314701E-7</c:v>
                </c:pt>
                <c:pt idx="40">
                  <c:v>3.065097451422057E-7</c:v>
                </c:pt>
                <c:pt idx="41">
                  <c:v>3.4445005081517997E-7</c:v>
                </c:pt>
                <c:pt idx="42">
                  <c:v>3.8683226184474641E-7</c:v>
                </c:pt>
                <c:pt idx="43">
                  <c:v>4.3414378563147234E-7</c:v>
                </c:pt>
                <c:pt idx="44">
                  <c:v>4.8692150807986032E-7</c:v>
                </c:pt>
                <c:pt idx="45">
                  <c:v>5.4575634780869345E-7</c:v>
                </c:pt>
                <c:pt idx="46">
                  <c:v>6.1129817739558729E-7</c:v>
                </c:pt>
                <c:pt idx="47">
                  <c:v>6.8426113570398624E-7</c:v>
                </c:pt>
                <c:pt idx="48">
                  <c:v>7.6542935634910027E-7</c:v>
                </c:pt>
                <c:pt idx="49">
                  <c:v>8.5566313834970319E-7</c:v>
                </c:pt>
                <c:pt idx="50">
                  <c:v>9.5590558597725861E-7</c:v>
                </c:pt>
                <c:pt idx="51">
                  <c:v>1.0671897457430411E-6</c:v>
                </c:pt>
                <c:pt idx="52">
                  <c:v>1.1906462693480667E-6</c:v>
                </c:pt>
                <c:pt idx="53">
                  <c:v>1.3275116322486917E-6</c:v>
                </c:pt>
                <c:pt idx="54">
                  <c:v>1.4791369382509268E-6</c:v>
                </c:pt>
                <c:pt idx="55">
                  <c:v>1.6469973412263307E-6</c:v>
                </c:pt>
                <c:pt idx="56">
                  <c:v>1.8327021156279794E-6</c:v>
                </c:pt>
                <c:pt idx="57">
                  <c:v>2.0380054079621723E-6</c:v>
                </c:pt>
                <c:pt idx="58">
                  <c:v>2.2648177017246981E-6</c:v>
                </c:pt>
                <c:pt idx="59">
                  <c:v>2.5152180285233243E-6</c:v>
                </c:pt>
                <c:pt idx="60">
                  <c:v>2.7914669581636994E-6</c:v>
                </c:pt>
                <c:pt idx="61">
                  <c:v>3.0960204003555205E-6</c:v>
                </c:pt>
                <c:pt idx="62">
                  <c:v>3.4315442503816763E-6</c:v>
                </c:pt>
                <c:pt idx="63">
                  <c:v>3.8009299105444492E-6</c:v>
                </c:pt>
                <c:pt idx="64">
                  <c:v>4.2073107184404805E-6</c:v>
                </c:pt>
                <c:pt idx="65">
                  <c:v>4.654079312098396E-6</c:v>
                </c:pt>
                <c:pt idx="66">
                  <c:v>5.1449059607190176E-6</c:v>
                </c:pt>
                <c:pt idx="67">
                  <c:v>5.6837578881657316E-6</c:v>
                </c:pt>
                <c:pt idx="68">
                  <c:v>6.2749196144397414E-6</c:v>
                </c:pt>
                <c:pt idx="69">
                  <c:v>6.9230143381200531E-6</c:v>
                </c:pt>
                <c:pt idx="70">
                  <c:v>7.6330263801277724E-6</c:v>
                </c:pt>
                <c:pt idx="71">
                  <c:v>8.4103247061678127E-6</c:v>
                </c:pt>
                <c:pt idx="72">
                  <c:v>9.2606875417859311E-6</c:v>
                </c:pt>
                <c:pt idx="73">
                  <c:v>1.0190328090134268E-5</c:v>
                </c:pt>
                <c:pt idx="74">
                  <c:v>1.1205921358244175E-5</c:v>
                </c:pt>
                <c:pt idx="75">
                  <c:v>1.2314632092841555E-5</c:v>
                </c:pt>
                <c:pt idx="76">
                  <c:v>1.3524143821488826E-5</c:v>
                </c:pt>
                <c:pt idx="77">
                  <c:v>1.4842688989084128E-5</c:v>
                </c:pt>
                <c:pt idx="78">
                  <c:v>1.6279080173474509E-5</c:v>
                </c:pt>
                <c:pt idx="79">
                  <c:v>1.7842742357137672E-5</c:v>
                </c:pt>
                <c:pt idx="80">
                  <c:v>1.9543746224541522E-5</c:v>
                </c:pt>
                <c:pt idx="81">
                  <c:v>2.1392842446898304E-5</c:v>
                </c:pt>
                <c:pt idx="82">
                  <c:v>2.3401496907585176E-5</c:v>
                </c:pt>
                <c:pt idx="83">
                  <c:v>2.5581926812502654E-5</c:v>
                </c:pt>
                <c:pt idx="84">
                  <c:v>2.7947137620093634E-5</c:v>
                </c:pt>
                <c:pt idx="85">
                  <c:v>3.0510960715650189E-5</c:v>
                </c:pt>
                <c:pt idx="86">
                  <c:v>3.328809174390966E-5</c:v>
                </c:pt>
                <c:pt idx="87">
                  <c:v>3.6294129502794896E-5</c:v>
                </c:pt>
                <c:pt idx="88">
                  <c:v>3.954561528951552E-5</c:v>
                </c:pt>
                <c:pt idx="89">
                  <c:v>4.3060072578134953E-5</c:v>
                </c:pt>
                <c:pt idx="90">
                  <c:v>4.685604689515959E-5</c:v>
                </c:pt>
                <c:pt idx="91">
                  <c:v>5.0953145746758918E-5</c:v>
                </c:pt>
                <c:pt idx="92">
                  <c:v>5.5372078437919006E-5</c:v>
                </c:pt>
                <c:pt idx="93">
                  <c:v>6.0134695610221107E-5</c:v>
                </c:pt>
                <c:pt idx="94">
                  <c:v>6.5264028311077905E-5</c:v>
                </c:pt>
                <c:pt idx="95">
                  <c:v>7.0784326393212485E-5</c:v>
                </c:pt>
                <c:pt idx="96">
                  <c:v>7.6721096029007865E-5</c:v>
                </c:pt>
                <c:pt idx="97">
                  <c:v>8.3101136110151974E-5</c:v>
                </c:pt>
                <c:pt idx="98">
                  <c:v>8.9952573288855754E-5</c:v>
                </c:pt>
                <c:pt idx="99">
                  <c:v>9.7304895402905279E-5</c:v>
                </c:pt>
                <c:pt idx="100">
                  <c:v>1.0518898301303115E-4</c:v>
                </c:pt>
                <c:pt idx="101">
                  <c:v>1.1363713876764121E-4</c:v>
                </c:pt>
                <c:pt idx="102">
                  <c:v>1.2268311429697079E-4</c:v>
                </c:pt>
                <c:pt idx="103">
                  <c:v>1.3236213432629124E-4</c:v>
                </c:pt>
                <c:pt idx="104">
                  <c:v>1.4271091768608093E-4</c:v>
                </c:pt>
                <c:pt idx="105">
                  <c:v>1.5376769488615534E-4</c:v>
                </c:pt>
                <c:pt idx="106">
                  <c:v>1.6557222191079199E-4</c:v>
                </c:pt>
                <c:pt idx="107">
                  <c:v>1.7816578988300572E-4</c:v>
                </c:pt>
                <c:pt idx="108">
                  <c:v>1.9159123023848893E-4</c:v>
                </c:pt>
                <c:pt idx="109">
                  <c:v>2.0589291504344838E-4</c:v>
                </c:pt>
                <c:pt idx="110">
                  <c:v>2.211167520858028E-4</c:v>
                </c:pt>
                <c:pt idx="111">
                  <c:v>2.3731017436610458E-4</c:v>
                </c:pt>
                <c:pt idx="112">
                  <c:v>2.5452212361323263E-4</c:v>
                </c:pt>
                <c:pt idx="113">
                  <c:v>2.7280302745055237E-4</c:v>
                </c:pt>
                <c:pt idx="114">
                  <c:v>2.9220476984096009E-4</c:v>
                </c:pt>
                <c:pt idx="115">
                  <c:v>3.1278065444417742E-4</c:v>
                </c:pt>
                <c:pt idx="116">
                  <c:v>3.345853605269691E-4</c:v>
                </c:pt>
                <c:pt idx="117">
                  <c:v>3.5767489107673013E-4</c:v>
                </c:pt>
                <c:pt idx="118">
                  <c:v>3.8210651278127898E-4</c:v>
                </c:pt>
                <c:pt idx="119">
                  <c:v>4.0793868755276976E-4</c:v>
                </c:pt>
                <c:pt idx="120">
                  <c:v>4.3523099529152036E-4</c:v>
                </c:pt>
                <c:pt idx="121">
                  <c:v>4.6404404760633938E-4</c:v>
                </c:pt>
                <c:pt idx="122">
                  <c:v>4.9443939223164229E-4</c:v>
                </c:pt>
                <c:pt idx="123">
                  <c:v>5.2647940790841597E-4</c:v>
                </c:pt>
                <c:pt idx="124">
                  <c:v>5.6022718952586609E-4</c:v>
                </c:pt>
                <c:pt idx="125">
                  <c:v>5.9574642335347454E-4</c:v>
                </c:pt>
                <c:pt idx="126">
                  <c:v>6.3310125222912025E-4</c:v>
                </c:pt>
                <c:pt idx="127">
                  <c:v>6.7235613060793542E-4</c:v>
                </c:pt>
                <c:pt idx="128">
                  <c:v>7.1357566941858712E-4</c:v>
                </c:pt>
                <c:pt idx="129">
                  <c:v>7.5682447071863466E-4</c:v>
                </c:pt>
                <c:pt idx="130">
                  <c:v>8.021669521884779E-4</c:v>
                </c:pt>
                <c:pt idx="131">
                  <c:v>8.4966716155395123E-4</c:v>
                </c:pt>
                <c:pt idx="132">
                  <c:v>8.9938858108086852E-4</c:v>
                </c:pt>
                <c:pt idx="133">
                  <c:v>9.5139392234043225E-4</c:v>
                </c:pt>
                <c:pt idx="134">
                  <c:v>1.0057449115023363E-3</c:v>
                </c:pt>
                <c:pt idx="135">
                  <c:v>1.0625020654723425E-3</c:v>
                </c:pt>
                <c:pt idx="136">
                  <c:v>1.121724459252815E-3</c:v>
                </c:pt>
                <c:pt idx="137">
                  <c:v>1.183469484967985E-3</c:v>
                </c:pt>
                <c:pt idx="138">
                  <c:v>1.2477926030601799E-3</c:v>
                </c:pt>
                <c:pt idx="139">
                  <c:v>1.314747086228626E-3</c:v>
                </c:pt>
                <c:pt idx="140">
                  <c:v>1.3843837567484119E-3</c:v>
                </c:pt>
                <c:pt idx="141">
                  <c:v>1.4567507178732634E-3</c:v>
                </c:pt>
                <c:pt idx="142">
                  <c:v>1.5318930800917645E-3</c:v>
                </c:pt>
                <c:pt idx="143">
                  <c:v>1.6098526830719178E-3</c:v>
                </c:pt>
                <c:pt idx="144">
                  <c:v>1.6906678141932236E-3</c:v>
                </c:pt>
                <c:pt idx="145">
                  <c:v>1.7743729246282101E-3</c:v>
                </c:pt>
                <c:pt idx="146">
                  <c:v>1.8609983439961855E-3</c:v>
                </c:pt>
                <c:pt idx="147">
                  <c:v>1.9505699946703646E-3</c:v>
                </c:pt>
                <c:pt idx="148">
                  <c:v>2.0431091068750669E-3</c:v>
                </c:pt>
                <c:pt idx="149">
                  <c:v>2.1386319357618025E-3</c:v>
                </c:pt>
                <c:pt idx="150">
                  <c:v>2.2371494817013471E-3</c:v>
                </c:pt>
                <c:pt idx="151">
                  <c:v>2.3386672150728953E-3</c:v>
                </c:pt>
                <c:pt idx="152">
                  <c:v>2.4431848068704716E-3</c:v>
                </c:pt>
                <c:pt idx="153">
                  <c:v>2.5506958664807352E-3</c:v>
                </c:pt>
                <c:pt idx="154">
                  <c:v>2.6611876880143965E-3</c:v>
                </c:pt>
                <c:pt idx="155">
                  <c:v>2.7746410065955357E-3</c:v>
                </c:pt>
                <c:pt idx="156">
                  <c:v>2.8910297660285581E-3</c:v>
                </c:pt>
                <c:pt idx="157">
                  <c:v>3.0103208992709753E-3</c:v>
                </c:pt>
                <c:pt idx="158">
                  <c:v>3.1324741231415149E-3</c:v>
                </c:pt>
                <c:pt idx="159">
                  <c:v>3.2574417486865388E-3</c:v>
                </c:pt>
                <c:pt idx="160">
                  <c:v>3.3851685086135424E-3</c:v>
                </c:pt>
                <c:pt idx="161">
                  <c:v>3.5155914031779834E-3</c:v>
                </c:pt>
                <c:pt idx="162">
                  <c:v>3.6486395658789175E-3</c:v>
                </c:pt>
                <c:pt idx="163">
                  <c:v>3.784234150279665E-3</c:v>
                </c:pt>
                <c:pt idx="164">
                  <c:v>3.9222882392217712E-3</c:v>
                </c:pt>
                <c:pt idx="165">
                  <c:v>4.0627067776440959E-3</c:v>
                </c:pt>
                <c:pt idx="166">
                  <c:v>4.2053865301536833E-3</c:v>
                </c:pt>
                <c:pt idx="167">
                  <c:v>4.3502160644213576E-3</c:v>
                </c:pt>
                <c:pt idx="168">
                  <c:v>4.4970757613929163E-3</c:v>
                </c:pt>
                <c:pt idx="169">
                  <c:v>4.6458378532163603E-3</c:v>
                </c:pt>
                <c:pt idx="170">
                  <c:v>4.7963664896873148E-3</c:v>
                </c:pt>
                <c:pt idx="171">
                  <c:v>4.9485178339087436E-3</c:v>
                </c:pt>
                <c:pt idx="172">
                  <c:v>5.1021401877477425E-3</c:v>
                </c:pt>
                <c:pt idx="173">
                  <c:v>5.2570741475520301E-3</c:v>
                </c:pt>
                <c:pt idx="174">
                  <c:v>5.4131527904621914E-3</c:v>
                </c:pt>
                <c:pt idx="175">
                  <c:v>5.5702018915234448E-3</c:v>
                </c:pt>
                <c:pt idx="176">
                  <c:v>5.7280401716630546E-3</c:v>
                </c:pt>
                <c:pt idx="177">
                  <c:v>5.8864795764575675E-3</c:v>
                </c:pt>
                <c:pt idx="178">
                  <c:v>6.0453255854680905E-3</c:v>
                </c:pt>
                <c:pt idx="179">
                  <c:v>6.2043775517729065E-3</c:v>
                </c:pt>
                <c:pt idx="180">
                  <c:v>6.3634290711756213E-3</c:v>
                </c:pt>
                <c:pt idx="181">
                  <c:v>6.5222683804143505E-3</c:v>
                </c:pt>
                <c:pt idx="182">
                  <c:v>6.6806787835444895E-3</c:v>
                </c:pt>
                <c:pt idx="183">
                  <c:v>6.8384391055147887E-3</c:v>
                </c:pt>
                <c:pt idx="184">
                  <c:v>6.9953241718051264E-3</c:v>
                </c:pt>
                <c:pt idx="185">
                  <c:v>7.1511053128451288E-3</c:v>
                </c:pt>
                <c:pt idx="186">
                  <c:v>7.3055508917868935E-3</c:v>
                </c:pt>
                <c:pt idx="187">
                  <c:v>7.4584268540631663E-3</c:v>
                </c:pt>
                <c:pt idx="188">
                  <c:v>7.6094972970255723E-3</c:v>
                </c:pt>
                <c:pt idx="189">
                  <c:v>7.7585250578268549E-3</c:v>
                </c:pt>
                <c:pt idx="190">
                  <c:v>7.9052723175871194E-3</c:v>
                </c:pt>
                <c:pt idx="191">
                  <c:v>8.0495012197682354E-3</c:v>
                </c:pt>
                <c:pt idx="192">
                  <c:v>8.1909745005731335E-3</c:v>
                </c:pt>
                <c:pt idx="193">
                  <c:v>8.3294561290889624E-3</c:v>
                </c:pt>
                <c:pt idx="194">
                  <c:v>8.4647119548054098E-3</c:v>
                </c:pt>
                <c:pt idx="195">
                  <c:v>8.596510360062962E-3</c:v>
                </c:pt>
                <c:pt idx="196">
                  <c:v>8.7246229149207984E-3</c:v>
                </c:pt>
                <c:pt idx="197">
                  <c:v>8.8488250318812314E-3</c:v>
                </c:pt>
                <c:pt idx="198">
                  <c:v>8.9688966178675302E-3</c:v>
                </c:pt>
                <c:pt idx="199">
                  <c:v>9.0846227208250443E-3</c:v>
                </c:pt>
                <c:pt idx="200">
                  <c:v>9.1957941683021328E-3</c:v>
                </c:pt>
                <c:pt idx="201">
                  <c:v>9.3022081953678046E-3</c:v>
                </c:pt>
                <c:pt idx="202">
                  <c:v>9.4036690592373667E-3</c:v>
                </c:pt>
                <c:pt idx="203">
                  <c:v>9.4999886380058695E-3</c:v>
                </c:pt>
                <c:pt idx="204">
                  <c:v>9.590987010931671E-3</c:v>
                </c:pt>
                <c:pt idx="205">
                  <c:v>9.6764930177690549E-3</c:v>
                </c:pt>
                <c:pt idx="206">
                  <c:v>9.756344794719261E-3</c:v>
                </c:pt>
                <c:pt idx="207">
                  <c:v>9.8303902846531722E-3</c:v>
                </c:pt>
                <c:pt idx="208">
                  <c:v>9.8984877193562092E-3</c:v>
                </c:pt>
                <c:pt idx="209">
                  <c:v>9.9605060716557604E-3</c:v>
                </c:pt>
                <c:pt idx="210">
                  <c:v>1.0016325475413623E-2</c:v>
                </c:pt>
                <c:pt idx="211">
                  <c:v>1.0065837611499623E-2</c:v>
                </c:pt>
                <c:pt idx="212">
                  <c:v>1.0108946058007091E-2</c:v>
                </c:pt>
                <c:pt idx="213">
                  <c:v>1.0145566603125416E-2</c:v>
                </c:pt>
                <c:pt idx="214">
                  <c:v>1.0175627519248847E-2</c:v>
                </c:pt>
                <c:pt idx="215">
                  <c:v>1.0199069797072687E-2</c:v>
                </c:pt>
                <c:pt idx="216">
                  <c:v>1.0215847338607529E-2</c:v>
                </c:pt>
                <c:pt idx="217">
                  <c:v>1.0225927108227879E-2</c:v>
                </c:pt>
                <c:pt idx="218">
                  <c:v>1.0229289241062377E-2</c:v>
                </c:pt>
                <c:pt idx="219">
                  <c:v>1.0225927108227879E-2</c:v>
                </c:pt>
                <c:pt idx="220">
                  <c:v>1.0215847338607529E-2</c:v>
                </c:pt>
                <c:pt idx="221">
                  <c:v>1.0199069797072687E-2</c:v>
                </c:pt>
                <c:pt idx="222">
                  <c:v>1.0175627519248847E-2</c:v>
                </c:pt>
                <c:pt idx="223">
                  <c:v>1.0145566603125416E-2</c:v>
                </c:pt>
                <c:pt idx="224">
                  <c:v>1.0108946058007091E-2</c:v>
                </c:pt>
                <c:pt idx="225">
                  <c:v>1.0065837611499623E-2</c:v>
                </c:pt>
                <c:pt idx="226">
                  <c:v>1.0016325475413623E-2</c:v>
                </c:pt>
                <c:pt idx="227">
                  <c:v>9.9605060716557604E-3</c:v>
                </c:pt>
                <c:pt idx="228">
                  <c:v>9.8984877193562092E-3</c:v>
                </c:pt>
                <c:pt idx="229">
                  <c:v>9.8303902846531722E-3</c:v>
                </c:pt>
                <c:pt idx="230">
                  <c:v>9.756344794719261E-3</c:v>
                </c:pt>
                <c:pt idx="231">
                  <c:v>9.6764930177690549E-3</c:v>
                </c:pt>
                <c:pt idx="232">
                  <c:v>9.590987010931671E-3</c:v>
                </c:pt>
                <c:pt idx="233">
                  <c:v>9.4999886380058695E-3</c:v>
                </c:pt>
                <c:pt idx="234">
                  <c:v>9.4036690592373667E-3</c:v>
                </c:pt>
                <c:pt idx="235">
                  <c:v>9.3022081953678046E-3</c:v>
                </c:pt>
                <c:pt idx="236">
                  <c:v>9.1957941683021328E-3</c:v>
                </c:pt>
                <c:pt idx="237">
                  <c:v>9.0846227208250443E-3</c:v>
                </c:pt>
                <c:pt idx="238">
                  <c:v>8.9688966178675302E-3</c:v>
                </c:pt>
                <c:pt idx="239">
                  <c:v>8.8488250318812314E-3</c:v>
                </c:pt>
                <c:pt idx="240">
                  <c:v>8.7246229149207984E-3</c:v>
                </c:pt>
                <c:pt idx="241">
                  <c:v>8.596510360062962E-3</c:v>
                </c:pt>
                <c:pt idx="242">
                  <c:v>8.4647119548054098E-3</c:v>
                </c:pt>
                <c:pt idx="243">
                  <c:v>8.3294561290889624E-3</c:v>
                </c:pt>
                <c:pt idx="244">
                  <c:v>8.1909745005731335E-3</c:v>
                </c:pt>
                <c:pt idx="245">
                  <c:v>8.0495012197682354E-3</c:v>
                </c:pt>
                <c:pt idx="246">
                  <c:v>7.9052723175871194E-3</c:v>
                </c:pt>
                <c:pt idx="247">
                  <c:v>7.7585250578268549E-3</c:v>
                </c:pt>
                <c:pt idx="248">
                  <c:v>7.6094972970255723E-3</c:v>
                </c:pt>
                <c:pt idx="249">
                  <c:v>7.4584268540631663E-3</c:v>
                </c:pt>
                <c:pt idx="250">
                  <c:v>7.3055508917868935E-3</c:v>
                </c:pt>
                <c:pt idx="251">
                  <c:v>7.1511053128451288E-3</c:v>
                </c:pt>
                <c:pt idx="252">
                  <c:v>6.9953241718051264E-3</c:v>
                </c:pt>
                <c:pt idx="253">
                  <c:v>6.8384391055147887E-3</c:v>
                </c:pt>
                <c:pt idx="254">
                  <c:v>6.6806787835444895E-3</c:v>
                </c:pt>
                <c:pt idx="255">
                  <c:v>6.5222683804143505E-3</c:v>
                </c:pt>
                <c:pt idx="256">
                  <c:v>6.3634290711756213E-3</c:v>
                </c:pt>
                <c:pt idx="257">
                  <c:v>6.2043775517729065E-3</c:v>
                </c:pt>
                <c:pt idx="258">
                  <c:v>6.0453255854680905E-3</c:v>
                </c:pt>
                <c:pt idx="259">
                  <c:v>5.8864795764575675E-3</c:v>
                </c:pt>
                <c:pt idx="260">
                  <c:v>5.7280401716630546E-3</c:v>
                </c:pt>
                <c:pt idx="261">
                  <c:v>5.5702018915234448E-3</c:v>
                </c:pt>
                <c:pt idx="262">
                  <c:v>5.4131527904621914E-3</c:v>
                </c:pt>
                <c:pt idx="263">
                  <c:v>5.2570741475520301E-3</c:v>
                </c:pt>
                <c:pt idx="264">
                  <c:v>5.1021401877477425E-3</c:v>
                </c:pt>
                <c:pt idx="265">
                  <c:v>4.9485178339087436E-3</c:v>
                </c:pt>
                <c:pt idx="266">
                  <c:v>4.7963664896873148E-3</c:v>
                </c:pt>
                <c:pt idx="267">
                  <c:v>4.6458378532163603E-3</c:v>
                </c:pt>
                <c:pt idx="268">
                  <c:v>4.4970757613929163E-3</c:v>
                </c:pt>
                <c:pt idx="269">
                  <c:v>4.3502160644213576E-3</c:v>
                </c:pt>
                <c:pt idx="270">
                  <c:v>4.2053865301536833E-3</c:v>
                </c:pt>
                <c:pt idx="271">
                  <c:v>4.0627067776440959E-3</c:v>
                </c:pt>
                <c:pt idx="272">
                  <c:v>3.9222882392217712E-3</c:v>
                </c:pt>
                <c:pt idx="273">
                  <c:v>3.784234150279665E-3</c:v>
                </c:pt>
                <c:pt idx="274">
                  <c:v>3.6486395658789175E-3</c:v>
                </c:pt>
                <c:pt idx="275">
                  <c:v>3.5155914031779834E-3</c:v>
                </c:pt>
                <c:pt idx="276">
                  <c:v>3.3851685086135424E-3</c:v>
                </c:pt>
                <c:pt idx="277">
                  <c:v>3.2574417486865388E-3</c:v>
                </c:pt>
                <c:pt idx="278">
                  <c:v>3.1324741231415149E-3</c:v>
                </c:pt>
                <c:pt idx="279">
                  <c:v>3.0103208992709753E-3</c:v>
                </c:pt>
                <c:pt idx="280">
                  <c:v>2.8910297660285581E-3</c:v>
                </c:pt>
                <c:pt idx="281">
                  <c:v>2.7746410065955357E-3</c:v>
                </c:pt>
                <c:pt idx="282">
                  <c:v>2.6611876880143965E-3</c:v>
                </c:pt>
                <c:pt idx="283">
                  <c:v>2.5506958664807352E-3</c:v>
                </c:pt>
                <c:pt idx="284">
                  <c:v>2.4431848068704716E-3</c:v>
                </c:pt>
                <c:pt idx="285">
                  <c:v>2.3386672150728953E-3</c:v>
                </c:pt>
                <c:pt idx="286">
                  <c:v>2.2371494817013471E-3</c:v>
                </c:pt>
                <c:pt idx="287">
                  <c:v>2.1386319357618025E-3</c:v>
                </c:pt>
                <c:pt idx="288">
                  <c:v>2.0431091068750669E-3</c:v>
                </c:pt>
                <c:pt idx="289">
                  <c:v>1.9505699946703646E-3</c:v>
                </c:pt>
                <c:pt idx="290">
                  <c:v>1.8609983439961855E-3</c:v>
                </c:pt>
                <c:pt idx="291">
                  <c:v>1.7743729246282101E-3</c:v>
                </c:pt>
                <c:pt idx="292">
                  <c:v>1.6906678141932236E-3</c:v>
                </c:pt>
                <c:pt idx="293">
                  <c:v>1.6098526830719178E-3</c:v>
                </c:pt>
                <c:pt idx="294">
                  <c:v>1.5318930800917645E-3</c:v>
                </c:pt>
                <c:pt idx="295">
                  <c:v>1.4567507178732634E-3</c:v>
                </c:pt>
                <c:pt idx="296">
                  <c:v>1.3843837567484119E-3</c:v>
                </c:pt>
                <c:pt idx="297">
                  <c:v>1.314747086228626E-3</c:v>
                </c:pt>
                <c:pt idx="298">
                  <c:v>1.2477926030601799E-3</c:v>
                </c:pt>
                <c:pt idx="299">
                  <c:v>1.183469484967985E-3</c:v>
                </c:pt>
                <c:pt idx="300">
                  <c:v>1.121724459252815E-3</c:v>
                </c:pt>
              </c:numCache>
            </c:numRef>
          </c:val>
          <c:smooth val="0"/>
          <c:extLst>
            <c:ext xmlns:c16="http://schemas.microsoft.com/office/drawing/2014/chart" uri="{C3380CC4-5D6E-409C-BE32-E72D297353CC}">
              <c16:uniqueId val="{00000000-8274-4780-BE16-90E7B75ED316}"/>
            </c:ext>
          </c:extLst>
        </c:ser>
        <c:dLbls>
          <c:showLegendKey val="0"/>
          <c:showVal val="0"/>
          <c:showCatName val="0"/>
          <c:showSerName val="0"/>
          <c:showPercent val="0"/>
          <c:showBubbleSize val="0"/>
        </c:dLbls>
        <c:dropLines>
          <c:spPr>
            <a:ln w="9525" cap="flat" cmpd="sng" algn="ctr">
              <a:solidFill>
                <a:schemeClr val="bg2">
                  <a:lumMod val="10000"/>
                  <a:alpha val="33000"/>
                </a:schemeClr>
              </a:solidFill>
              <a:round/>
            </a:ln>
            <a:effectLst/>
          </c:spPr>
        </c:dropLines>
        <c:smooth val="0"/>
        <c:axId val="314161392"/>
        <c:axId val="314160432"/>
      </c:lineChart>
      <c:catAx>
        <c:axId val="314161392"/>
        <c:scaling>
          <c:orientation val="minMax"/>
        </c:scaling>
        <c:delete val="0"/>
        <c:axPos val="b"/>
        <c:numFmt formatCode="General" sourceLinked="1"/>
        <c:majorTickMark val="none"/>
        <c:minorTickMark val="none"/>
        <c:tickLblPos val="nextTo"/>
        <c:spPr>
          <a:noFill/>
          <a:ln w="9525" cap="flat" cmpd="sng" algn="ctr">
            <a:solidFill>
              <a:schemeClr val="bg2">
                <a:lumMod val="10000"/>
              </a:schemeClr>
            </a:solidFill>
            <a:round/>
          </a:ln>
          <a:effectLst/>
        </c:spPr>
        <c:txPr>
          <a:bodyPr rot="-60000000" spcFirstLastPara="1" vertOverflow="ellipsis" vert="horz" wrap="square" anchor="ctr" anchorCtr="1"/>
          <a:lstStyle/>
          <a:p>
            <a:pPr algn="ctr">
              <a:defRPr lang="en-US" sz="1000" b="1" i="0" u="none" strike="noStrike" kern="1200" spc="20" baseline="0">
                <a:solidFill>
                  <a:schemeClr val="accent1"/>
                </a:solidFill>
                <a:latin typeface="Bierstadt" panose="020B0004020202020204" pitchFamily="34" charset="0"/>
                <a:ea typeface="+mn-ea"/>
                <a:cs typeface="+mn-cs"/>
              </a:defRPr>
            </a:pPr>
            <a:endParaRPr lang="de-DE"/>
          </a:p>
        </c:txPr>
        <c:crossAx val="314160432"/>
        <c:crosses val="autoZero"/>
        <c:auto val="1"/>
        <c:lblAlgn val="ctr"/>
        <c:lblOffset val="100"/>
        <c:tickLblSkip val="20"/>
        <c:noMultiLvlLbl val="0"/>
      </c:catAx>
      <c:valAx>
        <c:axId val="314160432"/>
        <c:scaling>
          <c:orientation val="minMax"/>
        </c:scaling>
        <c:delete val="0"/>
        <c:axPos val="l"/>
        <c:majorGridlines>
          <c:spPr>
            <a:ln>
              <a:solidFill>
                <a:schemeClr val="bg2">
                  <a:lumMod val="50000"/>
                  <a:alpha val="37000"/>
                </a:schemeClr>
              </a:solidFill>
            </a:ln>
            <a:effectLst/>
          </c:spPr>
        </c:majorGridlines>
        <c:numFmt formatCode="0.0%" sourceLinked="1"/>
        <c:majorTickMark val="none"/>
        <c:minorTickMark val="none"/>
        <c:tickLblPos val="nextTo"/>
        <c:spPr>
          <a:noFill/>
          <a:ln>
            <a:solidFill>
              <a:schemeClr val="bg2">
                <a:lumMod val="10000"/>
              </a:schemeClr>
            </a:solidFill>
          </a:ln>
          <a:effectLst/>
        </c:spPr>
        <c:txPr>
          <a:bodyPr rot="-60000000" spcFirstLastPara="1" vertOverflow="ellipsis" vert="horz" wrap="square" anchor="ctr" anchorCtr="1"/>
          <a:lstStyle/>
          <a:p>
            <a:pPr>
              <a:defRPr sz="1000" b="1" i="0" u="none" strike="noStrike" kern="1200" spc="20" baseline="0">
                <a:solidFill>
                  <a:schemeClr val="accent1"/>
                </a:solidFill>
                <a:latin typeface="Bierstadt" panose="020B0004020202020204" pitchFamily="34" charset="0"/>
                <a:ea typeface="+mn-ea"/>
                <a:cs typeface="+mn-cs"/>
              </a:defRPr>
            </a:pPr>
            <a:endParaRPr lang="de-DE"/>
          </a:p>
        </c:txPr>
        <c:crossAx val="314161392"/>
        <c:crosses val="autoZero"/>
        <c:crossBetween val="midCat"/>
      </c:valAx>
      <c:spPr>
        <a:solidFill>
          <a:schemeClr val="accent1"/>
        </a:solidFill>
        <a:ln>
          <a:noFill/>
        </a:ln>
        <a:effectLst/>
      </c:spPr>
    </c:plotArea>
    <c:plotVisOnly val="1"/>
    <c:dispBlanksAs val="gap"/>
    <c:showDLblsOverMax val="0"/>
  </c:chart>
  <c:spPr>
    <a:solidFill>
      <a:schemeClr val="tx2"/>
    </a:solidFill>
    <a:ln w="9525" cap="flat" cmpd="sng" algn="ctr">
      <a:solidFill>
        <a:schemeClr val="dk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2"/>
                </a:solidFill>
                <a:latin typeface="Bierstadt" panose="020B0004020202020204" pitchFamily="34" charset="0"/>
                <a:ea typeface="+mn-ea"/>
                <a:cs typeface="+mn-cs"/>
              </a:defRPr>
            </a:pPr>
            <a:r>
              <a:rPr lang="de-DE" b="1">
                <a:solidFill>
                  <a:schemeClr val="tx2"/>
                </a:solidFill>
              </a:rPr>
              <a:t>Gesamtholz-Verteilung</a:t>
            </a:r>
          </a:p>
        </c:rich>
      </c:tx>
      <c:layout>
        <c:manualLayout>
          <c:xMode val="edge"/>
          <c:yMode val="edge"/>
          <c:x val="0.15578370150283871"/>
          <c:y val="4.3389491406830807E-2"/>
        </c:manualLayout>
      </c:layout>
      <c:overlay val="1"/>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Bierstadt" panose="020B0004020202020204" pitchFamily="34" charset="0"/>
              <a:ea typeface="+mn-ea"/>
              <a:cs typeface="+mn-cs"/>
            </a:defRPr>
          </a:pPr>
          <a:endParaRPr lang="de-DE"/>
        </a:p>
      </c:txPr>
    </c:title>
    <c:autoTitleDeleted val="0"/>
    <c:plotArea>
      <c:layout/>
      <c:barChart>
        <c:barDir val="col"/>
        <c:grouping val="clustered"/>
        <c:varyColors val="0"/>
        <c:ser>
          <c:idx val="0"/>
          <c:order val="0"/>
          <c:spPr>
            <a:solidFill>
              <a:schemeClr val="tx2"/>
            </a:solidFill>
            <a:ln>
              <a:noFill/>
            </a:ln>
            <a:effectLst/>
          </c:spPr>
          <c:invertIfNegative val="0"/>
          <c:cat>
            <c:numRef>
              <c:f>'Rekorde'!$B$258:$B$708</c:f>
              <c:numCache>
                <c:formatCode>General</c:formatCode>
                <c:ptCount val="45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numCache>
            </c:numRef>
          </c:cat>
          <c:val>
            <c:numRef>
              <c:f>'Rekorde'!$K$258:$K$708</c:f>
              <c:numCache>
                <c:formatCode>General</c:formatCode>
                <c:ptCount val="4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1</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1</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1</c:v>
                </c:pt>
                <c:pt idx="122">
                  <c:v>0</c:v>
                </c:pt>
                <c:pt idx="123">
                  <c:v>0</c:v>
                </c:pt>
                <c:pt idx="124">
                  <c:v>0</c:v>
                </c:pt>
                <c:pt idx="125">
                  <c:v>0</c:v>
                </c:pt>
                <c:pt idx="126">
                  <c:v>2</c:v>
                </c:pt>
                <c:pt idx="127">
                  <c:v>0</c:v>
                </c:pt>
                <c:pt idx="128">
                  <c:v>1</c:v>
                </c:pt>
                <c:pt idx="129">
                  <c:v>0</c:v>
                </c:pt>
                <c:pt idx="130">
                  <c:v>0</c:v>
                </c:pt>
                <c:pt idx="131">
                  <c:v>0</c:v>
                </c:pt>
                <c:pt idx="132">
                  <c:v>0</c:v>
                </c:pt>
                <c:pt idx="133">
                  <c:v>0</c:v>
                </c:pt>
                <c:pt idx="134">
                  <c:v>0</c:v>
                </c:pt>
                <c:pt idx="135">
                  <c:v>0</c:v>
                </c:pt>
                <c:pt idx="136">
                  <c:v>1</c:v>
                </c:pt>
                <c:pt idx="137">
                  <c:v>0</c:v>
                </c:pt>
                <c:pt idx="138">
                  <c:v>0</c:v>
                </c:pt>
                <c:pt idx="139">
                  <c:v>0</c:v>
                </c:pt>
                <c:pt idx="140">
                  <c:v>0</c:v>
                </c:pt>
                <c:pt idx="141">
                  <c:v>0</c:v>
                </c:pt>
                <c:pt idx="142">
                  <c:v>1</c:v>
                </c:pt>
                <c:pt idx="143">
                  <c:v>0</c:v>
                </c:pt>
                <c:pt idx="144">
                  <c:v>0</c:v>
                </c:pt>
                <c:pt idx="145">
                  <c:v>1</c:v>
                </c:pt>
                <c:pt idx="146">
                  <c:v>0</c:v>
                </c:pt>
                <c:pt idx="147">
                  <c:v>2</c:v>
                </c:pt>
                <c:pt idx="148">
                  <c:v>1</c:v>
                </c:pt>
                <c:pt idx="149">
                  <c:v>1</c:v>
                </c:pt>
                <c:pt idx="150">
                  <c:v>1</c:v>
                </c:pt>
                <c:pt idx="151">
                  <c:v>0</c:v>
                </c:pt>
                <c:pt idx="152">
                  <c:v>0</c:v>
                </c:pt>
                <c:pt idx="153">
                  <c:v>0</c:v>
                </c:pt>
                <c:pt idx="154">
                  <c:v>1</c:v>
                </c:pt>
                <c:pt idx="155">
                  <c:v>0</c:v>
                </c:pt>
                <c:pt idx="156">
                  <c:v>0</c:v>
                </c:pt>
                <c:pt idx="157">
                  <c:v>0</c:v>
                </c:pt>
                <c:pt idx="158">
                  <c:v>0</c:v>
                </c:pt>
                <c:pt idx="159">
                  <c:v>0</c:v>
                </c:pt>
                <c:pt idx="160">
                  <c:v>0</c:v>
                </c:pt>
                <c:pt idx="161">
                  <c:v>0</c:v>
                </c:pt>
                <c:pt idx="162">
                  <c:v>0</c:v>
                </c:pt>
                <c:pt idx="163">
                  <c:v>1</c:v>
                </c:pt>
                <c:pt idx="164">
                  <c:v>1</c:v>
                </c:pt>
                <c:pt idx="165">
                  <c:v>2</c:v>
                </c:pt>
                <c:pt idx="166">
                  <c:v>0</c:v>
                </c:pt>
                <c:pt idx="167">
                  <c:v>0</c:v>
                </c:pt>
                <c:pt idx="168">
                  <c:v>1</c:v>
                </c:pt>
                <c:pt idx="169">
                  <c:v>0</c:v>
                </c:pt>
                <c:pt idx="170">
                  <c:v>0</c:v>
                </c:pt>
                <c:pt idx="171">
                  <c:v>0</c:v>
                </c:pt>
                <c:pt idx="172">
                  <c:v>0</c:v>
                </c:pt>
                <c:pt idx="173">
                  <c:v>0</c:v>
                </c:pt>
                <c:pt idx="174">
                  <c:v>1</c:v>
                </c:pt>
                <c:pt idx="175">
                  <c:v>1</c:v>
                </c:pt>
                <c:pt idx="176">
                  <c:v>0</c:v>
                </c:pt>
                <c:pt idx="177">
                  <c:v>0</c:v>
                </c:pt>
                <c:pt idx="178">
                  <c:v>1</c:v>
                </c:pt>
                <c:pt idx="179">
                  <c:v>0</c:v>
                </c:pt>
                <c:pt idx="180">
                  <c:v>0</c:v>
                </c:pt>
                <c:pt idx="181">
                  <c:v>1</c:v>
                </c:pt>
                <c:pt idx="182">
                  <c:v>0</c:v>
                </c:pt>
                <c:pt idx="183">
                  <c:v>1</c:v>
                </c:pt>
                <c:pt idx="184">
                  <c:v>0</c:v>
                </c:pt>
                <c:pt idx="185">
                  <c:v>0</c:v>
                </c:pt>
                <c:pt idx="186">
                  <c:v>0</c:v>
                </c:pt>
                <c:pt idx="187">
                  <c:v>1</c:v>
                </c:pt>
                <c:pt idx="188">
                  <c:v>0</c:v>
                </c:pt>
                <c:pt idx="189">
                  <c:v>1</c:v>
                </c:pt>
                <c:pt idx="190">
                  <c:v>1</c:v>
                </c:pt>
                <c:pt idx="191">
                  <c:v>1</c:v>
                </c:pt>
                <c:pt idx="192">
                  <c:v>0</c:v>
                </c:pt>
                <c:pt idx="193">
                  <c:v>0</c:v>
                </c:pt>
                <c:pt idx="194">
                  <c:v>0</c:v>
                </c:pt>
                <c:pt idx="195">
                  <c:v>1</c:v>
                </c:pt>
                <c:pt idx="196">
                  <c:v>0</c:v>
                </c:pt>
                <c:pt idx="197">
                  <c:v>1</c:v>
                </c:pt>
                <c:pt idx="198">
                  <c:v>1</c:v>
                </c:pt>
                <c:pt idx="199">
                  <c:v>0</c:v>
                </c:pt>
                <c:pt idx="200">
                  <c:v>1</c:v>
                </c:pt>
                <c:pt idx="201">
                  <c:v>0</c:v>
                </c:pt>
                <c:pt idx="202">
                  <c:v>0</c:v>
                </c:pt>
                <c:pt idx="203">
                  <c:v>1</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1</c:v>
                </c:pt>
                <c:pt idx="218">
                  <c:v>1</c:v>
                </c:pt>
                <c:pt idx="219">
                  <c:v>0</c:v>
                </c:pt>
                <c:pt idx="220">
                  <c:v>1</c:v>
                </c:pt>
                <c:pt idx="221">
                  <c:v>0</c:v>
                </c:pt>
                <c:pt idx="222">
                  <c:v>0</c:v>
                </c:pt>
                <c:pt idx="223">
                  <c:v>0</c:v>
                </c:pt>
                <c:pt idx="224">
                  <c:v>0</c:v>
                </c:pt>
                <c:pt idx="225">
                  <c:v>0</c:v>
                </c:pt>
                <c:pt idx="226">
                  <c:v>2</c:v>
                </c:pt>
                <c:pt idx="227">
                  <c:v>0</c:v>
                </c:pt>
                <c:pt idx="228">
                  <c:v>2</c:v>
                </c:pt>
                <c:pt idx="229">
                  <c:v>1</c:v>
                </c:pt>
                <c:pt idx="230">
                  <c:v>0</c:v>
                </c:pt>
                <c:pt idx="231">
                  <c:v>0</c:v>
                </c:pt>
                <c:pt idx="232">
                  <c:v>1</c:v>
                </c:pt>
                <c:pt idx="233">
                  <c:v>0</c:v>
                </c:pt>
                <c:pt idx="234">
                  <c:v>0</c:v>
                </c:pt>
                <c:pt idx="235">
                  <c:v>0</c:v>
                </c:pt>
                <c:pt idx="236">
                  <c:v>0</c:v>
                </c:pt>
                <c:pt idx="237">
                  <c:v>0</c:v>
                </c:pt>
                <c:pt idx="238">
                  <c:v>1</c:v>
                </c:pt>
                <c:pt idx="239">
                  <c:v>1</c:v>
                </c:pt>
                <c:pt idx="240">
                  <c:v>0</c:v>
                </c:pt>
                <c:pt idx="241">
                  <c:v>0</c:v>
                </c:pt>
                <c:pt idx="242">
                  <c:v>1</c:v>
                </c:pt>
                <c:pt idx="243">
                  <c:v>0</c:v>
                </c:pt>
                <c:pt idx="244">
                  <c:v>0</c:v>
                </c:pt>
                <c:pt idx="245">
                  <c:v>0</c:v>
                </c:pt>
                <c:pt idx="246">
                  <c:v>0</c:v>
                </c:pt>
                <c:pt idx="247">
                  <c:v>1</c:v>
                </c:pt>
                <c:pt idx="248">
                  <c:v>2</c:v>
                </c:pt>
                <c:pt idx="249">
                  <c:v>1</c:v>
                </c:pt>
                <c:pt idx="250">
                  <c:v>0</c:v>
                </c:pt>
                <c:pt idx="251">
                  <c:v>0</c:v>
                </c:pt>
                <c:pt idx="252">
                  <c:v>1</c:v>
                </c:pt>
                <c:pt idx="253">
                  <c:v>0</c:v>
                </c:pt>
                <c:pt idx="254">
                  <c:v>4</c:v>
                </c:pt>
                <c:pt idx="255">
                  <c:v>1</c:v>
                </c:pt>
                <c:pt idx="256">
                  <c:v>1</c:v>
                </c:pt>
                <c:pt idx="257">
                  <c:v>0</c:v>
                </c:pt>
                <c:pt idx="258">
                  <c:v>1</c:v>
                </c:pt>
                <c:pt idx="259">
                  <c:v>0</c:v>
                </c:pt>
                <c:pt idx="260">
                  <c:v>1</c:v>
                </c:pt>
                <c:pt idx="261">
                  <c:v>0</c:v>
                </c:pt>
                <c:pt idx="262">
                  <c:v>1</c:v>
                </c:pt>
                <c:pt idx="263">
                  <c:v>1</c:v>
                </c:pt>
                <c:pt idx="264">
                  <c:v>1</c:v>
                </c:pt>
                <c:pt idx="265">
                  <c:v>1</c:v>
                </c:pt>
                <c:pt idx="266">
                  <c:v>0</c:v>
                </c:pt>
                <c:pt idx="267">
                  <c:v>1</c:v>
                </c:pt>
                <c:pt idx="268">
                  <c:v>2</c:v>
                </c:pt>
                <c:pt idx="269">
                  <c:v>3</c:v>
                </c:pt>
                <c:pt idx="270">
                  <c:v>1</c:v>
                </c:pt>
                <c:pt idx="271">
                  <c:v>2</c:v>
                </c:pt>
                <c:pt idx="272">
                  <c:v>1</c:v>
                </c:pt>
                <c:pt idx="273">
                  <c:v>0</c:v>
                </c:pt>
                <c:pt idx="274">
                  <c:v>0</c:v>
                </c:pt>
                <c:pt idx="275">
                  <c:v>1</c:v>
                </c:pt>
                <c:pt idx="276">
                  <c:v>0</c:v>
                </c:pt>
                <c:pt idx="277">
                  <c:v>3</c:v>
                </c:pt>
                <c:pt idx="278">
                  <c:v>0</c:v>
                </c:pt>
                <c:pt idx="279">
                  <c:v>1</c:v>
                </c:pt>
                <c:pt idx="280">
                  <c:v>2</c:v>
                </c:pt>
                <c:pt idx="281">
                  <c:v>0</c:v>
                </c:pt>
                <c:pt idx="282">
                  <c:v>0</c:v>
                </c:pt>
                <c:pt idx="283">
                  <c:v>2</c:v>
                </c:pt>
                <c:pt idx="284">
                  <c:v>1</c:v>
                </c:pt>
                <c:pt idx="285">
                  <c:v>1</c:v>
                </c:pt>
                <c:pt idx="286">
                  <c:v>0</c:v>
                </c:pt>
                <c:pt idx="287">
                  <c:v>2</c:v>
                </c:pt>
                <c:pt idx="288">
                  <c:v>2</c:v>
                </c:pt>
                <c:pt idx="289">
                  <c:v>2</c:v>
                </c:pt>
                <c:pt idx="290">
                  <c:v>6</c:v>
                </c:pt>
                <c:pt idx="291">
                  <c:v>1</c:v>
                </c:pt>
                <c:pt idx="292">
                  <c:v>3</c:v>
                </c:pt>
                <c:pt idx="293">
                  <c:v>2</c:v>
                </c:pt>
                <c:pt idx="294">
                  <c:v>3</c:v>
                </c:pt>
                <c:pt idx="295">
                  <c:v>0</c:v>
                </c:pt>
                <c:pt idx="296">
                  <c:v>4</c:v>
                </c:pt>
                <c:pt idx="297">
                  <c:v>5</c:v>
                </c:pt>
                <c:pt idx="298">
                  <c:v>3</c:v>
                </c:pt>
                <c:pt idx="299">
                  <c:v>6</c:v>
                </c:pt>
                <c:pt idx="300">
                  <c:v>3</c:v>
                </c:pt>
                <c:pt idx="301">
                  <c:v>2</c:v>
                </c:pt>
                <c:pt idx="302">
                  <c:v>4</c:v>
                </c:pt>
                <c:pt idx="303">
                  <c:v>4</c:v>
                </c:pt>
                <c:pt idx="304">
                  <c:v>2</c:v>
                </c:pt>
                <c:pt idx="305">
                  <c:v>1</c:v>
                </c:pt>
                <c:pt idx="306">
                  <c:v>6</c:v>
                </c:pt>
                <c:pt idx="307">
                  <c:v>5</c:v>
                </c:pt>
                <c:pt idx="308">
                  <c:v>5</c:v>
                </c:pt>
                <c:pt idx="309">
                  <c:v>3</c:v>
                </c:pt>
                <c:pt idx="310">
                  <c:v>2</c:v>
                </c:pt>
                <c:pt idx="311">
                  <c:v>5</c:v>
                </c:pt>
                <c:pt idx="312">
                  <c:v>6</c:v>
                </c:pt>
                <c:pt idx="313">
                  <c:v>4</c:v>
                </c:pt>
                <c:pt idx="314">
                  <c:v>2</c:v>
                </c:pt>
                <c:pt idx="315">
                  <c:v>2</c:v>
                </c:pt>
                <c:pt idx="316">
                  <c:v>1</c:v>
                </c:pt>
                <c:pt idx="317">
                  <c:v>2</c:v>
                </c:pt>
                <c:pt idx="318">
                  <c:v>2</c:v>
                </c:pt>
                <c:pt idx="319">
                  <c:v>1</c:v>
                </c:pt>
                <c:pt idx="320">
                  <c:v>5</c:v>
                </c:pt>
                <c:pt idx="321">
                  <c:v>5</c:v>
                </c:pt>
                <c:pt idx="322">
                  <c:v>3</c:v>
                </c:pt>
                <c:pt idx="323">
                  <c:v>2</c:v>
                </c:pt>
                <c:pt idx="324">
                  <c:v>1</c:v>
                </c:pt>
                <c:pt idx="325">
                  <c:v>1</c:v>
                </c:pt>
                <c:pt idx="326">
                  <c:v>7</c:v>
                </c:pt>
                <c:pt idx="327">
                  <c:v>3</c:v>
                </c:pt>
                <c:pt idx="328">
                  <c:v>10</c:v>
                </c:pt>
                <c:pt idx="329">
                  <c:v>5</c:v>
                </c:pt>
                <c:pt idx="330">
                  <c:v>1</c:v>
                </c:pt>
                <c:pt idx="331">
                  <c:v>5</c:v>
                </c:pt>
                <c:pt idx="332">
                  <c:v>3</c:v>
                </c:pt>
                <c:pt idx="333">
                  <c:v>6</c:v>
                </c:pt>
                <c:pt idx="334">
                  <c:v>2</c:v>
                </c:pt>
                <c:pt idx="335">
                  <c:v>3</c:v>
                </c:pt>
                <c:pt idx="336">
                  <c:v>3</c:v>
                </c:pt>
                <c:pt idx="337">
                  <c:v>3</c:v>
                </c:pt>
                <c:pt idx="338">
                  <c:v>1</c:v>
                </c:pt>
                <c:pt idx="339">
                  <c:v>3</c:v>
                </c:pt>
                <c:pt idx="340">
                  <c:v>3</c:v>
                </c:pt>
                <c:pt idx="341">
                  <c:v>2</c:v>
                </c:pt>
                <c:pt idx="342">
                  <c:v>5</c:v>
                </c:pt>
                <c:pt idx="343">
                  <c:v>1</c:v>
                </c:pt>
                <c:pt idx="344">
                  <c:v>0</c:v>
                </c:pt>
                <c:pt idx="345">
                  <c:v>2</c:v>
                </c:pt>
                <c:pt idx="346">
                  <c:v>3</c:v>
                </c:pt>
                <c:pt idx="347">
                  <c:v>2</c:v>
                </c:pt>
                <c:pt idx="348">
                  <c:v>0</c:v>
                </c:pt>
                <c:pt idx="349">
                  <c:v>1</c:v>
                </c:pt>
                <c:pt idx="350">
                  <c:v>3</c:v>
                </c:pt>
                <c:pt idx="351">
                  <c:v>3</c:v>
                </c:pt>
                <c:pt idx="352">
                  <c:v>1</c:v>
                </c:pt>
                <c:pt idx="353">
                  <c:v>4</c:v>
                </c:pt>
                <c:pt idx="354">
                  <c:v>2</c:v>
                </c:pt>
                <c:pt idx="355">
                  <c:v>1</c:v>
                </c:pt>
                <c:pt idx="356">
                  <c:v>0</c:v>
                </c:pt>
                <c:pt idx="357">
                  <c:v>0</c:v>
                </c:pt>
                <c:pt idx="358">
                  <c:v>4</c:v>
                </c:pt>
                <c:pt idx="359">
                  <c:v>0</c:v>
                </c:pt>
                <c:pt idx="360">
                  <c:v>2</c:v>
                </c:pt>
                <c:pt idx="361">
                  <c:v>1</c:v>
                </c:pt>
                <c:pt idx="362">
                  <c:v>3</c:v>
                </c:pt>
                <c:pt idx="363">
                  <c:v>0</c:v>
                </c:pt>
                <c:pt idx="364">
                  <c:v>3</c:v>
                </c:pt>
                <c:pt idx="365">
                  <c:v>0</c:v>
                </c:pt>
                <c:pt idx="366">
                  <c:v>0</c:v>
                </c:pt>
                <c:pt idx="367">
                  <c:v>0</c:v>
                </c:pt>
                <c:pt idx="368">
                  <c:v>1</c:v>
                </c:pt>
                <c:pt idx="369">
                  <c:v>0</c:v>
                </c:pt>
                <c:pt idx="370">
                  <c:v>1</c:v>
                </c:pt>
                <c:pt idx="371">
                  <c:v>0</c:v>
                </c:pt>
                <c:pt idx="372">
                  <c:v>0</c:v>
                </c:pt>
                <c:pt idx="373">
                  <c:v>0</c:v>
                </c:pt>
                <c:pt idx="374">
                  <c:v>2</c:v>
                </c:pt>
                <c:pt idx="375">
                  <c:v>1</c:v>
                </c:pt>
                <c:pt idx="376">
                  <c:v>1</c:v>
                </c:pt>
                <c:pt idx="377">
                  <c:v>1</c:v>
                </c:pt>
                <c:pt idx="378">
                  <c:v>1</c:v>
                </c:pt>
                <c:pt idx="379">
                  <c:v>1</c:v>
                </c:pt>
                <c:pt idx="380">
                  <c:v>0</c:v>
                </c:pt>
                <c:pt idx="381">
                  <c:v>0</c:v>
                </c:pt>
                <c:pt idx="382">
                  <c:v>0</c:v>
                </c:pt>
                <c:pt idx="383">
                  <c:v>0</c:v>
                </c:pt>
                <c:pt idx="384">
                  <c:v>1</c:v>
                </c:pt>
                <c:pt idx="385">
                  <c:v>0</c:v>
                </c:pt>
                <c:pt idx="386">
                  <c:v>0</c:v>
                </c:pt>
                <c:pt idx="387">
                  <c:v>1</c:v>
                </c:pt>
                <c:pt idx="388">
                  <c:v>0</c:v>
                </c:pt>
                <c:pt idx="389">
                  <c:v>0</c:v>
                </c:pt>
                <c:pt idx="390">
                  <c:v>0</c:v>
                </c:pt>
                <c:pt idx="391">
                  <c:v>0</c:v>
                </c:pt>
                <c:pt idx="392">
                  <c:v>1</c:v>
                </c:pt>
                <c:pt idx="393">
                  <c:v>1</c:v>
                </c:pt>
                <c:pt idx="394">
                  <c:v>0</c:v>
                </c:pt>
                <c:pt idx="395">
                  <c:v>0</c:v>
                </c:pt>
                <c:pt idx="396">
                  <c:v>0</c:v>
                </c:pt>
                <c:pt idx="397">
                  <c:v>0</c:v>
                </c:pt>
                <c:pt idx="398">
                  <c:v>0</c:v>
                </c:pt>
                <c:pt idx="399">
                  <c:v>1</c:v>
                </c:pt>
                <c:pt idx="400">
                  <c:v>1</c:v>
                </c:pt>
                <c:pt idx="401">
                  <c:v>0</c:v>
                </c:pt>
                <c:pt idx="402">
                  <c:v>0</c:v>
                </c:pt>
                <c:pt idx="403">
                  <c:v>0</c:v>
                </c:pt>
                <c:pt idx="404">
                  <c:v>0</c:v>
                </c:pt>
                <c:pt idx="405">
                  <c:v>1</c:v>
                </c:pt>
                <c:pt idx="406">
                  <c:v>0</c:v>
                </c:pt>
                <c:pt idx="407">
                  <c:v>0</c:v>
                </c:pt>
                <c:pt idx="408">
                  <c:v>0</c:v>
                </c:pt>
                <c:pt idx="409">
                  <c:v>0</c:v>
                </c:pt>
                <c:pt idx="410">
                  <c:v>1</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1</c:v>
                </c:pt>
                <c:pt idx="428">
                  <c:v>1</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1</c:v>
                </c:pt>
                <c:pt idx="450">
                  <c:v>0</c:v>
                </c:pt>
              </c:numCache>
            </c:numRef>
          </c:val>
          <c:extLst>
            <c:ext xmlns:c16="http://schemas.microsoft.com/office/drawing/2014/chart" uri="{C3380CC4-5D6E-409C-BE32-E72D297353CC}">
              <c16:uniqueId val="{00000000-56D8-491D-B204-F8B3883B637A}"/>
            </c:ext>
          </c:extLst>
        </c:ser>
        <c:dLbls>
          <c:showLegendKey val="0"/>
          <c:showVal val="0"/>
          <c:showCatName val="0"/>
          <c:showSerName val="0"/>
          <c:showPercent val="0"/>
          <c:showBubbleSize val="0"/>
        </c:dLbls>
        <c:gapWidth val="219"/>
        <c:overlap val="-27"/>
        <c:axId val="1448258191"/>
        <c:axId val="1448259631"/>
      </c:barChart>
      <c:catAx>
        <c:axId val="144825819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r>
                  <a:rPr lang="de-DE" b="1">
                    <a:solidFill>
                      <a:schemeClr val="tx2"/>
                    </a:solidFill>
                  </a:rPr>
                  <a:t>Holz</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endParaRPr lang="de-DE"/>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2"/>
                </a:solidFill>
                <a:latin typeface="Bierstadt" panose="020B0004020202020204" pitchFamily="34" charset="0"/>
                <a:ea typeface="+mn-ea"/>
                <a:cs typeface="+mn-cs"/>
              </a:defRPr>
            </a:pPr>
            <a:endParaRPr lang="de-DE"/>
          </a:p>
        </c:txPr>
        <c:crossAx val="1448259631"/>
        <c:crosses val="autoZero"/>
        <c:auto val="1"/>
        <c:lblAlgn val="ctr"/>
        <c:lblOffset val="100"/>
        <c:noMultiLvlLbl val="0"/>
      </c:catAx>
      <c:valAx>
        <c:axId val="1448259631"/>
        <c:scaling>
          <c:orientation val="minMax"/>
        </c:scaling>
        <c:delete val="0"/>
        <c:axPos val="l"/>
        <c:majorGridlines>
          <c:spPr>
            <a:ln w="9525" cap="flat" cmpd="sng" algn="ctr">
              <a:solidFill>
                <a:schemeClr val="accent6">
                  <a:alpha val="2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r>
                  <a:rPr lang="de-DE" b="1">
                    <a:solidFill>
                      <a:schemeClr val="tx2"/>
                    </a:solidFill>
                  </a:rPr>
                  <a:t>Anzahl</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Bierstadt" panose="020B0004020202020204" pitchFamily="34" charset="0"/>
                <a:ea typeface="+mn-ea"/>
                <a:cs typeface="+mn-cs"/>
              </a:defRPr>
            </a:pPr>
            <a:endParaRPr lang="de-DE"/>
          </a:p>
        </c:txPr>
        <c:crossAx val="144825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28575" cap="flat" cmpd="sng" algn="ctr">
      <a:solidFill>
        <a:schemeClr val="tx2"/>
      </a:solidFill>
      <a:round/>
    </a:ln>
    <a:effectLst/>
  </c:spPr>
  <c:txPr>
    <a:bodyPr/>
    <a:lstStyle/>
    <a:p>
      <a:pPr>
        <a:defRPr>
          <a:latin typeface="Bierstadt" panose="020B0004020202020204" pitchFamily="34" charset="0"/>
        </a:defRPr>
      </a:pPr>
      <a:endParaRPr lang="de-DE"/>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2"/>
                </a:solidFill>
                <a:latin typeface="Bierstadt" panose="020B0004020202020204" pitchFamily="34" charset="0"/>
                <a:ea typeface="+mn-ea"/>
                <a:cs typeface="+mn-cs"/>
              </a:defRPr>
            </a:pPr>
            <a:r>
              <a:rPr lang="de-DE" b="1">
                <a:solidFill>
                  <a:schemeClr val="tx2"/>
                </a:solidFill>
              </a:rPr>
              <a:t>Volle-Verteilung</a:t>
            </a:r>
          </a:p>
        </c:rich>
      </c:tx>
      <c:layout>
        <c:manualLayout>
          <c:xMode val="edge"/>
          <c:yMode val="edge"/>
          <c:x val="0.15578370150283871"/>
          <c:y val="4.3389491406830807E-2"/>
        </c:manualLayout>
      </c:layout>
      <c:overlay val="1"/>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Bierstadt" panose="020B0004020202020204" pitchFamily="34" charset="0"/>
              <a:ea typeface="+mn-ea"/>
              <a:cs typeface="+mn-cs"/>
            </a:defRPr>
          </a:pPr>
          <a:endParaRPr lang="de-DE"/>
        </a:p>
      </c:txPr>
    </c:title>
    <c:autoTitleDeleted val="0"/>
    <c:plotArea>
      <c:layout/>
      <c:barChart>
        <c:barDir val="col"/>
        <c:grouping val="clustered"/>
        <c:varyColors val="0"/>
        <c:ser>
          <c:idx val="0"/>
          <c:order val="0"/>
          <c:spPr>
            <a:solidFill>
              <a:schemeClr val="tx2"/>
            </a:solidFill>
            <a:ln>
              <a:noFill/>
            </a:ln>
            <a:effectLst/>
          </c:spPr>
          <c:invertIfNegative val="0"/>
          <c:cat>
            <c:numRef>
              <c:f>'Rekorde'!$B$208:$B$508</c:f>
              <c:numCache>
                <c:formatCode>General</c:formatCode>
                <c:ptCount val="301"/>
                <c:pt idx="0">
                  <c:v>150</c:v>
                </c:pt>
                <c:pt idx="1">
                  <c:v>151</c:v>
                </c:pt>
                <c:pt idx="2">
                  <c:v>152</c:v>
                </c:pt>
                <c:pt idx="3">
                  <c:v>153</c:v>
                </c:pt>
                <c:pt idx="4">
                  <c:v>154</c:v>
                </c:pt>
                <c:pt idx="5">
                  <c:v>155</c:v>
                </c:pt>
                <c:pt idx="6">
                  <c:v>156</c:v>
                </c:pt>
                <c:pt idx="7">
                  <c:v>157</c:v>
                </c:pt>
                <c:pt idx="8">
                  <c:v>158</c:v>
                </c:pt>
                <c:pt idx="9">
                  <c:v>159</c:v>
                </c:pt>
                <c:pt idx="10">
                  <c:v>160</c:v>
                </c:pt>
                <c:pt idx="11">
                  <c:v>161</c:v>
                </c:pt>
                <c:pt idx="12">
                  <c:v>162</c:v>
                </c:pt>
                <c:pt idx="13">
                  <c:v>163</c:v>
                </c:pt>
                <c:pt idx="14">
                  <c:v>164</c:v>
                </c:pt>
                <c:pt idx="15">
                  <c:v>165</c:v>
                </c:pt>
                <c:pt idx="16">
                  <c:v>166</c:v>
                </c:pt>
                <c:pt idx="17">
                  <c:v>167</c:v>
                </c:pt>
                <c:pt idx="18">
                  <c:v>168</c:v>
                </c:pt>
                <c:pt idx="19">
                  <c:v>169</c:v>
                </c:pt>
                <c:pt idx="20">
                  <c:v>170</c:v>
                </c:pt>
                <c:pt idx="21">
                  <c:v>171</c:v>
                </c:pt>
                <c:pt idx="22">
                  <c:v>172</c:v>
                </c:pt>
                <c:pt idx="23">
                  <c:v>173</c:v>
                </c:pt>
                <c:pt idx="24">
                  <c:v>174</c:v>
                </c:pt>
                <c:pt idx="25">
                  <c:v>175</c:v>
                </c:pt>
                <c:pt idx="26">
                  <c:v>176</c:v>
                </c:pt>
                <c:pt idx="27">
                  <c:v>177</c:v>
                </c:pt>
                <c:pt idx="28">
                  <c:v>178</c:v>
                </c:pt>
                <c:pt idx="29">
                  <c:v>179</c:v>
                </c:pt>
                <c:pt idx="30">
                  <c:v>180</c:v>
                </c:pt>
                <c:pt idx="31">
                  <c:v>181</c:v>
                </c:pt>
                <c:pt idx="32">
                  <c:v>182</c:v>
                </c:pt>
                <c:pt idx="33">
                  <c:v>183</c:v>
                </c:pt>
                <c:pt idx="34">
                  <c:v>184</c:v>
                </c:pt>
                <c:pt idx="35">
                  <c:v>185</c:v>
                </c:pt>
                <c:pt idx="36">
                  <c:v>186</c:v>
                </c:pt>
                <c:pt idx="37">
                  <c:v>187</c:v>
                </c:pt>
                <c:pt idx="38">
                  <c:v>188</c:v>
                </c:pt>
                <c:pt idx="39">
                  <c:v>189</c:v>
                </c:pt>
                <c:pt idx="40">
                  <c:v>190</c:v>
                </c:pt>
                <c:pt idx="41">
                  <c:v>191</c:v>
                </c:pt>
                <c:pt idx="42">
                  <c:v>192</c:v>
                </c:pt>
                <c:pt idx="43">
                  <c:v>193</c:v>
                </c:pt>
                <c:pt idx="44">
                  <c:v>194</c:v>
                </c:pt>
                <c:pt idx="45">
                  <c:v>195</c:v>
                </c:pt>
                <c:pt idx="46">
                  <c:v>196</c:v>
                </c:pt>
                <c:pt idx="47">
                  <c:v>197</c:v>
                </c:pt>
                <c:pt idx="48">
                  <c:v>198</c:v>
                </c:pt>
                <c:pt idx="49">
                  <c:v>199</c:v>
                </c:pt>
                <c:pt idx="50">
                  <c:v>200</c:v>
                </c:pt>
                <c:pt idx="51">
                  <c:v>201</c:v>
                </c:pt>
                <c:pt idx="52">
                  <c:v>202</c:v>
                </c:pt>
                <c:pt idx="53">
                  <c:v>203</c:v>
                </c:pt>
                <c:pt idx="54">
                  <c:v>204</c:v>
                </c:pt>
                <c:pt idx="55">
                  <c:v>205</c:v>
                </c:pt>
                <c:pt idx="56">
                  <c:v>206</c:v>
                </c:pt>
                <c:pt idx="57">
                  <c:v>207</c:v>
                </c:pt>
                <c:pt idx="58">
                  <c:v>208</c:v>
                </c:pt>
                <c:pt idx="59">
                  <c:v>209</c:v>
                </c:pt>
                <c:pt idx="60">
                  <c:v>210</c:v>
                </c:pt>
                <c:pt idx="61">
                  <c:v>211</c:v>
                </c:pt>
                <c:pt idx="62">
                  <c:v>212</c:v>
                </c:pt>
                <c:pt idx="63">
                  <c:v>213</c:v>
                </c:pt>
                <c:pt idx="64">
                  <c:v>214</c:v>
                </c:pt>
                <c:pt idx="65">
                  <c:v>215</c:v>
                </c:pt>
                <c:pt idx="66">
                  <c:v>216</c:v>
                </c:pt>
                <c:pt idx="67">
                  <c:v>217</c:v>
                </c:pt>
                <c:pt idx="68">
                  <c:v>218</c:v>
                </c:pt>
                <c:pt idx="69">
                  <c:v>219</c:v>
                </c:pt>
                <c:pt idx="70">
                  <c:v>220</c:v>
                </c:pt>
                <c:pt idx="71">
                  <c:v>221</c:v>
                </c:pt>
                <c:pt idx="72">
                  <c:v>222</c:v>
                </c:pt>
                <c:pt idx="73">
                  <c:v>223</c:v>
                </c:pt>
                <c:pt idx="74">
                  <c:v>224</c:v>
                </c:pt>
                <c:pt idx="75">
                  <c:v>225</c:v>
                </c:pt>
                <c:pt idx="76">
                  <c:v>226</c:v>
                </c:pt>
                <c:pt idx="77">
                  <c:v>227</c:v>
                </c:pt>
                <c:pt idx="78">
                  <c:v>228</c:v>
                </c:pt>
                <c:pt idx="79">
                  <c:v>229</c:v>
                </c:pt>
                <c:pt idx="80">
                  <c:v>230</c:v>
                </c:pt>
                <c:pt idx="81">
                  <c:v>231</c:v>
                </c:pt>
                <c:pt idx="82">
                  <c:v>232</c:v>
                </c:pt>
                <c:pt idx="83">
                  <c:v>233</c:v>
                </c:pt>
                <c:pt idx="84">
                  <c:v>234</c:v>
                </c:pt>
                <c:pt idx="85">
                  <c:v>235</c:v>
                </c:pt>
                <c:pt idx="86">
                  <c:v>236</c:v>
                </c:pt>
                <c:pt idx="87">
                  <c:v>237</c:v>
                </c:pt>
                <c:pt idx="88">
                  <c:v>238</c:v>
                </c:pt>
                <c:pt idx="89">
                  <c:v>239</c:v>
                </c:pt>
                <c:pt idx="90">
                  <c:v>240</c:v>
                </c:pt>
                <c:pt idx="91">
                  <c:v>241</c:v>
                </c:pt>
                <c:pt idx="92">
                  <c:v>242</c:v>
                </c:pt>
                <c:pt idx="93">
                  <c:v>243</c:v>
                </c:pt>
                <c:pt idx="94">
                  <c:v>244</c:v>
                </c:pt>
                <c:pt idx="95">
                  <c:v>245</c:v>
                </c:pt>
                <c:pt idx="96">
                  <c:v>246</c:v>
                </c:pt>
                <c:pt idx="97">
                  <c:v>247</c:v>
                </c:pt>
                <c:pt idx="98">
                  <c:v>248</c:v>
                </c:pt>
                <c:pt idx="99">
                  <c:v>249</c:v>
                </c:pt>
                <c:pt idx="100">
                  <c:v>250</c:v>
                </c:pt>
                <c:pt idx="101">
                  <c:v>251</c:v>
                </c:pt>
                <c:pt idx="102">
                  <c:v>252</c:v>
                </c:pt>
                <c:pt idx="103">
                  <c:v>253</c:v>
                </c:pt>
                <c:pt idx="104">
                  <c:v>254</c:v>
                </c:pt>
                <c:pt idx="105">
                  <c:v>255</c:v>
                </c:pt>
                <c:pt idx="106">
                  <c:v>256</c:v>
                </c:pt>
                <c:pt idx="107">
                  <c:v>257</c:v>
                </c:pt>
                <c:pt idx="108">
                  <c:v>258</c:v>
                </c:pt>
                <c:pt idx="109">
                  <c:v>259</c:v>
                </c:pt>
                <c:pt idx="110">
                  <c:v>260</c:v>
                </c:pt>
                <c:pt idx="111">
                  <c:v>261</c:v>
                </c:pt>
                <c:pt idx="112">
                  <c:v>262</c:v>
                </c:pt>
                <c:pt idx="113">
                  <c:v>263</c:v>
                </c:pt>
                <c:pt idx="114">
                  <c:v>264</c:v>
                </c:pt>
                <c:pt idx="115">
                  <c:v>265</c:v>
                </c:pt>
                <c:pt idx="116">
                  <c:v>266</c:v>
                </c:pt>
                <c:pt idx="117">
                  <c:v>267</c:v>
                </c:pt>
                <c:pt idx="118">
                  <c:v>268</c:v>
                </c:pt>
                <c:pt idx="119">
                  <c:v>269</c:v>
                </c:pt>
                <c:pt idx="120">
                  <c:v>270</c:v>
                </c:pt>
                <c:pt idx="121">
                  <c:v>271</c:v>
                </c:pt>
                <c:pt idx="122">
                  <c:v>272</c:v>
                </c:pt>
                <c:pt idx="123">
                  <c:v>273</c:v>
                </c:pt>
                <c:pt idx="124">
                  <c:v>274</c:v>
                </c:pt>
                <c:pt idx="125">
                  <c:v>275</c:v>
                </c:pt>
                <c:pt idx="126">
                  <c:v>276</c:v>
                </c:pt>
                <c:pt idx="127">
                  <c:v>277</c:v>
                </c:pt>
                <c:pt idx="128">
                  <c:v>278</c:v>
                </c:pt>
                <c:pt idx="129">
                  <c:v>279</c:v>
                </c:pt>
                <c:pt idx="130">
                  <c:v>280</c:v>
                </c:pt>
                <c:pt idx="131">
                  <c:v>281</c:v>
                </c:pt>
                <c:pt idx="132">
                  <c:v>282</c:v>
                </c:pt>
                <c:pt idx="133">
                  <c:v>283</c:v>
                </c:pt>
                <c:pt idx="134">
                  <c:v>284</c:v>
                </c:pt>
                <c:pt idx="135">
                  <c:v>285</c:v>
                </c:pt>
                <c:pt idx="136">
                  <c:v>286</c:v>
                </c:pt>
                <c:pt idx="137">
                  <c:v>287</c:v>
                </c:pt>
                <c:pt idx="138">
                  <c:v>288</c:v>
                </c:pt>
                <c:pt idx="139">
                  <c:v>289</c:v>
                </c:pt>
                <c:pt idx="140">
                  <c:v>290</c:v>
                </c:pt>
                <c:pt idx="141">
                  <c:v>291</c:v>
                </c:pt>
                <c:pt idx="142">
                  <c:v>292</c:v>
                </c:pt>
                <c:pt idx="143">
                  <c:v>293</c:v>
                </c:pt>
                <c:pt idx="144">
                  <c:v>294</c:v>
                </c:pt>
                <c:pt idx="145">
                  <c:v>295</c:v>
                </c:pt>
                <c:pt idx="146">
                  <c:v>296</c:v>
                </c:pt>
                <c:pt idx="147">
                  <c:v>297</c:v>
                </c:pt>
                <c:pt idx="148">
                  <c:v>298</c:v>
                </c:pt>
                <c:pt idx="149">
                  <c:v>299</c:v>
                </c:pt>
                <c:pt idx="150">
                  <c:v>300</c:v>
                </c:pt>
                <c:pt idx="151">
                  <c:v>301</c:v>
                </c:pt>
                <c:pt idx="152">
                  <c:v>302</c:v>
                </c:pt>
                <c:pt idx="153">
                  <c:v>303</c:v>
                </c:pt>
                <c:pt idx="154">
                  <c:v>304</c:v>
                </c:pt>
                <c:pt idx="155">
                  <c:v>305</c:v>
                </c:pt>
                <c:pt idx="156">
                  <c:v>306</c:v>
                </c:pt>
                <c:pt idx="157">
                  <c:v>307</c:v>
                </c:pt>
                <c:pt idx="158">
                  <c:v>308</c:v>
                </c:pt>
                <c:pt idx="159">
                  <c:v>309</c:v>
                </c:pt>
                <c:pt idx="160">
                  <c:v>310</c:v>
                </c:pt>
                <c:pt idx="161">
                  <c:v>311</c:v>
                </c:pt>
                <c:pt idx="162">
                  <c:v>312</c:v>
                </c:pt>
                <c:pt idx="163">
                  <c:v>313</c:v>
                </c:pt>
                <c:pt idx="164">
                  <c:v>314</c:v>
                </c:pt>
                <c:pt idx="165">
                  <c:v>315</c:v>
                </c:pt>
                <c:pt idx="166">
                  <c:v>316</c:v>
                </c:pt>
                <c:pt idx="167">
                  <c:v>317</c:v>
                </c:pt>
                <c:pt idx="168">
                  <c:v>318</c:v>
                </c:pt>
                <c:pt idx="169">
                  <c:v>319</c:v>
                </c:pt>
                <c:pt idx="170">
                  <c:v>320</c:v>
                </c:pt>
                <c:pt idx="171">
                  <c:v>321</c:v>
                </c:pt>
                <c:pt idx="172">
                  <c:v>322</c:v>
                </c:pt>
                <c:pt idx="173">
                  <c:v>323</c:v>
                </c:pt>
                <c:pt idx="174">
                  <c:v>324</c:v>
                </c:pt>
                <c:pt idx="175">
                  <c:v>325</c:v>
                </c:pt>
                <c:pt idx="176">
                  <c:v>326</c:v>
                </c:pt>
                <c:pt idx="177">
                  <c:v>327</c:v>
                </c:pt>
                <c:pt idx="178">
                  <c:v>328</c:v>
                </c:pt>
                <c:pt idx="179">
                  <c:v>329</c:v>
                </c:pt>
                <c:pt idx="180">
                  <c:v>330</c:v>
                </c:pt>
                <c:pt idx="181">
                  <c:v>331</c:v>
                </c:pt>
                <c:pt idx="182">
                  <c:v>332</c:v>
                </c:pt>
                <c:pt idx="183">
                  <c:v>333</c:v>
                </c:pt>
                <c:pt idx="184">
                  <c:v>334</c:v>
                </c:pt>
                <c:pt idx="185">
                  <c:v>335</c:v>
                </c:pt>
                <c:pt idx="186">
                  <c:v>336</c:v>
                </c:pt>
                <c:pt idx="187">
                  <c:v>337</c:v>
                </c:pt>
                <c:pt idx="188">
                  <c:v>338</c:v>
                </c:pt>
                <c:pt idx="189">
                  <c:v>339</c:v>
                </c:pt>
                <c:pt idx="190">
                  <c:v>340</c:v>
                </c:pt>
                <c:pt idx="191">
                  <c:v>341</c:v>
                </c:pt>
                <c:pt idx="192">
                  <c:v>342</c:v>
                </c:pt>
                <c:pt idx="193">
                  <c:v>343</c:v>
                </c:pt>
                <c:pt idx="194">
                  <c:v>344</c:v>
                </c:pt>
                <c:pt idx="195">
                  <c:v>345</c:v>
                </c:pt>
                <c:pt idx="196">
                  <c:v>346</c:v>
                </c:pt>
                <c:pt idx="197">
                  <c:v>347</c:v>
                </c:pt>
                <c:pt idx="198">
                  <c:v>348</c:v>
                </c:pt>
                <c:pt idx="199">
                  <c:v>349</c:v>
                </c:pt>
                <c:pt idx="200">
                  <c:v>350</c:v>
                </c:pt>
                <c:pt idx="201">
                  <c:v>351</c:v>
                </c:pt>
                <c:pt idx="202">
                  <c:v>352</c:v>
                </c:pt>
                <c:pt idx="203">
                  <c:v>353</c:v>
                </c:pt>
                <c:pt idx="204">
                  <c:v>354</c:v>
                </c:pt>
                <c:pt idx="205">
                  <c:v>355</c:v>
                </c:pt>
                <c:pt idx="206">
                  <c:v>356</c:v>
                </c:pt>
                <c:pt idx="207">
                  <c:v>357</c:v>
                </c:pt>
                <c:pt idx="208">
                  <c:v>358</c:v>
                </c:pt>
                <c:pt idx="209">
                  <c:v>359</c:v>
                </c:pt>
                <c:pt idx="210">
                  <c:v>360</c:v>
                </c:pt>
                <c:pt idx="211">
                  <c:v>361</c:v>
                </c:pt>
                <c:pt idx="212">
                  <c:v>362</c:v>
                </c:pt>
                <c:pt idx="213">
                  <c:v>363</c:v>
                </c:pt>
                <c:pt idx="214">
                  <c:v>364</c:v>
                </c:pt>
                <c:pt idx="215">
                  <c:v>365</c:v>
                </c:pt>
                <c:pt idx="216">
                  <c:v>366</c:v>
                </c:pt>
                <c:pt idx="217">
                  <c:v>367</c:v>
                </c:pt>
                <c:pt idx="218">
                  <c:v>368</c:v>
                </c:pt>
                <c:pt idx="219">
                  <c:v>369</c:v>
                </c:pt>
                <c:pt idx="220">
                  <c:v>370</c:v>
                </c:pt>
                <c:pt idx="221">
                  <c:v>371</c:v>
                </c:pt>
                <c:pt idx="222">
                  <c:v>372</c:v>
                </c:pt>
                <c:pt idx="223">
                  <c:v>373</c:v>
                </c:pt>
                <c:pt idx="224">
                  <c:v>374</c:v>
                </c:pt>
                <c:pt idx="225">
                  <c:v>375</c:v>
                </c:pt>
                <c:pt idx="226">
                  <c:v>376</c:v>
                </c:pt>
                <c:pt idx="227">
                  <c:v>377</c:v>
                </c:pt>
                <c:pt idx="228">
                  <c:v>378</c:v>
                </c:pt>
                <c:pt idx="229">
                  <c:v>379</c:v>
                </c:pt>
                <c:pt idx="230">
                  <c:v>380</c:v>
                </c:pt>
                <c:pt idx="231">
                  <c:v>381</c:v>
                </c:pt>
                <c:pt idx="232">
                  <c:v>382</c:v>
                </c:pt>
                <c:pt idx="233">
                  <c:v>383</c:v>
                </c:pt>
                <c:pt idx="234">
                  <c:v>384</c:v>
                </c:pt>
                <c:pt idx="235">
                  <c:v>385</c:v>
                </c:pt>
                <c:pt idx="236">
                  <c:v>386</c:v>
                </c:pt>
                <c:pt idx="237">
                  <c:v>387</c:v>
                </c:pt>
                <c:pt idx="238">
                  <c:v>388</c:v>
                </c:pt>
                <c:pt idx="239">
                  <c:v>389</c:v>
                </c:pt>
                <c:pt idx="240">
                  <c:v>390</c:v>
                </c:pt>
                <c:pt idx="241">
                  <c:v>391</c:v>
                </c:pt>
                <c:pt idx="242">
                  <c:v>392</c:v>
                </c:pt>
                <c:pt idx="243">
                  <c:v>393</c:v>
                </c:pt>
                <c:pt idx="244">
                  <c:v>394</c:v>
                </c:pt>
                <c:pt idx="245">
                  <c:v>395</c:v>
                </c:pt>
                <c:pt idx="246">
                  <c:v>396</c:v>
                </c:pt>
                <c:pt idx="247">
                  <c:v>397</c:v>
                </c:pt>
                <c:pt idx="248">
                  <c:v>398</c:v>
                </c:pt>
                <c:pt idx="249">
                  <c:v>399</c:v>
                </c:pt>
                <c:pt idx="250">
                  <c:v>400</c:v>
                </c:pt>
                <c:pt idx="251">
                  <c:v>401</c:v>
                </c:pt>
                <c:pt idx="252">
                  <c:v>402</c:v>
                </c:pt>
                <c:pt idx="253">
                  <c:v>403</c:v>
                </c:pt>
                <c:pt idx="254">
                  <c:v>404</c:v>
                </c:pt>
                <c:pt idx="255">
                  <c:v>405</c:v>
                </c:pt>
                <c:pt idx="256">
                  <c:v>406</c:v>
                </c:pt>
                <c:pt idx="257">
                  <c:v>407</c:v>
                </c:pt>
                <c:pt idx="258">
                  <c:v>408</c:v>
                </c:pt>
                <c:pt idx="259">
                  <c:v>409</c:v>
                </c:pt>
                <c:pt idx="260">
                  <c:v>410</c:v>
                </c:pt>
                <c:pt idx="261">
                  <c:v>411</c:v>
                </c:pt>
                <c:pt idx="262">
                  <c:v>412</c:v>
                </c:pt>
                <c:pt idx="263">
                  <c:v>413</c:v>
                </c:pt>
                <c:pt idx="264">
                  <c:v>414</c:v>
                </c:pt>
                <c:pt idx="265">
                  <c:v>415</c:v>
                </c:pt>
                <c:pt idx="266">
                  <c:v>416</c:v>
                </c:pt>
                <c:pt idx="267">
                  <c:v>417</c:v>
                </c:pt>
                <c:pt idx="268">
                  <c:v>418</c:v>
                </c:pt>
                <c:pt idx="269">
                  <c:v>419</c:v>
                </c:pt>
                <c:pt idx="270">
                  <c:v>420</c:v>
                </c:pt>
                <c:pt idx="271">
                  <c:v>421</c:v>
                </c:pt>
                <c:pt idx="272">
                  <c:v>422</c:v>
                </c:pt>
                <c:pt idx="273">
                  <c:v>423</c:v>
                </c:pt>
                <c:pt idx="274">
                  <c:v>424</c:v>
                </c:pt>
                <c:pt idx="275">
                  <c:v>425</c:v>
                </c:pt>
                <c:pt idx="276">
                  <c:v>426</c:v>
                </c:pt>
                <c:pt idx="277">
                  <c:v>427</c:v>
                </c:pt>
                <c:pt idx="278">
                  <c:v>428</c:v>
                </c:pt>
                <c:pt idx="279">
                  <c:v>429</c:v>
                </c:pt>
                <c:pt idx="280">
                  <c:v>430</c:v>
                </c:pt>
                <c:pt idx="281">
                  <c:v>431</c:v>
                </c:pt>
                <c:pt idx="282">
                  <c:v>432</c:v>
                </c:pt>
                <c:pt idx="283">
                  <c:v>433</c:v>
                </c:pt>
                <c:pt idx="284">
                  <c:v>434</c:v>
                </c:pt>
                <c:pt idx="285">
                  <c:v>435</c:v>
                </c:pt>
                <c:pt idx="286">
                  <c:v>436</c:v>
                </c:pt>
                <c:pt idx="287">
                  <c:v>437</c:v>
                </c:pt>
                <c:pt idx="288">
                  <c:v>438</c:v>
                </c:pt>
                <c:pt idx="289">
                  <c:v>439</c:v>
                </c:pt>
                <c:pt idx="290">
                  <c:v>440</c:v>
                </c:pt>
                <c:pt idx="291">
                  <c:v>441</c:v>
                </c:pt>
                <c:pt idx="292">
                  <c:v>442</c:v>
                </c:pt>
                <c:pt idx="293">
                  <c:v>443</c:v>
                </c:pt>
                <c:pt idx="294">
                  <c:v>444</c:v>
                </c:pt>
                <c:pt idx="295">
                  <c:v>445</c:v>
                </c:pt>
                <c:pt idx="296">
                  <c:v>446</c:v>
                </c:pt>
                <c:pt idx="297">
                  <c:v>447</c:v>
                </c:pt>
                <c:pt idx="298">
                  <c:v>448</c:v>
                </c:pt>
                <c:pt idx="299">
                  <c:v>449</c:v>
                </c:pt>
                <c:pt idx="300">
                  <c:v>450</c:v>
                </c:pt>
              </c:numCache>
            </c:numRef>
          </c:cat>
          <c:val>
            <c:numRef>
              <c:f>'Rekorde'!$C$208:$C$508</c:f>
              <c:numCache>
                <c:formatCode>General</c:formatCode>
                <c:ptCount val="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1</c:v>
                </c:pt>
                <c:pt idx="33">
                  <c:v>0</c:v>
                </c:pt>
                <c:pt idx="34">
                  <c:v>0</c:v>
                </c:pt>
                <c:pt idx="35">
                  <c:v>1</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1</c:v>
                </c:pt>
                <c:pt idx="79">
                  <c:v>0</c:v>
                </c:pt>
                <c:pt idx="80">
                  <c:v>0</c:v>
                </c:pt>
                <c:pt idx="81">
                  <c:v>0</c:v>
                </c:pt>
                <c:pt idx="82">
                  <c:v>0</c:v>
                </c:pt>
                <c:pt idx="83">
                  <c:v>0</c:v>
                </c:pt>
                <c:pt idx="84">
                  <c:v>0</c:v>
                </c:pt>
                <c:pt idx="85">
                  <c:v>0</c:v>
                </c:pt>
                <c:pt idx="86">
                  <c:v>0</c:v>
                </c:pt>
                <c:pt idx="87">
                  <c:v>0</c:v>
                </c:pt>
                <c:pt idx="88">
                  <c:v>1</c:v>
                </c:pt>
                <c:pt idx="89">
                  <c:v>1</c:v>
                </c:pt>
                <c:pt idx="90">
                  <c:v>0</c:v>
                </c:pt>
                <c:pt idx="91">
                  <c:v>0</c:v>
                </c:pt>
                <c:pt idx="92">
                  <c:v>0</c:v>
                </c:pt>
                <c:pt idx="93">
                  <c:v>0</c:v>
                </c:pt>
                <c:pt idx="94">
                  <c:v>1</c:v>
                </c:pt>
                <c:pt idx="95">
                  <c:v>0</c:v>
                </c:pt>
                <c:pt idx="96">
                  <c:v>0</c:v>
                </c:pt>
                <c:pt idx="97">
                  <c:v>0</c:v>
                </c:pt>
                <c:pt idx="98">
                  <c:v>0</c:v>
                </c:pt>
                <c:pt idx="99">
                  <c:v>0</c:v>
                </c:pt>
                <c:pt idx="100">
                  <c:v>1</c:v>
                </c:pt>
                <c:pt idx="101">
                  <c:v>1</c:v>
                </c:pt>
                <c:pt idx="102">
                  <c:v>0</c:v>
                </c:pt>
                <c:pt idx="103">
                  <c:v>0</c:v>
                </c:pt>
                <c:pt idx="104">
                  <c:v>1</c:v>
                </c:pt>
                <c:pt idx="105">
                  <c:v>0</c:v>
                </c:pt>
                <c:pt idx="106">
                  <c:v>0</c:v>
                </c:pt>
                <c:pt idx="107">
                  <c:v>0</c:v>
                </c:pt>
                <c:pt idx="108">
                  <c:v>1</c:v>
                </c:pt>
                <c:pt idx="109">
                  <c:v>0</c:v>
                </c:pt>
                <c:pt idx="110">
                  <c:v>0</c:v>
                </c:pt>
                <c:pt idx="111">
                  <c:v>0</c:v>
                </c:pt>
                <c:pt idx="112">
                  <c:v>0</c:v>
                </c:pt>
                <c:pt idx="113">
                  <c:v>2</c:v>
                </c:pt>
                <c:pt idx="114">
                  <c:v>1</c:v>
                </c:pt>
                <c:pt idx="115">
                  <c:v>2</c:v>
                </c:pt>
                <c:pt idx="116">
                  <c:v>0</c:v>
                </c:pt>
                <c:pt idx="117">
                  <c:v>0</c:v>
                </c:pt>
                <c:pt idx="118">
                  <c:v>1</c:v>
                </c:pt>
                <c:pt idx="119">
                  <c:v>1</c:v>
                </c:pt>
                <c:pt idx="120">
                  <c:v>0</c:v>
                </c:pt>
                <c:pt idx="121">
                  <c:v>0</c:v>
                </c:pt>
                <c:pt idx="122">
                  <c:v>0</c:v>
                </c:pt>
                <c:pt idx="123">
                  <c:v>0</c:v>
                </c:pt>
                <c:pt idx="124">
                  <c:v>2</c:v>
                </c:pt>
                <c:pt idx="125">
                  <c:v>2</c:v>
                </c:pt>
                <c:pt idx="126">
                  <c:v>0</c:v>
                </c:pt>
                <c:pt idx="127">
                  <c:v>0</c:v>
                </c:pt>
                <c:pt idx="128">
                  <c:v>1</c:v>
                </c:pt>
                <c:pt idx="129">
                  <c:v>0</c:v>
                </c:pt>
                <c:pt idx="130">
                  <c:v>1</c:v>
                </c:pt>
                <c:pt idx="131">
                  <c:v>1</c:v>
                </c:pt>
                <c:pt idx="132">
                  <c:v>4</c:v>
                </c:pt>
                <c:pt idx="133">
                  <c:v>0</c:v>
                </c:pt>
                <c:pt idx="134">
                  <c:v>1</c:v>
                </c:pt>
                <c:pt idx="135">
                  <c:v>1</c:v>
                </c:pt>
                <c:pt idx="136">
                  <c:v>0</c:v>
                </c:pt>
                <c:pt idx="137">
                  <c:v>1</c:v>
                </c:pt>
                <c:pt idx="138">
                  <c:v>1</c:v>
                </c:pt>
                <c:pt idx="139">
                  <c:v>0</c:v>
                </c:pt>
                <c:pt idx="140">
                  <c:v>0</c:v>
                </c:pt>
                <c:pt idx="141">
                  <c:v>0</c:v>
                </c:pt>
                <c:pt idx="142">
                  <c:v>0</c:v>
                </c:pt>
                <c:pt idx="143">
                  <c:v>0</c:v>
                </c:pt>
                <c:pt idx="144">
                  <c:v>0</c:v>
                </c:pt>
                <c:pt idx="145">
                  <c:v>0</c:v>
                </c:pt>
                <c:pt idx="146">
                  <c:v>0</c:v>
                </c:pt>
                <c:pt idx="147">
                  <c:v>1</c:v>
                </c:pt>
                <c:pt idx="148">
                  <c:v>0</c:v>
                </c:pt>
                <c:pt idx="149">
                  <c:v>0</c:v>
                </c:pt>
                <c:pt idx="150">
                  <c:v>0</c:v>
                </c:pt>
                <c:pt idx="151">
                  <c:v>1</c:v>
                </c:pt>
                <c:pt idx="152">
                  <c:v>0</c:v>
                </c:pt>
                <c:pt idx="153">
                  <c:v>0</c:v>
                </c:pt>
                <c:pt idx="154">
                  <c:v>0</c:v>
                </c:pt>
                <c:pt idx="155">
                  <c:v>1</c:v>
                </c:pt>
                <c:pt idx="156">
                  <c:v>1</c:v>
                </c:pt>
                <c:pt idx="157">
                  <c:v>1</c:v>
                </c:pt>
                <c:pt idx="158">
                  <c:v>1</c:v>
                </c:pt>
                <c:pt idx="159">
                  <c:v>1</c:v>
                </c:pt>
                <c:pt idx="160">
                  <c:v>2</c:v>
                </c:pt>
                <c:pt idx="161">
                  <c:v>4</c:v>
                </c:pt>
                <c:pt idx="162">
                  <c:v>1</c:v>
                </c:pt>
                <c:pt idx="163">
                  <c:v>0</c:v>
                </c:pt>
                <c:pt idx="164">
                  <c:v>0</c:v>
                </c:pt>
                <c:pt idx="165">
                  <c:v>1</c:v>
                </c:pt>
                <c:pt idx="166">
                  <c:v>1</c:v>
                </c:pt>
                <c:pt idx="167">
                  <c:v>1</c:v>
                </c:pt>
                <c:pt idx="168">
                  <c:v>1</c:v>
                </c:pt>
                <c:pt idx="169">
                  <c:v>2</c:v>
                </c:pt>
                <c:pt idx="170">
                  <c:v>2</c:v>
                </c:pt>
                <c:pt idx="171">
                  <c:v>1</c:v>
                </c:pt>
                <c:pt idx="172">
                  <c:v>2</c:v>
                </c:pt>
                <c:pt idx="173">
                  <c:v>1</c:v>
                </c:pt>
                <c:pt idx="174">
                  <c:v>4</c:v>
                </c:pt>
                <c:pt idx="175">
                  <c:v>3</c:v>
                </c:pt>
                <c:pt idx="176">
                  <c:v>1</c:v>
                </c:pt>
                <c:pt idx="177">
                  <c:v>0</c:v>
                </c:pt>
                <c:pt idx="178">
                  <c:v>3</c:v>
                </c:pt>
                <c:pt idx="179">
                  <c:v>1</c:v>
                </c:pt>
                <c:pt idx="180">
                  <c:v>2</c:v>
                </c:pt>
                <c:pt idx="181">
                  <c:v>3</c:v>
                </c:pt>
                <c:pt idx="182">
                  <c:v>2</c:v>
                </c:pt>
                <c:pt idx="183">
                  <c:v>2</c:v>
                </c:pt>
                <c:pt idx="184">
                  <c:v>5</c:v>
                </c:pt>
                <c:pt idx="185">
                  <c:v>4</c:v>
                </c:pt>
                <c:pt idx="186">
                  <c:v>2</c:v>
                </c:pt>
                <c:pt idx="187">
                  <c:v>4</c:v>
                </c:pt>
                <c:pt idx="188">
                  <c:v>3</c:v>
                </c:pt>
                <c:pt idx="189">
                  <c:v>4</c:v>
                </c:pt>
                <c:pt idx="190">
                  <c:v>5</c:v>
                </c:pt>
                <c:pt idx="191">
                  <c:v>3</c:v>
                </c:pt>
                <c:pt idx="192">
                  <c:v>4</c:v>
                </c:pt>
                <c:pt idx="193">
                  <c:v>4</c:v>
                </c:pt>
                <c:pt idx="194">
                  <c:v>8</c:v>
                </c:pt>
                <c:pt idx="195">
                  <c:v>8</c:v>
                </c:pt>
                <c:pt idx="196">
                  <c:v>8</c:v>
                </c:pt>
                <c:pt idx="197">
                  <c:v>4</c:v>
                </c:pt>
                <c:pt idx="198">
                  <c:v>5</c:v>
                </c:pt>
                <c:pt idx="199">
                  <c:v>6</c:v>
                </c:pt>
                <c:pt idx="200">
                  <c:v>9</c:v>
                </c:pt>
                <c:pt idx="201">
                  <c:v>9</c:v>
                </c:pt>
                <c:pt idx="202">
                  <c:v>9</c:v>
                </c:pt>
                <c:pt idx="203">
                  <c:v>5</c:v>
                </c:pt>
                <c:pt idx="204">
                  <c:v>7</c:v>
                </c:pt>
                <c:pt idx="205">
                  <c:v>7</c:v>
                </c:pt>
                <c:pt idx="206">
                  <c:v>6</c:v>
                </c:pt>
                <c:pt idx="207">
                  <c:v>5</c:v>
                </c:pt>
                <c:pt idx="208">
                  <c:v>7</c:v>
                </c:pt>
                <c:pt idx="209">
                  <c:v>10</c:v>
                </c:pt>
                <c:pt idx="210">
                  <c:v>2</c:v>
                </c:pt>
                <c:pt idx="211">
                  <c:v>6</c:v>
                </c:pt>
                <c:pt idx="212">
                  <c:v>3</c:v>
                </c:pt>
                <c:pt idx="213">
                  <c:v>6</c:v>
                </c:pt>
                <c:pt idx="214">
                  <c:v>7</c:v>
                </c:pt>
                <c:pt idx="215">
                  <c:v>6</c:v>
                </c:pt>
                <c:pt idx="216">
                  <c:v>5</c:v>
                </c:pt>
                <c:pt idx="217">
                  <c:v>5</c:v>
                </c:pt>
                <c:pt idx="218">
                  <c:v>4</c:v>
                </c:pt>
                <c:pt idx="219">
                  <c:v>7</c:v>
                </c:pt>
                <c:pt idx="220">
                  <c:v>3</c:v>
                </c:pt>
                <c:pt idx="221">
                  <c:v>4</c:v>
                </c:pt>
                <c:pt idx="222">
                  <c:v>4</c:v>
                </c:pt>
                <c:pt idx="223">
                  <c:v>3</c:v>
                </c:pt>
                <c:pt idx="224">
                  <c:v>1</c:v>
                </c:pt>
                <c:pt idx="225">
                  <c:v>2</c:v>
                </c:pt>
                <c:pt idx="226">
                  <c:v>1</c:v>
                </c:pt>
                <c:pt idx="227">
                  <c:v>0</c:v>
                </c:pt>
                <c:pt idx="228">
                  <c:v>5</c:v>
                </c:pt>
                <c:pt idx="229">
                  <c:v>2</c:v>
                </c:pt>
                <c:pt idx="230">
                  <c:v>3</c:v>
                </c:pt>
                <c:pt idx="231">
                  <c:v>0</c:v>
                </c:pt>
                <c:pt idx="232">
                  <c:v>2</c:v>
                </c:pt>
                <c:pt idx="233">
                  <c:v>0</c:v>
                </c:pt>
                <c:pt idx="234">
                  <c:v>2</c:v>
                </c:pt>
                <c:pt idx="235">
                  <c:v>1</c:v>
                </c:pt>
                <c:pt idx="236">
                  <c:v>0</c:v>
                </c:pt>
                <c:pt idx="237">
                  <c:v>2</c:v>
                </c:pt>
                <c:pt idx="238">
                  <c:v>0</c:v>
                </c:pt>
                <c:pt idx="239">
                  <c:v>0</c:v>
                </c:pt>
                <c:pt idx="240">
                  <c:v>3</c:v>
                </c:pt>
                <c:pt idx="241">
                  <c:v>0</c:v>
                </c:pt>
                <c:pt idx="242">
                  <c:v>1</c:v>
                </c:pt>
                <c:pt idx="243">
                  <c:v>2</c:v>
                </c:pt>
                <c:pt idx="244">
                  <c:v>0</c:v>
                </c:pt>
                <c:pt idx="245">
                  <c:v>0</c:v>
                </c:pt>
                <c:pt idx="246">
                  <c:v>0</c:v>
                </c:pt>
                <c:pt idx="247">
                  <c:v>0</c:v>
                </c:pt>
                <c:pt idx="248">
                  <c:v>0</c:v>
                </c:pt>
                <c:pt idx="249">
                  <c:v>0</c:v>
                </c:pt>
                <c:pt idx="250">
                  <c:v>0</c:v>
                </c:pt>
                <c:pt idx="251">
                  <c:v>0</c:v>
                </c:pt>
                <c:pt idx="252">
                  <c:v>0</c:v>
                </c:pt>
                <c:pt idx="253">
                  <c:v>0</c:v>
                </c:pt>
                <c:pt idx="254">
                  <c:v>0</c:v>
                </c:pt>
                <c:pt idx="255">
                  <c:v>2</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numCache>
            </c:numRef>
          </c:val>
          <c:extLst>
            <c:ext xmlns:c16="http://schemas.microsoft.com/office/drawing/2014/chart" uri="{C3380CC4-5D6E-409C-BE32-E72D297353CC}">
              <c16:uniqueId val="{00000000-1764-4FBB-B14B-A8940FFED5C3}"/>
            </c:ext>
          </c:extLst>
        </c:ser>
        <c:dLbls>
          <c:showLegendKey val="0"/>
          <c:showVal val="0"/>
          <c:showCatName val="0"/>
          <c:showSerName val="0"/>
          <c:showPercent val="0"/>
          <c:showBubbleSize val="0"/>
        </c:dLbls>
        <c:gapWidth val="219"/>
        <c:overlap val="-27"/>
        <c:axId val="1448258191"/>
        <c:axId val="1448259631"/>
      </c:barChart>
      <c:dateAx>
        <c:axId val="144825819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r>
                  <a:rPr lang="de-DE" b="1">
                    <a:solidFill>
                      <a:schemeClr val="tx2"/>
                    </a:solidFill>
                  </a:rPr>
                  <a:t>Holz</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endParaRPr lang="de-DE"/>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2"/>
                </a:solidFill>
                <a:latin typeface="Bierstadt" panose="020B0004020202020204" pitchFamily="34" charset="0"/>
                <a:ea typeface="+mn-ea"/>
                <a:cs typeface="+mn-cs"/>
              </a:defRPr>
            </a:pPr>
            <a:endParaRPr lang="de-DE"/>
          </a:p>
        </c:txPr>
        <c:crossAx val="1448259631"/>
        <c:crosses val="autoZero"/>
        <c:auto val="0"/>
        <c:lblOffset val="100"/>
        <c:baseTimeUnit val="days"/>
        <c:majorUnit val="10"/>
        <c:majorTimeUnit val="days"/>
      </c:dateAx>
      <c:valAx>
        <c:axId val="1448259631"/>
        <c:scaling>
          <c:orientation val="minMax"/>
        </c:scaling>
        <c:delete val="0"/>
        <c:axPos val="l"/>
        <c:majorGridlines>
          <c:spPr>
            <a:ln w="9525" cap="flat" cmpd="sng" algn="ctr">
              <a:solidFill>
                <a:schemeClr val="accent6">
                  <a:alpha val="2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r>
                  <a:rPr lang="de-DE" b="1">
                    <a:solidFill>
                      <a:schemeClr val="tx2"/>
                    </a:solidFill>
                  </a:rPr>
                  <a:t>Anzahl</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Bierstadt" panose="020B0004020202020204" pitchFamily="34" charset="0"/>
                <a:ea typeface="+mn-ea"/>
                <a:cs typeface="+mn-cs"/>
              </a:defRPr>
            </a:pPr>
            <a:endParaRPr lang="de-DE"/>
          </a:p>
        </c:txPr>
        <c:crossAx val="144825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28575" cap="flat" cmpd="sng" algn="ctr">
      <a:solidFill>
        <a:schemeClr val="tx2"/>
      </a:solidFill>
      <a:round/>
    </a:ln>
    <a:effectLst/>
  </c:spPr>
  <c:txPr>
    <a:bodyPr/>
    <a:lstStyle/>
    <a:p>
      <a:pPr>
        <a:defRPr>
          <a:latin typeface="Bierstadt" panose="020B0004020202020204" pitchFamily="34" charset="0"/>
        </a:defRPr>
      </a:pPr>
      <a:endParaRPr lang="de-DE"/>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2"/>
                </a:solidFill>
                <a:latin typeface="Bierstadt" panose="020B0004020202020204" pitchFamily="34" charset="0"/>
                <a:ea typeface="+mn-ea"/>
                <a:cs typeface="+mn-cs"/>
              </a:defRPr>
            </a:pPr>
            <a:r>
              <a:rPr lang="de-DE" b="1">
                <a:solidFill>
                  <a:schemeClr val="tx2"/>
                </a:solidFill>
              </a:rPr>
              <a:t>Räumer-Verteilung</a:t>
            </a:r>
          </a:p>
        </c:rich>
      </c:tx>
      <c:layout>
        <c:manualLayout>
          <c:xMode val="edge"/>
          <c:yMode val="edge"/>
          <c:x val="0.15578370150283871"/>
          <c:y val="4.3389491406830807E-2"/>
        </c:manualLayout>
      </c:layout>
      <c:overlay val="1"/>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Bierstadt" panose="020B0004020202020204" pitchFamily="34" charset="0"/>
              <a:ea typeface="+mn-ea"/>
              <a:cs typeface="+mn-cs"/>
            </a:defRPr>
          </a:pPr>
          <a:endParaRPr lang="de-DE"/>
        </a:p>
      </c:txPr>
    </c:title>
    <c:autoTitleDeleted val="0"/>
    <c:plotArea>
      <c:layout/>
      <c:barChart>
        <c:barDir val="col"/>
        <c:grouping val="clustered"/>
        <c:varyColors val="0"/>
        <c:ser>
          <c:idx val="0"/>
          <c:order val="0"/>
          <c:spPr>
            <a:solidFill>
              <a:schemeClr val="tx2"/>
            </a:solidFill>
            <a:ln>
              <a:noFill/>
            </a:ln>
            <a:effectLst/>
          </c:spPr>
          <c:invertIfNegative val="0"/>
          <c:cat>
            <c:numRef>
              <c:f>'Rekorde'!$B$88:$B$328</c:f>
              <c:numCache>
                <c:formatCode>General</c:formatCode>
                <c:ptCount val="241"/>
                <c:pt idx="0">
                  <c:v>30</c:v>
                </c:pt>
                <c:pt idx="1">
                  <c:v>31</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57</c:v>
                </c:pt>
                <c:pt idx="28">
                  <c:v>58</c:v>
                </c:pt>
                <c:pt idx="29">
                  <c:v>59</c:v>
                </c:pt>
                <c:pt idx="30">
                  <c:v>60</c:v>
                </c:pt>
                <c:pt idx="31">
                  <c:v>61</c:v>
                </c:pt>
                <c:pt idx="32">
                  <c:v>62</c:v>
                </c:pt>
                <c:pt idx="33">
                  <c:v>63</c:v>
                </c:pt>
                <c:pt idx="34">
                  <c:v>64</c:v>
                </c:pt>
                <c:pt idx="35">
                  <c:v>65</c:v>
                </c:pt>
                <c:pt idx="36">
                  <c:v>66</c:v>
                </c:pt>
                <c:pt idx="37">
                  <c:v>67</c:v>
                </c:pt>
                <c:pt idx="38">
                  <c:v>68</c:v>
                </c:pt>
                <c:pt idx="39">
                  <c:v>69</c:v>
                </c:pt>
                <c:pt idx="40">
                  <c:v>70</c:v>
                </c:pt>
                <c:pt idx="41">
                  <c:v>71</c:v>
                </c:pt>
                <c:pt idx="42">
                  <c:v>72</c:v>
                </c:pt>
                <c:pt idx="43">
                  <c:v>73</c:v>
                </c:pt>
                <c:pt idx="44">
                  <c:v>74</c:v>
                </c:pt>
                <c:pt idx="45">
                  <c:v>75</c:v>
                </c:pt>
                <c:pt idx="46">
                  <c:v>76</c:v>
                </c:pt>
                <c:pt idx="47">
                  <c:v>77</c:v>
                </c:pt>
                <c:pt idx="48">
                  <c:v>78</c:v>
                </c:pt>
                <c:pt idx="49">
                  <c:v>79</c:v>
                </c:pt>
                <c:pt idx="50">
                  <c:v>80</c:v>
                </c:pt>
                <c:pt idx="51">
                  <c:v>81</c:v>
                </c:pt>
                <c:pt idx="52">
                  <c:v>82</c:v>
                </c:pt>
                <c:pt idx="53">
                  <c:v>83</c:v>
                </c:pt>
                <c:pt idx="54">
                  <c:v>84</c:v>
                </c:pt>
                <c:pt idx="55">
                  <c:v>85</c:v>
                </c:pt>
                <c:pt idx="56">
                  <c:v>86</c:v>
                </c:pt>
                <c:pt idx="57">
                  <c:v>87</c:v>
                </c:pt>
                <c:pt idx="58">
                  <c:v>88</c:v>
                </c:pt>
                <c:pt idx="59">
                  <c:v>89</c:v>
                </c:pt>
                <c:pt idx="60">
                  <c:v>90</c:v>
                </c:pt>
                <c:pt idx="61">
                  <c:v>91</c:v>
                </c:pt>
                <c:pt idx="62">
                  <c:v>92</c:v>
                </c:pt>
                <c:pt idx="63">
                  <c:v>93</c:v>
                </c:pt>
                <c:pt idx="64">
                  <c:v>94</c:v>
                </c:pt>
                <c:pt idx="65">
                  <c:v>95</c:v>
                </c:pt>
                <c:pt idx="66">
                  <c:v>96</c:v>
                </c:pt>
                <c:pt idx="67">
                  <c:v>97</c:v>
                </c:pt>
                <c:pt idx="68">
                  <c:v>98</c:v>
                </c:pt>
                <c:pt idx="69">
                  <c:v>99</c:v>
                </c:pt>
                <c:pt idx="70">
                  <c:v>100</c:v>
                </c:pt>
                <c:pt idx="71">
                  <c:v>101</c:v>
                </c:pt>
                <c:pt idx="72">
                  <c:v>102</c:v>
                </c:pt>
                <c:pt idx="73">
                  <c:v>103</c:v>
                </c:pt>
                <c:pt idx="74">
                  <c:v>104</c:v>
                </c:pt>
                <c:pt idx="75">
                  <c:v>105</c:v>
                </c:pt>
                <c:pt idx="76">
                  <c:v>106</c:v>
                </c:pt>
                <c:pt idx="77">
                  <c:v>107</c:v>
                </c:pt>
                <c:pt idx="78">
                  <c:v>108</c:v>
                </c:pt>
                <c:pt idx="79">
                  <c:v>109</c:v>
                </c:pt>
                <c:pt idx="80">
                  <c:v>110</c:v>
                </c:pt>
                <c:pt idx="81">
                  <c:v>111</c:v>
                </c:pt>
                <c:pt idx="82">
                  <c:v>112</c:v>
                </c:pt>
                <c:pt idx="83">
                  <c:v>113</c:v>
                </c:pt>
                <c:pt idx="84">
                  <c:v>114</c:v>
                </c:pt>
                <c:pt idx="85">
                  <c:v>115</c:v>
                </c:pt>
                <c:pt idx="86">
                  <c:v>116</c:v>
                </c:pt>
                <c:pt idx="87">
                  <c:v>117</c:v>
                </c:pt>
                <c:pt idx="88">
                  <c:v>118</c:v>
                </c:pt>
                <c:pt idx="89">
                  <c:v>119</c:v>
                </c:pt>
                <c:pt idx="90">
                  <c:v>120</c:v>
                </c:pt>
                <c:pt idx="91">
                  <c:v>121</c:v>
                </c:pt>
                <c:pt idx="92">
                  <c:v>122</c:v>
                </c:pt>
                <c:pt idx="93">
                  <c:v>123</c:v>
                </c:pt>
                <c:pt idx="94">
                  <c:v>124</c:v>
                </c:pt>
                <c:pt idx="95">
                  <c:v>125</c:v>
                </c:pt>
                <c:pt idx="96">
                  <c:v>126</c:v>
                </c:pt>
                <c:pt idx="97">
                  <c:v>127</c:v>
                </c:pt>
                <c:pt idx="98">
                  <c:v>128</c:v>
                </c:pt>
                <c:pt idx="99">
                  <c:v>129</c:v>
                </c:pt>
                <c:pt idx="100">
                  <c:v>130</c:v>
                </c:pt>
                <c:pt idx="101">
                  <c:v>131</c:v>
                </c:pt>
                <c:pt idx="102">
                  <c:v>132</c:v>
                </c:pt>
                <c:pt idx="103">
                  <c:v>133</c:v>
                </c:pt>
                <c:pt idx="104">
                  <c:v>134</c:v>
                </c:pt>
                <c:pt idx="105">
                  <c:v>135</c:v>
                </c:pt>
                <c:pt idx="106">
                  <c:v>136</c:v>
                </c:pt>
                <c:pt idx="107">
                  <c:v>137</c:v>
                </c:pt>
                <c:pt idx="108">
                  <c:v>138</c:v>
                </c:pt>
                <c:pt idx="109">
                  <c:v>139</c:v>
                </c:pt>
                <c:pt idx="110">
                  <c:v>140</c:v>
                </c:pt>
                <c:pt idx="111">
                  <c:v>141</c:v>
                </c:pt>
                <c:pt idx="112">
                  <c:v>142</c:v>
                </c:pt>
                <c:pt idx="113">
                  <c:v>143</c:v>
                </c:pt>
                <c:pt idx="114">
                  <c:v>144</c:v>
                </c:pt>
                <c:pt idx="115">
                  <c:v>145</c:v>
                </c:pt>
                <c:pt idx="116">
                  <c:v>146</c:v>
                </c:pt>
                <c:pt idx="117">
                  <c:v>147</c:v>
                </c:pt>
                <c:pt idx="118">
                  <c:v>148</c:v>
                </c:pt>
                <c:pt idx="119">
                  <c:v>149</c:v>
                </c:pt>
                <c:pt idx="120">
                  <c:v>150</c:v>
                </c:pt>
                <c:pt idx="121">
                  <c:v>151</c:v>
                </c:pt>
                <c:pt idx="122">
                  <c:v>152</c:v>
                </c:pt>
                <c:pt idx="123">
                  <c:v>153</c:v>
                </c:pt>
                <c:pt idx="124">
                  <c:v>154</c:v>
                </c:pt>
                <c:pt idx="125">
                  <c:v>155</c:v>
                </c:pt>
                <c:pt idx="126">
                  <c:v>156</c:v>
                </c:pt>
                <c:pt idx="127">
                  <c:v>157</c:v>
                </c:pt>
                <c:pt idx="128">
                  <c:v>158</c:v>
                </c:pt>
                <c:pt idx="129">
                  <c:v>159</c:v>
                </c:pt>
                <c:pt idx="130">
                  <c:v>160</c:v>
                </c:pt>
                <c:pt idx="131">
                  <c:v>161</c:v>
                </c:pt>
                <c:pt idx="132">
                  <c:v>162</c:v>
                </c:pt>
                <c:pt idx="133">
                  <c:v>163</c:v>
                </c:pt>
                <c:pt idx="134">
                  <c:v>164</c:v>
                </c:pt>
                <c:pt idx="135">
                  <c:v>165</c:v>
                </c:pt>
                <c:pt idx="136">
                  <c:v>166</c:v>
                </c:pt>
                <c:pt idx="137">
                  <c:v>167</c:v>
                </c:pt>
                <c:pt idx="138">
                  <c:v>168</c:v>
                </c:pt>
                <c:pt idx="139">
                  <c:v>169</c:v>
                </c:pt>
                <c:pt idx="140">
                  <c:v>170</c:v>
                </c:pt>
                <c:pt idx="141">
                  <c:v>171</c:v>
                </c:pt>
                <c:pt idx="142">
                  <c:v>172</c:v>
                </c:pt>
                <c:pt idx="143">
                  <c:v>173</c:v>
                </c:pt>
                <c:pt idx="144">
                  <c:v>174</c:v>
                </c:pt>
                <c:pt idx="145">
                  <c:v>175</c:v>
                </c:pt>
                <c:pt idx="146">
                  <c:v>176</c:v>
                </c:pt>
                <c:pt idx="147">
                  <c:v>177</c:v>
                </c:pt>
                <c:pt idx="148">
                  <c:v>178</c:v>
                </c:pt>
                <c:pt idx="149">
                  <c:v>179</c:v>
                </c:pt>
                <c:pt idx="150">
                  <c:v>180</c:v>
                </c:pt>
                <c:pt idx="151">
                  <c:v>181</c:v>
                </c:pt>
                <c:pt idx="152">
                  <c:v>182</c:v>
                </c:pt>
                <c:pt idx="153">
                  <c:v>183</c:v>
                </c:pt>
                <c:pt idx="154">
                  <c:v>184</c:v>
                </c:pt>
                <c:pt idx="155">
                  <c:v>185</c:v>
                </c:pt>
                <c:pt idx="156">
                  <c:v>186</c:v>
                </c:pt>
                <c:pt idx="157">
                  <c:v>187</c:v>
                </c:pt>
                <c:pt idx="158">
                  <c:v>188</c:v>
                </c:pt>
                <c:pt idx="159">
                  <c:v>189</c:v>
                </c:pt>
                <c:pt idx="160">
                  <c:v>190</c:v>
                </c:pt>
                <c:pt idx="161">
                  <c:v>191</c:v>
                </c:pt>
                <c:pt idx="162">
                  <c:v>192</c:v>
                </c:pt>
                <c:pt idx="163">
                  <c:v>193</c:v>
                </c:pt>
                <c:pt idx="164">
                  <c:v>194</c:v>
                </c:pt>
                <c:pt idx="165">
                  <c:v>195</c:v>
                </c:pt>
                <c:pt idx="166">
                  <c:v>196</c:v>
                </c:pt>
                <c:pt idx="167">
                  <c:v>197</c:v>
                </c:pt>
                <c:pt idx="168">
                  <c:v>198</c:v>
                </c:pt>
                <c:pt idx="169">
                  <c:v>199</c:v>
                </c:pt>
                <c:pt idx="170">
                  <c:v>200</c:v>
                </c:pt>
                <c:pt idx="171">
                  <c:v>201</c:v>
                </c:pt>
                <c:pt idx="172">
                  <c:v>202</c:v>
                </c:pt>
                <c:pt idx="173">
                  <c:v>203</c:v>
                </c:pt>
                <c:pt idx="174">
                  <c:v>204</c:v>
                </c:pt>
                <c:pt idx="175">
                  <c:v>205</c:v>
                </c:pt>
                <c:pt idx="176">
                  <c:v>206</c:v>
                </c:pt>
                <c:pt idx="177">
                  <c:v>207</c:v>
                </c:pt>
                <c:pt idx="178">
                  <c:v>208</c:v>
                </c:pt>
                <c:pt idx="179">
                  <c:v>209</c:v>
                </c:pt>
                <c:pt idx="180">
                  <c:v>210</c:v>
                </c:pt>
                <c:pt idx="181">
                  <c:v>211</c:v>
                </c:pt>
                <c:pt idx="182">
                  <c:v>212</c:v>
                </c:pt>
                <c:pt idx="183">
                  <c:v>213</c:v>
                </c:pt>
                <c:pt idx="184">
                  <c:v>214</c:v>
                </c:pt>
                <c:pt idx="185">
                  <c:v>215</c:v>
                </c:pt>
                <c:pt idx="186">
                  <c:v>216</c:v>
                </c:pt>
                <c:pt idx="187">
                  <c:v>217</c:v>
                </c:pt>
                <c:pt idx="188">
                  <c:v>218</c:v>
                </c:pt>
                <c:pt idx="189">
                  <c:v>219</c:v>
                </c:pt>
                <c:pt idx="190">
                  <c:v>220</c:v>
                </c:pt>
                <c:pt idx="191">
                  <c:v>221</c:v>
                </c:pt>
                <c:pt idx="192">
                  <c:v>222</c:v>
                </c:pt>
                <c:pt idx="193">
                  <c:v>223</c:v>
                </c:pt>
                <c:pt idx="194">
                  <c:v>224</c:v>
                </c:pt>
                <c:pt idx="195">
                  <c:v>225</c:v>
                </c:pt>
                <c:pt idx="196">
                  <c:v>226</c:v>
                </c:pt>
                <c:pt idx="197">
                  <c:v>227</c:v>
                </c:pt>
                <c:pt idx="198">
                  <c:v>228</c:v>
                </c:pt>
                <c:pt idx="199">
                  <c:v>229</c:v>
                </c:pt>
                <c:pt idx="200">
                  <c:v>230</c:v>
                </c:pt>
                <c:pt idx="201">
                  <c:v>231</c:v>
                </c:pt>
                <c:pt idx="202">
                  <c:v>232</c:v>
                </c:pt>
                <c:pt idx="203">
                  <c:v>233</c:v>
                </c:pt>
                <c:pt idx="204">
                  <c:v>234</c:v>
                </c:pt>
                <c:pt idx="205">
                  <c:v>235</c:v>
                </c:pt>
                <c:pt idx="206">
                  <c:v>236</c:v>
                </c:pt>
                <c:pt idx="207">
                  <c:v>237</c:v>
                </c:pt>
                <c:pt idx="208">
                  <c:v>238</c:v>
                </c:pt>
                <c:pt idx="209">
                  <c:v>239</c:v>
                </c:pt>
                <c:pt idx="210">
                  <c:v>240</c:v>
                </c:pt>
                <c:pt idx="211">
                  <c:v>241</c:v>
                </c:pt>
                <c:pt idx="212">
                  <c:v>242</c:v>
                </c:pt>
                <c:pt idx="213">
                  <c:v>243</c:v>
                </c:pt>
                <c:pt idx="214">
                  <c:v>244</c:v>
                </c:pt>
                <c:pt idx="215">
                  <c:v>245</c:v>
                </c:pt>
                <c:pt idx="216">
                  <c:v>246</c:v>
                </c:pt>
                <c:pt idx="217">
                  <c:v>247</c:v>
                </c:pt>
                <c:pt idx="218">
                  <c:v>248</c:v>
                </c:pt>
                <c:pt idx="219">
                  <c:v>249</c:v>
                </c:pt>
                <c:pt idx="220">
                  <c:v>250</c:v>
                </c:pt>
                <c:pt idx="221">
                  <c:v>251</c:v>
                </c:pt>
                <c:pt idx="222">
                  <c:v>252</c:v>
                </c:pt>
                <c:pt idx="223">
                  <c:v>253</c:v>
                </c:pt>
                <c:pt idx="224">
                  <c:v>254</c:v>
                </c:pt>
                <c:pt idx="225">
                  <c:v>255</c:v>
                </c:pt>
                <c:pt idx="226">
                  <c:v>256</c:v>
                </c:pt>
                <c:pt idx="227">
                  <c:v>257</c:v>
                </c:pt>
                <c:pt idx="228">
                  <c:v>258</c:v>
                </c:pt>
                <c:pt idx="229">
                  <c:v>259</c:v>
                </c:pt>
                <c:pt idx="230">
                  <c:v>260</c:v>
                </c:pt>
                <c:pt idx="231">
                  <c:v>261</c:v>
                </c:pt>
                <c:pt idx="232">
                  <c:v>262</c:v>
                </c:pt>
                <c:pt idx="233">
                  <c:v>263</c:v>
                </c:pt>
                <c:pt idx="234">
                  <c:v>264</c:v>
                </c:pt>
                <c:pt idx="235">
                  <c:v>265</c:v>
                </c:pt>
                <c:pt idx="236">
                  <c:v>266</c:v>
                </c:pt>
                <c:pt idx="237">
                  <c:v>267</c:v>
                </c:pt>
                <c:pt idx="238">
                  <c:v>268</c:v>
                </c:pt>
                <c:pt idx="239">
                  <c:v>269</c:v>
                </c:pt>
                <c:pt idx="240">
                  <c:v>270</c:v>
                </c:pt>
              </c:numCache>
            </c:numRef>
          </c:cat>
          <c:val>
            <c:numRef>
              <c:f>'Rekorde'!$D$88:$D$328</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2</c:v>
                </c:pt>
                <c:pt idx="34">
                  <c:v>0</c:v>
                </c:pt>
                <c:pt idx="35">
                  <c:v>0</c:v>
                </c:pt>
                <c:pt idx="36">
                  <c:v>1</c:v>
                </c:pt>
                <c:pt idx="37">
                  <c:v>0</c:v>
                </c:pt>
                <c:pt idx="38">
                  <c:v>0</c:v>
                </c:pt>
                <c:pt idx="39">
                  <c:v>0</c:v>
                </c:pt>
                <c:pt idx="40">
                  <c:v>0</c:v>
                </c:pt>
                <c:pt idx="41">
                  <c:v>1</c:v>
                </c:pt>
                <c:pt idx="42">
                  <c:v>1</c:v>
                </c:pt>
                <c:pt idx="43">
                  <c:v>0</c:v>
                </c:pt>
                <c:pt idx="44">
                  <c:v>0</c:v>
                </c:pt>
                <c:pt idx="45">
                  <c:v>0</c:v>
                </c:pt>
                <c:pt idx="46">
                  <c:v>0</c:v>
                </c:pt>
                <c:pt idx="47">
                  <c:v>1</c:v>
                </c:pt>
                <c:pt idx="48">
                  <c:v>0</c:v>
                </c:pt>
                <c:pt idx="49">
                  <c:v>0</c:v>
                </c:pt>
                <c:pt idx="50">
                  <c:v>1</c:v>
                </c:pt>
                <c:pt idx="51">
                  <c:v>0</c:v>
                </c:pt>
                <c:pt idx="52">
                  <c:v>1</c:v>
                </c:pt>
                <c:pt idx="53">
                  <c:v>1</c:v>
                </c:pt>
                <c:pt idx="54">
                  <c:v>2</c:v>
                </c:pt>
                <c:pt idx="55">
                  <c:v>2</c:v>
                </c:pt>
                <c:pt idx="56">
                  <c:v>0</c:v>
                </c:pt>
                <c:pt idx="57">
                  <c:v>4</c:v>
                </c:pt>
                <c:pt idx="58">
                  <c:v>2</c:v>
                </c:pt>
                <c:pt idx="59">
                  <c:v>0</c:v>
                </c:pt>
                <c:pt idx="60">
                  <c:v>0</c:v>
                </c:pt>
                <c:pt idx="61">
                  <c:v>0</c:v>
                </c:pt>
                <c:pt idx="62">
                  <c:v>2</c:v>
                </c:pt>
                <c:pt idx="63">
                  <c:v>2</c:v>
                </c:pt>
                <c:pt idx="64">
                  <c:v>2</c:v>
                </c:pt>
                <c:pt idx="65">
                  <c:v>0</c:v>
                </c:pt>
                <c:pt idx="66">
                  <c:v>0</c:v>
                </c:pt>
                <c:pt idx="67">
                  <c:v>0</c:v>
                </c:pt>
                <c:pt idx="68">
                  <c:v>0</c:v>
                </c:pt>
                <c:pt idx="69">
                  <c:v>2</c:v>
                </c:pt>
                <c:pt idx="70">
                  <c:v>0</c:v>
                </c:pt>
                <c:pt idx="71">
                  <c:v>2</c:v>
                </c:pt>
                <c:pt idx="72">
                  <c:v>1</c:v>
                </c:pt>
                <c:pt idx="73">
                  <c:v>0</c:v>
                </c:pt>
                <c:pt idx="74">
                  <c:v>1</c:v>
                </c:pt>
                <c:pt idx="75">
                  <c:v>1</c:v>
                </c:pt>
                <c:pt idx="76">
                  <c:v>0</c:v>
                </c:pt>
                <c:pt idx="77">
                  <c:v>2</c:v>
                </c:pt>
                <c:pt idx="78">
                  <c:v>0</c:v>
                </c:pt>
                <c:pt idx="79">
                  <c:v>0</c:v>
                </c:pt>
                <c:pt idx="80">
                  <c:v>0</c:v>
                </c:pt>
                <c:pt idx="81">
                  <c:v>0</c:v>
                </c:pt>
                <c:pt idx="82">
                  <c:v>1</c:v>
                </c:pt>
                <c:pt idx="83">
                  <c:v>0</c:v>
                </c:pt>
                <c:pt idx="84">
                  <c:v>1</c:v>
                </c:pt>
                <c:pt idx="85">
                  <c:v>2</c:v>
                </c:pt>
                <c:pt idx="86">
                  <c:v>0</c:v>
                </c:pt>
                <c:pt idx="87">
                  <c:v>1</c:v>
                </c:pt>
                <c:pt idx="88">
                  <c:v>1</c:v>
                </c:pt>
                <c:pt idx="89">
                  <c:v>1</c:v>
                </c:pt>
                <c:pt idx="90">
                  <c:v>1</c:v>
                </c:pt>
                <c:pt idx="91">
                  <c:v>1</c:v>
                </c:pt>
                <c:pt idx="92">
                  <c:v>0</c:v>
                </c:pt>
                <c:pt idx="93">
                  <c:v>4</c:v>
                </c:pt>
                <c:pt idx="94">
                  <c:v>0</c:v>
                </c:pt>
                <c:pt idx="95">
                  <c:v>3</c:v>
                </c:pt>
                <c:pt idx="96">
                  <c:v>0</c:v>
                </c:pt>
                <c:pt idx="97">
                  <c:v>4</c:v>
                </c:pt>
                <c:pt idx="98">
                  <c:v>1</c:v>
                </c:pt>
                <c:pt idx="99">
                  <c:v>3</c:v>
                </c:pt>
                <c:pt idx="100">
                  <c:v>0</c:v>
                </c:pt>
                <c:pt idx="101">
                  <c:v>0</c:v>
                </c:pt>
                <c:pt idx="102">
                  <c:v>3</c:v>
                </c:pt>
                <c:pt idx="103">
                  <c:v>1</c:v>
                </c:pt>
                <c:pt idx="104">
                  <c:v>2</c:v>
                </c:pt>
                <c:pt idx="105">
                  <c:v>2</c:v>
                </c:pt>
                <c:pt idx="106">
                  <c:v>0</c:v>
                </c:pt>
                <c:pt idx="107">
                  <c:v>5</c:v>
                </c:pt>
                <c:pt idx="108">
                  <c:v>5</c:v>
                </c:pt>
                <c:pt idx="109">
                  <c:v>4</c:v>
                </c:pt>
                <c:pt idx="110">
                  <c:v>3</c:v>
                </c:pt>
                <c:pt idx="111">
                  <c:v>5</c:v>
                </c:pt>
                <c:pt idx="112">
                  <c:v>4</c:v>
                </c:pt>
                <c:pt idx="113">
                  <c:v>2</c:v>
                </c:pt>
                <c:pt idx="114">
                  <c:v>2</c:v>
                </c:pt>
                <c:pt idx="115">
                  <c:v>1</c:v>
                </c:pt>
                <c:pt idx="116">
                  <c:v>6</c:v>
                </c:pt>
                <c:pt idx="117">
                  <c:v>2</c:v>
                </c:pt>
                <c:pt idx="118">
                  <c:v>5</c:v>
                </c:pt>
                <c:pt idx="119">
                  <c:v>4</c:v>
                </c:pt>
                <c:pt idx="120">
                  <c:v>4</c:v>
                </c:pt>
                <c:pt idx="121">
                  <c:v>4</c:v>
                </c:pt>
                <c:pt idx="122">
                  <c:v>3</c:v>
                </c:pt>
                <c:pt idx="123">
                  <c:v>7</c:v>
                </c:pt>
                <c:pt idx="124">
                  <c:v>8</c:v>
                </c:pt>
                <c:pt idx="125">
                  <c:v>3</c:v>
                </c:pt>
                <c:pt idx="126">
                  <c:v>2</c:v>
                </c:pt>
                <c:pt idx="127">
                  <c:v>7</c:v>
                </c:pt>
                <c:pt idx="128">
                  <c:v>6</c:v>
                </c:pt>
                <c:pt idx="129">
                  <c:v>3</c:v>
                </c:pt>
                <c:pt idx="130">
                  <c:v>6</c:v>
                </c:pt>
                <c:pt idx="131">
                  <c:v>7</c:v>
                </c:pt>
                <c:pt idx="132">
                  <c:v>2</c:v>
                </c:pt>
                <c:pt idx="133">
                  <c:v>3</c:v>
                </c:pt>
                <c:pt idx="134">
                  <c:v>3</c:v>
                </c:pt>
                <c:pt idx="135">
                  <c:v>7</c:v>
                </c:pt>
                <c:pt idx="136">
                  <c:v>3</c:v>
                </c:pt>
                <c:pt idx="137">
                  <c:v>5</c:v>
                </c:pt>
                <c:pt idx="138">
                  <c:v>5</c:v>
                </c:pt>
                <c:pt idx="139">
                  <c:v>5</c:v>
                </c:pt>
                <c:pt idx="140">
                  <c:v>3</c:v>
                </c:pt>
                <c:pt idx="141">
                  <c:v>1</c:v>
                </c:pt>
                <c:pt idx="142">
                  <c:v>3</c:v>
                </c:pt>
                <c:pt idx="143">
                  <c:v>7</c:v>
                </c:pt>
                <c:pt idx="144">
                  <c:v>11</c:v>
                </c:pt>
                <c:pt idx="145">
                  <c:v>3</c:v>
                </c:pt>
                <c:pt idx="146">
                  <c:v>1</c:v>
                </c:pt>
                <c:pt idx="147">
                  <c:v>6</c:v>
                </c:pt>
                <c:pt idx="148">
                  <c:v>5</c:v>
                </c:pt>
                <c:pt idx="149">
                  <c:v>2</c:v>
                </c:pt>
                <c:pt idx="150">
                  <c:v>8</c:v>
                </c:pt>
                <c:pt idx="151">
                  <c:v>1</c:v>
                </c:pt>
                <c:pt idx="152">
                  <c:v>2</c:v>
                </c:pt>
                <c:pt idx="153">
                  <c:v>5</c:v>
                </c:pt>
                <c:pt idx="154">
                  <c:v>8</c:v>
                </c:pt>
                <c:pt idx="155">
                  <c:v>1</c:v>
                </c:pt>
                <c:pt idx="156">
                  <c:v>6</c:v>
                </c:pt>
                <c:pt idx="157">
                  <c:v>2</c:v>
                </c:pt>
                <c:pt idx="158">
                  <c:v>2</c:v>
                </c:pt>
                <c:pt idx="159">
                  <c:v>4</c:v>
                </c:pt>
                <c:pt idx="160">
                  <c:v>1</c:v>
                </c:pt>
                <c:pt idx="161">
                  <c:v>3</c:v>
                </c:pt>
                <c:pt idx="162">
                  <c:v>2</c:v>
                </c:pt>
                <c:pt idx="163">
                  <c:v>4</c:v>
                </c:pt>
                <c:pt idx="164">
                  <c:v>5</c:v>
                </c:pt>
                <c:pt idx="165">
                  <c:v>0</c:v>
                </c:pt>
                <c:pt idx="166">
                  <c:v>1</c:v>
                </c:pt>
                <c:pt idx="167">
                  <c:v>0</c:v>
                </c:pt>
                <c:pt idx="168">
                  <c:v>0</c:v>
                </c:pt>
                <c:pt idx="169">
                  <c:v>1</c:v>
                </c:pt>
                <c:pt idx="170">
                  <c:v>1</c:v>
                </c:pt>
                <c:pt idx="171">
                  <c:v>1</c:v>
                </c:pt>
                <c:pt idx="172">
                  <c:v>0</c:v>
                </c:pt>
                <c:pt idx="173">
                  <c:v>0</c:v>
                </c:pt>
                <c:pt idx="174">
                  <c:v>0</c:v>
                </c:pt>
                <c:pt idx="175">
                  <c:v>2</c:v>
                </c:pt>
                <c:pt idx="176">
                  <c:v>2</c:v>
                </c:pt>
                <c:pt idx="177">
                  <c:v>0</c:v>
                </c:pt>
                <c:pt idx="178">
                  <c:v>1</c:v>
                </c:pt>
                <c:pt idx="179">
                  <c:v>0</c:v>
                </c:pt>
                <c:pt idx="180">
                  <c:v>1</c:v>
                </c:pt>
                <c:pt idx="181">
                  <c:v>1</c:v>
                </c:pt>
                <c:pt idx="182">
                  <c:v>1</c:v>
                </c:pt>
                <c:pt idx="183">
                  <c:v>0</c:v>
                </c:pt>
                <c:pt idx="184">
                  <c:v>0</c:v>
                </c:pt>
                <c:pt idx="185">
                  <c:v>0</c:v>
                </c:pt>
                <c:pt idx="186">
                  <c:v>0</c:v>
                </c:pt>
                <c:pt idx="187">
                  <c:v>0</c:v>
                </c:pt>
                <c:pt idx="188">
                  <c:v>0</c:v>
                </c:pt>
                <c:pt idx="189">
                  <c:v>0</c:v>
                </c:pt>
                <c:pt idx="190">
                  <c:v>1</c:v>
                </c:pt>
                <c:pt idx="191">
                  <c:v>0</c:v>
                </c:pt>
                <c:pt idx="192">
                  <c:v>1</c:v>
                </c:pt>
                <c:pt idx="193">
                  <c:v>3</c:v>
                </c:pt>
                <c:pt idx="194">
                  <c:v>0</c:v>
                </c:pt>
                <c:pt idx="195">
                  <c:v>0</c:v>
                </c:pt>
                <c:pt idx="196">
                  <c:v>0</c:v>
                </c:pt>
                <c:pt idx="197">
                  <c:v>0</c:v>
                </c:pt>
                <c:pt idx="198">
                  <c:v>0</c:v>
                </c:pt>
                <c:pt idx="199">
                  <c:v>0</c:v>
                </c:pt>
                <c:pt idx="200">
                  <c:v>0</c:v>
                </c:pt>
                <c:pt idx="201">
                  <c:v>0</c:v>
                </c:pt>
                <c:pt idx="202">
                  <c:v>1</c:v>
                </c:pt>
                <c:pt idx="203">
                  <c:v>0</c:v>
                </c:pt>
                <c:pt idx="204">
                  <c:v>0</c:v>
                </c:pt>
                <c:pt idx="205">
                  <c:v>0</c:v>
                </c:pt>
                <c:pt idx="206">
                  <c:v>0</c:v>
                </c:pt>
                <c:pt idx="207">
                  <c:v>0</c:v>
                </c:pt>
                <c:pt idx="208">
                  <c:v>0</c:v>
                </c:pt>
                <c:pt idx="209">
                  <c:v>0</c:v>
                </c:pt>
                <c:pt idx="210">
                  <c:v>0</c:v>
                </c:pt>
                <c:pt idx="211">
                  <c:v>0</c:v>
                </c:pt>
                <c:pt idx="212">
                  <c:v>0</c:v>
                </c:pt>
                <c:pt idx="213">
                  <c:v>0</c:v>
                </c:pt>
                <c:pt idx="214">
                  <c:v>1</c:v>
                </c:pt>
                <c:pt idx="215">
                  <c:v>0</c:v>
                </c:pt>
                <c:pt idx="216">
                  <c:v>0</c:v>
                </c:pt>
                <c:pt idx="217">
                  <c:v>1</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val>
          <c:extLst>
            <c:ext xmlns:c16="http://schemas.microsoft.com/office/drawing/2014/chart" uri="{C3380CC4-5D6E-409C-BE32-E72D297353CC}">
              <c16:uniqueId val="{00000000-9E2A-407A-BBDE-8B0FC2437EDD}"/>
            </c:ext>
          </c:extLst>
        </c:ser>
        <c:dLbls>
          <c:showLegendKey val="0"/>
          <c:showVal val="0"/>
          <c:showCatName val="0"/>
          <c:showSerName val="0"/>
          <c:showPercent val="0"/>
          <c:showBubbleSize val="0"/>
        </c:dLbls>
        <c:gapWidth val="219"/>
        <c:overlap val="-27"/>
        <c:axId val="1448258191"/>
        <c:axId val="1448259631"/>
      </c:barChart>
      <c:dateAx>
        <c:axId val="144825819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r>
                  <a:rPr lang="de-DE" b="1">
                    <a:solidFill>
                      <a:schemeClr val="tx2"/>
                    </a:solidFill>
                  </a:rPr>
                  <a:t>Holz</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endParaRPr lang="de-DE"/>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2"/>
                </a:solidFill>
                <a:latin typeface="Bierstadt" panose="020B0004020202020204" pitchFamily="34" charset="0"/>
                <a:ea typeface="+mn-ea"/>
                <a:cs typeface="+mn-cs"/>
              </a:defRPr>
            </a:pPr>
            <a:endParaRPr lang="de-DE"/>
          </a:p>
        </c:txPr>
        <c:crossAx val="1448259631"/>
        <c:crosses val="autoZero"/>
        <c:auto val="0"/>
        <c:lblOffset val="100"/>
        <c:baseTimeUnit val="days"/>
        <c:majorUnit val="10"/>
        <c:majorTimeUnit val="days"/>
      </c:dateAx>
      <c:valAx>
        <c:axId val="1448259631"/>
        <c:scaling>
          <c:orientation val="minMax"/>
        </c:scaling>
        <c:delete val="0"/>
        <c:axPos val="l"/>
        <c:majorGridlines>
          <c:spPr>
            <a:ln w="9525" cap="flat" cmpd="sng" algn="ctr">
              <a:solidFill>
                <a:schemeClr val="accent6">
                  <a:alpha val="2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r>
                  <a:rPr lang="de-DE" b="1">
                    <a:solidFill>
                      <a:schemeClr val="tx2"/>
                    </a:solidFill>
                  </a:rPr>
                  <a:t>Anzahl</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Bierstadt" panose="020B0004020202020204" pitchFamily="34" charset="0"/>
                <a:ea typeface="+mn-ea"/>
                <a:cs typeface="+mn-cs"/>
              </a:defRPr>
            </a:pPr>
            <a:endParaRPr lang="de-DE"/>
          </a:p>
        </c:txPr>
        <c:crossAx val="144825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28575" cap="flat" cmpd="sng" algn="ctr">
      <a:solidFill>
        <a:schemeClr val="tx2"/>
      </a:solidFill>
      <a:round/>
    </a:ln>
    <a:effectLst/>
  </c:spPr>
  <c:txPr>
    <a:bodyPr/>
    <a:lstStyle/>
    <a:p>
      <a:pPr>
        <a:defRPr>
          <a:latin typeface="Bierstadt" panose="020B0004020202020204" pitchFamily="34" charset="0"/>
        </a:defRPr>
      </a:pPr>
      <a:endParaRPr lang="de-DE"/>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lrMapOvr bg1="dk1" tx1="lt1" bg2="dk2" tx2="lt2" accent1="accent1" accent2="accent2" accent3="accent3" accent4="accent4" accent5="accent5" accent6="accent6" hlink="hlink" folHlink="folHlink"/>
  <c:chart>
    <c:autoTitleDeleted val="1"/>
    <c:plotArea>
      <c:layout>
        <c:manualLayout>
          <c:layoutTarget val="inner"/>
          <c:xMode val="edge"/>
          <c:yMode val="edge"/>
          <c:x val="7.8567596177549645E-2"/>
          <c:y val="9.1256905823834958E-2"/>
          <c:w val="0.8850132455105526"/>
          <c:h val="0.78332105625586368"/>
        </c:manualLayout>
      </c:layout>
      <c:lineChart>
        <c:grouping val="standard"/>
        <c:varyColors val="0"/>
        <c:ser>
          <c:idx val="2"/>
          <c:order val="0"/>
          <c:tx>
            <c:strRef>
              <c:f>Teamverlauf!$D$2</c:f>
              <c:strCache>
                <c:ptCount val="1"/>
                <c:pt idx="0">
                  <c:v>Männer I</c:v>
                </c:pt>
              </c:strCache>
              <c:extLst xmlns:c15="http://schemas.microsoft.com/office/drawing/2012/chart"/>
            </c:strRef>
          </c:tx>
          <c:spPr>
            <a:ln w="22225" cap="rnd">
              <a:solidFill>
                <a:srgbClr val="FFCA08"/>
              </a:solidFill>
              <a:round/>
            </a:ln>
            <a:effectLst/>
          </c:spPr>
          <c:marker>
            <c:symbol val="square"/>
            <c:size val="5"/>
            <c:spPr>
              <a:solidFill>
                <a:srgbClr val="FFCA08"/>
              </a:solidFill>
              <a:ln w="9525">
                <a:noFill/>
                <a:round/>
              </a:ln>
              <a:effectLst/>
            </c:spPr>
          </c:marker>
          <c:dLbls>
            <c:dLbl>
              <c:idx val="1"/>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19C5-4404-83F5-6806078F3597}"/>
                </c:ext>
              </c:extLst>
            </c:dLbl>
            <c:dLbl>
              <c:idx val="2"/>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32EA-4242-A1ED-C7776F9BE36C}"/>
                </c:ext>
              </c:extLst>
            </c:dLbl>
            <c:dLbl>
              <c:idx val="5"/>
              <c:dLblPos val="ct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3345-4335-89C5-83388F82F222}"/>
                </c:ext>
              </c:extLst>
            </c:dLbl>
            <c:dLbl>
              <c:idx val="10"/>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BA0B-4C4A-B210-9E63D30DFAFE}"/>
                </c:ext>
              </c:extLst>
            </c:dLbl>
            <c:spPr>
              <a:solidFill>
                <a:srgbClr val="FFCA08">
                  <a:alpha val="50000"/>
                </a:srgbClr>
              </a:solidFill>
              <a:ln>
                <a:noFill/>
              </a:ln>
              <a:effectLst/>
            </c:spPr>
            <c:txPr>
              <a:bodyPr rot="0" spcFirstLastPara="1" vertOverflow="ellipsis" vert="horz" wrap="square" lIns="38100" tIns="19050" rIns="38100" bIns="19050" anchor="ctr" anchorCtr="1">
                <a:spAutoFit/>
              </a:bodyPr>
              <a:lstStyle/>
              <a:p>
                <a:pPr>
                  <a:defRPr sz="1197" b="0" i="0" u="none" strike="noStrike" kern="1200" baseline="0">
                    <a:solidFill>
                      <a:schemeClr val="bg2">
                        <a:lumMod val="25000"/>
                      </a:schemeClr>
                    </a:solidFill>
                    <a:latin typeface="Bahnschrift" panose="020B0502040204020203" pitchFamily="34" charset="0"/>
                    <a:ea typeface="+mn-ea"/>
                    <a:cs typeface="+mn-cs"/>
                  </a:defRPr>
                </a:pPr>
                <a:endParaRPr lang="de-DE"/>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Teamverlauf!$D$3:$D$16</c:f>
              <c:numCache>
                <c:formatCode>General</c:formatCode>
                <c:ptCount val="14"/>
                <c:pt idx="0">
                  <c:v>3235</c:v>
                </c:pt>
                <c:pt idx="1">
                  <c:v>3084</c:v>
                </c:pt>
                <c:pt idx="2">
                  <c:v>3298</c:v>
                </c:pt>
                <c:pt idx="3">
                  <c:v>3197</c:v>
                </c:pt>
                <c:pt idx="4">
                  <c:v>3141</c:v>
                </c:pt>
                <c:pt idx="5">
                  <c:v>3223</c:v>
                </c:pt>
                <c:pt idx="6">
                  <c:v>3176</c:v>
                </c:pt>
                <c:pt idx="7">
                  <c:v>3160</c:v>
                </c:pt>
                <c:pt idx="8">
                  <c:v>3404</c:v>
                </c:pt>
                <c:pt idx="9">
                  <c:v>3394</c:v>
                </c:pt>
                <c:pt idx="10">
                  <c:v>3134</c:v>
                </c:pt>
                <c:pt idx="11">
                  <c:v>0</c:v>
                </c:pt>
                <c:pt idx="12">
                  <c:v>0</c:v>
                </c:pt>
                <c:pt idx="13">
                  <c:v>0</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2-DA58-40E9-AB09-15BDBA0F7151}"/>
            </c:ext>
          </c:extLst>
        </c:ser>
        <c:ser>
          <c:idx val="4"/>
          <c:order val="4"/>
          <c:tx>
            <c:strRef>
              <c:f>Teamverlauf!$H$2</c:f>
              <c:strCache>
                <c:ptCount val="1"/>
                <c:pt idx="0">
                  <c:v>Männer I Durchschnitt</c:v>
                </c:pt>
              </c:strCache>
              <c:extLst xmlns:c15="http://schemas.microsoft.com/office/drawing/2012/chart"/>
            </c:strRef>
          </c:tx>
          <c:spPr>
            <a:ln w="22225" cap="rnd">
              <a:solidFill>
                <a:srgbClr val="FFCA08"/>
              </a:solidFill>
              <a:prstDash val="sysDot"/>
              <a:round/>
            </a:ln>
            <a:effectLst/>
          </c:spPr>
          <c:marker>
            <c:symbol val="none"/>
          </c:marker>
          <c:dLbls>
            <c:delete val="1"/>
          </c:dLbls>
          <c:val>
            <c:numRef>
              <c:f>Teamverlauf!$H$3:$H$16</c:f>
              <c:numCache>
                <c:formatCode>0</c:formatCode>
                <c:ptCount val="14"/>
                <c:pt idx="0">
                  <c:v>3222.3636363636365</c:v>
                </c:pt>
                <c:pt idx="1">
                  <c:v>3222.3636363636365</c:v>
                </c:pt>
                <c:pt idx="2">
                  <c:v>3222.3636363636365</c:v>
                </c:pt>
                <c:pt idx="3">
                  <c:v>3222.3636363636365</c:v>
                </c:pt>
                <c:pt idx="4">
                  <c:v>3222.3636363636365</c:v>
                </c:pt>
                <c:pt idx="5">
                  <c:v>3222.3636363636365</c:v>
                </c:pt>
                <c:pt idx="6">
                  <c:v>3222.3636363636365</c:v>
                </c:pt>
                <c:pt idx="7">
                  <c:v>3222.3636363636365</c:v>
                </c:pt>
                <c:pt idx="8">
                  <c:v>3222.3636363636365</c:v>
                </c:pt>
                <c:pt idx="9">
                  <c:v>3222.3636363636365</c:v>
                </c:pt>
                <c:pt idx="10">
                  <c:v>3222.3636363636365</c:v>
                </c:pt>
                <c:pt idx="11">
                  <c:v>3222.3636363636365</c:v>
                </c:pt>
                <c:pt idx="12">
                  <c:v>3222.3636363636365</c:v>
                </c:pt>
                <c:pt idx="13">
                  <c:v>3222.3636363636365</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17-E90A-4773-8A9F-438B5A9E2534}"/>
            </c:ext>
          </c:extLst>
        </c:ser>
        <c:ser>
          <c:idx val="3"/>
          <c:order val="8"/>
          <c:tx>
            <c:strRef>
              <c:f>Teamverlauf!$L$2</c:f>
              <c:strCache>
                <c:ptCount val="1"/>
                <c:pt idx="0">
                  <c:v>Egeg</c:v>
                </c:pt>
              </c:strCache>
              <c:extLst xmlns:c15="http://schemas.microsoft.com/office/drawing/2012/chart"/>
            </c:strRef>
          </c:tx>
          <c:spPr>
            <a:ln w="12700" cap="rnd">
              <a:solidFill>
                <a:srgbClr val="FFCA08"/>
              </a:solidFill>
              <a:prstDash val="sysDash"/>
              <a:round/>
            </a:ln>
            <a:effectLst/>
          </c:spPr>
          <c:marker>
            <c:symbol val="none"/>
          </c:marker>
          <c:dLbls>
            <c:delete val="1"/>
          </c:dLbls>
          <c:val>
            <c:numRef>
              <c:f>Teamverlauf!$L$3:$L$16</c:f>
              <c:numCache>
                <c:formatCode>General</c:formatCode>
                <c:ptCount val="14"/>
                <c:pt idx="0">
                  <c:v>3156</c:v>
                </c:pt>
                <c:pt idx="1">
                  <c:v>3220</c:v>
                </c:pt>
                <c:pt idx="2">
                  <c:v>3177</c:v>
                </c:pt>
                <c:pt idx="3">
                  <c:v>3135</c:v>
                </c:pt>
                <c:pt idx="4">
                  <c:v>3204</c:v>
                </c:pt>
                <c:pt idx="5">
                  <c:v>3033</c:v>
                </c:pt>
                <c:pt idx="6">
                  <c:v>3124</c:v>
                </c:pt>
                <c:pt idx="7">
                  <c:v>2741</c:v>
                </c:pt>
                <c:pt idx="8">
                  <c:v>3405</c:v>
                </c:pt>
                <c:pt idx="9">
                  <c:v>3391</c:v>
                </c:pt>
                <c:pt idx="10">
                  <c:v>3086</c:v>
                </c:pt>
                <c:pt idx="11">
                  <c:v>#N/A</c:v>
                </c:pt>
                <c:pt idx="12">
                  <c:v>#N/A</c:v>
                </c:pt>
                <c:pt idx="13">
                  <c:v>#N/A</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4-B2CD-4691-A137-1FB25CEB5EE7}"/>
            </c:ext>
          </c:extLst>
        </c:ser>
        <c:dLbls>
          <c:dLblPos val="b"/>
          <c:showLegendKey val="0"/>
          <c:showVal val="1"/>
          <c:showCatName val="0"/>
          <c:showSerName val="0"/>
          <c:showPercent val="0"/>
          <c:showBubbleSize val="0"/>
        </c:dLbls>
        <c:marker val="1"/>
        <c:smooth val="0"/>
        <c:axId val="1091329119"/>
        <c:axId val="1091327871"/>
        <c:extLst>
          <c:ext xmlns:c15="http://schemas.microsoft.com/office/drawing/2012/chart" uri="{02D57815-91ED-43cb-92C2-25804820EDAC}">
            <c15:filteredLineSeries>
              <c15:ser>
                <c:idx val="6"/>
                <c:order val="1"/>
                <c:tx>
                  <c:strRef>
                    <c:extLst>
                      <c:ext uri="{02D57815-91ED-43cb-92C2-25804820EDAC}">
                        <c15:formulaRef>
                          <c15:sqref>Teamverlauf!$E$2</c15:sqref>
                        </c15:formulaRef>
                      </c:ext>
                    </c:extLst>
                    <c:strCache>
                      <c:ptCount val="1"/>
                      <c:pt idx="0">
                        <c:v>Männer II</c:v>
                      </c:pt>
                    </c:strCache>
                  </c:strRef>
                </c:tx>
                <c:spPr>
                  <a:ln w="22225" cap="rnd">
                    <a:solidFill>
                      <a:srgbClr val="0066CC"/>
                    </a:solidFill>
                    <a:round/>
                  </a:ln>
                  <a:effectLst/>
                </c:spPr>
                <c:marker>
                  <c:symbol val="square"/>
                  <c:size val="6"/>
                  <c:spPr>
                    <a:solidFill>
                      <a:srgbClr val="0066CC"/>
                    </a:solidFill>
                    <a:ln w="9525">
                      <a:noFill/>
                      <a:round/>
                    </a:ln>
                    <a:effectLst/>
                  </c:spPr>
                </c:marker>
                <c:dLbls>
                  <c:dLbl>
                    <c:idx val="11"/>
                    <c:dLblPos val="ctr"/>
                    <c:showLegendKey val="0"/>
                    <c:showVal val="1"/>
                    <c:showCatName val="0"/>
                    <c:showSerName val="0"/>
                    <c:showPercent val="0"/>
                    <c:showBubbleSize val="0"/>
                    <c:extLst>
                      <c:ext uri="{CE6537A1-D6FC-4f65-9D91-7224C49458BB}"/>
                      <c:ext xmlns:c16="http://schemas.microsoft.com/office/drawing/2014/chart" uri="{C3380CC4-5D6E-409C-BE32-E72D297353CC}">
                        <c16:uniqueId val="{00000000-A61E-48AA-8B1B-4122DFBC30D4}"/>
                      </c:ext>
                    </c:extLst>
                  </c:dLbl>
                  <c:spPr>
                    <a:solidFill>
                      <a:srgbClr val="0066CC">
                        <a:alpha val="50000"/>
                      </a:srgbClr>
                    </a:solidFill>
                    <a:ln>
                      <a:noFill/>
                    </a:ln>
                    <a:effectLst/>
                  </c:spPr>
                  <c:txPr>
                    <a:bodyPr rot="0" spcFirstLastPara="1" vertOverflow="ellipsis" vert="horz" wrap="square" lIns="38100" tIns="19050" rIns="38100" bIns="19050" anchor="ctr" anchorCtr="1">
                      <a:spAutoFit/>
                    </a:bodyPr>
                    <a:lstStyle/>
                    <a:p>
                      <a:pPr>
                        <a:defRPr sz="1197" b="0" i="0" u="none" strike="noStrike" kern="1200" baseline="0">
                          <a:solidFill>
                            <a:sysClr val="windowText" lastClr="000000"/>
                          </a:solidFill>
                          <a:latin typeface="Bahnschrift" panose="020B0502040204020203" pitchFamily="34" charset="0"/>
                          <a:ea typeface="+mn-ea"/>
                          <a:cs typeface="+mn-cs"/>
                        </a:defRPr>
                      </a:pPr>
                      <a:endParaRPr lang="de-DE"/>
                    </a:p>
                  </c:txPr>
                  <c:dLblPos val="t"/>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val>
                  <c:numRef>
                    <c:extLst>
                      <c:ext uri="{02D57815-91ED-43cb-92C2-25804820EDAC}">
                        <c15:formulaRef>
                          <c15:sqref>Teamverlauf!$E$3:$E$16</c15:sqref>
                        </c15:formulaRef>
                      </c:ext>
                    </c:extLst>
                    <c:numCache>
                      <c:formatCode>General</c:formatCode>
                      <c:ptCount val="14"/>
                      <c:pt idx="0">
                        <c:v>3199</c:v>
                      </c:pt>
                      <c:pt idx="1">
                        <c:v>2994</c:v>
                      </c:pt>
                      <c:pt idx="2">
                        <c:v>3239</c:v>
                      </c:pt>
                      <c:pt idx="3">
                        <c:v>3084</c:v>
                      </c:pt>
                      <c:pt idx="4">
                        <c:v>3435</c:v>
                      </c:pt>
                      <c:pt idx="5">
                        <c:v>2899</c:v>
                      </c:pt>
                      <c:pt idx="6">
                        <c:v>3144</c:v>
                      </c:pt>
                      <c:pt idx="7">
                        <c:v>3128</c:v>
                      </c:pt>
                      <c:pt idx="8">
                        <c:v>3039</c:v>
                      </c:pt>
                      <c:pt idx="9">
                        <c:v>3178</c:v>
                      </c:pt>
                      <c:pt idx="10">
                        <c:v>#N/A</c:v>
                      </c:pt>
                      <c:pt idx="11">
                        <c:v>#N/A</c:v>
                      </c:pt>
                      <c:pt idx="12">
                        <c:v>#N/A</c:v>
                      </c:pt>
                      <c:pt idx="13">
                        <c:v>#N/A</c:v>
                      </c:pt>
                    </c:numCache>
                  </c:numRef>
                </c:val>
                <c:smooth val="0"/>
                <c:extLst>
                  <c:ext xmlns:c16="http://schemas.microsoft.com/office/drawing/2014/chart" uri="{C3380CC4-5D6E-409C-BE32-E72D297353CC}">
                    <c16:uniqueId val="{00000006-DA58-40E9-AB09-15BDBA0F7151}"/>
                  </c:ext>
                </c:extLst>
              </c15:ser>
            </c15:filteredLineSeries>
            <c15:filteredLineSeries>
              <c15:ser>
                <c:idx val="0"/>
                <c:order val="2"/>
                <c:tx>
                  <c:strRef>
                    <c:extLst xmlns:c15="http://schemas.microsoft.com/office/drawing/2012/chart">
                      <c:ext xmlns:c15="http://schemas.microsoft.com/office/drawing/2012/chart" uri="{02D57815-91ED-43cb-92C2-25804820EDAC}">
                        <c15:formulaRef>
                          <c15:sqref>Teamverlauf!$F$2</c15:sqref>
                        </c15:formulaRef>
                      </c:ext>
                    </c:extLst>
                    <c:strCache>
                      <c:ptCount val="1"/>
                      <c:pt idx="0">
                        <c:v>Männer III</c:v>
                      </c:pt>
                    </c:strCache>
                  </c:strRef>
                </c:tx>
                <c:spPr>
                  <a:ln w="22225" cap="rnd">
                    <a:solidFill>
                      <a:srgbClr val="E64823"/>
                    </a:solidFill>
                    <a:round/>
                  </a:ln>
                  <a:effectLst/>
                </c:spPr>
                <c:marker>
                  <c:symbol val="square"/>
                  <c:size val="6"/>
                  <c:spPr>
                    <a:solidFill>
                      <a:srgbClr val="E64823"/>
                    </a:solidFill>
                    <a:ln w="9525">
                      <a:noFill/>
                      <a:round/>
                    </a:ln>
                    <a:effectLst/>
                  </c:spPr>
                </c:marker>
                <c:dLbls>
                  <c:dLbl>
                    <c:idx val="0"/>
                    <c:dLblPos val="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9-3A5A-4A68-B151-21EA68EA848C}"/>
                      </c:ext>
                    </c:extLst>
                  </c:dLbl>
                  <c:dLbl>
                    <c:idx val="1"/>
                    <c:dLblPos val="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6-3A5A-4A68-B151-21EA68EA848C}"/>
                      </c:ext>
                    </c:extLst>
                  </c:dLbl>
                  <c:dLbl>
                    <c:idx val="2"/>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3A5A-4A68-B151-21EA68EA848C}"/>
                      </c:ext>
                    </c:extLst>
                  </c:dLbl>
                  <c:dLbl>
                    <c:idx val="3"/>
                    <c:dLblPos val="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8-3A5A-4A68-B151-21EA68EA848C}"/>
                      </c:ext>
                    </c:extLst>
                  </c:dLbl>
                  <c:dLbl>
                    <c:idx val="4"/>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3A5A-4A68-B151-21EA68EA848C}"/>
                      </c:ext>
                    </c:extLst>
                  </c:dLbl>
                  <c:dLbl>
                    <c:idx val="5"/>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98FE-47AD-8FFD-0899FE3F7A6E}"/>
                      </c:ext>
                    </c:extLst>
                  </c:dLbl>
                  <c:dLbl>
                    <c:idx val="7"/>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3A5A-4A68-B151-21EA68EA848C}"/>
                      </c:ext>
                    </c:extLst>
                  </c:dLbl>
                  <c:dLbl>
                    <c:idx val="10"/>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A61E-48AA-8B1B-4122DFBC30D4}"/>
                      </c:ext>
                    </c:extLst>
                  </c:dLbl>
                  <c:dLbl>
                    <c:idx val="11"/>
                    <c:dLblPos val="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3A5A-4A68-B151-21EA68EA848C}"/>
                      </c:ext>
                    </c:extLst>
                  </c:dLbl>
                  <c:dLbl>
                    <c:idx val="12"/>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3A5A-4A68-B151-21EA68EA848C}"/>
                      </c:ext>
                    </c:extLst>
                  </c:dLbl>
                  <c:dLbl>
                    <c:idx val="13"/>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3A5A-4A68-B151-21EA68EA848C}"/>
                      </c:ext>
                    </c:extLst>
                  </c:dLbl>
                  <c:spPr>
                    <a:solidFill>
                      <a:srgbClr val="E64823">
                        <a:alpha val="50000"/>
                      </a:srgbClr>
                    </a:solidFill>
                    <a:ln>
                      <a:noFill/>
                    </a:ln>
                    <a:effectLst/>
                  </c:spPr>
                  <c:txPr>
                    <a:bodyPr rot="0" spcFirstLastPara="1" vertOverflow="ellipsis" vert="horz" wrap="square" lIns="38100" tIns="19050" rIns="38100" bIns="19050" anchor="ctr" anchorCtr="1">
                      <a:spAutoFit/>
                    </a:bodyPr>
                    <a:lstStyle/>
                    <a:p>
                      <a:pPr>
                        <a:defRPr sz="1197" b="0" i="0" u="none" strike="noStrike" kern="1200" baseline="0">
                          <a:solidFill>
                            <a:schemeClr val="bg2">
                              <a:lumMod val="25000"/>
                            </a:schemeClr>
                          </a:solidFill>
                          <a:latin typeface="Bahnschrift" panose="020B0502040204020203" pitchFamily="34" charset="0"/>
                          <a:ea typeface="+mn-ea"/>
                          <a:cs typeface="+mn-cs"/>
                        </a:defRPr>
                      </a:pPr>
                      <a:endParaRPr lang="de-DE"/>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extLst xmlns:c15="http://schemas.microsoft.com/office/drawing/2012/chart">
                      <c:ext xmlns:c15="http://schemas.microsoft.com/office/drawing/2012/chart" uri="{02D57815-91ED-43cb-92C2-25804820EDAC}">
                        <c15:formulaRef>
                          <c15:sqref>Teamverlauf!$F$3:$F$16</c15:sqref>
                        </c15:formulaRef>
                      </c:ext>
                    </c:extLst>
                    <c:numCache>
                      <c:formatCode>General</c:formatCode>
                      <c:ptCount val="14"/>
                      <c:pt idx="0">
                        <c:v>#N/A</c:v>
                      </c:pt>
                      <c:pt idx="1">
                        <c:v>3014</c:v>
                      </c:pt>
                      <c:pt idx="2">
                        <c:v>#N/A</c:v>
                      </c:pt>
                      <c:pt idx="3">
                        <c:v>3041</c:v>
                      </c:pt>
                      <c:pt idx="4">
                        <c:v>2881</c:v>
                      </c:pt>
                      <c:pt idx="5">
                        <c:v>#N/A</c:v>
                      </c:pt>
                      <c:pt idx="6">
                        <c:v>3036</c:v>
                      </c:pt>
                      <c:pt idx="7">
                        <c:v>#N/A</c:v>
                      </c:pt>
                      <c:pt idx="8">
                        <c:v>#N/A</c:v>
                      </c:pt>
                      <c:pt idx="9">
                        <c:v>#N/A</c:v>
                      </c:pt>
                      <c:pt idx="10">
                        <c:v>#N/A</c:v>
                      </c:pt>
                      <c:pt idx="11">
                        <c:v>#N/A</c:v>
                      </c:pt>
                      <c:pt idx="12">
                        <c:v>#N/A</c:v>
                      </c:pt>
                      <c:pt idx="13">
                        <c:v>#N/A</c:v>
                      </c:pt>
                    </c:numCache>
                  </c:numRef>
                </c:val>
                <c:smooth val="0"/>
                <c:extLst xmlns:c15="http://schemas.microsoft.com/office/drawing/2012/chart">
                  <c:ext xmlns:c16="http://schemas.microsoft.com/office/drawing/2014/chart" uri="{C3380CC4-5D6E-409C-BE32-E72D297353CC}">
                    <c16:uniqueId val="{00000014-E90A-4773-8A9F-438B5A9E2534}"/>
                  </c:ext>
                </c:extLst>
              </c15:ser>
            </c15:filteredLineSeries>
            <c15:filteredLineSeries>
              <c15:ser>
                <c:idx val="1"/>
                <c:order val="3"/>
                <c:tx>
                  <c:strRef>
                    <c:extLst xmlns:c15="http://schemas.microsoft.com/office/drawing/2012/chart">
                      <c:ext xmlns:c15="http://schemas.microsoft.com/office/drawing/2012/chart" uri="{02D57815-91ED-43cb-92C2-25804820EDAC}">
                        <c15:formulaRef>
                          <c15:sqref>Teamverlauf!$G$2</c15:sqref>
                        </c15:formulaRef>
                      </c:ext>
                    </c:extLst>
                    <c:strCache>
                      <c:ptCount val="1"/>
                      <c:pt idx="0">
                        <c:v>Frauen</c:v>
                      </c:pt>
                    </c:strCache>
                  </c:strRef>
                </c:tx>
                <c:spPr>
                  <a:ln w="22225" cap="rnd">
                    <a:solidFill>
                      <a:srgbClr val="92D050"/>
                    </a:solidFill>
                    <a:round/>
                  </a:ln>
                  <a:effectLst/>
                </c:spPr>
                <c:marker>
                  <c:symbol val="x"/>
                  <c:size val="6"/>
                  <c:spPr>
                    <a:solidFill>
                      <a:srgbClr val="92D050"/>
                    </a:solidFill>
                    <a:ln w="9525">
                      <a:noFill/>
                      <a:round/>
                    </a:ln>
                    <a:effectLst/>
                  </c:spPr>
                </c:marker>
                <c:dLbls>
                  <c:dLbl>
                    <c:idx val="0"/>
                    <c:tx>
                      <c:rich>
                        <a:bodyPr/>
                        <a:lstStyle/>
                        <a:p>
                          <a:fld id="{FA2FEA7B-96D8-4407-9769-3BABB66FE7D2}" type="VALUE">
                            <a:rPr lang="en-US">
                              <a:solidFill>
                                <a:sysClr val="windowText" lastClr="000000"/>
                              </a:solidFill>
                            </a:rPr>
                            <a:pPr/>
                            <a:t>[WERT]</a:t>
                          </a:fld>
                          <a:endParaRPr lang="de-DE"/>
                        </a:p>
                      </c:rich>
                    </c:tx>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15:dlblFieldTable/>
                        <c15:showDataLabelsRange val="0"/>
                      </c:ext>
                      <c:ext xmlns:c16="http://schemas.microsoft.com/office/drawing/2014/chart" uri="{C3380CC4-5D6E-409C-BE32-E72D297353CC}">
                        <c16:uniqueId val="{00000001-8DA3-407A-BF7B-6557C9E0A324}"/>
                      </c:ext>
                    </c:extLst>
                  </c:dLbl>
                  <c:dLbl>
                    <c:idx val="1"/>
                    <c:tx>
                      <c:rich>
                        <a:bodyPr/>
                        <a:lstStyle/>
                        <a:p>
                          <a:fld id="{9FC774B1-B47C-45AC-89AC-E117DAB15A34}" type="VALUE">
                            <a:rPr lang="en-US">
                              <a:solidFill>
                                <a:sysClr val="windowText" lastClr="000000"/>
                              </a:solidFill>
                            </a:rPr>
                            <a:pPr/>
                            <a:t>[WERT]</a:t>
                          </a:fld>
                          <a:endParaRPr lang="de-DE"/>
                        </a:p>
                      </c:rich>
                    </c:tx>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15:dlblFieldTable/>
                        <c15:showDataLabelsRange val="0"/>
                      </c:ext>
                      <c:ext xmlns:c16="http://schemas.microsoft.com/office/drawing/2014/chart" uri="{C3380CC4-5D6E-409C-BE32-E72D297353CC}">
                        <c16:uniqueId val="{00000004-32EA-4242-A1ED-C7776F9BE36C}"/>
                      </c:ext>
                    </c:extLst>
                  </c:dLbl>
                  <c:dLbl>
                    <c:idx val="4"/>
                    <c:dLblPos val="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6-3345-4335-89C5-83388F82F222}"/>
                      </c:ext>
                    </c:extLst>
                  </c:dLbl>
                  <c:dLbl>
                    <c:idx val="9"/>
                    <c:dLblPos val="ct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A61E-48AA-8B1B-4122DFBC30D4}"/>
                      </c:ext>
                    </c:extLst>
                  </c:dLbl>
                  <c:dLbl>
                    <c:idx val="10"/>
                    <c:dLblPos val="ct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A61E-48AA-8B1B-4122DFBC30D4}"/>
                      </c:ext>
                    </c:extLst>
                  </c:dLbl>
                  <c:spPr>
                    <a:solidFill>
                      <a:srgbClr val="92D050">
                        <a:alpha val="50000"/>
                      </a:srgbClr>
                    </a:solidFill>
                    <a:ln>
                      <a:noFill/>
                    </a:ln>
                    <a:effectLst/>
                  </c:spPr>
                  <c:txPr>
                    <a:bodyPr rot="0" spcFirstLastPara="1" vertOverflow="ellipsis" vert="horz" wrap="square" lIns="38100" tIns="19050" rIns="38100" bIns="19050" anchor="ctr" anchorCtr="0">
                      <a:spAutoFit/>
                    </a:bodyPr>
                    <a:lstStyle/>
                    <a:p>
                      <a:pPr algn="ctr">
                        <a:defRPr lang="en-US" sz="1197" b="0" i="0" u="none" strike="noStrike" kern="1200" baseline="0">
                          <a:solidFill>
                            <a:schemeClr val="bg2">
                              <a:lumMod val="25000"/>
                            </a:schemeClr>
                          </a:solidFill>
                          <a:latin typeface="Bahnschrift" panose="020B0502040204020203" pitchFamily="34" charset="0"/>
                          <a:ea typeface="+mn-ea"/>
                          <a:cs typeface="+mn-cs"/>
                        </a:defRPr>
                      </a:pPr>
                      <a:endParaRPr lang="de-DE"/>
                    </a:p>
                  </c:txPr>
                  <c:dLblPos val="b"/>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extLst xmlns:c15="http://schemas.microsoft.com/office/drawing/2012/chart">
                      <c:ext xmlns:c15="http://schemas.microsoft.com/office/drawing/2012/chart" uri="{02D57815-91ED-43cb-92C2-25804820EDAC}">
                        <c15:formulaRef>
                          <c15:sqref>Teamverlauf!$G$3:$G$16</c15:sqref>
                        </c15:formulaRef>
                      </c:ext>
                    </c:extLst>
                    <c:numCache>
                      <c:formatCode>General</c:formatCode>
                      <c:ptCount val="14"/>
                      <c:pt idx="0">
                        <c:v>2869</c:v>
                      </c:pt>
                      <c:pt idx="1">
                        <c:v>2976</c:v>
                      </c:pt>
                      <c:pt idx="2">
                        <c:v>3053</c:v>
                      </c:pt>
                      <c:pt idx="3">
                        <c:v>2967</c:v>
                      </c:pt>
                      <c:pt idx="4">
                        <c:v>3130</c:v>
                      </c:pt>
                      <c:pt idx="5">
                        <c:v>2914</c:v>
                      </c:pt>
                      <c:pt idx="6">
                        <c:v>#N/A</c:v>
                      </c:pt>
                      <c:pt idx="7">
                        <c:v>3144</c:v>
                      </c:pt>
                      <c:pt idx="8">
                        <c:v>2601</c:v>
                      </c:pt>
                      <c:pt idx="9">
                        <c:v>#N/A</c:v>
                      </c:pt>
                      <c:pt idx="10">
                        <c:v>#N/A</c:v>
                      </c:pt>
                      <c:pt idx="11">
                        <c:v>#N/A</c:v>
                      </c:pt>
                      <c:pt idx="12">
                        <c:v>#N/A</c:v>
                      </c:pt>
                      <c:pt idx="13">
                        <c:v>#N/A</c:v>
                      </c:pt>
                    </c:numCache>
                  </c:numRef>
                </c:val>
                <c:smooth val="0"/>
                <c:extLst xmlns:c15="http://schemas.microsoft.com/office/drawing/2012/chart">
                  <c:ext xmlns:c16="http://schemas.microsoft.com/office/drawing/2014/chart" uri="{C3380CC4-5D6E-409C-BE32-E72D297353CC}">
                    <c16:uniqueId val="{00000015-E90A-4773-8A9F-438B5A9E2534}"/>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Teamverlauf!$I$2</c15:sqref>
                        </c15:formulaRef>
                      </c:ext>
                    </c:extLst>
                    <c:strCache>
                      <c:ptCount val="1"/>
                      <c:pt idx="0">
                        <c:v>Männer II Durchschnitt</c:v>
                      </c:pt>
                    </c:strCache>
                  </c:strRef>
                </c:tx>
                <c:spPr>
                  <a:ln w="22225" cap="rnd">
                    <a:solidFill>
                      <a:srgbClr val="0066CC"/>
                    </a:solidFill>
                    <a:prstDash val="sysDot"/>
                    <a:round/>
                  </a:ln>
                  <a:effectLst/>
                </c:spPr>
                <c:marker>
                  <c:symbol val="none"/>
                </c:marker>
                <c:dLbls>
                  <c:delete val="1"/>
                </c:dLbls>
                <c:val>
                  <c:numRef>
                    <c:extLst xmlns:c15="http://schemas.microsoft.com/office/drawing/2012/chart">
                      <c:ext xmlns:c15="http://schemas.microsoft.com/office/drawing/2012/chart" uri="{02D57815-91ED-43cb-92C2-25804820EDAC}">
                        <c15:formulaRef>
                          <c15:sqref>Teamverlauf!$I$3:$I$16</c15:sqref>
                        </c15:formulaRef>
                      </c:ext>
                    </c:extLst>
                    <c:numCache>
                      <c:formatCode>0</c:formatCode>
                      <c:ptCount val="14"/>
                      <c:pt idx="0">
                        <c:v>3133.9</c:v>
                      </c:pt>
                      <c:pt idx="1">
                        <c:v>3133.9</c:v>
                      </c:pt>
                      <c:pt idx="2">
                        <c:v>3133.9</c:v>
                      </c:pt>
                      <c:pt idx="3">
                        <c:v>3133.9</c:v>
                      </c:pt>
                      <c:pt idx="4">
                        <c:v>3133.9</c:v>
                      </c:pt>
                      <c:pt idx="5">
                        <c:v>3133.9</c:v>
                      </c:pt>
                      <c:pt idx="6">
                        <c:v>3133.9</c:v>
                      </c:pt>
                      <c:pt idx="7">
                        <c:v>3133.9</c:v>
                      </c:pt>
                      <c:pt idx="8">
                        <c:v>3133.9</c:v>
                      </c:pt>
                      <c:pt idx="9">
                        <c:v>3133.9</c:v>
                      </c:pt>
                      <c:pt idx="10">
                        <c:v>3133.9</c:v>
                      </c:pt>
                      <c:pt idx="11">
                        <c:v>3133.9</c:v>
                      </c:pt>
                      <c:pt idx="12">
                        <c:v>3133.9</c:v>
                      </c:pt>
                      <c:pt idx="13">
                        <c:v>3133.9</c:v>
                      </c:pt>
                    </c:numCache>
                  </c:numRef>
                </c:val>
                <c:smooth val="0"/>
                <c:extLst xmlns:c15="http://schemas.microsoft.com/office/drawing/2012/chart">
                  <c:ext xmlns:c16="http://schemas.microsoft.com/office/drawing/2014/chart" uri="{C3380CC4-5D6E-409C-BE32-E72D297353CC}">
                    <c16:uniqueId val="{00000018-E90A-4773-8A9F-438B5A9E2534}"/>
                  </c:ext>
                </c:extLst>
              </c15:ser>
            </c15:filteredLineSeries>
            <c15:filteredLineSeries>
              <c15:ser>
                <c:idx val="7"/>
                <c:order val="6"/>
                <c:tx>
                  <c:strRef>
                    <c:extLst xmlns:c15="http://schemas.microsoft.com/office/drawing/2012/chart">
                      <c:ext xmlns:c15="http://schemas.microsoft.com/office/drawing/2012/chart" uri="{02D57815-91ED-43cb-92C2-25804820EDAC}">
                        <c15:formulaRef>
                          <c15:sqref>Teamverlauf!$J$2</c15:sqref>
                        </c15:formulaRef>
                      </c:ext>
                    </c:extLst>
                    <c:strCache>
                      <c:ptCount val="1"/>
                      <c:pt idx="0">
                        <c:v>Männer III Durchschnitt</c:v>
                      </c:pt>
                    </c:strCache>
                  </c:strRef>
                </c:tx>
                <c:spPr>
                  <a:ln w="22225" cap="rnd">
                    <a:solidFill>
                      <a:srgbClr val="E64823"/>
                    </a:solidFill>
                    <a:prstDash val="sysDot"/>
                    <a:round/>
                  </a:ln>
                  <a:effectLst/>
                </c:spPr>
                <c:marker>
                  <c:symbol val="none"/>
                </c:marker>
                <c:dLbls>
                  <c:delete val="1"/>
                </c:dLbls>
                <c:val>
                  <c:numRef>
                    <c:extLst xmlns:c15="http://schemas.microsoft.com/office/drawing/2012/chart">
                      <c:ext xmlns:c15="http://schemas.microsoft.com/office/drawing/2012/chart" uri="{02D57815-91ED-43cb-92C2-25804820EDAC}">
                        <c15:formulaRef>
                          <c15:sqref>Teamverlauf!$J$3:$J$16</c15:sqref>
                        </c15:formulaRef>
                      </c:ext>
                    </c:extLst>
                    <c:numCache>
                      <c:formatCode>0</c:formatCode>
                      <c:ptCount val="14"/>
                      <c:pt idx="0">
                        <c:v>2993</c:v>
                      </c:pt>
                      <c:pt idx="1">
                        <c:v>2993</c:v>
                      </c:pt>
                      <c:pt idx="2">
                        <c:v>2993</c:v>
                      </c:pt>
                      <c:pt idx="3">
                        <c:v>2993</c:v>
                      </c:pt>
                      <c:pt idx="4">
                        <c:v>2993</c:v>
                      </c:pt>
                      <c:pt idx="5">
                        <c:v>2993</c:v>
                      </c:pt>
                      <c:pt idx="6">
                        <c:v>2993</c:v>
                      </c:pt>
                      <c:pt idx="7">
                        <c:v>2993</c:v>
                      </c:pt>
                      <c:pt idx="8">
                        <c:v>2993</c:v>
                      </c:pt>
                      <c:pt idx="9">
                        <c:v>2993</c:v>
                      </c:pt>
                      <c:pt idx="10">
                        <c:v>2993</c:v>
                      </c:pt>
                      <c:pt idx="11">
                        <c:v>2993</c:v>
                      </c:pt>
                      <c:pt idx="12">
                        <c:v>2993</c:v>
                      </c:pt>
                      <c:pt idx="13">
                        <c:v>2993</c:v>
                      </c:pt>
                    </c:numCache>
                  </c:numRef>
                </c:val>
                <c:smooth val="0"/>
                <c:extLst xmlns:c15="http://schemas.microsoft.com/office/drawing/2012/chart">
                  <c:ext xmlns:c16="http://schemas.microsoft.com/office/drawing/2014/chart" uri="{C3380CC4-5D6E-409C-BE32-E72D297353CC}">
                    <c16:uniqueId val="{00000019-E90A-4773-8A9F-438B5A9E2534}"/>
                  </c:ext>
                </c:extLst>
              </c15:ser>
            </c15:filteredLineSeries>
            <c15:filteredLineSeries>
              <c15:ser>
                <c:idx val="8"/>
                <c:order val="7"/>
                <c:tx>
                  <c:strRef>
                    <c:extLst xmlns:c15="http://schemas.microsoft.com/office/drawing/2012/chart">
                      <c:ext xmlns:c15="http://schemas.microsoft.com/office/drawing/2012/chart" uri="{02D57815-91ED-43cb-92C2-25804820EDAC}">
                        <c15:formulaRef>
                          <c15:sqref>Teamverlauf!$K$2</c15:sqref>
                        </c15:formulaRef>
                      </c:ext>
                    </c:extLst>
                    <c:strCache>
                      <c:ptCount val="1"/>
                      <c:pt idx="0">
                        <c:v>Frauen Durchschnitt</c:v>
                      </c:pt>
                    </c:strCache>
                  </c:strRef>
                </c:tx>
                <c:spPr>
                  <a:ln w="22225" cap="rnd">
                    <a:solidFill>
                      <a:srgbClr val="92D050"/>
                    </a:solidFill>
                    <a:prstDash val="sysDot"/>
                    <a:round/>
                  </a:ln>
                  <a:effectLst/>
                </c:spPr>
                <c:marker>
                  <c:symbol val="none"/>
                </c:marker>
                <c:dLbls>
                  <c:delete val="1"/>
                </c:dLbls>
                <c:val>
                  <c:numRef>
                    <c:extLst xmlns:c15="http://schemas.microsoft.com/office/drawing/2012/chart">
                      <c:ext xmlns:c15="http://schemas.microsoft.com/office/drawing/2012/chart" uri="{02D57815-91ED-43cb-92C2-25804820EDAC}">
                        <c15:formulaRef>
                          <c15:sqref>Teamverlauf!$K$3:$K$16</c15:sqref>
                        </c15:formulaRef>
                      </c:ext>
                    </c:extLst>
                    <c:numCache>
                      <c:formatCode>0</c:formatCode>
                      <c:ptCount val="14"/>
                      <c:pt idx="0">
                        <c:v>2956.75</c:v>
                      </c:pt>
                      <c:pt idx="1">
                        <c:v>2956.75</c:v>
                      </c:pt>
                      <c:pt idx="2">
                        <c:v>2956.75</c:v>
                      </c:pt>
                      <c:pt idx="3">
                        <c:v>2956.75</c:v>
                      </c:pt>
                      <c:pt idx="4">
                        <c:v>2956.75</c:v>
                      </c:pt>
                      <c:pt idx="5">
                        <c:v>2956.75</c:v>
                      </c:pt>
                      <c:pt idx="6">
                        <c:v>2956.75</c:v>
                      </c:pt>
                      <c:pt idx="7">
                        <c:v>2956.75</c:v>
                      </c:pt>
                      <c:pt idx="8">
                        <c:v>2956.75</c:v>
                      </c:pt>
                      <c:pt idx="9">
                        <c:v>2956.75</c:v>
                      </c:pt>
                      <c:pt idx="10">
                        <c:v>2956.75</c:v>
                      </c:pt>
                      <c:pt idx="11">
                        <c:v>2956.75</c:v>
                      </c:pt>
                      <c:pt idx="12">
                        <c:v>2956.75</c:v>
                      </c:pt>
                      <c:pt idx="13">
                        <c:v>2956.75</c:v>
                      </c:pt>
                    </c:numCache>
                  </c:numRef>
                </c:val>
                <c:smooth val="0"/>
                <c:extLst xmlns:c15="http://schemas.microsoft.com/office/drawing/2012/chart">
                  <c:ext xmlns:c16="http://schemas.microsoft.com/office/drawing/2014/chart" uri="{C3380CC4-5D6E-409C-BE32-E72D297353CC}">
                    <c16:uniqueId val="{0000001A-E90A-4773-8A9F-438B5A9E2534}"/>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Teamverlauf!$M$2</c15:sqref>
                        </c15:formulaRef>
                      </c:ext>
                    </c:extLst>
                    <c:strCache>
                      <c:ptCount val="1"/>
                      <c:pt idx="0">
                        <c:v>Zgeg</c:v>
                      </c:pt>
                    </c:strCache>
                  </c:strRef>
                </c:tx>
                <c:spPr>
                  <a:ln w="9525" cap="rnd">
                    <a:solidFill>
                      <a:srgbClr val="0070C0"/>
                    </a:solidFill>
                    <a:prstDash val="sysDash"/>
                    <a:round/>
                  </a:ln>
                  <a:effectLst/>
                </c:spPr>
                <c:marker>
                  <c:symbol val="none"/>
                </c:marker>
                <c:dLbls>
                  <c:delete val="1"/>
                </c:dLbls>
                <c:val>
                  <c:numRef>
                    <c:extLst xmlns:c15="http://schemas.microsoft.com/office/drawing/2012/chart">
                      <c:ext xmlns:c15="http://schemas.microsoft.com/office/drawing/2012/chart" uri="{02D57815-91ED-43cb-92C2-25804820EDAC}">
                        <c15:formulaRef>
                          <c15:sqref>Teamverlauf!$M$3:$M$16</c15:sqref>
                        </c15:formulaRef>
                      </c:ext>
                    </c:extLst>
                    <c:numCache>
                      <c:formatCode>General</c:formatCode>
                      <c:ptCount val="14"/>
                      <c:pt idx="0">
                        <c:v>3246</c:v>
                      </c:pt>
                      <c:pt idx="1">
                        <c:v>2884</c:v>
                      </c:pt>
                      <c:pt idx="2">
                        <c:v>3303</c:v>
                      </c:pt>
                      <c:pt idx="3">
                        <c:v>2884</c:v>
                      </c:pt>
                      <c:pt idx="4">
                        <c:v>3344</c:v>
                      </c:pt>
                      <c:pt idx="5">
                        <c:v>3077</c:v>
                      </c:pt>
                      <c:pt idx="6">
                        <c:v>3050</c:v>
                      </c:pt>
                      <c:pt idx="7">
                        <c:v>3111</c:v>
                      </c:pt>
                      <c:pt idx="8">
                        <c:v>2970</c:v>
                      </c:pt>
                      <c:pt idx="9">
                        <c:v>2989</c:v>
                      </c:pt>
                      <c:pt idx="10">
                        <c:v>#N/A</c:v>
                      </c:pt>
                      <c:pt idx="11">
                        <c:v>#N/A</c:v>
                      </c:pt>
                      <c:pt idx="12">
                        <c:v>#N/A</c:v>
                      </c:pt>
                      <c:pt idx="13">
                        <c:v>#N/A</c:v>
                      </c:pt>
                    </c:numCache>
                  </c:numRef>
                </c:val>
                <c:smooth val="0"/>
                <c:extLst xmlns:c15="http://schemas.microsoft.com/office/drawing/2012/chart">
                  <c:ext xmlns:c16="http://schemas.microsoft.com/office/drawing/2014/chart" uri="{C3380CC4-5D6E-409C-BE32-E72D297353CC}">
                    <c16:uniqueId val="{00000005-B2CD-4691-A137-1FB25CEB5EE7}"/>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Teamverlauf!$N$2</c15:sqref>
                        </c15:formulaRef>
                      </c:ext>
                    </c:extLst>
                    <c:strCache>
                      <c:ptCount val="1"/>
                      <c:pt idx="0">
                        <c:v>Dgeg</c:v>
                      </c:pt>
                    </c:strCache>
                  </c:strRef>
                </c:tx>
                <c:spPr>
                  <a:ln w="9525" cap="rnd">
                    <a:solidFill>
                      <a:srgbClr val="E64823"/>
                    </a:solidFill>
                    <a:prstDash val="sysDash"/>
                    <a:round/>
                  </a:ln>
                  <a:effectLst/>
                </c:spPr>
                <c:marker>
                  <c:symbol val="none"/>
                </c:marker>
                <c:dLbls>
                  <c:delete val="1"/>
                </c:dLbls>
                <c:val>
                  <c:numRef>
                    <c:extLst xmlns:c15="http://schemas.microsoft.com/office/drawing/2012/chart">
                      <c:ext xmlns:c15="http://schemas.microsoft.com/office/drawing/2012/chart" uri="{02D57815-91ED-43cb-92C2-25804820EDAC}">
                        <c15:formulaRef>
                          <c15:sqref>Teamverlauf!$N$3:$N$16</c15:sqref>
                        </c15:formulaRef>
                      </c:ext>
                    </c:extLst>
                    <c:numCache>
                      <c:formatCode>General</c:formatCode>
                      <c:ptCount val="14"/>
                      <c:pt idx="0">
                        <c:v>#N/A</c:v>
                      </c:pt>
                      <c:pt idx="1">
                        <c:v>2791</c:v>
                      </c:pt>
                      <c:pt idx="2">
                        <c:v>#N/A</c:v>
                      </c:pt>
                      <c:pt idx="3">
                        <c:v>3019</c:v>
                      </c:pt>
                      <c:pt idx="4">
                        <c:v>2978</c:v>
                      </c:pt>
                      <c:pt idx="5">
                        <c:v>#N/A</c:v>
                      </c:pt>
                      <c:pt idx="6">
                        <c:v>3065</c:v>
                      </c:pt>
                      <c:pt idx="7">
                        <c:v>#N/A</c:v>
                      </c:pt>
                      <c:pt idx="8">
                        <c:v>#N/A</c:v>
                      </c:pt>
                      <c:pt idx="9">
                        <c:v>#N/A</c:v>
                      </c:pt>
                      <c:pt idx="10">
                        <c:v>#N/A</c:v>
                      </c:pt>
                      <c:pt idx="11">
                        <c:v>#N/A</c:v>
                      </c:pt>
                      <c:pt idx="12">
                        <c:v>#N/A</c:v>
                      </c:pt>
                      <c:pt idx="13">
                        <c:v>#N/A</c:v>
                      </c:pt>
                    </c:numCache>
                  </c:numRef>
                </c:val>
                <c:smooth val="0"/>
                <c:extLst xmlns:c15="http://schemas.microsoft.com/office/drawing/2012/chart">
                  <c:ext xmlns:c16="http://schemas.microsoft.com/office/drawing/2014/chart" uri="{C3380CC4-5D6E-409C-BE32-E72D297353CC}">
                    <c16:uniqueId val="{00000006-B2CD-4691-A137-1FB25CEB5EE7}"/>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Teamverlauf!$O$2</c15:sqref>
                        </c15:formulaRef>
                      </c:ext>
                    </c:extLst>
                    <c:strCache>
                      <c:ptCount val="1"/>
                      <c:pt idx="0">
                        <c:v>Fgeg</c:v>
                      </c:pt>
                    </c:strCache>
                  </c:strRef>
                </c:tx>
                <c:spPr>
                  <a:ln w="9525" cap="rnd">
                    <a:solidFill>
                      <a:srgbClr val="92D050"/>
                    </a:solidFill>
                    <a:prstDash val="sysDash"/>
                    <a:round/>
                  </a:ln>
                  <a:effectLst/>
                </c:spPr>
                <c:marker>
                  <c:symbol val="none"/>
                </c:marker>
                <c:dLbls>
                  <c:delete val="1"/>
                </c:dLbls>
                <c:val>
                  <c:numRef>
                    <c:extLst xmlns:c15="http://schemas.microsoft.com/office/drawing/2012/chart">
                      <c:ext xmlns:c15="http://schemas.microsoft.com/office/drawing/2012/chart" uri="{02D57815-91ED-43cb-92C2-25804820EDAC}">
                        <c15:formulaRef>
                          <c15:sqref>Teamverlauf!$O$3:$O$16</c15:sqref>
                        </c15:formulaRef>
                      </c:ext>
                    </c:extLst>
                    <c:numCache>
                      <c:formatCode>General</c:formatCode>
                      <c:ptCount val="14"/>
                      <c:pt idx="0">
                        <c:v>2991</c:v>
                      </c:pt>
                      <c:pt idx="1">
                        <c:v>2938</c:v>
                      </c:pt>
                      <c:pt idx="2">
                        <c:v>3265</c:v>
                      </c:pt>
                      <c:pt idx="3">
                        <c:v>2708</c:v>
                      </c:pt>
                      <c:pt idx="4">
                        <c:v>3055</c:v>
                      </c:pt>
                      <c:pt idx="5">
                        <c:v>3042</c:v>
                      </c:pt>
                      <c:pt idx="6">
                        <c:v>#N/A</c:v>
                      </c:pt>
                      <c:pt idx="7">
                        <c:v>2761</c:v>
                      </c:pt>
                      <c:pt idx="8">
                        <c:v>2605</c:v>
                      </c:pt>
                      <c:pt idx="9">
                        <c:v>#N/A</c:v>
                      </c:pt>
                      <c:pt idx="10">
                        <c:v>#N/A</c:v>
                      </c:pt>
                      <c:pt idx="11">
                        <c:v>#N/A</c:v>
                      </c:pt>
                      <c:pt idx="12">
                        <c:v>#N/A</c:v>
                      </c:pt>
                      <c:pt idx="13">
                        <c:v>#N/A</c:v>
                      </c:pt>
                    </c:numCache>
                  </c:numRef>
                </c:val>
                <c:smooth val="0"/>
                <c:extLst xmlns:c15="http://schemas.microsoft.com/office/drawing/2012/chart">
                  <c:ext xmlns:c16="http://schemas.microsoft.com/office/drawing/2014/chart" uri="{C3380CC4-5D6E-409C-BE32-E72D297353CC}">
                    <c16:uniqueId val="{00000007-B2CD-4691-A137-1FB25CEB5EE7}"/>
                  </c:ext>
                </c:extLst>
              </c15:ser>
            </c15:filteredLineSeries>
          </c:ext>
        </c:extLst>
      </c:lineChart>
      <c:catAx>
        <c:axId val="1091329119"/>
        <c:scaling>
          <c:orientation val="minMax"/>
        </c:scaling>
        <c:delete val="0"/>
        <c:axPos val="b"/>
        <c:majorGridlines>
          <c:spPr>
            <a:ln w="9525" cap="flat" cmpd="sng" algn="ctr">
              <a:solidFill>
                <a:srgbClr val="E5DEDB">
                  <a:lumMod val="10000"/>
                  <a:alpha val="30000"/>
                </a:srgbClr>
              </a:solidFill>
              <a:round/>
            </a:ln>
            <a:effectLst/>
          </c:spPr>
        </c:majorGridlines>
        <c:title>
          <c:tx>
            <c:rich>
              <a:bodyPr rot="0" spcFirstLastPara="1" vertOverflow="ellipsis" vert="horz" wrap="square" anchor="ctr" anchorCtr="1"/>
              <a:lstStyle/>
              <a:p>
                <a:pPr>
                  <a:defRPr sz="1197" b="1" i="0" u="none" strike="noStrike" kern="1200" cap="all" baseline="0">
                    <a:solidFill>
                      <a:schemeClr val="bg2">
                        <a:lumMod val="25000"/>
                      </a:schemeClr>
                    </a:solidFill>
                    <a:latin typeface="Bahnschrift" panose="020B0502040204020203" pitchFamily="34" charset="0"/>
                    <a:ea typeface="+mn-ea"/>
                    <a:cs typeface="+mn-cs"/>
                  </a:defRPr>
                </a:pPr>
                <a:r>
                  <a:rPr lang="de-DE">
                    <a:solidFill>
                      <a:schemeClr val="bg2">
                        <a:lumMod val="25000"/>
                      </a:schemeClr>
                    </a:solidFill>
                    <a:latin typeface="Bahnschrift" panose="020B0502040204020203" pitchFamily="34" charset="0"/>
                  </a:rPr>
                  <a:t>Spieltag</a:t>
                </a:r>
              </a:p>
            </c:rich>
          </c:tx>
          <c:layout>
            <c:manualLayout>
              <c:xMode val="edge"/>
              <c:yMode val="edge"/>
              <c:x val="0.49576019279985706"/>
              <c:y val="0.93478104313430321"/>
            </c:manualLayout>
          </c:layout>
          <c:overlay val="0"/>
          <c:spPr>
            <a:noFill/>
            <a:ln>
              <a:noFill/>
            </a:ln>
            <a:effectLst/>
          </c:spPr>
          <c:txPr>
            <a:bodyPr rot="0" spcFirstLastPara="1" vertOverflow="ellipsis" vert="horz" wrap="square" anchor="ctr" anchorCtr="1"/>
            <a:lstStyle/>
            <a:p>
              <a:pPr>
                <a:defRPr sz="1197" b="1" i="0" u="none" strike="noStrike" kern="1200" cap="all" baseline="0">
                  <a:solidFill>
                    <a:schemeClr val="bg2">
                      <a:lumMod val="25000"/>
                    </a:schemeClr>
                  </a:solidFill>
                  <a:latin typeface="Bahnschrift" panose="020B0502040204020203" pitchFamily="34" charset="0"/>
                  <a:ea typeface="+mn-ea"/>
                  <a:cs typeface="+mn-cs"/>
                </a:defRPr>
              </a:pPr>
              <a:endParaRPr lang="de-DE"/>
            </a:p>
          </c:txPr>
        </c:title>
        <c:numFmt formatCode="General" sourceLinked="1"/>
        <c:majorTickMark val="none"/>
        <c:minorTickMark val="none"/>
        <c:tickLblPos val="nextTo"/>
        <c:spPr>
          <a:noFill/>
          <a:ln w="9525" cap="flat" cmpd="sng" algn="ctr">
            <a:solidFill>
              <a:srgbClr val="E5DEDB">
                <a:lumMod val="10000"/>
              </a:srgbClr>
            </a:solidFill>
            <a:round/>
          </a:ln>
          <a:effectLst/>
        </c:spPr>
        <c:txPr>
          <a:bodyPr rot="-60000000" spcFirstLastPara="1" vertOverflow="ellipsis" vert="horz" wrap="square" anchor="ctr" anchorCtr="1"/>
          <a:lstStyle/>
          <a:p>
            <a:pPr>
              <a:defRPr sz="1064" b="1" i="0" u="none" strike="noStrike" kern="1200" cap="all" spc="120" normalizeH="0" baseline="0">
                <a:solidFill>
                  <a:schemeClr val="bg2">
                    <a:lumMod val="25000"/>
                  </a:schemeClr>
                </a:solidFill>
                <a:latin typeface="Bahnschrift" panose="020B0502040204020203" pitchFamily="34" charset="0"/>
                <a:ea typeface="+mn-ea"/>
                <a:cs typeface="+mn-cs"/>
              </a:defRPr>
            </a:pPr>
            <a:endParaRPr lang="de-DE"/>
          </a:p>
        </c:txPr>
        <c:crossAx val="1091327871"/>
        <c:crosses val="autoZero"/>
        <c:auto val="1"/>
        <c:lblAlgn val="ctr"/>
        <c:lblOffset val="100"/>
        <c:noMultiLvlLbl val="0"/>
      </c:catAx>
      <c:valAx>
        <c:axId val="1091327871"/>
        <c:scaling>
          <c:orientation val="minMax"/>
          <c:max val="3500"/>
          <c:min val="2600"/>
        </c:scaling>
        <c:delete val="0"/>
        <c:axPos val="l"/>
        <c:majorGridlines>
          <c:spPr>
            <a:ln w="9525" cap="flat" cmpd="sng" algn="ctr">
              <a:solidFill>
                <a:sysClr val="windowText" lastClr="000000">
                  <a:alpha val="30000"/>
                </a:sysClr>
              </a:solidFill>
              <a:round/>
            </a:ln>
            <a:effectLst/>
          </c:spPr>
        </c:majorGridlines>
        <c:title>
          <c:tx>
            <c:rich>
              <a:bodyPr rot="-5400000" spcFirstLastPara="1" vertOverflow="ellipsis" vert="horz" wrap="square" anchor="ctr" anchorCtr="1"/>
              <a:lstStyle/>
              <a:p>
                <a:pPr>
                  <a:defRPr sz="1197" b="1" i="0" u="none" strike="noStrike" kern="1200" cap="all" baseline="0">
                    <a:solidFill>
                      <a:schemeClr val="bg2">
                        <a:lumMod val="25000"/>
                      </a:schemeClr>
                    </a:solidFill>
                    <a:latin typeface="Bahnschrift" panose="020B0502040204020203" pitchFamily="34" charset="0"/>
                    <a:ea typeface="+mn-ea"/>
                    <a:cs typeface="+mn-cs"/>
                  </a:defRPr>
                </a:pPr>
                <a:r>
                  <a:rPr lang="de-DE">
                    <a:solidFill>
                      <a:schemeClr val="bg2">
                        <a:lumMod val="25000"/>
                      </a:schemeClr>
                    </a:solidFill>
                    <a:latin typeface="Bahnschrift" panose="020B0502040204020203" pitchFamily="34" charset="0"/>
                  </a:rPr>
                  <a:t>Holz</a:t>
                </a:r>
              </a:p>
            </c:rich>
          </c:tx>
          <c:layout>
            <c:manualLayout>
              <c:xMode val="edge"/>
              <c:yMode val="edge"/>
              <c:x val="1.6133958078807437E-2"/>
              <c:y val="0.4435537804437959"/>
            </c:manualLayout>
          </c:layout>
          <c:overlay val="0"/>
          <c:spPr>
            <a:noFill/>
            <a:ln>
              <a:noFill/>
            </a:ln>
            <a:effectLst/>
          </c:spPr>
          <c:txPr>
            <a:bodyPr rot="-5400000" spcFirstLastPara="1" vertOverflow="ellipsis" vert="horz" wrap="square" anchor="ctr" anchorCtr="1"/>
            <a:lstStyle/>
            <a:p>
              <a:pPr>
                <a:defRPr sz="1197" b="1" i="0" u="none" strike="noStrike" kern="1200" cap="all" baseline="0">
                  <a:solidFill>
                    <a:schemeClr val="bg2">
                      <a:lumMod val="25000"/>
                    </a:schemeClr>
                  </a:solidFill>
                  <a:latin typeface="Bahnschrift" panose="020B0502040204020203" pitchFamily="34" charset="0"/>
                  <a:ea typeface="+mn-ea"/>
                  <a:cs typeface="+mn-cs"/>
                </a:defRPr>
              </a:pPr>
              <a:endParaRPr lang="de-DE"/>
            </a:p>
          </c:txPr>
        </c:title>
        <c:numFmt formatCode="General" sourceLinked="1"/>
        <c:majorTickMark val="none"/>
        <c:minorTickMark val="none"/>
        <c:tickLblPos val="nextTo"/>
        <c:spPr>
          <a:noFill/>
          <a:ln w="9525" cap="flat" cmpd="sng" algn="ctr">
            <a:solidFill>
              <a:srgbClr val="E5DEDB">
                <a:lumMod val="10000"/>
              </a:srgbClr>
            </a:solidFill>
            <a:round/>
          </a:ln>
          <a:effectLst/>
        </c:spPr>
        <c:txPr>
          <a:bodyPr rot="-60000000" spcFirstLastPara="1" vertOverflow="ellipsis" vert="horz" wrap="square" anchor="ctr" anchorCtr="1"/>
          <a:lstStyle/>
          <a:p>
            <a:pPr>
              <a:defRPr sz="1197" b="1" i="0" u="none" strike="noStrike" kern="1200" baseline="0">
                <a:solidFill>
                  <a:schemeClr val="bg2">
                    <a:lumMod val="25000"/>
                  </a:schemeClr>
                </a:solidFill>
                <a:latin typeface="Bahnschrift" panose="020B0502040204020203" pitchFamily="34" charset="0"/>
                <a:ea typeface="+mn-ea"/>
                <a:cs typeface="+mn-cs"/>
              </a:defRPr>
            </a:pPr>
            <a:endParaRPr lang="de-DE"/>
          </a:p>
        </c:txPr>
        <c:crossAx val="10913291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97" b="1" i="0" u="none" strike="noStrike" kern="1200" baseline="0">
              <a:solidFill>
                <a:schemeClr val="bg2">
                  <a:lumMod val="25000"/>
                </a:schemeClr>
              </a:solidFill>
              <a:latin typeface="Bahnschrift" panose="020B0502040204020203" pitchFamily="34" charset="0"/>
              <a:ea typeface="+mn-ea"/>
              <a:cs typeface="+mn-cs"/>
            </a:defRPr>
          </a:pPr>
          <a:endParaRPr lang="de-DE"/>
        </a:p>
      </c:txPr>
    </c:legend>
    <c:plotVisOnly val="1"/>
    <c:dispBlanksAs val="span"/>
    <c:showDLblsOverMax val="0"/>
    <c:extLst/>
  </c:chart>
  <c:spPr>
    <a:solidFill>
      <a:srgbClr val="E5DEDB"/>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7130148394912174E-2"/>
          <c:y val="3.1989763275751759E-2"/>
          <c:w val="0.94643413147154265"/>
          <c:h val="0.6419473957310039"/>
        </c:manualLayout>
      </c:layout>
      <c:barChart>
        <c:barDir val="bar"/>
        <c:grouping val="stacked"/>
        <c:varyColors val="0"/>
        <c:ser>
          <c:idx val="0"/>
          <c:order val="0"/>
          <c:tx>
            <c:strRef>
              <c:f>MP!$B$3</c:f>
              <c:strCache>
                <c:ptCount val="1"/>
                <c:pt idx="0">
                  <c:v>Anastasia Landau</c:v>
                </c:pt>
              </c:strCache>
            </c:strRef>
          </c:tx>
          <c:spPr>
            <a:solidFill>
              <a:srgbClr val="FF0000">
                <a:alpha val="70000"/>
              </a:srgbClr>
            </a:solidFill>
            <a:ln>
              <a:solidFill>
                <a:schemeClr val="tx1"/>
              </a:solid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MP!$C$3:$F$3</c15:sqref>
                  </c15:fullRef>
                </c:ext>
              </c:extLst>
              <c:f>MP!$E$3</c:f>
              <c:numCache>
                <c:formatCode>General</c:formatCode>
                <c:ptCount val="1"/>
                <c:pt idx="0">
                  <c:v>#N/A</c:v>
                </c:pt>
              </c:numCache>
            </c:numRef>
          </c:val>
          <c:extLst>
            <c:ext xmlns:c16="http://schemas.microsoft.com/office/drawing/2014/chart" uri="{C3380CC4-5D6E-409C-BE32-E72D297353CC}">
              <c16:uniqueId val="{00000000-CFC2-43D5-AF8F-438DACCD1369}"/>
            </c:ext>
          </c:extLst>
        </c:ser>
        <c:ser>
          <c:idx val="1"/>
          <c:order val="1"/>
          <c:tx>
            <c:strRef>
              <c:f>MP!$B$4</c:f>
              <c:strCache>
                <c:ptCount val="1"/>
                <c:pt idx="0">
                  <c:v>Andreas Ehrlich</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MP!$C$4:$F$4</c15:sqref>
                  </c15:fullRef>
                </c:ext>
              </c:extLst>
              <c:f>MP!$E$4</c:f>
              <c:numCache>
                <c:formatCode>General</c:formatCode>
                <c:ptCount val="1"/>
                <c:pt idx="0">
                  <c:v>1</c:v>
                </c:pt>
              </c:numCache>
            </c:numRef>
          </c:val>
          <c:extLst>
            <c:ext xmlns:c16="http://schemas.microsoft.com/office/drawing/2014/chart" uri="{C3380CC4-5D6E-409C-BE32-E72D297353CC}">
              <c16:uniqueId val="{00000001-CFC2-43D5-AF8F-438DACCD1369}"/>
            </c:ext>
          </c:extLst>
        </c:ser>
        <c:ser>
          <c:idx val="2"/>
          <c:order val="2"/>
          <c:tx>
            <c:strRef>
              <c:f>MP!$B$5</c:f>
              <c:strCache>
                <c:ptCount val="1"/>
                <c:pt idx="0">
                  <c:v>Anna Müller</c:v>
                </c:pt>
              </c:strCache>
            </c:strRef>
          </c:tx>
          <c:spPr>
            <a:solidFill>
              <a:srgbClr val="FF0000">
                <a:alpha val="70000"/>
              </a:srgbClr>
            </a:solidFill>
            <a:ln>
              <a:solidFill>
                <a:schemeClr val="tx1"/>
              </a:solid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MP!$C$5:$F$5</c15:sqref>
                  </c15:fullRef>
                </c:ext>
              </c:extLst>
              <c:f>MP!$E$5</c:f>
              <c:numCache>
                <c:formatCode>General</c:formatCode>
                <c:ptCount val="1"/>
                <c:pt idx="0">
                  <c:v>#N/A</c:v>
                </c:pt>
              </c:numCache>
            </c:numRef>
          </c:val>
          <c:extLst>
            <c:ext xmlns:c16="http://schemas.microsoft.com/office/drawing/2014/chart" uri="{C3380CC4-5D6E-409C-BE32-E72D297353CC}">
              <c16:uniqueId val="{00000002-CFC2-43D5-AF8F-438DACCD1369}"/>
            </c:ext>
          </c:extLst>
        </c:ser>
        <c:ser>
          <c:idx val="3"/>
          <c:order val="3"/>
          <c:tx>
            <c:strRef>
              <c:f>MP!$B$6</c:f>
              <c:strCache>
                <c:ptCount val="1"/>
                <c:pt idx="0">
                  <c:v>Ben Becker</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MP!$C$6:$F$6</c15:sqref>
                  </c15:fullRef>
                </c:ext>
              </c:extLst>
              <c:f>MP!$E$6</c:f>
              <c:numCache>
                <c:formatCode>General</c:formatCode>
                <c:ptCount val="1"/>
                <c:pt idx="0">
                  <c:v>#N/A</c:v>
                </c:pt>
              </c:numCache>
            </c:numRef>
          </c:val>
          <c:extLst>
            <c:ext xmlns:c16="http://schemas.microsoft.com/office/drawing/2014/chart" uri="{C3380CC4-5D6E-409C-BE32-E72D297353CC}">
              <c16:uniqueId val="{00000003-CFC2-43D5-AF8F-438DACCD1369}"/>
            </c:ext>
          </c:extLst>
        </c:ser>
        <c:ser>
          <c:idx val="4"/>
          <c:order val="4"/>
          <c:tx>
            <c:strRef>
              <c:f>MP!$B$7</c:f>
              <c:strCache>
                <c:ptCount val="1"/>
                <c:pt idx="0">
                  <c:v>Ben Böhmer</c:v>
                </c:pt>
              </c:strCache>
            </c:strRef>
          </c:tx>
          <c:spPr>
            <a:solidFill>
              <a:srgbClr val="FF000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MP!$C$7:$F$7</c15:sqref>
                  </c15:fullRef>
                </c:ext>
              </c:extLst>
              <c:f>MP!$E$7</c:f>
              <c:numCache>
                <c:formatCode>General</c:formatCode>
                <c:ptCount val="1"/>
                <c:pt idx="0">
                  <c:v>#N/A</c:v>
                </c:pt>
              </c:numCache>
            </c:numRef>
          </c:val>
          <c:extLst>
            <c:ext xmlns:c16="http://schemas.microsoft.com/office/drawing/2014/chart" uri="{C3380CC4-5D6E-409C-BE32-E72D297353CC}">
              <c16:uniqueId val="{00000002-376D-4BE6-B611-7D757E42D574}"/>
            </c:ext>
          </c:extLst>
        </c:ser>
        <c:ser>
          <c:idx val="5"/>
          <c:order val="5"/>
          <c:tx>
            <c:strRef>
              <c:f>MP!$B$8</c:f>
              <c:strCache>
                <c:ptCount val="1"/>
                <c:pt idx="0">
                  <c:v>Bruno Bergelt</c:v>
                </c:pt>
              </c:strCache>
            </c:strRef>
          </c:tx>
          <c:spPr>
            <a:solidFill>
              <a:srgbClr val="00B05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MP!$C$8:$F$8</c15:sqref>
                  </c15:fullRef>
                </c:ext>
              </c:extLst>
              <c:f>MP!$E$8</c:f>
              <c:numCache>
                <c:formatCode>General</c:formatCode>
                <c:ptCount val="1"/>
                <c:pt idx="0">
                  <c:v>#N/A</c:v>
                </c:pt>
              </c:numCache>
            </c:numRef>
          </c:val>
          <c:extLst>
            <c:ext xmlns:c16="http://schemas.microsoft.com/office/drawing/2014/chart" uri="{C3380CC4-5D6E-409C-BE32-E72D297353CC}">
              <c16:uniqueId val="{00000003-376D-4BE6-B611-7D757E42D574}"/>
            </c:ext>
          </c:extLst>
        </c:ser>
        <c:ser>
          <c:idx val="6"/>
          <c:order val="6"/>
          <c:tx>
            <c:strRef>
              <c:f>MP!$B$9</c:f>
              <c:strCache>
                <c:ptCount val="1"/>
                <c:pt idx="0">
                  <c:v>Claudia Lorenz</c:v>
                </c:pt>
              </c:strCache>
            </c:strRef>
          </c:tx>
          <c:spPr>
            <a:solidFill>
              <a:schemeClr val="accent1">
                <a:lumMod val="80000"/>
                <a:lumOff val="20000"/>
                <a:alpha val="7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MP!$C$9:$F$9</c15:sqref>
                  </c15:fullRef>
                </c:ext>
              </c:extLst>
              <c:f>MP!$E$9</c:f>
              <c:numCache>
                <c:formatCode>General</c:formatCode>
                <c:ptCount val="1"/>
                <c:pt idx="0">
                  <c:v>#N/A</c:v>
                </c:pt>
              </c:numCache>
            </c:numRef>
          </c:val>
          <c:extLst>
            <c:ext xmlns:c16="http://schemas.microsoft.com/office/drawing/2014/chart" uri="{C3380CC4-5D6E-409C-BE32-E72D297353CC}">
              <c16:uniqueId val="{00000004-376D-4BE6-B611-7D757E42D574}"/>
            </c:ext>
          </c:extLst>
        </c:ser>
        <c:ser>
          <c:idx val="7"/>
          <c:order val="7"/>
          <c:tx>
            <c:strRef>
              <c:f>MP!$B$10</c:f>
              <c:strCache>
                <c:ptCount val="1"/>
                <c:pt idx="0">
                  <c:v>Cora Keller</c:v>
                </c:pt>
              </c:strCache>
            </c:strRef>
          </c:tx>
          <c:spPr>
            <a:solidFill>
              <a:srgbClr val="00B050">
                <a:alpha val="69804"/>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MP!$C$10:$F$10</c15:sqref>
                  </c15:fullRef>
                </c:ext>
              </c:extLst>
              <c:f>MP!$E$10</c:f>
              <c:numCache>
                <c:formatCode>General</c:formatCode>
                <c:ptCount val="1"/>
                <c:pt idx="0">
                  <c:v>#N/A</c:v>
                </c:pt>
              </c:numCache>
            </c:numRef>
          </c:val>
          <c:extLst>
            <c:ext xmlns:c16="http://schemas.microsoft.com/office/drawing/2014/chart" uri="{C3380CC4-5D6E-409C-BE32-E72D297353CC}">
              <c16:uniqueId val="{00000005-376D-4BE6-B611-7D757E42D574}"/>
            </c:ext>
          </c:extLst>
        </c:ser>
        <c:ser>
          <c:idx val="8"/>
          <c:order val="8"/>
          <c:tx>
            <c:strRef>
              <c:f>MP!$B$11</c:f>
              <c:strCache>
                <c:ptCount val="1"/>
                <c:pt idx="0">
                  <c:v>Dietmar Klose</c:v>
                </c:pt>
              </c:strCache>
            </c:strRef>
          </c:tx>
          <c:spPr>
            <a:solidFill>
              <a:srgbClr val="FF000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MP!$C$11:$F$11</c15:sqref>
                  </c15:fullRef>
                </c:ext>
              </c:extLst>
              <c:f>MP!$E$11</c:f>
              <c:numCache>
                <c:formatCode>General</c:formatCode>
                <c:ptCount val="1"/>
                <c:pt idx="0">
                  <c:v>#N/A</c:v>
                </c:pt>
              </c:numCache>
            </c:numRef>
          </c:val>
          <c:extLst>
            <c:ext xmlns:c16="http://schemas.microsoft.com/office/drawing/2014/chart" uri="{C3380CC4-5D6E-409C-BE32-E72D297353CC}">
              <c16:uniqueId val="{00000006-376D-4BE6-B611-7D757E42D574}"/>
            </c:ext>
          </c:extLst>
        </c:ser>
        <c:ser>
          <c:idx val="9"/>
          <c:order val="9"/>
          <c:tx>
            <c:strRef>
              <c:f>MP!$B$12</c:f>
              <c:strCache>
                <c:ptCount val="1"/>
                <c:pt idx="0">
                  <c:v>Emelie Schiffel</c:v>
                </c:pt>
              </c:strCache>
            </c:strRef>
          </c:tx>
          <c:spPr>
            <a:solidFill>
              <a:srgbClr val="00B0F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MP!$C$12:$F$12</c15:sqref>
                  </c15:fullRef>
                </c:ext>
              </c:extLst>
              <c:f>MP!$E$12</c:f>
              <c:numCache>
                <c:formatCode>General</c:formatCode>
                <c:ptCount val="1"/>
                <c:pt idx="0">
                  <c:v>#N/A</c:v>
                </c:pt>
              </c:numCache>
            </c:numRef>
          </c:val>
          <c:extLst>
            <c:ext xmlns:c16="http://schemas.microsoft.com/office/drawing/2014/chart" uri="{C3380CC4-5D6E-409C-BE32-E72D297353CC}">
              <c16:uniqueId val="{00000007-376D-4BE6-B611-7D757E42D574}"/>
            </c:ext>
          </c:extLst>
        </c:ser>
        <c:ser>
          <c:idx val="10"/>
          <c:order val="10"/>
          <c:tx>
            <c:strRef>
              <c:f>MP!$B$13</c:f>
              <c:strCache>
                <c:ptCount val="1"/>
                <c:pt idx="0">
                  <c:v>Emma Hettmann</c:v>
                </c:pt>
              </c:strCache>
            </c:strRef>
          </c:tx>
          <c:spPr>
            <a:solidFill>
              <a:srgbClr val="00B0F0">
                <a:alpha val="69804"/>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MP!$C$13:$F$13</c15:sqref>
                  </c15:fullRef>
                </c:ext>
              </c:extLst>
              <c:f>MP!$E$13</c:f>
              <c:numCache>
                <c:formatCode>General</c:formatCode>
                <c:ptCount val="1"/>
                <c:pt idx="0">
                  <c:v>#N/A</c:v>
                </c:pt>
              </c:numCache>
            </c:numRef>
          </c:val>
          <c:extLst>
            <c:ext xmlns:c16="http://schemas.microsoft.com/office/drawing/2014/chart" uri="{C3380CC4-5D6E-409C-BE32-E72D297353CC}">
              <c16:uniqueId val="{00000008-376D-4BE6-B611-7D757E42D574}"/>
            </c:ext>
          </c:extLst>
        </c:ser>
        <c:ser>
          <c:idx val="11"/>
          <c:order val="11"/>
          <c:tx>
            <c:strRef>
              <c:f>MP!$B$14</c:f>
              <c:strCache>
                <c:ptCount val="1"/>
                <c:pt idx="0">
                  <c:v>Erik Krutak</c:v>
                </c:pt>
              </c:strCache>
            </c:strRef>
          </c:tx>
          <c:spPr>
            <a:solidFill>
              <a:srgbClr val="FFFF0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MP!$C$14:$F$14</c15:sqref>
                  </c15:fullRef>
                </c:ext>
              </c:extLst>
              <c:f>MP!$E$14</c:f>
              <c:numCache>
                <c:formatCode>General</c:formatCode>
                <c:ptCount val="1"/>
                <c:pt idx="0">
                  <c:v>#N/A</c:v>
                </c:pt>
              </c:numCache>
            </c:numRef>
          </c:val>
          <c:extLst>
            <c:ext xmlns:c15="http://schemas.microsoft.com/office/drawing/2012/chart" uri="{02D57815-91ED-43cb-92C2-25804820EDAC}">
              <c15:categoryFilterExceptions>
                <c15:categoryFilterException>
                  <c15:sqref>MP!$F$14</c15:sqref>
                  <c15:dLbl>
                    <c:idx val="0"/>
                    <c:dLblPos val="ctr"/>
                    <c:showLegendKey val="0"/>
                    <c:showVal val="1"/>
                    <c:showCatName val="0"/>
                    <c:showSerName val="0"/>
                    <c:showPercent val="0"/>
                    <c:showBubbleSize val="0"/>
                    <c:separator>
</c:separator>
                    <c:extLst>
                      <c:ext uri="{CE6537A1-D6FC-4f65-9D91-7224C49458BB}"/>
                      <c:ext xmlns:c16="http://schemas.microsoft.com/office/drawing/2014/chart" uri="{C3380CC4-5D6E-409C-BE32-E72D297353CC}">
                        <c16:uniqueId val="{00000000-1429-44ED-846D-F106BEF2A292}"/>
                      </c:ext>
                    </c:extLst>
                  </c15:dLbl>
                </c15:categoryFilterException>
              </c15:categoryFilterExceptions>
            </c:ext>
            <c:ext xmlns:c16="http://schemas.microsoft.com/office/drawing/2014/chart" uri="{C3380CC4-5D6E-409C-BE32-E72D297353CC}">
              <c16:uniqueId val="{00000009-376D-4BE6-B611-7D757E42D574}"/>
            </c:ext>
          </c:extLst>
        </c:ser>
        <c:ser>
          <c:idx val="12"/>
          <c:order val="12"/>
          <c:tx>
            <c:strRef>
              <c:f>MP!$B$15</c:f>
              <c:strCache>
                <c:ptCount val="1"/>
                <c:pt idx="0">
                  <c:v>Florian Jäger</c:v>
                </c:pt>
              </c:strCache>
            </c:strRef>
          </c:tx>
          <c:spPr>
            <a:solidFill>
              <a:srgbClr val="7030A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MP!$C$15:$F$15</c15:sqref>
                  </c15:fullRef>
                </c:ext>
              </c:extLst>
              <c:f>MP!$E$15</c:f>
              <c:numCache>
                <c:formatCode>General</c:formatCode>
                <c:ptCount val="1"/>
                <c:pt idx="0">
                  <c:v>2</c:v>
                </c:pt>
              </c:numCache>
            </c:numRef>
          </c:val>
          <c:extLst>
            <c:ext xmlns:c15="http://schemas.microsoft.com/office/drawing/2012/chart" uri="{02D57815-91ED-43cb-92C2-25804820EDAC}">
              <c15:categoryFilterExceptions>
                <c15:categoryFilterException>
                  <c15:sqref>MP!$D$15</c15:sqref>
                  <c15:dLbl>
                    <c:idx val="-1"/>
                    <c:layout>
                      <c:manualLayout>
                        <c:x val="0"/>
                        <c:y val="-7.2878709005726183E-2"/>
                      </c:manualLayout>
                    </c:layout>
                    <c:dLblPos val="ctr"/>
                    <c:showLegendKey val="0"/>
                    <c:showVal val="1"/>
                    <c:showCatName val="0"/>
                    <c:showSerName val="1"/>
                    <c:showPercent val="0"/>
                    <c:showBubbleSize val="0"/>
                    <c:separator>
</c:separator>
                    <c:extLst>
                      <c:ext uri="{CE6537A1-D6FC-4f65-9D91-7224C49458BB}"/>
                      <c:ext xmlns:c16="http://schemas.microsoft.com/office/drawing/2014/chart" uri="{C3380CC4-5D6E-409C-BE32-E72D297353CC}">
                        <c16:uniqueId val="{00000001-1429-44ED-846D-F106BEF2A292}"/>
                      </c:ext>
                    </c:extLst>
                  </c15:dLbl>
                </c15:categoryFilterException>
              </c15:categoryFilterExceptions>
            </c:ext>
            <c:ext xmlns:c16="http://schemas.microsoft.com/office/drawing/2014/chart" uri="{C3380CC4-5D6E-409C-BE32-E72D297353CC}">
              <c16:uniqueId val="{0000000A-376D-4BE6-B611-7D757E42D574}"/>
            </c:ext>
          </c:extLst>
        </c:ser>
        <c:ser>
          <c:idx val="13"/>
          <c:order val="13"/>
          <c:tx>
            <c:strRef>
              <c:f>MP!$B$16</c:f>
              <c:strCache>
                <c:ptCount val="1"/>
                <c:pt idx="0">
                  <c:v>Hannah Sünderhauf</c:v>
                </c:pt>
              </c:strCache>
            </c:strRef>
          </c:tx>
          <c:spPr>
            <a:solidFill>
              <a:srgbClr val="FFC00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MP!$C$16:$F$16</c15:sqref>
                  </c15:fullRef>
                </c:ext>
              </c:extLst>
              <c:f>MP!$E$16</c:f>
              <c:numCache>
                <c:formatCode>General</c:formatCode>
                <c:ptCount val="1"/>
                <c:pt idx="0">
                  <c:v>#N/A</c:v>
                </c:pt>
              </c:numCache>
            </c:numRef>
          </c:val>
          <c:extLst>
            <c:ext xmlns:c16="http://schemas.microsoft.com/office/drawing/2014/chart" uri="{C3380CC4-5D6E-409C-BE32-E72D297353CC}">
              <c16:uniqueId val="{0000000B-376D-4BE6-B611-7D757E42D574}"/>
            </c:ext>
          </c:extLst>
        </c:ser>
        <c:ser>
          <c:idx val="14"/>
          <c:order val="14"/>
          <c:tx>
            <c:strRef>
              <c:f>MP!$B$17</c:f>
              <c:strCache>
                <c:ptCount val="1"/>
                <c:pt idx="0">
                  <c:v>Heike Scholz</c:v>
                </c:pt>
              </c:strCache>
            </c:strRef>
          </c:tx>
          <c:spPr>
            <a:solidFill>
              <a:srgbClr val="00B05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MP!$C$17:$F$17</c15:sqref>
                  </c15:fullRef>
                </c:ext>
              </c:extLst>
              <c:f>MP!$E$17</c:f>
              <c:numCache>
                <c:formatCode>General</c:formatCode>
                <c:ptCount val="1"/>
                <c:pt idx="0">
                  <c:v>#N/A</c:v>
                </c:pt>
              </c:numCache>
            </c:numRef>
          </c:val>
          <c:extLst>
            <c:ext xmlns:c16="http://schemas.microsoft.com/office/drawing/2014/chart" uri="{C3380CC4-5D6E-409C-BE32-E72D297353CC}">
              <c16:uniqueId val="{0000000C-376D-4BE6-B611-7D757E42D574}"/>
            </c:ext>
          </c:extLst>
        </c:ser>
        <c:ser>
          <c:idx val="15"/>
          <c:order val="15"/>
          <c:tx>
            <c:strRef>
              <c:f>MP!$B$18</c:f>
              <c:strCache>
                <c:ptCount val="1"/>
                <c:pt idx="0">
                  <c:v>Heiko Wüstling</c:v>
                </c:pt>
              </c:strCache>
            </c:strRef>
          </c:tx>
          <c:spPr>
            <a:solidFill>
              <a:srgbClr val="00B0F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MP!$C$18:$F$18</c15:sqref>
                  </c15:fullRef>
                </c:ext>
              </c:extLst>
              <c:f>MP!$E$18</c:f>
              <c:numCache>
                <c:formatCode>General</c:formatCode>
                <c:ptCount val="1"/>
                <c:pt idx="0">
                  <c:v>#N/A</c:v>
                </c:pt>
              </c:numCache>
            </c:numRef>
          </c:val>
          <c:extLst>
            <c:ext xmlns:c16="http://schemas.microsoft.com/office/drawing/2014/chart" uri="{C3380CC4-5D6E-409C-BE32-E72D297353CC}">
              <c16:uniqueId val="{0000000D-376D-4BE6-B611-7D757E42D574}"/>
            </c:ext>
          </c:extLst>
        </c:ser>
        <c:ser>
          <c:idx val="16"/>
          <c:order val="16"/>
          <c:tx>
            <c:strRef>
              <c:f>MP!$B$19</c:f>
              <c:strCache>
                <c:ptCount val="1"/>
                <c:pt idx="0">
                  <c:v>Jörg Nötzel</c:v>
                </c:pt>
              </c:strCache>
            </c:strRef>
          </c:tx>
          <c:spPr>
            <a:solidFill>
              <a:schemeClr val="accent4">
                <a:alpha val="7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MP!$C$19:$F$19</c15:sqref>
                  </c15:fullRef>
                </c:ext>
              </c:extLst>
              <c:f>MP!$E$19</c:f>
              <c:numCache>
                <c:formatCode>General</c:formatCode>
                <c:ptCount val="1"/>
                <c:pt idx="0">
                  <c:v>2</c:v>
                </c:pt>
              </c:numCache>
            </c:numRef>
          </c:val>
          <c:extLst>
            <c:ext xmlns:c15="http://schemas.microsoft.com/office/drawing/2012/chart" uri="{02D57815-91ED-43cb-92C2-25804820EDAC}">
              <c15:categoryFilterExceptions>
                <c15:categoryFilterException>
                  <c15:sqref>MP!$D$19</c15:sqref>
                  <c15:dLbl>
                    <c:idx val="-1"/>
                    <c:layout>
                      <c:manualLayout>
                        <c:x val="-8.7134579357818953E-4"/>
                        <c:y val="0.10758285615131008"/>
                      </c:manualLayout>
                    </c:layout>
                    <c:dLblPos val="ctr"/>
                    <c:showLegendKey val="0"/>
                    <c:showVal val="1"/>
                    <c:showCatName val="0"/>
                    <c:showSerName val="1"/>
                    <c:showPercent val="0"/>
                    <c:showBubbleSize val="0"/>
                    <c:separator>
</c:separator>
                    <c:extLst>
                      <c:ext uri="{CE6537A1-D6FC-4f65-9D91-7224C49458BB}"/>
                      <c:ext xmlns:c16="http://schemas.microsoft.com/office/drawing/2014/chart" uri="{C3380CC4-5D6E-409C-BE32-E72D297353CC}">
                        <c16:uniqueId val="{00000002-1429-44ED-846D-F106BEF2A292}"/>
                      </c:ext>
                    </c:extLst>
                  </c15:dLbl>
                </c15:categoryFilterException>
              </c15:categoryFilterExceptions>
            </c:ext>
            <c:ext xmlns:c16="http://schemas.microsoft.com/office/drawing/2014/chart" uri="{C3380CC4-5D6E-409C-BE32-E72D297353CC}">
              <c16:uniqueId val="{0000000E-376D-4BE6-B611-7D757E42D574}"/>
            </c:ext>
          </c:extLst>
        </c:ser>
        <c:ser>
          <c:idx val="17"/>
          <c:order val="17"/>
          <c:tx>
            <c:strRef>
              <c:f>MP!$B$20</c:f>
              <c:strCache>
                <c:ptCount val="1"/>
                <c:pt idx="0">
                  <c:v>Katrin Fiedler</c:v>
                </c:pt>
              </c:strCache>
            </c:strRef>
          </c:tx>
          <c:spPr>
            <a:solidFill>
              <a:srgbClr val="FFC00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MP!$C$20:$F$20</c15:sqref>
                  </c15:fullRef>
                </c:ext>
              </c:extLst>
              <c:f>MP!$E$20</c:f>
              <c:numCache>
                <c:formatCode>General</c:formatCode>
                <c:ptCount val="1"/>
                <c:pt idx="0">
                  <c:v>#N/A</c:v>
                </c:pt>
              </c:numCache>
            </c:numRef>
          </c:val>
          <c:extLst>
            <c:ext xmlns:c16="http://schemas.microsoft.com/office/drawing/2014/chart" uri="{C3380CC4-5D6E-409C-BE32-E72D297353CC}">
              <c16:uniqueId val="{0000000F-376D-4BE6-B611-7D757E42D574}"/>
            </c:ext>
          </c:extLst>
        </c:ser>
        <c:ser>
          <c:idx val="18"/>
          <c:order val="18"/>
          <c:tx>
            <c:strRef>
              <c:f>MP!$B$21</c:f>
              <c:strCache>
                <c:ptCount val="1"/>
                <c:pt idx="0">
                  <c:v>Katrin Keller</c:v>
                </c:pt>
              </c:strCache>
            </c:strRef>
          </c:tx>
          <c:spPr>
            <a:solidFill>
              <a:srgbClr val="00B0F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MP!$C$21:$F$21</c15:sqref>
                  </c15:fullRef>
                </c:ext>
              </c:extLst>
              <c:f>MP!$E$21</c:f>
              <c:numCache>
                <c:formatCode>General</c:formatCode>
                <c:ptCount val="1"/>
                <c:pt idx="0">
                  <c:v>#N/A</c:v>
                </c:pt>
              </c:numCache>
            </c:numRef>
          </c:val>
          <c:extLst>
            <c:ext xmlns:c16="http://schemas.microsoft.com/office/drawing/2014/chart" uri="{C3380CC4-5D6E-409C-BE32-E72D297353CC}">
              <c16:uniqueId val="{00000010-376D-4BE6-B611-7D757E42D574}"/>
            </c:ext>
          </c:extLst>
        </c:ser>
        <c:ser>
          <c:idx val="19"/>
          <c:order val="19"/>
          <c:tx>
            <c:strRef>
              <c:f>MP!$B$22</c:f>
              <c:strCache>
                <c:ptCount val="1"/>
                <c:pt idx="0">
                  <c:v>Konrad Scheller</c:v>
                </c:pt>
              </c:strCache>
            </c:strRef>
          </c:tx>
          <c:spPr>
            <a:solidFill>
              <a:srgbClr val="FFFF0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MP!$C$22:$F$22</c15:sqref>
                  </c15:fullRef>
                </c:ext>
              </c:extLst>
              <c:f>MP!$E$22</c:f>
              <c:numCache>
                <c:formatCode>General</c:formatCode>
                <c:ptCount val="1"/>
                <c:pt idx="0">
                  <c:v>#N/A</c:v>
                </c:pt>
              </c:numCache>
            </c:numRef>
          </c:val>
          <c:extLst>
            <c:ext xmlns:c16="http://schemas.microsoft.com/office/drawing/2014/chart" uri="{C3380CC4-5D6E-409C-BE32-E72D297353CC}">
              <c16:uniqueId val="{00000011-376D-4BE6-B611-7D757E42D574}"/>
            </c:ext>
          </c:extLst>
        </c:ser>
        <c:ser>
          <c:idx val="20"/>
          <c:order val="20"/>
          <c:tx>
            <c:strRef>
              <c:f>MP!$B$23</c:f>
              <c:strCache>
                <c:ptCount val="1"/>
                <c:pt idx="0">
                  <c:v>Lea Meinert</c:v>
                </c:pt>
              </c:strCache>
            </c:strRef>
          </c:tx>
          <c:spPr>
            <a:solidFill>
              <a:srgbClr val="92D05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MP!$C$23:$F$23</c15:sqref>
                  </c15:fullRef>
                </c:ext>
              </c:extLst>
              <c:f>MP!$E$23</c:f>
              <c:numCache>
                <c:formatCode>General</c:formatCode>
                <c:ptCount val="1"/>
                <c:pt idx="0">
                  <c:v>#N/A</c:v>
                </c:pt>
              </c:numCache>
            </c:numRef>
          </c:val>
          <c:extLst>
            <c:ext xmlns:c16="http://schemas.microsoft.com/office/drawing/2014/chart" uri="{C3380CC4-5D6E-409C-BE32-E72D297353CC}">
              <c16:uniqueId val="{00000012-376D-4BE6-B611-7D757E42D574}"/>
            </c:ext>
          </c:extLst>
        </c:ser>
        <c:ser>
          <c:idx val="21"/>
          <c:order val="21"/>
          <c:tx>
            <c:strRef>
              <c:f>MP!$B$24</c:f>
              <c:strCache>
                <c:ptCount val="1"/>
                <c:pt idx="0">
                  <c:v>Lisa Marutschke</c:v>
                </c:pt>
              </c:strCache>
            </c:strRef>
          </c:tx>
          <c:spPr>
            <a:solidFill>
              <a:srgbClr val="7030A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MP!$C$24:$F$24</c15:sqref>
                  </c15:fullRef>
                </c:ext>
              </c:extLst>
              <c:f>MP!$E$24</c:f>
              <c:numCache>
                <c:formatCode>General</c:formatCode>
                <c:ptCount val="1"/>
                <c:pt idx="0">
                  <c:v>#N/A</c:v>
                </c:pt>
              </c:numCache>
            </c:numRef>
          </c:val>
          <c:extLst>
            <c:ext xmlns:c15="http://schemas.microsoft.com/office/drawing/2012/chart" uri="{02D57815-91ED-43cb-92C2-25804820EDAC}">
              <c15:categoryFilterExceptions>
                <c15:categoryFilterException>
                  <c15:sqref>MP!$D$24</c15:sqref>
                  <c15:dLbl>
                    <c:idx val="-1"/>
                    <c:dLblPos val="ctr"/>
                    <c:showLegendKey val="0"/>
                    <c:showVal val="1"/>
                    <c:showCatName val="0"/>
                    <c:showSerName val="0"/>
                    <c:showPercent val="0"/>
                    <c:showBubbleSize val="0"/>
                    <c:separator>
</c:separator>
                    <c:extLst>
                      <c:ext uri="{CE6537A1-D6FC-4f65-9D91-7224C49458BB}"/>
                      <c:ext xmlns:c16="http://schemas.microsoft.com/office/drawing/2014/chart" uri="{C3380CC4-5D6E-409C-BE32-E72D297353CC}">
                        <c16:uniqueId val="{00000003-1429-44ED-846D-F106BEF2A292}"/>
                      </c:ext>
                    </c:extLst>
                  </c15:dLbl>
                </c15:categoryFilterException>
              </c15:categoryFilterExceptions>
            </c:ext>
            <c:ext xmlns:c16="http://schemas.microsoft.com/office/drawing/2014/chart" uri="{C3380CC4-5D6E-409C-BE32-E72D297353CC}">
              <c16:uniqueId val="{00000013-376D-4BE6-B611-7D757E42D574}"/>
            </c:ext>
          </c:extLst>
        </c:ser>
        <c:ser>
          <c:idx val="22"/>
          <c:order val="22"/>
          <c:tx>
            <c:strRef>
              <c:f>MP!$B$25</c:f>
              <c:strCache>
                <c:ptCount val="1"/>
                <c:pt idx="0">
                  <c:v>Lisa Stirl</c:v>
                </c:pt>
              </c:strCache>
            </c:strRef>
          </c:tx>
          <c:spPr>
            <a:solidFill>
              <a:srgbClr val="00206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MP!$C$25:$F$25</c15:sqref>
                  </c15:fullRef>
                </c:ext>
              </c:extLst>
              <c:f>MP!$E$25</c:f>
              <c:numCache>
                <c:formatCode>General</c:formatCode>
                <c:ptCount val="1"/>
                <c:pt idx="0">
                  <c:v>#N/A</c:v>
                </c:pt>
              </c:numCache>
            </c:numRef>
          </c:val>
          <c:extLst>
            <c:ext xmlns:c16="http://schemas.microsoft.com/office/drawing/2014/chart" uri="{C3380CC4-5D6E-409C-BE32-E72D297353CC}">
              <c16:uniqueId val="{00000014-376D-4BE6-B611-7D757E42D574}"/>
            </c:ext>
          </c:extLst>
        </c:ser>
        <c:ser>
          <c:idx val="23"/>
          <c:order val="23"/>
          <c:tx>
            <c:strRef>
              <c:f>MP!$B$26</c:f>
              <c:strCache>
                <c:ptCount val="1"/>
                <c:pt idx="0">
                  <c:v>Luca Landau</c:v>
                </c:pt>
              </c:strCache>
            </c:strRef>
          </c:tx>
          <c:spPr>
            <a:solidFill>
              <a:srgbClr val="92D05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MP!$C$26:$F$26</c15:sqref>
                  </c15:fullRef>
                </c:ext>
              </c:extLst>
              <c:f>MP!$E$26</c:f>
              <c:numCache>
                <c:formatCode>General</c:formatCode>
                <c:ptCount val="1"/>
                <c:pt idx="0">
                  <c:v>#N/A</c:v>
                </c:pt>
              </c:numCache>
            </c:numRef>
          </c:val>
          <c:extLst>
            <c:ext xmlns:c16="http://schemas.microsoft.com/office/drawing/2014/chart" uri="{C3380CC4-5D6E-409C-BE32-E72D297353CC}">
              <c16:uniqueId val="{00000015-376D-4BE6-B611-7D757E42D574}"/>
            </c:ext>
          </c:extLst>
        </c:ser>
        <c:ser>
          <c:idx val="24"/>
          <c:order val="24"/>
          <c:tx>
            <c:strRef>
              <c:f>MP!$B$27</c:f>
              <c:strCache>
                <c:ptCount val="1"/>
                <c:pt idx="0">
                  <c:v>Madlen Baumgarten</c:v>
                </c:pt>
              </c:strCache>
            </c:strRef>
          </c:tx>
          <c:spPr>
            <a:solidFill>
              <a:srgbClr val="FFFF0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MP!$C$27:$F$27</c15:sqref>
                  </c15:fullRef>
                </c:ext>
              </c:extLst>
              <c:f>MP!$E$27</c:f>
              <c:numCache>
                <c:formatCode>General</c:formatCode>
                <c:ptCount val="1"/>
                <c:pt idx="0">
                  <c:v>#N/A</c:v>
                </c:pt>
              </c:numCache>
            </c:numRef>
          </c:val>
          <c:extLst>
            <c:ext xmlns:c16="http://schemas.microsoft.com/office/drawing/2014/chart" uri="{C3380CC4-5D6E-409C-BE32-E72D297353CC}">
              <c16:uniqueId val="{00000016-376D-4BE6-B611-7D757E42D574}"/>
            </c:ext>
          </c:extLst>
        </c:ser>
        <c:ser>
          <c:idx val="25"/>
          <c:order val="25"/>
          <c:tx>
            <c:strRef>
              <c:f>MP!$B$28</c:f>
              <c:strCache>
                <c:ptCount val="1"/>
                <c:pt idx="0">
                  <c:v>Marcel Giese</c:v>
                </c:pt>
              </c:strCache>
            </c:strRef>
          </c:tx>
          <c:spPr>
            <a:solidFill>
              <a:srgbClr val="7030A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MP!$C$28:$F$28</c15:sqref>
                  </c15:fullRef>
                </c:ext>
              </c:extLst>
              <c:f>MP!$E$28</c:f>
              <c:numCache>
                <c:formatCode>General</c:formatCode>
                <c:ptCount val="1"/>
                <c:pt idx="0">
                  <c:v>1</c:v>
                </c:pt>
              </c:numCache>
            </c:numRef>
          </c:val>
          <c:extLst>
            <c:ext xmlns:c16="http://schemas.microsoft.com/office/drawing/2014/chart" uri="{C3380CC4-5D6E-409C-BE32-E72D297353CC}">
              <c16:uniqueId val="{00000017-376D-4BE6-B611-7D757E42D574}"/>
            </c:ext>
          </c:extLst>
        </c:ser>
        <c:ser>
          <c:idx val="26"/>
          <c:order val="26"/>
          <c:tx>
            <c:strRef>
              <c:f>MP!$B$29</c:f>
              <c:strCache>
                <c:ptCount val="1"/>
                <c:pt idx="0">
                  <c:v>Markus Unvericht</c:v>
                </c:pt>
              </c:strCache>
            </c:strRef>
          </c:tx>
          <c:spPr>
            <a:solidFill>
              <a:srgbClr val="92D050">
                <a:alpha val="70000"/>
              </a:srgbClr>
            </a:solidFill>
            <a:ln>
              <a:solidFill>
                <a:schemeClr val="tx1"/>
              </a:solidFill>
            </a:ln>
            <a:effectLst/>
          </c:spPr>
          <c:invertIfNegative val="0"/>
          <c:dLbls>
            <c:dLbl>
              <c:idx val="0"/>
              <c:layout>
                <c:manualLayout>
                  <c:x val="0"/>
                  <c:y val="-0.1353461738677772"/>
                </c:manualLayout>
              </c:layout>
              <c:dLblPos val="ctr"/>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34-376D-4BE6-B611-7D757E42D574}"/>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MP!$C$29:$F$29</c15:sqref>
                  </c15:fullRef>
                </c:ext>
              </c:extLst>
              <c:f>MP!$E$29</c:f>
              <c:numCache>
                <c:formatCode>General</c:formatCode>
                <c:ptCount val="1"/>
                <c:pt idx="0">
                  <c:v>#N/A</c:v>
                </c:pt>
              </c:numCache>
            </c:numRef>
          </c:val>
          <c:extLst>
            <c:ext xmlns:c16="http://schemas.microsoft.com/office/drawing/2014/chart" uri="{C3380CC4-5D6E-409C-BE32-E72D297353CC}">
              <c16:uniqueId val="{00000018-376D-4BE6-B611-7D757E42D574}"/>
            </c:ext>
          </c:extLst>
        </c:ser>
        <c:ser>
          <c:idx val="27"/>
          <c:order val="27"/>
          <c:tx>
            <c:strRef>
              <c:f>MP!$B$30</c:f>
              <c:strCache>
                <c:ptCount val="1"/>
                <c:pt idx="0">
                  <c:v>Martin Börner</c:v>
                </c:pt>
              </c:strCache>
            </c:strRef>
          </c:tx>
          <c:spPr>
            <a:solidFill>
              <a:srgbClr val="00206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MP!$C$30:$F$30</c15:sqref>
                  </c15:fullRef>
                </c:ext>
              </c:extLst>
              <c:f>MP!$E$30</c:f>
              <c:numCache>
                <c:formatCode>General</c:formatCode>
                <c:ptCount val="1"/>
                <c:pt idx="0">
                  <c:v>#N/A</c:v>
                </c:pt>
              </c:numCache>
            </c:numRef>
          </c:val>
          <c:extLst>
            <c:ext xmlns:c16="http://schemas.microsoft.com/office/drawing/2014/chart" uri="{C3380CC4-5D6E-409C-BE32-E72D297353CC}">
              <c16:uniqueId val="{00000019-376D-4BE6-B611-7D757E42D574}"/>
            </c:ext>
          </c:extLst>
        </c:ser>
        <c:ser>
          <c:idx val="28"/>
          <c:order val="28"/>
          <c:tx>
            <c:strRef>
              <c:f>MP!$B$31</c:f>
              <c:strCache>
                <c:ptCount val="1"/>
                <c:pt idx="0">
                  <c:v>Max Dost</c:v>
                </c:pt>
              </c:strCache>
            </c:strRef>
          </c:tx>
          <c:spPr>
            <a:solidFill>
              <a:srgbClr val="00206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MP!$C$31:$F$31</c15:sqref>
                  </c15:fullRef>
                </c:ext>
              </c:extLst>
              <c:f>MP!$E$31</c:f>
              <c:numCache>
                <c:formatCode>General</c:formatCode>
                <c:ptCount val="1"/>
                <c:pt idx="0">
                  <c:v>#N/A</c:v>
                </c:pt>
              </c:numCache>
            </c:numRef>
          </c:val>
          <c:extLst>
            <c:ext xmlns:c16="http://schemas.microsoft.com/office/drawing/2014/chart" uri="{C3380CC4-5D6E-409C-BE32-E72D297353CC}">
              <c16:uniqueId val="{0000001A-376D-4BE6-B611-7D757E42D574}"/>
            </c:ext>
          </c:extLst>
        </c:ser>
        <c:ser>
          <c:idx val="29"/>
          <c:order val="29"/>
          <c:tx>
            <c:strRef>
              <c:f>MP!$B$32</c:f>
              <c:strCache>
                <c:ptCount val="1"/>
                <c:pt idx="0">
                  <c:v>Michael Becker</c:v>
                </c:pt>
              </c:strCache>
            </c:strRef>
          </c:tx>
          <c:spPr>
            <a:solidFill>
              <a:schemeClr val="accent6">
                <a:alpha val="7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MP!$C$32:$F$32</c15:sqref>
                  </c15:fullRef>
                </c:ext>
              </c:extLst>
              <c:f>MP!$E$32</c:f>
              <c:numCache>
                <c:formatCode>General</c:formatCode>
                <c:ptCount val="1"/>
                <c:pt idx="0">
                  <c:v>1</c:v>
                </c:pt>
              </c:numCache>
            </c:numRef>
          </c:val>
          <c:extLst>
            <c:ext xmlns:c16="http://schemas.microsoft.com/office/drawing/2014/chart" uri="{C3380CC4-5D6E-409C-BE32-E72D297353CC}">
              <c16:uniqueId val="{0000001B-376D-4BE6-B611-7D757E42D574}"/>
            </c:ext>
          </c:extLst>
        </c:ser>
        <c:ser>
          <c:idx val="30"/>
          <c:order val="30"/>
          <c:tx>
            <c:strRef>
              <c:f>MP!$B$33</c:f>
              <c:strCache>
                <c:ptCount val="1"/>
                <c:pt idx="0">
                  <c:v>Michael Klose</c:v>
                </c:pt>
              </c:strCache>
            </c:strRef>
          </c:tx>
          <c:spPr>
            <a:solidFill>
              <a:srgbClr val="FFC00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MP!$C$33:$F$33</c15:sqref>
                  </c15:fullRef>
                </c:ext>
              </c:extLst>
              <c:f>MP!$E$33</c:f>
              <c:numCache>
                <c:formatCode>General</c:formatCode>
                <c:ptCount val="1"/>
                <c:pt idx="0">
                  <c:v>#N/A</c:v>
                </c:pt>
              </c:numCache>
            </c:numRef>
          </c:val>
          <c:extLst>
            <c:ext xmlns:c16="http://schemas.microsoft.com/office/drawing/2014/chart" uri="{C3380CC4-5D6E-409C-BE32-E72D297353CC}">
              <c16:uniqueId val="{0000001C-376D-4BE6-B611-7D757E42D574}"/>
            </c:ext>
          </c:extLst>
        </c:ser>
        <c:ser>
          <c:idx val="31"/>
          <c:order val="31"/>
          <c:tx>
            <c:strRef>
              <c:f>MP!$B$34</c:f>
              <c:strCache>
                <c:ptCount val="1"/>
                <c:pt idx="0">
                  <c:v>Mick Becker</c:v>
                </c:pt>
              </c:strCache>
            </c:strRef>
          </c:tx>
          <c:spPr>
            <a:solidFill>
              <a:srgbClr val="92D05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MP!$C$34:$F$34</c15:sqref>
                  </c15:fullRef>
                </c:ext>
              </c:extLst>
              <c:f>MP!$E$34</c:f>
              <c:numCache>
                <c:formatCode>General</c:formatCode>
                <c:ptCount val="1"/>
                <c:pt idx="0">
                  <c:v>#N/A</c:v>
                </c:pt>
              </c:numCache>
            </c:numRef>
          </c:val>
          <c:extLst>
            <c:ext xmlns:c16="http://schemas.microsoft.com/office/drawing/2014/chart" uri="{C3380CC4-5D6E-409C-BE32-E72D297353CC}">
              <c16:uniqueId val="{0000001D-376D-4BE6-B611-7D757E42D574}"/>
            </c:ext>
          </c:extLst>
        </c:ser>
        <c:ser>
          <c:idx val="32"/>
          <c:order val="32"/>
          <c:tx>
            <c:strRef>
              <c:f>MP!$B$35</c:f>
              <c:strCache>
                <c:ptCount val="1"/>
                <c:pt idx="0">
                  <c:v>Olaf Kurtze</c:v>
                </c:pt>
              </c:strCache>
            </c:strRef>
          </c:tx>
          <c:spPr>
            <a:solidFill>
              <a:schemeClr val="accent5">
                <a:lumMod val="60000"/>
                <a:alpha val="70000"/>
              </a:schemeClr>
            </a:solidFill>
            <a:ln>
              <a:noFill/>
            </a:ln>
            <a:effectLst/>
          </c:spPr>
          <c:invertIfNegative val="0"/>
          <c:dLbls>
            <c:dLbl>
              <c:idx val="0"/>
              <c:layout>
                <c:manualLayout>
                  <c:x val="-6.3897953374456639E-17"/>
                  <c:y val="0.1006420267221933"/>
                </c:manualLayout>
              </c:layout>
              <c:dLblPos val="ctr"/>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35-376D-4BE6-B611-7D757E42D574}"/>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MP!$C$35:$F$35</c15:sqref>
                  </c15:fullRef>
                </c:ext>
              </c:extLst>
              <c:f>MP!$E$35</c:f>
              <c:numCache>
                <c:formatCode>General</c:formatCode>
                <c:ptCount val="1"/>
                <c:pt idx="0">
                  <c:v>#N/A</c:v>
                </c:pt>
              </c:numCache>
            </c:numRef>
          </c:val>
          <c:extLst>
            <c:ext xmlns:c16="http://schemas.microsoft.com/office/drawing/2014/chart" uri="{C3380CC4-5D6E-409C-BE32-E72D297353CC}">
              <c16:uniqueId val="{0000001E-376D-4BE6-B611-7D757E42D574}"/>
            </c:ext>
          </c:extLst>
        </c:ser>
        <c:ser>
          <c:idx val="33"/>
          <c:order val="33"/>
          <c:tx>
            <c:strRef>
              <c:f>MP!$B$36</c:f>
              <c:strCache>
                <c:ptCount val="1"/>
                <c:pt idx="0">
                  <c:v>Patrick Frenzel</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MP!$C$36:$F$36</c15:sqref>
                  </c15:fullRef>
                </c:ext>
              </c:extLst>
              <c:f>MP!$E$36</c:f>
              <c:numCache>
                <c:formatCode>General</c:formatCode>
                <c:ptCount val="1"/>
                <c:pt idx="0">
                  <c:v>2</c:v>
                </c:pt>
              </c:numCache>
            </c:numRef>
          </c:val>
          <c:extLst>
            <c:ext xmlns:c16="http://schemas.microsoft.com/office/drawing/2014/chart" uri="{C3380CC4-5D6E-409C-BE32-E72D297353CC}">
              <c16:uniqueId val="{0000001F-376D-4BE6-B611-7D757E42D574}"/>
            </c:ext>
          </c:extLst>
        </c:ser>
        <c:ser>
          <c:idx val="34"/>
          <c:order val="34"/>
          <c:tx>
            <c:strRef>
              <c:f>MP!$B$37</c:f>
              <c:strCache>
                <c:ptCount val="1"/>
                <c:pt idx="0">
                  <c:v>Patrick Hohmann</c:v>
                </c:pt>
              </c:strCache>
            </c:strRef>
          </c:tx>
          <c:spPr>
            <a:solidFill>
              <a:schemeClr val="accent3">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MP!$C$37:$F$37</c15:sqref>
                  </c15:fullRef>
                </c:ext>
              </c:extLst>
              <c:f>MP!$E$37</c:f>
              <c:numCache>
                <c:formatCode>General</c:formatCode>
                <c:ptCount val="1"/>
                <c:pt idx="0">
                  <c:v>#N/A</c:v>
                </c:pt>
              </c:numCache>
            </c:numRef>
          </c:val>
          <c:extLst>
            <c:ext xmlns:c16="http://schemas.microsoft.com/office/drawing/2014/chart" uri="{C3380CC4-5D6E-409C-BE32-E72D297353CC}">
              <c16:uniqueId val="{00000020-376D-4BE6-B611-7D757E42D574}"/>
            </c:ext>
          </c:extLst>
        </c:ser>
        <c:ser>
          <c:idx val="35"/>
          <c:order val="35"/>
          <c:tx>
            <c:strRef>
              <c:f>MP!$B$38</c:f>
              <c:strCache>
                <c:ptCount val="1"/>
                <c:pt idx="0">
                  <c:v>Peter Paulmann</c:v>
                </c:pt>
              </c:strCache>
            </c:strRef>
          </c:tx>
          <c:spPr>
            <a:solidFill>
              <a:schemeClr val="accent5">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MP!$C$38:$F$38</c15:sqref>
                  </c15:fullRef>
                </c:ext>
              </c:extLst>
              <c:f>MP!$E$38</c:f>
              <c:numCache>
                <c:formatCode>General</c:formatCode>
                <c:ptCount val="1"/>
                <c:pt idx="0">
                  <c:v>1</c:v>
                </c:pt>
              </c:numCache>
            </c:numRef>
          </c:val>
          <c:extLst>
            <c:ext xmlns:c15="http://schemas.microsoft.com/office/drawing/2012/chart" uri="{02D57815-91ED-43cb-92C2-25804820EDAC}">
              <c15:categoryFilterExceptions>
                <c15:categoryFilterException>
                  <c15:sqref>MP!$D$38</c15:sqref>
                  <c15:dLbl>
                    <c:idx val="-1"/>
                    <c:layout>
                      <c:manualLayout>
                        <c:x val="-8.7134579357818151E-4"/>
                        <c:y val="-0.10411244143675169"/>
                      </c:manualLayout>
                    </c:layout>
                    <c:dLblPos val="ctr"/>
                    <c:showLegendKey val="0"/>
                    <c:showVal val="1"/>
                    <c:showCatName val="0"/>
                    <c:showSerName val="1"/>
                    <c:showPercent val="0"/>
                    <c:showBubbleSize val="0"/>
                    <c:separator>
</c:separator>
                    <c:extLst>
                      <c:ext uri="{CE6537A1-D6FC-4f65-9D91-7224C49458BB}"/>
                      <c:ext xmlns:c16="http://schemas.microsoft.com/office/drawing/2014/chart" uri="{C3380CC4-5D6E-409C-BE32-E72D297353CC}">
                        <c16:uniqueId val="{00000004-1429-44ED-846D-F106BEF2A292}"/>
                      </c:ext>
                    </c:extLst>
                  </c15:dLbl>
                </c15:categoryFilterException>
              </c15:categoryFilterExceptions>
            </c:ext>
            <c:ext xmlns:c16="http://schemas.microsoft.com/office/drawing/2014/chart" uri="{C3380CC4-5D6E-409C-BE32-E72D297353CC}">
              <c16:uniqueId val="{00000021-376D-4BE6-B611-7D757E42D574}"/>
            </c:ext>
          </c:extLst>
        </c:ser>
        <c:ser>
          <c:idx val="36"/>
          <c:order val="36"/>
          <c:tx>
            <c:strRef>
              <c:f>MP!$B$39</c:f>
              <c:strCache>
                <c:ptCount val="1"/>
                <c:pt idx="0">
                  <c:v>Peter Weißling</c:v>
                </c:pt>
              </c:strCache>
            </c:strRef>
          </c:tx>
          <c:spPr>
            <a:solidFill>
              <a:schemeClr val="accent1">
                <a:lumMod val="8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MP!$C$39:$F$39</c15:sqref>
                  </c15:fullRef>
                </c:ext>
              </c:extLst>
              <c:f>MP!$E$39</c:f>
              <c:numCache>
                <c:formatCode>General</c:formatCode>
                <c:ptCount val="1"/>
                <c:pt idx="0">
                  <c:v>1</c:v>
                </c:pt>
              </c:numCache>
            </c:numRef>
          </c:val>
          <c:extLst>
            <c:ext xmlns:c16="http://schemas.microsoft.com/office/drawing/2014/chart" uri="{C3380CC4-5D6E-409C-BE32-E72D297353CC}">
              <c16:uniqueId val="{00000022-376D-4BE6-B611-7D757E42D574}"/>
            </c:ext>
          </c:extLst>
        </c:ser>
        <c:ser>
          <c:idx val="37"/>
          <c:order val="37"/>
          <c:tx>
            <c:strRef>
              <c:f>MP!$B$40</c:f>
              <c:strCache>
                <c:ptCount val="1"/>
                <c:pt idx="0">
                  <c:v>Petra Kubon</c:v>
                </c:pt>
              </c:strCache>
            </c:strRef>
          </c:tx>
          <c:spPr>
            <a:solidFill>
              <a:schemeClr val="accent3">
                <a:lumMod val="8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MP!$C$40:$F$40</c15:sqref>
                  </c15:fullRef>
                </c:ext>
              </c:extLst>
              <c:f>MP!$E$40</c:f>
              <c:numCache>
                <c:formatCode>General</c:formatCode>
                <c:ptCount val="1"/>
                <c:pt idx="0">
                  <c:v>#N/A</c:v>
                </c:pt>
              </c:numCache>
            </c:numRef>
          </c:val>
          <c:extLst>
            <c:ext xmlns:c16="http://schemas.microsoft.com/office/drawing/2014/chart" uri="{C3380CC4-5D6E-409C-BE32-E72D297353CC}">
              <c16:uniqueId val="{00000023-376D-4BE6-B611-7D757E42D574}"/>
            </c:ext>
          </c:extLst>
        </c:ser>
        <c:ser>
          <c:idx val="38"/>
          <c:order val="38"/>
          <c:tx>
            <c:strRef>
              <c:f>MP!$B$41</c:f>
              <c:strCache>
                <c:ptCount val="1"/>
                <c:pt idx="0">
                  <c:v>Philipp Paulmann</c:v>
                </c:pt>
              </c:strCache>
            </c:strRef>
          </c:tx>
          <c:spPr>
            <a:solidFill>
              <a:schemeClr val="accent5">
                <a:lumMod val="8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MP!$C$41:$F$41</c15:sqref>
                  </c15:fullRef>
                </c:ext>
              </c:extLst>
              <c:f>MP!$E$41</c:f>
              <c:numCache>
                <c:formatCode>General</c:formatCode>
                <c:ptCount val="1"/>
                <c:pt idx="0">
                  <c:v>#N/A</c:v>
                </c:pt>
              </c:numCache>
            </c:numRef>
          </c:val>
          <c:extLst>
            <c:ext xmlns:c16="http://schemas.microsoft.com/office/drawing/2014/chart" uri="{C3380CC4-5D6E-409C-BE32-E72D297353CC}">
              <c16:uniqueId val="{00000024-376D-4BE6-B611-7D757E42D574}"/>
            </c:ext>
          </c:extLst>
        </c:ser>
        <c:ser>
          <c:idx val="39"/>
          <c:order val="39"/>
          <c:tx>
            <c:strRef>
              <c:f>MP!$B$42</c:f>
              <c:strCache>
                <c:ptCount val="1"/>
                <c:pt idx="0">
                  <c:v>Pia Wätzig</c:v>
                </c:pt>
              </c:strCache>
            </c:strRef>
          </c:tx>
          <c:spPr>
            <a:solidFill>
              <a:schemeClr val="accent1">
                <a:lumMod val="60000"/>
                <a:lumOff val="4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MP!$C$42:$F$42</c15:sqref>
                  </c15:fullRef>
                </c:ext>
              </c:extLst>
              <c:f>MP!$E$42</c:f>
              <c:numCache>
                <c:formatCode>General</c:formatCode>
                <c:ptCount val="1"/>
                <c:pt idx="0">
                  <c:v>#N/A</c:v>
                </c:pt>
              </c:numCache>
            </c:numRef>
          </c:val>
          <c:extLst>
            <c:ext xmlns:c16="http://schemas.microsoft.com/office/drawing/2014/chart" uri="{C3380CC4-5D6E-409C-BE32-E72D297353CC}">
              <c16:uniqueId val="{00000025-376D-4BE6-B611-7D757E42D574}"/>
            </c:ext>
          </c:extLst>
        </c:ser>
        <c:ser>
          <c:idx val="40"/>
          <c:order val="40"/>
          <c:tx>
            <c:strRef>
              <c:f>MP!$B$43</c:f>
              <c:strCache>
                <c:ptCount val="1"/>
                <c:pt idx="0">
                  <c:v>Sophia Stirl</c:v>
                </c:pt>
              </c:strCache>
            </c:strRef>
          </c:tx>
          <c:spPr>
            <a:solidFill>
              <a:schemeClr val="accent3">
                <a:lumMod val="60000"/>
                <a:lumOff val="4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MP!$C$43:$F$43</c15:sqref>
                  </c15:fullRef>
                </c:ext>
              </c:extLst>
              <c:f>MP!$E$43</c:f>
              <c:numCache>
                <c:formatCode>General</c:formatCode>
                <c:ptCount val="1"/>
                <c:pt idx="0">
                  <c:v>#N/A</c:v>
                </c:pt>
              </c:numCache>
            </c:numRef>
          </c:val>
          <c:extLst>
            <c:ext xmlns:c16="http://schemas.microsoft.com/office/drawing/2014/chart" uri="{C3380CC4-5D6E-409C-BE32-E72D297353CC}">
              <c16:uniqueId val="{00000026-376D-4BE6-B611-7D757E42D574}"/>
            </c:ext>
          </c:extLst>
        </c:ser>
        <c:ser>
          <c:idx val="41"/>
          <c:order val="41"/>
          <c:tx>
            <c:strRef>
              <c:f>MP!$B$44</c:f>
              <c:strCache>
                <c:ptCount val="1"/>
                <c:pt idx="0">
                  <c:v>Stefan Teuber</c:v>
                </c:pt>
              </c:strCache>
            </c:strRef>
          </c:tx>
          <c:spPr>
            <a:solidFill>
              <a:schemeClr val="accent5">
                <a:lumMod val="60000"/>
                <a:lumOff val="4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MP!$C$44:$F$44</c15:sqref>
                  </c15:fullRef>
                </c:ext>
              </c:extLst>
              <c:f>MP!$E$44</c:f>
              <c:numCache>
                <c:formatCode>General</c:formatCode>
                <c:ptCount val="1"/>
                <c:pt idx="0">
                  <c:v>#N/A</c:v>
                </c:pt>
              </c:numCache>
            </c:numRef>
          </c:val>
          <c:extLst>
            <c:ext xmlns:c16="http://schemas.microsoft.com/office/drawing/2014/chart" uri="{C3380CC4-5D6E-409C-BE32-E72D297353CC}">
              <c16:uniqueId val="{00000027-376D-4BE6-B611-7D757E42D574}"/>
            </c:ext>
          </c:extLst>
        </c:ser>
        <c:ser>
          <c:idx val="42"/>
          <c:order val="42"/>
          <c:tx>
            <c:strRef>
              <c:f>MP!$B$45</c:f>
              <c:strCache>
                <c:ptCount val="1"/>
                <c:pt idx="0">
                  <c:v>Stefan Ulbricht</c:v>
                </c:pt>
              </c:strCache>
            </c:strRef>
          </c:tx>
          <c:spPr>
            <a:solidFill>
              <a:schemeClr val="accent1">
                <a:lumMod val="5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MP!$C$45:$F$45</c15:sqref>
                  </c15:fullRef>
                </c:ext>
              </c:extLst>
              <c:f>MP!$E$45</c:f>
              <c:numCache>
                <c:formatCode>General</c:formatCode>
                <c:ptCount val="1"/>
                <c:pt idx="0">
                  <c:v>#N/A</c:v>
                </c:pt>
              </c:numCache>
            </c:numRef>
          </c:val>
          <c:extLst>
            <c:ext xmlns:c16="http://schemas.microsoft.com/office/drawing/2014/chart" uri="{C3380CC4-5D6E-409C-BE32-E72D297353CC}">
              <c16:uniqueId val="{00000028-376D-4BE6-B611-7D757E42D574}"/>
            </c:ext>
          </c:extLst>
        </c:ser>
        <c:ser>
          <c:idx val="43"/>
          <c:order val="43"/>
          <c:tx>
            <c:strRef>
              <c:f>MP!$B$46</c:f>
              <c:strCache>
                <c:ptCount val="1"/>
                <c:pt idx="0">
                  <c:v>Sylke Schmidt</c:v>
                </c:pt>
              </c:strCache>
            </c:strRef>
          </c:tx>
          <c:spPr>
            <a:solidFill>
              <a:schemeClr val="accent3">
                <a:lumMod val="5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MP!$C$46:$F$46</c15:sqref>
                  </c15:fullRef>
                </c:ext>
              </c:extLst>
              <c:f>MP!$E$46</c:f>
              <c:numCache>
                <c:formatCode>General</c:formatCode>
                <c:ptCount val="1"/>
                <c:pt idx="0">
                  <c:v>#N/A</c:v>
                </c:pt>
              </c:numCache>
            </c:numRef>
          </c:val>
          <c:extLst>
            <c:ext xmlns:c16="http://schemas.microsoft.com/office/drawing/2014/chart" uri="{C3380CC4-5D6E-409C-BE32-E72D297353CC}">
              <c16:uniqueId val="{00000029-376D-4BE6-B611-7D757E42D574}"/>
            </c:ext>
          </c:extLst>
        </c:ser>
        <c:ser>
          <c:idx val="44"/>
          <c:order val="44"/>
          <c:tx>
            <c:strRef>
              <c:f>MP!$B$47</c:f>
              <c:strCache>
                <c:ptCount val="1"/>
                <c:pt idx="0">
                  <c:v>Teo Rühle</c:v>
                </c:pt>
              </c:strCache>
            </c:strRef>
          </c:tx>
          <c:spPr>
            <a:solidFill>
              <a:schemeClr val="accent5">
                <a:lumMod val="5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MP!$C$47:$F$47</c15:sqref>
                  </c15:fullRef>
                </c:ext>
              </c:extLst>
              <c:f>MP!$E$47</c:f>
              <c:numCache>
                <c:formatCode>General</c:formatCode>
                <c:ptCount val="1"/>
                <c:pt idx="0">
                  <c:v>#N/A</c:v>
                </c:pt>
              </c:numCache>
            </c:numRef>
          </c:val>
          <c:extLst>
            <c:ext xmlns:c16="http://schemas.microsoft.com/office/drawing/2014/chart" uri="{C3380CC4-5D6E-409C-BE32-E72D297353CC}">
              <c16:uniqueId val="{0000002A-376D-4BE6-B611-7D757E42D574}"/>
            </c:ext>
          </c:extLst>
        </c:ser>
        <c:ser>
          <c:idx val="45"/>
          <c:order val="45"/>
          <c:tx>
            <c:strRef>
              <c:f>MP!$B$48</c:f>
              <c:strCache>
                <c:ptCount val="1"/>
                <c:pt idx="0">
                  <c:v>Tim Becker</c:v>
                </c:pt>
              </c:strCache>
            </c:strRef>
          </c:tx>
          <c:spPr>
            <a:solidFill>
              <a:schemeClr val="accent1">
                <a:lumMod val="70000"/>
                <a:lumOff val="3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MP!$C$48:$F$48</c15:sqref>
                  </c15:fullRef>
                </c:ext>
              </c:extLst>
              <c:f>MP!$E$48</c:f>
              <c:numCache>
                <c:formatCode>General</c:formatCode>
                <c:ptCount val="1"/>
                <c:pt idx="0">
                  <c:v>#N/A</c:v>
                </c:pt>
              </c:numCache>
            </c:numRef>
          </c:val>
          <c:extLst>
            <c:ext xmlns:c16="http://schemas.microsoft.com/office/drawing/2014/chart" uri="{C3380CC4-5D6E-409C-BE32-E72D297353CC}">
              <c16:uniqueId val="{0000002B-376D-4BE6-B611-7D757E42D574}"/>
            </c:ext>
          </c:extLst>
        </c:ser>
        <c:ser>
          <c:idx val="46"/>
          <c:order val="46"/>
          <c:tx>
            <c:strRef>
              <c:f>MP!$B$49</c:f>
              <c:strCache>
                <c:ptCount val="1"/>
                <c:pt idx="0">
                  <c:v>Tim Beger</c:v>
                </c:pt>
              </c:strCache>
            </c:strRef>
          </c:tx>
          <c:spPr>
            <a:solidFill>
              <a:schemeClr val="accent3">
                <a:lumMod val="70000"/>
                <a:lumOff val="3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MP!$C$49:$F$49</c15:sqref>
                  </c15:fullRef>
                </c:ext>
              </c:extLst>
              <c:f>MP!$E$49</c:f>
              <c:numCache>
                <c:formatCode>General</c:formatCode>
                <c:ptCount val="1"/>
                <c:pt idx="0">
                  <c:v>#N/A</c:v>
                </c:pt>
              </c:numCache>
            </c:numRef>
          </c:val>
          <c:extLst>
            <c:ext xmlns:c16="http://schemas.microsoft.com/office/drawing/2014/chart" uri="{C3380CC4-5D6E-409C-BE32-E72D297353CC}">
              <c16:uniqueId val="{0000002C-376D-4BE6-B611-7D757E42D574}"/>
            </c:ext>
          </c:extLst>
        </c:ser>
        <c:ser>
          <c:idx val="47"/>
          <c:order val="47"/>
          <c:tx>
            <c:strRef>
              <c:f>MP!$B$50</c:f>
              <c:strCache>
                <c:ptCount val="1"/>
                <c:pt idx="0">
                  <c:v>Ulli Baumgarten</c:v>
                </c:pt>
              </c:strCache>
            </c:strRef>
          </c:tx>
          <c:spPr>
            <a:solidFill>
              <a:schemeClr val="accent5">
                <a:lumMod val="70000"/>
                <a:lumOff val="3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MP!$C$50:$F$50</c15:sqref>
                  </c15:fullRef>
                </c:ext>
              </c:extLst>
              <c:f>MP!$E$50</c:f>
              <c:numCache>
                <c:formatCode>General</c:formatCode>
                <c:ptCount val="1"/>
                <c:pt idx="0">
                  <c:v>1</c:v>
                </c:pt>
              </c:numCache>
            </c:numRef>
          </c:val>
          <c:extLst>
            <c:ext xmlns:c16="http://schemas.microsoft.com/office/drawing/2014/chart" uri="{C3380CC4-5D6E-409C-BE32-E72D297353CC}">
              <c16:uniqueId val="{0000002D-376D-4BE6-B611-7D757E42D574}"/>
            </c:ext>
          </c:extLst>
        </c:ser>
        <c:ser>
          <c:idx val="48"/>
          <c:order val="48"/>
          <c:tx>
            <c:strRef>
              <c:f>MP!$B$51</c:f>
              <c:strCache>
                <c:ptCount val="1"/>
                <c:pt idx="0">
                  <c:v>Zoi Weber</c:v>
                </c:pt>
              </c:strCache>
            </c:strRef>
          </c:tx>
          <c:spPr>
            <a:solidFill>
              <a:schemeClr val="accent1">
                <a:lumMod val="7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MP!$C$51:$F$51</c15:sqref>
                  </c15:fullRef>
                </c:ext>
              </c:extLst>
              <c:f>MP!$E$51</c:f>
              <c:numCache>
                <c:formatCode>General</c:formatCode>
                <c:ptCount val="1"/>
                <c:pt idx="0">
                  <c:v>#N/A</c:v>
                </c:pt>
              </c:numCache>
            </c:numRef>
          </c:val>
          <c:extLst>
            <c:ext xmlns:c16="http://schemas.microsoft.com/office/drawing/2014/chart" uri="{C3380CC4-5D6E-409C-BE32-E72D297353CC}">
              <c16:uniqueId val="{0000002E-376D-4BE6-B611-7D757E42D574}"/>
            </c:ext>
          </c:extLst>
        </c:ser>
        <c:dLbls>
          <c:dLblPos val="ctr"/>
          <c:showLegendKey val="0"/>
          <c:showVal val="1"/>
          <c:showCatName val="0"/>
          <c:showSerName val="0"/>
          <c:showPercent val="0"/>
          <c:showBubbleSize val="0"/>
        </c:dLbls>
        <c:gapWidth val="50"/>
        <c:overlap val="100"/>
        <c:serLines>
          <c:spPr>
            <a:ln w="12700">
              <a:solidFill>
                <a:schemeClr val="bg2">
                  <a:lumMod val="10000"/>
                </a:schemeClr>
              </a:solidFill>
              <a:round/>
            </a:ln>
            <a:effectLst/>
          </c:spPr>
        </c:serLines>
        <c:axId val="1127295215"/>
        <c:axId val="1129534639"/>
      </c:barChart>
      <c:catAx>
        <c:axId val="1127295215"/>
        <c:scaling>
          <c:orientation val="minMax"/>
        </c:scaling>
        <c:delete val="1"/>
        <c:axPos val="l"/>
        <c:numFmt formatCode="General" sourceLinked="1"/>
        <c:majorTickMark val="none"/>
        <c:minorTickMark val="none"/>
        <c:tickLblPos val="nextTo"/>
        <c:crossAx val="1129534639"/>
        <c:crosses val="autoZero"/>
        <c:auto val="1"/>
        <c:lblAlgn val="ctr"/>
        <c:lblOffset val="100"/>
        <c:noMultiLvlLbl val="0"/>
      </c:catAx>
      <c:valAx>
        <c:axId val="1129534639"/>
        <c:scaling>
          <c:orientation val="minMax"/>
        </c:scaling>
        <c:delete val="0"/>
        <c:axPos val="b"/>
        <c:majorGridlines>
          <c:spPr>
            <a:ln w="9525" cap="flat" cmpd="sng" algn="ctr">
              <a:solidFill>
                <a:schemeClr val="bg2">
                  <a:lumMod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crossAx val="112729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10">
      <a:fgClr>
        <a:schemeClr val="bg2">
          <a:lumMod val="90000"/>
        </a:schemeClr>
      </a:fgClr>
      <a:bgClr>
        <a:schemeClr val="bg2"/>
      </a:bgClr>
    </a:pattFill>
    <a:ln w="9525" cap="flat" cmpd="sng" algn="ctr">
      <a:solidFill>
        <a:schemeClr val="tx1">
          <a:lumMod val="15000"/>
          <a:lumOff val="85000"/>
        </a:schemeClr>
      </a:solidFill>
      <a:round/>
    </a:ln>
    <a:effectLst/>
  </c:spPr>
  <c:txPr>
    <a:bodyPr/>
    <a:lstStyle/>
    <a:p>
      <a:pPr>
        <a:defRPr sz="1000" b="0">
          <a:solidFill>
            <a:schemeClr val="bg2">
              <a:lumMod val="10000"/>
            </a:schemeClr>
          </a:solidFill>
          <a:latin typeface="Bierstadt Display" panose="020B0004020202020204" pitchFamily="34" charset="0"/>
        </a:defRPr>
      </a:pPr>
      <a:endParaRPr lang="de-DE"/>
    </a:p>
  </c:tx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260285474391272E-2"/>
          <c:y val="4.1761579347000762E-2"/>
          <c:w val="0.88664987405541562"/>
          <c:h val="0.68156840588548295"/>
        </c:manualLayout>
      </c:layout>
      <c:bar3DChart>
        <c:barDir val="col"/>
        <c:grouping val="clustered"/>
        <c:varyColors val="0"/>
        <c:ser>
          <c:idx val="0"/>
          <c:order val="0"/>
          <c:tx>
            <c:strRef>
              <c:f>Rang!$C$2</c:f>
              <c:strCache>
                <c:ptCount val="1"/>
                <c:pt idx="0">
                  <c:v>Gesamt</c:v>
                </c:pt>
              </c:strCache>
            </c:strRef>
          </c:tx>
          <c:spPr>
            <a:solidFill>
              <a:schemeClr val="bg2">
                <a:lumMod val="25000"/>
              </a:schemeClr>
            </a:solidFill>
            <a:ln>
              <a:solidFill>
                <a:schemeClr val="bg2"/>
              </a:solidFill>
            </a:ln>
            <a:effectLst>
              <a:outerShdw blurRad="57150" dist="19050" dir="5400000" algn="ctr" rotWithShape="0">
                <a:srgbClr val="000000">
                  <a:alpha val="63000"/>
                </a:srgbClr>
              </a:outerShdw>
            </a:effectLst>
            <a:sp3d>
              <a:contourClr>
                <a:schemeClr val="bg2"/>
              </a:contourClr>
            </a:sp3d>
          </c:spPr>
          <c:invertIfNegative val="0"/>
          <c:cat>
            <c:strRef>
              <c:extLst>
                <c:ext xmlns:c15="http://schemas.microsoft.com/office/drawing/2012/chart" uri="{02D57815-91ED-43cb-92C2-25804820EDAC}">
                  <c15:fullRef>
                    <c15:sqref>Rang!$B$3:$B$10</c15:sqref>
                  </c15:fullRef>
                </c:ext>
              </c:extLst>
              <c:f>(Rang!$B$3:$B$7,Rang!$B$9:$B$10)</c:f>
              <c:strCache>
                <c:ptCount val="6"/>
                <c:pt idx="0">
                  <c:v>Andreas Rippin</c:v>
                </c:pt>
                <c:pt idx="1">
                  <c:v>Heiko Fuhrmann</c:v>
                </c:pt>
                <c:pt idx="2">
                  <c:v>Maik Fuhrmann</c:v>
                </c:pt>
                <c:pt idx="3">
                  <c:v>Patrick Hohmann</c:v>
                </c:pt>
                <c:pt idx="4">
                  <c:v>Philipp Paulmann</c:v>
                </c:pt>
                <c:pt idx="5">
                  <c:v>Tim Becker</c:v>
                </c:pt>
              </c:strCache>
            </c:strRef>
          </c:cat>
          <c:val>
            <c:numRef>
              <c:extLst>
                <c:ext xmlns:c15="http://schemas.microsoft.com/office/drawing/2012/chart" uri="{02D57815-91ED-43cb-92C2-25804820EDAC}">
                  <c15:fullRef>
                    <c15:sqref>Rang!$C$3:$C$10</c15:sqref>
                  </c15:fullRef>
                </c:ext>
              </c:extLst>
              <c:f>(Rang!$C$3:$C$7,Rang!$C$9:$C$10)</c:f>
              <c:numCache>
                <c:formatCode>General</c:formatCode>
                <c:ptCount val="7"/>
                <c:pt idx="0">
                  <c:v>1.7000000000000002</c:v>
                </c:pt>
                <c:pt idx="1">
                  <c:v>3.5</c:v>
                </c:pt>
                <c:pt idx="2">
                  <c:v>4.4000000000000004</c:v>
                </c:pt>
                <c:pt idx="3">
                  <c:v>3.4</c:v>
                </c:pt>
                <c:pt idx="4">
                  <c:v>5</c:v>
                </c:pt>
                <c:pt idx="5">
                  <c:v>3.3</c:v>
                </c:pt>
                <c:pt idx="6">
                  <c:v>#N/A</c:v>
                </c:pt>
              </c:numCache>
            </c:numRef>
          </c:val>
          <c:extLst>
            <c:ext xmlns:c16="http://schemas.microsoft.com/office/drawing/2014/chart" uri="{C3380CC4-5D6E-409C-BE32-E72D297353CC}">
              <c16:uniqueId val="{00000000-5823-41A3-A75B-BC4ECD098386}"/>
            </c:ext>
          </c:extLst>
        </c:ser>
        <c:ser>
          <c:idx val="1"/>
          <c:order val="1"/>
          <c:tx>
            <c:strRef>
              <c:f>Rang!$D$2</c:f>
              <c:strCache>
                <c:ptCount val="1"/>
                <c:pt idx="0">
                  <c:v>Heim</c:v>
                </c:pt>
              </c:strCache>
            </c:strRef>
          </c:tx>
          <c:spPr>
            <a:solidFill>
              <a:schemeClr val="accent5"/>
            </a:solidFill>
            <a:ln>
              <a:solidFill>
                <a:schemeClr val="bg2"/>
              </a:solidFill>
            </a:ln>
            <a:effectLst>
              <a:outerShdw blurRad="57150" dist="19050" dir="5400000" algn="ctr" rotWithShape="0">
                <a:srgbClr val="000000">
                  <a:alpha val="63000"/>
                </a:srgbClr>
              </a:outerShdw>
            </a:effectLst>
            <a:sp3d>
              <a:contourClr>
                <a:schemeClr val="bg2"/>
              </a:contourClr>
            </a:sp3d>
          </c:spPr>
          <c:invertIfNegative val="0"/>
          <c:cat>
            <c:strRef>
              <c:extLst>
                <c:ext xmlns:c15="http://schemas.microsoft.com/office/drawing/2012/chart" uri="{02D57815-91ED-43cb-92C2-25804820EDAC}">
                  <c15:fullRef>
                    <c15:sqref>Rang!$B$3:$B$10</c15:sqref>
                  </c15:fullRef>
                </c:ext>
              </c:extLst>
              <c:f>(Rang!$B$3:$B$7,Rang!$B$9:$B$10)</c:f>
              <c:strCache>
                <c:ptCount val="6"/>
                <c:pt idx="0">
                  <c:v>Andreas Rippin</c:v>
                </c:pt>
                <c:pt idx="1">
                  <c:v>Heiko Fuhrmann</c:v>
                </c:pt>
                <c:pt idx="2">
                  <c:v>Maik Fuhrmann</c:v>
                </c:pt>
                <c:pt idx="3">
                  <c:v>Patrick Hohmann</c:v>
                </c:pt>
                <c:pt idx="4">
                  <c:v>Philipp Paulmann</c:v>
                </c:pt>
                <c:pt idx="5">
                  <c:v>Tim Becker</c:v>
                </c:pt>
              </c:strCache>
            </c:strRef>
          </c:cat>
          <c:val>
            <c:numRef>
              <c:extLst>
                <c:ext xmlns:c15="http://schemas.microsoft.com/office/drawing/2012/chart" uri="{02D57815-91ED-43cb-92C2-25804820EDAC}">
                  <c15:fullRef>
                    <c15:sqref>Rang!$D$3:$D$10</c15:sqref>
                  </c15:fullRef>
                </c:ext>
              </c:extLst>
              <c:f>(Rang!$D$3:$D$7,Rang!$D$9:$D$10)</c:f>
              <c:numCache>
                <c:formatCode>General</c:formatCode>
                <c:ptCount val="7"/>
                <c:pt idx="0">
                  <c:v>1.7000000000000002</c:v>
                </c:pt>
                <c:pt idx="1">
                  <c:v>3.4</c:v>
                </c:pt>
                <c:pt idx="2">
                  <c:v>3.8</c:v>
                </c:pt>
                <c:pt idx="3">
                  <c:v>3.6</c:v>
                </c:pt>
                <c:pt idx="4">
                  <c:v>5.4</c:v>
                </c:pt>
                <c:pt idx="5">
                  <c:v>3.4</c:v>
                </c:pt>
                <c:pt idx="6">
                  <c:v>#N/A</c:v>
                </c:pt>
              </c:numCache>
            </c:numRef>
          </c:val>
          <c:extLst>
            <c:ext xmlns:c16="http://schemas.microsoft.com/office/drawing/2014/chart" uri="{C3380CC4-5D6E-409C-BE32-E72D297353CC}">
              <c16:uniqueId val="{00000004-5823-41A3-A75B-BC4ECD098386}"/>
            </c:ext>
          </c:extLst>
        </c:ser>
        <c:ser>
          <c:idx val="2"/>
          <c:order val="2"/>
          <c:tx>
            <c:strRef>
              <c:f>Rang!$E$2</c:f>
              <c:strCache>
                <c:ptCount val="1"/>
                <c:pt idx="0">
                  <c:v>Auswärts</c:v>
                </c:pt>
              </c:strCache>
            </c:strRef>
          </c:tx>
          <c:spPr>
            <a:solidFill>
              <a:srgbClr val="666699"/>
            </a:solidFill>
            <a:ln>
              <a:solidFill>
                <a:schemeClr val="bg2"/>
              </a:solidFill>
            </a:ln>
            <a:effectLst>
              <a:outerShdw blurRad="57150" dist="19050" dir="5400000" algn="ctr" rotWithShape="0">
                <a:srgbClr val="000000">
                  <a:alpha val="63000"/>
                </a:srgbClr>
              </a:outerShdw>
            </a:effectLst>
            <a:sp3d>
              <a:contourClr>
                <a:schemeClr val="bg2"/>
              </a:contourClr>
            </a:sp3d>
          </c:spPr>
          <c:invertIfNegative val="0"/>
          <c:cat>
            <c:strRef>
              <c:extLst>
                <c:ext xmlns:c15="http://schemas.microsoft.com/office/drawing/2012/chart" uri="{02D57815-91ED-43cb-92C2-25804820EDAC}">
                  <c15:fullRef>
                    <c15:sqref>Rang!$B$3:$B$10</c15:sqref>
                  </c15:fullRef>
                </c:ext>
              </c:extLst>
              <c:f>(Rang!$B$3:$B$7,Rang!$B$9:$B$10)</c:f>
              <c:strCache>
                <c:ptCount val="6"/>
                <c:pt idx="0">
                  <c:v>Andreas Rippin</c:v>
                </c:pt>
                <c:pt idx="1">
                  <c:v>Heiko Fuhrmann</c:v>
                </c:pt>
                <c:pt idx="2">
                  <c:v>Maik Fuhrmann</c:v>
                </c:pt>
                <c:pt idx="3">
                  <c:v>Patrick Hohmann</c:v>
                </c:pt>
                <c:pt idx="4">
                  <c:v>Philipp Paulmann</c:v>
                </c:pt>
                <c:pt idx="5">
                  <c:v>Tim Becker</c:v>
                </c:pt>
              </c:strCache>
            </c:strRef>
          </c:cat>
          <c:val>
            <c:numRef>
              <c:extLst>
                <c:ext xmlns:c15="http://schemas.microsoft.com/office/drawing/2012/chart" uri="{02D57815-91ED-43cb-92C2-25804820EDAC}">
                  <c15:fullRef>
                    <c15:sqref>Rang!$E$3:$E$10</c15:sqref>
                  </c15:fullRef>
                </c:ext>
              </c:extLst>
              <c:f>(Rang!$E$3:$E$7,Rang!$E$9:$E$10)</c:f>
              <c:numCache>
                <c:formatCode>General</c:formatCode>
                <c:ptCount val="7"/>
                <c:pt idx="0">
                  <c:v>1.7000000000000002</c:v>
                </c:pt>
                <c:pt idx="1">
                  <c:v>3.6</c:v>
                </c:pt>
                <c:pt idx="2">
                  <c:v>5</c:v>
                </c:pt>
                <c:pt idx="3">
                  <c:v>3</c:v>
                </c:pt>
                <c:pt idx="4">
                  <c:v>4.2</c:v>
                </c:pt>
                <c:pt idx="5">
                  <c:v>3</c:v>
                </c:pt>
                <c:pt idx="6">
                  <c:v>#N/A</c:v>
                </c:pt>
              </c:numCache>
            </c:numRef>
          </c:val>
          <c:extLst>
            <c:ext xmlns:c16="http://schemas.microsoft.com/office/drawing/2014/chart" uri="{C3380CC4-5D6E-409C-BE32-E72D297353CC}">
              <c16:uniqueId val="{00000005-5823-41A3-A75B-BC4ECD098386}"/>
            </c:ext>
          </c:extLst>
        </c:ser>
        <c:dLbls>
          <c:showLegendKey val="0"/>
          <c:showVal val="0"/>
          <c:showCatName val="0"/>
          <c:showSerName val="0"/>
          <c:showPercent val="0"/>
          <c:showBubbleSize val="0"/>
        </c:dLbls>
        <c:gapWidth val="150"/>
        <c:shape val="box"/>
        <c:axId val="346658336"/>
        <c:axId val="346642016"/>
        <c:axId val="0"/>
      </c:bar3DChart>
      <c:catAx>
        <c:axId val="346658336"/>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1200" b="0" i="0" u="none" strike="noStrike" kern="1200" baseline="0">
                <a:solidFill>
                  <a:schemeClr val="tx2"/>
                </a:solidFill>
                <a:latin typeface="Bierstadt" panose="020B0004020202020204" pitchFamily="34" charset="0"/>
                <a:ea typeface="+mn-ea"/>
                <a:cs typeface="+mn-cs"/>
              </a:defRPr>
            </a:pPr>
            <a:endParaRPr lang="de-DE"/>
          </a:p>
        </c:txPr>
        <c:crossAx val="346642016"/>
        <c:crosses val="autoZero"/>
        <c:auto val="1"/>
        <c:lblAlgn val="ctr"/>
        <c:lblOffset val="100"/>
        <c:noMultiLvlLbl val="0"/>
      </c:catAx>
      <c:valAx>
        <c:axId val="346642016"/>
        <c:scaling>
          <c:orientation val="minMax"/>
          <c:max val="6"/>
          <c:min val="1"/>
        </c:scaling>
        <c:delete val="1"/>
        <c:axPos val="l"/>
        <c:majorGridlines>
          <c:spPr>
            <a:ln w="9525" cap="flat" cmpd="sng" algn="ctr">
              <a:solidFill>
                <a:schemeClr val="tx1"/>
              </a:solidFill>
              <a:round/>
            </a:ln>
            <a:effectLst/>
          </c:spPr>
        </c:majorGridlines>
        <c:numFmt formatCode="General" sourceLinked="1"/>
        <c:majorTickMark val="out"/>
        <c:minorTickMark val="none"/>
        <c:tickLblPos val="nextTo"/>
        <c:crossAx val="346658336"/>
        <c:crosses val="autoZero"/>
        <c:crossBetween val="between"/>
        <c:majorUnit val="1"/>
        <c:minorUnit val="0.5"/>
      </c:valAx>
      <c:spPr>
        <a:noFill/>
        <a:ln>
          <a:noFill/>
        </a:ln>
        <a:effectLst/>
      </c:spPr>
    </c:plotArea>
    <c:legend>
      <c:legendPos val="b"/>
      <c:layout>
        <c:manualLayout>
          <c:xMode val="edge"/>
          <c:yMode val="edge"/>
          <c:x val="0.34398536673444235"/>
          <c:y val="8.0179541908058788E-2"/>
          <c:w val="0.31202926653111529"/>
          <c:h val="7.6995856725198639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2"/>
              </a:solidFill>
              <a:latin typeface="Bierstadt" panose="020B0004020202020204" pitchFamily="34" charset="0"/>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2"/>
      </a:solidFill>
      <a:round/>
    </a:ln>
    <a:effectLst/>
  </c:spPr>
  <c:txPr>
    <a:bodyPr/>
    <a:lstStyle/>
    <a:p>
      <a:pPr>
        <a:defRPr sz="1200">
          <a:solidFill>
            <a:schemeClr val="tx2"/>
          </a:solidFill>
          <a:latin typeface="Bierstadt" panose="020B0004020202020204" pitchFamily="34" charset="0"/>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a:solidFill>
          <a:schemeClr val="tx1">
            <a:lumMod val="15000"/>
            <a:lumOff val="85000"/>
          </a:schemeClr>
        </a:solidFill>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19050" cap="rnd">
        <a:solidFill>
          <a:schemeClr val="phClr">
            <a:alpha val="60000"/>
          </a:schemeClr>
        </a:solidFill>
        <a:round/>
      </a:ln>
    </cs:spPr>
  </cs:dataPointLine>
  <cs:dataPointMarker>
    <cs:lnRef idx="0">
      <cs:styleClr val="auto"/>
    </cs:lnRef>
    <cs:fillRef idx="0">
      <cs:styleClr val="auto"/>
    </cs:fillRef>
    <cs:effectRef idx="0"/>
    <cs:fontRef idx="minor">
      <a:schemeClr val="dk1"/>
    </cs:fontRef>
    <cs:spPr>
      <a:solidFill>
        <a:schemeClr val="lt1"/>
      </a:solidFill>
      <a:ln w="38100">
        <a:solidFill>
          <a:schemeClr val="phClr">
            <a:alpha val="60000"/>
          </a:schemeClr>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a:solidFill>
          <a:schemeClr val="tx1">
            <a:lumMod val="15000"/>
            <a:lumOff val="85000"/>
          </a:schemeClr>
        </a:solidFill>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a:solidFill>
          <a:schemeClr val="tx1">
            <a:lumMod val="25000"/>
            <a:lumOff val="75000"/>
          </a:schemeClr>
        </a:solidFill>
      </a:ln>
    </cs:spPr>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1197"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1064"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1197" kern="1200"/>
  </cs:chartArea>
  <cs:dataLabel>
    <cs:lnRef idx="0"/>
    <cs:fillRef idx="0"/>
    <cs:effectRef idx="0"/>
    <cs:fontRef idx="minor">
      <a:schemeClr val="tx1">
        <a:lumMod val="50000"/>
        <a:lumOff val="50000"/>
      </a:schemeClr>
    </cs:fontRef>
    <cs:defRPr sz="1197"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197"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1197"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1197"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1197"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2128"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1064"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1197"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absolute">
    <xdr:from>
      <xdr:col>29</xdr:col>
      <xdr:colOff>324778</xdr:colOff>
      <xdr:row>406</xdr:row>
      <xdr:rowOff>136712</xdr:rowOff>
    </xdr:from>
    <xdr:to>
      <xdr:col>32</xdr:col>
      <xdr:colOff>229239</xdr:colOff>
      <xdr:row>412</xdr:row>
      <xdr:rowOff>113852</xdr:rowOff>
    </xdr:to>
    <mc:AlternateContent xmlns:mc="http://schemas.openxmlformats.org/markup-compatibility/2006" xmlns:sle15="http://schemas.microsoft.com/office/drawing/2012/slicer">
      <mc:Choice Requires="sle15">
        <xdr:graphicFrame macro="">
          <xdr:nvGraphicFramePr>
            <xdr:cNvPr id="2" name="Team">
              <a:extLst>
                <a:ext uri="{FF2B5EF4-FFF2-40B4-BE49-F238E27FC236}">
                  <a16:creationId xmlns:a16="http://schemas.microsoft.com/office/drawing/2014/main" id="{81D64AD8-EE6E-4DC5-2E3B-DF53BC4AFDA3}"/>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14928925" y="951156"/>
              <a:ext cx="1594821" cy="1161825"/>
            </a:xfrm>
            <a:prstGeom prst="rect">
              <a:avLst/>
            </a:prstGeom>
            <a:solidFill>
              <a:prstClr val="white"/>
            </a:solidFill>
            <a:ln w="1">
              <a:solidFill>
                <a:prstClr val="green"/>
              </a:solidFill>
            </a:ln>
          </xdr:spPr>
          <xdr:txBody>
            <a:bodyPr vertOverflow="clip" horzOverflow="clip"/>
            <a:lstStyle/>
            <a:p>
              <a:r>
                <a:rPr lang="de-DE"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twoCellAnchor editAs="absolute">
    <xdr:from>
      <xdr:col>32</xdr:col>
      <xdr:colOff>209822</xdr:colOff>
      <xdr:row>406</xdr:row>
      <xdr:rowOff>97540</xdr:rowOff>
    </xdr:from>
    <xdr:to>
      <xdr:col>36</xdr:col>
      <xdr:colOff>10869</xdr:colOff>
      <xdr:row>412</xdr:row>
      <xdr:rowOff>135640</xdr:rowOff>
    </xdr:to>
    <mc:AlternateContent xmlns:mc="http://schemas.openxmlformats.org/markup-compatibility/2006" xmlns:sle15="http://schemas.microsoft.com/office/drawing/2012/slicer">
      <mc:Choice Requires="sle15">
        <xdr:graphicFrame macro="">
          <xdr:nvGraphicFramePr>
            <xdr:cNvPr id="3" name="L/P/E">
              <a:extLst>
                <a:ext uri="{FF2B5EF4-FFF2-40B4-BE49-F238E27FC236}">
                  <a16:creationId xmlns:a16="http://schemas.microsoft.com/office/drawing/2014/main" id="{E827CFC2-7105-9E16-0F47-6379C5A2723A}"/>
                </a:ext>
              </a:extLst>
            </xdr:cNvPr>
            <xdr:cNvGraphicFramePr/>
          </xdr:nvGraphicFramePr>
          <xdr:xfrm>
            <a:off x="0" y="0"/>
            <a:ext cx="0" cy="0"/>
          </xdr:xfrm>
          <a:graphic>
            <a:graphicData uri="http://schemas.microsoft.com/office/drawing/2010/slicer">
              <sle:slicer xmlns:sle="http://schemas.microsoft.com/office/drawing/2010/slicer" name="L/P/E"/>
            </a:graphicData>
          </a:graphic>
        </xdr:graphicFrame>
      </mc:Choice>
      <mc:Fallback xmlns="">
        <xdr:sp macro="" textlink="">
          <xdr:nvSpPr>
            <xdr:cNvPr id="0" name=""/>
            <xdr:cNvSpPr>
              <a:spLocks noTextEdit="1"/>
            </xdr:cNvSpPr>
          </xdr:nvSpPr>
          <xdr:spPr>
            <a:xfrm>
              <a:off x="16415578" y="903083"/>
              <a:ext cx="1626965" cy="1224643"/>
            </a:xfrm>
            <a:prstGeom prst="rect">
              <a:avLst/>
            </a:prstGeom>
            <a:solidFill>
              <a:prstClr val="white"/>
            </a:solidFill>
            <a:ln w="1">
              <a:solidFill>
                <a:prstClr val="green"/>
              </a:solidFill>
            </a:ln>
          </xdr:spPr>
          <xdr:txBody>
            <a:bodyPr vertOverflow="clip" horzOverflow="clip"/>
            <a:lstStyle/>
            <a:p>
              <a:r>
                <a:rPr lang="de-DE"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twoCellAnchor editAs="absolute">
    <xdr:from>
      <xdr:col>25</xdr:col>
      <xdr:colOff>162805</xdr:colOff>
      <xdr:row>406</xdr:row>
      <xdr:rowOff>131558</xdr:rowOff>
    </xdr:from>
    <xdr:to>
      <xdr:col>29</xdr:col>
      <xdr:colOff>330716</xdr:colOff>
      <xdr:row>415</xdr:row>
      <xdr:rowOff>170106</xdr:rowOff>
    </xdr:to>
    <mc:AlternateContent xmlns:mc="http://schemas.openxmlformats.org/markup-compatibility/2006" xmlns:sle15="http://schemas.microsoft.com/office/drawing/2012/slicer">
      <mc:Choice Requires="sle15">
        <xdr:graphicFrame macro="">
          <xdr:nvGraphicFramePr>
            <xdr:cNvPr id="4" name="ST">
              <a:extLst>
                <a:ext uri="{FF2B5EF4-FFF2-40B4-BE49-F238E27FC236}">
                  <a16:creationId xmlns:a16="http://schemas.microsoft.com/office/drawing/2014/main" id="{1B3DDB91-F6BC-369C-1B71-AC9A33EBE5BD}"/>
                </a:ext>
              </a:extLst>
            </xdr:cNvPr>
            <xdr:cNvGraphicFramePr/>
          </xdr:nvGraphicFramePr>
          <xdr:xfrm>
            <a:off x="0" y="0"/>
            <a:ext cx="0" cy="0"/>
          </xdr:xfrm>
          <a:graphic>
            <a:graphicData uri="http://schemas.microsoft.com/office/drawing/2010/slicer">
              <sle:slicer xmlns:sle="http://schemas.microsoft.com/office/drawing/2010/slicer" name="ST"/>
            </a:graphicData>
          </a:graphic>
        </xdr:graphicFrame>
      </mc:Choice>
      <mc:Fallback xmlns="">
        <xdr:sp macro="" textlink="">
          <xdr:nvSpPr>
            <xdr:cNvPr id="0" name=""/>
            <xdr:cNvSpPr>
              <a:spLocks noTextEdit="1"/>
            </xdr:cNvSpPr>
          </xdr:nvSpPr>
          <xdr:spPr>
            <a:xfrm>
              <a:off x="13341723" y="942192"/>
              <a:ext cx="1568375" cy="1822524"/>
            </a:xfrm>
            <a:prstGeom prst="rect">
              <a:avLst/>
            </a:prstGeom>
            <a:solidFill>
              <a:prstClr val="white"/>
            </a:solidFill>
            <a:ln w="1">
              <a:solidFill>
                <a:prstClr val="green"/>
              </a:solidFill>
            </a:ln>
          </xdr:spPr>
          <xdr:txBody>
            <a:bodyPr vertOverflow="clip" horzOverflow="clip"/>
            <a:lstStyle/>
            <a:p>
              <a:r>
                <a:rPr lang="de-DE"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15240</xdr:colOff>
      <xdr:row>0</xdr:row>
      <xdr:rowOff>179070</xdr:rowOff>
    </xdr:from>
    <xdr:to>
      <xdr:col>17</xdr:col>
      <xdr:colOff>396240</xdr:colOff>
      <xdr:row>11</xdr:row>
      <xdr:rowOff>22860</xdr:rowOff>
    </xdr:to>
    <xdr:graphicFrame macro="">
      <xdr:nvGraphicFramePr>
        <xdr:cNvPr id="3" name="Diagramm 2">
          <a:extLst>
            <a:ext uri="{FF2B5EF4-FFF2-40B4-BE49-F238E27FC236}">
              <a16:creationId xmlns:a16="http://schemas.microsoft.com/office/drawing/2014/main" id="{0C238E56-8B47-9AC4-7D4B-5E873F6F64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701040</xdr:colOff>
      <xdr:row>13</xdr:row>
      <xdr:rowOff>49530</xdr:rowOff>
    </xdr:from>
    <xdr:to>
      <xdr:col>16</xdr:col>
      <xdr:colOff>518160</xdr:colOff>
      <xdr:row>29</xdr:row>
      <xdr:rowOff>49530</xdr:rowOff>
    </xdr:to>
    <xdr:graphicFrame macro="">
      <xdr:nvGraphicFramePr>
        <xdr:cNvPr id="2" name="Diagramm 1">
          <a:extLst>
            <a:ext uri="{FF2B5EF4-FFF2-40B4-BE49-F238E27FC236}">
              <a16:creationId xmlns:a16="http://schemas.microsoft.com/office/drawing/2014/main" id="{62D202DD-B9BC-56C5-5C32-C2FCFB9C70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24650</xdr:colOff>
      <xdr:row>8</xdr:row>
      <xdr:rowOff>21177</xdr:rowOff>
    </xdr:from>
    <xdr:to>
      <xdr:col>12</xdr:col>
      <xdr:colOff>159512</xdr:colOff>
      <xdr:row>36</xdr:row>
      <xdr:rowOff>93892</xdr:rowOff>
    </xdr:to>
    <xdr:graphicFrame macro="">
      <xdr:nvGraphicFramePr>
        <xdr:cNvPr id="11" name="Diagramm 10">
          <a:extLst>
            <a:ext uri="{FF2B5EF4-FFF2-40B4-BE49-F238E27FC236}">
              <a16:creationId xmlns:a16="http://schemas.microsoft.com/office/drawing/2014/main" id="{18058E96-5BAD-57F3-DAC0-A7DD5A499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42</xdr:row>
      <xdr:rowOff>163830</xdr:rowOff>
    </xdr:from>
    <xdr:to>
      <xdr:col>12</xdr:col>
      <xdr:colOff>426720</xdr:colOff>
      <xdr:row>65</xdr:row>
      <xdr:rowOff>15240</xdr:rowOff>
    </xdr:to>
    <xdr:graphicFrame macro="">
      <xdr:nvGraphicFramePr>
        <xdr:cNvPr id="2" name="Diagramm 1">
          <a:extLst>
            <a:ext uri="{FF2B5EF4-FFF2-40B4-BE49-F238E27FC236}">
              <a16:creationId xmlns:a16="http://schemas.microsoft.com/office/drawing/2014/main" id="{20CB99A4-388B-D26A-4500-5AC317D6F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14</xdr:col>
      <xdr:colOff>551330</xdr:colOff>
      <xdr:row>51</xdr:row>
      <xdr:rowOff>192742</xdr:rowOff>
    </xdr:from>
    <xdr:to>
      <xdr:col>36</xdr:col>
      <xdr:colOff>627529</xdr:colOff>
      <xdr:row>66</xdr:row>
      <xdr:rowOff>143436</xdr:rowOff>
    </xdr:to>
    <xdr:graphicFrame macro="">
      <xdr:nvGraphicFramePr>
        <xdr:cNvPr id="3" name="Diagramm 2">
          <a:extLst>
            <a:ext uri="{FF2B5EF4-FFF2-40B4-BE49-F238E27FC236}">
              <a16:creationId xmlns:a16="http://schemas.microsoft.com/office/drawing/2014/main" id="{7724D610-39E5-95E2-DE32-4DC632586A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8965</xdr:colOff>
      <xdr:row>67</xdr:row>
      <xdr:rowOff>89647</xdr:rowOff>
    </xdr:from>
    <xdr:to>
      <xdr:col>36</xdr:col>
      <xdr:colOff>649940</xdr:colOff>
      <xdr:row>82</xdr:row>
      <xdr:rowOff>58271</xdr:rowOff>
    </xdr:to>
    <xdr:graphicFrame macro="">
      <xdr:nvGraphicFramePr>
        <xdr:cNvPr id="4" name="Diagramm 3">
          <a:extLst>
            <a:ext uri="{FF2B5EF4-FFF2-40B4-BE49-F238E27FC236}">
              <a16:creationId xmlns:a16="http://schemas.microsoft.com/office/drawing/2014/main" id="{3F1F8854-8D19-41F4-AF38-18FA532C1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83</xdr:row>
      <xdr:rowOff>0</xdr:rowOff>
    </xdr:from>
    <xdr:to>
      <xdr:col>36</xdr:col>
      <xdr:colOff>640975</xdr:colOff>
      <xdr:row>97</xdr:row>
      <xdr:rowOff>165847</xdr:rowOff>
    </xdr:to>
    <xdr:graphicFrame macro="">
      <xdr:nvGraphicFramePr>
        <xdr:cNvPr id="5" name="Diagramm 4">
          <a:extLst>
            <a:ext uri="{FF2B5EF4-FFF2-40B4-BE49-F238E27FC236}">
              <a16:creationId xmlns:a16="http://schemas.microsoft.com/office/drawing/2014/main" id="{07ADFD93-80EF-4B06-B434-B60B2CFBC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603885</xdr:colOff>
      <xdr:row>1</xdr:row>
      <xdr:rowOff>0</xdr:rowOff>
    </xdr:from>
    <xdr:to>
      <xdr:col>14</xdr:col>
      <xdr:colOff>558165</xdr:colOff>
      <xdr:row>19</xdr:row>
      <xdr:rowOff>156210</xdr:rowOff>
    </xdr:to>
    <xdr:graphicFrame macro="">
      <xdr:nvGraphicFramePr>
        <xdr:cNvPr id="2" name="Diagramm 1">
          <a:extLst>
            <a:ext uri="{FF2B5EF4-FFF2-40B4-BE49-F238E27FC236}">
              <a16:creationId xmlns:a16="http://schemas.microsoft.com/office/drawing/2014/main" id="{B6BE617D-B2CD-12E2-4626-D156169A3F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781050</xdr:colOff>
      <xdr:row>0</xdr:row>
      <xdr:rowOff>171450</xdr:rowOff>
    </xdr:from>
    <xdr:to>
      <xdr:col>18</xdr:col>
      <xdr:colOff>782955</xdr:colOff>
      <xdr:row>19</xdr:row>
      <xdr:rowOff>43815</xdr:rowOff>
    </xdr:to>
    <xdr:graphicFrame macro="">
      <xdr:nvGraphicFramePr>
        <xdr:cNvPr id="2" name="Diagramm 1">
          <a:extLst>
            <a:ext uri="{FF2B5EF4-FFF2-40B4-BE49-F238E27FC236}">
              <a16:creationId xmlns:a16="http://schemas.microsoft.com/office/drawing/2014/main" id="{FE533CC2-E68A-B7BA-D167-FFC2CFE915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510540</xdr:colOff>
      <xdr:row>0</xdr:row>
      <xdr:rowOff>152400</xdr:rowOff>
    </xdr:from>
    <xdr:to>
      <xdr:col>16</xdr:col>
      <xdr:colOff>213360</xdr:colOff>
      <xdr:row>17</xdr:row>
      <xdr:rowOff>160020</xdr:rowOff>
    </xdr:to>
    <xdr:graphicFrame macro="">
      <xdr:nvGraphicFramePr>
        <xdr:cNvPr id="2" name="Diagramm 1">
          <a:extLst>
            <a:ext uri="{FF2B5EF4-FFF2-40B4-BE49-F238E27FC236}">
              <a16:creationId xmlns:a16="http://schemas.microsoft.com/office/drawing/2014/main" id="{8668DF34-AA39-B2B3-5CDE-DA0B484BF5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Team" xr10:uid="{F08E8AF0-AA15-4A8B-8BC5-BCF96979AC3C}" sourceName="Team">
  <extLst>
    <x:ext xmlns:x15="http://schemas.microsoft.com/office/spreadsheetml/2010/11/main" uri="{2F2917AC-EB37-4324-AD4E-5DD8C200BD13}">
      <x15:tableSlicerCache tableId="26"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L_P_E" xr10:uid="{166906AA-CB67-45FC-BB59-2D122A609CBC}" sourceName="Modus">
  <extLst>
    <x:ext xmlns:x15="http://schemas.microsoft.com/office/spreadsheetml/2010/11/main" uri="{2F2917AC-EB37-4324-AD4E-5DD8C200BD13}">
      <x15:tableSlicerCache tableId="26"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ST" xr10:uid="{EA2965AD-7979-49EF-A182-A8C963D78840}" sourceName="Spieltag">
  <extLst>
    <x:ext xmlns:x15="http://schemas.microsoft.com/office/spreadsheetml/2010/11/main" uri="{2F2917AC-EB37-4324-AD4E-5DD8C200BD13}">
      <x15:tableSlicerCache tableId="26"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FC8CE1C5-54B9-4E50-8FB7-4E193FF806F3}" cache="Datenschnitt_Team" caption="Team" startItem="5" style="SlicerStyleOther2" rowHeight="234950"/>
  <slicer name="L/P/E" xr10:uid="{350F8DF4-3BCE-491E-9CE5-CEC11F21CED9}" cache="Datenschnitt_L_P_E" caption="Modus" startItem="2" style="SlicerStyleOther2" rowHeight="234950"/>
  <slicer name="ST" xr10:uid="{F03B6FB4-FA59-4DCF-BBE6-BCD9A549CBE0}" cache="Datenschnitt_ST" caption="Spieltag"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977663-7C0B-4BD7-B479-56ACEA05670E}" name="Teamzuordnung" displayName="Teamzuordnung" ref="A2:C53" totalsRowShown="0" headerRowDxfId="1197" dataDxfId="1195" headerRowBorderDxfId="1196" tableBorderDxfId="1194">
  <autoFilter ref="A2:C53" xr:uid="{FC977663-7C0B-4BD7-B479-56ACEA05670E}">
    <filterColumn colId="0" hiddenButton="1"/>
    <filterColumn colId="1" hiddenButton="1"/>
    <filterColumn colId="2" hiddenButton="1"/>
  </autoFilter>
  <sortState xmlns:xlrd2="http://schemas.microsoft.com/office/spreadsheetml/2017/richdata2" ref="A3:C53">
    <sortCondition ref="B42:B53"/>
  </sortState>
  <tableColumns count="3">
    <tableColumn id="3" xr3:uid="{022CECC4-7866-4257-8E56-3578DEA16996}" name="Nummer" dataDxfId="1193">
      <calculatedColumnFormula>ROW(A3)-2</calculatedColumnFormula>
    </tableColumn>
    <tableColumn id="1" xr3:uid="{AB147C2F-24BA-4B62-B2F4-3B63272B81F6}" name="Name" dataDxfId="1192"/>
    <tableColumn id="2" xr3:uid="{6EF855CF-583D-47E8-9927-4D583BAE5812}" name="Team" dataDxfId="1191"/>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64C11F0-C7F9-49BB-BC65-B122021659E7}" name="Chronologie" displayName="Chronologie" ref="E2:V125" totalsRowShown="0" headerRowDxfId="1190" dataDxfId="1188" headerRowBorderDxfId="1189" tableBorderDxfId="1187">
  <autoFilter ref="E2:V125" xr:uid="{D64C11F0-C7F9-49BB-BC65-B122021659E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218BC58E-1898-4519-A46B-37766046E638}" name="SA-NR" dataDxfId="1186">
      <calculatedColumnFormula>ROW(E3)-2</calculatedColumnFormula>
    </tableColumn>
    <tableColumn id="5" xr3:uid="{B740C556-490C-4021-8224-3BEE9055D2C8}" name="ID" dataDxfId="1185">
      <calculatedColumnFormula>Chronologie[[#This Row],[Team]]&amp;"-"&amp;Chronologie[[#This Row],[L/P/E]]&amp;"-"&amp;Chronologie[[#This Row],[ST]]</calculatedColumnFormula>
    </tableColumn>
    <tableColumn id="2" xr3:uid="{E75070F1-BBB3-48C8-9A3C-60A20E68CB39}" name="Datum" dataDxfId="1184"/>
    <tableColumn id="3" xr3:uid="{3ABC9247-F218-4457-A355-BE1BDC5E12EA}" name="Team" dataDxfId="1183"/>
    <tableColumn id="4" xr3:uid="{A2546527-711A-433F-91BD-9834F2201FDE}" name="L/P/E" dataDxfId="1182"/>
    <tableColumn id="6" xr3:uid="{ECF5D453-FA2D-4DFA-A1F4-1F8C24B87828}" name="ST" dataDxfId="1181"/>
    <tableColumn id="8" xr3:uid="{12544042-FD26-43C4-8CF5-D552FFC130D0}" name="Gegner" dataDxfId="1180"/>
    <tableColumn id="12" xr3:uid="{EB666748-E933-4278-B3EC-A5C826D20E93}" name="Ort" dataDxfId="1179">
      <calculatedColumnFormula>IF(Chronologie[[#This Row],[H/A]]="A",VLOOKUP(Chronologie[[#This Row],[Gegner]],Orte[],4,FALSE),IF(Chronologie[[#This Row],[H/A]]="H","Hirschfeld",Chronologie[[#This Row],[Gegner]]))</calculatedColumnFormula>
    </tableColumn>
    <tableColumn id="7" xr3:uid="{98D23BDE-F43F-44DD-A893-09A058DDAC47}" name="H/A" dataDxfId="1178"/>
    <tableColumn id="9" xr3:uid="{B77A796E-DE21-4551-9B1A-B414B7B7B87E}" name="SANR" dataDxfId="1177">
      <calculatedColumnFormula>Chronologie[[#This Row],[SA-NR]]</calculatedColumnFormula>
    </tableColumn>
    <tableColumn id="11" xr3:uid="{E096CA14-1A7F-4242-8433-CB69D973627A}" name="Gespielt" dataDxfId="1176">
      <calculatedColumnFormula>IF(Chronologie[[#This Row],[Datum]]="","",IF(TODAY()&gt;=Chronologie[[#This Row],[Datum]],1,0))</calculatedColumnFormula>
    </tableColumn>
    <tableColumn id="10" xr3:uid="{D74B0ECE-287D-4653-B0D7-09CA5E6DE1BB}" name="Eingetragen?" dataDxfId="1175">
      <calculatedColumnFormula>IF(COUNTIFS(Eingabe[ID],Chronologie[[#This Row],[ID]],Eingabe[GES],"&gt;0")&gt;=1,1,0)</calculatedColumnFormula>
    </tableColumn>
    <tableColumn id="13" xr3:uid="{6D574E80-76C2-4120-8CE6-4A215A91291B}" name="KW" dataDxfId="1174">
      <calculatedColumnFormula>IF(YEAR(Chronologie[[#This Row],[Datum]])=2025,WEEKNUM(Chronologie[[#This Row],[Datum]],2)-34,IF(YEAR(Chronologie[[#This Row],[Datum]])=2026,WEEKNUM(Chronologie[[#This Row],[Datum]],2)+18,""))</calculatedColumnFormula>
    </tableColumn>
    <tableColumn id="14" xr3:uid="{4EE43220-9012-46A7-80C4-175553F74084}" name="Kurzform" dataDxfId="1173">
      <calculatedColumnFormula>IF(Chronologie[[#This Row],[Gegner]]="","",VLOOKUP(Chronologie[[#This Row],[Gegner]],Orte[],5,FALSE))</calculatedColumnFormula>
    </tableColumn>
    <tableColumn id="18" xr3:uid="{4767F6AE-D5DC-4B7D-9007-90F1F2488C8B}" name="Bahnen" dataDxfId="1172">
      <calculatedColumnFormula>IF(Chronologie[[#This Row],[Gegner]]="","",IF(Chronologie[[#This Row],[H/A]]="H",4,VLOOKUP(Chronologie[[#This Row],[Gegner]],Orte[],6,FALSE)))</calculatedColumnFormula>
    </tableColumn>
    <tableColumn id="15" xr3:uid="{D48F9DE3-F5B5-40F9-B6DA-1E0F0083A543}" name="Startzeit" dataDxfId="1171"/>
    <tableColumn id="19" xr3:uid="{0F86A0E5-9BA1-4A4F-9309-AD84D66AF977}" name="Start" dataDxfId="1170">
      <calculatedColumnFormula>IFERROR(TIMEVALUE(LEFT(Chronologie[[#This Row],[Startzeit]],5)),"")</calculatedColumnFormula>
    </tableColumn>
    <tableColumn id="16" xr3:uid="{990D3868-1B41-4A26-A936-45753B57518E}" name="Endzeit" dataDxfId="1169">
      <calculatedColumnFormula>IFERROR(TIMEVALUE(LEFT(Chronologie[[#This Row],[Startzeit]],5))+TIME(12/Chronologie[[#This Row],[Bahnen]],0,0),"")</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398D3B8-6D36-441B-906A-ADCB9EA102F2}" name="Orte" displayName="Orte" ref="X2:AC93" totalsRowShown="0" headerRowDxfId="1168" dataDxfId="1166" headerRowBorderDxfId="1167" tableBorderDxfId="1165">
  <autoFilter ref="X2:AC93" xr:uid="{8398D3B8-6D36-441B-906A-ADCB9EA102F2}">
    <filterColumn colId="0" hiddenButton="1"/>
    <filterColumn colId="1" hiddenButton="1"/>
    <filterColumn colId="2" hiddenButton="1"/>
    <filterColumn colId="3" hiddenButton="1"/>
    <filterColumn colId="4" hiddenButton="1"/>
    <filterColumn colId="5" hiddenButton="1"/>
  </autoFilter>
  <sortState xmlns:xlrd2="http://schemas.microsoft.com/office/spreadsheetml/2017/richdata2" ref="X3:AC76">
    <sortCondition ref="X14:X76"/>
  </sortState>
  <tableColumns count="6">
    <tableColumn id="1" xr3:uid="{D6BDD378-A418-45C5-A463-2FE105B1DCB3}" name="Gegner" dataDxfId="1164"/>
    <tableColumn id="2" xr3:uid="{0574C7ED-1554-4E99-AA67-EE59D1F133C1}" name="Anschrift" dataDxfId="1163"/>
    <tableColumn id="4" xr3:uid="{257255F3-4DEB-4704-BB34-FD29F5B6E4AD}" name="PLZ" dataDxfId="1162"/>
    <tableColumn id="3" xr3:uid="{AB6D49DD-3F4D-4EE9-A7F5-D2842AA00181}" name="Ort" dataDxfId="1161">
      <calculatedColumnFormula>IF(Orte[[#This Row],[Anschrift]]="",Orte[[#This Row],[Kurzform]],RIGHT(Orte[[#This Row],[Anschrift]],LEN(Orte[[#This Row],[Anschrift]])-FIND("#",SUBSTITUTE(Orte[[#This Row],[Anschrift]]," ","#",LEN(Orte[[#This Row],[Anschrift]])-LEN(SUBSTITUTE(Orte[[#This Row],[Anschrift]]," ",))))))</calculatedColumnFormula>
    </tableColumn>
    <tableColumn id="5" xr3:uid="{1F61048A-6DEC-4E16-8AA7-19C76D1C3F1F}" name="Kurzform" dataDxfId="1160"/>
    <tableColumn id="6" xr3:uid="{AB1BD0BA-62A6-4DC8-A94E-29E994958C05}" name="Bahnen" dataDxfId="1159"/>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1DB1E1D-9781-47CF-A6D2-14BA97D39AE1}" name="Eingabe" displayName="Eingabe" ref="B2:AZ800" totalsRowShown="0" headerRowDxfId="1158" dataDxfId="1156" totalsRowDxfId="1155" headerRowBorderDxfId="1157">
  <autoFilter ref="B2:AZ800" xr:uid="{21DB1E1D-9781-47CF-A6D2-14BA97D39AE1}">
    <filterColumn colId="0" hiddenButton="1"/>
    <filterColumn colId="1" hiddenButton="1"/>
    <filterColumn colId="2" hiddenButton="1"/>
    <filterColumn colId="3" hiddenButton="1"/>
    <filterColumn colId="4" hiddenButton="1">
      <filters>
        <filter val="U14"/>
      </filters>
    </filterColumn>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autoFilter>
  <tableColumns count="51">
    <tableColumn id="1" xr3:uid="{A95AD582-DE1F-41ED-8CE6-8A969C2D6EB4}" name="S-NR" dataDxfId="1154" totalsRowDxfId="1153">
      <calculatedColumnFormula>ROUNDUP((ROW(B3)-2)/6,0)</calculatedColumnFormula>
    </tableColumn>
    <tableColumn id="2" xr3:uid="{C104F99B-3545-4754-B860-FD632E25857D}" name="Gegner" dataDxfId="1152" totalsRowDxfId="1151">
      <calculatedColumnFormula>VLOOKUP($B3,Chronologie[],7,TRUE)</calculatedColumnFormula>
    </tableColumn>
    <tableColumn id="34" xr3:uid="{E5C2C6FB-3113-4F16-9403-0D1BF09897AD}" name="Ort" dataDxfId="1150" totalsRowDxfId="1149">
      <calculatedColumnFormula>VLOOKUP($B3,Chronologie[],8,TRUE)</calculatedColumnFormula>
    </tableColumn>
    <tableColumn id="3" xr3:uid="{006C9CAF-511E-4F69-866D-2CF0B8D27E72}" name="Wo" dataDxfId="1148" totalsRowDxfId="1147">
      <calculatedColumnFormula>VLOOKUP($B3,Chronologie[],9,TRUE)</calculatedColumnFormula>
    </tableColumn>
    <tableColumn id="4" xr3:uid="{B1667DBA-BECE-473A-A782-20B13AE7C55C}" name="Team" dataDxfId="1146">
      <calculatedColumnFormula>VLOOKUP($B3,Chronologie[],COLUMN(F4)-2,TRUE)</calculatedColumnFormula>
    </tableColumn>
    <tableColumn id="5" xr3:uid="{C401E736-D50E-4F23-8EE8-DA239169822D}" name="Modus" dataDxfId="1145" totalsRowDxfId="1144">
      <calculatedColumnFormula>VLOOKUP($B3,Chronologie[],COLUMN(G4)-2,TRUE)</calculatedColumnFormula>
    </tableColumn>
    <tableColumn id="6" xr3:uid="{614C492A-33DC-4EC8-AE93-325F89A5359C}" name="Spieltag" dataDxfId="1143" totalsRowDxfId="1142">
      <calculatedColumnFormula>VLOOKUP($B3,Chronologie[],COLUMN(H4)-2,TRUE)</calculatedColumnFormula>
    </tableColumn>
    <tableColumn id="7" xr3:uid="{4434D7AB-9FEB-4764-B153-DDDE42706ECB}" name="ID" dataDxfId="1141" totalsRowDxfId="1140">
      <calculatedColumnFormula>VLOOKUP($B3,Chronologie[],2,TRUE)</calculatedColumnFormula>
    </tableColumn>
    <tableColumn id="8" xr3:uid="{08642084-75DA-4453-84B6-B884FD641E00}" name="Datum" dataDxfId="1139" totalsRowDxfId="1138">
      <calculatedColumnFormula>VLOOKUP($B3,Chronologie[],3,TRUE)</calculatedColumnFormula>
    </tableColumn>
    <tableColumn id="9" xr3:uid="{585A0430-1277-44B9-845F-D6761EF2CD3C}" name="Name" dataDxfId="1137" totalsRowDxfId="1136"/>
    <tableColumn id="50" xr3:uid="{2074E83C-DA8C-481C-B649-2B402273506E}" name="V1" dataDxfId="1135" totalsRowDxfId="1134"/>
    <tableColumn id="49" xr3:uid="{36DEC869-BE3A-45ED-948A-9666099F0C1F}" name="V2" dataDxfId="1133" totalsRowDxfId="1132"/>
    <tableColumn id="48" xr3:uid="{7ECA8276-6F44-4850-BCD3-508E62A9AB0D}" name="V3" dataDxfId="1131" totalsRowDxfId="1130"/>
    <tableColumn id="47" xr3:uid="{111DEE24-A4F1-40F6-9B64-0454DDC898F3}" name="V4" dataDxfId="1129" totalsRowDxfId="1128"/>
    <tableColumn id="46" xr3:uid="{AE9E5766-141A-47AF-9C9A-9BDB97A2FE71}" name="R1" dataDxfId="1127" totalsRowDxfId="1126"/>
    <tableColumn id="44" xr3:uid="{08C63ECF-F256-4E06-8275-ACC593DD5229}" name="R2" dataDxfId="1125" totalsRowDxfId="1124"/>
    <tableColumn id="43" xr3:uid="{C6D30A66-9E53-442F-9B95-BCC485AAC20F}" name="R3" dataDxfId="1123" totalsRowDxfId="1122"/>
    <tableColumn id="38" xr3:uid="{4E1FC5D7-11FA-4C97-9DC5-5E094EBD7415}" name="R4" dataDxfId="1121" totalsRowDxfId="1120"/>
    <tableColumn id="37" xr3:uid="{31C413FB-7A02-4022-95AF-66037FE744E2}" name="F1" dataDxfId="1119" totalsRowDxfId="1118"/>
    <tableColumn id="33" xr3:uid="{903C9C7E-D7B7-448E-8728-67E7C3048B76}" name="F2" dataDxfId="1117" totalsRowDxfId="1116"/>
    <tableColumn id="32" xr3:uid="{1A21A2E8-FA64-41ED-9195-DB5DB2D0A3B5}" name="F3" dataDxfId="1115" totalsRowDxfId="1114"/>
    <tableColumn id="24" xr3:uid="{45D1119A-C779-4B1D-B772-F9FDDF148319}" name="F4" dataDxfId="1113" totalsRowDxfId="1112"/>
    <tableColumn id="13" xr3:uid="{F8C0F231-4C8D-4A9A-A7BC-65706C534E0E}" name="S1P" dataDxfId="1111" totalsRowDxfId="1110"/>
    <tableColumn id="14" xr3:uid="{29EEED6C-B392-47EC-9ABD-EEA619EFBB85}" name="S2P" dataDxfId="1109" totalsRowDxfId="1108"/>
    <tableColumn id="15" xr3:uid="{C14FDD0C-4A4C-42D8-9EBD-08BDBEB1674A}" name="S3P" dataDxfId="1107" totalsRowDxfId="1106"/>
    <tableColumn id="16" xr3:uid="{7FBAB671-C82F-4610-BBC4-BBF863479E81}" name="S4P" dataDxfId="1105"/>
    <tableColumn id="17" xr3:uid="{A8FB715D-E09A-4B23-8749-FD1FC20BE493}" name="GEGGES" dataDxfId="1104"/>
    <tableColumn id="10" xr3:uid="{D250D0A2-0AF9-4919-8085-60334F8389BB}" name="Volle" dataDxfId="1103">
      <calculatedColumnFormula>IF(Eingabe[[#This Row],[V1]]="",IF(Eingabe[[#This Row],[Volle alternativ]]="","",Eingabe[[#This Row],[Volle alternativ]]),SUM(Eingabe[[#This Row],[V1]:[V4]]))</calculatedColumnFormula>
    </tableColumn>
    <tableColumn id="11" xr3:uid="{9DFBAA57-7D20-4730-8319-E04FA2B51504}" name="Räumer" dataDxfId="1102">
      <calculatedColumnFormula>IF(Eingabe[[#This Row],[R1]]="",IF(Eingabe[[#This Row],[Räumer alternativ]]="","",Eingabe[[#This Row],[Räumer alternativ]]),SUM(Eingabe[[#This Row],[R1]:[R4]]))</calculatedColumnFormula>
    </tableColumn>
    <tableColumn id="12" xr3:uid="{E2E00952-5261-4FC5-AD83-729B33EE8FA4}" name="Fehler" dataDxfId="1101">
      <calculatedColumnFormula>IF(Eingabe[[#This Row],[F1]]="",IF(Eingabe[[#This Row],[Fehler alternativ]]="","",Eingabe[[#This Row],[Fehler alternativ]]),SUM(Eingabe[[#This Row],[F1]:[F4]]))</calculatedColumnFormula>
    </tableColumn>
    <tableColumn id="18" xr3:uid="{37C5A56E-7AAD-49F9-BECA-587F4E81FAA6}" name="GES" dataDxfId="1100" totalsRowDxfId="1099">
      <calculatedColumnFormula>IF(Eingabe[[#This Row],[Volle]]="","",IF(Eingabe[[#This Row],[S1]]="",Eingabe[[#This Row],[Volle]]+Eingabe[[#This Row],[Räumer]],IF(Eingabe[[#This Row],[Volle]]+Eingabe[[#This Row],[Räumer]]=Eingabe[[#This Row],[S1]]+Eingabe[[#This Row],[S2]]+Eingabe[[#This Row],[S3]]+Eingabe[[#This Row],[S4]],Eingabe[[#This Row],[Volle]]+Eingabe[[#This Row],[Räumer]],"FEHLER")))</calculatedColumnFormula>
    </tableColumn>
    <tableColumn id="26" xr3:uid="{457D0EE9-1376-4F7F-8212-CA1984D89B5F}" name="S1" dataDxfId="1098" totalsRowDxfId="1097">
      <calculatedColumnFormula>IF(Eingabe[[#This Row],[V1]]="","",Eingabe[[#This Row],[V1]]+Eingabe[[#This Row],[R1]])</calculatedColumnFormula>
    </tableColumn>
    <tableColumn id="28" xr3:uid="{7A7E782B-7456-4594-850C-59ED8F065A95}" name="S2" dataDxfId="1096" totalsRowDxfId="1095">
      <calculatedColumnFormula>IF(Eingabe[[#This Row],[V2]]="","",Eingabe[[#This Row],[V2]]+Eingabe[[#This Row],[R2]])</calculatedColumnFormula>
    </tableColumn>
    <tableColumn id="29" xr3:uid="{393CB173-351D-4FB8-B87C-916D87294181}" name="S3" dataDxfId="1094" totalsRowDxfId="1093">
      <calculatedColumnFormula>IF(Eingabe[[#This Row],[V3]]="","",Eingabe[[#This Row],[V3]]+Eingabe[[#This Row],[R3]])</calculatedColumnFormula>
    </tableColumn>
    <tableColumn id="30" xr3:uid="{7FCD0695-E4A8-4334-9355-C6D3745431DD}" name="S4" dataDxfId="1092" totalsRowDxfId="1091">
      <calculatedColumnFormula>IF(Eingabe[[#This Row],[V4]]="","",Eingabe[[#This Row],[V4]]+Eingabe[[#This Row],[R4]])</calculatedColumnFormula>
    </tableColumn>
    <tableColumn id="19" xr3:uid="{BD032A60-3DF9-45BE-905C-3E2653011C18}" name="SP" dataDxfId="1090" totalsRowDxfId="1089">
      <calculatedColumnFormula>IF(Eingabe[[#This Row],[S1P]]="","",Eingabe[[#This Row],[S1P]]+Eingabe[[#This Row],[S2P]]+Eingabe[[#This Row],[S3P]]+Eingabe[[#This Row],[S4P]])</calculatedColumnFormula>
    </tableColumn>
    <tableColumn id="20" xr3:uid="{D3DD0960-3F01-4620-9BC7-F978DA90F45F}" name="MP" dataDxfId="1088" totalsRowDxfId="1087">
      <calculatedColumnFormula>IF(Eingabe[[#This Row],[S1P]]="","",IF(Eingabe[[#This Row],[SP]]&gt;2,1,IF(Eingabe[[#This Row],[SP]]&lt;2,0,IF(Eingabe[[#This Row],[GES]]&gt;Eingabe[[#This Row],[GEGGES]],1,IF(Eingabe[[#This Row],[GES]]=Eingabe[[#This Row],[GEGGES]],0.5,0)))))</calculatedColumnFormula>
    </tableColumn>
    <tableColumn id="27" xr3:uid="{8711141F-692C-4AFC-A3CF-02524C781A62}" name="Position" dataDxfId="1086" totalsRowDxfId="1085">
      <calculatedColumnFormula>IF(Eingabe[[#This Row],[MP]]="","",MOD(ROW(Eingabe[[#This Row],[Position]])-3,6)+1)</calculatedColumnFormula>
    </tableColumn>
    <tableColumn id="25" xr3:uid="{3F849E15-21FF-4EB8-83C8-2191D502C332}" name="Z-Score" dataDxfId="1084" totalsRowDxfId="1083">
      <calculatedColumnFormula>STANDARDIZE(Eingabe[[#This Row],[GES]],Eingabe[[#This Row],[Schnitt]],VLOOKUP(Eingabe[[#This Row],[Name]],AuswertungG[],21,FALSE))</calculatedColumnFormula>
    </tableColumn>
    <tableColumn id="35" xr3:uid="{B8925861-8982-4A96-AD7F-DB9367065FB7}" name="KW" dataDxfId="1082" totalsRowDxfId="1081">
      <calculatedColumnFormula>VLOOKUP(Eingabe[[#This Row],[ID]],Chronologie[[ID]:[KW]],12,FALSE)</calculatedColumnFormula>
    </tableColumn>
    <tableColumn id="36" xr3:uid="{4453CA51-F302-4B86-B7FF-5AE6F47B296E}" name="Kurzform" dataDxfId="1080" totalsRowDxfId="1079">
      <calculatedColumnFormula>IF(Eingabe[[#This Row],[Wo]]="H",Eingabe[[#This Row],[Gegner]]&amp;" ["&amp;Eingabe[[#This Row],[Wo]]&amp;"]",Eingabe[[#This Row],[Ort]])</calculatedColumnFormula>
    </tableColumn>
    <tableColumn id="39" xr3:uid="{80ACB354-F6FF-4451-BE23-81F20B986220}" name="Heimbahn 1" dataDxfId="1078">
      <calculatedColumnFormula>IFERROR(IF(Eingabe[[#This Row],[Wo]]="H",IF(MOD(Eingabe[[#This Row],[Position]],2)=1,Eingabe[[#This Row],[S1]],Eingabe[[#This Row],[S4]]),""),"")</calculatedColumnFormula>
    </tableColumn>
    <tableColumn id="40" xr3:uid="{89849FB6-9CE4-4824-8597-EEDC8712EF80}" name="Heimbahn 2" dataDxfId="1077">
      <calculatedColumnFormula>IFERROR(IF(Eingabe[[#This Row],[Wo]]="H",IF(Eingabe[[#This Row],[S1]]&gt;0,IF(MOD(Eingabe[[#This Row],[Position]],2)=1,Eingabe[[#This Row],[S2]],Eingabe[[#This Row],[S3]]),""),""),"")</calculatedColumnFormula>
    </tableColumn>
    <tableColumn id="41" xr3:uid="{267E9CEE-4513-4A41-A814-E666729140DC}" name="Heimbahn 3" dataDxfId="1076">
      <calculatedColumnFormula>IFERROR(IF(Eingabe[[#This Row],[Wo]]="H",IF(Eingabe[[#This Row],[S1]]&gt;0,IF(MOD(ROW(Eingabe[[#This Row],[Heimbahn 3]]),2)=1,Eingabe[[#This Row],[S4]],Eingabe[[#This Row],[S1]]),""),""),"")</calculatedColumnFormula>
    </tableColumn>
    <tableColumn id="42" xr3:uid="{AD917F74-4BCB-4466-9093-FD3E96F442B3}" name="Heimbahn 4" dataDxfId="1075">
      <calculatedColumnFormula>IFERROR(IF(Eingabe[[#This Row],[Wo]]="H",IF(Eingabe[[#This Row],[S1]]&gt;0,IF(MOD(ROW(Eingabe[[#This Row],[Heimbahn 4]]),2)=1,Eingabe[[#This Row],[S3]],Eingabe[[#This Row],[S2]]),""),""),"")</calculatedColumnFormula>
    </tableColumn>
    <tableColumn id="45" xr3:uid="{89F94F48-61C6-4EE8-89C9-A9B77C708857}" name="Rang" dataDxfId="1074"/>
    <tableColumn id="31" xr3:uid="{2A296DE1-9B56-472E-9FD0-69DF23EE33B1}" name="Schnitt" dataDxfId="1073" totalsRowDxfId="1072">
      <calculatedColumnFormula>VLOOKUP(Eingabe[[#This Row],[Name]],AuswertungG[],8,FALSE)</calculatedColumnFormula>
    </tableColumn>
    <tableColumn id="21" xr3:uid="{B5A79733-F7B1-4E89-80C7-6CFDC0129858}" name="Volle alternativ" dataDxfId="1071" totalsRowDxfId="1070"/>
    <tableColumn id="22" xr3:uid="{C109D615-06EE-44D9-854C-73B9F41E36A9}" name="Räumer alternativ" dataDxfId="1069" totalsRowDxfId="1068"/>
    <tableColumn id="23" xr3:uid="{0A96EC38-D8DF-4DBE-B2FD-226520FCFB5B}" name="Fehler alternativ" dataDxfId="1067" totalsRowDxfId="1066"/>
    <tableColumn id="51" xr3:uid="{248C52C1-E0D3-4D08-84A0-DCC8E814EDF7}" name="Diff" dataDxfId="1065" totalsRowDxfId="1064">
      <calculatedColumnFormula>IFERROR(ABS(Eingabe[[#This Row],[GES]]-Eingabe[[#This Row],[GEGGES]]),"")</calculatedColumnFormula>
    </tableColumn>
  </tableColumns>
  <tableStyleInfo name="TableStyleMedium2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81CD523-BFCE-470E-B066-578BE15D9EA2}" name="Gesamtzähler" displayName="Gesamtzähler" ref="B3:BB54" totalsRowCount="1" headerRowDxfId="1063" dataDxfId="1061" totalsRowDxfId="1059" headerRowBorderDxfId="1062" tableBorderDxfId="1060">
  <autoFilter ref="B3:BB53" xr:uid="{A224E408-E95C-42BF-BBC1-059A9A6DB47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autoFilter>
  <sortState xmlns:xlrd2="http://schemas.microsoft.com/office/spreadsheetml/2017/richdata2" ref="B4:BF53">
    <sortCondition descending="1" ref="R4:R53"/>
  </sortState>
  <tableColumns count="53">
    <tableColumn id="1" xr3:uid="{76FE31F2-9F1E-4F91-95CD-E451A22831C6}" name="Name" totalsRowLabel="Gesamt" dataDxfId="1058" totalsRowDxfId="1057">
      <calculatedColumnFormula>VLOOKUP(ROW(Gesamtzähler[[#This Row],[Name]])-3,Teamzuordnung[],2,FALSE)</calculatedColumnFormula>
    </tableColumn>
    <tableColumn id="2" xr3:uid="{DC765508-2870-46AC-A037-19868ED10F50}" name="Team" dataDxfId="1056" totalsRowDxfId="1055">
      <calculatedColumnFormula>IF(Gesamtzähler[[#This Row],[Name]]="","",VLOOKUP(Gesamtzähler[[#This Row],[Name]],Teamzuordnung[[Name]:[Team]],2,TRUE))</calculatedColumnFormula>
    </tableColumn>
    <tableColumn id="3" xr3:uid="{8854D149-1DF1-42FF-A366-5B39947575B9}" name="Spiele" totalsRowFunction="sum" dataDxfId="1054" totalsRowDxfId="1053">
      <calculatedColumnFormula>IF(COUNTIFS(Eingabe[Name],Gesamtzähler[[#This Row],[Name]])=0,"",COUNTIFS(Eingabe[Name],Gesamtzähler[[#This Row],[Name]]))</calculatedColumnFormula>
    </tableColumn>
    <tableColumn id="4" xr3:uid="{65FD653B-9871-463B-AA1F-3301F53F5ACD}" name="Spiele MP" totalsRowFunction="sum" dataDxfId="1052" totalsRowDxfId="1051">
      <calculatedColumnFormula>IF(Gesamtzähler[[#This Row],[Spiele]]="","",IF(Gesamtzähler[[#This Row],[Spiele]]-COUNTIFS(Eingabe[Name],Gesamtzähler[[#This Row],[Name]],Eingabe[MP],"")=0,"",Gesamtzähler[[#This Row],[Spiele]]-COUNTIFS(Eingabe[Name],Gesamtzähler[[#This Row],[Name]],Eingabe[MP],"")))</calculatedColumnFormula>
    </tableColumn>
    <tableColumn id="5" xr3:uid="{1E47E1E5-8500-4BF8-8E3A-CC02CEB9F1A4}" name="Volle" totalsRowFunction="sum" dataDxfId="1050" totalsRowDxfId="1049">
      <calculatedColumnFormula>IF(Gesamtzähler[[#This Row],[Spiele]]="","",SUMIF(Eingabe[Name],Gesamtzähler[[#This Row],[Name]],Eingabe[Volle]))</calculatedColumnFormula>
    </tableColumn>
    <tableColumn id="6" xr3:uid="{56683DBC-590C-470E-9C13-78D602BE5638}" name="Räumer" totalsRowFunction="sum" dataDxfId="1048" totalsRowDxfId="1047">
      <calculatedColumnFormula>IF(Gesamtzähler[[#This Row],[Spiele]]="","",SUMIF(Eingabe[Name],Gesamtzähler[[#This Row],[Name]],Eingabe[Räumer]))</calculatedColumnFormula>
    </tableColumn>
    <tableColumn id="7" xr3:uid="{E0195EC7-D7FA-4797-8FD2-1CA05A4CFCD9}" name="Fehler" totalsRowFunction="sum" dataDxfId="1046" totalsRowDxfId="1045">
      <calculatedColumnFormula>IF(Gesamtzähler[[#This Row],[Spiele]]="","",SUMIF(Eingabe[Name],Gesamtzähler[[#This Row],[Name]],Eingabe[Fehler]))</calculatedColumnFormula>
    </tableColumn>
    <tableColumn id="54" xr3:uid="{C208D492-9FBB-401A-90C2-BE971501152D}" name="GES" totalsRowFunction="sum" dataDxfId="1044" totalsRowDxfId="1043">
      <calculatedColumnFormula>IF(Gesamtzähler[[#This Row],[Spiele]]="","",SUMIF(Eingabe[Name],Gesamtzähler[[#This Row],[Name]],Eingabe[GES]))</calculatedColumnFormula>
    </tableColumn>
    <tableColumn id="8" xr3:uid="{667382CE-D505-4E4A-8A5A-1EF884E55A88}" name="SP" totalsRowFunction="sum" dataDxfId="1042" totalsRowDxfId="1041">
      <calculatedColumnFormula>IF(Gesamtzähler[[#This Row],[Spiele MP]]="","",SUMIF(Eingabe[Name],Gesamtzähler[[#This Row],[Name]],Eingabe[SP]))</calculatedColumnFormula>
    </tableColumn>
    <tableColumn id="58" xr3:uid="{A92D7D4D-390F-44B9-849E-1798E8FFF313}" name="MP" totalsRowFunction="sum" dataDxfId="1040" totalsRowDxfId="1039">
      <calculatedColumnFormula>IF(Gesamtzähler[[#This Row],[Spiele MP]]="","",SUMIF(Eingabe[Name],Gesamtzähler[[#This Row],[Name]],Eingabe[MP]))</calculatedColumnFormula>
    </tableColumn>
    <tableColumn id="9" xr3:uid="{8FEA9CEB-8ACA-454F-841B-01E08D945CC7}" name="S1" totalsRowFunction="sum" dataDxfId="1038" totalsRowDxfId="1037">
      <calculatedColumnFormula>IF(Gesamtzähler[[#This Row],[Spiele MP]]="","",SUMIF(Eingabe[Name],Gesamtzähler[[#This Row],[Name]],Eingabe[S1]))</calculatedColumnFormula>
    </tableColumn>
    <tableColumn id="59" xr3:uid="{AF791D17-44FB-4F38-B0E3-D060A99B1FFF}" name="S2" totalsRowFunction="sum" dataDxfId="1036" totalsRowDxfId="1035">
      <calculatedColumnFormula>IF(Gesamtzähler[[#This Row],[Spiele MP]]="","",SUMIF(Eingabe[Name],Gesamtzähler[[#This Row],[Name]],Eingabe[S2]))</calculatedColumnFormula>
    </tableColumn>
    <tableColumn id="10" xr3:uid="{054BD1DC-F96B-4592-A372-E7E2017FF5DE}" name="S3" totalsRowFunction="sum" dataDxfId="1034" totalsRowDxfId="1033">
      <calculatedColumnFormula>IF(Gesamtzähler[[#This Row],[Spiele MP]]="","",SUMIF(Eingabe[Name],Gesamtzähler[[#This Row],[Name]],Eingabe[S3]))</calculatedColumnFormula>
    </tableColumn>
    <tableColumn id="60" xr3:uid="{347B39A2-A9EF-4306-B96A-F83726B89339}" name="S4" totalsRowFunction="sum" dataDxfId="1032" totalsRowDxfId="1031">
      <calculatedColumnFormula>IF(Gesamtzähler[[#This Row],[Spiele MP]]="","",SUMIF(Eingabe[Name],Gesamtzähler[[#This Row],[Name]],Eingabe[S4]))</calculatedColumnFormula>
    </tableColumn>
    <tableColumn id="11" xr3:uid="{300E2E6F-E750-45C7-B1E7-76AA01CDEDF8}" name="S1P" totalsRowFunction="sum" dataDxfId="1030" totalsRowDxfId="1029">
      <calculatedColumnFormula>IF(Gesamtzähler[[#This Row],[Spiele MP]]="","",SUMIF(Eingabe[Name],Gesamtzähler[[#This Row],[Name]],Eingabe[S1P]))</calculatedColumnFormula>
    </tableColumn>
    <tableColumn id="12" xr3:uid="{BB64979A-1664-4513-B315-F98049431236}" name="S2P" totalsRowFunction="sum" dataDxfId="1028" totalsRowDxfId="1027">
      <calculatedColumnFormula>IF(Gesamtzähler[[#This Row],[Spiele MP]]="","",SUMIF(Eingabe[Name],Gesamtzähler[[#This Row],[Name]],Eingabe[S2P]))</calculatedColumnFormula>
    </tableColumn>
    <tableColumn id="13" xr3:uid="{B79E322C-382B-4486-B568-45F3CD7D5B20}" name="S3P" totalsRowFunction="sum" dataDxfId="1026" totalsRowDxfId="1025">
      <calculatedColumnFormula>IF(Gesamtzähler[[#This Row],[Spiele MP]]="","",SUMIF(Eingabe[Name],Gesamtzähler[[#This Row],[Name]],Eingabe[S3P]))</calculatedColumnFormula>
    </tableColumn>
    <tableColumn id="14" xr3:uid="{62C89F3B-88AD-4D37-8FCE-B983FBE2935A}" name="S4P" totalsRowFunction="sum" dataDxfId="1024" totalsRowDxfId="1023">
      <calculatedColumnFormula>IF(Gesamtzähler[[#This Row],[Spiele MP]]="","",SUMIF(Eingabe[Name],Gesamtzähler[[#This Row],[Name]],Eingabe[S4P]))</calculatedColumnFormula>
    </tableColumn>
    <tableColumn id="15" xr3:uid="{8525D297-DC99-4A8C-A695-0AA6350B5A83}" name="GEGGES" totalsRowFunction="sum" dataDxfId="1022" totalsRowDxfId="1021">
      <calculatedColumnFormula>IF(Gesamtzähler[[#This Row],[Spiele MP]]="","",SUMIF(Eingabe[Name],Gesamtzähler[[#This Row],[Name]],Eingabe[GEGGES]))</calculatedColumnFormula>
    </tableColumn>
    <tableColumn id="20" xr3:uid="{95239924-0731-4E84-A2D9-B2787B76907F}" name="Spiele H" totalsRowFunction="sum" dataDxfId="1020" totalsRowDxfId="1019">
      <calculatedColumnFormula>IF(COUNTIFS(Eingabe[Name],Gesamtzähler[[#This Row],[Name]],Eingabe[Wo],"H")=0,"",COUNTIFS(Eingabe[Name],Gesamtzähler[[#This Row],[Name]],Eingabe[Wo],"H"))</calculatedColumnFormula>
    </tableColumn>
    <tableColumn id="21" xr3:uid="{FE6539DE-C990-4660-ACDE-30A1E8AE609B}" name="Spiele MPH" totalsRowFunction="sum" dataDxfId="1018" totalsRowDxfId="1017">
      <calculatedColumnFormula>IF(Gesamtzähler[[#This Row],[Spiele H]]="","",Gesamtzähler[[#This Row],[Spiele H]]-COUNTIFS(Eingabe[Name],Gesamtzähler[[#This Row],[Name]],Eingabe[MP],"",Eingabe[Wo],"H"))</calculatedColumnFormula>
    </tableColumn>
    <tableColumn id="22" xr3:uid="{DFA13871-8BBF-4333-938B-B499993E02D2}" name="VolleH" totalsRowFunction="sum" dataDxfId="1016" totalsRowDxfId="1015">
      <calculatedColumnFormula>IF(Gesamtzähler[[#This Row],[Spiele H]]="","",SUMIFS(Eingabe[Volle],Eingabe[Name],Gesamtzähler[[#This Row],[Name]],Eingabe[Wo],"H"))</calculatedColumnFormula>
    </tableColumn>
    <tableColumn id="23" xr3:uid="{E0BC7739-FFB2-4D88-BDCF-053CC27CE176}" name="RäumerH" totalsRowFunction="sum" dataDxfId="1014" totalsRowDxfId="1013">
      <calculatedColumnFormula>IF(Gesamtzähler[[#This Row],[Spiele H]]="","",SUMIFS(Eingabe[Räumer],Eingabe[Name],Gesamtzähler[[#This Row],[Name]],Eingabe[Wo],"H"))</calculatedColumnFormula>
    </tableColumn>
    <tableColumn id="24" xr3:uid="{5231A7E4-62CA-409F-A1BD-9CC578DD357F}" name="FehlerH" totalsRowFunction="sum" dataDxfId="1012" totalsRowDxfId="1011">
      <calculatedColumnFormula>IF(Gesamtzähler[[#This Row],[Spiele H]]="","",SUMIFS(Eingabe[Fehler],Eingabe[Name],Gesamtzähler[[#This Row],[Name]],Eingabe[Wo],"H"))</calculatedColumnFormula>
    </tableColumn>
    <tableColumn id="61" xr3:uid="{A745E9B4-CFC2-44B8-A5E7-D782E127B3E6}" name="S1H" dataDxfId="1010" totalsRowDxfId="1009">
      <calculatedColumnFormula>IF(Gesamtzähler[[#This Row],[Spiele MPH]]="","",SUMIFS(Eingabe[S1],Eingabe[Name],Gesamtzähler[[#This Row],[Name]],Eingabe[Wo],"H"))</calculatedColumnFormula>
    </tableColumn>
    <tableColumn id="25" xr3:uid="{C0A29D65-6FCE-4AD1-81F2-FAC54F078D7B}" name="S1PH" totalsRowFunction="sum" dataDxfId="1008" totalsRowDxfId="1007">
      <calculatedColumnFormula>IF(Gesamtzähler[[#This Row],[Spiele MPH]]="","",SUMIFS(Eingabe[S1P],Eingabe[Name],Gesamtzähler[[#This Row],[Name]],Eingabe[Wo],"H"))</calculatedColumnFormula>
    </tableColumn>
    <tableColumn id="63" xr3:uid="{10D5F946-89A7-4DF0-952C-BFFC476732FB}" name="S2H" dataDxfId="1006" totalsRowDxfId="1005">
      <calculatedColumnFormula>IF(Gesamtzähler[[#This Row],[Spiele MPH]]="","",SUMIFS(Eingabe[S2],Eingabe[Name],Gesamtzähler[[#This Row],[Name]],Eingabe[Wo],"H"))</calculatedColumnFormula>
    </tableColumn>
    <tableColumn id="26" xr3:uid="{1A90C70B-8EA7-448A-A6EB-EAF74A790798}" name="S2PH" totalsRowFunction="sum" dataDxfId="1004" totalsRowDxfId="1003">
      <calculatedColumnFormula>IF(Gesamtzähler[[#This Row],[Spiele MPH]]="","",SUMIFS(Eingabe[S2P],Eingabe[Name],Gesamtzähler[[#This Row],[Name]],Eingabe[Wo],"H"))</calculatedColumnFormula>
    </tableColumn>
    <tableColumn id="64" xr3:uid="{5F72D002-B28F-45BE-9198-88D538DEEC6A}" name="S3H" dataDxfId="1002" totalsRowDxfId="1001">
      <calculatedColumnFormula>IF(Gesamtzähler[[#This Row],[Spiele MPH]]="","",SUMIFS(Eingabe[S3],Eingabe[Name],Gesamtzähler[[#This Row],[Name]],Eingabe[Wo],"H"))</calculatedColumnFormula>
    </tableColumn>
    <tableColumn id="27" xr3:uid="{4F0496E8-21EC-4383-BE9A-CC50699707AF}" name="S3PH" totalsRowFunction="sum" dataDxfId="1000" totalsRowDxfId="999">
      <calculatedColumnFormula>IF(Gesamtzähler[[#This Row],[Spiele MPH]]="","",SUMIFS(Eingabe[S3P],Eingabe[Name],Gesamtzähler[[#This Row],[Name]],Eingabe[Wo],"H"))</calculatedColumnFormula>
    </tableColumn>
    <tableColumn id="65" xr3:uid="{B31D6701-294C-401F-BC53-5E1045375106}" name="S4H" dataDxfId="998" totalsRowDxfId="997">
      <calculatedColumnFormula>IF(Gesamtzähler[[#This Row],[Spiele MPH]]="","",SUMIFS(Eingabe[S4],Eingabe[Name],Gesamtzähler[[#This Row],[Name]],Eingabe[Wo],"H"))</calculatedColumnFormula>
    </tableColumn>
    <tableColumn id="28" xr3:uid="{B81B970C-39AE-42D1-BD3D-8C408C7E0743}" name="S4PH" totalsRowFunction="sum" dataDxfId="996" totalsRowDxfId="995">
      <calculatedColumnFormula>IF(Gesamtzähler[[#This Row],[Spiele MPH]]="","",SUMIFS(Eingabe[S4P],Eingabe[Name],Gesamtzähler[[#This Row],[Name]],Eingabe[Wo],"H"))</calculatedColumnFormula>
    </tableColumn>
    <tableColumn id="29" xr3:uid="{598A83C9-1111-4D35-AC30-77F56EF6A162}" name="GEGGESH" totalsRowFunction="sum" dataDxfId="994" totalsRowDxfId="993">
      <calculatedColumnFormula>IF(Gesamtzähler[[#This Row],[Spiele MPH]]="","",SUMIFS(Eingabe[GEGGES],Eingabe[Name],Gesamtzähler[[#This Row],[Name]],Eingabe[Wo],"H"))</calculatedColumnFormula>
    </tableColumn>
    <tableColumn id="30" xr3:uid="{9382A97C-A4EB-43D2-A4C1-50D3A8968FBC}" name="GESH" totalsRowFunction="sum" dataDxfId="992" totalsRowDxfId="991">
      <calculatedColumnFormula>IF(Gesamtzähler[[#This Row],[Spiele H]]="","",SUMIFS(Eingabe[GES],Eingabe[Name],Gesamtzähler[[#This Row],[Name]],Eingabe[Wo],"H"))</calculatedColumnFormula>
    </tableColumn>
    <tableColumn id="31" xr3:uid="{6233AFD2-F9A3-4318-BA6D-5590C6A39EA5}" name="SPH" totalsRowFunction="sum" dataDxfId="990" totalsRowDxfId="989">
      <calculatedColumnFormula>IF(Gesamtzähler[[#This Row],[Spiele MPH]]="","",SUMIFS(Eingabe[SP],Eingabe[Name],Gesamtzähler[[#This Row],[Name]],Eingabe[Wo],"H"))</calculatedColumnFormula>
    </tableColumn>
    <tableColumn id="32" xr3:uid="{544CAB15-D1C7-4BA4-95A8-2D3A27A9D1EA}" name="MPH" totalsRowFunction="sum" dataDxfId="988" totalsRowDxfId="987">
      <calculatedColumnFormula>IF(Gesamtzähler[[#This Row],[Spiele MPH]]="","",SUMIFS(Eingabe[MP],Eingabe[Name],Gesamtzähler[[#This Row],[Name]],Eingabe[Wo],"H"))</calculatedColumnFormula>
    </tableColumn>
    <tableColumn id="37" xr3:uid="{4F721788-6511-4D4E-8177-ACF9F0791887}" name="Spiele A" totalsRowFunction="sum" dataDxfId="986" totalsRowDxfId="985">
      <calculatedColumnFormula>IF(COUNTIFS(Eingabe[Name],Gesamtzähler[[#This Row],[Name]],Eingabe[Wo],"A")=0,"",COUNTIFS(Eingabe[Name],Gesamtzähler[[#This Row],[Name]],Eingabe[Wo],"A"))</calculatedColumnFormula>
    </tableColumn>
    <tableColumn id="38" xr3:uid="{B202C166-0A29-424A-B272-A867B6AF5704}" name="Spiele MPA" totalsRowFunction="sum" dataDxfId="984" totalsRowDxfId="983">
      <calculatedColumnFormula>IF(Gesamtzähler[[#This Row],[Spiele A]]="","",Gesamtzähler[[#This Row],[Spiele A]]-COUNTIFS(Eingabe[Name],Gesamtzähler[[#This Row],[Name]],Eingabe[MP],"",Eingabe[Wo],"A"))</calculatedColumnFormula>
    </tableColumn>
    <tableColumn id="39" xr3:uid="{1D24D6A3-61C7-4D5C-BF15-39FDE7F6272D}" name="VolleA" totalsRowFunction="sum" dataDxfId="982" totalsRowDxfId="981">
      <calculatedColumnFormula>IF(Gesamtzähler[[#This Row],[Spiele A]]="","",SUMIFS(Eingabe[Volle],Eingabe[Name],Gesamtzähler[[#This Row],[Name]],Eingabe[Wo],"A"))</calculatedColumnFormula>
    </tableColumn>
    <tableColumn id="40" xr3:uid="{100800DB-FD2B-4C25-B36A-FB1DAB6A5111}" name="RäumerA" totalsRowFunction="sum" dataDxfId="980" totalsRowDxfId="979">
      <calculatedColumnFormula>IF(Gesamtzähler[[#This Row],[Spiele A]]="","",SUMIFS(Eingabe[Räumer],Eingabe[Name],Gesamtzähler[[#This Row],[Name]],Eingabe[Wo],"A"))</calculatedColumnFormula>
    </tableColumn>
    <tableColumn id="41" xr3:uid="{DFDF67D5-A2B7-466A-A39D-CA197C9A41D7}" name="FehlerA" totalsRowFunction="sum" dataDxfId="978" totalsRowDxfId="977">
      <calculatedColumnFormula>IF(Gesamtzähler[[#This Row],[Spiele A]]="","",SUMIFS(Eingabe[Fehler],Eingabe[Name],Gesamtzähler[[#This Row],[Name]],Eingabe[Wo],"A"))</calculatedColumnFormula>
    </tableColumn>
    <tableColumn id="66" xr3:uid="{8DFBB4C7-E004-493C-81A7-B3907D48F34C}" name="S1A" dataDxfId="976" totalsRowDxfId="975">
      <calculatedColumnFormula>IF(Gesamtzähler[[#This Row],[Spiele MPA]]="","",SUMIFS(Eingabe[S1],Eingabe[Name],Gesamtzähler[[#This Row],[Name]],Eingabe[Wo],"A"))</calculatedColumnFormula>
    </tableColumn>
    <tableColumn id="42" xr3:uid="{783F5646-97D5-4DE6-B76E-014382D5685C}" name="S1PA" totalsRowFunction="sum" dataDxfId="974" totalsRowDxfId="973">
      <calculatedColumnFormula>IF(Gesamtzähler[[#This Row],[Spiele MPA]]="","",SUMIFS(Eingabe[S1P],Eingabe[Name],Gesamtzähler[[#This Row],[Name]],Eingabe[Wo],"A"))</calculatedColumnFormula>
    </tableColumn>
    <tableColumn id="67" xr3:uid="{80FAA4D1-1F7B-4AA2-A646-95A97BBBAAEB}" name="S2A" dataDxfId="972" totalsRowDxfId="971">
      <calculatedColumnFormula>IF(Gesamtzähler[[#This Row],[Spiele MPA]]="","",SUMIFS(Eingabe[S2],Eingabe[Name],Gesamtzähler[[#This Row],[Name]],Eingabe[Wo],"A"))</calculatedColumnFormula>
    </tableColumn>
    <tableColumn id="43" xr3:uid="{2589F4D1-0BEF-4F0F-926F-54536E11066E}" name="S2PA" totalsRowFunction="sum" dataDxfId="970" totalsRowDxfId="969">
      <calculatedColumnFormula>IF(Gesamtzähler[[#This Row],[Spiele MPA]]="","",SUMIFS(Eingabe[S2P],Eingabe[Name],Gesamtzähler[[#This Row],[Name]],Eingabe[Wo],"A"))</calculatedColumnFormula>
    </tableColumn>
    <tableColumn id="68" xr3:uid="{5A9806E3-AEE9-4D1E-9AB2-EBC3BD2DCC04}" name="S3A" dataDxfId="968" totalsRowDxfId="967">
      <calculatedColumnFormula>IF(Gesamtzähler[[#This Row],[Spiele MPA]]="","",SUMIFS(Eingabe[S3],Eingabe[Name],Gesamtzähler[[#This Row],[Name]],Eingabe[Wo],"A"))</calculatedColumnFormula>
    </tableColumn>
    <tableColumn id="44" xr3:uid="{16904B39-1D11-4097-BE5B-604BDD4A626B}" name="S3PA" totalsRowFunction="sum" dataDxfId="966" totalsRowDxfId="965">
      <calculatedColumnFormula>IF(Gesamtzähler[[#This Row],[Spiele MPA]]="","",SUMIFS(Eingabe[S3P],Eingabe[Name],Gesamtzähler[[#This Row],[Name]],Eingabe[Wo],"A"))</calculatedColumnFormula>
    </tableColumn>
    <tableColumn id="69" xr3:uid="{C4C0AE17-8C11-4582-9123-8556DA5E7C68}" name="S4A" dataDxfId="964" totalsRowDxfId="963">
      <calculatedColumnFormula>IF(Gesamtzähler[[#This Row],[Spiele MPA]]="","",SUMIFS(Eingabe[S4],Eingabe[Name],Gesamtzähler[[#This Row],[Name]],Eingabe[Wo],"A"))</calculatedColumnFormula>
    </tableColumn>
    <tableColumn id="45" xr3:uid="{AF7EFEDF-9C13-4297-BEFD-992BF2D790DC}" name="S4PA" totalsRowFunction="sum" dataDxfId="962" totalsRowDxfId="961">
      <calculatedColumnFormula>IF(Gesamtzähler[[#This Row],[Spiele MPA]]="","",SUMIFS(Eingabe[S4P],Eingabe[Name],Gesamtzähler[[#This Row],[Name]],Eingabe[Wo],"A"))</calculatedColumnFormula>
    </tableColumn>
    <tableColumn id="46" xr3:uid="{4D077650-433B-4966-83C0-8FC4EAB7E5CF}" name="GEGGESA" totalsRowFunction="sum" dataDxfId="960" totalsRowDxfId="959">
      <calculatedColumnFormula>IF(Gesamtzähler[[#This Row],[Spiele MPA]]="","",SUMIFS(Eingabe[GEGGES],Eingabe[Name],Gesamtzähler[[#This Row],[Name]],Eingabe[Wo],"A"))</calculatedColumnFormula>
    </tableColumn>
    <tableColumn id="47" xr3:uid="{69AA32A7-85FF-43FE-B1E8-B910784026CD}" name="GESA" totalsRowFunction="sum" dataDxfId="958" totalsRowDxfId="957">
      <calculatedColumnFormula>IF(Gesamtzähler[[#This Row],[Spiele A]]="","",SUMIFS(Eingabe[GES],Eingabe[Name],Gesamtzähler[[#This Row],[Name]],Eingabe[Wo],"A"))</calculatedColumnFormula>
    </tableColumn>
    <tableColumn id="48" xr3:uid="{325912F3-B07A-4DD9-B5EB-5C3EF0B25794}" name="SPA" totalsRowFunction="sum" dataDxfId="956" totalsRowDxfId="955">
      <calculatedColumnFormula>IF(Gesamtzähler[[#This Row],[Spiele MPA]]="","",SUMIFS(Eingabe[SP],Eingabe[Name],Gesamtzähler[[#This Row],[Name]],Eingabe[Wo],"A"))</calculatedColumnFormula>
    </tableColumn>
    <tableColumn id="49" xr3:uid="{49CA50D5-A67D-4408-944D-11E81260392C}" name="MPA" totalsRowFunction="sum" dataDxfId="954" totalsRowDxfId="953">
      <calculatedColumnFormula>IF(Gesamtzähler[[#This Row],[Spiele MPA]]="","",SUMIFS(Eingabe[MP],Eingabe[Name],Gesamtzähler[[#This Row],[Name]],Eingabe[Wo],"A"))</calculatedColumnFormula>
    </tableColumn>
  </tableColumns>
  <tableStyleInfo name="TableStyleMedium2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C326205-28E0-4565-8500-C5B648482FD6}" name="AuswertungG" displayName="AuswertungG" ref="B57:AL107" headerRowDxfId="952" dataDxfId="950" totalsRowDxfId="948" headerRowBorderDxfId="951" tableBorderDxfId="949">
  <autoFilter ref="B57:AL107" xr:uid="{A9130864-2400-4B1E-9ACA-DD69FC49C6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autoFilter>
  <tableColumns count="37">
    <tableColumn id="1" xr3:uid="{59BD5148-B69A-4E92-9551-0786FBD6C1CB}" name="Name" totalsRowLabel="Schnitt" dataDxfId="947" totalsRowDxfId="946">
      <calculatedColumnFormula>B4</calculatedColumnFormula>
    </tableColumn>
    <tableColumn id="2" xr3:uid="{C3729D87-C3BB-4303-B6B0-55C55AA21F58}" name="Team" dataDxfId="945" totalsRowDxfId="944">
      <calculatedColumnFormula>IF(AuswertungG[[#This Row],[Name]]="","",VLOOKUP(AuswertungG[[#This Row],[Name]],Teamzuordnung[[Name]:[Team]],2,TRUE))</calculatedColumnFormula>
    </tableColumn>
    <tableColumn id="3" xr3:uid="{30B3993F-CACE-431F-8CB4-1D8ED761D904}" name="Spiele" totalsRowFunction="average" dataDxfId="943" totalsRowDxfId="942">
      <calculatedColumnFormula>COUNTIFS(Eingabe[Name],AuswertungG[[#This Row],[Name]])</calculatedColumnFormula>
    </tableColumn>
    <tableColumn id="4" xr3:uid="{08EC31E1-3E17-4054-9218-F2FD7F967D92}" name="Spiele MP" totalsRowFunction="average" dataDxfId="941">
      <calculatedColumnFormula>IF(AuswertungG[[#This Row],[Spiele]]="","",IF(AuswertungG[[#This Row],[Spiele]]-COUNTIFS(Eingabe[Name],AuswertungG[[#This Row],[Name]],Eingabe[MP],"")=0,"",AuswertungG[[#This Row],[Spiele]]-COUNTIFS(Eingabe[Name],AuswertungG[[#This Row],[Name]],Eingabe[MP],"")))</calculatedColumnFormula>
    </tableColumn>
    <tableColumn id="5" xr3:uid="{B4A251E3-3247-4C0B-9D6E-7BD6092609A2}" name="Volle" totalsRowFunction="average" dataDxfId="940" totalsRowDxfId="939">
      <calculatedColumnFormula>IF(AuswertungG[[#This Row],[Spiele]]=0,"",ROUND(AVERAGEIFS(Eingabe[Volle],Eingabe[Name],AuswertungG[[#This Row],[Name]]),0))</calculatedColumnFormula>
    </tableColumn>
    <tableColumn id="6" xr3:uid="{0B235E8C-F3F4-4139-945D-CF95E5812269}" name="Räumer" totalsRowFunction="average" dataDxfId="938" totalsRowDxfId="937">
      <calculatedColumnFormula>IF(AuswertungG[[#This Row],[Spiele]]=0,"",ROUND(AVERAGEIFS(Eingabe[Räumer],Eingabe[Name],AuswertungG[[#This Row],[Name]]),0))</calculatedColumnFormula>
    </tableColumn>
    <tableColumn id="7" xr3:uid="{53750926-6CC6-4764-8EA9-8E749E002929}" name="Fehler" totalsRowFunction="average" dataDxfId="936" totalsRowDxfId="935">
      <calculatedColumnFormula>IF(AuswertungG[[#This Row],[Spiele]]=0,"",ROUND(AVERAGEIFS(Eingabe[Fehler],Eingabe[Name],AuswertungG[[#This Row],[Name]]),1))</calculatedColumnFormula>
    </tableColumn>
    <tableColumn id="82" xr3:uid="{AB713F64-63F6-45C9-8A73-8F44847FE5F6}" name="GES" dataDxfId="934" totalsRowDxfId="933">
      <calculatedColumnFormula>IF(AuswertungG[[#This Row],[Spiele]]=0,"",ROUND(AVERAGEIFS(Eingabe[GES],Eingabe[Name],AuswertungG[[#This Row],[Name]]),0))</calculatedColumnFormula>
    </tableColumn>
    <tableColumn id="84" xr3:uid="{77C8C665-2238-4449-974E-6A41BD9BEA1E}" name="SP" dataDxfId="932">
      <calculatedColumnFormula>IF(AuswertungG[[#This Row],[Spiele MP]]="","",ROUND(AVERAGEIFS(Eingabe[SP],Eingabe[Name],AuswertungG[[#This Row],[Name]]),1))</calculatedColumnFormula>
    </tableColumn>
    <tableColumn id="83" xr3:uid="{A5F1EB30-9B88-4BC2-8EF6-9B936C46E871}" name="MP" dataDxfId="931" totalsRowDxfId="930" dataCellStyle="Prozent">
      <calculatedColumnFormula>IF(AuswertungG[[#This Row],[Spiele MP]]="","",ROUND(AVERAGEIFS(Eingabe[MP],Eingabe[Name],AuswertungG[[#This Row],[Name]]),2))</calculatedColumnFormula>
    </tableColumn>
    <tableColumn id="57" xr3:uid="{8C551453-E7FB-4CC4-B558-C6545728778F}" name="S1" dataDxfId="929">
      <calculatedColumnFormula>IFERROR(ROUND(AVERAGEIFS(Eingabe[S1],Eingabe[Name],AuswertungG[[#This Row],[Name]]),0),"")</calculatedColumnFormula>
    </tableColumn>
    <tableColumn id="8" xr3:uid="{62B1CC51-7370-4A3C-8924-93BF71E39C1E}" name="S2" totalsRowFunction="average" dataDxfId="928" totalsRowDxfId="927" dataCellStyle="Prozent" totalsRowCellStyle="Prozent">
      <calculatedColumnFormula>IFERROR(ROUND(AVERAGEIFS(Eingabe[S2],Eingabe[Name],AuswertungG[[#This Row],[Name]]),0),"")</calculatedColumnFormula>
    </tableColumn>
    <tableColumn id="58" xr3:uid="{6AC7A366-E15A-4872-8334-0B596128298C}" name="S3" dataDxfId="926" totalsRowDxfId="925">
      <calculatedColumnFormula>IFERROR(ROUND(AVERAGEIFS(Eingabe[S3],Eingabe[Name],AuswertungG[[#This Row],[Name]]),0),"")</calculatedColumnFormula>
    </tableColumn>
    <tableColumn id="9" xr3:uid="{576FEFE8-2ADD-4824-9A32-A3D41A432727}" name="S4" totalsRowFunction="average" dataDxfId="924" totalsRowDxfId="923" dataCellStyle="Prozent" totalsRowCellStyle="Prozent">
      <calculatedColumnFormula>IFERROR(ROUND(AVERAGEIFS(Eingabe[S3],Eingabe[Name],AuswertungG[[#This Row],[Name]]),0),"")</calculatedColumnFormula>
    </tableColumn>
    <tableColumn id="59" xr3:uid="{3FC7A6C8-F882-4A98-AB88-A4AA471DF7AA}" name="S1P" dataDxfId="922" totalsRowDxfId="921" dataCellStyle="Prozent">
      <calculatedColumnFormula>IF(AuswertungG[[#This Row],[Spiele MP]]="","",ROUND(AVERAGEIFS(Eingabe[S1P],Eingabe[Name],AuswertungG[[#This Row],[Name]]),2))</calculatedColumnFormula>
    </tableColumn>
    <tableColumn id="10" xr3:uid="{250ABF3D-285C-417D-B351-6E27BC2A88AD}" name="S2P" totalsRowFunction="average" dataDxfId="920" totalsRowDxfId="919" dataCellStyle="Prozent" totalsRowCellStyle="Prozent">
      <calculatedColumnFormula>IF(AuswertungG[[#This Row],[Spiele MP]]="","",ROUND(AVERAGEIFS(Eingabe[S2P],Eingabe[Name],AuswertungG[[#This Row],[Name]]),2))</calculatedColumnFormula>
    </tableColumn>
    <tableColumn id="60" xr3:uid="{7FE3B9C9-0F87-4AB7-BC16-E25A8F6BB6DF}" name="S3P" dataDxfId="918" totalsRowDxfId="917" dataCellStyle="Prozent">
      <calculatedColumnFormula>IF(AuswertungG[[#This Row],[Spiele MP]]="","",ROUND(AVERAGEIFS(Eingabe[S3P],Eingabe[Name],AuswertungG[[#This Row],[Name]]),2))</calculatedColumnFormula>
    </tableColumn>
    <tableColumn id="11" xr3:uid="{6F8B947B-7248-4D93-ACE8-46D477908061}" name="S4P" totalsRowFunction="average" dataDxfId="916" totalsRowDxfId="915" dataCellStyle="Prozent" totalsRowCellStyle="Prozent">
      <calculatedColumnFormula>IF(AuswertungG[[#This Row],[Spiele MP]]="","",ROUND(AVERAGEIFS(Eingabe[S4P],Eingabe[Name],AuswertungG[[#This Row],[Name]]),2))</calculatedColumnFormula>
    </tableColumn>
    <tableColumn id="86" xr3:uid="{D2F8FB89-80E4-4242-AED5-4553C4A61BFB}" name="Trend _x000a_(Saison)" dataDxfId="914" totalsRowDxfId="913" dataCellStyle="Prozent" totalsRowCellStyle="Prozent">
      <calculatedColumnFormula array="1">IF(AuswertungG[[#This Row],[Spiele]]="","",IF(AuswertungG[[#This Row],[Spiele]]&lt;2,"",ROUND(SLOPE(_xlfn._xlws.FILTER(Eingabe[GES],Eingabe[Name]=AuswertungG[[#This Row],[Name]]),_xlfn._xlws.FILTER(Eingabe[KW],Eingabe[Name]=AuswertungG[[#This Row],[Name]])),2)))</calculatedColumnFormula>
    </tableColumn>
    <tableColumn id="85" xr3:uid="{458CD050-5FBD-4BD4-9FD5-B1908B726A09}" name="Trend _x000a_(letzte 3 Spiele)" dataDxfId="912" totalsRowDxfId="911" dataCellStyle="Prozent" totalsRowCellStyle="Prozent">
      <calculatedColumnFormula array="1">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calculatedColumnFormula>
    </tableColumn>
    <tableColumn id="87" xr3:uid="{9EC99087-564D-4757-8A1F-61534C047385}" name="STABW" dataDxfId="910" totalsRowDxfId="909" totalsRowCellStyle="Prozent">
      <calculatedColumnFormula array="1">IF(AuswertungG[[#This Row],[Spiele]]="","",IF(AuswertungG[[#This Row],[Spiele]]&lt;2,"",ROUND(_xlfn.STDEV.P(_xlfn._xlws.FILTER(Eingabe[GES],Eingabe[Name]=AuswertungG[[#This Row],[Name]])),0)))</calculatedColumnFormula>
    </tableColumn>
    <tableColumn id="12" xr3:uid="{F16D3D0B-6778-4B69-ABA4-2A2A1AE209BA}" name="GEGGES" totalsRowFunction="average" dataDxfId="908" totalsRowDxfId="907">
      <calculatedColumnFormula>IF(AuswertungG[[#This Row],[Spiele MP]]="","",ROUND(AVERAGEIFS(Eingabe[GEGGES],Eingabe[Name],AuswertungG[[#This Row],[Name]]),0))</calculatedColumnFormula>
    </tableColumn>
    <tableColumn id="14" xr3:uid="{1A20FBFD-E1D6-4924-9490-0EF4157D5A0F}" name="HP" totalsRowFunction="average" dataDxfId="906" totalsRowDxfId="905">
      <calculatedColumnFormula>VLOOKUP(AuswertungG[[#This Row],[Name]],PositionG[],21,FALSE)</calculatedColumnFormula>
    </tableColumn>
    <tableColumn id="89" xr3:uid="{7A3294D7-93E1-4B31-BD7C-88D81237E873}" name="#HP" dataDxfId="904" totalsRowDxfId="903">
      <calculatedColumnFormula>VLOOKUP(AuswertungG[[#This Row],[Name]],PositionG[],22,FALSE)</calculatedColumnFormula>
    </tableColumn>
    <tableColumn id="88" xr3:uid="{9DA1E179-6B3A-4AD1-85EB-EAEA72D49F11}" name="BP" dataDxfId="902" totalsRowDxfId="901">
      <calculatedColumnFormula>VLOOKUP(AuswertungG[[#This Row],[Name]],PositionG[],23,FALSE)</calculatedColumnFormula>
    </tableColumn>
    <tableColumn id="15" xr3:uid="{844FA62F-D403-452B-8323-B6236A16A65D}" name="% BP" totalsRowFunction="average" dataDxfId="900" totalsRowDxfId="899" dataCellStyle="Prozent" totalsRowCellStyle="Prozent">
      <calculatedColumnFormula>IF(AuswertungG[[#This Row],[Spiele MP]]="","",ROUND(VLOOKUP(AuswertungG[[#This Row],[Name]],PositionG[],24,FALSE),2))</calculatedColumnFormula>
    </tableColumn>
    <tableColumn id="13" xr3:uid="{56A93254-D93D-4C4F-8818-209B8AB426F5}" name="Rang" dataDxfId="898" totalsRowDxfId="897">
      <calculatedColumnFormula>IF(AuswertungG[[#This Row],[Spiele]]=0,"",ROUND(AVERAGEIFS(Eingabe[Rang],Eingabe[Name],AuswertungG[[#This Row],[Name]]),1))</calculatedColumnFormula>
    </tableColumn>
    <tableColumn id="16" xr3:uid="{056737E6-F1CE-4A3D-93F8-738D904E0C82}" name="Median" dataDxfId="896" totalsRowDxfId="895">
      <calculatedColumnFormula array="1">IFERROR(ROUND(MEDIAN(_xlfn._xlws.FILTER(Eingabe[GES],Eingabe[Name]=AuswertungG[[#This Row],[Name]])),0),"")</calculatedColumnFormula>
    </tableColumn>
    <tableColumn id="17" xr3:uid="{B1F03502-3F3C-4D59-9CAC-AEF18CE47BE3}" name="VK" dataDxfId="894" totalsRowDxfId="893" dataCellStyle="Prozent">
      <calculatedColumnFormula>IFERROR(AuswertungG[[#This Row],[STABW]]/AuswertungG[[#This Row],[GES]],"")</calculatedColumnFormula>
    </tableColumn>
    <tableColumn id="18" xr3:uid="{540D2C06-C2CD-4916-820B-01EFF92BE0D4}" name="IQA" dataDxfId="892" totalsRowDxfId="891">
      <calculatedColumnFormula array="1">IFERROR(ROUND(_xlfn.QUARTILE.INC(_xlfn._xlws.FILTER(Eingabe[GES],Eingabe[Name]=AuswertungG[[#This Row],[Name]]),3)-_xlfn.QUARTILE.INC(_xlfn._xlws.FILTER(Eingabe[GES],Eingabe[Name]=AuswertungG[[#This Row],[Name]]),1),0),"")</calculatedColumnFormula>
    </tableColumn>
    <tableColumn id="19" xr3:uid="{77007280-F69F-4472-8936-E837C3C87CAD}" name="KI" dataDxfId="890" totalsRowDxfId="889">
      <calculatedColumnFormula>IFERROR(1/AuswertungG[[#This Row],[VK]],"")</calculatedColumnFormula>
    </tableColumn>
    <tableColumn id="20" xr3:uid="{5C0EF603-8E1F-48C0-ABA1-AD33A97298E0}" name="V/R" dataDxfId="888" totalsRowDxfId="887">
      <calculatedColumnFormula>IFERROR(AuswertungG[[#This Row],[Volle]]/AuswertungG[[#This Row],[Räumer]]-2,"")</calculatedColumnFormula>
    </tableColumn>
    <tableColumn id="21" xr3:uid="{C899F5C7-EACF-46E5-9A2C-B2FC2B8D0C63}" name="W/F" dataDxfId="886" totalsRowDxfId="885">
      <calculatedColumnFormula>IFERROR(ROUND((AuswertungG[[#This Row],[Spiele]]*60)/(AuswertungG[[#This Row],[Fehler]]*AuswertungG[[#This Row],[Spiele]]),0),"")</calculatedColumnFormula>
    </tableColumn>
    <tableColumn id="22" xr3:uid="{D713B277-684F-473A-912F-B74237921C35}" name="Clutch" dataDxfId="884" totalsRowDxfId="883">
      <calculatedColumnFormula array="1">IFERROR((AVERAGE(_xlfn._xlws.FILTER(_xlfn._xlws.FILTER(Eingabe[GES],Eingabe[Name]=AuswertungG[[#This Row],[Name]]),ABS(_xlfn._xlws.FILTER(Eingabe[GEGGES],Eingabe[Name]=AuswertungG[[#This Row],[Name]])-_xlfn._xlws.FILTER(Eingabe[GES],Eingabe[Name]=AuswertungG[[#This Row],[Name]]))&lt;15))-AuswertungG[[#This Row],[GES]])/AuswertungG[[#This Row],[STABW]],"")</calculatedColumnFormula>
    </tableColumn>
    <tableColumn id="23" xr3:uid="{06A2672B-2256-40B2-85A0-7E511A675D97}" name="MP-D" dataDxfId="882">
      <calculatedColumnFormula>IFERROR(ROUND(AVERAGEIFS(Eingabe[MP],Eingabe[Diff],"&lt;15",Eingabe[Name],AuswertungG[[#This Row],[Name]])-AuswertungG[[#This Row],[MP]],2),"")</calculatedColumnFormula>
    </tableColumn>
    <tableColumn id="24" xr3:uid="{67AFC906-8FF5-4DB9-B12D-A0346A63FE9D}" name="SSG" dataDxfId="881" totalsRowDxfId="880">
      <calculatedColumnFormula array="1">IFERROR(ROUND(AVERAGE(_xlfn._xlws.FILTER(Eingabe[GES],(Eingabe[Name]=AuswertungG[[#This Row],[Name]])*(Eingabe[GEGGES]&gt;(AuswertungG[[#This Row],[GES]]+20))))-AuswertungG[[#This Row],[GES]],0),"")</calculatedColumnFormula>
    </tableColumn>
    <tableColumn id="25" xr3:uid="{C8AA2286-E152-4A10-9036-359AAA79D256}" name="SWG" dataDxfId="879" totalsRowDxfId="878">
      <calculatedColumnFormula array="1">IFERROR(ROUND(AVERAGE(_xlfn._xlws.FILTER(Eingabe[GES],(Eingabe[Name]=AuswertungG[[#This Row],[Name]])*(Eingabe[GEGGES]&lt;(AuswertungG[[#This Row],[GES]]-20))))-AuswertungG[[#This Row],[GES]],0),"")</calculatedColumnFormula>
    </tableColumn>
  </tableColumns>
  <tableStyleInfo name="TableStyleMedium22"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8A07762-5923-4836-ADF6-AC11CC2012F2}" name="AuswertungH" displayName="AuswertungH" ref="B110:AM160" totalsRowShown="0" headerRowDxfId="877" dataDxfId="875" headerRowBorderDxfId="876">
  <autoFilter ref="B110:AM160" xr:uid="{D8A07762-5923-4836-ADF6-AC11CC2012F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autoFilter>
  <tableColumns count="38">
    <tableColumn id="1" xr3:uid="{DDB2E492-5037-4F24-9D62-A87763C86F95}" name="Name" dataDxfId="874">
      <calculatedColumnFormula>B58</calculatedColumnFormula>
    </tableColumn>
    <tableColumn id="2" xr3:uid="{104CF393-F01C-4470-8966-84830C165458}" name="Team" dataDxfId="873">
      <calculatedColumnFormula>IF(AuswertungH[[#This Row],[Name]]="","",VLOOKUP(AuswertungH[[#This Row],[Name]],Teamzuordnung[[Name]:[Team]],2,TRUE))</calculatedColumnFormula>
    </tableColumn>
    <tableColumn id="3" xr3:uid="{1E6AB63C-CEAE-4F61-A952-8FAF5D9C0A68}" name="Spiele H" dataDxfId="872">
      <calculatedColumnFormula>COUNTIFS(Eingabe[Name],AuswertungH[[#This Row],[Name]],Eingabe[Wo],"H")</calculatedColumnFormula>
    </tableColumn>
    <tableColumn id="4" xr3:uid="{346BDF80-D9ED-4280-AD12-4C1C3080C9BE}" name="Spiele MP H" dataDxfId="871">
      <calculatedColumnFormula>IF(AuswertungH[[#This Row],[Spiele H]]="","",IF(AuswertungH[[#This Row],[Spiele H]]-COUNTIFS(Eingabe[Name],AuswertungH[[#This Row],[Name]],Eingabe[MP],"",Eingabe[Wo],"H")=0,"",AuswertungH[[#This Row],[Spiele H]]-COUNTIFS(Eingabe[Name],AuswertungH[[#This Row],[Name]],Eingabe[MP],"",Eingabe[Wo],"H")))</calculatedColumnFormula>
    </tableColumn>
    <tableColumn id="5" xr3:uid="{EDABA166-C8C4-4D15-8C35-EB685F7989F6}" name="Volle H" dataDxfId="870">
      <calculatedColumnFormula>IFERROR(ROUND(AVERAGEIFS(Eingabe[Volle],Eingabe[Name],AuswertungH[[#This Row],[Name]],Eingabe[Wo],"H"),0),"")</calculatedColumnFormula>
    </tableColumn>
    <tableColumn id="6" xr3:uid="{09B15256-A75B-4AEE-9D65-044A5233177C}" name="Räumer H" dataDxfId="869">
      <calculatedColumnFormula>IFERROR(ROUND(AVERAGEIFS(Eingabe[Räumer],Eingabe[Name],AuswertungH[[#This Row],[Name]],Eingabe[Wo],"H"),0),"")</calculatedColumnFormula>
    </tableColumn>
    <tableColumn id="7" xr3:uid="{4C5F8571-555D-4D71-ABDE-9ABCD2D833FA}" name="Fehler H" dataDxfId="868">
      <calculatedColumnFormula>IFERROR(ROUND(AVERAGEIFS(Eingabe[Fehler],Eingabe[Name],AuswertungH[[#This Row],[Name]],Eingabe[Wo],"H"),1),"")</calculatedColumnFormula>
    </tableColumn>
    <tableColumn id="8" xr3:uid="{6C3592CE-6CB1-42E9-AD5E-0656425424A9}" name="GES H" dataDxfId="867">
      <calculatedColumnFormula>IFERROR(ROUND(AVERAGEIFS(Eingabe[GES],Eingabe[Name],AuswertungH[[#This Row],[Name]],Eingabe[Wo],"H"),0),"")</calculatedColumnFormula>
    </tableColumn>
    <tableColumn id="9" xr3:uid="{6A2517DA-ECFB-4B3E-80D3-953F52AD1F34}" name="SP H" dataDxfId="866">
      <calculatedColumnFormula>IFERROR(ROUND(AVERAGEIFS(Eingabe[SP],Eingabe[Name],AuswertungH[[#This Row],[Name]],Eingabe[Wo],"H"),2),"")</calculatedColumnFormula>
    </tableColumn>
    <tableColumn id="10" xr3:uid="{032D9562-CA70-49E1-B9FA-AB2A9C24E936}" name="MP H" dataDxfId="865" dataCellStyle="Prozent">
      <calculatedColumnFormula>IFERROR(ROUND(AVERAGEIFS(Eingabe[MP],Eingabe[Name],AuswertungH[[#This Row],[Name]],Eingabe[Wo],"H"),2),"")</calculatedColumnFormula>
    </tableColumn>
    <tableColumn id="11" xr3:uid="{35F284D3-3B4B-43A2-9D0F-2AAF89BBA906}" name="S1 H" dataDxfId="864">
      <calculatedColumnFormula>IFERROR(ROUND(AVERAGEIFS(Eingabe[S1],Eingabe[Name],AuswertungH[[#This Row],[Name]],Eingabe[Wo],"H"),0),"")</calculatedColumnFormula>
    </tableColumn>
    <tableColumn id="12" xr3:uid="{26F4D81B-4BB3-4A4B-B153-57EBA420A094}" name="S2 H" dataDxfId="863" dataCellStyle="Prozent">
      <calculatedColumnFormula>IFERROR(ROUND(AVERAGEIFS(Eingabe[S2],Eingabe[Name],AuswertungH[[#This Row],[Name]],Eingabe[Wo],"H"),0),"")</calculatedColumnFormula>
    </tableColumn>
    <tableColumn id="13" xr3:uid="{671A9786-E537-4C6A-B609-346E3EC42AD2}" name="S3 H" dataDxfId="862">
      <calculatedColumnFormula>IFERROR(ROUND(AVERAGEIFS(Eingabe[S3],Eingabe[Name],AuswertungH[[#This Row],[Name]],Eingabe[Wo],"H"),0),"")</calculatedColumnFormula>
    </tableColumn>
    <tableColumn id="14" xr3:uid="{2703A70F-EB25-474E-8EFC-3A2A7317C7FF}" name="S4 H" dataDxfId="861" dataCellStyle="Prozent">
      <calculatedColumnFormula>IFERROR(ROUND(AVERAGEIFS(Eingabe[S4],Eingabe[Name],AuswertungH[[#This Row],[Name]],Eingabe[Wo],"H"),0),"")</calculatedColumnFormula>
    </tableColumn>
    <tableColumn id="15" xr3:uid="{922925D3-90B9-4005-81E2-4CC127684BAA}" name="S1P H" dataDxfId="860" dataCellStyle="Prozent">
      <calculatedColumnFormula>IFERROR(ROUND(AVERAGEIFS(Eingabe[S1P],Eingabe[Name],AuswertungH[[#This Row],[Name]],Eingabe[Wo],"H"),2),"")</calculatedColumnFormula>
    </tableColumn>
    <tableColumn id="16" xr3:uid="{507F0D32-8C79-4BCE-A780-CB329DAFE72B}" name="S2P H" dataDxfId="859" dataCellStyle="Prozent">
      <calculatedColumnFormula>IFERROR(ROUND(AVERAGEIFS(Eingabe[S2P],Eingabe[Name],AuswertungH[[#This Row],[Name]],Eingabe[Wo],"H"),2),"")</calculatedColumnFormula>
    </tableColumn>
    <tableColumn id="17" xr3:uid="{5A40787E-412A-49AC-9BFB-A42C6E16FB29}" name="S3P H" dataDxfId="858" dataCellStyle="Prozent">
      <calculatedColumnFormula>IFERROR(ROUND(AVERAGEIFS(Eingabe[S3P],Eingabe[Name],AuswertungH[[#This Row],[Name]],Eingabe[Wo],"H"),2),"")</calculatedColumnFormula>
    </tableColumn>
    <tableColumn id="18" xr3:uid="{EDFD47B3-B711-4BD0-AF10-ACCF1C6320FF}" name="S4P H" dataDxfId="857" dataCellStyle="Prozent">
      <calculatedColumnFormula>IFERROR(ROUND(AVERAGEIFS(Eingabe[S4P],Eingabe[Name],AuswertungH[[#This Row],[Name]],Eingabe[Wo],"H"),2),"")</calculatedColumnFormula>
    </tableColumn>
    <tableColumn id="19" xr3:uid="{DE6F4261-F6AD-4624-A3B7-D17E0D437BB5}" name="Trend _x000a_(Saison) H" dataDxfId="856">
      <calculatedColumnFormula array="1">IFERROR(ROUND(SLOPE(_xlfn._xlws.FILTER(Eingabe[GES],(Eingabe[Name]=AuswertungH[[#This Row],[Name]])*(Eingabe[Wo]="H")),_xlfn._xlws.FILTER(Eingabe[KW],(Eingabe[Name]=AuswertungH[[#This Row],[Name]])*(Eingabe[Wo]="H"))),2),0)</calculatedColumnFormula>
    </tableColumn>
    <tableColumn id="20" xr3:uid="{4D46DDC3-BDB6-4A4F-9C76-CDF15CFE7C1C}" name="Trend _x000a_(letzte 3 Spiele) H" dataDxfId="855">
      <calculatedColumnFormula array="1">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calculatedColumnFormula>
    </tableColumn>
    <tableColumn id="21" xr3:uid="{D5ACE8C5-1C4C-4622-A00D-D4A60B7ADC7D}" name="STABW H" dataDxfId="854">
      <calculatedColumnFormula array="1">IFERROR(ROUND(_xlfn.STDEV.P(_xlfn._xlws.FILTER(Eingabe[GES],(Eingabe[Name]=AuswertungH[[#This Row],[Name]])*(Eingabe[Wo]="H"))),0),"")</calculatedColumnFormula>
    </tableColumn>
    <tableColumn id="22" xr3:uid="{C8B3C156-A59B-44AB-9611-54C0E9BBE0A9}" name="GEGGES H" dataDxfId="853">
      <calculatedColumnFormula>IF(AuswertungH[[#This Row],[Spiele MP H]]="","",ROUND(AVERAGEIFS(Eingabe[GEGGES],Eingabe[Name],AuswertungH[[#This Row],[Name]],Eingabe[Wo],"H"),0))</calculatedColumnFormula>
    </tableColumn>
    <tableColumn id="23" xr3:uid="{514ABC49-394B-408A-8856-2013772A4509}" name="HP H" dataDxfId="852">
      <calculatedColumnFormula>VLOOKUP(AuswertungH[[#This Row],[Name]],PositionH[],21,FALSE)</calculatedColumnFormula>
    </tableColumn>
    <tableColumn id="24" xr3:uid="{B4483AAA-FDA8-45F1-8726-CDE89DD423A2}" name="#HP H" dataDxfId="851">
      <calculatedColumnFormula>VLOOKUP(AuswertungH[[#This Row],[Name]],PositionH[],22,FALSE)</calculatedColumnFormula>
    </tableColumn>
    <tableColumn id="25" xr3:uid="{4530ED79-E50A-4838-878A-0E6C2DE04475}" name="BP H" dataDxfId="850">
      <calculatedColumnFormula>VLOOKUP(AuswertungH[[#This Row],[Name]],PositionH[],23,FALSE)</calculatedColumnFormula>
    </tableColumn>
    <tableColumn id="26" xr3:uid="{4AAA1685-2A69-4AEE-ABB4-FBFD8D6946DC}" name="% BP H" dataDxfId="849" dataCellStyle="Prozent">
      <calculatedColumnFormula>IF(AuswertungH[[#This Row],[Spiele MP H]]="","",ROUND(VLOOKUP(AuswertungH[[#This Row],[Name]],PositionH[],24,FALSE),2))</calculatedColumnFormula>
    </tableColumn>
    <tableColumn id="31" xr3:uid="{29A1AA6C-C027-4595-B181-E382E62EB059}" name="Rang" dataDxfId="848">
      <calculatedColumnFormula>IFERROR(AVERAGEIFS(Eingabe[Rang],Eingabe[Name],AuswertungH[[#This Row],[Name]],Eingabe[Wo],"H"),"")</calculatedColumnFormula>
    </tableColumn>
    <tableColumn id="32" xr3:uid="{6D5F3B21-9EF2-4854-8AB4-1C999D63E9F8}" name="Lieblingsbahn" dataDxfId="847">
      <calculatedColumnFormula>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calculatedColumnFormula>
    </tableColumn>
    <tableColumn id="27" xr3:uid="{C443F46F-461B-4B90-8032-2A73A7776829}" name="Median H" dataDxfId="846">
      <calculatedColumnFormula array="1">IFERROR(ROUND(MEDIAN(_xlfn._xlws.FILTER(Eingabe[GES],(Eingabe[Name]=AuswertungH[[#This Row],[Name]])*(Eingabe[Wo]="H"))),0),"")</calculatedColumnFormula>
    </tableColumn>
    <tableColumn id="28" xr3:uid="{42D4100B-E399-4729-B97A-77726B0F1279}" name="VK H" dataDxfId="845" dataCellStyle="Prozent">
      <calculatedColumnFormula>IFERROR(AuswertungH[[#This Row],[STABW H]]/AuswertungH[[#This Row],[GES H]],"")</calculatedColumnFormula>
    </tableColumn>
    <tableColumn id="29" xr3:uid="{794029D6-04F1-463B-AE2B-1F2421FB7701}" name="IQA H" dataDxfId="844">
      <calculatedColumnFormula array="1">IFERROR(ROUND(_xlfn.QUARTILE.INC(_xlfn._xlws.FILTER(Eingabe[GES],(Eingabe[Name]=AuswertungH[[#This Row],[Name]])*(Eingabe[Wo]="H")),3)-_xlfn.QUARTILE.INC(_xlfn._xlws.FILTER(Eingabe[GES],(Eingabe[Name]=AuswertungH[[#This Row],[Name]])*(Eingabe[Wo]="H")),1),0),"")</calculatedColumnFormula>
    </tableColumn>
    <tableColumn id="30" xr3:uid="{11797030-29B0-4E4E-8F80-D2EAC04CCE73}" name="KI H" dataDxfId="843">
      <calculatedColumnFormula>IFERROR(1/AuswertungH[[#This Row],[VK H]],"")</calculatedColumnFormula>
    </tableColumn>
    <tableColumn id="33" xr3:uid="{B8F8791B-678E-4996-9841-50CC523D5395}" name="V/R H" dataDxfId="842">
      <calculatedColumnFormula>IFERROR(AuswertungH[[#This Row],[Volle H]]/AuswertungH[[#This Row],[Räumer H]]-2,"")</calculatedColumnFormula>
    </tableColumn>
    <tableColumn id="34" xr3:uid="{A760F168-B856-457F-A0F5-AFA3596A5C56}" name="W/F H" dataDxfId="841">
      <calculatedColumnFormula>IFERROR(ROUND((AuswertungH[[#This Row],[Spiele H]]*60)/(AuswertungH[[#This Row],[Fehler H]]*AuswertungH[[#This Row],[Spiele H]]),0),"")</calculatedColumnFormula>
    </tableColumn>
    <tableColumn id="35" xr3:uid="{CA177BF0-C2E9-4320-AD4E-77A307952B61}" name="Clutch H" dataDxfId="840">
      <calculatedColumnFormula array="1">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calculatedColumnFormula>
    </tableColumn>
    <tableColumn id="36" xr3:uid="{85ADA3EF-F566-4928-B43D-F947661E1678}" name="MP-D H" dataDxfId="839">
      <calculatedColumnFormula>IFERROR(ROUND(AVERAGEIFS(Eingabe[MP],Eingabe[Diff],"&lt;15",Eingabe[Name],AuswertungH[[#This Row],[Name]],Eingabe[Wo],"H")-AuswertungH[[#This Row],[MP H]],2),"")</calculatedColumnFormula>
    </tableColumn>
    <tableColumn id="37" xr3:uid="{160579D5-A273-426E-A12A-189EF7C55AE4}" name="SSG H" dataDxfId="838">
      <calculatedColumnFormula array="1">IFERROR(ROUND(AVERAGE(_xlfn._xlws.FILTER(Eingabe[GES],(Eingabe[Name]=AuswertungH[[#This Row],[Name]])*(Eingabe[Wo]="H")*(Eingabe[GEGGES]&gt;(AuswertungH[[#This Row],[GES H]]+20))))-AuswertungH[[#This Row],[GES H]],0),"")</calculatedColumnFormula>
    </tableColumn>
    <tableColumn id="38" xr3:uid="{05EB11C3-0136-4B1A-8A57-8BE59AC9DA04}" name="SWG H" dataDxfId="837">
      <calculatedColumnFormula array="1">IFERROR(ROUND(AVERAGE(_xlfn._xlws.FILTER(Eingabe[GES],(Eingabe[Name]=AuswertungH[[#This Row],[Name]])*(Eingabe[Wo]="H")*(Eingabe[GEGGES]&lt;(AuswertungH[[#This Row],[GES H]]-20))))-AuswertungH[[#This Row],[GES H]],0),"")</calculatedColumnFormula>
    </tableColumn>
  </tableColumns>
  <tableStyleInfo name="TableStyleMedium2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92908B4-6B8A-4A6E-9DE7-A99E746D5AE1}" name="AuswertungA" displayName="AuswertungA" ref="B163:AL213" totalsRowShown="0" headerRowDxfId="836" dataDxfId="834" headerRowBorderDxfId="835">
  <autoFilter ref="B163:AL213" xr:uid="{992908B4-6B8A-4A6E-9DE7-A99E746D5AE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autoFilter>
  <tableColumns count="37">
    <tableColumn id="1" xr3:uid="{DCEC8E0E-37CB-4965-A1C3-A6CDBCCA6169}" name="Name" dataDxfId="833">
      <calculatedColumnFormula>B58</calculatedColumnFormula>
    </tableColumn>
    <tableColumn id="2" xr3:uid="{A09060CE-81FA-406E-A94F-A89B855A4F4E}" name="Team" dataDxfId="832">
      <calculatedColumnFormula>IF(AuswertungA[[#This Row],[Name]]="","",VLOOKUP(AuswertungA[[#This Row],[Name]],Teamzuordnung[[Name]:[Team]],2,TRUE))</calculatedColumnFormula>
    </tableColumn>
    <tableColumn id="3" xr3:uid="{B391DE0C-3E08-49A9-B709-3DAF40D2418C}" name="Spiele A" dataDxfId="831">
      <calculatedColumnFormula>COUNTIFS(Eingabe[Name],AuswertungA[[#This Row],[Name]],Eingabe[Wo],"A")</calculatedColumnFormula>
    </tableColumn>
    <tableColumn id="4" xr3:uid="{90BE3E7A-E8C4-4486-AC83-3CE5FA87E9D3}" name="Spiele MP A" dataDxfId="830">
      <calculatedColumnFormula>IF(AuswertungA[[#This Row],[Spiele A]]="","",IF(AuswertungA[[#This Row],[Spiele A]]-COUNTIFS(Eingabe[Name],AuswertungA[[#This Row],[Name]],Eingabe[MP],"",Eingabe[Wo],"A")=0,"",AuswertungA[[#This Row],[Spiele A]]-COUNTIFS(Eingabe[Name],AuswertungA[[#This Row],[Name]],Eingabe[MP],"",Eingabe[Wo],"A")))</calculatedColumnFormula>
    </tableColumn>
    <tableColumn id="5" xr3:uid="{265D8088-EC50-426A-9072-AD02CA24D331}" name="Volle A" dataDxfId="829">
      <calculatedColumnFormula>IF(AuswertungA[[#This Row],[Spiele A]]=0,"",ROUND(AVERAGEIFS(Eingabe[Volle],Eingabe[Name],AuswertungA[[#This Row],[Name]],Eingabe[Wo],"A"),0))</calculatedColumnFormula>
    </tableColumn>
    <tableColumn id="6" xr3:uid="{86105048-EBE4-4E52-A884-82F34D091498}" name="Räumer A" dataDxfId="828">
      <calculatedColumnFormula>IF(AuswertungA[[#This Row],[Spiele A]]=0,"",ROUND(AVERAGEIFS(Eingabe[Räumer],Eingabe[Name],AuswertungA[[#This Row],[Name]],Eingabe[Wo],"A"),0))</calculatedColumnFormula>
    </tableColumn>
    <tableColumn id="7" xr3:uid="{976732A9-DF44-4B76-AE44-53931106FC37}" name="Fehler A" dataDxfId="827">
      <calculatedColumnFormula>IF(AuswertungA[[#This Row],[Spiele A]]=0,"",ROUND(AVERAGEIFS(Eingabe[Fehler],Eingabe[Name],AuswertungA[[#This Row],[Name]],Eingabe[Wo],"A"),1))</calculatedColumnFormula>
    </tableColumn>
    <tableColumn id="8" xr3:uid="{ECE7FA8F-7315-47CF-A155-78FDBBA19BBD}" name="GES A" dataDxfId="826">
      <calculatedColumnFormula>IF(AuswertungA[[#This Row],[Spiele A]]=0,"",ROUND(AVERAGEIFS(Eingabe[GES],Eingabe[Name],AuswertungA[[#This Row],[Name]],Eingabe[Wo],"A"),0))</calculatedColumnFormula>
    </tableColumn>
    <tableColumn id="9" xr3:uid="{11DC3066-ADB7-4E83-9C22-832E8A834009}" name="SP A" dataDxfId="825">
      <calculatedColumnFormula>IF(AuswertungA[[#This Row],[Spiele MP A]]="","",ROUND(AVERAGEIFS(Eingabe[SP],Eingabe[Name],AuswertungA[[#This Row],[Name]],Eingabe[Wo],"A"),2))</calculatedColumnFormula>
    </tableColumn>
    <tableColumn id="10" xr3:uid="{1C87E569-9D8F-467E-832E-6834D79BFFD7}" name="MP A" dataDxfId="824" dataCellStyle="Prozent">
      <calculatedColumnFormula>IF(AuswertungA[[#This Row],[Spiele MP A]]="","",ROUND(AVERAGEIFS(Eingabe[MP],Eingabe[Name],AuswertungA[[#This Row],[Name]],Eingabe[Wo],"A"),2))</calculatedColumnFormula>
    </tableColumn>
    <tableColumn id="11" xr3:uid="{E3DF79E3-DFAA-4F5D-A4F9-14482A27D71E}" name="S1 A" dataDxfId="823">
      <calculatedColumnFormula>IFERROR(ROUND(AVERAGEIFS(Eingabe[S1],Eingabe[Name],AuswertungA[[#This Row],[Name]],Eingabe[Wo],"A"),0),"")</calculatedColumnFormula>
    </tableColumn>
    <tableColumn id="12" xr3:uid="{726C5CCD-51FE-465C-A161-EA48F96A1F84}" name="S2 A" dataDxfId="822" dataCellStyle="Prozent">
      <calculatedColumnFormula>IFERROR(ROUND(AVERAGEIFS(Eingabe[S2],Eingabe[Name],AuswertungA[[#This Row],[Name]],Eingabe[Wo],"A"),0),"")</calculatedColumnFormula>
    </tableColumn>
    <tableColumn id="13" xr3:uid="{A4771765-CC0A-4176-8301-D13701DF4D91}" name="S3 A" dataDxfId="821">
      <calculatedColumnFormula>IFERROR(ROUND(AVERAGEIFS(Eingabe[S3],Eingabe[Name],AuswertungA[[#This Row],[Name]],Eingabe[Wo],"A"),0),"")</calculatedColumnFormula>
    </tableColumn>
    <tableColumn id="14" xr3:uid="{88099AFE-7AB2-433B-A9D8-4DEBE7263C55}" name="S4 A" dataDxfId="820" dataCellStyle="Prozent">
      <calculatedColumnFormula>IFERROR(ROUND(AVERAGEIFS(Eingabe[S4],Eingabe[Name],AuswertungA[[#This Row],[Name]],Eingabe[Wo],"A"),0),"")</calculatedColumnFormula>
    </tableColumn>
    <tableColumn id="15" xr3:uid="{6286B6D6-22E9-4260-9CD4-5AAB640E1021}" name="S1P A" dataDxfId="819" dataCellStyle="Prozent">
      <calculatedColumnFormula>IF(AuswertungA[[#This Row],[Spiele MP A]]="","",ROUND(AVERAGEIFS(Eingabe[S1P],Eingabe[Name],AuswertungA[[#This Row],[Name]],Eingabe[Wo],"A"),2))</calculatedColumnFormula>
    </tableColumn>
    <tableColumn id="16" xr3:uid="{5D3D6804-A9B5-4498-9C69-F74A47A6EFD3}" name="S2P A" dataDxfId="818" dataCellStyle="Prozent">
      <calculatedColumnFormula>IF(AuswertungA[[#This Row],[Spiele MP A]]="","",ROUND(AVERAGEIFS(Eingabe[S2P],Eingabe[Name],AuswertungA[[#This Row],[Name]],Eingabe[Wo],"A"),2))</calculatedColumnFormula>
    </tableColumn>
    <tableColumn id="17" xr3:uid="{56DA80F5-7544-4802-A321-46D8CAA61A32}" name="S3P A" dataDxfId="817" dataCellStyle="Prozent">
      <calculatedColumnFormula>IF(AuswertungA[[#This Row],[Spiele MP A]]="","",ROUND(AVERAGEIFS(Eingabe[S3P],Eingabe[Name],AuswertungA[[#This Row],[Name]],Eingabe[Wo],"A"),2))</calculatedColumnFormula>
    </tableColumn>
    <tableColumn id="18" xr3:uid="{A12A1278-E9B3-4BB2-B1E3-078BA778DBC2}" name="S4P A" dataDxfId="816" dataCellStyle="Prozent">
      <calculatedColumnFormula>IF(AuswertungA[[#This Row],[Spiele MP A]]="","",ROUND(AVERAGEIFS(Eingabe[S4P],Eingabe[Name],AuswertungA[[#This Row],[Name]],Eingabe[Wo],"A"),2))</calculatedColumnFormula>
    </tableColumn>
    <tableColumn id="19" xr3:uid="{A9D33F18-B0D7-43AA-A118-F3B049D34B3C}" name="Trend _x000a_(Saison) A" dataDxfId="815">
      <calculatedColumnFormula array="1">IF(AuswertungA[[#This Row],[Spiele A]]="","",IF(AuswertungA[[#This Row],[Spiele A]]&lt;2,"",ROUND(SLOPE(_xlfn._xlws.FILTER(Eingabe[GES],(Eingabe[Name]=AuswertungA[[#This Row],[Name]])*(Eingabe[Wo]="A")),_xlfn._xlws.FILTER(Eingabe[KW],(Eingabe[Name]=AuswertungA[[#This Row],[Name]])*(Eingabe[Wo]="A"))),2)))</calculatedColumnFormula>
    </tableColumn>
    <tableColumn id="20" xr3:uid="{2985F889-2348-49B5-8E32-3B9142DE877B}" name="Trend _x000a_(letzte 3 Spiele) A" dataDxfId="814">
      <calculatedColumnFormula array="1">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calculatedColumnFormula>
    </tableColumn>
    <tableColumn id="21" xr3:uid="{A3D431EA-DEF0-42AC-814C-409C8BD07F21}" name="STABW A" dataDxfId="813">
      <calculatedColumnFormula array="1">IF(AuswertungA[[#This Row],[Spiele A]]="","",IF(AuswertungA[[#This Row],[Spiele A]]&lt;2,"",ROUND(_xlfn.STDEV.P(_xlfn._xlws.FILTER(Eingabe[GES],(Eingabe[Name]=AuswertungA[[#This Row],[Name]])*(Eingabe[Wo]="A"))),0)))</calculatedColumnFormula>
    </tableColumn>
    <tableColumn id="22" xr3:uid="{C6B17298-0167-4DBF-A33B-4677597FE1CC}" name="GEGGES A" dataDxfId="812">
      <calculatedColumnFormula>IF(AuswertungA[[#This Row],[Spiele MP A]]="","",ROUND(AVERAGEIFS(Eingabe[GEGGES],Eingabe[Name],AuswertungA[[#This Row],[Name]],Eingabe[Wo],"A"),0))</calculatedColumnFormula>
    </tableColumn>
    <tableColumn id="23" xr3:uid="{7B6052CB-E42A-4665-94A9-0D5C60A172D6}" name="HP A" dataDxfId="811">
      <calculatedColumnFormula>VLOOKUP(AuswertungA[[#This Row],[Name]],PositionA[],21,FALSE)</calculatedColumnFormula>
    </tableColumn>
    <tableColumn id="24" xr3:uid="{5977C061-9725-4FBD-ACAA-14842EDC99F1}" name="#HP A" dataDxfId="810">
      <calculatedColumnFormula>VLOOKUP(AuswertungA[[#This Row],[Name]],PositionA[],22,FALSE)</calculatedColumnFormula>
    </tableColumn>
    <tableColumn id="25" xr3:uid="{741DC41C-68A6-4A5F-85FA-D542390DA696}" name="BP A" dataDxfId="809">
      <calculatedColumnFormula>VLOOKUP(AuswertungA[[#This Row],[Name]],PositionA[],23,FALSE)</calculatedColumnFormula>
    </tableColumn>
    <tableColumn id="26" xr3:uid="{6D5E497E-863E-49C7-A4A3-98503366D990}" name="% BP A" dataDxfId="808" dataCellStyle="Prozent">
      <calculatedColumnFormula>IF(AuswertungA[[#This Row],[Spiele MP A]]="","",ROUND(VLOOKUP(AuswertungA[[#This Row],[Name]],PositionA[],24,FALSE),2))</calculatedColumnFormula>
    </tableColumn>
    <tableColumn id="31" xr3:uid="{AF4D3E24-3796-4100-942E-43E6FC3656E6}" name="Rang A" dataDxfId="807">
      <calculatedColumnFormula>IFERROR(ROUND(AVERAGEIFS(Eingabe[Rang],Eingabe[Name],AuswertungA[[#This Row],[Name]],Eingabe[Wo],"A"),1),"")</calculatedColumnFormula>
    </tableColumn>
    <tableColumn id="27" xr3:uid="{91F89B49-0AAA-49B2-ABD7-A69574470E50}" name="Median A" dataDxfId="806">
      <calculatedColumnFormula array="1">IFERROR(ROUND(MEDIAN(_xlfn._xlws.FILTER(Eingabe[GES],(Eingabe[Name]=AuswertungA[[#This Row],[Name]])*(Eingabe[Wo]="A"))),0),"")</calculatedColumnFormula>
    </tableColumn>
    <tableColumn id="28" xr3:uid="{FE970FC7-4CCB-4986-84DF-C4EE025BFA0E}" name="VK A" dataDxfId="805" dataCellStyle="Prozent">
      <calculatedColumnFormula>IFERROR(AuswertungA[[#This Row],[STABW A]]/AuswertungA[[#This Row],[GES A]],"")</calculatedColumnFormula>
    </tableColumn>
    <tableColumn id="29" xr3:uid="{CA65D88F-E060-451C-9E01-EB712A4D8F79}" name="IQA A" dataDxfId="804">
      <calculatedColumnFormula array="1">IFERROR(ROUND(_xlfn.QUARTILE.INC(_xlfn._xlws.FILTER(Eingabe[GES],(Eingabe[Name]=AuswertungA[[#This Row],[Name]])*(Eingabe[Wo]="A")),3)-_xlfn.QUARTILE.INC(_xlfn._xlws.FILTER(Eingabe[GES],(Eingabe[Name]=AuswertungA[[#This Row],[Name]])*(Eingabe[Wo]="A")),1),0),"")</calculatedColumnFormula>
    </tableColumn>
    <tableColumn id="30" xr3:uid="{A050CE78-0A9B-4E21-AAD0-7BD918B3D529}" name="KI A" dataDxfId="803">
      <calculatedColumnFormula>IFERROR(1/AuswertungA[[#This Row],[VK A]],"")</calculatedColumnFormula>
    </tableColumn>
    <tableColumn id="32" xr3:uid="{AC8F4F63-77B9-4046-8A25-6BFB03D20C55}" name="V/R A" dataDxfId="802">
      <calculatedColumnFormula>IFERROR(AuswertungA[[#This Row],[Volle A]]/AuswertungA[[#This Row],[Räumer A]]-2,"")</calculatedColumnFormula>
    </tableColumn>
    <tableColumn id="33" xr3:uid="{B9D0C6C0-8428-4E85-8EAE-EFE567F23B7D}" name="W/F A" dataDxfId="801">
      <calculatedColumnFormula>IFERROR(ROUND((AuswertungA[[#This Row],[Spiele A]]*60)/(AuswertungA[[#This Row],[Fehler A]]*AuswertungA[[#This Row],[Spiele A]]),0),"")</calculatedColumnFormula>
    </tableColumn>
    <tableColumn id="34" xr3:uid="{1E074402-E1FB-46DE-8156-4E2001466F59}" name="Clutch A" dataDxfId="800">
      <calculatedColumnFormula array="1">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calculatedColumnFormula>
    </tableColumn>
    <tableColumn id="35" xr3:uid="{9DA65123-BF6D-4E41-8391-D681A660A3E2}" name="MP-D A" dataDxfId="799">
      <calculatedColumnFormula>IFERROR(ROUND(AVERAGEIFS(Eingabe[MP],Eingabe[Diff],"&lt;15",Eingabe[Name],AuswertungA[[#This Row],[Name]],Eingabe[Wo],"A")-AuswertungA[[#This Row],[MP A]],2),"")</calculatedColumnFormula>
    </tableColumn>
    <tableColumn id="36" xr3:uid="{CB019CAF-A71F-47C6-8247-CE6D75DE413E}" name="SSG A" dataDxfId="798">
      <calculatedColumnFormula array="1">IFERROR(ROUND(AVERAGE(_xlfn._xlws.FILTER(Eingabe[GES],(Eingabe[Name]=AuswertungA[[#This Row],[Name]])*(Eingabe[Wo]="A")*(Eingabe[GEGGES]&gt;(AuswertungA[[#This Row],[GES A]]+20))))-AuswertungA[[#This Row],[GES A]],0),"")</calculatedColumnFormula>
    </tableColumn>
    <tableColumn id="37" xr3:uid="{85984CA7-B3F3-4CDC-A946-688DF6618E89}" name="SWG A" dataDxfId="797">
      <calculatedColumnFormula array="1">IFERROR(ROUND(AVERAGE(_xlfn._xlws.FILTER(Eingabe[GES],(Eingabe[Name]=AuswertungA[[#This Row],[Name]])*(Eingabe[Wo]="A")*(Eingabe[GEGGES]&lt;(AuswertungA[[#This Row],[GES A]]-20))))-AuswertungA[[#This Row],[GES A]],0),"")</calculatedColumnFormula>
    </tableColumn>
  </tableColumns>
  <tableStyleInfo name="TableStyleMedium2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6B8F063-CFC9-4D95-8845-3D578A89313F}" name="ExportEinzel" displayName="ExportEinzel" ref="B4:L7" totalsRowShown="0" headerRowDxfId="796" dataDxfId="795" tableBorderDxfId="794">
  <autoFilter ref="B4:L7" xr:uid="{46B8F063-CFC9-4D95-8845-3D578A89313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ACFC83F0-3A57-4AE3-A8D2-DCF89FC9E7A9}" name="Schnitt" dataDxfId="793"/>
    <tableColumn id="2" xr3:uid="{AE9750AA-BA4E-4DB1-A38F-7A54DD0DB542}" name="Spiele" dataDxfId="792"/>
    <tableColumn id="3" xr3:uid="{28C3BAE8-09E6-4B44-9758-8849E0AAA3A0}" name="Volle" dataDxfId="791"/>
    <tableColumn id="4" xr3:uid="{21B0970E-2C7F-426F-AC62-4ADB90E6C8F3}" name="Räumer" dataDxfId="790"/>
    <tableColumn id="5" xr3:uid="{4149DF94-AF4E-430C-9A78-9F6C445FC334}" name="Fehler" dataDxfId="789"/>
    <tableColumn id="6" xr3:uid="{D1CE6266-79ED-4DE1-8768-13FBEC9C2447}" name="Gesamt" dataDxfId="788"/>
    <tableColumn id="8" xr3:uid="{6ED4C529-9773-49D5-AF45-D4FCA12BD0A3}" name="SP" dataDxfId="787" dataCellStyle="Prozent"/>
    <tableColumn id="9" xr3:uid="{27ECCAF8-60A1-44AA-9A69-C668CC0F76A5}" name="MP " dataDxfId="786" dataCellStyle="Prozent"/>
    <tableColumn id="10" xr3:uid="{BE65001C-4379-41F2-8966-6E42D3260D0C}" name="Gegner" dataDxfId="785"/>
    <tableColumn id="11" xr3:uid="{593AF9DF-A1CA-402B-B1C1-519FAA9D65D8}" name="Trend (Saison)" dataDxfId="784"/>
    <tableColumn id="12" xr3:uid="{F7B8BCE6-197B-4061-8C43-87FCB80A61C0}" name="Vorjahr" dataDxfId="783"/>
  </tableColumns>
  <tableStyleInfo name="TableStyleMedium2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00580E7-22A7-477A-B89E-73F6783B5BD6}" name="HäufigsteErgebnisse" displayName="HäufigsteErgebnisse" ref="B57:L757" totalsRowShown="0" headerRowDxfId="782" dataDxfId="781">
  <autoFilter ref="B57:L757" xr:uid="{500580E7-22A7-477A-B89E-73F6783B5BD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13D7FDE2-7A82-4C20-8BE2-DC1FBC13857D}" name="Zahl" dataDxfId="780"/>
    <tableColumn id="2" xr3:uid="{154DD572-C099-4BE7-A7AA-B7C3A814BD92}" name="Volle" dataDxfId="779">
      <calculatedColumnFormula>COUNTIF(Eingabe[Volle],HäufigsteErgebnisse[[#This Row],[Zahl]])</calculatedColumnFormula>
    </tableColumn>
    <tableColumn id="3" xr3:uid="{985C96C7-69B1-438B-BEE7-FF5F06CF3E48}" name="Räumer" dataDxfId="778">
      <calculatedColumnFormula>COUNTIF(Eingabe[Räumer],HäufigsteErgebnisse[[#This Row],[Zahl]])</calculatedColumnFormula>
    </tableColumn>
    <tableColumn id="4" xr3:uid="{46AED93B-F61B-4C92-BC97-24FF63313AD9}" name="Fehler" dataDxfId="777">
      <calculatedColumnFormula>COUNTIF(Eingabe[Fehler],HäufigsteErgebnisse[[#This Row],[Zahl]])</calculatedColumnFormula>
    </tableColumn>
    <tableColumn id="11" xr3:uid="{5D352F76-BBEC-4320-A6A8-1EBB56306A51}" name="Bahn 1" dataDxfId="776">
      <calculatedColumnFormula>COUNTIF(Eingabe[S1],HäufigsteErgebnisse[[#This Row],[Zahl]])</calculatedColumnFormula>
    </tableColumn>
    <tableColumn id="10" xr3:uid="{85BCA180-99C7-4E5D-BE33-01A5CAB4962A}" name="Bahn 2" dataDxfId="775">
      <calculatedColumnFormula>COUNTIF(Eingabe[S2],HäufigsteErgebnisse[[#This Row],[Zahl]])</calculatedColumnFormula>
    </tableColumn>
    <tableColumn id="9" xr3:uid="{F335D838-A6DD-40BF-B98D-356744FA7C8F}" name="Bahn 3" dataDxfId="774">
      <calculatedColumnFormula>COUNTIF(Eingabe[S3],HäufigsteErgebnisse[[#This Row],[Zahl]])</calculatedColumnFormula>
    </tableColumn>
    <tableColumn id="8" xr3:uid="{CFECB986-33B4-4497-83EC-74F933A03CF0}" name="Bahn 4" dataDxfId="773">
      <calculatedColumnFormula>COUNTIF(Eingabe[S4],HäufigsteErgebnisse[[#This Row],[Zahl]])</calculatedColumnFormula>
    </tableColumn>
    <tableColumn id="7" xr3:uid="{50B3E319-4000-43B6-B669-491CEA3C6AD9}" name="Bahn gesamt" dataDxfId="772">
      <calculatedColumnFormula>COUNTIF(Eingabe[S1],HäufigsteErgebnisse[[#This Row],[Zahl]])+COUNTIF(Eingabe[S2],HäufigsteErgebnisse[[#This Row],[Zahl]])+COUNTIF(Eingabe[S3],HäufigsteErgebnisse[[#This Row],[Zahl]])+COUNTIF(Eingabe[S4],HäufigsteErgebnisse[[#This Row],[Zahl]])</calculatedColumnFormula>
    </tableColumn>
    <tableColumn id="5" xr3:uid="{96164C14-33C2-43F3-AB95-96010241BE47}" name="Gesamt" dataDxfId="771">
      <calculatedColumnFormula>COUNTIF(Eingabe[GES],HäufigsteErgebnisse[[#This Row],[Zahl]])</calculatedColumnFormula>
    </tableColumn>
    <tableColumn id="6" xr3:uid="{565A0233-2649-474C-9B69-64302E8CF148}" name="Zahl2" dataDxfId="770">
      <calculatedColumnFormula>HäufigsteErgebnisse[[#This Row],[Zahl]]</calculatedColumnFormula>
    </tableColumn>
  </tableColumns>
  <tableStyleInfo name="TableStyleLight1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CF4922-5250-46C1-99F3-CB4F1E3E5B4A}" name="Rekorde" displayName="Rekorde" ref="C2:AH51" totalsRowShown="0" headerRowDxfId="769" dataDxfId="767" headerRowBorderDxfId="768" tableBorderDxfId="766" totalsRowBorderDxfId="765">
  <autoFilter ref="C2:AH51" xr:uid="{DCCF4922-5250-46C1-99F3-CB4F1E3E5B4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sortState xmlns:xlrd2="http://schemas.microsoft.com/office/spreadsheetml/2017/richdata2" ref="C3:AH51">
    <sortCondition descending="1" ref="L14:L51"/>
  </sortState>
  <tableColumns count="32">
    <tableColumn id="1" xr3:uid="{B158C24F-7DCA-4C6B-8EA4-05C811B141E3}" name="Name" dataDxfId="764"/>
    <tableColumn id="2" xr3:uid="{BB650386-94EE-4A68-B099-C734331C4F7C}" name="Team" dataDxfId="763">
      <calculatedColumnFormula>VLOOKUP(Rekorde[[#This Row],[Name]],Teamzuordnung[[Name]:[Team]],2,FALSE)</calculatedColumnFormula>
    </tableColumn>
    <tableColumn id="3" xr3:uid="{E92476AB-8A0D-4828-8ABF-1FA5F75729DE}" name="GES" dataDxfId="762">
      <calculatedColumnFormula>IF(COUNTIF(Eingabe[Name],Rekorde[[#This Row],[Name]])&gt;0,_xlfn.MAXIFS(Eingabe[GES],Eingabe[Name],Rekorde[[#This Row],[Name]]),"")</calculatedColumnFormula>
    </tableColumn>
    <tableColumn id="4" xr3:uid="{89A00C46-11CD-4BDE-8490-0A3134D572F1}" name="Volle" dataDxfId="761">
      <calculatedColumnFormula>IF(COUNTIF(Eingabe[Name],Rekorde[[#This Row],[Name]])&gt;0,_xlfn.MAXIFS(Eingabe[Volle],Eingabe[Name],Rekorde[[#This Row],[Name]]),"")</calculatedColumnFormula>
    </tableColumn>
    <tableColumn id="5" xr3:uid="{53F96836-EB12-4E5D-8C21-FACA6C0DD424}" name="Räumer" dataDxfId="760">
      <calculatedColumnFormula>IF(COUNTIF(Eingabe[Name],Rekorde[[#This Row],[Name]])&gt;0,_xlfn.MAXIFS(Eingabe[Räumer],Eingabe[Name],Rekorde[[#This Row],[Name]]),"")</calculatedColumnFormula>
    </tableColumn>
    <tableColumn id="6" xr3:uid="{B58AA41B-234F-4CED-9522-05634260D06D}" name="S1" dataDxfId="759">
      <calculatedColumnFormula>IF(COUNTIF(Eingabe[Name],Rekorde[[#This Row],[Name]])&gt;0,_xlfn.MAXIFS(Eingabe[S1],Eingabe[Name],Rekorde[[#This Row],[Name]]),"")</calculatedColumnFormula>
    </tableColumn>
    <tableColumn id="7" xr3:uid="{08B67DE6-7B6E-40CA-8953-35E2189A7596}" name="S2" dataDxfId="758">
      <calculatedColumnFormula>IF(COUNTIF(Eingabe[Name],Rekorde[[#This Row],[Name]])&gt;0,_xlfn.MAXIFS(Eingabe[S2],Eingabe[Name],Rekorde[[#This Row],[Name]]),"")</calculatedColumnFormula>
    </tableColumn>
    <tableColumn id="8" xr3:uid="{27DA9708-689A-4178-998D-C18CD1688295}" name="S3" dataDxfId="757">
      <calculatedColumnFormula>IF(COUNTIF(Eingabe[Name],Rekorde[[#This Row],[Name]])&gt;0,_xlfn.MAXIFS(Eingabe[S3],Eingabe[Name],Rekorde[[#This Row],[Name]]),"")</calculatedColumnFormula>
    </tableColumn>
    <tableColumn id="9" xr3:uid="{CE6658F6-8EB2-45A5-B5A4-449A9AB18CF7}" name="S4" dataDxfId="756">
      <calculatedColumnFormula>IF(COUNTIF(Eingabe[Name],Rekorde[[#This Row],[Name]])&gt;0,_xlfn.MAXIFS(Eingabe[S4],Eingabe[Name],Rekorde[[#This Row],[Name]]),"")</calculatedColumnFormula>
    </tableColumn>
    <tableColumn id="30" xr3:uid="{22B51C5D-E3AE-40ED-9CF2-C21546D92292}" name="Bahn" dataDxfId="755">
      <calculatedColumnFormula>IF(MAX(Rekorde[[#This Row],[S1]:[S4]])=0,"",MAX(Rekorde[[#This Row],[S1]:[S4]]))</calculatedColumnFormula>
    </tableColumn>
    <tableColumn id="10" xr3:uid="{A1900F68-73C3-4C54-8B52-A00E9FF051B8}" name="Fehler" dataDxfId="754">
      <calculatedColumnFormula>IF(COUNTIF(Eingabe[Name],Rekorde[[#This Row],[Name]])&gt;0,_xlfn.MINIFS(Eingabe[Fehler],Eingabe[Name],Rekorde[[#This Row],[Name]]),"")</calculatedColumnFormula>
    </tableColumn>
    <tableColumn id="11" xr3:uid="{C67B6EB3-019F-4DAC-9850-9EF49B7C194D}" name="GEGGES" dataDxfId="753">
      <calculatedColumnFormula>IF(COUNTIF(Eingabe[Name],Rekorde[[#This Row],[Name]])&gt;0,_xlfn.MAXIFS(Eingabe[GEGGES],Eingabe[Name],Rekorde[[#This Row],[Name]]),"")</calculatedColumnFormula>
    </tableColumn>
    <tableColumn id="12" xr3:uid="{93CB1AE8-6890-4BB7-B8B1-97FE04D1F5FA}" name="GES H" dataDxfId="752">
      <calculatedColumnFormula>IF(COUNTIFS(Eingabe[Name],Rekorde[[#This Row],[Name]],Eingabe[Wo],"H")&gt;0,_xlfn.MAXIFS(Eingabe[GES],Eingabe[Name],Rekorde[[#This Row],[Name]],Eingabe[Wo],"H"),"")</calculatedColumnFormula>
    </tableColumn>
    <tableColumn id="13" xr3:uid="{87C6EAE0-F050-4FB4-B53E-F68BBA5F6BAC}" name="Volle H" dataDxfId="751">
      <calculatedColumnFormula>IF(COUNTIFS(Eingabe[Name],Rekorde[[#This Row],[Name]],Eingabe[Wo],"H")&gt;0,_xlfn.MAXIFS(Eingabe[Volle],Eingabe[Name],Rekorde[[#This Row],[Name]],Eingabe[Wo],"H"),"")</calculatedColumnFormula>
    </tableColumn>
    <tableColumn id="14" xr3:uid="{4C090314-982F-4A7D-AF9E-85AF90A1AF21}" name="Räumer H" dataDxfId="750">
      <calculatedColumnFormula>IF(COUNTIFS(Eingabe[Name],Rekorde[[#This Row],[Name]],Eingabe[Wo],"H")&gt;0,_xlfn.MAXIFS(Eingabe[Räumer],Eingabe[Name],Rekorde[[#This Row],[Name]],Eingabe[Wo],"H"),"")</calculatedColumnFormula>
    </tableColumn>
    <tableColumn id="15" xr3:uid="{C0EB3AEA-0D54-4139-AD13-20C19F01174D}" name="S1 H" dataDxfId="749">
      <calculatedColumnFormula>IF(COUNTIFS(Eingabe[Name],Rekorde[[#This Row],[Name]],Eingabe[Wo],"H")&gt;0,_xlfn.MAXIFS(Eingabe[S1],Eingabe[Name],Rekorde[[#This Row],[Name]],Eingabe[Wo],"H"),"")</calculatedColumnFormula>
    </tableColumn>
    <tableColumn id="16" xr3:uid="{00AB9BB4-3B1F-4E30-82A3-D0F64C352D81}" name="S2 H" dataDxfId="748">
      <calculatedColumnFormula>IF(COUNTIFS(Eingabe[Name],Rekorde[[#This Row],[Name]],Eingabe[Wo],"H")&gt;0,_xlfn.MAXIFS(Eingabe[S2],Eingabe[Name],Rekorde[[#This Row],[Name]],Eingabe[Wo],"H"),"")</calculatedColumnFormula>
    </tableColumn>
    <tableColumn id="17" xr3:uid="{FF0D282E-E638-425F-94F8-8E0D46CAA2E6}" name="S3 H" dataDxfId="747">
      <calculatedColumnFormula>IF(COUNTIFS(Eingabe[Name],Rekorde[[#This Row],[Name]],Eingabe[Wo],"H")&gt;0,_xlfn.MAXIFS(Eingabe[S3],Eingabe[Name],Rekorde[[#This Row],[Name]],Eingabe[Wo],"H"),"")</calculatedColumnFormula>
    </tableColumn>
    <tableColumn id="18" xr3:uid="{207A2DB0-B1A8-43FB-BADE-2746200A721A}" name="S4 H" dataDxfId="746">
      <calculatedColumnFormula>IF(COUNTIFS(Eingabe[Name],Rekorde[[#This Row],[Name]],Eingabe[Wo],"H")&gt;0,_xlfn.MAXIFS(Eingabe[S4],Eingabe[Name],Rekorde[[#This Row],[Name]],Eingabe[Wo],"H"),"")</calculatedColumnFormula>
    </tableColumn>
    <tableColumn id="31" xr3:uid="{B1ED593C-8EDC-4CCD-B8D2-17A16713C179}" name="Bahn H" dataDxfId="745">
      <calculatedColumnFormula>IF(Rekorde[[#This Row],[S1 H]]="","",MAX(Rekorde[[#This Row],[S1 H]:[S4 H]]))</calculatedColumnFormula>
    </tableColumn>
    <tableColumn id="19" xr3:uid="{80076358-1B83-4526-A64B-04F29AE76D31}" name="Fehler H" dataDxfId="744">
      <calculatedColumnFormula>IF(COUNTIFS(Eingabe[Name],Rekorde[[#This Row],[Name]],Eingabe[Wo],"H")&gt;0,_xlfn.MINIFS(Eingabe[Fehler],Eingabe[Name],Rekorde[[#This Row],[Name]],Eingabe[Wo],"H"),"")</calculatedColumnFormula>
    </tableColumn>
    <tableColumn id="20" xr3:uid="{21E9C74B-D55F-4E56-9733-9296ADE11C79}" name="GEGGES H" dataDxfId="743">
      <calculatedColumnFormula>IF(COUNTIFS(Eingabe[Name],Rekorde[[#This Row],[Name]],Eingabe[Wo],"H")&gt;0,_xlfn.MAXIFS(Eingabe[GEGGES],Eingabe[Name],Rekorde[[#This Row],[Name]],Eingabe[Wo],"H"),"")</calculatedColumnFormula>
    </tableColumn>
    <tableColumn id="21" xr3:uid="{9E2B9DE7-62D4-4656-8311-ECF538C43242}" name="GES A" dataDxfId="742">
      <calculatedColumnFormula>IF(COUNTIFS(Eingabe[Name],Rekorde[[#This Row],[Name]],Eingabe[Wo],"A")&gt;0,_xlfn.MAXIFS(Eingabe[GES],Eingabe[Name],Rekorde[[#This Row],[Name]],Eingabe[Wo],"A"),"")</calculatedColumnFormula>
    </tableColumn>
    <tableColumn id="22" xr3:uid="{DD56640D-5C64-4939-B87D-F39937AF6616}" name="Volle A" dataDxfId="741">
      <calculatedColumnFormula>IF(COUNTIFS(Eingabe[Name],Rekorde[[#This Row],[Name]],Eingabe[Wo],"A")&gt;0,_xlfn.MAXIFS(Eingabe[Volle],Eingabe[Name],Rekorde[[#This Row],[Name]],Eingabe[Wo],"A"),"")</calculatedColumnFormula>
    </tableColumn>
    <tableColumn id="23" xr3:uid="{FFAC0105-FEF7-49B0-AA09-1B705202423E}" name="Räumer A" dataDxfId="740">
      <calculatedColumnFormula>IF(COUNTIFS(Eingabe[Name],Rekorde[[#This Row],[Name]],Eingabe[Wo],"A")&gt;0,_xlfn.MAXIFS(Eingabe[Räumer],Eingabe[Name],Rekorde[[#This Row],[Name]],Eingabe[Wo],"A"),"")</calculatedColumnFormula>
    </tableColumn>
    <tableColumn id="24" xr3:uid="{63245519-8248-4E6B-862D-998B674493E9}" name="S1 A" dataDxfId="739">
      <calculatedColumnFormula>IF(COUNTIFS(Eingabe[Name],Rekorde[[#This Row],[Name]],Eingabe[Wo],"A")&gt;0,_xlfn.MAXIFS(Eingabe[S1],Eingabe[Name],Rekorde[[#This Row],[Name]],Eingabe[Wo],"A"),"")</calculatedColumnFormula>
    </tableColumn>
    <tableColumn id="25" xr3:uid="{58EBCAAB-0B7B-4A6B-98B8-BBD10A288FD4}" name="S2 A" dataDxfId="738">
      <calculatedColumnFormula>IF(COUNTIFS(Eingabe[Name],Rekorde[[#This Row],[Name]],Eingabe[Wo],"A")&gt;0,_xlfn.MAXIFS(Eingabe[S2],Eingabe[Name],Rekorde[[#This Row],[Name]],Eingabe[Wo],"A"),"")</calculatedColumnFormula>
    </tableColumn>
    <tableColumn id="26" xr3:uid="{25AA7563-2CA4-4D83-A5B4-6233D2825265}" name="S3 A" dataDxfId="737">
      <calculatedColumnFormula>IF(COUNTIFS(Eingabe[Name],Rekorde[[#This Row],[Name]],Eingabe[Wo],"A")&gt;0,_xlfn.MAXIFS(Eingabe[S3],Eingabe[Name],Rekorde[[#This Row],[Name]],Eingabe[Wo],"A"),"")</calculatedColumnFormula>
    </tableColumn>
    <tableColumn id="27" xr3:uid="{86E3377F-A6B1-4E9E-9149-0CE1BF531729}" name="S4 A" dataDxfId="736">
      <calculatedColumnFormula>IF(COUNTIFS(Eingabe[Name],Rekorde[[#This Row],[Name]],Eingabe[Wo],"A")&gt;0,_xlfn.MAXIFS(Eingabe[S4],Eingabe[Name],Rekorde[[#This Row],[Name]],Eingabe[Wo],"A"),"")</calculatedColumnFormula>
    </tableColumn>
    <tableColumn id="32" xr3:uid="{DB8E2C17-5C51-46D4-8DA0-271537DF8CFE}" name="Bahn A" dataDxfId="735">
      <calculatedColumnFormula>IF(Rekorde[[#This Row],[S1 A]]="","",MAX(Rekorde[[#This Row],[S1 A]:[S4 A]]))</calculatedColumnFormula>
    </tableColumn>
    <tableColumn id="28" xr3:uid="{0DF3F672-BB8F-4FCE-8EFF-A226960CD474}" name="Fehler A" dataDxfId="734">
      <calculatedColumnFormula>IF(COUNTIFS(Eingabe[Name],Rekorde[[#This Row],[Name]],Eingabe[Wo],"A")&gt;0,_xlfn.MINIFS(Eingabe[Fehler],Eingabe[Name],Rekorde[[#This Row],[Name]],Eingabe[Wo],"A"),"")</calculatedColumnFormula>
    </tableColumn>
    <tableColumn id="29" xr3:uid="{837B7F43-86CD-4AD3-B3BC-89A60F5DFD2D}" name="GEGGES A" dataDxfId="733">
      <calculatedColumnFormula>IF(COUNTIFS(Eingabe[Name],Rekorde[[#This Row],[Name]],Eingabe[Wo],"A")&gt;0,_xlfn.MAXIFS(Eingabe[GEGGES],Eingabe[Name],Rekorde[[#This Row],[Name]],Eingabe[Wo],"A"),"")</calculatedColumnFormula>
    </tableColumn>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D2F9725-394F-4DC4-8A56-203AE1EB463C}" name="SaisonE" displayName="SaisonE" ref="C3:M21" totalsRowShown="0" headerRowDxfId="732" dataDxfId="731" tableBorderDxfId="730">
  <autoFilter ref="C3:M21" xr:uid="{FD2F9725-394F-4DC4-8A56-203AE1EB463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562F27D2-4A4A-498F-A590-BEDC4E199961}" name="Spieltag" dataDxfId="729"/>
    <tableColumn id="2" xr3:uid="{E1FA4B77-A27E-4EBF-B9CE-D98134AF3604}" name="ID" dataDxfId="728"/>
    <tableColumn id="3" xr3:uid="{D50D19D6-4136-4D74-BF47-D510A2978319}" name="Gegner" dataDxfId="727">
      <calculatedColumnFormula>VLOOKUP(SaisonE[[#This Row],[ID]],Chronologie[[ID]:[H/A]],6,FALSE)</calculatedColumnFormula>
    </tableColumn>
    <tableColumn id="4" xr3:uid="{A48AED67-E44C-47BA-888E-59BE6FA01EB1}" name="H/A" dataDxfId="726">
      <calculatedColumnFormula>VLOOKUP(SaisonE[[#This Row],[ID]],Chronologie[[ID]:[H/A]],8,FALSE)</calculatedColumnFormula>
    </tableColumn>
    <tableColumn id="5" xr3:uid="{01588B29-733C-4BC3-8B7C-62658E690ACB}" name="Duelle" dataDxfId="725">
      <calculatedColumnFormula>IF(SUMIF(Eingabe[ID],SaisonE[[#This Row],[ID]],Eingabe[MP])="","",SUMIF(Eingabe[ID],SaisonE[[#This Row],[ID]],Eingabe[MP]))</calculatedColumnFormula>
    </tableColumn>
    <tableColumn id="6" xr3:uid="{1E043AF0-5E2D-4A45-81FE-A74136EF64BC}" name="Gesamtholz" dataDxfId="724">
      <calculatedColumnFormula>IF(SaisonE[[#This Row],[Duelle]]="","",IF(SaisonE[[#This Row],[Gesamt]]&gt;SaisonE[[#This Row],[Gegner Gesamt]],2,IF(SaisonE[[#This Row],[Gesamt]]=SaisonE[[#This Row],[Gegner Gesamt]],1,0)))</calculatedColumnFormula>
    </tableColumn>
    <tableColumn id="13" xr3:uid="{3C99EB10-3FFC-4C85-9803-B35F7CB2403C}" name="MP" dataDxfId="723">
      <calculatedColumnFormula>IF(SaisonE[[#This Row],[Duelle]]="","",SaisonE[[#This Row],[Duelle]]+SaisonE[[#This Row],[Gesamtholz]])</calculatedColumnFormula>
    </tableColumn>
    <tableColumn id="12" xr3:uid="{CE14AE6A-B287-45B6-B2EE-272EAE0FD748}" name="Gesamt" dataDxfId="722">
      <calculatedColumnFormula>IF(SaisonE[[#This Row],[Duelle]]="","",SUMIF(Eingabe[ID],SaisonE[[#This Row],[ID]],Eingabe[GES]))</calculatedColumnFormula>
    </tableColumn>
    <tableColumn id="11" xr3:uid="{F92F0C82-1204-4F8D-9041-C50A2D4910D9}" name="Gegner Gesamt" dataDxfId="721">
      <calculatedColumnFormula>IF(SaisonE[[#This Row],[Duelle]]="","",SUMIF(Eingabe[ID],SaisonE[[#This Row],[ID]],Eingabe[GEGGES]))</calculatedColumnFormula>
    </tableColumn>
    <tableColumn id="7" xr3:uid="{437434D4-1CDF-4FA9-BE5A-CD8B160CC6E9}" name="Endstand" dataDxfId="720">
      <calculatedColumnFormula>IF(SaisonE[[#This Row],[Gesamt]]=0,"",IF(SaisonE[[#This Row],[H/A]]="H","("&amp;SaisonE[[#This Row],[Gesamt]]&amp;")"&amp;" "&amp;SaisonE[[#This Row],[MP]]&amp;":"&amp;(8-SaisonE[[#This Row],[MP]])&amp;" "&amp;"("&amp;SaisonE[[#This Row],[Gegner Gesamt]]&amp;")","("&amp;SaisonE[[#This Row],[Gegner Gesamt]]&amp;")"&amp;" "&amp;(8-SaisonE[[#This Row],[MP]])&amp;":"&amp;SaisonE[[#This Row],[MP]]&amp;" "&amp;"("&amp;SaisonE[[#This Row],[Gesamt]]&amp;")"))</calculatedColumnFormula>
    </tableColumn>
    <tableColumn id="8" xr3:uid="{19B0F1BB-3111-43A9-9958-6268B2669451}" name="S/U/N" dataDxfId="719">
      <calculatedColumnFormula>IF(SaisonE[[#This Row],[Gesamt]]=0,"",IF(SaisonE[[#This Row],[MP]]&gt;4,"S",IF(SaisonE[[#This Row],[MP]]&lt;4,"N","U")))</calculatedColumnFormula>
    </tableColumn>
  </tableColumns>
  <tableStyleInfo name="TableStyleLight1"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D83BD268-C406-4686-B150-F2DB57DA04DD}" name="SaisonZ" displayName="SaisonZ" ref="O3:Y17" totalsRowShown="0" headerRowDxfId="718" dataDxfId="717" tableBorderDxfId="716">
  <autoFilter ref="O3:Y17" xr:uid="{D83BD268-C406-4686-B150-F2DB57DA04D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4B1A099-FB31-4A16-90D4-333F272907DF}" name="Spieltag" dataDxfId="715"/>
    <tableColumn id="2" xr3:uid="{57665822-11A1-4735-94DA-E9308521B3EE}" name="ID" dataDxfId="714"/>
    <tableColumn id="3" xr3:uid="{8A76CB05-FA91-41F9-9F59-4DDCFC995AAF}" name="Gegner" dataDxfId="713">
      <calculatedColumnFormula>VLOOKUP(SaisonZ[[#This Row],[ID]],Chronologie[[ID]:[H/A]],6,FALSE)</calculatedColumnFormula>
    </tableColumn>
    <tableColumn id="4" xr3:uid="{C593D739-DB0E-4E78-ABE9-606B4325720A}" name="H/A" dataDxfId="712">
      <calculatedColumnFormula>VLOOKUP(SaisonZ[[#This Row],[ID]],Chronologie[[ID]:[H/A]],8,FALSE)</calculatedColumnFormula>
    </tableColumn>
    <tableColumn id="5" xr3:uid="{1D8900C2-46FE-4342-9F25-A3F3F7197604}" name="Duelle" dataDxfId="711">
      <calculatedColumnFormula>IF(SUMIF(Eingabe[ID],SaisonZ[[#This Row],[ID]],Eingabe[MP])="","",SUMIF(Eingabe[ID],SaisonZ[[#This Row],[ID]],Eingabe[MP]))</calculatedColumnFormula>
    </tableColumn>
    <tableColumn id="6" xr3:uid="{740C0C41-0360-43D5-9A73-15245C36CE00}" name="Gesamtholz" dataDxfId="710">
      <calculatedColumnFormula>IF(SaisonZ[[#This Row],[Duelle]]="","",IF(SaisonZ[[#This Row],[Gesamt]]&gt;SaisonZ[[#This Row],[Gegner Gesamt]],2,IF(SaisonZ[[#This Row],[Gesamt]]=SaisonZ[[#This Row],[Gegner Gesamt]],1,0)))</calculatedColumnFormula>
    </tableColumn>
    <tableColumn id="13" xr3:uid="{70CB9480-6227-433B-8C38-A7405EAB198B}" name="MP" dataDxfId="709">
      <calculatedColumnFormula>IF(SaisonZ[[#This Row],[Duelle]]="","",SaisonZ[[#This Row],[Duelle]]+SaisonZ[[#This Row],[Gesamtholz]])</calculatedColumnFormula>
    </tableColumn>
    <tableColumn id="12" xr3:uid="{0D8FF3C6-2936-472A-8249-FCBCD067DEC3}" name="Gesamt" dataDxfId="708">
      <calculatedColumnFormula>IF(SaisonZ[[#This Row],[Duelle]]="","",SUMIF(Eingabe[ID],SaisonZ[[#This Row],[ID]],Eingabe[GES]))</calculatedColumnFormula>
    </tableColumn>
    <tableColumn id="11" xr3:uid="{7312A49B-1952-4006-A670-8C93D0A638C6}" name="Gegner Gesamt" dataDxfId="707">
      <calculatedColumnFormula>IF(SaisonZ[[#This Row],[Duelle]]="","",SUMIF(Eingabe[ID],SaisonZ[[#This Row],[ID]],Eingabe[GEGGES]))</calculatedColumnFormula>
    </tableColumn>
    <tableColumn id="7" xr3:uid="{B0C6D5A2-E750-4043-9311-23868044D89F}" name="Endstand" dataDxfId="706">
      <calculatedColumnFormula>IF(SaisonZ[[#This Row],[Gesamt]]=0,"",IF(SaisonZ[[#This Row],[H/A]]="H","("&amp;SaisonZ[[#This Row],[Gesamt]]&amp;")"&amp;" "&amp;SaisonZ[[#This Row],[MP]]&amp;":"&amp;(8-SaisonZ[[#This Row],[MP]])&amp;" "&amp;"("&amp;SaisonZ[[#This Row],[Gegner Gesamt]]&amp;")","("&amp;SaisonZ[[#This Row],[Gegner Gesamt]]&amp;")"&amp;" "&amp;(8-SaisonZ[[#This Row],[MP]])&amp;":"&amp;SaisonZ[[#This Row],[MP]]&amp;" "&amp;"("&amp;SaisonZ[[#This Row],[Gesamt]]&amp;")"))</calculatedColumnFormula>
    </tableColumn>
    <tableColumn id="8" xr3:uid="{6458E6B9-4FE3-4A7E-9E96-6DCAFE1BF6E3}" name="S/U/N" dataDxfId="705">
      <calculatedColumnFormula>IF(SaisonZ[[#This Row],[Gesamt]]=0,"",IF(SaisonZ[[#This Row],[MP]]&gt;4,"S",IF(SaisonZ[[#This Row],[MP]]&lt;4,"N","U")))</calculatedColumnFormula>
    </tableColumn>
  </tableColumns>
  <tableStyleInfo name="TableStyleLight1"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331382C4-D631-419D-9A1C-910981A0FE18}" name="SaisonD" displayName="SaisonD" ref="O25:Y39" totalsRowShown="0" headerRowDxfId="704" dataDxfId="703" tableBorderDxfId="702">
  <autoFilter ref="O25:Y39" xr:uid="{331382C4-D631-419D-9A1C-910981A0FE1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F81BDB94-684F-4389-9293-09E7626ECF74}" name="Spieltag" dataDxfId="701"/>
    <tableColumn id="2" xr3:uid="{45C0DCFF-4609-4C6B-808C-B65E1404A24A}" name="ID" dataDxfId="700"/>
    <tableColumn id="3" xr3:uid="{67A002D1-AED5-440B-9955-4A5F2DCBD05F}" name="Gegner" dataDxfId="699">
      <calculatedColumnFormula>VLOOKUP(SaisonD[[#This Row],[ID]],Chronologie[[ID]:[H/A]],6,FALSE)</calculatedColumnFormula>
    </tableColumn>
    <tableColumn id="4" xr3:uid="{09B0EB1B-7D69-4957-9ED9-26CD2A32018A}" name="H/A" dataDxfId="698">
      <calculatedColumnFormula>VLOOKUP(SaisonD[[#This Row],[ID]],Chronologie[[ID]:[H/A]],8,FALSE)</calculatedColumnFormula>
    </tableColumn>
    <tableColumn id="5" xr3:uid="{D5949B59-DCB7-49A2-A7B2-2FEE734DBEE0}" name="Duelle" dataDxfId="697">
      <calculatedColumnFormula>IF(SUMIF(Eingabe[ID],SaisonD[[#This Row],[ID]],Eingabe[MP])="","",SUMIF(Eingabe[ID],SaisonD[[#This Row],[ID]],Eingabe[MP]))</calculatedColumnFormula>
    </tableColumn>
    <tableColumn id="6" xr3:uid="{5DB16D80-9B29-4D98-9F7D-DC4E76C9FF63}" name="Gesamtholz" dataDxfId="696">
      <calculatedColumnFormula>IF(SaisonD[[#This Row],[Duelle]]="","",IF(SaisonD[[#This Row],[Gesamt]]&gt;SaisonD[[#This Row],[Gegner Gesamt]],2,IF(SaisonD[[#This Row],[Gesamt]]=SaisonD[[#This Row],[Gegner Gesamt]],1,0)))</calculatedColumnFormula>
    </tableColumn>
    <tableColumn id="13" xr3:uid="{1B4FB02F-6E46-48E6-995C-3E3A8752920C}" name="MP" dataDxfId="695">
      <calculatedColumnFormula>IF(SaisonD[[#This Row],[Duelle]]="","",SaisonD[[#This Row],[Duelle]]+SaisonD[[#This Row],[Gesamtholz]])</calculatedColumnFormula>
    </tableColumn>
    <tableColumn id="12" xr3:uid="{D8C397ED-2C01-46C7-99A7-06411DF69675}" name="Gesamt" dataDxfId="694">
      <calculatedColumnFormula>IF(SaisonD[[#This Row],[Duelle]]="","",SUMIF(Eingabe[ID],SaisonD[[#This Row],[ID]],Eingabe[GES]))</calculatedColumnFormula>
    </tableColumn>
    <tableColumn id="11" xr3:uid="{04423807-93F8-463E-9170-25C14EAB218A}" name="Gegner Gesamt" dataDxfId="693">
      <calculatedColumnFormula>IF(SaisonD[[#This Row],[Duelle]]="","",SUMIF(Eingabe[ID],SaisonD[[#This Row],[ID]],Eingabe[GEGGES]))</calculatedColumnFormula>
    </tableColumn>
    <tableColumn id="7" xr3:uid="{7FF32D91-F298-4368-8178-15D74A4AAB3C}" name="Endstand" dataDxfId="692">
      <calculatedColumnFormula>IF(SaisonD[[#This Row],[Gesamt]]=0,"",IF(SaisonD[[#This Row],[H/A]]="H","("&amp;SaisonD[[#This Row],[Gesamt]]&amp;")"&amp;" "&amp;SaisonD[[#This Row],[MP]]&amp;":"&amp;(8-SaisonD[[#This Row],[MP]])&amp;" "&amp;"("&amp;SaisonD[[#This Row],[Gegner Gesamt]]&amp;")","("&amp;SaisonD[[#This Row],[Gegner Gesamt]]&amp;")"&amp;" "&amp;(8-SaisonD[[#This Row],[MP]])&amp;":"&amp;SaisonD[[#This Row],[MP]]&amp;" "&amp;"("&amp;SaisonD[[#This Row],[Gesamt]]&amp;")"))</calculatedColumnFormula>
    </tableColumn>
    <tableColumn id="8" xr3:uid="{A056647C-2A8A-4973-B684-0843A547A69E}" name="S/U/N" dataDxfId="691">
      <calculatedColumnFormula>IF(SaisonD[[#This Row],[Gesamt]]=0,"",IF(SaisonD[[#This Row],[MP]]&gt;4,"S",IF(SaisonD[[#This Row],[MP]]&lt;4,"N","U")))</calculatedColumnFormula>
    </tableColumn>
  </tableColumns>
  <tableStyleInfo name="TableStyleLight1"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A94BA215-0129-4876-BEBB-43EEE7CC91F5}" name="SaisonF" displayName="SaisonF" ref="C24:M38" totalsRowShown="0" headerRowDxfId="690" dataDxfId="689" tableBorderDxfId="688">
  <autoFilter ref="C24:M38" xr:uid="{A94BA215-0129-4876-BEBB-43EEE7CC91F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F4E5F7C8-AE71-42CD-BAB6-7ED196216637}" name="Spieltag" dataDxfId="687"/>
    <tableColumn id="2" xr3:uid="{DDF5288A-FAB4-4D7E-8E13-A2FF89029DAE}" name="ID" dataDxfId="686"/>
    <tableColumn id="3" xr3:uid="{321A9C0D-0614-4077-8829-13AFDA100ABC}" name="Gegner" dataDxfId="685">
      <calculatedColumnFormula>VLOOKUP(SaisonF[[#This Row],[ID]],Chronologie[[ID]:[H/A]],6,FALSE)</calculatedColumnFormula>
    </tableColumn>
    <tableColumn id="4" xr3:uid="{930C36CD-BD84-4B26-BC1B-713F2D634020}" name="H/A" dataDxfId="684">
      <calculatedColumnFormula>VLOOKUP(SaisonF[[#This Row],[ID]],Chronologie[[ID]:[H/A]],8,FALSE)</calculatedColumnFormula>
    </tableColumn>
    <tableColumn id="5" xr3:uid="{62875502-F4ED-4B3E-B902-1E37811B1532}" name="Duelle" dataDxfId="683">
      <calculatedColumnFormula>IF(SUMIF(Eingabe[ID],SaisonF[[#This Row],[ID]],Eingabe[MP])="","",SUMIF(Eingabe[ID],SaisonF[[#This Row],[ID]],Eingabe[MP]))</calculatedColumnFormula>
    </tableColumn>
    <tableColumn id="6" xr3:uid="{AE0A5F1C-CF18-4623-848F-DDD726985F6A}" name="Gesamtholz" dataDxfId="682">
      <calculatedColumnFormula>IF(SaisonF[[#This Row],[Duelle]]="","",IF(SaisonF[[#This Row],[Gesamt]]&gt;SaisonF[[#This Row],[Gegner Gesamt]],2,IF(SaisonF[[#This Row],[Gesamt]]=SaisonF[[#This Row],[Gegner Gesamt]],1,0)))</calculatedColumnFormula>
    </tableColumn>
    <tableColumn id="13" xr3:uid="{63414BBC-04B3-4DE8-BF83-117415CD7E6E}" name="MP" dataDxfId="681">
      <calculatedColumnFormula>IF(SaisonF[[#This Row],[Duelle]]="","",SaisonF[[#This Row],[Duelle]]+SaisonF[[#This Row],[Gesamtholz]])</calculatedColumnFormula>
    </tableColumn>
    <tableColumn id="12" xr3:uid="{7067B1F3-71B2-4BA2-A3D1-47EF85DC8864}" name="Gesamt" dataDxfId="680">
      <calculatedColumnFormula>IF(SaisonF[[#This Row],[Duelle]]="","",SUMIF(Eingabe[ID],SaisonF[[#This Row],[ID]],Eingabe[GES]))</calculatedColumnFormula>
    </tableColumn>
    <tableColumn id="11" xr3:uid="{FE952E9B-4B70-4D24-81FA-CC1E67F68127}" name="Gegner Gesamt" dataDxfId="679">
      <calculatedColumnFormula>IF(SaisonF[[#This Row],[Duelle]]="","",SUMIF(Eingabe[ID],SaisonF[[#This Row],[ID]],Eingabe[GEGGES]))</calculatedColumnFormula>
    </tableColumn>
    <tableColumn id="7" xr3:uid="{F92528FD-F842-4A3A-B129-A37A78A876C8}" name="Endstand" dataDxfId="678">
      <calculatedColumnFormula>IF(SaisonF[[#This Row],[Gesamt]]=0,"",IF(SaisonF[[#This Row],[H/A]]="H","("&amp;SaisonF[[#This Row],[Gesamt]]&amp;")"&amp;" "&amp;SaisonF[[#This Row],[MP]]&amp;":"&amp;(8-SaisonF[[#This Row],[MP]])&amp;" "&amp;"("&amp;SaisonF[[#This Row],[Gegner Gesamt]]&amp;")","("&amp;SaisonF[[#This Row],[Gegner Gesamt]]&amp;")"&amp;" "&amp;(8-SaisonF[[#This Row],[MP]])&amp;":"&amp;SaisonF[[#This Row],[MP]]&amp;" "&amp;"("&amp;SaisonF[[#This Row],[Gesamt]]&amp;")"))</calculatedColumnFormula>
    </tableColumn>
    <tableColumn id="8" xr3:uid="{21D65A7F-6BA8-4027-9BBD-56D83847302E}" name="S/U/N" dataDxfId="677">
      <calculatedColumnFormula>IF(SaisonF[[#This Row],[Gesamt]]=0,"",IF(SaisonF[[#This Row],[MP]]&gt;4,"S",IF(SaisonF[[#This Row],[MP]]&lt;4,"N","U")))</calculatedColumnFormula>
    </tableColumn>
  </tableColumns>
  <tableStyleInfo name="TableStyleLight1"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29BD2B-3B09-4566-960E-3C09E4345B44}" name="SaisonU18" displayName="SaisonU18" ref="C47:H53" totalsRowShown="0" headerRowDxfId="676" dataDxfId="675" tableBorderDxfId="674">
  <autoFilter ref="C47:H53" xr:uid="{3629BD2B-3B09-4566-960E-3C09E4345B44}">
    <filterColumn colId="0" hiddenButton="1"/>
    <filterColumn colId="1" hiddenButton="1"/>
    <filterColumn colId="2" hiddenButton="1"/>
    <filterColumn colId="3" hiddenButton="1"/>
    <filterColumn colId="4" hiddenButton="1"/>
    <filterColumn colId="5" hiddenButton="1"/>
  </autoFilter>
  <tableColumns count="6">
    <tableColumn id="1" xr3:uid="{14FD6278-FB06-4619-B588-B987F6797DDE}" name="Spieltag" dataDxfId="673"/>
    <tableColumn id="2" xr3:uid="{1FCAC7F5-AF84-4BB5-A11A-D0ED82B569FD}" name="ID" dataDxfId="672"/>
    <tableColumn id="3" xr3:uid="{E1CD3CAE-5FAA-4704-958B-C46CD9BD7D50}" name="Gegner" dataDxfId="671">
      <calculatedColumnFormula>VLOOKUP(SaisonU18[[#This Row],[ID]],Chronologie[[ID]:[H/A]],6,FALSE)</calculatedColumnFormula>
    </tableColumn>
    <tableColumn id="4" xr3:uid="{9E9E04C7-D8CA-4585-84C9-EB3314789E6D}" name="H/A" dataDxfId="670">
      <calculatedColumnFormula>VLOOKUP(SaisonU18[[#This Row],[ID]],Chronologie[[ID]:[H/A]],8,FALSE)</calculatedColumnFormula>
    </tableColumn>
    <tableColumn id="6" xr3:uid="{90F7838F-8B54-494E-9DDA-7D22E0CA7961}" name="Gesamt [Streicher]" dataDxfId="669">
      <calculatedColumnFormula>SUMIF(Eingabe[ID],SaisonU18[[#This Row],[ID]],Eingabe[GES])&amp;" ["&amp;SUMIF(Eingabe[ID],SaisonU18[[#This Row],[ID]],Eingabe[GES])-_xlfn.MINIFS(Eingabe[GES],Eingabe[ID],SaisonU18[[#This Row],[ID]])&amp;"]"</calculatedColumnFormula>
    </tableColumn>
    <tableColumn id="11" xr3:uid="{1CF5034C-25AA-4797-9BEC-00CDE5AA2343}" name="Platz" dataDxfId="668">
      <calculatedColumnFormula>IF(SaisonF[[#This Row],[Gesamt]]=0,"",IF(SaisonF[[#This Row],[MP]]&gt;4,"S",IF(SaisonF[[#This Row],[MP]]&lt;4,"N","U")))</calculatedColumnFormula>
    </tableColum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D9070D1-B9F7-49A0-AAA8-B2C3621291B3}" name="SaisonU14" displayName="SaisonU14" ref="C60:H66" totalsRowShown="0" headerRowDxfId="667" dataDxfId="666" tableBorderDxfId="665">
  <autoFilter ref="C60:H66" xr:uid="{4D9070D1-B9F7-49A0-AAA8-B2C3621291B3}">
    <filterColumn colId="0" hiddenButton="1"/>
    <filterColumn colId="1" hiddenButton="1"/>
    <filterColumn colId="2" hiddenButton="1"/>
    <filterColumn colId="3" hiddenButton="1"/>
    <filterColumn colId="4" hiddenButton="1"/>
    <filterColumn colId="5" hiddenButton="1"/>
  </autoFilter>
  <tableColumns count="6">
    <tableColumn id="1" xr3:uid="{68F63466-6223-4AB1-8493-990BCD4C8265}" name="Spieltag" dataDxfId="664"/>
    <tableColumn id="2" xr3:uid="{1E8185F8-2E9C-452D-B6C8-C1FF6829BA12}" name="ID" dataDxfId="663"/>
    <tableColumn id="3" xr3:uid="{1006A941-A084-4511-9A5E-0D115AA9CF9E}" name="Gegner" dataDxfId="662">
      <calculatedColumnFormula>VLOOKUP(SaisonU14[[#This Row],[ID]],Chronologie[[ID]:[H/A]],6,FALSE)</calculatedColumnFormula>
    </tableColumn>
    <tableColumn id="4" xr3:uid="{11F4D8E0-0655-4A41-B617-C9B1381B7E89}" name="H/A" dataDxfId="661">
      <calculatedColumnFormula>VLOOKUP(SaisonU14[[#This Row],[ID]],Chronologie[[ID]:[H/A]],8,FALSE)</calculatedColumnFormula>
    </tableColumn>
    <tableColumn id="6" xr3:uid="{E3FB4AEA-56E0-4C33-AE40-00FD9E32BD93}" name="Gesamt [Streicher]" dataDxfId="660">
      <calculatedColumnFormula>SUMIF(Eingabe[ID],SaisonU14[[#This Row],[ID]],Eingabe[GES])&amp;" ["&amp;SUMIF(Eingabe[ID],SaisonU14[[#This Row],[ID]],Eingabe[GES])-_xlfn.MINIFS(Eingabe[GES],Eingabe[ID],SaisonU14[[#This Row],[ID]])&amp;"]"</calculatedColumnFormula>
    </tableColumn>
    <tableColumn id="11" xr3:uid="{24BB0C83-BEDA-4CF0-ADA2-DBBC879DCC7A}" name="Platz" dataDxfId="659">
      <calculatedColumnFormula>IF(SaisonF[[#This Row],[Gesamt]]=0,"",IF(SaisonF[[#This Row],[MP]]&gt;4,"S",IF(SaisonF[[#This Row],[MP]]&lt;4,"N","U")))</calculatedColumnFormula>
    </tableColum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4E40CD7-B99D-4A9C-9AE8-685C805D3A9D}" name="PositionG" displayName="PositionG" ref="B1:Y51" totalsRowShown="0" headerRowDxfId="658" dataDxfId="657">
  <autoFilter ref="B1:Y51" xr:uid="{84E40CD7-B99D-4A9C-9AE8-685C805D3A9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xr3:uid="{65E47D2F-1DAC-40BF-A083-0DB67F71CDF9}" name="Name" dataDxfId="656">
      <calculatedColumnFormula>VLOOKUP(ROW(PositionG[[#This Row],[Name]])-1,Teamzuordnung[],2,FALSE)</calculatedColumnFormula>
    </tableColumn>
    <tableColumn id="2" xr3:uid="{6D2E11C0-FD8D-4FD9-BA7E-9A105CB9F760}" name="Spiele" dataDxfId="655">
      <calculatedColumnFormula>VLOOKUP(PositionG[[#This Row],[Name]],AuswertungG[],4,FALSE)</calculatedColumnFormula>
    </tableColumn>
    <tableColumn id="3" xr3:uid="{66CD974D-E91A-4F7C-9FD2-8EBBCFE13E9A}" name="P1" dataDxfId="654">
      <calculatedColumnFormula>IF(PositionG[[#This Row],[Spiele]]="","",COUNTIFS(Eingabe[Name],PositionG[[#This Row],[Name]],Eingabe[Position],1))</calculatedColumnFormula>
    </tableColumn>
    <tableColumn id="4" xr3:uid="{7C1C0B27-7F6C-4577-9C86-2606EE585BC3}" name="P2" dataDxfId="653">
      <calculatedColumnFormula>IF(PositionG[[#This Row],[Spiele]]="","",COUNTIFS(Eingabe[Name],PositionG[[#This Row],[Name]],Eingabe[Position],2))</calculatedColumnFormula>
    </tableColumn>
    <tableColumn id="5" xr3:uid="{E666BD46-0632-418D-BEB6-374F099F0374}" name="P3" dataDxfId="652">
      <calculatedColumnFormula>IF(PositionG[[#This Row],[Spiele]]="","",COUNTIFS(Eingabe[Name],PositionG[[#This Row],[Name]],Eingabe[Position],3))</calculatedColumnFormula>
    </tableColumn>
    <tableColumn id="6" xr3:uid="{FA9BD27E-35FE-49FB-9334-FCF7D7F5A774}" name="P4" dataDxfId="651">
      <calculatedColumnFormula>IF(PositionG[[#This Row],[Spiele]]="","",COUNTIFS(Eingabe[Name],PositionG[[#This Row],[Name]],Eingabe[Position],4))</calculatedColumnFormula>
    </tableColumn>
    <tableColumn id="7" xr3:uid="{AF13610B-D3DA-4C69-9141-84FA46C6A1CA}" name="P5" dataDxfId="650">
      <calculatedColumnFormula>IF(PositionG[[#This Row],[Spiele]]="","",COUNTIFS(Eingabe[Name],PositionG[[#This Row],[Name]],Eingabe[Position],5))</calculatedColumnFormula>
    </tableColumn>
    <tableColumn id="8" xr3:uid="{71D4ABD6-93A4-47EE-AB9B-97C9654808BA}" name="P6" dataDxfId="649">
      <calculatedColumnFormula>IF(PositionG[[#This Row],[Spiele]]="","",COUNTIFS(Eingabe[Name],PositionG[[#This Row],[Name]],Eingabe[Position],6))</calculatedColumnFormula>
    </tableColumn>
    <tableColumn id="11" xr3:uid="{C5ACC3C4-091B-473F-81E0-5167B685C6DE}" name="P1 S" dataDxfId="648">
      <calculatedColumnFormula>IF(PositionG[[#This Row],[P1]]="","",COUNTIFS(Eingabe[Position],1,Eingabe[MP],1,Eingabe[Name],PositionG[[#This Row],[Name]]))</calculatedColumnFormula>
    </tableColumn>
    <tableColumn id="12" xr3:uid="{27BCD8E3-38A5-46D1-A89F-2AC8273C830F}" name="P2 S" dataDxfId="647">
      <calculatedColumnFormula>IF(PositionG[[#This Row],[P2]]="","",COUNTIFS(Eingabe[Position],2,Eingabe[MP],1,Eingabe[Name],PositionG[[#This Row],[Name]]))</calculatedColumnFormula>
    </tableColumn>
    <tableColumn id="13" xr3:uid="{A7FE8485-8765-4393-A79D-E4B7C51C2287}" name="P3 S" dataDxfId="646">
      <calculatedColumnFormula>IF(PositionG[[#This Row],[P3]]="","",COUNTIFS(Eingabe[Position],3,Eingabe[MP],1,Eingabe[Name],PositionG[[#This Row],[Name]]))</calculatedColumnFormula>
    </tableColumn>
    <tableColumn id="14" xr3:uid="{7CF83406-A605-4B7C-9E08-3065DD4D15DA}" name="P4 S" dataDxfId="645">
      <calculatedColumnFormula>IF(PositionG[[#This Row],[P4]]="","",COUNTIFS(Eingabe[Position],4,Eingabe[MP],1,Eingabe[Name],PositionG[[#This Row],[Name]]))</calculatedColumnFormula>
    </tableColumn>
    <tableColumn id="15" xr3:uid="{11FB8718-B563-43E8-A354-E1F65304B359}" name="P5 S" dataDxfId="644">
      <calculatedColumnFormula>IF(PositionG[[#This Row],[P5]]="","",COUNTIFS(Eingabe[Position],5,Eingabe[MP],1,Eingabe[Name],PositionG[[#This Row],[Name]]))</calculatedColumnFormula>
    </tableColumn>
    <tableColumn id="16" xr3:uid="{68AD766A-9A4F-442C-9DFB-29124A08B583}" name="P6 S" dataDxfId="643">
      <calculatedColumnFormula>IF(PositionG[[#This Row],[P6]]="","",COUNTIFS(Eingabe[Position],6,Eingabe[MP],1,Eingabe[Name],PositionG[[#This Row],[Name]]))</calculatedColumnFormula>
    </tableColumn>
    <tableColumn id="19" xr3:uid="{F731C04D-3A84-4D9F-B608-430A2D9C126E}" name="P1 %" dataDxfId="642" dataCellStyle="Prozent">
      <calculatedColumnFormula>IF(PositionG[[#This Row],[P1]]=0,"",IF(PositionG[[#This Row],[P1]]="","",PositionG[[#This Row],[P1 S]]/PositionG[[#This Row],[P1]]))</calculatedColumnFormula>
    </tableColumn>
    <tableColumn id="20" xr3:uid="{C41625E1-92D0-4111-B311-AC25191F02B9}" name="P2 %" dataDxfId="641" dataCellStyle="Prozent">
      <calculatedColumnFormula>IF(PositionG[[#This Row],[P2]]=0,"",IF(PositionG[[#This Row],[P2]]="","",PositionG[[#This Row],[P2 S]]/PositionG[[#This Row],[P2]]))</calculatedColumnFormula>
    </tableColumn>
    <tableColumn id="21" xr3:uid="{56A1048E-89D3-46BD-ACCA-9B3D669FCCCE}" name="P3 %" dataDxfId="640" dataCellStyle="Prozent">
      <calculatedColumnFormula>IF(PositionG[[#This Row],[P3]]=0,"",IF(PositionG[[#This Row],[P3]]="","",PositionG[[#This Row],[P3 S]]/PositionG[[#This Row],[P3]]))</calculatedColumnFormula>
    </tableColumn>
    <tableColumn id="22" xr3:uid="{131DC007-6B69-4205-8F6F-F997E9994019}" name="P4 %" dataDxfId="639" dataCellStyle="Prozent">
      <calculatedColumnFormula>IF(PositionG[[#This Row],[P4]]=0,"",IF(PositionG[[#This Row],[P4]]="","",PositionG[[#This Row],[P4 S]]/PositionG[[#This Row],[P4]]))</calculatedColumnFormula>
    </tableColumn>
    <tableColumn id="23" xr3:uid="{F6AA86F0-8BF6-4312-9FDC-06C01E808122}" name="P5 %" dataDxfId="638" dataCellStyle="Prozent">
      <calculatedColumnFormula>IF(PositionG[[#This Row],[P5]]=0,"",IF(PositionG[[#This Row],[P5]]="","",PositionG[[#This Row],[P5 S]]/PositionG[[#This Row],[P5]]))</calculatedColumnFormula>
    </tableColumn>
    <tableColumn id="24" xr3:uid="{331023F1-9E65-486F-81B1-F87FC723D440}" name="P6 %" dataDxfId="637" dataCellStyle="Prozent">
      <calculatedColumnFormula>IF(PositionG[[#This Row],[P6]]=0,"",IF(PositionG[[#This Row],[P6]]="","",PositionG[[#This Row],[P6 S]]/PositionG[[#This Row],[P6]]))</calculatedColumnFormula>
    </tableColumn>
    <tableColumn id="25" xr3:uid="{7C244359-4BAA-447B-993A-A6FE2F0E349B}" name="HP" dataDxfId="636">
      <calculatedColumnFormula>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calculatedColumnFormula>
    </tableColumn>
    <tableColumn id="27" xr3:uid="{4F7A5BC2-5180-435C-9CC2-5FEC7201EB4E}" name="#HP" dataDxfId="635" dataCellStyle="Prozent">
      <calculatedColumnFormula>IF(PositionG[[#This Row],[HP]]="","",MAX(PositionG[[#This Row],[P1]:[P6]]))</calculatedColumnFormula>
    </tableColumn>
    <tableColumn id="28" xr3:uid="{CCDC4E1F-C286-4AAF-B6FA-85B60E2BFC6A}" name="BP" dataDxfId="634" dataCellStyle="Prozent">
      <calculatedColumnFormula>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calculatedColumnFormula>
    </tableColumn>
    <tableColumn id="29" xr3:uid="{CD23478F-643B-400D-A016-FD8B4022BFEB}" name="% BP" dataDxfId="633" dataCellStyle="Prozent">
      <calculatedColumnFormula>IF(PositionG[[#This Row],[Spiele]]="","",MAX(PositionG[[#This Row],[P1 %]:[P6 %]]))</calculatedColumnFormula>
    </tableColumn>
  </tableColumns>
  <tableStyleInfo name="TableStyleMedium23"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67FC9FA9-A4AC-465F-9EF8-F01F640E24A8}" name="PositionH" displayName="PositionH" ref="B53:Y103" totalsRowShown="0" headerRowDxfId="632" dataDxfId="631">
  <autoFilter ref="B53:Y103" xr:uid="{67FC9FA9-A4AC-465F-9EF8-F01F640E24A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xr3:uid="{B5A89BFF-843A-4D08-A1DE-ED07A4BE2023}" name="Name H" dataDxfId="630">
      <calculatedColumnFormula>B2</calculatedColumnFormula>
    </tableColumn>
    <tableColumn id="2" xr3:uid="{19C40267-B756-4439-AF15-E822EFA70AE0}" name="Spiele H" dataDxfId="629">
      <calculatedColumnFormula>VLOOKUP(PositionH[[#This Row],[Name H]],AuswertungH[],4,FALSE)</calculatedColumnFormula>
    </tableColumn>
    <tableColumn id="3" xr3:uid="{13EF3C88-6330-4D6B-9BF3-E262180A3FB9}" name="P1 H" dataDxfId="628">
      <calculatedColumnFormula>IF(PositionH[[#This Row],[Spiele H]]="","",COUNTIFS(Eingabe[Name],PositionH[[#This Row],[Name H]],Eingabe[Position],1,Eingabe[Wo],"H"))</calculatedColumnFormula>
    </tableColumn>
    <tableColumn id="4" xr3:uid="{E01BBAC5-0E62-4075-BEFF-38CD2181A3A2}" name="P2 H" dataDxfId="627">
      <calculatedColumnFormula>IF(PositionH[[#This Row],[Spiele H]]="","",COUNTIFS(Eingabe[Name],PositionH[[#This Row],[Name H]],Eingabe[Position],2,Eingabe[Wo],"H"))</calculatedColumnFormula>
    </tableColumn>
    <tableColumn id="5" xr3:uid="{A9D07EBE-300B-4D7D-9F26-B05447AF40CB}" name="P3 H" dataDxfId="626">
      <calculatedColumnFormula>IF(PositionH[[#This Row],[Spiele H]]="","",COUNTIFS(Eingabe[Name],PositionH[[#This Row],[Name H]],Eingabe[Position],3,Eingabe[Wo],"H"))</calculatedColumnFormula>
    </tableColumn>
    <tableColumn id="6" xr3:uid="{DF05DF0D-49BA-4243-8101-B34C2C174559}" name="P4 H" dataDxfId="625">
      <calculatedColumnFormula>IF(PositionH[[#This Row],[Spiele H]]="","",COUNTIFS(Eingabe[Name],PositionH[[#This Row],[Name H]],Eingabe[Position],4,Eingabe[Wo],"H"))</calculatedColumnFormula>
    </tableColumn>
    <tableColumn id="7" xr3:uid="{4875DC17-27D9-44C7-ADDB-6500533BFC4C}" name="P5 H" dataDxfId="624">
      <calculatedColumnFormula>IF(PositionH[[#This Row],[Spiele H]]="","",COUNTIFS(Eingabe[Name],PositionH[[#This Row],[Name H]],Eingabe[Position],5,Eingabe[Wo],"H"))</calculatedColumnFormula>
    </tableColumn>
    <tableColumn id="8" xr3:uid="{5CE66320-1268-497D-8036-C382DB4632C8}" name="P6 H" dataDxfId="623">
      <calculatedColumnFormula>IF(PositionH[[#This Row],[Spiele H]]="","",COUNTIFS(Eingabe[Name],PositionH[[#This Row],[Name H]],Eingabe[Position],6,Eingabe[Wo],"H"))</calculatedColumnFormula>
    </tableColumn>
    <tableColumn id="9" xr3:uid="{52F78168-DFED-4465-981D-62378A05F6BE}" name="P1 S H" dataDxfId="622">
      <calculatedColumnFormula>IF(PositionH[[#This Row],[P1 H]]="","",COUNTIFS(Eingabe[Position],1,Eingabe[MP],1,Eingabe[Name],PositionH[[#This Row],[Name H]],Eingabe[Wo],"H"))</calculatedColumnFormula>
    </tableColumn>
    <tableColumn id="10" xr3:uid="{9F4084F2-4C68-499F-9575-220D0222DC45}" name="P2 S H" dataDxfId="621">
      <calculatedColumnFormula>IF(PositionH[[#This Row],[P2 H]]="","",COUNTIFS(Eingabe[Position],2,Eingabe[MP],1,Eingabe[Name],PositionH[[#This Row],[Name H]],Eingabe[Wo],"H"))</calculatedColumnFormula>
    </tableColumn>
    <tableColumn id="11" xr3:uid="{D4579A2A-90E1-4103-876A-2C7195F84A7D}" name="P3 S H" dataDxfId="620">
      <calculatedColumnFormula>IF(PositionH[[#This Row],[P3 H]]="","",COUNTIFS(Eingabe[Position],3,Eingabe[MP],1,Eingabe[Name],PositionH[[#This Row],[Name H]],Eingabe[Wo],"H"))</calculatedColumnFormula>
    </tableColumn>
    <tableColumn id="12" xr3:uid="{1CF6C266-1790-41D2-97B2-960AA62313EF}" name="P4 S H" dataDxfId="619">
      <calculatedColumnFormula>IF(PositionH[[#This Row],[P4 H]]="","",COUNTIFS(Eingabe[Position],4,Eingabe[MP],1,Eingabe[Name],PositionH[[#This Row],[Name H]],Eingabe[Wo],"H"))</calculatedColumnFormula>
    </tableColumn>
    <tableColumn id="13" xr3:uid="{C87C9290-5B3A-40EC-B4E5-CCEAAB3C33A7}" name="P5 S H" dataDxfId="618">
      <calculatedColumnFormula>IF(PositionH[[#This Row],[P5 H]]="","",COUNTIFS(Eingabe[Position],5,Eingabe[MP],1,Eingabe[Name],PositionH[[#This Row],[Name H]],Eingabe[Wo],"H"))</calculatedColumnFormula>
    </tableColumn>
    <tableColumn id="14" xr3:uid="{7F664DB8-119C-4C85-94D1-CC079BC3CD55}" name="P6 S H" dataDxfId="617">
      <calculatedColumnFormula>IF(PositionH[[#This Row],[P6 H]]="","",COUNTIFS(Eingabe[Position],6,Eingabe[MP],1,Eingabe[Name],PositionH[[#This Row],[Name H]],Eingabe[Wo],"H"))</calculatedColumnFormula>
    </tableColumn>
    <tableColumn id="15" xr3:uid="{B246C6A8-5B9A-4548-B665-32C579C3BF38}" name="P1 % H" dataDxfId="616" dataCellStyle="Prozent">
      <calculatedColumnFormula>IF(PositionH[[#This Row],[P1 H]]=0,"",IF(PositionH[[#This Row],[P1 H]]="","",PositionH[[#This Row],[P1 S H]]/PositionH[[#This Row],[P1 H]]))</calculatedColumnFormula>
    </tableColumn>
    <tableColumn id="16" xr3:uid="{7EC0C05B-62ED-490A-B669-C79BCFD07237}" name="P2 % H" dataDxfId="615" dataCellStyle="Prozent">
      <calculatedColumnFormula>IF(PositionH[[#This Row],[P2 H]]=0,"",IF(PositionH[[#This Row],[P2 H]]="","",PositionH[[#This Row],[P2 S H]]/PositionH[[#This Row],[P2 H]]))</calculatedColumnFormula>
    </tableColumn>
    <tableColumn id="17" xr3:uid="{8B7BC35E-D92A-48BE-9A40-0A2AFD601408}" name="P3 % H" dataDxfId="614" dataCellStyle="Prozent">
      <calculatedColumnFormula>IF(PositionH[[#This Row],[P3 H]]=0,"",IF(PositionH[[#This Row],[P3 H]]="","",PositionH[[#This Row],[P3 S H]]/PositionH[[#This Row],[P3 H]]))</calculatedColumnFormula>
    </tableColumn>
    <tableColumn id="18" xr3:uid="{CF96AEAF-A750-42E9-9418-F9CFA8959A07}" name="P4 % H" dataDxfId="613" dataCellStyle="Prozent">
      <calculatedColumnFormula>IF(PositionH[[#This Row],[P4 H]]=0,"",IF(PositionH[[#This Row],[P4 H]]="","",PositionH[[#This Row],[P4 S H]]/PositionH[[#This Row],[P4 H]]))</calculatedColumnFormula>
    </tableColumn>
    <tableColumn id="19" xr3:uid="{3D926450-6648-40BD-9F6E-5E6146AD4138}" name="P5 % H" dataDxfId="612" dataCellStyle="Prozent">
      <calculatedColumnFormula>IF(PositionH[[#This Row],[P5 H]]=0,"",IF(PositionH[[#This Row],[P5 H]]="","",PositionH[[#This Row],[P5 S H]]/PositionH[[#This Row],[P5 H]]))</calculatedColumnFormula>
    </tableColumn>
    <tableColumn id="20" xr3:uid="{E882C179-FB51-47F5-90DA-B6BD90AA3387}" name="P6 % H" dataDxfId="611" dataCellStyle="Prozent">
      <calculatedColumnFormula>IF(PositionH[[#This Row],[P6 H]]=0,"",IF(PositionH[[#This Row],[P6 H]]="","",PositionH[[#This Row],[P6 S H]]/PositionH[[#This Row],[P6 H]]))</calculatedColumnFormula>
    </tableColumn>
    <tableColumn id="21" xr3:uid="{10182B80-BB7E-4F6A-A4D0-26BF24758A30}" name="HP H" dataDxfId="610">
      <calculatedColumnFormula>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calculatedColumnFormula>
    </tableColumn>
    <tableColumn id="22" xr3:uid="{E1AA24CA-5009-44D0-B21B-661D2E707F3B}" name="#HP H" dataDxfId="609">
      <calculatedColumnFormula>IF(PositionH[[#This Row],[HP H]]="","",MAX(PositionH[[#This Row],[P1 H]:[P6 H]]))</calculatedColumnFormula>
    </tableColumn>
    <tableColumn id="23" xr3:uid="{7537A527-A8E5-4DDD-AABD-9C346EE55E98}" name="BP H" dataDxfId="608">
      <calculatedColumnFormula>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calculatedColumnFormula>
    </tableColumn>
    <tableColumn id="24" xr3:uid="{BDB385CB-E791-493F-96DA-5B0CF7277518}" name="% BP H" dataDxfId="607" dataCellStyle="Prozent">
      <calculatedColumnFormula>IF(PositionH[[#This Row],[Spiele H]]="","",MAX(PositionH[[#This Row],[P1 % H]:[P6 % H]]))</calculatedColumnFormula>
    </tableColumn>
  </tableColumns>
  <tableStyleInfo name="TableStyleMedium25"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19CD737-90A3-43AD-8898-6151F6BEEFA4}" name="PositionA" displayName="PositionA" ref="B105:Y155" totalsRowShown="0" headerRowDxfId="606" dataDxfId="605">
  <autoFilter ref="B105:Y155" xr:uid="{A19CD737-90A3-43AD-8898-6151F6BEEFA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xr3:uid="{634348CE-46DA-4E80-B227-BB78E691C71C}" name="Name A" dataDxfId="604">
      <calculatedColumnFormula>B54</calculatedColumnFormula>
    </tableColumn>
    <tableColumn id="2" xr3:uid="{ACF72007-6CC8-4D3F-A67D-CB1441F501E9}" name="Spiele A" dataDxfId="603">
      <calculatedColumnFormula>VLOOKUP(PositionA[[#This Row],[Name A]],AuswertungA[],4,FALSE)</calculatedColumnFormula>
    </tableColumn>
    <tableColumn id="3" xr3:uid="{3F2FAAF2-1891-4237-90D0-E4D77EBD58B6}" name="P1 A" dataDxfId="602">
      <calculatedColumnFormula>IF(PositionA[[#This Row],[Spiele A]]="","",COUNTIFS(Eingabe[Name],PositionA[[#This Row],[Name A]],Eingabe[Position],1,Eingabe[Wo],"A"))</calculatedColumnFormula>
    </tableColumn>
    <tableColumn id="4" xr3:uid="{97A0805C-8A4E-40F4-815F-102E9764F4B9}" name="P2 A" dataDxfId="601">
      <calculatedColumnFormula>IF(PositionA[[#This Row],[Spiele A]]="","",COUNTIFS(Eingabe[Name],PositionA[[#This Row],[Name A]],Eingabe[Position],2,Eingabe[Wo],"A"))</calculatedColumnFormula>
    </tableColumn>
    <tableColumn id="5" xr3:uid="{C332A29B-9FC2-4513-A599-535F2AC66D63}" name="P3 A" dataDxfId="600">
      <calculatedColumnFormula>IF(PositionA[[#This Row],[Spiele A]]="","",COUNTIFS(Eingabe[Name],PositionA[[#This Row],[Name A]],Eingabe[Position],3,Eingabe[Wo],"A"))</calculatedColumnFormula>
    </tableColumn>
    <tableColumn id="6" xr3:uid="{3A907382-2613-4330-8E35-485D4EB95BA6}" name="P4 A" dataDxfId="599">
      <calculatedColumnFormula>IF(PositionA[[#This Row],[Spiele A]]="","",COUNTIFS(Eingabe[Name],PositionA[[#This Row],[Name A]],Eingabe[Position],4,Eingabe[Wo],"A"))</calculatedColumnFormula>
    </tableColumn>
    <tableColumn id="7" xr3:uid="{18DB5F65-388A-4C36-A9E1-F10D9563151F}" name="P5 A" dataDxfId="598">
      <calculatedColumnFormula>IF(PositionA[[#This Row],[Spiele A]]="","",COUNTIFS(Eingabe[Name],PositionA[[#This Row],[Name A]],Eingabe[Position],5,Eingabe[Wo],"A"))</calculatedColumnFormula>
    </tableColumn>
    <tableColumn id="8" xr3:uid="{3C9B19AC-1288-4041-86EE-78983C35DB48}" name="P6 A" dataDxfId="597">
      <calculatedColumnFormula>IF(PositionA[[#This Row],[Spiele A]]="","",COUNTIFS(Eingabe[Name],PositionA[[#This Row],[Name A]],Eingabe[Position],6,Eingabe[Wo],"A"))</calculatedColumnFormula>
    </tableColumn>
    <tableColumn id="9" xr3:uid="{F67941AD-0AE4-46C8-973E-18006E0AB8B6}" name="P1 S A" dataDxfId="596">
      <calculatedColumnFormula>IF(PositionA[[#This Row],[P1 A]]="","",COUNTIFS(Eingabe[Position],1,Eingabe[MP],1,Eingabe[Name],PositionA[[#This Row],[Name A]],Eingabe[Wo],"A"))</calculatedColumnFormula>
    </tableColumn>
    <tableColumn id="10" xr3:uid="{3DC4714E-24C9-4CC4-AA2E-B1923E554911}" name="P2 S A" dataDxfId="595">
      <calculatedColumnFormula>IF(PositionA[[#This Row],[P2 A]]="","",COUNTIFS(Eingabe[Position],2,Eingabe[MP],1,Eingabe[Name],PositionA[[#This Row],[Name A]],Eingabe[Wo],"A"))</calculatedColumnFormula>
    </tableColumn>
    <tableColumn id="11" xr3:uid="{BF18C335-0131-4266-8391-A5C6F6558293}" name="P3 S A" dataDxfId="594">
      <calculatedColumnFormula>IF(PositionA[[#This Row],[P3 A]]="","",COUNTIFS(Eingabe[Position],3,Eingabe[MP],1,Eingabe[Name],PositionA[[#This Row],[Name A]],Eingabe[Wo],"A"))</calculatedColumnFormula>
    </tableColumn>
    <tableColumn id="12" xr3:uid="{88CC86D4-07D2-45E5-A94F-91C87563A2FB}" name="P4 S A" dataDxfId="593">
      <calculatedColumnFormula>IF(PositionA[[#This Row],[P4 A]]="","",COUNTIFS(Eingabe[Position],4,Eingabe[MP],1,Eingabe[Name],PositionA[[#This Row],[Name A]],Eingabe[Wo],"A"))</calculatedColumnFormula>
    </tableColumn>
    <tableColumn id="13" xr3:uid="{06CB7650-13E8-43CB-AB5F-E752CB409FEA}" name="P5 S A" dataDxfId="592">
      <calculatedColumnFormula>IF(PositionA[[#This Row],[P5 A]]="","",COUNTIFS(Eingabe[Position],5,Eingabe[MP],1,Eingabe[Name],PositionA[[#This Row],[Name A]],Eingabe[Wo],"A"))</calculatedColumnFormula>
    </tableColumn>
    <tableColumn id="14" xr3:uid="{A755D418-E4AD-4CF6-B5EB-A48880729385}" name="P6 S A" dataDxfId="591">
      <calculatedColumnFormula>IF(PositionA[[#This Row],[P6 A]]="","",COUNTIFS(Eingabe[Position],6,Eingabe[MP],1,Eingabe[Name],PositionA[[#This Row],[Name A]],Eingabe[Wo],"A"))</calculatedColumnFormula>
    </tableColumn>
    <tableColumn id="15" xr3:uid="{26C75C4C-65D0-4B63-9B46-7FE545F17739}" name="P1 % A" dataDxfId="590" dataCellStyle="Prozent">
      <calculatedColumnFormula>IF(PositionA[[#This Row],[P1 A]]=0,"",IF(PositionA[[#This Row],[P1 A]]="","",PositionA[[#This Row],[P1 S A]]/PositionA[[#This Row],[P1 A]]))</calculatedColumnFormula>
    </tableColumn>
    <tableColumn id="16" xr3:uid="{23E22B6E-4BB0-43F6-93AD-343A59ADC559}" name="P2 % A" dataDxfId="589" dataCellStyle="Prozent">
      <calculatedColumnFormula>IF(PositionA[[#This Row],[P2 A]]=0,"",IF(PositionA[[#This Row],[P2 A]]="","",PositionA[[#This Row],[P2 S A]]/PositionA[[#This Row],[P2 A]]))</calculatedColumnFormula>
    </tableColumn>
    <tableColumn id="17" xr3:uid="{5003BCF6-085B-43D4-A26E-8E62760960DE}" name="P3 % A" dataDxfId="588" dataCellStyle="Prozent">
      <calculatedColumnFormula>IF(PositionA[[#This Row],[P3 A]]=0,"",IF(PositionA[[#This Row],[P3 A]]="","",PositionA[[#This Row],[P3 S A]]/PositionA[[#This Row],[P3 A]]))</calculatedColumnFormula>
    </tableColumn>
    <tableColumn id="18" xr3:uid="{75C80769-91FA-43A3-AD5A-44B1FB8B9337}" name="P4 % A" dataDxfId="587" dataCellStyle="Prozent">
      <calculatedColumnFormula>IF(PositionA[[#This Row],[P4 A]]=0,"",IF(PositionA[[#This Row],[P4 A]]="","",PositionA[[#This Row],[P4 S A]]/PositionA[[#This Row],[P4 A]]))</calculatedColumnFormula>
    </tableColumn>
    <tableColumn id="19" xr3:uid="{5B4AFFF8-6F61-4CC4-97FD-96353B6B09D3}" name="P5 % A" dataDxfId="586" dataCellStyle="Prozent">
      <calculatedColumnFormula>IF(PositionA[[#This Row],[P5 A]]=0,"",IF(PositionA[[#This Row],[P5 A]]="","",PositionA[[#This Row],[P5 S A]]/PositionA[[#This Row],[P5 A]]))</calculatedColumnFormula>
    </tableColumn>
    <tableColumn id="20" xr3:uid="{70D46234-6CD9-426E-951E-79FE292F925F}" name="P6 % A" dataDxfId="585" dataCellStyle="Prozent">
      <calculatedColumnFormula>IF(PositionA[[#This Row],[P6 A]]=0,"",IF(PositionA[[#This Row],[P6 A]]="","",PositionA[[#This Row],[P6 S A]]/PositionA[[#This Row],[P6 A]]))</calculatedColumnFormula>
    </tableColumn>
    <tableColumn id="21" xr3:uid="{FCE4E2CE-6267-48B5-87D2-C9EB43A2403E}" name="HP A" dataDxfId="584">
      <calculatedColumnFormula>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calculatedColumnFormula>
    </tableColumn>
    <tableColumn id="22" xr3:uid="{FC380583-59CD-488B-9C20-B56C70EFDF9D}" name="#HP A" dataDxfId="583">
      <calculatedColumnFormula>IF(PositionA[[#This Row],[HP A]]="","",MAX(PositionA[[#This Row],[P1 A]:[P6 A]]))</calculatedColumnFormula>
    </tableColumn>
    <tableColumn id="23" xr3:uid="{D0EF065D-F532-4F7C-9DD7-BC682CC34C99}" name="BP A" dataDxfId="582">
      <calculatedColumnFormula>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calculatedColumnFormula>
    </tableColumn>
    <tableColumn id="24" xr3:uid="{E548D91E-5C89-4E67-846A-22E15A437B70}" name="% BP A" dataDxfId="581" dataCellStyle="Prozent">
      <calculatedColumnFormula>IF(PositionA[[#This Row],[Spiele A]]="","",MAX(PositionA[[#This Row],[P1 % A]:[P6 % A]]))</calculatedColumnFormula>
    </tableColumn>
  </tableColumns>
  <tableStyleInfo name="TableStyleMedium2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0E53B6B-C52D-4820-8B40-260F0167FDF8}" name="ErgebnisPosition" displayName="ErgebnisPosition" ref="B1:I50" totalsRowShown="0" headerRowDxfId="580" dataDxfId="579">
  <autoFilter ref="B1:I50" xr:uid="{90E53B6B-C52D-4820-8B40-260F0167FDF8}">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0A90F13-4396-4D73-8962-8BC7755E7742}" name="Name" dataDxfId="578">
      <calculatedColumnFormula>Übersicht!B3</calculatedColumnFormula>
    </tableColumn>
    <tableColumn id="8" xr3:uid="{EF0F4520-1A13-4BB0-8A03-B34A1D3872FA}" name="Team" dataDxfId="577">
      <calculatedColumnFormula>VLOOKUP(ErgebnisPosition[[#This Row],[Name]],Teamzuordnung[[Name]:[Team]],2,FALSE)</calculatedColumnFormula>
    </tableColumn>
    <tableColumn id="2" xr3:uid="{A827A97F-D338-429F-BDE4-BB3FE0218BD9}" name="1" dataDxfId="576">
      <calculatedColumnFormula>IF(COUNTIFS(Eingabe[Name],ErgebnisPosition[[#This Row],[Name]],Eingabe[Position],ErgebnisPosition[[#Headers],[1]])=0,"",ROUND(AVERAGEIFS(Eingabe[GES],Eingabe[Name],ErgebnisPosition[[#This Row],[Name]],Eingabe[Position],ErgebnisPosition[[#Headers],[1]]),0))</calculatedColumnFormula>
    </tableColumn>
    <tableColumn id="3" xr3:uid="{A4D4C535-9DDA-416B-9DA6-70377F4DA627}" name="2" dataDxfId="575">
      <calculatedColumnFormula>IF(COUNTIFS(Eingabe[Name],ErgebnisPosition[[#This Row],[Name]],Eingabe[Position],ErgebnisPosition[[#Headers],[2]])=0,"",ROUND(AVERAGEIFS(Eingabe[GES],Eingabe[Name],ErgebnisPosition[[#This Row],[Name]],Eingabe[Position],ErgebnisPosition[[#Headers],[2]]),0))</calculatedColumnFormula>
    </tableColumn>
    <tableColumn id="4" xr3:uid="{3AEF9AA2-23DD-4E1E-BF50-0FCFD31A0D79}" name="3" dataDxfId="574">
      <calculatedColumnFormula>IF(COUNTIFS(Eingabe[Name],ErgebnisPosition[[#This Row],[Name]],Eingabe[Position],ErgebnisPosition[[#Headers],[3]])=0,"",ROUND(AVERAGEIFS(Eingabe[GES],Eingabe[Name],ErgebnisPosition[[#This Row],[Name]],Eingabe[Position],ErgebnisPosition[[#Headers],[3]]),0))</calculatedColumnFormula>
    </tableColumn>
    <tableColumn id="5" xr3:uid="{1C797C73-A233-43FE-B5C0-EA156B153291}" name="4" dataDxfId="573">
      <calculatedColumnFormula>IF(COUNTIFS(Eingabe[Name],ErgebnisPosition[[#This Row],[Name]],Eingabe[Position],ErgebnisPosition[[#Headers],[4]])=0,"",ROUND(AVERAGEIFS(Eingabe[GES],Eingabe[Name],ErgebnisPosition[[#This Row],[Name]],Eingabe[Position],ErgebnisPosition[[#Headers],[4]]),0))</calculatedColumnFormula>
    </tableColumn>
    <tableColumn id="6" xr3:uid="{76421D5B-3000-42EE-BF0A-41E497FFC670}" name="5" dataDxfId="572">
      <calculatedColumnFormula>IF(COUNTIFS(Eingabe[Name],ErgebnisPosition[[#This Row],[Name]],Eingabe[Position],ErgebnisPosition[[#Headers],[5]])=0,"",ROUND(AVERAGEIFS(Eingabe[GES],Eingabe[Name],ErgebnisPosition[[#This Row],[Name]],Eingabe[Position],ErgebnisPosition[[#Headers],[5]]),0))</calculatedColumnFormula>
    </tableColumn>
    <tableColumn id="7" xr3:uid="{B910FF74-2CCF-4ABB-8707-A4BBDDF31243}" name="6" dataDxfId="571">
      <calculatedColumnFormula>IF(COUNTIFS(Eingabe[Name],ErgebnisPosition[[#This Row],[Name]],Eingabe[Position],ErgebnisPosition[[#Headers],[6]])=0,"",ROUND(AVERAGEIFS(Eingabe[GES],Eingabe[Name],ErgebnisPosition[[#This Row],[Name]],Eingabe[Position],ErgebnisPosition[[#Headers],[6]]),0))</calculatedColumnFormula>
    </tableColumn>
  </tableColumns>
  <tableStyleInfo name="TableStyleDark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A555BF21-86B4-4C68-B786-F6EDB563805A}" name="ErgebnisPositionH" displayName="ErgebnisPositionH" ref="L1:S50" totalsRowShown="0" headerRowDxfId="570" dataDxfId="569">
  <autoFilter ref="L1:S50" xr:uid="{A555BF21-86B4-4C68-B786-F6EDB563805A}">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566E2019-1F77-4EDF-86B9-E15697C8B654}" name="Name" dataDxfId="568">
      <calculatedColumnFormula>ErgebnisPosition[[#This Row],[Name]]</calculatedColumnFormula>
    </tableColumn>
    <tableColumn id="8" xr3:uid="{7DBFC875-3C24-417D-9763-52E98F40C43C}" name="Team" dataDxfId="567">
      <calculatedColumnFormula>VLOOKUP(ErgebnisPositionH[[#This Row],[Name]],Teamzuordnung[[Name]:[Team]],2,FALSE)</calculatedColumnFormula>
    </tableColumn>
    <tableColumn id="2" xr3:uid="{FC69D48B-BE18-4C9E-96CF-F87B7C7091BA}" name="1" dataDxfId="566">
      <calculatedColumnFormula>IF(COUNTIFS(Eingabe[Name],ErgebnisPositionH[[#This Row],[Name]],Eingabe[Position],ErgebnisPositionH[[#Headers],[1]],Eingabe[Wo],"H")=0,"",ROUND(AVERAGEIFS(Eingabe[GES],Eingabe[Name],ErgebnisPositionH[[#This Row],[Name]],Eingabe[Position],ErgebnisPositionH[[#Headers],[1]],Eingabe[Wo],"H"),0))</calculatedColumnFormula>
    </tableColumn>
    <tableColumn id="3" xr3:uid="{F7E31E76-1111-4DD2-910E-9E0298C759E6}" name="2" dataDxfId="565">
      <calculatedColumnFormula>IF(COUNTIFS(Eingabe[Name],ErgebnisPositionH[[#This Row],[Name]],Eingabe[Position],ErgebnisPositionH[[#Headers],[2]],Eingabe[Wo],"H")=0,"",ROUND(AVERAGEIFS(Eingabe[GES],Eingabe[Name],ErgebnisPositionH[[#This Row],[Name]],Eingabe[Position],ErgebnisPositionH[[#Headers],[2]],Eingabe[Wo],"H"),0))</calculatedColumnFormula>
    </tableColumn>
    <tableColumn id="4" xr3:uid="{734E88E2-A6EA-4DC5-B3E4-C94EA4DD732E}" name="3" dataDxfId="564">
      <calculatedColumnFormula>IF(COUNTIFS(Eingabe[Name],ErgebnisPositionH[[#This Row],[Name]],Eingabe[Position],ErgebnisPositionH[[#Headers],[3]],Eingabe[Wo],"H")=0,"",ROUND(AVERAGEIFS(Eingabe[GES],Eingabe[Name],ErgebnisPositionH[[#This Row],[Name]],Eingabe[Position],ErgebnisPositionH[[#Headers],[3]],Eingabe[Wo],"H"),0))</calculatedColumnFormula>
    </tableColumn>
    <tableColumn id="5" xr3:uid="{BEA1A893-67ED-477C-A99F-E0FFFB56D702}" name="4" dataDxfId="563">
      <calculatedColumnFormula>IF(COUNTIFS(Eingabe[Name],ErgebnisPositionH[[#This Row],[Name]],Eingabe[Position],ErgebnisPositionH[[#Headers],[4]],Eingabe[Wo],"H")=0,"",ROUND(AVERAGEIFS(Eingabe[GES],Eingabe[Name],ErgebnisPositionH[[#This Row],[Name]],Eingabe[Position],ErgebnisPositionH[[#Headers],[4]],Eingabe[Wo],"H"),0))</calculatedColumnFormula>
    </tableColumn>
    <tableColumn id="6" xr3:uid="{600DF940-755F-45E2-9468-58B4DC31B301}" name="5" dataDxfId="562">
      <calculatedColumnFormula>IF(COUNTIFS(Eingabe[Name],ErgebnisPositionH[[#This Row],[Name]],Eingabe[Position],ErgebnisPositionH[[#Headers],[5]],Eingabe[Wo],"H")=0,"",ROUND(AVERAGEIFS(Eingabe[GES],Eingabe[Name],ErgebnisPositionH[[#This Row],[Name]],Eingabe[Position],ErgebnisPositionH[[#Headers],[5]],Eingabe[Wo],"H"),0))</calculatedColumnFormula>
    </tableColumn>
    <tableColumn id="7" xr3:uid="{04EB1AD4-8104-4C3A-A8FD-099209F58030}" name="6" dataDxfId="561">
      <calculatedColumnFormula>IF(COUNTIFS(Eingabe[Name],ErgebnisPositionH[[#This Row],[Name]],Eingabe[Position],ErgebnisPositionH[[#Headers],[6]],Eingabe[Wo],"H")=0,"",ROUND(AVERAGEIFS(Eingabe[GES],Eingabe[Name],ErgebnisPositionH[[#This Row],[Name]],Eingabe[Position],ErgebnisPositionH[[#Headers],[6]],Eingabe[Wo],"H"),0))</calculatedColumnFormula>
    </tableColumn>
  </tableColumns>
  <tableStyleInfo name="TableStyleDark10"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3F17C6FB-2813-43B8-AE23-2381966A1759}" name="ErgebnisPositionA" displayName="ErgebnisPositionA" ref="V1:AC50" totalsRowShown="0" headerRowDxfId="560" dataDxfId="559">
  <autoFilter ref="V1:AC50" xr:uid="{3F17C6FB-2813-43B8-AE23-2381966A175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51CCC38-FFBC-444A-878E-2B565BF34EBF}" name="Name" dataDxfId="558">
      <calculatedColumnFormula>ErgebnisPosition[[#This Row],[Name]]</calculatedColumnFormula>
    </tableColumn>
    <tableColumn id="8" xr3:uid="{8E6FAE8D-BA88-45ED-81A2-9B86ACE58FC2}" name="Team" dataDxfId="557">
      <calculatedColumnFormula>VLOOKUP(ErgebnisPositionA[[#This Row],[Name]],Teamzuordnung[[Name]:[Team]],2,FALSE)</calculatedColumnFormula>
    </tableColumn>
    <tableColumn id="2" xr3:uid="{D1CE0397-8907-463E-963A-810C46D231A9}" name="1" dataDxfId="556">
      <calculatedColumnFormula>IF(COUNTIFS(Eingabe[Name],ErgebnisPositionA[[#This Row],[Name]],Eingabe[Position],ErgebnisPositionA[[#Headers],[1]],Eingabe[Wo],"A")=0,"",ROUND(AVERAGEIFS(Eingabe[GES],Eingabe[Name],ErgebnisPositionA[[#This Row],[Name]],Eingabe[Position],ErgebnisPositionA[[#Headers],[1]],Eingabe[Wo],"A"),0))</calculatedColumnFormula>
    </tableColumn>
    <tableColumn id="3" xr3:uid="{82EF91BA-FF56-468A-87B4-10A84E059A1D}" name="2" dataDxfId="555">
      <calculatedColumnFormula>IF(COUNTIFS(Eingabe[Name],ErgebnisPositionA[[#This Row],[Name]],Eingabe[Position],ErgebnisPositionA[[#Headers],[2]],Eingabe[Wo],"A")=0,"",ROUND(AVERAGEIFS(Eingabe[GES],Eingabe[Name],ErgebnisPositionA[[#This Row],[Name]],Eingabe[Position],ErgebnisPositionA[[#Headers],[2]],Eingabe[Wo],"A"),0))</calculatedColumnFormula>
    </tableColumn>
    <tableColumn id="4" xr3:uid="{CA7EA67F-427C-455D-9014-AC9668A9BB5D}" name="3" dataDxfId="554">
      <calculatedColumnFormula>IF(COUNTIFS(Eingabe[Name],ErgebnisPositionA[[#This Row],[Name]],Eingabe[Position],ErgebnisPositionA[[#Headers],[3]],Eingabe[Wo],"A")=0,"",ROUND(AVERAGEIFS(Eingabe[GES],Eingabe[Name],ErgebnisPositionA[[#This Row],[Name]],Eingabe[Position],ErgebnisPositionA[[#Headers],[3]],Eingabe[Wo],"A"),0))</calculatedColumnFormula>
    </tableColumn>
    <tableColumn id="5" xr3:uid="{34D50A07-B4B8-4EED-AAB3-4806E95A2403}" name="4" dataDxfId="553">
      <calculatedColumnFormula>IF(COUNTIFS(Eingabe[Name],ErgebnisPositionA[[#This Row],[Name]],Eingabe[Position],ErgebnisPositionA[[#Headers],[4]],Eingabe[Wo],"A")=0,"",ROUND(AVERAGEIFS(Eingabe[GES],Eingabe[Name],ErgebnisPositionA[[#This Row],[Name]],Eingabe[Position],ErgebnisPositionA[[#Headers],[4]],Eingabe[Wo],"A"),0))</calculatedColumnFormula>
    </tableColumn>
    <tableColumn id="6" xr3:uid="{E22C1887-A2D9-4BB7-B03F-BC082584F904}" name="5" dataDxfId="552">
      <calculatedColumnFormula>IF(COUNTIFS(Eingabe[Name],ErgebnisPositionA[[#This Row],[Name]],Eingabe[Position],ErgebnisPositionA[[#Headers],[5]],Eingabe[Wo],"A")=0,"",ROUND(AVERAGEIFS(Eingabe[GES],Eingabe[Name],ErgebnisPositionA[[#This Row],[Name]],Eingabe[Position],ErgebnisPositionA[[#Headers],[5]],Eingabe[Wo],"A"),0))</calculatedColumnFormula>
    </tableColumn>
    <tableColumn id="7" xr3:uid="{D441F3CE-209C-4D5D-BC58-4F8390EAFD76}" name="6" dataDxfId="551">
      <calculatedColumnFormula>IF(COUNTIFS(Eingabe[Name],ErgebnisPositionA[[#This Row],[Name]],Eingabe[Position],ErgebnisPositionA[[#Headers],[6]],Eingabe[Wo],"A")=0,"",ROUND(AVERAGEIFS(Eingabe[GES],Eingabe[Name],ErgebnisPositionA[[#This Row],[Name]],Eingabe[Position],ErgebnisPositionA[[#Headers],[6]],Eingabe[Wo],"A"),0))</calculatedColumnFormula>
    </tableColumn>
  </tableColumns>
  <tableStyleInfo name="TableStyleDark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CD58CE2-99AD-4436-939B-C40340C6226D}" name="Tabelle4" displayName="Tabelle4" ref="B2:G52" totalsRowCount="1" headerRowDxfId="550" dataDxfId="548" headerRowBorderDxfId="549" tableBorderDxfId="547">
  <autoFilter ref="B2:G51" xr:uid="{2CD58CE2-99AD-4436-939B-C40340C6226D}">
    <filterColumn colId="0" hiddenButton="1"/>
    <filterColumn colId="1" hiddenButton="1"/>
    <filterColumn colId="2" hiddenButton="1"/>
    <filterColumn colId="3" hiddenButton="1"/>
    <filterColumn colId="4" hiddenButton="1"/>
    <filterColumn colId="5" hiddenButton="1"/>
  </autoFilter>
  <tableColumns count="6">
    <tableColumn id="1" xr3:uid="{3A96B207-4AFD-4096-8825-116A1A5A3210}" name="Name" totalsRowLabel="Ergebnis" dataDxfId="546" totalsRowDxfId="545"/>
    <tableColumn id="2" xr3:uid="{C9406C59-DE49-4B36-80B2-C256E913E08B}" name="E" totalsRowFunction="sum" dataDxfId="544" totalsRowDxfId="543">
      <calculatedColumnFormula>IF(SUMIFS(Eingabe[MP],Eingabe[Name],Tabelle4[[#This Row],[Name]],Eingabe[Team],C$2)=0,#N/A,SUMIFS(Eingabe[MP],Eingabe[Name],Tabelle4[[#This Row],[Name]],Eingabe[Team],C$2))</calculatedColumnFormula>
    </tableColumn>
    <tableColumn id="3" xr3:uid="{69C2F238-C2CE-4517-A648-2EE6B8F9D592}" name="Z" totalsRowFunction="sum" dataDxfId="542" totalsRowDxfId="541">
      <calculatedColumnFormula>IF(SUMIFS(Eingabe[MP],Eingabe[Name],Tabelle4[[#This Row],[Name]],Eingabe[Team],D$2)=0,#N/A,SUMIFS(Eingabe[MP],Eingabe[Name],Tabelle4[[#This Row],[Name]],Eingabe[Team],D$2))</calculatedColumnFormula>
    </tableColumn>
    <tableColumn id="4" xr3:uid="{A874C229-E529-4CDF-A2FE-5473346328FE}" name="D" totalsRowFunction="sum" dataDxfId="540" totalsRowDxfId="539">
      <calculatedColumnFormula>IF(SUMIFS(Eingabe[MP],Eingabe[Name],Tabelle4[[#This Row],[Name]],Eingabe[Team],E$2)=0,#N/A,SUMIFS(Eingabe[MP],Eingabe[Name],Tabelle4[[#This Row],[Name]],Eingabe[Team],E$2))</calculatedColumnFormula>
    </tableColumn>
    <tableColumn id="6" xr3:uid="{18C841CF-AB0D-41C4-8844-7BD3B861F1B4}" name="F" totalsRowFunction="sum" dataDxfId="538" totalsRowDxfId="537">
      <calculatedColumnFormula>IF(SUMIFS(Eingabe[MP],Eingabe[Name],Tabelle4[[#This Row],[Name]],Eingabe[Team],F$2)=0,#N/A,SUMIFS(Eingabe[MP],Eingabe[Name],Tabelle4[[#This Row],[Name]],Eingabe[Team],F$2))</calculatedColumnFormula>
    </tableColumn>
    <tableColumn id="7" xr3:uid="{9B6F5118-B1BD-4525-8355-CA8920CD0016}" name="M" dataDxfId="536" totalsRowDxfId="535"/>
  </tableColumns>
  <tableStyleInfo name="TableStyleLight15"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B423E21-045A-482A-A1BA-4B065B5A55A6}" name="Heimbahn" displayName="Heimbahn" ref="A2:K52" totalsRowShown="0" headerRowDxfId="534" dataDxfId="532" headerRowBorderDxfId="533" tableBorderDxfId="531" totalsRowBorderDxfId="530">
  <autoFilter ref="A2:K52" xr:uid="{0B423E21-045A-482A-A1BA-4B065B5A55A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sortState xmlns:xlrd2="http://schemas.microsoft.com/office/spreadsheetml/2017/richdata2" ref="A3:K35">
    <sortCondition ref="A22:A35"/>
  </sortState>
  <tableColumns count="11">
    <tableColumn id="1" xr3:uid="{A6D0F0CC-A416-407C-B43A-5368BE17FB86}" name="Name" dataDxfId="529"/>
    <tableColumn id="2" xr3:uid="{82A26DB8-B003-4CCF-A16B-FBCA71968CD9}" name="Spiele MP" dataDxfId="528">
      <calculatedColumnFormula>VLOOKUP(Heimbahn[[#This Row],[Name]],AuswertungH[],4,FALSE)</calculatedColumnFormula>
    </tableColumn>
    <tableColumn id="3" xr3:uid="{7F037CE9-D229-4C37-B175-5E74BC58ED94}" name="Bahn 1" dataDxfId="527">
      <calculatedColumnFormula>IF(Heimbahn[[#This Row],[Spiele MP]]="","",AVERAGEIF(Eingabe[Name],Heimbahn[[#This Row],[Name]],Eingabe[Heimbahn 1]))</calculatedColumnFormula>
    </tableColumn>
    <tableColumn id="4" xr3:uid="{F4C7B867-66E0-48CC-B7FB-D4422B98C115}" name="Bahn 2" dataDxfId="526">
      <calculatedColumnFormula>IF(Heimbahn[[#This Row],[Spiele MP]]="","",AVERAGEIF(Eingabe[Name],Heimbahn[[#This Row],[Name]],Eingabe[Heimbahn 2]))</calculatedColumnFormula>
    </tableColumn>
    <tableColumn id="5" xr3:uid="{849FFB8B-8C93-4F9A-980B-9F486C2F4454}" name="Bahn 3" dataDxfId="525">
      <calculatedColumnFormula>IF(Heimbahn[[#This Row],[Spiele MP]]="","",AVERAGEIF(Eingabe[Name],Heimbahn[[#This Row],[Name]],Eingabe[Heimbahn 3]))</calculatedColumnFormula>
    </tableColumn>
    <tableColumn id="6" xr3:uid="{1B3EF7AF-A604-49FC-BE67-B368105A3ECE}" name="Bahn 4" dataDxfId="524">
      <calculatedColumnFormula>IF(Heimbahn[[#This Row],[Spiele MP]]="","",AVERAGEIF(Eingabe[Name],Heimbahn[[#This Row],[Name]],Eingabe[Heimbahn 4]))</calculatedColumnFormula>
    </tableColumn>
    <tableColumn id="7" xr3:uid="{D891356A-3892-49D8-9CF4-B391EC95FF49}" name="Bester Bahn (Schnitt)" dataDxfId="523">
      <calculatedColumnFormula>IF(Heimbahn[[#This Row],[Spiele MP]]="","",MAX(Heimbahn[[#This Row],[Bahn 1]:[Bahn 4]]))</calculatedColumnFormula>
    </tableColumn>
    <tableColumn id="8" xr3:uid="{8171D56F-7581-41F0-BA82-94786301F52A}" name="Beste Bahn" dataDxfId="522">
      <calculatedColumnFormula>IF(Heimbahn[[#This Row],[Spiele MP]]="","",IF(Heimbahn[[#This Row],[Bester Bahn (Schnitt)]]=Heimbahn[[#This Row],[Bahn 1]],1,IF(Heimbahn[[#This Row],[Bester Bahn (Schnitt)]]=Heimbahn[[#This Row],[Bahn 2]],2,IF(Heimbahn[[#This Row],[Bester Bahn (Schnitt)]]=Heimbahn[[#This Row],[Bahn 3]],3,IF(Heimbahn[[#This Row],[Bester Bahn (Schnitt)]]=Heimbahn[[#This Row],[Bahn 4]],4,"")))))</calculatedColumnFormula>
    </tableColumn>
    <tableColumn id="9" xr3:uid="{11E8544C-8C4C-4BBD-B8C2-0C58E34BC8CA}" name="Schlechteste Bahn (Schnitt)" dataDxfId="521">
      <calculatedColumnFormula>MIN(Heimbahn[[#This Row],[Bahn 1]:[Bahn 4]])</calculatedColumnFormula>
    </tableColumn>
    <tableColumn id="10" xr3:uid="{D66C3177-032B-4F92-8E9E-96DEC766CA28}" name="Schlechteste Bahn" dataDxfId="520">
      <calculatedColumnFormula>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calculatedColumnFormula>
    </tableColumn>
    <tableColumn id="11" xr3:uid="{40D01005-67B4-40C9-8EBA-AC6F110A2637}" name="Differenz" dataDxfId="519">
      <calculatedColumnFormula>IF(Heimbahn[[#This Row],[Bester Bahn (Schnitt)]]="","",Heimbahn[[#This Row],[Bester Bahn (Schnitt)]]-Heimbahn[[#This Row],[Schlechteste Bahn (Schnitt)]])</calculatedColumnFormula>
    </tableColumn>
  </tableColumns>
  <tableStyleInfo name="TableStyleMedium2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69170E3-EA29-47B1-AA02-227253A86271}" name="Volle" displayName="Volle" ref="M2:W51" totalsRowShown="0" headerRowDxfId="518" dataDxfId="516" headerRowBorderDxfId="517" tableBorderDxfId="515" totalsRowBorderDxfId="514">
  <autoFilter ref="M2:W51" xr:uid="{969170E3-EA29-47B1-AA02-227253A8627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AF742ECD-3F66-4BD9-95C5-FE3D0C326F10}" name="Name" dataDxfId="513">
      <calculatedColumnFormula>Bahnen[[#This Row],[Name]]</calculatedColumnFormula>
    </tableColumn>
    <tableColumn id="2" xr3:uid="{3A466810-0161-46BF-922C-1FF4B56808B6}" name="Volle Schnitt" dataDxfId="512">
      <calculatedColumnFormula>IFERROR(ROUND(IF($M$1="Gesamt",AVERAGEIF(Eingabe[Name],Volle[[#This Row],[Name]],Eingabe[Volle]),IF($M$1="Heim",AVERAGEIFS(Eingabe[Volle],Eingabe[Name],Volle[[#This Row],[Name]],Eingabe[Wo],"H"),IF($M$1="Auswärts",AVERAGEIFS(Eingabe[Volle],Eingabe[Name],Volle[[#This Row],[Name]],Eingabe[Wo],"A"),""))),0),"")</calculatedColumnFormula>
    </tableColumn>
    <tableColumn id="3" xr3:uid="{12983D04-A275-406B-84B1-DFE79E6BCE1D}" name="Volle Bahn Schnitt" dataDxfId="511">
      <calculatedColumnFormula>IFERROR(Volle[[#This Row],[Volle Schnitt]]/4,"")</calculatedColumnFormula>
    </tableColumn>
    <tableColumn id="4" xr3:uid="{099C59F6-345E-43F6-A37D-D8137B804FB7}" name="V1" dataDxfId="510">
      <calculatedColumnFormula>IFERROR(IF($M$1="Gesamt",AVERAGEIF(Eingabe[Name],Volle[[#This Row],[Name]],Eingabe[V1]),IF($M$1="Heim",AVERAGEIFS(Eingabe[V1],Eingabe[Name],Volle[[#This Row],[Name]],Eingabe[Wo],"H"),IF($M$1="Auswärts",AVERAGEIFS(Eingabe[V1],Eingabe[Name],Volle[[#This Row],[Name]],Eingabe[Wo],"A"),""))),"")</calculatedColumnFormula>
    </tableColumn>
    <tableColumn id="5" xr3:uid="{2BEC9F74-BD17-473D-9E00-44E8BDEEC58D}" name="V1 Diff" dataDxfId="509">
      <calculatedColumnFormula>IFERROR(ROUND(Volle[[#This Row],[V1]]-Volle[[#This Row],[Volle Bahn Schnitt]],1),"")</calculatedColumnFormula>
    </tableColumn>
    <tableColumn id="6" xr3:uid="{DCF13D3B-A2E3-4FDB-9224-81DA79B943F7}" name="V2" dataDxfId="508">
      <calculatedColumnFormula>IFERROR(IF($M$1="Gesamt",AVERAGEIF(Eingabe[Name],Volle[[#This Row],[Name]],Eingabe[V2]),IF($M$1="Heim",AVERAGEIFS(Eingabe[V2],Eingabe[Name],Volle[[#This Row],[Name]],Eingabe[Wo],"H"),IF($M$1="Auswärts",AVERAGEIFS(Eingabe[V2],Eingabe[Name],Volle[[#This Row],[Name]],Eingabe[Wo],"A"),""))),"")</calculatedColumnFormula>
    </tableColumn>
    <tableColumn id="7" xr3:uid="{9E50E83F-B1B6-4CB1-A79A-4472F949B20A}" name="V2 Diff" dataDxfId="507">
      <calculatedColumnFormula>IFERROR(ROUND(Volle[[#This Row],[V2]]-Volle[[#This Row],[Volle Bahn Schnitt]],1),"")</calculatedColumnFormula>
    </tableColumn>
    <tableColumn id="8" xr3:uid="{D0648B3B-8DF3-4382-A4EC-35FF61F1304E}" name="V3" dataDxfId="506">
      <calculatedColumnFormula>IFERROR(IF($M$1="Gesamt",AVERAGEIF(Eingabe[Name],Volle[[#This Row],[Name]],Eingabe[V3]),IF($M$1="Heim",AVERAGEIFS(Eingabe[V3],Eingabe[Name],Volle[[#This Row],[Name]],Eingabe[Wo],"H"),IF($M$1="Auswärts",AVERAGEIFS(Eingabe[V3],Eingabe[Name],Volle[[#This Row],[Name]],Eingabe[Wo],"A"),""))),"")</calculatedColumnFormula>
    </tableColumn>
    <tableColumn id="9" xr3:uid="{167B158B-BF01-4874-A91C-E6B4C7131616}" name="V3 Diff" dataDxfId="505">
      <calculatedColumnFormula>IFERROR(ROUND(Volle[[#This Row],[V3]]-Volle[[#This Row],[Volle Bahn Schnitt]],1),"")</calculatedColumnFormula>
    </tableColumn>
    <tableColumn id="10" xr3:uid="{BD9BA901-FB6A-4AE1-97CC-3BABA99596F8}" name="V4" dataDxfId="504">
      <calculatedColumnFormula>IFERROR(IF($M$1="Gesamt",AVERAGEIF(Eingabe[Name],Volle[[#This Row],[Name]],Eingabe[V4]),IF($M$1="Heim",AVERAGEIFS(Eingabe[V4],Eingabe[Name],Volle[[#This Row],[Name]],Eingabe[Wo],"H"),IF($M$1="Auswärts",AVERAGEIFS(Eingabe[V4],Eingabe[Name],Volle[[#This Row],[Name]],Eingabe[Wo],"A"),""))),"")</calculatedColumnFormula>
    </tableColumn>
    <tableColumn id="11" xr3:uid="{BC61222F-C1D9-4B2E-A0F5-79A82455B5E4}" name="V4 Diff" dataDxfId="503">
      <calculatedColumnFormula>IFERROR(ROUND(Volle[[#This Row],[V4]]-Volle[[#This Row],[Volle Bahn Schnitt]],1),"")</calculatedColumnFormula>
    </tableColumn>
  </tableColumns>
  <tableStyleInfo name="TableStyleDark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3FCA16A-AFD0-4BC8-9C3D-7A30AFA5663C}" name="Räumer" displayName="Räumer" ref="Y2:AI51" totalsRowShown="0" headerRowDxfId="502" dataDxfId="500" headerRowBorderDxfId="501" tableBorderDxfId="499" totalsRowBorderDxfId="498">
  <autoFilter ref="Y2:AI51" xr:uid="{B3FCA16A-AFD0-4BC8-9C3D-7A30AFA5663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80714B34-F485-4BF6-AB4D-D24807E33985}" name="Name" dataDxfId="497">
      <calculatedColumnFormula>Bahnen[[#This Row],[Name]]</calculatedColumnFormula>
    </tableColumn>
    <tableColumn id="2" xr3:uid="{C8D0E50A-FA91-484B-8F93-8CC77B5BFFE3}" name="Räumer Schnitt" dataDxfId="496">
      <calculatedColumnFormula>IFERROR(ROUND(IF(Y$1="Gesamt",AVERAGEIF(Eingabe[Name],Räumer[[#This Row],[Name]],Eingabe[Räumer]),IF(Y$1="Heim",AVERAGEIFS(Eingabe[Räumer],Eingabe[Name],Räumer[[#This Row],[Name]],Eingabe[Wo],"H"),IF(Y$1="Auswärts",AVERAGEIFS(Eingabe[Räumer],Eingabe[Name],Räumer[[#This Row],[Name]],Eingabe[Wo],"A"),""))),0),"")</calculatedColumnFormula>
    </tableColumn>
    <tableColumn id="3" xr3:uid="{AD52B23F-A2A4-404A-BA21-D44B3E32EAF0}" name="Räumer Bahn Schnitt" dataDxfId="495">
      <calculatedColumnFormula>IFERROR(Räumer[[#This Row],[Räumer Schnitt]]/4,"")</calculatedColumnFormula>
    </tableColumn>
    <tableColumn id="4" xr3:uid="{8549160B-DEA3-4278-994F-64490FBFBED7}" name="R1" dataDxfId="494">
      <calculatedColumnFormula>IFERROR(IF(Y$1="Gesamt",AVERAGEIF(Eingabe[Name],Räumer[[#This Row],[Name]],Eingabe[R1]),IF(Y$1="Heim",AVERAGEIFS(Eingabe[R1],Eingabe[Name],Räumer[[#This Row],[Name]],Eingabe[Wo],"H"),IF(Y$1="Auswärts",AVERAGEIFS(Eingabe[R1],Eingabe[Name],Räumer[[#This Row],[Name]],Eingabe[Wo],"A"),""))),"")</calculatedColumnFormula>
    </tableColumn>
    <tableColumn id="5" xr3:uid="{35398C9F-9BA2-4AD7-83F0-152E55DDA2AD}" name="R1 Diff" dataDxfId="493">
      <calculatedColumnFormula>IFERROR(ROUND(Räumer[[#This Row],[R1]]-Räumer[[#This Row],[Räumer Bahn Schnitt]],1),"")</calculatedColumnFormula>
    </tableColumn>
    <tableColumn id="6" xr3:uid="{AD6332E3-E836-4F90-8C7D-08AFB0C329BD}" name="R2" dataDxfId="492">
      <calculatedColumnFormula>IFERROR(IF(Y$1="Gesamt",AVERAGEIF(Eingabe[Name],Räumer[[#This Row],[Name]],Eingabe[R2]),IF(Y$1="Heim",AVERAGEIFS(Eingabe[R2],Eingabe[Name],Räumer[[#This Row],[Name]],Eingabe[Wo],"H"),IF(Y$1="Auswärts",AVERAGEIFS(Eingabe[R2],Eingabe[Name],Räumer[[#This Row],[Name]],Eingabe[Wo],"A"),""))),"")</calculatedColumnFormula>
    </tableColumn>
    <tableColumn id="7" xr3:uid="{0E8FD946-9717-429E-AF3A-7D4D12C9507D}" name="R2 Diff" dataDxfId="491">
      <calculatedColumnFormula>IFERROR(ROUND(Räumer[[#This Row],[R2]]-Räumer[[#This Row],[Räumer Bahn Schnitt]],1),"")</calculatedColumnFormula>
    </tableColumn>
    <tableColumn id="8" xr3:uid="{099ED00B-567C-471C-8C1F-0D95AEC13677}" name="R3" dataDxfId="490">
      <calculatedColumnFormula>IFERROR(IF(Y$1="Gesamt",AVERAGEIF(Eingabe[Name],Räumer[[#This Row],[Name]],Eingabe[R3]),IF(Y$1="Heim",AVERAGEIFS(Eingabe[R3],Eingabe[Name],Räumer[[#This Row],[Name]],Eingabe[Wo],"H"),IF(Y$1="Auswärts",AVERAGEIFS(Eingabe[R3],Eingabe[Name],Räumer[[#This Row],[Name]],Eingabe[Wo],"A"),""))),"")</calculatedColumnFormula>
    </tableColumn>
    <tableColumn id="9" xr3:uid="{91500AE3-9410-4DE4-86C8-E6240D565013}" name="R3 Diff" dataDxfId="489">
      <calculatedColumnFormula>IFERROR(ROUND(Räumer[[#This Row],[R3]]-Räumer[[#This Row],[Räumer Bahn Schnitt]],1),"")</calculatedColumnFormula>
    </tableColumn>
    <tableColumn id="10" xr3:uid="{4894EEBF-86D8-458D-B32A-03FA37F50B65}" name="R4" dataDxfId="488">
      <calculatedColumnFormula>IFERROR(IF(Y$1="Gesamt",AVERAGEIF(Eingabe[Name],Räumer[[#This Row],[Name]],Eingabe[R4]),IF(Y$1="Heim",AVERAGEIFS(Eingabe[R4],Eingabe[Name],Räumer[[#This Row],[Name]],Eingabe[Wo],"H"),IF(Y$1="Auswärts",AVERAGEIFS(Eingabe[R4],Eingabe[Name],Räumer[[#This Row],[Name]],Eingabe[Wo],"A"),""))),"")</calculatedColumnFormula>
    </tableColumn>
    <tableColumn id="11" xr3:uid="{E2A12D3C-268C-4CFE-AD5C-F8EDA7DE8858}" name="R4 Diff" dataDxfId="487">
      <calculatedColumnFormula>IFERROR(ROUND(Räumer[[#This Row],[R4]]-Räumer[[#This Row],[Räumer Bahn Schnitt]],1),"")</calculatedColumnFormula>
    </tableColumn>
  </tableColumns>
  <tableStyleInfo name="TableStyleDark10"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1A24A34-EB29-4892-A732-5DB41208EFB7}" name="Bahnen" displayName="Bahnen" ref="A2:K51" totalsRowShown="0" headerRowDxfId="486" dataDxfId="484" headerRowBorderDxfId="485" tableBorderDxfId="483" totalsRowBorderDxfId="482">
  <autoFilter ref="A2:K51" xr:uid="{A1A24A34-EB29-4892-A732-5DB41208EFB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sortState xmlns:xlrd2="http://schemas.microsoft.com/office/spreadsheetml/2017/richdata2" ref="A3:K51">
    <sortCondition ref="A48:A51"/>
  </sortState>
  <tableColumns count="11">
    <tableColumn id="1" xr3:uid="{CD6BBE74-0528-4CC8-836D-E1F6861DDDA2}" name="Name" dataDxfId="481"/>
    <tableColumn id="2" xr3:uid="{6172D5ED-1C2B-4758-81EE-8E9A976DBFC7}" name="Schnitt" dataDxfId="480">
      <calculatedColumnFormula>IFERROR(ROUND(IF($A$1="Gesamt",AVERAGEIF(Eingabe[Name],Bahnen[[#This Row],[Name]],Eingabe[GES]),IF($A$1="Heim",AVERAGEIFS(Eingabe[GES],Eingabe[Name],Bahnen[[#This Row],[Name]],Eingabe[Wo],"H"),IF($A$1="Auswärts",AVERAGEIFS(Eingabe[GES],Eingabe[Name],Bahnen[[#This Row],[Name]],Eingabe[Wo],"A"),""))),0),"")</calculatedColumnFormula>
    </tableColumn>
    <tableColumn id="3" xr3:uid="{00F90764-BA3C-4B8F-A5AE-A15CD405D830}" name="Bahn Schnitt" dataDxfId="479">
      <calculatedColumnFormula>IFERROR(Bahnen[[#This Row],[Schnitt]]/4,"")</calculatedColumnFormula>
    </tableColumn>
    <tableColumn id="4" xr3:uid="{31103B68-DABE-459E-8691-4C08C9F6641A}" name="S1" dataDxfId="478">
      <calculatedColumnFormula>IFERROR(IF($A$1="Gesamt",AVERAGEIF(Eingabe[Name],Bahnen[[#This Row],[Name]],Eingabe[S1]),IF($A$1="Heim",AVERAGEIFS(Eingabe[S-NR],Eingabe[Name],Bahnen[[#This Row],[Name]],Eingabe[Wo],"H"),IF($A$1="Auswärts",AVERAGEIFS(Eingabe[S1],Eingabe[Name],Bahnen[[#This Row],[Name]],Eingabe[Wo],"A"),""))),"")</calculatedColumnFormula>
    </tableColumn>
    <tableColumn id="5" xr3:uid="{ABF12FF4-ECF9-4A7C-9A00-761143B7391C}" name="S1 Diff" dataDxfId="477">
      <calculatedColumnFormula>IFERROR(ROUND(Bahnen[[#This Row],[S1]]-Bahnen[[#This Row],[Bahn Schnitt]],1),"")</calculatedColumnFormula>
    </tableColumn>
    <tableColumn id="6" xr3:uid="{DBD61A09-402C-4E8B-B4E0-67F8646F6409}" name="S2" dataDxfId="476">
      <calculatedColumnFormula>IFERROR(IF($A$1="Gesamt",AVERAGEIF(Eingabe[Name],Bahnen[[#This Row],[Name]],Eingabe[S2]),IF($A$1="Heim",AVERAGEIFS(Eingabe[S2],Eingabe[Name],Bahnen[[#This Row],[Name]],Eingabe[Wo],"H"),IF($A$1="Auswärts",AVERAGEIFS(Eingabe[S2],Eingabe[Name],Bahnen[[#This Row],[Name]],Eingabe[Wo],"A"),""))),"")</calculatedColumnFormula>
    </tableColumn>
    <tableColumn id="7" xr3:uid="{E8732315-C033-4894-B9A4-9B525F5C3E08}" name="S2 Diff" dataDxfId="475">
      <calculatedColumnFormula>IFERROR(ROUND(Bahnen[[#This Row],[S2]]-Bahnen[[#This Row],[Bahn Schnitt]],1),"")</calculatedColumnFormula>
    </tableColumn>
    <tableColumn id="8" xr3:uid="{7F6FDA3F-07CC-4629-87AF-7EAADDAA24E3}" name="S3" dataDxfId="474">
      <calculatedColumnFormula>IFERROR(IF($A$1="Gesamt",AVERAGEIF(Eingabe[Name],Bahnen[[#This Row],[Name]],Eingabe[S3]),IF($A$1="Heim",AVERAGEIFS(Eingabe[S3],Eingabe[Name],Bahnen[[#This Row],[Name]],Eingabe[Wo],"H"),IF($A$1="Auswärts",AVERAGEIFS(Eingabe[S-NR],Eingabe[Name],Bahnen[[#This Row],[Name]],Eingabe[Wo],"A"),""))),"")</calculatedColumnFormula>
    </tableColumn>
    <tableColumn id="9" xr3:uid="{7E0BF17A-3672-48E4-A5B0-FC9D9535CB2F}" name="S3 Diff" dataDxfId="473">
      <calculatedColumnFormula>IFERROR(ROUND(Bahnen[[#This Row],[S3]]-Bahnen[[#This Row],[Bahn Schnitt]],1),"")</calculatedColumnFormula>
    </tableColumn>
    <tableColumn id="10" xr3:uid="{C4A1056E-4B5B-4EEF-925A-745FA45F2C96}" name="S4" dataDxfId="472">
      <calculatedColumnFormula>IFERROR(IF($A$1="Gesamt",AVERAGEIF(Eingabe[Name],Bahnen[[#This Row],[Name]],Eingabe[S4]),IF($A$1="Heim",AVERAGEIFS(Eingabe[S4],Eingabe[Name],Bahnen[[#This Row],[Name]],Eingabe[Wo],"H"),IF($A$1="Auswärts",AVERAGEIFS(Eingabe[S-NR],Eingabe[Name],Bahnen[[#This Row],[Name]],Eingabe[Wo],"A"),""))),"")</calculatedColumnFormula>
    </tableColumn>
    <tableColumn id="11" xr3:uid="{2CE43443-1790-4A53-9E84-5DBE596D1536}" name="S4 Diff" dataDxfId="471">
      <calculatedColumnFormula>IFERROR(ROUND(Bahnen[[#This Row],[S4]]-Bahnen[[#This Row],[Bahn Schnitt]],1),"")</calculatedColumnFormula>
    </tableColumn>
  </tableColumns>
  <tableStyleInfo name="TableStyleDark9"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96B9BC24-5032-457C-B14A-39465AD0D187}" name="Fehler" displayName="Fehler" ref="AK2:AU51" totalsRowShown="0" headerRowDxfId="470" dataDxfId="468" headerRowBorderDxfId="469" tableBorderDxfId="467" totalsRowBorderDxfId="466">
  <autoFilter ref="AK2:AU51" xr:uid="{96B9BC24-5032-457C-B14A-39465AD0D18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E7114903-AF19-4C6D-A69C-1C8ACFC6C29E}" name="Name" dataDxfId="465">
      <calculatedColumnFormula>Bahnen[[#This Row],[Name]]</calculatedColumnFormula>
    </tableColumn>
    <tableColumn id="2" xr3:uid="{607636CA-2B16-4679-A58F-91C79096F78B}" name="Fehler Schnitt" dataDxfId="464">
      <calculatedColumnFormula>IFERROR(ROUND(IF(AK$1="Gesamt",AVERAGEIF(Eingabe[Name],Fehler[[#This Row],[Name]],Eingabe[Fehler]),IF(AK$1="Heim",AVERAGEIFS(Eingabe[Fehler],Eingabe[Name],Fehler[[#This Row],[Name]],Eingabe[Wo],"H"),IF(AK$1="Auswärts",AVERAGEIFS(Eingabe[Fehler],Eingabe[Name],Fehler[[#This Row],[Name]],Eingabe[Wo],"A"),""))),0),"")</calculatedColumnFormula>
    </tableColumn>
    <tableColumn id="3" xr3:uid="{07EFF459-F38F-4AC5-91C3-5FE4BB013CE7}" name="Fehler Bahn Schnitt" dataDxfId="463">
      <calculatedColumnFormula>IFERROR(Fehler[[#This Row],[Fehler Schnitt]]/4,"")</calculatedColumnFormula>
    </tableColumn>
    <tableColumn id="4" xr3:uid="{0931D9A1-20FC-402D-9D15-CB6FCC7BA9EC}" name="F1" dataDxfId="462">
      <calculatedColumnFormula>IFERROR(IF(AK$1="Gesamt",AVERAGEIF(Eingabe[Name],Fehler[[#This Row],[Name]],Eingabe[F1]),IF(AK$1="Heim",AVERAGEIFS(Eingabe[F1],Eingabe[Name],Fehler[[#This Row],[Name]],Eingabe[Wo],"H"),IF(AK$1="Auswärts",AVERAGEIFS(Eingabe[F1],Eingabe[Name],Fehler[[#This Row],[Name]],Eingabe[Wo],"A"),""))),"")</calculatedColumnFormula>
    </tableColumn>
    <tableColumn id="5" xr3:uid="{EACE19DF-AF5F-4941-AEC9-C60A9841D13D}" name="F1 Diff" dataDxfId="461">
      <calculatedColumnFormula>IFERROR(ROUND(Fehler[[#This Row],[F1]]-Fehler[[#This Row],[Fehler Bahn Schnitt]],1),"")</calculatedColumnFormula>
    </tableColumn>
    <tableColumn id="6" xr3:uid="{2ECFCADA-E8E9-4A29-A70E-A01DF11645B7}" name="F2" dataDxfId="460">
      <calculatedColumnFormula>IFERROR(IF(AK$1="Gesamt",AVERAGEIF(Eingabe[Name],Fehler[[#This Row],[Name]],Eingabe[F2]),IF(AK$1="Heim",AVERAGEIFS(Eingabe[F2],Eingabe[Name],Fehler[[#This Row],[Name]],Eingabe[Wo],"H"),IF(AK$1="Auswärts",AVERAGEIFS(Eingabe[F2],Eingabe[Name],Fehler[[#This Row],[Name]],Eingabe[Wo],"A"),""))),"")</calculatedColumnFormula>
    </tableColumn>
    <tableColumn id="7" xr3:uid="{17723ED7-AAF6-40B9-A91F-F7555F543DC8}" name="F2 Diff" dataDxfId="459">
      <calculatedColumnFormula>IFERROR(ROUND(Fehler[[#This Row],[F2]]-Fehler[[#This Row],[Fehler Bahn Schnitt]],1),"")</calculatedColumnFormula>
    </tableColumn>
    <tableColumn id="8" xr3:uid="{FAED098B-9141-4012-B0AA-BAC8993B4C13}" name="F3" dataDxfId="458">
      <calculatedColumnFormula>IFERROR(IF(AK$1="Gesamt",AVERAGEIF(Eingabe[Name],Fehler[[#This Row],[Name]],Eingabe[F3]),IF(AK$1="Heim",AVERAGEIFS(Eingabe[F3],Eingabe[Name],Fehler[[#This Row],[Name]],Eingabe[Wo],"H"),IF(AK$1="Auswärts",AVERAGEIFS(Eingabe[F1],Eingabe[Name],Fehler[[#This Row],[Name]],Eingabe[Wo],"A"),""))),"")</calculatedColumnFormula>
    </tableColumn>
    <tableColumn id="9" xr3:uid="{306A6879-12B3-4CE0-B47A-269F75C03D43}" name="F3 Diff" dataDxfId="457">
      <calculatedColumnFormula>IFERROR(ROUND(Fehler[[#This Row],[F3]]-Fehler[[#This Row],[Fehler Bahn Schnitt]],1),"")</calculatedColumnFormula>
    </tableColumn>
    <tableColumn id="10" xr3:uid="{AD77D0EA-E862-4513-A5CB-A530B606929F}" name="F4" dataDxfId="456">
      <calculatedColumnFormula>IFERROR(IF(AK$1="Gesamt",AVERAGEIF(Eingabe[Name],Fehler[[#This Row],[Name]],Eingabe[F4]),IF(AK$1="Heim",AVERAGEIFS(Eingabe[F4],Eingabe[Name],Fehler[[#This Row],[Name]],Eingabe[Wo],"H"),IF(AK$1="Auswärts",AVERAGEIFS(Eingabe[F1],Eingabe[Name],Fehler[[#This Row],[Name]],Eingabe[Wo],"A"),""))),"")</calculatedColumnFormula>
    </tableColumn>
    <tableColumn id="11" xr3:uid="{F22494E2-9801-4056-A994-9F8B7DAC2A12}" name="F4 Diff" dataDxfId="455">
      <calculatedColumnFormula>IFERROR(ROUND(Fehler[[#This Row],[F4]]-Fehler[[#This Row],[Fehler Bahn Schnitt]],1),"")</calculatedColumnFormula>
    </tableColumn>
  </tableColumns>
  <tableStyleInfo name="TableStyleDark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698AC74-9DA1-419D-9C9C-3B4B0F47FC35}" name="Vorjahr" displayName="Vorjahr" ref="A2:M51" totalsRowShown="0" headerRowDxfId="454" dataDxfId="452" headerRowBorderDxfId="453" tableBorderDxfId="451" totalsRowBorderDxfId="450">
  <autoFilter ref="A2:M51" xr:uid="{3698AC74-9DA1-419D-9C9C-3B4B0F47FC3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5215EBE7-C1FA-43D4-9358-C425295DDA25}" name="Name" dataDxfId="449"/>
    <tableColumn id="2" xr3:uid="{EE123925-E290-4071-8574-99B6AF17DB30}" name="Schnitt Gesamt" dataDxfId="448"/>
    <tableColumn id="3" xr3:uid="{77F6AF0B-AA53-4176-A381-FE88A24DF0C8}" name="STABW GES" dataDxfId="447"/>
    <tableColumn id="4" xr3:uid="{2EBC46E7-268D-4EFC-B05D-B4DD4E652A32}" name="Trend GES" dataDxfId="446"/>
    <tableColumn id="5" xr3:uid="{5FBE7C53-0748-4874-8244-599733F0A5A2}" name="Position GES" dataDxfId="445"/>
    <tableColumn id="6" xr3:uid="{ECEFC325-1940-41F0-9B83-58C476838B31}" name="Schnitt Heim" dataDxfId="444"/>
    <tableColumn id="7" xr3:uid="{4A9041AA-AA46-487D-8CDB-B5A4ABC9571C}" name="STABW Heim" dataDxfId="443"/>
    <tableColumn id="8" xr3:uid="{2BFB6C42-9940-45A6-A974-0B3D9080EDBA}" name="Trend Heim" dataDxfId="442"/>
    <tableColumn id="9" xr3:uid="{66EE071A-5289-4881-86F8-75446BBBF55C}" name="Position Heim" dataDxfId="441"/>
    <tableColumn id="10" xr3:uid="{20A4573F-BC73-432D-B227-E22D297807BB}" name="Schnitt Auswärts" dataDxfId="440"/>
    <tableColumn id="11" xr3:uid="{42E0A494-F80D-4F11-8DB6-966625404D4F}" name="STABW Auswärts" dataDxfId="439"/>
    <tableColumn id="12" xr3:uid="{8579917D-590C-45DC-A834-FA27D9CEB7E2}" name="Trend Auswärts" dataDxfId="438"/>
    <tableColumn id="13" xr3:uid="{CBBEF263-7233-4DCC-AA4A-82AB0AA8E0DC}" name="Position Auswärts" dataDxfId="437"/>
  </tableColumns>
  <tableStyleInfo name="TableStyleDark11" showFirstColumn="0" showLastColumn="0" showRowStripes="1" showColumnStripes="0"/>
</table>
</file>

<file path=xl/theme/theme1.xml><?xml version="1.0" encoding="utf-8"?>
<a:theme xmlns:a="http://schemas.openxmlformats.org/drawingml/2006/main" name="Office">
  <a:themeElements>
    <a:clrScheme name="Gelb">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Gelb">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Gelb">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Gill Sans MT">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Milchgla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6.bin"/><Relationship Id="rId5" Type="http://schemas.openxmlformats.org/officeDocument/2006/relationships/table" Target="../tables/table8.xml"/><Relationship Id="rId4"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table" Target="../tables/table12.xml"/><Relationship Id="rId6" Type="http://schemas.openxmlformats.org/officeDocument/2006/relationships/table" Target="../tables/table17.xml"/><Relationship Id="rId5" Type="http://schemas.openxmlformats.org/officeDocument/2006/relationships/table" Target="../tables/table16.xml"/><Relationship Id="rId4" Type="http://schemas.openxmlformats.org/officeDocument/2006/relationships/table" Target="../tables/table15.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printerSettings" Target="../printerSettings/printerSettings9.bin"/><Relationship Id="rId4" Type="http://schemas.openxmlformats.org/officeDocument/2006/relationships/table" Target="../tables/table2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10.bin"/><Relationship Id="rId4" Type="http://schemas.openxmlformats.org/officeDocument/2006/relationships/table" Target="../tables/table23.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table" Target="../tables/table26.xml"/><Relationship Id="rId4" Type="http://schemas.openxmlformats.org/officeDocument/2006/relationships/table" Target="../tables/table29.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A407C-0735-4800-9CEE-CD2EFC1540A5}">
  <dimension ref="A1:H87"/>
  <sheetViews>
    <sheetView zoomScaleNormal="100" workbookViewId="0">
      <selection activeCell="D31" sqref="D31"/>
    </sheetView>
  </sheetViews>
  <sheetFormatPr baseColWidth="10" defaultRowHeight="15.6" x14ac:dyDescent="0.3"/>
  <cols>
    <col min="1" max="1" width="5.88671875" style="314" bestFit="1" customWidth="1"/>
    <col min="2" max="2" width="24.6640625" style="320" customWidth="1"/>
    <col min="3" max="4" width="46.33203125" style="315" bestFit="1" customWidth="1"/>
    <col min="5" max="5" width="47.88671875" style="315" bestFit="1" customWidth="1"/>
    <col min="6" max="6" width="47.88671875" style="315" hidden="1" customWidth="1"/>
    <col min="7" max="7" width="35.33203125" style="316" hidden="1" customWidth="1"/>
    <col min="8" max="8" width="5.88671875" style="165" bestFit="1" customWidth="1"/>
    <col min="9" max="16384" width="11.5546875" style="98"/>
  </cols>
  <sheetData>
    <row r="1" spans="1:8" s="313" customFormat="1" ht="21" x14ac:dyDescent="0.3">
      <c r="A1" s="307" t="s">
        <v>220</v>
      </c>
      <c r="B1" s="308" t="s">
        <v>3</v>
      </c>
      <c r="C1" s="431" t="s">
        <v>100</v>
      </c>
      <c r="D1" s="431"/>
      <c r="E1" s="431"/>
      <c r="F1" s="431"/>
      <c r="G1" s="432"/>
      <c r="H1" s="307" t="s">
        <v>220</v>
      </c>
    </row>
    <row r="2" spans="1:8" ht="31.2" x14ac:dyDescent="0.3">
      <c r="A2" s="429">
        <f t="shared" ref="A2" si="0">WEEKNUM(B2)</f>
        <v>34</v>
      </c>
      <c r="B2" s="317">
        <v>45892</v>
      </c>
      <c r="C2" s="305" t="str" cm="1">
        <f t="array" ref="C2">IF(COUNTIF(Chronologie[Datum],B2)=0,"","(")
&amp;TRANSPOSE(_xlfn._xlws.FILTER(Chronologie[ID],Chronologie[Datum]=B2,""))
&amp;IF(COUNTIF(Chronologie[Datum],B2)=0,"",") ")
&amp;TRANSPOSE(_xlfn._xlws.FILTER(Chronologie[Gegner],Chronologie[Datum]=B2,""))
&amp;IF(COUNTIF(Chronologie[Datum],B2)=0,""," [")
&amp;TRANSPOSE(_xlfn._xlws.FILTER(Chronologie[H/A],Chronologie[Datum]=B2,""))
&amp;IF(COUNTIF(Chronologie[Datum],B2)=0,"","]")
&amp;CHAR(10)
&amp;TRANSPOSE(_xlfn._xlws.FILTER(Chronologie[Startzeit],Chronologie[Datum]=B2,""))</f>
        <v>(U19-L-1) SV Fortschritt Pirna [A]
13:00 Uhr</v>
      </c>
      <c r="D2" s="305"/>
      <c r="E2" s="305"/>
      <c r="F2" s="329"/>
      <c r="G2" s="309"/>
      <c r="H2" s="429">
        <f>A2</f>
        <v>34</v>
      </c>
    </row>
    <row r="3" spans="1:8" ht="31.2" x14ac:dyDescent="0.3">
      <c r="A3" s="430"/>
      <c r="B3" s="318">
        <v>45893</v>
      </c>
      <c r="C3" s="306" t="str" cm="1">
        <f t="array" ref="C3">IF(COUNTIF(Chronologie[Datum],B3)=0,"","(")
&amp;TRANSPOSE(_xlfn._xlws.FILTER(Chronologie[ID],Chronologie[Datum]=B3,""))
&amp;IF(COUNTIF(Chronologie[Datum],B3)=0,"",") ")
&amp;TRANSPOSE(_xlfn._xlws.FILTER(Chronologie[Gegner],Chronologie[Datum]=B3,""))
&amp;IF(COUNTIF(Chronologie[Datum],B3)=0,""," [")
&amp;TRANSPOSE(_xlfn._xlws.FILTER(Chronologie[H/A],Chronologie[Datum]=B3,""))
&amp;IF(COUNTIF(Chronologie[Datum],B3)=0,"","]")
&amp;CHAR(10)
&amp;TRANSPOSE(_xlfn._xlws.FILTER(Chronologie[Startzeit],Chronologie[Datum]=B3,""))</f>
        <v xml:space="preserve">
</v>
      </c>
      <c r="D3" s="306"/>
      <c r="E3" s="306"/>
      <c r="F3" s="330"/>
      <c r="G3" s="310"/>
      <c r="H3" s="430"/>
    </row>
    <row r="4" spans="1:8" ht="31.2" x14ac:dyDescent="0.3">
      <c r="A4" s="429">
        <f t="shared" ref="A4" si="1">WEEKNUM(B4)</f>
        <v>35</v>
      </c>
      <c r="B4" s="317">
        <f t="shared" ref="B4:B11" si="2">B2+7</f>
        <v>45899</v>
      </c>
      <c r="C4" s="305" t="str" cm="1">
        <f t="array" ref="C4">IF(COUNTIF(Chronologie[Datum],B4)=0,"","(")
&amp;TRANSPOSE(_xlfn._xlws.FILTER(Chronologie[ID],Chronologie[Datum]=B4,""))
&amp;IF(COUNTIF(Chronologie[Datum],B4)=0,"",") ")
&amp;TRANSPOSE(_xlfn._xlws.FILTER(Chronologie[Gegner],Chronologie[Datum]=B4,""))
&amp;IF(COUNTIF(Chronologie[Datum],B4)=0,""," [")
&amp;TRANSPOSE(_xlfn._xlws.FILTER(Chronologie[H/A],Chronologie[Datum]=B4,""))
&amp;IF(COUNTIF(Chronologie[Datum],B4)=0,"","]")
&amp;CHAR(10)
&amp;TRANSPOSE(_xlfn._xlws.FILTER(Chronologie[Startzeit],Chronologie[Datum]=B4,""))</f>
        <v>(U19-L-2) MSV Bautzen 04 [A]
13:00 Uhr</v>
      </c>
      <c r="D4" s="305"/>
      <c r="E4" s="305"/>
      <c r="F4" s="329"/>
      <c r="G4" s="309"/>
      <c r="H4" s="429">
        <f>A4</f>
        <v>35</v>
      </c>
    </row>
    <row r="5" spans="1:8" ht="31.2" x14ac:dyDescent="0.3">
      <c r="A5" s="430"/>
      <c r="B5" s="318">
        <f t="shared" si="2"/>
        <v>45900</v>
      </c>
      <c r="C5" s="306" t="str" cm="1">
        <f t="array" ref="C5">IF(COUNTIF(Chronologie[Datum],B5)=0,"","(")
&amp;TRANSPOSE(_xlfn._xlws.FILTER(Chronologie[ID],Chronologie[Datum]=B5,""))
&amp;IF(COUNTIF(Chronologie[Datum],B5)=0,"",") ")
&amp;TRANSPOSE(_xlfn._xlws.FILTER(Chronologie[Gegner],Chronologie[Datum]=B5,""))
&amp;IF(COUNTIF(Chronologie[Datum],B5)=0,""," [")
&amp;TRANSPOSE(_xlfn._xlws.FILTER(Chronologie[H/A],Chronologie[Datum]=B5,""))
&amp;IF(COUNTIF(Chronologie[Datum],B5)=0,"","]")
&amp;CHAR(10)
&amp;TRANSPOSE(_xlfn._xlws.FILTER(Chronologie[Startzeit],Chronologie[Datum]=B5,""))</f>
        <v xml:space="preserve">
</v>
      </c>
      <c r="D5" s="306"/>
      <c r="E5" s="306"/>
      <c r="F5" s="330"/>
      <c r="G5" s="310"/>
      <c r="H5" s="430"/>
    </row>
    <row r="6" spans="1:8" ht="31.2" x14ac:dyDescent="0.3">
      <c r="A6" s="429">
        <f t="shared" ref="A6" si="3">WEEKNUM(B6)</f>
        <v>36</v>
      </c>
      <c r="B6" s="317">
        <f t="shared" si="2"/>
        <v>45906</v>
      </c>
      <c r="C6" s="305" t="str" cm="1">
        <f t="array" ref="C6">IF(COUNTIF(Chronologie[Datum],B6)=0,"","(")
&amp;TRANSPOSE(_xlfn._xlws.FILTER(Chronologie[ID],Chronologie[Datum]=B6,""))
&amp;IF(COUNTIF(Chronologie[Datum],B6)=0,"",") ")
&amp;TRANSPOSE(_xlfn._xlws.FILTER(Chronologie[Gegner],Chronologie[Datum]=B6,""))
&amp;IF(COUNTIF(Chronologie[Datum],B6)=0,""," [")
&amp;TRANSPOSE(_xlfn._xlws.FILTER(Chronologie[H/A],Chronologie[Datum]=B6,""))
&amp;IF(COUNTIF(Chronologie[Datum],B6)=0,"","]")
&amp;CHAR(10)
&amp;TRANSPOSE(_xlfn._xlws.FILTER(Chronologie[Startzeit],Chronologie[Datum]=B6,""))</f>
        <v xml:space="preserve">
</v>
      </c>
      <c r="D6" s="305"/>
      <c r="E6" s="305"/>
      <c r="F6" s="329"/>
      <c r="G6" s="309"/>
      <c r="H6" s="429">
        <f t="shared" ref="H6" si="4">A6</f>
        <v>36</v>
      </c>
    </row>
    <row r="7" spans="1:8" ht="31.2" x14ac:dyDescent="0.3">
      <c r="A7" s="430"/>
      <c r="B7" s="318">
        <f t="shared" si="2"/>
        <v>45907</v>
      </c>
      <c r="C7" s="306" t="str" cm="1">
        <f t="array" ref="C7">IF(COUNTIF(Chronologie[Datum],B7)=0,"","(")
&amp;TRANSPOSE(_xlfn._xlws.FILTER(Chronologie[ID],Chronologie[Datum]=B7,""))
&amp;IF(COUNTIF(Chronologie[Datum],B7)=0,"",") ")
&amp;TRANSPOSE(_xlfn._xlws.FILTER(Chronologie[Gegner],Chronologie[Datum]=B7,""))
&amp;IF(COUNTIF(Chronologie[Datum],B7)=0,""," [")
&amp;TRANSPOSE(_xlfn._xlws.FILTER(Chronologie[H/A],Chronologie[Datum]=B7,""))
&amp;IF(COUNTIF(Chronologie[Datum],B7)=0,"","]")
&amp;CHAR(10)
&amp;TRANSPOSE(_xlfn._xlws.FILTER(Chronologie[Startzeit],Chronologie[Datum]=B7,""))</f>
        <v xml:space="preserve">
</v>
      </c>
      <c r="D7" s="306"/>
      <c r="E7" s="306"/>
      <c r="F7" s="330"/>
      <c r="G7" s="310"/>
      <c r="H7" s="430"/>
    </row>
    <row r="8" spans="1:8" ht="31.2" x14ac:dyDescent="0.3">
      <c r="A8" s="429">
        <f t="shared" ref="A8" si="5">WEEKNUM(B8)</f>
        <v>37</v>
      </c>
      <c r="B8" s="317">
        <f t="shared" si="2"/>
        <v>45913</v>
      </c>
      <c r="C8" s="305" t="str" cm="1">
        <f t="array" ref="C8">IF(COUNTIF(Chronologie[Datum],B8)=0,"","(")
&amp;TRANSPOSE(_xlfn._xlws.FILTER(Chronologie[ID],Chronologie[Datum]=B8,""))
&amp;IF(COUNTIF(Chronologie[Datum],B8)=0,"",") ")
&amp;TRANSPOSE(_xlfn._xlws.FILTER(Chronologie[Gegner],Chronologie[Datum]=B8,""))
&amp;IF(COUNTIF(Chronologie[Datum],B8)=0,""," [")
&amp;TRANSPOSE(_xlfn._xlws.FILTER(Chronologie[H/A],Chronologie[Datum]=B8,""))
&amp;IF(COUNTIF(Chronologie[Datum],B8)=0,"","]")
&amp;CHAR(10)
&amp;TRANSPOSE(_xlfn._xlws.FILTER(Chronologie[Startzeit],Chronologie[Datum]=B8,""))</f>
        <v>(E-L-1) TSV 90 Zwickau II [H]
13:00 Uhr</v>
      </c>
      <c r="D8" s="305"/>
      <c r="E8" s="305"/>
      <c r="F8" s="329"/>
      <c r="G8" s="309"/>
      <c r="H8" s="429">
        <f t="shared" ref="H8" si="6">A8</f>
        <v>37</v>
      </c>
    </row>
    <row r="9" spans="1:8" ht="43.2" customHeight="1" x14ac:dyDescent="0.3">
      <c r="A9" s="430"/>
      <c r="B9" s="318">
        <f t="shared" si="2"/>
        <v>45914</v>
      </c>
      <c r="C9" s="306" t="str" cm="1">
        <f t="array" ref="C9:D9">IF(COUNTIF(Chronologie[Datum],B9)=0,"","(")
&amp;TRANSPOSE(_xlfn._xlws.FILTER(Chronologie[ID],Chronologie[Datum]=B9,""))
&amp;IF(COUNTIF(Chronologie[Datum],B9)=0,"",") ")
&amp;TRANSPOSE(_xlfn._xlws.FILTER(Chronologie[Gegner],Chronologie[Datum]=B9,""))
&amp;IF(COUNTIF(Chronologie[Datum],B9)=0,""," [")
&amp;TRANSPOSE(_xlfn._xlws.FILTER(Chronologie[H/A],Chronologie[Datum]=B9,""))
&amp;IF(COUNTIF(Chronologie[Datum],B9)=0,"","]")
&amp;CHAR(10)
&amp;TRANSPOSE(_xlfn._xlws.FILTER(Chronologie[Startzeit],Chronologie[Datum]=B9,""))</f>
        <v>(Z-L-1) ESV Zschorlau [A]
09:00 Uhr</v>
      </c>
      <c r="D9" s="306" t="str">
        <v>(U14-L-1) Hirschfelder SV [H]
09:00 Uhr</v>
      </c>
      <c r="E9" s="306"/>
      <c r="F9" s="330"/>
      <c r="G9" s="310"/>
      <c r="H9" s="430"/>
    </row>
    <row r="10" spans="1:8" ht="31.2" x14ac:dyDescent="0.3">
      <c r="A10" s="429">
        <f t="shared" ref="A10" si="7">WEEKNUM(B10)</f>
        <v>38</v>
      </c>
      <c r="B10" s="317">
        <f t="shared" si="2"/>
        <v>45920</v>
      </c>
      <c r="C10" s="305" t="str" cm="1">
        <f t="array" ref="C10:D10">IF(COUNTIF(Chronologie[Datum],B10)=0,"","(")
&amp;TRANSPOSE(_xlfn._xlws.FILTER(Chronologie[ID],Chronologie[Datum]=B10,""))
&amp;IF(COUNTIF(Chronologie[Datum],B10)=0,"",") ")
&amp;TRANSPOSE(_xlfn._xlws.FILTER(Chronologie[Gegner],Chronologie[Datum]=B10,""))
&amp;IF(COUNTIF(Chronologie[Datum],B10)=0,""," [")
&amp;TRANSPOSE(_xlfn._xlws.FILTER(Chronologie[H/A],Chronologie[Datum]=B10,""))
&amp;IF(COUNTIF(Chronologie[Datum],B10)=0,"","]")
&amp;CHAR(10)
&amp;TRANSPOSE(_xlfn._xlws.FILTER(Chronologie[Startzeit],Chronologie[Datum]=B10,""))</f>
        <v>(E-L-2) SpG Großschirma/Brand-Erbisdorf [A]
13:00 Uhr</v>
      </c>
      <c r="D10" s="305" t="str">
        <v>(U19-L-3) Hirschfelder SV [H]
13:00 Uhr</v>
      </c>
      <c r="E10" s="305"/>
      <c r="F10" s="329"/>
      <c r="G10" s="309"/>
      <c r="H10" s="429">
        <f t="shared" ref="H10" si="8">A10</f>
        <v>38</v>
      </c>
    </row>
    <row r="11" spans="1:8" ht="31.2" x14ac:dyDescent="0.3">
      <c r="A11" s="430"/>
      <c r="B11" s="318">
        <f t="shared" si="2"/>
        <v>45921</v>
      </c>
      <c r="C11" s="306" t="str" cm="1">
        <f t="array" ref="C11:D11">IF(COUNTIF(Chronologie[Datum],B11)=0,"","(")
&amp;TRANSPOSE(_xlfn._xlws.FILTER(Chronologie[ID],Chronologie[Datum]=B11,""))
&amp;IF(COUNTIF(Chronologie[Datum],B11)=0,"",") ")
&amp;TRANSPOSE(_xlfn._xlws.FILTER(Chronologie[Gegner],Chronologie[Datum]=B11,""))
&amp;IF(COUNTIF(Chronologie[Datum],B11)=0,""," [")
&amp;TRANSPOSE(_xlfn._xlws.FILTER(Chronologie[H/A],Chronologie[Datum]=B11,""))
&amp;IF(COUNTIF(Chronologie[Datum],B11)=0,"","]")
&amp;CHAR(10)
&amp;TRANSPOSE(_xlfn._xlws.FILTER(Chronologie[Startzeit],Chronologie[Datum]=B11,""))</f>
        <v>(F-L-1) Dresdner SV II [A]
09:15 Uhr</v>
      </c>
      <c r="D11" s="306" t="str">
        <v>(U14-L-2) SV Siltronic Freiberg [A]
12:20 Uhr</v>
      </c>
      <c r="E11" s="306"/>
      <c r="F11" s="330"/>
      <c r="G11" s="310"/>
      <c r="H11" s="430"/>
    </row>
    <row r="12" spans="1:8" ht="31.2" x14ac:dyDescent="0.3">
      <c r="A12" s="429">
        <f t="shared" ref="A12" si="9">WEEKNUM(B12)</f>
        <v>39</v>
      </c>
      <c r="B12" s="317">
        <f>B10+7</f>
        <v>45927</v>
      </c>
      <c r="C12" s="305" t="str" cm="1">
        <f t="array" ref="C12:D12">IF(COUNTIF(Chronologie[Datum],B12)=0,"","(")
&amp;TRANSPOSE(_xlfn._xlws.FILTER(Chronologie[ID],Chronologie[Datum]=B12,""))
&amp;IF(COUNTIF(Chronologie[Datum],B12)=0,"",") ")
&amp;TRANSPOSE(_xlfn._xlws.FILTER(Chronologie[Gegner],Chronologie[Datum]=B12,""))
&amp;IF(COUNTIF(Chronologie[Datum],B12)=0,""," [")
&amp;TRANSPOSE(_xlfn._xlws.FILTER(Chronologie[H/A],Chronologie[Datum]=B12,""))
&amp;IF(COUNTIF(Chronologie[Datum],B12)=0,"","]")
&amp;CHAR(10)
&amp;TRANSPOSE(_xlfn._xlws.FILTER(Chronologie[Startzeit],Chronologie[Datum]=B12,""))</f>
        <v>(E-L-3) SG Grün-Weiß Mehltheuer II [H]
14:00 Uhr</v>
      </c>
      <c r="D12" s="305" t="str">
        <v>(U14-L-3) TKV Flöha/Plaue [A]
09:00 Uhr</v>
      </c>
      <c r="E12" s="305"/>
      <c r="F12" s="329"/>
      <c r="G12" s="309"/>
      <c r="H12" s="429">
        <f t="shared" ref="H12" si="10">A12</f>
        <v>39</v>
      </c>
    </row>
    <row r="13" spans="1:8" ht="31.2" x14ac:dyDescent="0.3">
      <c r="A13" s="430"/>
      <c r="B13" s="318">
        <f>B11+7</f>
        <v>45928</v>
      </c>
      <c r="C13" s="306" t="str" cm="1">
        <f t="array" ref="C13">IF(COUNTIF(Chronologie[Datum],B13)=0,"","(")
&amp;TRANSPOSE(_xlfn._xlws.FILTER(Chronologie[ID],Chronologie[Datum]=B13,""))
&amp;IF(COUNTIF(Chronologie[Datum],B13)=0,"",") ")
&amp;TRANSPOSE(_xlfn._xlws.FILTER(Chronologie[Gegner],Chronologie[Datum]=B13,""))
&amp;IF(COUNTIF(Chronologie[Datum],B13)=0,""," [")
&amp;TRANSPOSE(_xlfn._xlws.FILTER(Chronologie[H/A],Chronologie[Datum]=B13,""))
&amp;IF(COUNTIF(Chronologie[Datum],B13)=0,"","]")
&amp;CHAR(10)
&amp;TRANSPOSE(_xlfn._xlws.FILTER(Chronologie[Startzeit],Chronologie[Datum]=B13,""))</f>
        <v>(F-L-2) Thonberger SC 1931 [H]
09:00 Uhr</v>
      </c>
      <c r="D13" s="306"/>
      <c r="E13" s="306"/>
      <c r="F13" s="330"/>
      <c r="G13" s="310"/>
      <c r="H13" s="430"/>
    </row>
    <row r="14" spans="1:8" ht="31.2" x14ac:dyDescent="0.3">
      <c r="A14" s="429">
        <f t="shared" ref="A14" si="11">WEEKNUM(B14)</f>
        <v>40</v>
      </c>
      <c r="B14" s="317">
        <f t="shared" ref="B14:B17" si="12">B12+7</f>
        <v>45934</v>
      </c>
      <c r="C14" s="305" t="str" cm="1">
        <f t="array" ref="C14">IF(COUNTIF(Chronologie[Datum],B14)=0,"","(")
&amp;TRANSPOSE(_xlfn._xlws.FILTER(Chronologie[ID],Chronologie[Datum]=B14,""))
&amp;IF(COUNTIF(Chronologie[Datum],B14)=0,"",") ")
&amp;TRANSPOSE(_xlfn._xlws.FILTER(Chronologie[Gegner],Chronologie[Datum]=B14,""))
&amp;IF(COUNTIF(Chronologie[Datum],B14)=0,""," [")
&amp;TRANSPOSE(_xlfn._xlws.FILTER(Chronologie[H/A],Chronologie[Datum]=B14,""))
&amp;IF(COUNTIF(Chronologie[Datum],B14)=0,"","]")
&amp;CHAR(10)
&amp;TRANSPOSE(_xlfn._xlws.FILTER(Chronologie[Startzeit],Chronologie[Datum]=B14,""))</f>
        <v xml:space="preserve">
</v>
      </c>
      <c r="D14" s="305"/>
      <c r="E14" s="305"/>
      <c r="F14" s="329"/>
      <c r="G14" s="309"/>
      <c r="H14" s="429">
        <f t="shared" ref="H14" si="13">A14</f>
        <v>40</v>
      </c>
    </row>
    <row r="15" spans="1:8" ht="31.2" x14ac:dyDescent="0.3">
      <c r="A15" s="430"/>
      <c r="B15" s="318">
        <f t="shared" si="12"/>
        <v>45935</v>
      </c>
      <c r="C15" s="306" t="str" cm="1">
        <f t="array" ref="C15">IF(COUNTIF(Chronologie[Datum],B15)=0,"","(")
&amp;TRANSPOSE(_xlfn._xlws.FILTER(Chronologie[ID],Chronologie[Datum]=B15,""))
&amp;IF(COUNTIF(Chronologie[Datum],B15)=0,"",") ")
&amp;TRANSPOSE(_xlfn._xlws.FILTER(Chronologie[Gegner],Chronologie[Datum]=B15,""))
&amp;IF(COUNTIF(Chronologie[Datum],B15)=0,""," [")
&amp;TRANSPOSE(_xlfn._xlws.FILTER(Chronologie[H/A],Chronologie[Datum]=B15,""))
&amp;IF(COUNTIF(Chronologie[Datum],B15)=0,"","]")
&amp;CHAR(10)
&amp;TRANSPOSE(_xlfn._xlws.FILTER(Chronologie[Startzeit],Chronologie[Datum]=B15,""))</f>
        <v xml:space="preserve">
</v>
      </c>
      <c r="D15" s="306"/>
      <c r="E15" s="306"/>
      <c r="F15" s="330"/>
      <c r="G15" s="310"/>
      <c r="H15" s="430"/>
    </row>
    <row r="16" spans="1:8" ht="31.2" x14ac:dyDescent="0.3">
      <c r="A16" s="429">
        <f t="shared" ref="A16" si="14">WEEKNUM(B16)</f>
        <v>41</v>
      </c>
      <c r="B16" s="317">
        <f t="shared" si="12"/>
        <v>45941</v>
      </c>
      <c r="C16" s="305" t="str" cm="1">
        <f t="array" ref="C16">IF(COUNTIF(Chronologie[Datum],B16)=0,"","(")
&amp;TRANSPOSE(_xlfn._xlws.FILTER(Chronologie[ID],Chronologie[Datum]=B16,""))
&amp;IF(COUNTIF(Chronologie[Datum],B16)=0,"",") ")
&amp;TRANSPOSE(_xlfn._xlws.FILTER(Chronologie[Gegner],Chronologie[Datum]=B16,""))
&amp;IF(COUNTIF(Chronologie[Datum],B16)=0,""," [")
&amp;TRANSPOSE(_xlfn._xlws.FILTER(Chronologie[H/A],Chronologie[Datum]=B16,""))
&amp;IF(COUNTIF(Chronologie[Datum],B16)=0,"","]")
&amp;CHAR(10)
&amp;TRANSPOSE(_xlfn._xlws.FILTER(Chronologie[Startzeit],Chronologie[Datum]=B16,""))</f>
        <v xml:space="preserve">
</v>
      </c>
      <c r="D16" s="305"/>
      <c r="E16" s="305"/>
      <c r="F16" s="329"/>
      <c r="G16" s="309"/>
      <c r="H16" s="429">
        <f t="shared" ref="H16" si="15">A16</f>
        <v>41</v>
      </c>
    </row>
    <row r="17" spans="1:8" ht="31.2" x14ac:dyDescent="0.3">
      <c r="A17" s="430"/>
      <c r="B17" s="318">
        <f t="shared" si="12"/>
        <v>45942</v>
      </c>
      <c r="C17" s="306" t="str" cm="1">
        <f t="array" ref="C17">IF(COUNTIF(Chronologie[Datum],B17)=0,"","(")
&amp;TRANSPOSE(_xlfn._xlws.FILTER(Chronologie[ID],Chronologie[Datum]=B17,""))
&amp;IF(COUNTIF(Chronologie[Datum],B17)=0,"",") ")
&amp;TRANSPOSE(_xlfn._xlws.FILTER(Chronologie[Gegner],Chronologie[Datum]=B17,""))
&amp;IF(COUNTIF(Chronologie[Datum],B17)=0,""," [")
&amp;TRANSPOSE(_xlfn._xlws.FILTER(Chronologie[H/A],Chronologie[Datum]=B17,""))
&amp;IF(COUNTIF(Chronologie[Datum],B17)=0,"","]")
&amp;CHAR(10)
&amp;TRANSPOSE(_xlfn._xlws.FILTER(Chronologie[Startzeit],Chronologie[Datum]=B17,""))</f>
        <v>(Z-L-2) SG Motor Thurm [H]
09:00 Uhr</v>
      </c>
      <c r="D17" s="306"/>
      <c r="E17" s="306"/>
      <c r="F17" s="330"/>
      <c r="G17" s="310"/>
      <c r="H17" s="430"/>
    </row>
    <row r="18" spans="1:8" ht="31.2" x14ac:dyDescent="0.3">
      <c r="A18" s="429">
        <f t="shared" ref="A18" si="16">WEEKNUM(B18)</f>
        <v>42</v>
      </c>
      <c r="B18" s="317">
        <f>B16+7</f>
        <v>45948</v>
      </c>
      <c r="C18" s="305" t="str" cm="1">
        <f t="array" ref="C18">IF(COUNTIF(Chronologie[Datum],B18)=0,"","(")
&amp;TRANSPOSE(_xlfn._xlws.FILTER(Chronologie[ID],Chronologie[Datum]=B18,""))
&amp;IF(COUNTIF(Chronologie[Datum],B18)=0,"",") ")
&amp;TRANSPOSE(_xlfn._xlws.FILTER(Chronologie[Gegner],Chronologie[Datum]=B18,""))
&amp;IF(COUNTIF(Chronologie[Datum],B18)=0,""," [")
&amp;TRANSPOSE(_xlfn._xlws.FILTER(Chronologie[H/A],Chronologie[Datum]=B18,""))
&amp;IF(COUNTIF(Chronologie[Datum],B18)=0,"","]")
&amp;CHAR(10)
&amp;TRANSPOSE(_xlfn._xlws.FILTER(Chronologie[Startzeit],Chronologie[Datum]=B18,""))</f>
        <v>(E-L-4) VfB Lengenfeld [H]
13:00 Uhr</v>
      </c>
      <c r="D18" s="305"/>
      <c r="E18" s="305"/>
      <c r="F18" s="329"/>
      <c r="G18" s="309"/>
      <c r="H18" s="429">
        <f t="shared" ref="H18" si="17">A18</f>
        <v>42</v>
      </c>
    </row>
    <row r="19" spans="1:8" ht="31.2" x14ac:dyDescent="0.3">
      <c r="A19" s="430"/>
      <c r="B19" s="318">
        <f>B17+7</f>
        <v>45949</v>
      </c>
      <c r="C19" s="306" t="str" cm="1">
        <f t="array" ref="C19:D19">IF(COUNTIF(Chronologie[Datum],B19)=0,"","(")
&amp;TRANSPOSE(_xlfn._xlws.FILTER(Chronologie[ID],Chronologie[Datum]=B19,""))
&amp;IF(COUNTIF(Chronologie[Datum],B19)=0,"",") ")
&amp;TRANSPOSE(_xlfn._xlws.FILTER(Chronologie[Gegner],Chronologie[Datum]=B19,""))
&amp;IF(COUNTIF(Chronologie[Datum],B19)=0,""," [")
&amp;TRANSPOSE(_xlfn._xlws.FILTER(Chronologie[H/A],Chronologie[Datum]=B19,""))
&amp;IF(COUNTIF(Chronologie[Datum],B19)=0,"","]")
&amp;CHAR(10)
&amp;TRANSPOSE(_xlfn._xlws.FILTER(Chronologie[Startzeit],Chronologie[Datum]=B19,""))</f>
        <v>(Z-L-3) SKV 9-Pins Stollberg III [A]
09:00 Uhr</v>
      </c>
      <c r="D19" s="306" t="str">
        <v>(D-L-2) TSV 1848 Flöha  [H]
09:00 Uhr</v>
      </c>
      <c r="E19" s="306"/>
      <c r="F19" s="330"/>
      <c r="G19" s="310"/>
      <c r="H19" s="430"/>
    </row>
    <row r="20" spans="1:8" ht="31.2" x14ac:dyDescent="0.3">
      <c r="A20" s="429">
        <f t="shared" ref="A20" si="18">WEEKNUM(B20)</f>
        <v>43</v>
      </c>
      <c r="B20" s="317">
        <f t="shared" ref="B20:B27" si="19">B18+7</f>
        <v>45955</v>
      </c>
      <c r="C20" s="305" t="str" cm="1">
        <f t="array" ref="C20">IF(COUNTIF(Chronologie[Datum],B20)=0,"","(")
&amp;TRANSPOSE(_xlfn._xlws.FILTER(Chronologie[ID],Chronologie[Datum]=B20,""))
&amp;IF(COUNTIF(Chronologie[Datum],B20)=0,"",") ")
&amp;TRANSPOSE(_xlfn._xlws.FILTER(Chronologie[Gegner],Chronologie[Datum]=B20,""))
&amp;IF(COUNTIF(Chronologie[Datum],B20)=0,""," [")
&amp;TRANSPOSE(_xlfn._xlws.FILTER(Chronologie[H/A],Chronologie[Datum]=B20,""))
&amp;IF(COUNTIF(Chronologie[Datum],B20)=0,"","]")
&amp;CHAR(10)
&amp;TRANSPOSE(_xlfn._xlws.FILTER(Chronologie[Startzeit],Chronologie[Datum]=B20,""))</f>
        <v>(E-L-5) SV Schönberg [A]
13:00 Uhr</v>
      </c>
      <c r="D20" s="305"/>
      <c r="E20" s="305"/>
      <c r="F20" s="329"/>
      <c r="G20" s="309"/>
      <c r="H20" s="429">
        <f t="shared" ref="H20" si="20">A20</f>
        <v>43</v>
      </c>
    </row>
    <row r="21" spans="1:8" ht="31.2" x14ac:dyDescent="0.3">
      <c r="A21" s="430"/>
      <c r="B21" s="318">
        <f t="shared" si="19"/>
        <v>45956</v>
      </c>
      <c r="C21" s="306" t="str" cm="1">
        <f t="array" ref="C21:D21">IF(COUNTIF(Chronologie[Datum],B21)=0,"","(")
&amp;TRANSPOSE(_xlfn._xlws.FILTER(Chronologie[ID],Chronologie[Datum]=B21,""))
&amp;IF(COUNTIF(Chronologie[Datum],B21)=0,"",") ")
&amp;TRANSPOSE(_xlfn._xlws.FILTER(Chronologie[Gegner],Chronologie[Datum]=B21,""))
&amp;IF(COUNTIF(Chronologie[Datum],B21)=0,""," [")
&amp;TRANSPOSE(_xlfn._xlws.FILTER(Chronologie[H/A],Chronologie[Datum]=B21,""))
&amp;IF(COUNTIF(Chronologie[Datum],B21)=0,"","]")
&amp;CHAR(10)
&amp;TRANSPOSE(_xlfn._xlws.FILTER(Chronologie[Startzeit],Chronologie[Datum]=B21,""))</f>
        <v>(F-L-3) KSV Dresden-Leuben [A]
09:00 Uhr</v>
      </c>
      <c r="D21" s="306" t="str">
        <v>(Z-L-4) KC "Gut Holz" Drebach [H]
09:00 Uhr</v>
      </c>
      <c r="E21" s="306"/>
      <c r="F21" s="330"/>
      <c r="G21" s="310"/>
      <c r="H21" s="430"/>
    </row>
    <row r="22" spans="1:8" ht="31.2" x14ac:dyDescent="0.3">
      <c r="A22" s="429">
        <f t="shared" ref="A22" si="21">WEEKNUM(B22)</f>
        <v>44</v>
      </c>
      <c r="B22" s="317">
        <f t="shared" si="19"/>
        <v>45962</v>
      </c>
      <c r="C22" s="305" t="str" cm="1">
        <f t="array" ref="C22:E22">IF(COUNTIF(Chronologie[Datum],B22)=0,"","(")
&amp;TRANSPOSE(_xlfn._xlws.FILTER(Chronologie[ID],Chronologie[Datum]=B22,""))
&amp;IF(COUNTIF(Chronologie[Datum],B22)=0,"",") ")
&amp;TRANSPOSE(_xlfn._xlws.FILTER(Chronologie[Gegner],Chronologie[Datum]=B22,""))
&amp;IF(COUNTIF(Chronologie[Datum],B22)=0,""," [")
&amp;TRANSPOSE(_xlfn._xlws.FILTER(Chronologie[H/A],Chronologie[Datum]=B22,""))
&amp;IF(COUNTIF(Chronologie[Datum],B22)=0,"","]")
&amp;CHAR(10)
&amp;TRANSPOSE(_xlfn._xlws.FILTER(Chronologie[Startzeit],Chronologie[Datum]=B22,""))</f>
        <v>(U19-L-5) SKV 9-Pins Stollberg [A]
13:00 Uhr</v>
      </c>
      <c r="D22" s="305" t="str">
        <v>(D-L-3) SV Grün-Weiß Niederwiesa  [A]
11:00 Uhr</v>
      </c>
      <c r="E22" s="305" t="str">
        <v>(E-DKBC-Pokal-2) TuS Gerolsheim [H]
13:00 Uhr</v>
      </c>
      <c r="F22" s="329"/>
      <c r="G22" s="309"/>
      <c r="H22" s="429">
        <f>A22</f>
        <v>44</v>
      </c>
    </row>
    <row r="23" spans="1:8" ht="31.2" x14ac:dyDescent="0.3">
      <c r="A23" s="430"/>
      <c r="B23" s="318">
        <f t="shared" si="19"/>
        <v>45963</v>
      </c>
      <c r="C23" s="306" t="str" cm="1">
        <f t="array" ref="C23">IF(COUNTIF(Chronologie[Datum],B23)=0,"","(")
&amp;TRANSPOSE(_xlfn._xlws.FILTER(Chronologie[ID],Chronologie[Datum]=B23,""))
&amp;IF(COUNTIF(Chronologie[Datum],B23)=0,"",") ")
&amp;TRANSPOSE(_xlfn._xlws.FILTER(Chronologie[Gegner],Chronologie[Datum]=B23,""))
&amp;IF(COUNTIF(Chronologie[Datum],B23)=0,""," [")
&amp;TRANSPOSE(_xlfn._xlws.FILTER(Chronologie[H/A],Chronologie[Datum]=B23,""))
&amp;IF(COUNTIF(Chronologie[Datum],B23)=0,"","]")
&amp;CHAR(10)
&amp;TRANSPOSE(_xlfn._xlws.FILTER(Chronologie[Startzeit],Chronologie[Datum]=B23,""))</f>
        <v xml:space="preserve">
</v>
      </c>
      <c r="D23" s="306"/>
      <c r="E23" s="306"/>
      <c r="F23" s="330"/>
      <c r="G23" s="310"/>
      <c r="H23" s="430"/>
    </row>
    <row r="24" spans="1:8" ht="31.2" x14ac:dyDescent="0.3">
      <c r="A24" s="429">
        <f t="shared" ref="A24" si="22">WEEKNUM(B24)</f>
        <v>45</v>
      </c>
      <c r="B24" s="317">
        <f t="shared" si="19"/>
        <v>45969</v>
      </c>
      <c r="C24" s="305" t="str" cm="1">
        <f t="array" ref="C24:D24">IF(COUNTIF(Chronologie[Datum],B24)=0,"","(")
&amp;TRANSPOSE(_xlfn._xlws.FILTER(Chronologie[ID],Chronologie[Datum]=B24,""))
&amp;IF(COUNTIF(Chronologie[Datum],B24)=0,"",") ")
&amp;TRANSPOSE(_xlfn._xlws.FILTER(Chronologie[Gegner],Chronologie[Datum]=B24,""))
&amp;IF(COUNTIF(Chronologie[Datum],B24)=0,""," [")
&amp;TRANSPOSE(_xlfn._xlws.FILTER(Chronologie[H/A],Chronologie[Datum]=B24,""))
&amp;IF(COUNTIF(Chronologie[Datum],B24)=0,"","]")
&amp;CHAR(10)
&amp;TRANSPOSE(_xlfn._xlws.FILTER(Chronologie[Startzeit],Chronologie[Datum]=B24,""))</f>
        <v>(E-L-6) KSV Blau-Gelb Taucha II [H]
13:00 Uhr</v>
      </c>
      <c r="D24" s="305" t="str">
        <v>(U14-L-4) SV Krummenhennersdorf [A]
12:20 Uhr</v>
      </c>
      <c r="E24" s="305"/>
      <c r="F24" s="329"/>
      <c r="G24" s="309"/>
      <c r="H24" s="429">
        <f>A24</f>
        <v>45</v>
      </c>
    </row>
    <row r="25" spans="1:8" ht="31.2" x14ac:dyDescent="0.3">
      <c r="A25" s="430"/>
      <c r="B25" s="318">
        <f t="shared" si="19"/>
        <v>45970</v>
      </c>
      <c r="C25" s="306" t="str" cm="1">
        <f t="array" ref="C25:E25">IF(COUNTIF(Chronologie[Datum],B25)=0,"","(")
&amp;TRANSPOSE(_xlfn._xlws.FILTER(Chronologie[ID],Chronologie[Datum]=B25,""))
&amp;IF(COUNTIF(Chronologie[Datum],B25)=0,"",") ")
&amp;TRANSPOSE(_xlfn._xlws.FILTER(Chronologie[Gegner],Chronologie[Datum]=B25,""))
&amp;IF(COUNTIF(Chronologie[Datum],B25)=0,""," [")
&amp;TRANSPOSE(_xlfn._xlws.FILTER(Chronologie[H/A],Chronologie[Datum]=B25,""))
&amp;IF(COUNTIF(Chronologie[Datum],B25)=0,"","]")
&amp;CHAR(10)
&amp;TRANSPOSE(_xlfn._xlws.FILTER(Chronologie[Startzeit],Chronologie[Datum]=B25,""))</f>
        <v>(F-L-4) KSV 66 Steinitz [H]
09:00 Uhr</v>
      </c>
      <c r="D25" s="306" t="str">
        <v>(Z-L-5) TSV Geyer [A]
09:00 Uhr</v>
      </c>
      <c r="E25" s="306" t="str">
        <v xml:space="preserve">(U19-RLT-1) Hirschfelder SV [H]
</v>
      </c>
      <c r="F25" s="330"/>
      <c r="G25" s="310"/>
      <c r="H25" s="430"/>
    </row>
    <row r="26" spans="1:8" ht="31.2" x14ac:dyDescent="0.3">
      <c r="A26" s="429">
        <f t="shared" ref="A26" si="23">WEEKNUM(B26)</f>
        <v>46</v>
      </c>
      <c r="B26" s="317">
        <f t="shared" si="19"/>
        <v>45976</v>
      </c>
      <c r="C26" s="305" t="str" cm="1">
        <f t="array" ref="C26:D26">IF(COUNTIF(Chronologie[Datum],B26)=0,"","(")
&amp;TRANSPOSE(_xlfn._xlws.FILTER(Chronologie[ID],Chronologie[Datum]=B26,""))
&amp;IF(COUNTIF(Chronologie[Datum],B26)=0,"",") ")
&amp;TRANSPOSE(_xlfn._xlws.FILTER(Chronologie[Gegner],Chronologie[Datum]=B26,""))
&amp;IF(COUNTIF(Chronologie[Datum],B26)=0,""," [")
&amp;TRANSPOSE(_xlfn._xlws.FILTER(Chronologie[H/A],Chronologie[Datum]=B26,""))
&amp;IF(COUNTIF(Chronologie[Datum],B26)=0,"","]")
&amp;CHAR(10)
&amp;TRANSPOSE(_xlfn._xlws.FILTER(Chronologie[Startzeit],Chronologie[Datum]=B26,""))</f>
        <v>(E-L-7) SG Hohentanne [H]
13:00 Uhr</v>
      </c>
      <c r="D26" s="305" t="str">
        <v>(D-L-4) SV Krummenhennersdorf [A]
11:00 Uhr</v>
      </c>
      <c r="E26" s="305"/>
      <c r="F26" s="329"/>
      <c r="G26" s="309"/>
      <c r="H26" s="429">
        <f t="shared" ref="H26" si="24">A26</f>
        <v>46</v>
      </c>
    </row>
    <row r="27" spans="1:8" ht="31.2" x14ac:dyDescent="0.3">
      <c r="A27" s="430"/>
      <c r="B27" s="318">
        <f t="shared" si="19"/>
        <v>45977</v>
      </c>
      <c r="C27" s="306" t="str" cm="1">
        <f t="array" ref="C27:D27">IF(COUNTIF(Chronologie[Datum],B27)=0,"","(")
&amp;TRANSPOSE(_xlfn._xlws.FILTER(Chronologie[ID],Chronologie[Datum]=B27,""))
&amp;IF(COUNTIF(Chronologie[Datum],B27)=0,"",") ")
&amp;TRANSPOSE(_xlfn._xlws.FILTER(Chronologie[Gegner],Chronologie[Datum]=B27,""))
&amp;IF(COUNTIF(Chronologie[Datum],B27)=0,""," [")
&amp;TRANSPOSE(_xlfn._xlws.FILTER(Chronologie[H/A],Chronologie[Datum]=B27,""))
&amp;IF(COUNTIF(Chronologie[Datum],B27)=0,"","]")
&amp;CHAR(10)
&amp;TRANSPOSE(_xlfn._xlws.FILTER(Chronologie[Startzeit],Chronologie[Datum]=B27,""))</f>
        <v>(F-L-5) KSC Stahl Rietschen [A]
11:00 Uhr</v>
      </c>
      <c r="D27" s="306" t="str">
        <v>(Z-L-6) KSV Grün-Weiß Leubsdorf [H]
11:00 Uhr</v>
      </c>
      <c r="E27" s="306"/>
      <c r="F27" s="330"/>
      <c r="G27" s="310"/>
      <c r="H27" s="430"/>
    </row>
    <row r="28" spans="1:8" ht="31.2" x14ac:dyDescent="0.3">
      <c r="A28" s="429">
        <f t="shared" ref="A28:A36" si="25">WEEKNUM(B28)</f>
        <v>47</v>
      </c>
      <c r="B28" s="317">
        <f>B26+7</f>
        <v>45983</v>
      </c>
      <c r="C28" s="305" t="str" cm="1">
        <f t="array" ref="C28:E28">IF(COUNTIF(Chronologie[Datum],B28)=0,"","(")
&amp;TRANSPOSE(_xlfn._xlws.FILTER(Chronologie[ID],Chronologie[Datum]=B28,""))
&amp;IF(COUNTIF(Chronologie[Datum],B28)=0,"",") ")
&amp;TRANSPOSE(_xlfn._xlws.FILTER(Chronologie[Gegner],Chronologie[Datum]=B28,""))
&amp;IF(COUNTIF(Chronologie[Datum],B28)=0,""," [")
&amp;TRANSPOSE(_xlfn._xlws.FILTER(Chronologie[H/A],Chronologie[Datum]=B28,""))
&amp;IF(COUNTIF(Chronologie[Datum],B28)=0,"","]")
&amp;CHAR(10)
&amp;TRANSPOSE(_xlfn._xlws.FILTER(Chronologie[Startzeit],Chronologie[Datum]=B28,""))</f>
        <v>(U19-L-6) SKV 9-Pins Stollberg [A]
13:00 Uhr</v>
      </c>
      <c r="D28" s="305" t="str">
        <v xml:space="preserve">(U14-BEL-1) VfB Lengenfeld [A]
</v>
      </c>
      <c r="E28" s="305" t="str">
        <v xml:space="preserve">(E-P-1) SV Dölzig [A]
</v>
      </c>
      <c r="F28" s="329"/>
      <c r="G28" s="309"/>
      <c r="H28" s="429">
        <f t="shared" ref="H28" si="26">A28</f>
        <v>47</v>
      </c>
    </row>
    <row r="29" spans="1:8" ht="31.2" x14ac:dyDescent="0.3">
      <c r="A29" s="430"/>
      <c r="B29" s="318">
        <f>B27+7</f>
        <v>45984</v>
      </c>
      <c r="C29" s="306" t="str" cm="1">
        <f t="array" ref="C29">IF(COUNTIF(Chronologie[Datum],B29)=0,"","(")
&amp;TRANSPOSE(_xlfn._xlws.FILTER(Chronologie[ID],Chronologie[Datum]=B29,""))
&amp;IF(COUNTIF(Chronologie[Datum],B29)=0,"",") ")
&amp;TRANSPOSE(_xlfn._xlws.FILTER(Chronologie[Gegner],Chronologie[Datum]=B29,""))
&amp;IF(COUNTIF(Chronologie[Datum],B29)=0,""," [")
&amp;TRANSPOSE(_xlfn._xlws.FILTER(Chronologie[H/A],Chronologie[Datum]=B29,""))
&amp;IF(COUNTIF(Chronologie[Datum],B29)=0,"","]")
&amp;CHAR(10)
&amp;TRANSPOSE(_xlfn._xlws.FILTER(Chronologie[Startzeit],Chronologie[Datum]=B29,""))</f>
        <v xml:space="preserve">
</v>
      </c>
      <c r="D29" s="306"/>
      <c r="E29" s="306"/>
      <c r="F29" s="330"/>
      <c r="G29" s="310"/>
      <c r="H29" s="430"/>
    </row>
    <row r="30" spans="1:8" ht="31.2" x14ac:dyDescent="0.3">
      <c r="A30" s="429">
        <f t="shared" si="25"/>
        <v>48</v>
      </c>
      <c r="B30" s="317">
        <f t="shared" ref="B30:B37" si="27">B28+7</f>
        <v>45990</v>
      </c>
      <c r="C30" s="305" t="str" cm="1">
        <f t="array" ref="C30">IF(COUNTIF(Chronologie[Datum],B30)=0,"","(")
&amp;TRANSPOSE(_xlfn._xlws.FILTER(Chronologie[ID],Chronologie[Datum]=B30,""))
&amp;IF(COUNTIF(Chronologie[Datum],B30)=0,"",") ")
&amp;TRANSPOSE(_xlfn._xlws.FILTER(Chronologie[Gegner],Chronologie[Datum]=B30,""))
&amp;IF(COUNTIF(Chronologie[Datum],B30)=0,""," [")
&amp;TRANSPOSE(_xlfn._xlws.FILTER(Chronologie[H/A],Chronologie[Datum]=B30,""))
&amp;IF(COUNTIF(Chronologie[Datum],B30)=0,"","]")
&amp;CHAR(10)
&amp;TRANSPOSE(_xlfn._xlws.FILTER(Chronologie[Startzeit],Chronologie[Datum]=B30,""))</f>
        <v>(E-L-8) SKV 9-Pins Stollberg II [H]
13:00 Uhr</v>
      </c>
      <c r="D30" s="305"/>
      <c r="E30" s="305"/>
      <c r="F30" s="329"/>
      <c r="G30" s="309"/>
      <c r="H30" s="429"/>
    </row>
    <row r="31" spans="1:8" ht="31.2" x14ac:dyDescent="0.3">
      <c r="A31" s="430"/>
      <c r="B31" s="318">
        <f t="shared" si="27"/>
        <v>45991</v>
      </c>
      <c r="C31" s="306" t="str" cm="1">
        <f t="array" ref="C31:F31">IF(COUNTIF(Chronologie[Datum],B31)=0,"","(")
&amp;TRANSPOSE(_xlfn._xlws.FILTER(Chronologie[ID],Chronologie[Datum]=B31,""))
&amp;IF(COUNTIF(Chronologie[Datum],B31)=0,"",") ")
&amp;TRANSPOSE(_xlfn._xlws.FILTER(Chronologie[Gegner],Chronologie[Datum]=B31,""))
&amp;IF(COUNTIF(Chronologie[Datum],B31)=0,""," [")
&amp;TRANSPOSE(_xlfn._xlws.FILTER(Chronologie[H/A],Chronologie[Datum]=B31,""))
&amp;IF(COUNTIF(Chronologie[Datum],B31)=0,"","]")
&amp;CHAR(10)
&amp;TRANSPOSE(_xlfn._xlws.FILTER(Chronologie[Startzeit],Chronologie[Datum]=B31,""))</f>
        <v>(F-L-6) ISG Hagenwerder [A]
09:15 Uhr</v>
      </c>
      <c r="D31" s="306" t="str">
        <v>(D-L-5) BKC 52 [H]
09:00 Uhr</v>
      </c>
      <c r="E31" s="306" t="str">
        <v>(U14-L-5) SV Rotation Weißenborn [A]
10:40 Uhr</v>
      </c>
      <c r="F31" s="330" t="str">
        <v xml:space="preserve">(U19-RLT-2) TSV Fortschritt Mittweida [A]
</v>
      </c>
      <c r="G31" s="310"/>
      <c r="H31" s="430"/>
    </row>
    <row r="32" spans="1:8" ht="31.2" x14ac:dyDescent="0.3">
      <c r="A32" s="429">
        <f t="shared" si="25"/>
        <v>49</v>
      </c>
      <c r="B32" s="317">
        <f t="shared" si="27"/>
        <v>45997</v>
      </c>
      <c r="C32" s="305" t="str" cm="1">
        <f t="array" ref="C32:D32">IF(COUNTIF(Chronologie[Datum],B32)=0,"","(")
&amp;TRANSPOSE(_xlfn._xlws.FILTER(Chronologie[ID],Chronologie[Datum]=B32,""))
&amp;IF(COUNTIF(Chronologie[Datum],B32)=0,"",") ")
&amp;TRANSPOSE(_xlfn._xlws.FILTER(Chronologie[Gegner],Chronologie[Datum]=B32,""))
&amp;IF(COUNTIF(Chronologie[Datum],B32)=0,""," [")
&amp;TRANSPOSE(_xlfn._xlws.FILTER(Chronologie[H/A],Chronologie[Datum]=B32,""))
&amp;IF(COUNTIF(Chronologie[Datum],B32)=0,"","]")
&amp;CHAR(10)
&amp;TRANSPOSE(_xlfn._xlws.FILTER(Chronologie[Startzeit],Chronologie[Datum]=B32,""))</f>
        <v>(U19-L-7) Hirschfelder SV [H]
13:00 Uhr</v>
      </c>
      <c r="D32" s="305" t="str">
        <v>(E-DKBC-Pokal-3) Lok Köthen [A]
13:30 Uhr</v>
      </c>
      <c r="E32" s="305"/>
      <c r="F32" s="329"/>
      <c r="G32" s="309"/>
      <c r="H32" s="429"/>
    </row>
    <row r="33" spans="1:8" ht="31.2" x14ac:dyDescent="0.3">
      <c r="A33" s="430"/>
      <c r="B33" s="318">
        <f t="shared" si="27"/>
        <v>45998</v>
      </c>
      <c r="C33" s="306" t="str" cm="1">
        <f t="array" ref="C33">IF(COUNTIF(Chronologie[Datum],B33)=0,"","(")
&amp;TRANSPOSE(_xlfn._xlws.FILTER(Chronologie[ID],Chronologie[Datum]=B33,""))
&amp;IF(COUNTIF(Chronologie[Datum],B33)=0,"",") ")
&amp;TRANSPOSE(_xlfn._xlws.FILTER(Chronologie[Gegner],Chronologie[Datum]=B33,""))
&amp;IF(COUNTIF(Chronologie[Datum],B33)=0,""," [")
&amp;TRANSPOSE(_xlfn._xlws.FILTER(Chronologie[H/A],Chronologie[Datum]=B33,""))
&amp;IF(COUNTIF(Chronologie[Datum],B33)=0,"","]")
&amp;CHAR(10)
&amp;TRANSPOSE(_xlfn._xlws.FILTER(Chronologie[Startzeit],Chronologie[Datum]=B33,""))</f>
        <v>(Z-L-7) KSV Hainichen 92 [A]
09:00 Uhr</v>
      </c>
      <c r="D33" s="306"/>
      <c r="E33" s="306"/>
      <c r="F33" s="330"/>
      <c r="G33" s="310"/>
      <c r="H33" s="430"/>
    </row>
    <row r="34" spans="1:8" ht="31.2" x14ac:dyDescent="0.3">
      <c r="A34" s="429">
        <f t="shared" si="25"/>
        <v>50</v>
      </c>
      <c r="B34" s="317">
        <f t="shared" si="27"/>
        <v>46004</v>
      </c>
      <c r="C34" s="305" t="str" cm="1">
        <f t="array" ref="C34">IF(COUNTIF(Chronologie[Datum],B34)=0,"","(")
&amp;TRANSPOSE(_xlfn._xlws.FILTER(Chronologie[ID],Chronologie[Datum]=B34,""))
&amp;IF(COUNTIF(Chronologie[Datum],B34)=0,"",") ")
&amp;TRANSPOSE(_xlfn._xlws.FILTER(Chronologie[Gegner],Chronologie[Datum]=B34,""))
&amp;IF(COUNTIF(Chronologie[Datum],B34)=0,""," [")
&amp;TRANSPOSE(_xlfn._xlws.FILTER(Chronologie[H/A],Chronologie[Datum]=B34,""))
&amp;IF(COUNTIF(Chronologie[Datum],B34)=0,"","]")
&amp;CHAR(10)
&amp;TRANSPOSE(_xlfn._xlws.FILTER(Chronologie[Startzeit],Chronologie[Datum]=B34,""))</f>
        <v>(E-L-9) SV Rot-Weiß Treuen [A]
13:00 Uhr</v>
      </c>
      <c r="D34" s="305"/>
      <c r="E34" s="305"/>
      <c r="F34" s="329"/>
      <c r="G34" s="309"/>
      <c r="H34" s="429"/>
    </row>
    <row r="35" spans="1:8" ht="31.2" x14ac:dyDescent="0.3">
      <c r="A35" s="430"/>
      <c r="B35" s="318">
        <f t="shared" si="27"/>
        <v>46005</v>
      </c>
      <c r="C35" s="306" t="str" cm="1">
        <f t="array" ref="C35">IF(COUNTIF(Chronologie[Datum],B35)=0,"","(")
&amp;TRANSPOSE(_xlfn._xlws.FILTER(Chronologie[ID],Chronologie[Datum]=B35,""))
&amp;IF(COUNTIF(Chronologie[Datum],B35)=0,"",") ")
&amp;TRANSPOSE(_xlfn._xlws.FILTER(Chronologie[Gegner],Chronologie[Datum]=B35,""))
&amp;IF(COUNTIF(Chronologie[Datum],B35)=0,""," [")
&amp;TRANSPOSE(_xlfn._xlws.FILTER(Chronologie[H/A],Chronologie[Datum]=B35,""))
&amp;IF(COUNTIF(Chronologie[Datum],B35)=0,"","]")
&amp;CHAR(10)
&amp;TRANSPOSE(_xlfn._xlws.FILTER(Chronologie[Startzeit],Chronologie[Datum]=B35,""))</f>
        <v>(Z-L-8) ESV Zschorlau [H]
09:00 Uhr</v>
      </c>
      <c r="D35" s="306"/>
      <c r="E35" s="306"/>
      <c r="F35" s="330"/>
      <c r="G35" s="310"/>
      <c r="H35" s="430"/>
    </row>
    <row r="36" spans="1:8" ht="31.2" x14ac:dyDescent="0.3">
      <c r="A36" s="429">
        <f t="shared" si="25"/>
        <v>51</v>
      </c>
      <c r="B36" s="317">
        <f t="shared" si="27"/>
        <v>46011</v>
      </c>
      <c r="C36" s="305" t="str" cm="1">
        <f t="array" ref="C36">IF(COUNTIF(Chronologie[Datum],B36)=0,"","(")
&amp;TRANSPOSE(_xlfn._xlws.FILTER(Chronologie[ID],Chronologie[Datum]=B36,""))
&amp;IF(COUNTIF(Chronologie[Datum],B36)=0,"",") ")
&amp;TRANSPOSE(_xlfn._xlws.FILTER(Chronologie[Gegner],Chronologie[Datum]=B36,""))
&amp;IF(COUNTIF(Chronologie[Datum],B36)=0,""," [")
&amp;TRANSPOSE(_xlfn._xlws.FILTER(Chronologie[H/A],Chronologie[Datum]=B36,""))
&amp;IF(COUNTIF(Chronologie[Datum],B36)=0,"","]")
&amp;CHAR(10)
&amp;TRANSPOSE(_xlfn._xlws.FILTER(Chronologie[Startzeit],Chronologie[Datum]=B36,""))</f>
        <v xml:space="preserve">
</v>
      </c>
      <c r="D36" s="305"/>
      <c r="E36" s="305"/>
      <c r="F36" s="329"/>
      <c r="G36" s="309"/>
      <c r="H36" s="429">
        <f t="shared" ref="H36" si="28">A36</f>
        <v>51</v>
      </c>
    </row>
    <row r="37" spans="1:8" ht="31.2" x14ac:dyDescent="0.3">
      <c r="A37" s="430"/>
      <c r="B37" s="318">
        <f t="shared" si="27"/>
        <v>46012</v>
      </c>
      <c r="C37" s="306" t="str" cm="1">
        <f t="array" ref="C37">IF(COUNTIF(Chronologie[Datum],B37)=0,"","(")
&amp;TRANSPOSE(_xlfn._xlws.FILTER(Chronologie[ID],Chronologie[Datum]=B37,""))
&amp;IF(COUNTIF(Chronologie[Datum],B37)=0,"",") ")
&amp;TRANSPOSE(_xlfn._xlws.FILTER(Chronologie[Gegner],Chronologie[Datum]=B37,""))
&amp;IF(COUNTIF(Chronologie[Datum],B37)=0,""," [")
&amp;TRANSPOSE(_xlfn._xlws.FILTER(Chronologie[H/A],Chronologie[Datum]=B37,""))
&amp;IF(COUNTIF(Chronologie[Datum],B37)=0,"","]")
&amp;CHAR(10)
&amp;TRANSPOSE(_xlfn._xlws.FILTER(Chronologie[Startzeit],Chronologie[Datum]=B37,""))</f>
        <v xml:space="preserve">
</v>
      </c>
      <c r="D37" s="306"/>
      <c r="E37" s="306"/>
      <c r="F37" s="330"/>
      <c r="G37" s="310"/>
      <c r="H37" s="430"/>
    </row>
    <row r="38" spans="1:8" ht="15.6" customHeight="1" x14ac:dyDescent="0.3">
      <c r="A38" s="425" t="s">
        <v>555</v>
      </c>
      <c r="B38" s="426"/>
      <c r="C38" s="426"/>
      <c r="D38" s="426"/>
      <c r="E38" s="426"/>
      <c r="F38" s="426"/>
      <c r="G38" s="426"/>
      <c r="H38" s="426"/>
    </row>
    <row r="39" spans="1:8" ht="15.6" customHeight="1" x14ac:dyDescent="0.3">
      <c r="A39" s="427"/>
      <c r="B39" s="428"/>
      <c r="C39" s="428"/>
      <c r="D39" s="428"/>
      <c r="E39" s="428"/>
      <c r="F39" s="428"/>
      <c r="G39" s="428"/>
      <c r="H39" s="428"/>
    </row>
    <row r="40" spans="1:8" ht="31.2" x14ac:dyDescent="0.3">
      <c r="A40" s="429">
        <f t="shared" ref="A40" si="29">WEEKNUM(B40)</f>
        <v>2</v>
      </c>
      <c r="B40" s="317">
        <v>46032</v>
      </c>
      <c r="C40" s="305" t="str" cm="1">
        <f t="array" ref="C40:G40">IF(COUNTIF(Chronologie[Datum],B40)=0,"","(")
&amp;TRANSPOSE(_xlfn._xlws.FILTER(Chronologie[ID],Chronologie[Datum]=B40,""))
&amp;IF(COUNTIF(Chronologie[Datum],B40)=0,"",") ")
&amp;TRANSPOSE(_xlfn._xlws.FILTER(Chronologie[Gegner],Chronologie[Datum]=B40,""))
&amp;IF(COUNTIF(Chronologie[Datum],B40)=0,""," [")
&amp;TRANSPOSE(_xlfn._xlws.FILTER(Chronologie[H/A],Chronologie[Datum]=B40,""))
&amp;IF(COUNTIF(Chronologie[Datum],B40)=0,"","]")
&amp;CHAR(10)
&amp;TRANSPOSE(_xlfn._xlws.FILTER(Chronologie[Startzeit],Chronologie[Datum]=B40,""))</f>
        <v>(U19-L-8) MSV Bautzen 04 [A]
13:00 Uhr</v>
      </c>
      <c r="D40" s="305" t="str">
        <v xml:space="preserve">(U23-KEM-V) TuS 1875 Großschirma [A]
</v>
      </c>
      <c r="E40" s="305" t="str">
        <v xml:space="preserve">(Ü60-KEM-V) KSV Grün-Weiß Leubsdorf [A]
</v>
      </c>
      <c r="F40" s="329" t="str">
        <v xml:space="preserve">(Ü50-KEM-V) TuS 1875 Großschirma [A]
</v>
      </c>
      <c r="G40" s="309" t="str">
        <v xml:space="preserve">(M-KEM-V) SV Linda [A]
</v>
      </c>
      <c r="H40" s="429">
        <f>A40</f>
        <v>2</v>
      </c>
    </row>
    <row r="41" spans="1:8" ht="31.2" x14ac:dyDescent="0.3">
      <c r="A41" s="430"/>
      <c r="B41" s="318">
        <v>46033</v>
      </c>
      <c r="C41" s="306" t="str" cm="1">
        <f t="array" ref="C41">IF(COUNTIF(Chronologie[Datum],B41)=0,"","(")
&amp;TRANSPOSE(_xlfn._xlws.FILTER(Chronologie[ID],Chronologie[Datum]=B41,""))
&amp;IF(COUNTIF(Chronologie[Datum],B41)=0,"",") ")
&amp;TRANSPOSE(_xlfn._xlws.FILTER(Chronologie[Gegner],Chronologie[Datum]=B41,""))
&amp;IF(COUNTIF(Chronologie[Datum],B41)=0,""," [")
&amp;TRANSPOSE(_xlfn._xlws.FILTER(Chronologie[H/A],Chronologie[Datum]=B41,""))
&amp;IF(COUNTIF(Chronologie[Datum],B41)=0,"","]")
&amp;CHAR(10)
&amp;TRANSPOSE(_xlfn._xlws.FILTER(Chronologie[Startzeit],Chronologie[Datum]=B41,""))</f>
        <v xml:space="preserve">
</v>
      </c>
      <c r="D41" s="306"/>
      <c r="E41" s="306"/>
      <c r="F41" s="330"/>
      <c r="G41" s="310"/>
      <c r="H41" s="430"/>
    </row>
    <row r="42" spans="1:8" ht="31.2" x14ac:dyDescent="0.3">
      <c r="A42" s="429">
        <f t="shared" ref="A42" si="30">WEEKNUM(B42)</f>
        <v>3</v>
      </c>
      <c r="B42" s="317">
        <f t="shared" ref="B42:B48" si="31">B40+7</f>
        <v>46039</v>
      </c>
      <c r="C42" s="305" t="str" cm="1">
        <f t="array" ref="C42:F42">IF(COUNTIF(Chronologie[Datum],B42)=0,"","(")
&amp;TRANSPOSE(_xlfn._xlws.FILTER(Chronologie[ID],Chronologie[Datum]=B42,""))
&amp;IF(COUNTIF(Chronologie[Datum],B42)=0,"",") ")
&amp;TRANSPOSE(_xlfn._xlws.FILTER(Chronologie[Gegner],Chronologie[Datum]=B42,""))
&amp;IF(COUNTIF(Chronologie[Datum],B42)=0,""," [")
&amp;TRANSPOSE(_xlfn._xlws.FILTER(Chronologie[H/A],Chronologie[Datum]=B42,""))
&amp;IF(COUNTIF(Chronologie[Datum],B42)=0,"","]")
&amp;CHAR(10)
&amp;TRANSPOSE(_xlfn._xlws.FILTER(Chronologie[Startzeit],Chronologie[Datum]=B42,""))</f>
        <v>(E-L-10) TSV 90 Zwickau II [A]
13:30 Uhr</v>
      </c>
      <c r="D42" s="305" t="str">
        <v>(U19-L-9) MSV Bautzen 04 [A]
13:00 Uhr</v>
      </c>
      <c r="E42" s="305" t="str">
        <v>(D-L-7) TSV 1848 Flöha  [A]
09:00 Uhr</v>
      </c>
      <c r="F42" s="329" t="str">
        <v xml:space="preserve">(U14-BEL-2) KSV Pockau-Lengefeld [A]
</v>
      </c>
      <c r="G42" s="309"/>
      <c r="H42" s="429">
        <f t="shared" ref="H42" si="32">A42</f>
        <v>3</v>
      </c>
    </row>
    <row r="43" spans="1:8" ht="31.2" x14ac:dyDescent="0.3">
      <c r="A43" s="430"/>
      <c r="B43" s="318">
        <f t="shared" si="31"/>
        <v>46040</v>
      </c>
      <c r="C43" s="306" t="str" cm="1">
        <f t="array" ref="C43:D43">IF(COUNTIF(Chronologie[Datum],B43)=0,"","(")
&amp;TRANSPOSE(_xlfn._xlws.FILTER(Chronologie[ID],Chronologie[Datum]=B43,""))
&amp;IF(COUNTIF(Chronologie[Datum],B43)=0,"",") ")
&amp;TRANSPOSE(_xlfn._xlws.FILTER(Chronologie[Gegner],Chronologie[Datum]=B43,""))
&amp;IF(COUNTIF(Chronologie[Datum],B43)=0,""," [")
&amp;TRANSPOSE(_xlfn._xlws.FILTER(Chronologie[H/A],Chronologie[Datum]=B43,""))
&amp;IF(COUNTIF(Chronologie[Datum],B43)=0,"","]")
&amp;CHAR(10)
&amp;TRANSPOSE(_xlfn._xlws.FILTER(Chronologie[Startzeit],Chronologie[Datum]=B43,""))</f>
        <v>(F-L-8) Dresdner SV II [H]
09:00 Uhr</v>
      </c>
      <c r="D43" s="306" t="str">
        <v>(Z-L-9) SG Motor Thurm [A]
09:00 Uhr</v>
      </c>
      <c r="E43" s="306"/>
      <c r="F43" s="330"/>
      <c r="G43" s="310"/>
      <c r="H43" s="430"/>
    </row>
    <row r="44" spans="1:8" ht="46.8" x14ac:dyDescent="0.3">
      <c r="A44" s="429">
        <f t="shared" ref="A44" si="33">WEEKNUM(B44)</f>
        <v>4</v>
      </c>
      <c r="B44" s="317">
        <f t="shared" si="31"/>
        <v>46046</v>
      </c>
      <c r="C44" s="305" t="str" cm="1">
        <f t="array" ref="C44:E44">IF(COUNTIF(Chronologie[Datum],B44)=0,"","(")
&amp;TRANSPOSE(_xlfn._xlws.FILTER(Chronologie[ID],Chronologie[Datum]=B44,""))
&amp;IF(COUNTIF(Chronologie[Datum],B44)=0,"",") ")
&amp;TRANSPOSE(_xlfn._xlws.FILTER(Chronologie[Gegner],Chronologie[Datum]=B44,""))
&amp;IF(COUNTIF(Chronologie[Datum],B44)=0,""," [")
&amp;TRANSPOSE(_xlfn._xlws.FILTER(Chronologie[H/A],Chronologie[Datum]=B44,""))
&amp;IF(COUNTIF(Chronologie[Datum],B44)=0,"","]")
&amp;CHAR(10)
&amp;TRANSPOSE(_xlfn._xlws.FILTER(Chronologie[Startzeit],Chronologie[Datum]=B44,""))</f>
        <v>(E-L-11) SpG Großschirma/Brand-Erbisdorf [H]
13:00 Uhr</v>
      </c>
      <c r="D44" s="305" t="str">
        <v xml:space="preserve">(U14-KEM-E) SV Krummenhennersdorf [A]
</v>
      </c>
      <c r="E44" s="305" t="str">
        <v xml:space="preserve">(U19-KEM-E) SV Krummenhennersdorf [A]
</v>
      </c>
      <c r="F44" s="329"/>
      <c r="G44" s="309"/>
      <c r="H44" s="429">
        <f t="shared" ref="H44" si="34">A44</f>
        <v>4</v>
      </c>
    </row>
    <row r="45" spans="1:8" ht="31.2" x14ac:dyDescent="0.3">
      <c r="A45" s="430"/>
      <c r="B45" s="318">
        <f t="shared" si="31"/>
        <v>46047</v>
      </c>
      <c r="C45" s="306" t="str" cm="1">
        <f t="array" ref="C45:D45">IF(COUNTIF(Chronologie[Datum],B45)=0,"","(")
&amp;TRANSPOSE(_xlfn._xlws.FILTER(Chronologie[ID],Chronologie[Datum]=B45,""))
&amp;IF(COUNTIF(Chronologie[Datum],B45)=0,"",") ")
&amp;TRANSPOSE(_xlfn._xlws.FILTER(Chronologie[Gegner],Chronologie[Datum]=B45,""))
&amp;IF(COUNTIF(Chronologie[Datum],B45)=0,""," [")
&amp;TRANSPOSE(_xlfn._xlws.FILTER(Chronologie[H/A],Chronologie[Datum]=B45,""))
&amp;IF(COUNTIF(Chronologie[Datum],B45)=0,"","]")
&amp;CHAR(10)
&amp;TRANSPOSE(_xlfn._xlws.FILTER(Chronologie[Startzeit],Chronologie[Datum]=B45,""))</f>
        <v>(F-L-9) Thonberger SC 1931 [A]
09:15 Uhr</v>
      </c>
      <c r="D45" s="306" t="str">
        <v>(Z-L-10) SKV 9-Pins Stollberg III [H]
09:00 Uhr</v>
      </c>
      <c r="E45" s="306"/>
      <c r="F45" s="330"/>
      <c r="G45" s="310"/>
      <c r="H45" s="430"/>
    </row>
    <row r="46" spans="1:8" ht="46.8" x14ac:dyDescent="0.3">
      <c r="A46" s="429">
        <f t="shared" ref="A46" si="35">WEEKNUM(B46)</f>
        <v>5</v>
      </c>
      <c r="B46" s="317">
        <f t="shared" si="31"/>
        <v>46053</v>
      </c>
      <c r="C46" s="305" t="str" cm="1">
        <f t="array" ref="C46:G46">IF(COUNTIF(Chronologie[Datum],B46)=0,"","(")
&amp;TRANSPOSE(_xlfn._xlws.FILTER(Chronologie[ID],Chronologie[Datum]=B46,""))
&amp;IF(COUNTIF(Chronologie[Datum],B46)=0,"",") ")
&amp;TRANSPOSE(_xlfn._xlws.FILTER(Chronologie[Gegner],Chronologie[Datum]=B46,""))
&amp;IF(COUNTIF(Chronologie[Datum],B46)=0,""," [")
&amp;TRANSPOSE(_xlfn._xlws.FILTER(Chronologie[H/A],Chronologie[Datum]=B46,""))
&amp;IF(COUNTIF(Chronologie[Datum],B46)=0,"","]")
&amp;CHAR(10)
&amp;TRANSPOSE(_xlfn._xlws.FILTER(Chronologie[Startzeit],Chronologie[Datum]=B46,""))</f>
        <v>(U19-L-10) Hirschfelder SV [H]
13:00 Uhr</v>
      </c>
      <c r="D46" s="305" t="str">
        <v xml:space="preserve">(U23-KEM-E) SV Krummenhennersdorf [A]
</v>
      </c>
      <c r="E46" s="305" t="str">
        <v xml:space="preserve">(Ü60-KEM-E) SV Krummenhennersdorf [A]
</v>
      </c>
      <c r="F46" s="329" t="str">
        <v xml:space="preserve">(Ü50-KEM-E) SV Krummenhennersdorf [A]
</v>
      </c>
      <c r="G46" s="309" t="str">
        <v xml:space="preserve">(M-KEM-E) SV Krummenhennersdorf [A]
</v>
      </c>
      <c r="H46" s="429">
        <f t="shared" ref="H46" si="36">A46</f>
        <v>5</v>
      </c>
    </row>
    <row r="47" spans="1:8" ht="31.2" x14ac:dyDescent="0.3">
      <c r="A47" s="430"/>
      <c r="B47" s="318">
        <f t="shared" si="31"/>
        <v>46054</v>
      </c>
      <c r="C47" s="306" t="str" cm="1">
        <f t="array" ref="C47">IF(COUNTIF(Chronologie[Datum],B47)=0,"","(")
&amp;TRANSPOSE(_xlfn._xlws.FILTER(Chronologie[ID],Chronologie[Datum]=B47,""))
&amp;IF(COUNTIF(Chronologie[Datum],B47)=0,"",") ")
&amp;TRANSPOSE(_xlfn._xlws.FILTER(Chronologie[Gegner],Chronologie[Datum]=B47,""))
&amp;IF(COUNTIF(Chronologie[Datum],B47)=0,""," [")
&amp;TRANSPOSE(_xlfn._xlws.FILTER(Chronologie[H/A],Chronologie[Datum]=B47,""))
&amp;IF(COUNTIF(Chronologie[Datum],B47)=0,"","]")
&amp;CHAR(10)
&amp;TRANSPOSE(_xlfn._xlws.FILTER(Chronologie[Startzeit],Chronologie[Datum]=B47,""))</f>
        <v>(U14-L-6) BKC 52 [A]
12:20 Uhr</v>
      </c>
      <c r="D47" s="306"/>
      <c r="E47" s="306"/>
      <c r="F47" s="330"/>
      <c r="G47" s="310"/>
      <c r="H47" s="430"/>
    </row>
    <row r="48" spans="1:8" ht="31.2" x14ac:dyDescent="0.3">
      <c r="A48" s="429">
        <f t="shared" ref="A48" si="37">WEEKNUM(B48)</f>
        <v>6</v>
      </c>
      <c r="B48" s="317">
        <f t="shared" si="31"/>
        <v>46060</v>
      </c>
      <c r="C48" s="305" t="str" cm="1">
        <f t="array" ref="C48">IF(COUNTIF(Chronologie[Datum],B48)=0,"","(")
&amp;TRANSPOSE(_xlfn._xlws.FILTER(Chronologie[ID],Chronologie[Datum]=B48,""))
&amp;IF(COUNTIF(Chronologie[Datum],B48)=0,"",") ")
&amp;TRANSPOSE(_xlfn._xlws.FILTER(Chronologie[Gegner],Chronologie[Datum]=B48,""))
&amp;IF(COUNTIF(Chronologie[Datum],B48)=0,""," [")
&amp;TRANSPOSE(_xlfn._xlws.FILTER(Chronologie[H/A],Chronologie[Datum]=B48,""))
&amp;IF(COUNTIF(Chronologie[Datum],B48)=0,"","]")
&amp;CHAR(10)
&amp;TRANSPOSE(_xlfn._xlws.FILTER(Chronologie[Startzeit],Chronologie[Datum]=B48,""))</f>
        <v>(E-L-12) SG Grün-Weiß Mehltheuer II [A]
13:00 Uhr</v>
      </c>
      <c r="D48" s="305"/>
      <c r="E48" s="305"/>
      <c r="F48" s="329"/>
      <c r="G48" s="309"/>
      <c r="H48" s="429">
        <f t="shared" ref="H48" si="38">A48</f>
        <v>6</v>
      </c>
    </row>
    <row r="49" spans="1:8" ht="31.2" x14ac:dyDescent="0.3">
      <c r="A49" s="430"/>
      <c r="B49" s="318">
        <f>B47+7</f>
        <v>46061</v>
      </c>
      <c r="C49" s="306" t="str" cm="1">
        <f t="array" ref="C49">IF(COUNTIF(Chronologie[Datum],B49)=0,"","(")
&amp;TRANSPOSE(_xlfn._xlws.FILTER(Chronologie[ID],Chronologie[Datum]=B49,""))
&amp;IF(COUNTIF(Chronologie[Datum],B49)=0,"",") ")
&amp;TRANSPOSE(_xlfn._xlws.FILTER(Chronologie[Gegner],Chronologie[Datum]=B49,""))
&amp;IF(COUNTIF(Chronologie[Datum],B49)=0,""," [")
&amp;TRANSPOSE(_xlfn._xlws.FILTER(Chronologie[H/A],Chronologie[Datum]=B49,""))
&amp;IF(COUNTIF(Chronologie[Datum],B49)=0,"","]")
&amp;CHAR(10)
&amp;TRANSPOSE(_xlfn._xlws.FILTER(Chronologie[Startzeit],Chronologie[Datum]=B49,""))</f>
        <v xml:space="preserve">
</v>
      </c>
      <c r="D49" s="306"/>
      <c r="E49" s="306"/>
      <c r="F49" s="330"/>
      <c r="G49" s="310"/>
      <c r="H49" s="430"/>
    </row>
    <row r="50" spans="1:8" ht="31.2" x14ac:dyDescent="0.3">
      <c r="A50" s="429">
        <f t="shared" ref="A50" si="39">WEEKNUM(B50)</f>
        <v>7</v>
      </c>
      <c r="B50" s="317">
        <f>B48+7</f>
        <v>46067</v>
      </c>
      <c r="C50" s="305" t="str" cm="1">
        <f t="array" ref="C50">IF(COUNTIF(Chronologie[Datum],B50)=0,"","(")
&amp;TRANSPOSE(_xlfn._xlws.FILTER(Chronologie[ID],Chronologie[Datum]=B50,""))
&amp;IF(COUNTIF(Chronologie[Datum],B50)=0,"",") ")
&amp;TRANSPOSE(_xlfn._xlws.FILTER(Chronologie[Gegner],Chronologie[Datum]=B50,""))
&amp;IF(COUNTIF(Chronologie[Datum],B50)=0,""," [")
&amp;TRANSPOSE(_xlfn._xlws.FILTER(Chronologie[H/A],Chronologie[Datum]=B50,""))
&amp;IF(COUNTIF(Chronologie[Datum],B50)=0,"","]")
&amp;CHAR(10)
&amp;TRANSPOSE(_xlfn._xlws.FILTER(Chronologie[Startzeit],Chronologie[Datum]=B50,""))</f>
        <v xml:space="preserve">
</v>
      </c>
      <c r="D50" s="305"/>
      <c r="E50" s="305"/>
      <c r="F50" s="329"/>
      <c r="G50" s="309"/>
      <c r="H50" s="429">
        <f t="shared" ref="H50" si="40">A50</f>
        <v>7</v>
      </c>
    </row>
    <row r="51" spans="1:8" ht="31.2" x14ac:dyDescent="0.3">
      <c r="A51" s="430"/>
      <c r="B51" s="318">
        <f t="shared" ref="B51:B54" si="41">B49+7</f>
        <v>46068</v>
      </c>
      <c r="C51" s="306" t="str" cm="1">
        <f t="array" ref="C51">IF(COUNTIF(Chronologie[Datum],B51)=0,"","(")
&amp;TRANSPOSE(_xlfn._xlws.FILTER(Chronologie[ID],Chronologie[Datum]=B51,""))
&amp;IF(COUNTIF(Chronologie[Datum],B51)=0,"",") ")
&amp;TRANSPOSE(_xlfn._xlws.FILTER(Chronologie[Gegner],Chronologie[Datum]=B51,""))
&amp;IF(COUNTIF(Chronologie[Datum],B51)=0,""," [")
&amp;TRANSPOSE(_xlfn._xlws.FILTER(Chronologie[H/A],Chronologie[Datum]=B51,""))
&amp;IF(COUNTIF(Chronologie[Datum],B51)=0,"","]")
&amp;CHAR(10)
&amp;TRANSPOSE(_xlfn._xlws.FILTER(Chronologie[Startzeit],Chronologie[Datum]=B51,""))</f>
        <v xml:space="preserve">
</v>
      </c>
      <c r="D51" s="306"/>
      <c r="E51" s="306"/>
      <c r="F51" s="330"/>
      <c r="G51" s="310"/>
      <c r="H51" s="430"/>
    </row>
    <row r="52" spans="1:8" ht="31.2" x14ac:dyDescent="0.3">
      <c r="A52" s="429">
        <f t="shared" ref="A52" si="42">WEEKNUM(B52)</f>
        <v>8</v>
      </c>
      <c r="B52" s="317">
        <f t="shared" si="41"/>
        <v>46074</v>
      </c>
      <c r="C52" s="305" t="str" cm="1">
        <f t="array" ref="C52:D52">IF(COUNTIF(Chronologie[Datum],B52)=0,"","(")
&amp;TRANSPOSE(_xlfn._xlws.FILTER(Chronologie[ID],Chronologie[Datum]=B52,""))
&amp;IF(COUNTIF(Chronologie[Datum],B52)=0,"",") ")
&amp;TRANSPOSE(_xlfn._xlws.FILTER(Chronologie[Gegner],Chronologie[Datum]=B52,""))
&amp;IF(COUNTIF(Chronologie[Datum],B52)=0,""," [")
&amp;TRANSPOSE(_xlfn._xlws.FILTER(Chronologie[H/A],Chronologie[Datum]=B52,""))
&amp;IF(COUNTIF(Chronologie[Datum],B52)=0,"","]")
&amp;CHAR(10)
&amp;TRANSPOSE(_xlfn._xlws.FILTER(Chronologie[Startzeit],Chronologie[Datum]=B52,""))</f>
        <v>(E-L-13) VfB Lengenfeld [A]
13:00 Uhr</v>
      </c>
      <c r="D52" s="305" t="str">
        <v>(U19-L-11) SKV 9-Pins Stollberg [A]
13:00 Uhr</v>
      </c>
      <c r="E52" s="305"/>
      <c r="F52" s="329"/>
      <c r="G52" s="309"/>
      <c r="H52" s="429">
        <f t="shared" ref="H52" si="43">A52</f>
        <v>8</v>
      </c>
    </row>
    <row r="53" spans="1:8" ht="31.2" x14ac:dyDescent="0.3">
      <c r="A53" s="430"/>
      <c r="B53" s="318">
        <f t="shared" si="41"/>
        <v>46075</v>
      </c>
      <c r="C53" s="306" t="str" cm="1">
        <f t="array" ref="C53:D53">IF(COUNTIF(Chronologie[Datum],B53)=0,"","(")
&amp;TRANSPOSE(_xlfn._xlws.FILTER(Chronologie[ID],Chronologie[Datum]=B53,""))
&amp;IF(COUNTIF(Chronologie[Datum],B53)=0,"",") ")
&amp;TRANSPOSE(_xlfn._xlws.FILTER(Chronologie[Gegner],Chronologie[Datum]=B53,""))
&amp;IF(COUNTIF(Chronologie[Datum],B53)=0,""," [")
&amp;TRANSPOSE(_xlfn._xlws.FILTER(Chronologie[H/A],Chronologie[Datum]=B53,""))
&amp;IF(COUNTIF(Chronologie[Datum],B53)=0,"","]")
&amp;CHAR(10)
&amp;TRANSPOSE(_xlfn._xlws.FILTER(Chronologie[Startzeit],Chronologie[Datum]=B53,""))</f>
        <v>(F-L-10) KSV Dresden-Leuben [H]
09:30 Uhr</v>
      </c>
      <c r="D53" s="306" t="str">
        <v>(Z-L-11) KC "Gut Holz" Drebach [A]
09:00 Uhr</v>
      </c>
      <c r="E53" s="306"/>
      <c r="F53" s="330"/>
      <c r="G53" s="310"/>
      <c r="H53" s="430"/>
    </row>
    <row r="54" spans="1:8" ht="31.2" x14ac:dyDescent="0.3">
      <c r="A54" s="429">
        <f t="shared" ref="A54" si="44">WEEKNUM(B54)</f>
        <v>9</v>
      </c>
      <c r="B54" s="317">
        <f t="shared" si="41"/>
        <v>46081</v>
      </c>
      <c r="C54" s="305" t="str" cm="1">
        <f t="array" ref="C54">IF(COUNTIF(Chronologie[Datum],B54)=0,"","(")
&amp;TRANSPOSE(_xlfn._xlws.FILTER(Chronologie[ID],Chronologie[Datum]=B54,""))
&amp;IF(COUNTIF(Chronologie[Datum],B54)=0,"",") ")
&amp;TRANSPOSE(_xlfn._xlws.FILTER(Chronologie[Gegner],Chronologie[Datum]=B54,""))
&amp;IF(COUNTIF(Chronologie[Datum],B54)=0,""," [")
&amp;TRANSPOSE(_xlfn._xlws.FILTER(Chronologie[H/A],Chronologie[Datum]=B54,""))
&amp;IF(COUNTIF(Chronologie[Datum],B54)=0,"","]")
&amp;CHAR(10)
&amp;TRANSPOSE(_xlfn._xlws.FILTER(Chronologie[Startzeit],Chronologie[Datum]=B54,""))</f>
        <v>(E-L-14) SV Schönberg [H]
13:00 Uhr</v>
      </c>
      <c r="D54" s="305"/>
      <c r="E54" s="305"/>
      <c r="F54" s="329"/>
      <c r="G54" s="309"/>
      <c r="H54" s="429">
        <f t="shared" ref="H54" si="45">A54</f>
        <v>9</v>
      </c>
    </row>
    <row r="55" spans="1:8" ht="31.2" x14ac:dyDescent="0.3">
      <c r="A55" s="430"/>
      <c r="B55" s="318">
        <f>B53+7</f>
        <v>46082</v>
      </c>
      <c r="C55" s="306" t="str" cm="1">
        <f t="array" ref="C55:D55">IF(COUNTIF(Chronologie[Datum],B55)=0,"","(")
&amp;TRANSPOSE(_xlfn._xlws.FILTER(Chronologie[ID],Chronologie[Datum]=B55,""))
&amp;IF(COUNTIF(Chronologie[Datum],B55)=0,"",") ")
&amp;TRANSPOSE(_xlfn._xlws.FILTER(Chronologie[Gegner],Chronologie[Datum]=B55,""))
&amp;IF(COUNTIF(Chronologie[Datum],B55)=0,""," [")
&amp;TRANSPOSE(_xlfn._xlws.FILTER(Chronologie[H/A],Chronologie[Datum]=B55,""))
&amp;IF(COUNTIF(Chronologie[Datum],B55)=0,"","]")
&amp;CHAR(10)
&amp;TRANSPOSE(_xlfn._xlws.FILTER(Chronologie[Startzeit],Chronologie[Datum]=B55,""))</f>
        <v>(F-L-11) KSV 66 Steinitz [A]
09:15 Uhr</v>
      </c>
      <c r="D55" s="306" t="str">
        <v>(D-L-8) SV Grün-Weiß Niederwiesa  [H]
09:00 Uhr</v>
      </c>
      <c r="E55" s="306"/>
      <c r="F55" s="330"/>
      <c r="G55" s="310"/>
      <c r="H55" s="430"/>
    </row>
    <row r="56" spans="1:8" ht="31.2" x14ac:dyDescent="0.3">
      <c r="A56" s="429">
        <f t="shared" ref="A56" si="46">WEEKNUM(B56)</f>
        <v>10</v>
      </c>
      <c r="B56" s="317">
        <f>B54+7</f>
        <v>46088</v>
      </c>
      <c r="C56" s="305" t="str" cm="1">
        <f t="array" ref="C56">IF(COUNTIF(Chronologie[Datum],B56)=0,"","(")
&amp;TRANSPOSE(_xlfn._xlws.FILTER(Chronologie[ID],Chronologie[Datum]=B56,""))
&amp;IF(COUNTIF(Chronologie[Datum],B56)=0,"",") ")
&amp;TRANSPOSE(_xlfn._xlws.FILTER(Chronologie[Gegner],Chronologie[Datum]=B56,""))
&amp;IF(COUNTIF(Chronologie[Datum],B56)=0,""," [")
&amp;TRANSPOSE(_xlfn._xlws.FILTER(Chronologie[H/A],Chronologie[Datum]=B56,""))
&amp;IF(COUNTIF(Chronologie[Datum],B56)=0,"","]")
&amp;CHAR(10)
&amp;TRANSPOSE(_xlfn._xlws.FILTER(Chronologie[Startzeit],Chronologie[Datum]=B56,""))</f>
        <v xml:space="preserve">(U14-BEL-3) KV Reinsdorf [A]
</v>
      </c>
      <c r="D56" s="305"/>
      <c r="E56" s="305"/>
      <c r="F56" s="329"/>
      <c r="G56" s="309"/>
      <c r="H56" s="429">
        <f t="shared" ref="H56" si="47">A56</f>
        <v>10</v>
      </c>
    </row>
    <row r="57" spans="1:8" ht="31.2" x14ac:dyDescent="0.3">
      <c r="A57" s="430"/>
      <c r="B57" s="318">
        <f t="shared" ref="B57:B61" si="48">B55+7</f>
        <v>46089</v>
      </c>
      <c r="C57" s="306" t="str" cm="1">
        <f t="array" ref="C57">IF(COUNTIF(Chronologie[Datum],B57)=0,"","(")
&amp;TRANSPOSE(_xlfn._xlws.FILTER(Chronologie[ID],Chronologie[Datum]=B57,""))
&amp;IF(COUNTIF(Chronologie[Datum],B57)=0,"",") ")
&amp;TRANSPOSE(_xlfn._xlws.FILTER(Chronologie[Gegner],Chronologie[Datum]=B57,""))
&amp;IF(COUNTIF(Chronologie[Datum],B57)=0,""," [")
&amp;TRANSPOSE(_xlfn._xlws.FILTER(Chronologie[H/A],Chronologie[Datum]=B57,""))
&amp;IF(COUNTIF(Chronologie[Datum],B57)=0,"","]")
&amp;CHAR(10)
&amp;TRANSPOSE(_xlfn._xlws.FILTER(Chronologie[Startzeit],Chronologie[Datum]=B57,""))</f>
        <v>(Z-L-12) TSV Geyer [H]
09:00 Uhr</v>
      </c>
      <c r="D57" s="306"/>
      <c r="E57" s="306"/>
      <c r="F57" s="330"/>
      <c r="G57" s="310"/>
      <c r="H57" s="430"/>
    </row>
    <row r="58" spans="1:8" ht="31.2" x14ac:dyDescent="0.3">
      <c r="A58" s="429">
        <f t="shared" ref="A58" si="49">WEEKNUM(B58)</f>
        <v>11</v>
      </c>
      <c r="B58" s="317">
        <f t="shared" si="48"/>
        <v>46095</v>
      </c>
      <c r="C58" s="305" t="str" cm="1">
        <f t="array" ref="C58:D58">IF(COUNTIF(Chronologie[Datum],B58)=0,"","(")
&amp;TRANSPOSE(_xlfn._xlws.FILTER(Chronologie[ID],Chronologie[Datum]=B58,""))
&amp;IF(COUNTIF(Chronologie[Datum],B58)=0,"",") ")
&amp;TRANSPOSE(_xlfn._xlws.FILTER(Chronologie[Gegner],Chronologie[Datum]=B58,""))
&amp;IF(COUNTIF(Chronologie[Datum],B58)=0,""," [")
&amp;TRANSPOSE(_xlfn._xlws.FILTER(Chronologie[H/A],Chronologie[Datum]=B58,""))
&amp;IF(COUNTIF(Chronologie[Datum],B58)=0,"","]")
&amp;CHAR(10)
&amp;TRANSPOSE(_xlfn._xlws.FILTER(Chronologie[Startzeit],Chronologie[Datum]=B58,""))</f>
        <v>(E-L-15) KSV Blau-Gelb Taucha II [A]
13:00 Uhr</v>
      </c>
      <c r="D58" s="305" t="str">
        <v>(U19-L-12) KSV Heidenau [A]
13:00 Uhr</v>
      </c>
      <c r="E58" s="305"/>
      <c r="F58" s="329"/>
      <c r="G58" s="309"/>
      <c r="H58" s="429">
        <f t="shared" ref="H58" si="50">A58</f>
        <v>11</v>
      </c>
    </row>
    <row r="59" spans="1:8" ht="31.2" x14ac:dyDescent="0.3">
      <c r="A59" s="430"/>
      <c r="B59" s="318">
        <f t="shared" si="48"/>
        <v>46096</v>
      </c>
      <c r="C59" s="306" t="str" cm="1">
        <f t="array" ref="C59">IF(COUNTIF(Chronologie[Datum],B59)=0,"","(")
&amp;TRANSPOSE(_xlfn._xlws.FILTER(Chronologie[ID],Chronologie[Datum]=B59,""))
&amp;IF(COUNTIF(Chronologie[Datum],B59)=0,"",") ")
&amp;TRANSPOSE(_xlfn._xlws.FILTER(Chronologie[Gegner],Chronologie[Datum]=B59,""))
&amp;IF(COUNTIF(Chronologie[Datum],B59)=0,""," [")
&amp;TRANSPOSE(_xlfn._xlws.FILTER(Chronologie[H/A],Chronologie[Datum]=B59,""))
&amp;IF(COUNTIF(Chronologie[Datum],B59)=0,"","]")
&amp;CHAR(10)
&amp;TRANSPOSE(_xlfn._xlws.FILTER(Chronologie[Startzeit],Chronologie[Datum]=B59,""))</f>
        <v>(F-L-12) KSC Stahl Rietschen [H]
09:00 Uhr</v>
      </c>
      <c r="D59" s="306"/>
      <c r="E59" s="306"/>
      <c r="F59" s="330"/>
      <c r="G59" s="310"/>
      <c r="H59" s="430"/>
    </row>
    <row r="60" spans="1:8" ht="31.2" x14ac:dyDescent="0.3">
      <c r="A60" s="429">
        <f t="shared" ref="A60" si="51">WEEKNUM(B60)</f>
        <v>12</v>
      </c>
      <c r="B60" s="317">
        <f t="shared" si="48"/>
        <v>46102</v>
      </c>
      <c r="C60" s="305" t="str" cm="1">
        <f t="array" ref="C60:D60">IF(COUNTIF(Chronologie[Datum],B60)=0,"","(")
&amp;TRANSPOSE(_xlfn._xlws.FILTER(Chronologie[ID],Chronologie[Datum]=B60,""))
&amp;IF(COUNTIF(Chronologie[Datum],B60)=0,"",") ")
&amp;TRANSPOSE(_xlfn._xlws.FILTER(Chronologie[Gegner],Chronologie[Datum]=B60,""))
&amp;IF(COUNTIF(Chronologie[Datum],B60)=0,""," [")
&amp;TRANSPOSE(_xlfn._xlws.FILTER(Chronologie[H/A],Chronologie[Datum]=B60,""))
&amp;IF(COUNTIF(Chronologie[Datum],B60)=0,"","]")
&amp;CHAR(10)
&amp;TRANSPOSE(_xlfn._xlws.FILTER(Chronologie[Startzeit],Chronologie[Datum]=B60,""))</f>
        <v>(E-L-16) SG Hohentanne [A]
13:00 Uhr</v>
      </c>
      <c r="D60" s="305" t="str">
        <v>(D-L-9) SV Krummenhennersdorf [H]
11:00 Uhr</v>
      </c>
      <c r="E60" s="305"/>
      <c r="F60" s="329"/>
      <c r="G60" s="309"/>
      <c r="H60" s="429">
        <f t="shared" ref="H60" si="52">A60</f>
        <v>12</v>
      </c>
    </row>
    <row r="61" spans="1:8" ht="31.2" x14ac:dyDescent="0.3">
      <c r="A61" s="430"/>
      <c r="B61" s="318">
        <f t="shared" si="48"/>
        <v>46103</v>
      </c>
      <c r="C61" s="306" t="str" cm="1">
        <f t="array" ref="C61:D61">IF(COUNTIF(Chronologie[Datum],B61)=0,"","(")
&amp;TRANSPOSE(_xlfn._xlws.FILTER(Chronologie[ID],Chronologie[Datum]=B61,""))
&amp;IF(COUNTIF(Chronologie[Datum],B61)=0,"",") ")
&amp;TRANSPOSE(_xlfn._xlws.FILTER(Chronologie[Gegner],Chronologie[Datum]=B61,""))
&amp;IF(COUNTIF(Chronologie[Datum],B61)=0,""," [")
&amp;TRANSPOSE(_xlfn._xlws.FILTER(Chronologie[H/A],Chronologie[Datum]=B61,""))
&amp;IF(COUNTIF(Chronologie[Datum],B61)=0,"","]")
&amp;CHAR(10)
&amp;TRANSPOSE(_xlfn._xlws.FILTER(Chronologie[Startzeit],Chronologie[Datum]=B61,""))</f>
        <v>(F-L-13) ISG Hagenwerder [H]
09:00 Uhr</v>
      </c>
      <c r="D61" s="306" t="str">
        <v>(Z-L-13) KSV Grün-Weiß Leubsdorf [A]
09:00 Uhr</v>
      </c>
      <c r="E61" s="306"/>
      <c r="F61" s="330"/>
      <c r="G61" s="310"/>
      <c r="H61" s="430"/>
    </row>
    <row r="62" spans="1:8" ht="31.2" x14ac:dyDescent="0.3">
      <c r="A62" s="429">
        <f t="shared" ref="A62" si="53">WEEKNUM(B62)</f>
        <v>13</v>
      </c>
      <c r="B62" s="317">
        <f>B60+7</f>
        <v>46109</v>
      </c>
      <c r="C62" s="305" t="str" cm="1">
        <f t="array" ref="C62:D62">IF(COUNTIF(Chronologie[Datum],B62)=0,"","(")
&amp;TRANSPOSE(_xlfn._xlws.FILTER(Chronologie[ID],Chronologie[Datum]=B62,""))
&amp;IF(COUNTIF(Chronologie[Datum],B62)=0,"",") ")
&amp;TRANSPOSE(_xlfn._xlws.FILTER(Chronologie[Gegner],Chronologie[Datum]=B62,""))
&amp;IF(COUNTIF(Chronologie[Datum],B62)=0,""," [")
&amp;TRANSPOSE(_xlfn._xlws.FILTER(Chronologie[H/A],Chronologie[Datum]=B62,""))
&amp;IF(COUNTIF(Chronologie[Datum],B62)=0,"","]")
&amp;CHAR(10)
&amp;TRANSPOSE(_xlfn._xlws.FILTER(Chronologie[Startzeit],Chronologie[Datum]=B62,""))</f>
        <v>(E-L-17) SKV 9-Pins Stollberg II [A]
13:00 Uhr</v>
      </c>
      <c r="D62" s="305" t="str">
        <v>(D-L-10) BKC 52 [A]
11:00 Uhr</v>
      </c>
      <c r="E62" s="305"/>
      <c r="F62" s="329"/>
      <c r="G62" s="309"/>
      <c r="H62" s="429">
        <f t="shared" ref="H62" si="54">A62</f>
        <v>13</v>
      </c>
    </row>
    <row r="63" spans="1:8" ht="31.2" x14ac:dyDescent="0.3">
      <c r="A63" s="430"/>
      <c r="B63" s="318">
        <f>B61+7</f>
        <v>46110</v>
      </c>
      <c r="C63" s="306" t="str" cm="1">
        <f t="array" ref="C63">IF(COUNTIF(Chronologie[Datum],B63)=0,"","(")
&amp;TRANSPOSE(_xlfn._xlws.FILTER(Chronologie[ID],Chronologie[Datum]=B63,""))
&amp;IF(COUNTIF(Chronologie[Datum],B63)=0,"",") ")
&amp;TRANSPOSE(_xlfn._xlws.FILTER(Chronologie[Gegner],Chronologie[Datum]=B63,""))
&amp;IF(COUNTIF(Chronologie[Datum],B63)=0,""," [")
&amp;TRANSPOSE(_xlfn._xlws.FILTER(Chronologie[H/A],Chronologie[Datum]=B63,""))
&amp;IF(COUNTIF(Chronologie[Datum],B63)=0,"","]")
&amp;CHAR(10)
&amp;TRANSPOSE(_xlfn._xlws.FILTER(Chronologie[Startzeit],Chronologie[Datum]=B63,""))</f>
        <v>(Z-L-14) KSV Hainichen 92 [H]
09:00 Uhr</v>
      </c>
      <c r="D63" s="306"/>
      <c r="E63" s="306"/>
      <c r="F63" s="330"/>
      <c r="G63" s="310"/>
      <c r="H63" s="430"/>
    </row>
    <row r="64" spans="1:8" ht="31.2" x14ac:dyDescent="0.3">
      <c r="A64" s="429">
        <f t="shared" ref="A64" si="55">WEEKNUM(B64)</f>
        <v>14</v>
      </c>
      <c r="B64" s="317">
        <f t="shared" ref="B64:B69" si="56">B62+7</f>
        <v>46116</v>
      </c>
      <c r="C64" s="305" t="str" cm="1">
        <f t="array" ref="C64">IF(COUNTIF(Chronologie[Datum],B64)=0,"","(")
&amp;TRANSPOSE(_xlfn._xlws.FILTER(Chronologie[ID],Chronologie[Datum]=B64,""))
&amp;IF(COUNTIF(Chronologie[Datum],B64)=0,"",") ")
&amp;TRANSPOSE(_xlfn._xlws.FILTER(Chronologie[Gegner],Chronologie[Datum]=B64,""))
&amp;IF(COUNTIF(Chronologie[Datum],B64)=0,""," [")
&amp;TRANSPOSE(_xlfn._xlws.FILTER(Chronologie[H/A],Chronologie[Datum]=B64,""))
&amp;IF(COUNTIF(Chronologie[Datum],B64)=0,"","]")
&amp;CHAR(10)
&amp;TRANSPOSE(_xlfn._xlws.FILTER(Chronologie[Startzeit],Chronologie[Datum]=B64,""))</f>
        <v xml:space="preserve">
</v>
      </c>
      <c r="D64" s="305"/>
      <c r="E64" s="305"/>
      <c r="F64" s="329"/>
      <c r="G64" s="309"/>
      <c r="H64" s="429">
        <f t="shared" ref="H64" si="57">A64</f>
        <v>14</v>
      </c>
    </row>
    <row r="65" spans="1:8" ht="31.2" x14ac:dyDescent="0.3">
      <c r="A65" s="430"/>
      <c r="B65" s="318">
        <f t="shared" si="56"/>
        <v>46117</v>
      </c>
      <c r="C65" s="306" t="str" cm="1">
        <f t="array" ref="C65">IF(COUNTIF(Chronologie[Datum],B65)=0,"","(")
&amp;TRANSPOSE(_xlfn._xlws.FILTER(Chronologie[ID],Chronologie[Datum]=B65,""))
&amp;IF(COUNTIF(Chronologie[Datum],B65)=0,"",") ")
&amp;TRANSPOSE(_xlfn._xlws.FILTER(Chronologie[Gegner],Chronologie[Datum]=B65,""))
&amp;IF(COUNTIF(Chronologie[Datum],B65)=0,""," [")
&amp;TRANSPOSE(_xlfn._xlws.FILTER(Chronologie[H/A],Chronologie[Datum]=B65,""))
&amp;IF(COUNTIF(Chronologie[Datum],B65)=0,"","]")
&amp;CHAR(10)
&amp;TRANSPOSE(_xlfn._xlws.FILTER(Chronologie[Startzeit],Chronologie[Datum]=B65,""))</f>
        <v xml:space="preserve">
</v>
      </c>
      <c r="D65" s="306"/>
      <c r="E65" s="306"/>
      <c r="F65" s="330"/>
      <c r="G65" s="310"/>
      <c r="H65" s="430"/>
    </row>
    <row r="66" spans="1:8" ht="31.2" x14ac:dyDescent="0.3">
      <c r="A66" s="429">
        <f t="shared" ref="A66" si="58">WEEKNUM(B66)</f>
        <v>15</v>
      </c>
      <c r="B66" s="317">
        <f t="shared" si="56"/>
        <v>46123</v>
      </c>
      <c r="C66" s="305" t="str" cm="1">
        <f t="array" ref="C66">IF(COUNTIF(Chronologie[Datum],B66)=0,"","(")
&amp;TRANSPOSE(_xlfn._xlws.FILTER(Chronologie[ID],Chronologie[Datum]=B66,""))
&amp;IF(COUNTIF(Chronologie[Datum],B66)=0,"",") ")
&amp;TRANSPOSE(_xlfn._xlws.FILTER(Chronologie[Gegner],Chronologie[Datum]=B66,""))
&amp;IF(COUNTIF(Chronologie[Datum],B66)=0,""," [")
&amp;TRANSPOSE(_xlfn._xlws.FILTER(Chronologie[H/A],Chronologie[Datum]=B66,""))
&amp;IF(COUNTIF(Chronologie[Datum],B66)=0,"","]")
&amp;CHAR(10)
&amp;TRANSPOSE(_xlfn._xlws.FILTER(Chronologie[Startzeit],Chronologie[Datum]=B66,""))</f>
        <v xml:space="preserve">(U14-BEL-4) Hirschfelder SV [H]
</v>
      </c>
      <c r="D66" s="305"/>
      <c r="E66" s="305"/>
      <c r="F66" s="329"/>
      <c r="G66" s="309"/>
      <c r="H66" s="429">
        <f t="shared" ref="H66" si="59">A66</f>
        <v>15</v>
      </c>
    </row>
    <row r="67" spans="1:8" ht="31.2" x14ac:dyDescent="0.3">
      <c r="A67" s="430"/>
      <c r="B67" s="318">
        <f t="shared" si="56"/>
        <v>46124</v>
      </c>
      <c r="C67" s="306" t="str" cm="1">
        <f t="array" ref="C67">IF(COUNTIF(Chronologie[Datum],B67)=0,"","(")
&amp;TRANSPOSE(_xlfn._xlws.FILTER(Chronologie[ID],Chronologie[Datum]=B67,""))
&amp;IF(COUNTIF(Chronologie[Datum],B67)=0,"",") ")
&amp;TRANSPOSE(_xlfn._xlws.FILTER(Chronologie[Gegner],Chronologie[Datum]=B67,""))
&amp;IF(COUNTIF(Chronologie[Datum],B67)=0,""," [")
&amp;TRANSPOSE(_xlfn._xlws.FILTER(Chronologie[H/A],Chronologie[Datum]=B67,""))
&amp;IF(COUNTIF(Chronologie[Datum],B67)=0,"","]")
&amp;CHAR(10)
&amp;TRANSPOSE(_xlfn._xlws.FILTER(Chronologie[Startzeit],Chronologie[Datum]=B67,""))</f>
        <v xml:space="preserve">
</v>
      </c>
      <c r="D67" s="306"/>
      <c r="E67" s="306"/>
      <c r="F67" s="330"/>
      <c r="G67" s="310"/>
      <c r="H67" s="430"/>
    </row>
    <row r="68" spans="1:8" ht="31.2" x14ac:dyDescent="0.3">
      <c r="A68" s="429">
        <f t="shared" ref="A68" si="60">WEEKNUM(B68)</f>
        <v>16</v>
      </c>
      <c r="B68" s="317">
        <f t="shared" si="56"/>
        <v>46130</v>
      </c>
      <c r="C68" s="305" t="str" cm="1">
        <f t="array" ref="C68">IF(COUNTIF(Chronologie[Datum],B68)=0,"","(")
&amp;TRANSPOSE(_xlfn._xlws.FILTER(Chronologie[ID],Chronologie[Datum]=B68,""))
&amp;IF(COUNTIF(Chronologie[Datum],B68)=0,"",") ")
&amp;TRANSPOSE(_xlfn._xlws.FILTER(Chronologie[Gegner],Chronologie[Datum]=B68,""))
&amp;IF(COUNTIF(Chronologie[Datum],B68)=0,""," [")
&amp;TRANSPOSE(_xlfn._xlws.FILTER(Chronologie[H/A],Chronologie[Datum]=B68,""))
&amp;IF(COUNTIF(Chronologie[Datum],B68)=0,"","]")
&amp;CHAR(10)
&amp;TRANSPOSE(_xlfn._xlws.FILTER(Chronologie[Startzeit],Chronologie[Datum]=B68,""))</f>
        <v>(E-L-18) SV Rot-Weiß Treuen [H]
13:00 Uhr</v>
      </c>
      <c r="D68" s="305"/>
      <c r="E68" s="305"/>
      <c r="F68" s="329"/>
      <c r="G68" s="309"/>
      <c r="H68" s="429">
        <f t="shared" ref="H68" si="61">A68</f>
        <v>16</v>
      </c>
    </row>
    <row r="69" spans="1:8" ht="31.2" x14ac:dyDescent="0.3">
      <c r="A69" s="430"/>
      <c r="B69" s="318">
        <f t="shared" si="56"/>
        <v>46131</v>
      </c>
      <c r="C69" s="306" t="str" cm="1">
        <f t="array" ref="C69">IF(COUNTIF(Chronologie[Datum],B69)=0,"","(")
&amp;TRANSPOSE(_xlfn._xlws.FILTER(Chronologie[ID],Chronologie[Datum]=B69,""))
&amp;IF(COUNTIF(Chronologie[Datum],B69)=0,"",") ")
&amp;TRANSPOSE(_xlfn._xlws.FILTER(Chronologie[Gegner],Chronologie[Datum]=B69,""))
&amp;IF(COUNTIF(Chronologie[Datum],B69)=0,""," [")
&amp;TRANSPOSE(_xlfn._xlws.FILTER(Chronologie[H/A],Chronologie[Datum]=B69,""))
&amp;IF(COUNTIF(Chronologie[Datum],B69)=0,"","]")
&amp;CHAR(10)
&amp;TRANSPOSE(_xlfn._xlws.FILTER(Chronologie[Startzeit],Chronologie[Datum]=B69,""))</f>
        <v xml:space="preserve">
</v>
      </c>
      <c r="D69" s="306"/>
      <c r="E69" s="306"/>
      <c r="F69" s="330"/>
      <c r="G69" s="310"/>
      <c r="H69" s="430"/>
    </row>
    <row r="70" spans="1:8" ht="31.2" x14ac:dyDescent="0.3">
      <c r="A70" s="429">
        <f t="shared" ref="A70" si="62">WEEKNUM(B70)</f>
        <v>17</v>
      </c>
      <c r="B70" s="317">
        <f>B68+7</f>
        <v>46137</v>
      </c>
      <c r="C70" s="305" t="str" cm="1">
        <f t="array" ref="C70">IF(COUNTIF(Chronologie[Datum],B70)=0,"","(")
&amp;TRANSPOSE(_xlfn._xlws.FILTER(Chronologie[ID],Chronologie[Datum]=B70,""))
&amp;IF(COUNTIF(Chronologie[Datum],B70)=0,"",") ")
&amp;TRANSPOSE(_xlfn._xlws.FILTER(Chronologie[Gegner],Chronologie[Datum]=B70,""))
&amp;IF(COUNTIF(Chronologie[Datum],B70)=0,""," [")
&amp;TRANSPOSE(_xlfn._xlws.FILTER(Chronologie[H/A],Chronologie[Datum]=B70,""))
&amp;IF(COUNTIF(Chronologie[Datum],B70)=0,"","]")
&amp;CHAR(10)
&amp;TRANSPOSE(_xlfn._xlws.FILTER(Chronologie[Startzeit],Chronologie[Datum]=B70,""))</f>
        <v xml:space="preserve">
</v>
      </c>
      <c r="D70" s="305"/>
      <c r="E70" s="305"/>
      <c r="F70" s="329"/>
      <c r="G70" s="309"/>
      <c r="H70" s="429">
        <f t="shared" ref="H70" si="63">A70</f>
        <v>17</v>
      </c>
    </row>
    <row r="71" spans="1:8" ht="31.2" x14ac:dyDescent="0.3">
      <c r="A71" s="430"/>
      <c r="B71" s="318">
        <f>B69+7</f>
        <v>46138</v>
      </c>
      <c r="C71" s="306" t="str" cm="1">
        <f t="array" ref="C71">IF(COUNTIF(Chronologie[Datum],B71)=0,"","(")
&amp;TRANSPOSE(_xlfn._xlws.FILTER(Chronologie[ID],Chronologie[Datum]=B71,""))
&amp;IF(COUNTIF(Chronologie[Datum],B71)=0,"",") ")
&amp;TRANSPOSE(_xlfn._xlws.FILTER(Chronologie[Gegner],Chronologie[Datum]=B71,""))
&amp;IF(COUNTIF(Chronologie[Datum],B71)=0,""," [")
&amp;TRANSPOSE(_xlfn._xlws.FILTER(Chronologie[H/A],Chronologie[Datum]=B71,""))
&amp;IF(COUNTIF(Chronologie[Datum],B71)=0,"","]")
&amp;CHAR(10)
&amp;TRANSPOSE(_xlfn._xlws.FILTER(Chronologie[Startzeit],Chronologie[Datum]=B71,""))</f>
        <v xml:space="preserve">
</v>
      </c>
      <c r="D71" s="306"/>
      <c r="E71" s="306"/>
      <c r="F71" s="330"/>
      <c r="G71" s="310"/>
      <c r="H71" s="430"/>
    </row>
    <row r="72" spans="1:8" ht="31.2" x14ac:dyDescent="0.3">
      <c r="A72" s="429">
        <f t="shared" ref="A72" si="64">WEEKNUM(B72)</f>
        <v>18</v>
      </c>
      <c r="B72" s="317">
        <f t="shared" ref="B72:B87" si="65">B70+7</f>
        <v>46144</v>
      </c>
      <c r="C72" s="305" t="str" cm="1">
        <f t="array" ref="C72">IF(COUNTIF(Chronologie[Datum],B72)=0,"","(")
&amp;TRANSPOSE(_xlfn._xlws.FILTER(Chronologie[ID],Chronologie[Datum]=B72,""))
&amp;IF(COUNTIF(Chronologie[Datum],B72)=0,"",") ")
&amp;TRANSPOSE(_xlfn._xlws.FILTER(Chronologie[Gegner],Chronologie[Datum]=B72,""))
&amp;IF(COUNTIF(Chronologie[Datum],B72)=0,""," [")
&amp;TRANSPOSE(_xlfn._xlws.FILTER(Chronologie[H/A],Chronologie[Datum]=B72,""))
&amp;IF(COUNTIF(Chronologie[Datum],B72)=0,"","]")
&amp;CHAR(10)
&amp;TRANSPOSE(_xlfn._xlws.FILTER(Chronologie[Startzeit],Chronologie[Datum]=B72,""))</f>
        <v xml:space="preserve">
</v>
      </c>
      <c r="D72" s="305"/>
      <c r="E72" s="305"/>
      <c r="F72" s="329"/>
      <c r="G72" s="309"/>
      <c r="H72" s="429">
        <f t="shared" ref="H72" si="66">A72</f>
        <v>18</v>
      </c>
    </row>
    <row r="73" spans="1:8" ht="31.2" x14ac:dyDescent="0.3">
      <c r="A73" s="430"/>
      <c r="B73" s="318">
        <f>B71+7</f>
        <v>46145</v>
      </c>
      <c r="C73" s="306" t="str" cm="1">
        <f t="array" ref="C73">IF(COUNTIF(Chronologie[Datum],B73)=0,"","(")
&amp;TRANSPOSE(_xlfn._xlws.FILTER(Chronologie[ID],Chronologie[Datum]=B73,""))
&amp;IF(COUNTIF(Chronologie[Datum],B73)=0,"",") ")
&amp;TRANSPOSE(_xlfn._xlws.FILTER(Chronologie[Gegner],Chronologie[Datum]=B73,""))
&amp;IF(COUNTIF(Chronologie[Datum],B73)=0,""," [")
&amp;TRANSPOSE(_xlfn._xlws.FILTER(Chronologie[H/A],Chronologie[Datum]=B73,""))
&amp;IF(COUNTIF(Chronologie[Datum],B73)=0,"","]")
&amp;CHAR(10)
&amp;TRANSPOSE(_xlfn._xlws.FILTER(Chronologie[Startzeit],Chronologie[Datum]=B73,""))</f>
        <v xml:space="preserve">
</v>
      </c>
      <c r="D73" s="306"/>
      <c r="E73" s="306"/>
      <c r="F73" s="330"/>
      <c r="G73" s="310"/>
      <c r="H73" s="430"/>
    </row>
    <row r="74" spans="1:8" ht="31.2" x14ac:dyDescent="0.3">
      <c r="A74" s="429">
        <f t="shared" ref="A74" si="67">WEEKNUM(B74)</f>
        <v>19</v>
      </c>
      <c r="B74" s="317">
        <f t="shared" si="65"/>
        <v>46151</v>
      </c>
      <c r="C74" s="305" t="str" cm="1">
        <f t="array" ref="C74">IF(COUNTIF(Chronologie[Datum],B74)=0,"","(")
&amp;TRANSPOSE(_xlfn._xlws.FILTER(Chronologie[ID],Chronologie[Datum]=B74,""))
&amp;IF(COUNTIF(Chronologie[Datum],B74)=0,"",") ")
&amp;TRANSPOSE(_xlfn._xlws.FILTER(Chronologie[Gegner],Chronologie[Datum]=B74,""))
&amp;IF(COUNTIF(Chronologie[Datum],B74)=0,""," [")
&amp;TRANSPOSE(_xlfn._xlws.FILTER(Chronologie[H/A],Chronologie[Datum]=B74,""))
&amp;IF(COUNTIF(Chronologie[Datum],B74)=0,"","]")
&amp;CHAR(10)
&amp;TRANSPOSE(_xlfn._xlws.FILTER(Chronologie[Startzeit],Chronologie[Datum]=B74,""))</f>
        <v xml:space="preserve">
</v>
      </c>
      <c r="D74" s="305"/>
      <c r="E74" s="305"/>
      <c r="F74" s="329"/>
      <c r="G74" s="309"/>
      <c r="H74" s="429">
        <f t="shared" ref="H74" si="68">A74</f>
        <v>19</v>
      </c>
    </row>
    <row r="75" spans="1:8" ht="31.2" x14ac:dyDescent="0.3">
      <c r="A75" s="430"/>
      <c r="B75" s="318">
        <f t="shared" si="65"/>
        <v>46152</v>
      </c>
      <c r="C75" s="306" t="str" cm="1">
        <f t="array" ref="C75">IF(COUNTIF(Chronologie[Datum],B75)=0,"","(")
&amp;TRANSPOSE(_xlfn._xlws.FILTER(Chronologie[ID],Chronologie[Datum]=B75,""))
&amp;IF(COUNTIF(Chronologie[Datum],B75)=0,"",") ")
&amp;TRANSPOSE(_xlfn._xlws.FILTER(Chronologie[Gegner],Chronologie[Datum]=B75,""))
&amp;IF(COUNTIF(Chronologie[Datum],B75)=0,""," [")
&amp;TRANSPOSE(_xlfn._xlws.FILTER(Chronologie[H/A],Chronologie[Datum]=B75,""))
&amp;IF(COUNTIF(Chronologie[Datum],B75)=0,"","]")
&amp;CHAR(10)
&amp;TRANSPOSE(_xlfn._xlws.FILTER(Chronologie[Startzeit],Chronologie[Datum]=B75,""))</f>
        <v xml:space="preserve">
</v>
      </c>
      <c r="D75" s="306"/>
      <c r="E75" s="306"/>
      <c r="F75" s="330"/>
      <c r="G75" s="310"/>
      <c r="H75" s="430"/>
    </row>
    <row r="76" spans="1:8" ht="31.2" x14ac:dyDescent="0.3">
      <c r="A76" s="429">
        <f t="shared" ref="A76" si="69">WEEKNUM(B76)</f>
        <v>20</v>
      </c>
      <c r="B76" s="317">
        <f t="shared" si="65"/>
        <v>46158</v>
      </c>
      <c r="C76" s="305" t="str" cm="1">
        <f t="array" ref="C76">IF(COUNTIF(Chronologie[Datum],B76)=0,"","(")
&amp;TRANSPOSE(_xlfn._xlws.FILTER(Chronologie[ID],Chronologie[Datum]=B76,""))
&amp;IF(COUNTIF(Chronologie[Datum],B76)=0,"",") ")
&amp;TRANSPOSE(_xlfn._xlws.FILTER(Chronologie[Gegner],Chronologie[Datum]=B76,""))
&amp;IF(COUNTIF(Chronologie[Datum],B76)=0,""," [")
&amp;TRANSPOSE(_xlfn._xlws.FILTER(Chronologie[H/A],Chronologie[Datum]=B76,""))
&amp;IF(COUNTIF(Chronologie[Datum],B76)=0,"","]")
&amp;CHAR(10)
&amp;TRANSPOSE(_xlfn._xlws.FILTER(Chronologie[Startzeit],Chronologie[Datum]=B76,""))</f>
        <v xml:space="preserve">
</v>
      </c>
      <c r="D76" s="305"/>
      <c r="E76" s="305"/>
      <c r="F76" s="329"/>
      <c r="G76" s="309"/>
      <c r="H76" s="429">
        <f t="shared" ref="H76" si="70">A76</f>
        <v>20</v>
      </c>
    </row>
    <row r="77" spans="1:8" ht="31.2" x14ac:dyDescent="0.3">
      <c r="A77" s="430"/>
      <c r="B77" s="318">
        <f t="shared" si="65"/>
        <v>46159</v>
      </c>
      <c r="C77" s="306" t="str" cm="1">
        <f t="array" ref="C77">IF(COUNTIF(Chronologie[Datum],B77)=0,"","(")
&amp;TRANSPOSE(_xlfn._xlws.FILTER(Chronologie[ID],Chronologie[Datum]=B77,""))
&amp;IF(COUNTIF(Chronologie[Datum],B77)=0,"",") ")
&amp;TRANSPOSE(_xlfn._xlws.FILTER(Chronologie[Gegner],Chronologie[Datum]=B77,""))
&amp;IF(COUNTIF(Chronologie[Datum],B77)=0,""," [")
&amp;TRANSPOSE(_xlfn._xlws.FILTER(Chronologie[H/A],Chronologie[Datum]=B77,""))
&amp;IF(COUNTIF(Chronologie[Datum],B77)=0,"","]")
&amp;CHAR(10)
&amp;TRANSPOSE(_xlfn._xlws.FILTER(Chronologie[Startzeit],Chronologie[Datum]=B77,""))</f>
        <v xml:space="preserve">
</v>
      </c>
      <c r="D77" s="306"/>
      <c r="E77" s="306"/>
      <c r="F77" s="330"/>
      <c r="G77" s="310"/>
      <c r="H77" s="430"/>
    </row>
    <row r="78" spans="1:8" ht="31.2" x14ac:dyDescent="0.3">
      <c r="A78" s="424">
        <f t="shared" ref="A78" si="71">WEEKNUM(B78)</f>
        <v>21</v>
      </c>
      <c r="B78" s="317">
        <f t="shared" si="65"/>
        <v>46165</v>
      </c>
      <c r="C78" s="305" t="str" cm="1">
        <f t="array" ref="C78">IF(COUNTIF(Chronologie[Datum],B78)=0,"","(")
&amp;TRANSPOSE(_xlfn._xlws.FILTER(Chronologie[ID],Chronologie[Datum]=B78,""))
&amp;IF(COUNTIF(Chronologie[Datum],B78)=0,"",") ")
&amp;TRANSPOSE(_xlfn._xlws.FILTER(Chronologie[Gegner],Chronologie[Datum]=B78,""))
&amp;IF(COUNTIF(Chronologie[Datum],B78)=0,""," [")
&amp;TRANSPOSE(_xlfn._xlws.FILTER(Chronologie[H/A],Chronologie[Datum]=B78,""))
&amp;IF(COUNTIF(Chronologie[Datum],B78)=0,"","]")
&amp;CHAR(10)
&amp;TRANSPOSE(_xlfn._xlws.FILTER(Chronologie[Startzeit],Chronologie[Datum]=B78,""))</f>
        <v xml:space="preserve">
</v>
      </c>
      <c r="D78" s="305"/>
      <c r="E78" s="305"/>
      <c r="F78" s="329"/>
      <c r="G78" s="309"/>
      <c r="H78" s="424">
        <f t="shared" ref="H78" si="72">A78</f>
        <v>21</v>
      </c>
    </row>
    <row r="79" spans="1:8" ht="31.2" x14ac:dyDescent="0.3">
      <c r="A79" s="424"/>
      <c r="B79" s="318">
        <f t="shared" si="65"/>
        <v>46166</v>
      </c>
      <c r="C79" s="306" t="str" cm="1">
        <f t="array" ref="C79">IF(COUNTIF(Chronologie[Datum],B79)=0,"","(")
&amp;TRANSPOSE(_xlfn._xlws.FILTER(Chronologie[ID],Chronologie[Datum]=B79,""))
&amp;IF(COUNTIF(Chronologie[Datum],B79)=0,"",") ")
&amp;TRANSPOSE(_xlfn._xlws.FILTER(Chronologie[Gegner],Chronologie[Datum]=B79,""))
&amp;IF(COUNTIF(Chronologie[Datum],B79)=0,""," [")
&amp;TRANSPOSE(_xlfn._xlws.FILTER(Chronologie[H/A],Chronologie[Datum]=B79,""))
&amp;IF(COUNTIF(Chronologie[Datum],B79)=0,"","]")
&amp;CHAR(10)
&amp;TRANSPOSE(_xlfn._xlws.FILTER(Chronologie[Startzeit],Chronologie[Datum]=B79,""))</f>
        <v xml:space="preserve">
</v>
      </c>
      <c r="D79" s="306"/>
      <c r="E79" s="306"/>
      <c r="F79" s="330"/>
      <c r="G79" s="310"/>
      <c r="H79" s="424"/>
    </row>
    <row r="80" spans="1:8" ht="31.2" hidden="1" x14ac:dyDescent="0.3">
      <c r="A80" s="424">
        <f t="shared" ref="A80" si="73">WEEKNUM(B80)</f>
        <v>22</v>
      </c>
      <c r="B80" s="317">
        <f t="shared" si="65"/>
        <v>46172</v>
      </c>
      <c r="C80" s="413" t="str" cm="1">
        <f t="array" ref="C80">IF(COUNTIF(Chronologie[Datum],B80)=0,"","(")
&amp;TRANSPOSE(_xlfn._xlws.FILTER(Chronologie[ID],Chronologie[Datum]=B80,""))
&amp;IF(COUNTIF(Chronologie[Datum],B80)=0,"",") ")
&amp;TRANSPOSE(_xlfn._xlws.FILTER(Chronologie[Gegner],Chronologie[Datum]=B80,""))
&amp;IF(COUNTIF(Chronologie[Datum],B80)=0,""," [")
&amp;TRANSPOSE(_xlfn._xlws.FILTER(Chronologie[H/A],Chronologie[Datum]=B80,""))
&amp;IF(COUNTIF(Chronologie[Datum],B80)=0,"","]")
&amp;CHAR(10)
&amp;TRANSPOSE(_xlfn._xlws.FILTER(Chronologie[Startzeit],Chronologie[Datum]=B80,""))</f>
        <v xml:space="preserve">
</v>
      </c>
      <c r="D80" s="305"/>
      <c r="E80" s="305"/>
      <c r="F80" s="329"/>
      <c r="G80" s="309"/>
      <c r="H80" s="424">
        <f t="shared" ref="H80" si="74">A80</f>
        <v>22</v>
      </c>
    </row>
    <row r="81" spans="1:8" ht="31.2" hidden="1" x14ac:dyDescent="0.3">
      <c r="A81" s="424"/>
      <c r="B81" s="318">
        <f t="shared" si="65"/>
        <v>46173</v>
      </c>
      <c r="C81" s="413" t="str" cm="1">
        <f t="array" ref="C81">IF(COUNTIF(Chronologie[Datum],B81)=0,"","(")
&amp;TRANSPOSE(_xlfn._xlws.FILTER(Chronologie[ID],Chronologie[Datum]=B81,""))
&amp;IF(COUNTIF(Chronologie[Datum],B81)=0,"",") ")
&amp;TRANSPOSE(_xlfn._xlws.FILTER(Chronologie[Gegner],Chronologie[Datum]=B81,""))
&amp;IF(COUNTIF(Chronologie[Datum],B81)=0,""," [")
&amp;TRANSPOSE(_xlfn._xlws.FILTER(Chronologie[H/A],Chronologie[Datum]=B81,""))
&amp;IF(COUNTIF(Chronologie[Datum],B81)=0,"","]")
&amp;CHAR(10)
&amp;TRANSPOSE(_xlfn._xlws.FILTER(Chronologie[Startzeit],Chronologie[Datum]=B81,""))</f>
        <v xml:space="preserve">
</v>
      </c>
      <c r="D81" s="306"/>
      <c r="E81" s="306"/>
      <c r="F81" s="330"/>
      <c r="G81" s="310"/>
      <c r="H81" s="424"/>
    </row>
    <row r="82" spans="1:8" ht="31.2" hidden="1" x14ac:dyDescent="0.3">
      <c r="A82" s="424">
        <f t="shared" ref="A82" si="75">WEEKNUM(B82)</f>
        <v>23</v>
      </c>
      <c r="B82" s="317">
        <f t="shared" si="65"/>
        <v>46179</v>
      </c>
      <c r="C82" s="413" t="str" cm="1">
        <f t="array" ref="C82">IF(COUNTIF(Chronologie[Datum],B82)=0,"","(")
&amp;TRANSPOSE(_xlfn._xlws.FILTER(Chronologie[ID],Chronologie[Datum]=B82,""))
&amp;IF(COUNTIF(Chronologie[Datum],B82)=0,"",") ")
&amp;TRANSPOSE(_xlfn._xlws.FILTER(Chronologie[Gegner],Chronologie[Datum]=B82,""))
&amp;IF(COUNTIF(Chronologie[Datum],B82)=0,""," [")
&amp;TRANSPOSE(_xlfn._xlws.FILTER(Chronologie[H/A],Chronologie[Datum]=B82,""))
&amp;IF(COUNTIF(Chronologie[Datum],B82)=0,"","]")
&amp;CHAR(10)
&amp;TRANSPOSE(_xlfn._xlws.FILTER(Chronologie[Startzeit],Chronologie[Datum]=B82,""))</f>
        <v xml:space="preserve">
</v>
      </c>
      <c r="D82" s="305"/>
      <c r="E82" s="305"/>
      <c r="F82" s="329"/>
      <c r="G82" s="309"/>
      <c r="H82" s="424">
        <f t="shared" ref="H82" si="76">A82</f>
        <v>23</v>
      </c>
    </row>
    <row r="83" spans="1:8" ht="31.2" hidden="1" x14ac:dyDescent="0.3">
      <c r="A83" s="424"/>
      <c r="B83" s="318">
        <f t="shared" si="65"/>
        <v>46180</v>
      </c>
      <c r="C83" s="413" t="str" cm="1">
        <f t="array" ref="C83">IF(COUNTIF(Chronologie[Datum],B83)=0,"","(")
&amp;TRANSPOSE(_xlfn._xlws.FILTER(Chronologie[ID],Chronologie[Datum]=B83,""))
&amp;IF(COUNTIF(Chronologie[Datum],B83)=0,"",") ")
&amp;TRANSPOSE(_xlfn._xlws.FILTER(Chronologie[Gegner],Chronologie[Datum]=B83,""))
&amp;IF(COUNTIF(Chronologie[Datum],B83)=0,""," [")
&amp;TRANSPOSE(_xlfn._xlws.FILTER(Chronologie[H/A],Chronologie[Datum]=B83,""))
&amp;IF(COUNTIF(Chronologie[Datum],B83)=0,"","]")
&amp;CHAR(10)
&amp;TRANSPOSE(_xlfn._xlws.FILTER(Chronologie[Startzeit],Chronologie[Datum]=B83,""))</f>
        <v xml:space="preserve">
</v>
      </c>
      <c r="D83" s="306"/>
      <c r="E83" s="306"/>
      <c r="F83" s="330"/>
      <c r="G83" s="310"/>
      <c r="H83" s="424"/>
    </row>
    <row r="84" spans="1:8" ht="31.2" hidden="1" x14ac:dyDescent="0.3">
      <c r="A84" s="424">
        <f t="shared" ref="A84" si="77">WEEKNUM(B84)</f>
        <v>24</v>
      </c>
      <c r="B84" s="317">
        <f t="shared" si="65"/>
        <v>46186</v>
      </c>
      <c r="C84" s="413" t="str" cm="1">
        <f t="array" ref="C84">IF(COUNTIF(Chronologie[Datum],B84)=0,"","(")
&amp;TRANSPOSE(_xlfn._xlws.FILTER(Chronologie[ID],Chronologie[Datum]=B84,""))
&amp;IF(COUNTIF(Chronologie[Datum],B84)=0,"",") ")
&amp;TRANSPOSE(_xlfn._xlws.FILTER(Chronologie[Gegner],Chronologie[Datum]=B84,""))
&amp;IF(COUNTIF(Chronologie[Datum],B84)=0,""," [")
&amp;TRANSPOSE(_xlfn._xlws.FILTER(Chronologie[H/A],Chronologie[Datum]=B84,""))
&amp;IF(COUNTIF(Chronologie[Datum],B84)=0,"","]")
&amp;CHAR(10)
&amp;TRANSPOSE(_xlfn._xlws.FILTER(Chronologie[Startzeit],Chronologie[Datum]=B84,""))</f>
        <v xml:space="preserve">
</v>
      </c>
      <c r="D84" s="305"/>
      <c r="E84" s="305"/>
      <c r="F84" s="329"/>
      <c r="G84" s="309"/>
      <c r="H84" s="424">
        <f t="shared" ref="H84" si="78">A84</f>
        <v>24</v>
      </c>
    </row>
    <row r="85" spans="1:8" ht="31.2" hidden="1" x14ac:dyDescent="0.3">
      <c r="A85" s="424"/>
      <c r="B85" s="318">
        <f t="shared" si="65"/>
        <v>46187</v>
      </c>
      <c r="C85" s="413" t="str" cm="1">
        <f t="array" ref="C85">IF(COUNTIF(Chronologie[Datum],B85)=0,"","(")
&amp;TRANSPOSE(_xlfn._xlws.FILTER(Chronologie[ID],Chronologie[Datum]=B85,""))
&amp;IF(COUNTIF(Chronologie[Datum],B85)=0,"",") ")
&amp;TRANSPOSE(_xlfn._xlws.FILTER(Chronologie[Gegner],Chronologie[Datum]=B85,""))
&amp;IF(COUNTIF(Chronologie[Datum],B85)=0,""," [")
&amp;TRANSPOSE(_xlfn._xlws.FILTER(Chronologie[H/A],Chronologie[Datum]=B85,""))
&amp;IF(COUNTIF(Chronologie[Datum],B85)=0,"","]")
&amp;CHAR(10)
&amp;TRANSPOSE(_xlfn._xlws.FILTER(Chronologie[Startzeit],Chronologie[Datum]=B85,""))</f>
        <v xml:space="preserve">
</v>
      </c>
      <c r="D85" s="306"/>
      <c r="E85" s="306"/>
      <c r="F85" s="330"/>
      <c r="G85" s="310"/>
      <c r="H85" s="424"/>
    </row>
    <row r="86" spans="1:8" ht="31.2" hidden="1" x14ac:dyDescent="0.3">
      <c r="A86" s="424">
        <f t="shared" ref="A86" si="79">WEEKNUM(B86)</f>
        <v>25</v>
      </c>
      <c r="B86" s="317">
        <f t="shared" si="65"/>
        <v>46193</v>
      </c>
      <c r="C86" s="413" t="str" cm="1">
        <f t="array" ref="C86">IF(COUNTIF(Chronologie[Datum],B86)=0,"","(")
&amp;TRANSPOSE(_xlfn._xlws.FILTER(Chronologie[ID],Chronologie[Datum]=B86,""))
&amp;IF(COUNTIF(Chronologie[Datum],B86)=0,"",") ")
&amp;TRANSPOSE(_xlfn._xlws.FILTER(Chronologie[Gegner],Chronologie[Datum]=B86,""))
&amp;IF(COUNTIF(Chronologie[Datum],B86)=0,""," [")
&amp;TRANSPOSE(_xlfn._xlws.FILTER(Chronologie[H/A],Chronologie[Datum]=B86,""))
&amp;IF(COUNTIF(Chronologie[Datum],B86)=0,"","]")
&amp;CHAR(10)
&amp;TRANSPOSE(_xlfn._xlws.FILTER(Chronologie[Startzeit],Chronologie[Datum]=B86,""))</f>
        <v xml:space="preserve">
</v>
      </c>
      <c r="D86" s="305"/>
      <c r="E86" s="305"/>
      <c r="F86" s="329"/>
      <c r="G86" s="309"/>
      <c r="H86" s="424">
        <f t="shared" ref="H86" si="80">A86</f>
        <v>25</v>
      </c>
    </row>
    <row r="87" spans="1:8" ht="31.8" hidden="1" thickBot="1" x14ac:dyDescent="0.35">
      <c r="A87" s="433"/>
      <c r="B87" s="319">
        <f t="shared" si="65"/>
        <v>46194</v>
      </c>
      <c r="C87" s="414" t="str" cm="1">
        <f t="array" ref="C87">IF(COUNTIF(Chronologie[Datum],B87)=0,"","(")
&amp;TRANSPOSE(_xlfn._xlws.FILTER(Chronologie[ID],Chronologie[Datum]=B87,""))
&amp;IF(COUNTIF(Chronologie[Datum],B87)=0,"",") ")
&amp;TRANSPOSE(_xlfn._xlws.FILTER(Chronologie[Gegner],Chronologie[Datum]=B87,""))
&amp;IF(COUNTIF(Chronologie[Datum],B87)=0,""," [")
&amp;TRANSPOSE(_xlfn._xlws.FILTER(Chronologie[H/A],Chronologie[Datum]=B87,""))
&amp;IF(COUNTIF(Chronologie[Datum],B87)=0,"","]")
&amp;CHAR(10)
&amp;TRANSPOSE(_xlfn._xlws.FILTER(Chronologie[Startzeit],Chronologie[Datum]=B87,""))</f>
        <v xml:space="preserve">
</v>
      </c>
      <c r="D87" s="311"/>
      <c r="E87" s="311"/>
      <c r="F87" s="331"/>
      <c r="G87" s="312"/>
      <c r="H87" s="424"/>
    </row>
  </sheetData>
  <mergeCells count="86">
    <mergeCell ref="A22:A23"/>
    <mergeCell ref="A28:A29"/>
    <mergeCell ref="A36:A37"/>
    <mergeCell ref="A2:A3"/>
    <mergeCell ref="A4:A5"/>
    <mergeCell ref="A6:A7"/>
    <mergeCell ref="A8:A9"/>
    <mergeCell ref="A20:A21"/>
    <mergeCell ref="A10:A11"/>
    <mergeCell ref="A12:A13"/>
    <mergeCell ref="A14:A15"/>
    <mergeCell ref="A16:A17"/>
    <mergeCell ref="A18:A19"/>
    <mergeCell ref="A30:A31"/>
    <mergeCell ref="A32:A33"/>
    <mergeCell ref="A34:A35"/>
    <mergeCell ref="A70:A71"/>
    <mergeCell ref="A48:A49"/>
    <mergeCell ref="A24:A25"/>
    <mergeCell ref="A26:A27"/>
    <mergeCell ref="A40:A41"/>
    <mergeCell ref="A42:A43"/>
    <mergeCell ref="A44:A45"/>
    <mergeCell ref="A46:A47"/>
    <mergeCell ref="A86:A87"/>
    <mergeCell ref="A74:A75"/>
    <mergeCell ref="A76:A77"/>
    <mergeCell ref="A78:A79"/>
    <mergeCell ref="A80:A81"/>
    <mergeCell ref="A82:A83"/>
    <mergeCell ref="H22:H23"/>
    <mergeCell ref="H24:H25"/>
    <mergeCell ref="H26:H27"/>
    <mergeCell ref="A84:A85"/>
    <mergeCell ref="C1:G1"/>
    <mergeCell ref="A72:A73"/>
    <mergeCell ref="A50:A51"/>
    <mergeCell ref="A52:A53"/>
    <mergeCell ref="A54:A55"/>
    <mergeCell ref="A56:A57"/>
    <mergeCell ref="A58:A59"/>
    <mergeCell ref="A60:A61"/>
    <mergeCell ref="A62:A63"/>
    <mergeCell ref="A64:A65"/>
    <mergeCell ref="A66:A67"/>
    <mergeCell ref="A68:A69"/>
    <mergeCell ref="H12:H13"/>
    <mergeCell ref="H14:H15"/>
    <mergeCell ref="H16:H17"/>
    <mergeCell ref="H18:H19"/>
    <mergeCell ref="H20:H21"/>
    <mergeCell ref="H2:H3"/>
    <mergeCell ref="H4:H5"/>
    <mergeCell ref="H6:H7"/>
    <mergeCell ref="H8:H9"/>
    <mergeCell ref="H10:H11"/>
    <mergeCell ref="H28:H29"/>
    <mergeCell ref="H36:H37"/>
    <mergeCell ref="H40:H41"/>
    <mergeCell ref="H42:H43"/>
    <mergeCell ref="H44:H45"/>
    <mergeCell ref="H30:H31"/>
    <mergeCell ref="H32:H33"/>
    <mergeCell ref="H34:H35"/>
    <mergeCell ref="H64:H65"/>
    <mergeCell ref="H46:H47"/>
    <mergeCell ref="H48:H49"/>
    <mergeCell ref="H50:H51"/>
    <mergeCell ref="H52:H53"/>
    <mergeCell ref="H54:H55"/>
    <mergeCell ref="H86:H87"/>
    <mergeCell ref="A38:H39"/>
    <mergeCell ref="H76:H77"/>
    <mergeCell ref="H78:H79"/>
    <mergeCell ref="H80:H81"/>
    <mergeCell ref="H82:H83"/>
    <mergeCell ref="H84:H85"/>
    <mergeCell ref="H66:H67"/>
    <mergeCell ref="H68:H69"/>
    <mergeCell ref="H70:H71"/>
    <mergeCell ref="H72:H73"/>
    <mergeCell ref="H74:H75"/>
    <mergeCell ref="H56:H57"/>
    <mergeCell ref="H58:H59"/>
    <mergeCell ref="H60:H61"/>
    <mergeCell ref="H62:H63"/>
  </mergeCells>
  <conditionalFormatting sqref="A2:H87">
    <cfRule type="containsBlanks" dxfId="436" priority="1">
      <formula>LEN(TRIM(A2))=0</formula>
    </cfRule>
  </conditionalFormatting>
  <pageMargins left="0" right="0" top="0" bottom="0" header="0" footer="0"/>
  <pageSetup paperSize="9" scale="46" fitToHeight="2" orientation="portrait" horizontalDpi="4294967293" verticalDpi="300" r:id="rId1"/>
  <rowBreaks count="1" manualBreakCount="1">
    <brk id="37"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CEB0-072A-459A-96FA-F58F83CE2519}">
  <sheetPr>
    <pageSetUpPr fitToPage="1"/>
  </sheetPr>
  <dimension ref="A1:AA46"/>
  <sheetViews>
    <sheetView workbookViewId="0">
      <selection activeCell="M18" sqref="M18"/>
    </sheetView>
  </sheetViews>
  <sheetFormatPr baseColWidth="10" defaultRowHeight="15.6" x14ac:dyDescent="0.3"/>
  <cols>
    <col min="1" max="1" width="21.88671875" style="271" bestFit="1" customWidth="1"/>
    <col min="2" max="2" width="6.6640625" style="98" hidden="1" customWidth="1"/>
    <col min="3" max="3" width="7.44140625" style="98" bestFit="1" customWidth="1"/>
    <col min="4" max="4" width="6.33203125" style="98" bestFit="1" customWidth="1"/>
    <col min="5" max="5" width="9" style="98" bestFit="1" customWidth="1"/>
    <col min="6" max="6" width="7.5546875" style="98" bestFit="1" customWidth="1"/>
    <col min="7" max="7" width="5.21875" style="275" bestFit="1" customWidth="1"/>
    <col min="8" max="8" width="4.88671875" style="98" bestFit="1" customWidth="1"/>
    <col min="9" max="9" width="6.77734375" style="98" bestFit="1" customWidth="1"/>
    <col min="10" max="10" width="4.5546875" style="98" bestFit="1" customWidth="1"/>
    <col min="11" max="11" width="5" style="98" bestFit="1" customWidth="1"/>
    <col min="12" max="13" width="4.88671875" style="98" bestFit="1" customWidth="1"/>
    <col min="14" max="17" width="6.77734375" style="273" bestFit="1" customWidth="1"/>
    <col min="18" max="18" width="15.77734375" style="98" bestFit="1" customWidth="1"/>
    <col min="19" max="19" width="10.5546875" style="98" bestFit="1" customWidth="1"/>
    <col min="20" max="20" width="8.33203125" style="98" bestFit="1" customWidth="1"/>
    <col min="21" max="21" width="5.5546875" style="98" bestFit="1" customWidth="1"/>
    <col min="22" max="22" width="10.88671875" style="98" hidden="1" customWidth="1"/>
    <col min="23" max="23" width="10.5546875" style="98" hidden="1" customWidth="1"/>
    <col min="24" max="24" width="11.21875" style="98" bestFit="1" customWidth="1"/>
    <col min="25" max="25" width="9.44140625" style="273" hidden="1" customWidth="1"/>
    <col min="26" max="26" width="15" style="98" customWidth="1"/>
    <col min="27" max="27" width="15.44140625" style="98" customWidth="1"/>
    <col min="28" max="28" width="12.44140625" style="98" customWidth="1"/>
    <col min="29" max="16384" width="11.5546875" style="98"/>
  </cols>
  <sheetData>
    <row r="1" spans="1:27" ht="16.2" thickBot="1" x14ac:dyDescent="0.35">
      <c r="A1" s="271" t="s">
        <v>119</v>
      </c>
      <c r="B1" s="164"/>
      <c r="C1" s="164"/>
      <c r="D1" s="164"/>
      <c r="E1" s="164"/>
      <c r="F1" s="164"/>
      <c r="G1" s="274"/>
      <c r="H1" s="164"/>
      <c r="I1" s="164"/>
      <c r="J1" s="164"/>
      <c r="K1" s="164"/>
      <c r="L1" s="164"/>
      <c r="M1" s="164"/>
      <c r="N1" s="169"/>
      <c r="O1" s="169"/>
      <c r="P1" s="169"/>
      <c r="Q1" s="169"/>
      <c r="R1" s="164"/>
      <c r="S1" s="164"/>
      <c r="T1" s="164"/>
      <c r="U1" s="164"/>
      <c r="V1" s="164"/>
      <c r="W1" s="164"/>
      <c r="X1" s="164"/>
      <c r="Y1" s="169"/>
      <c r="Z1" s="164"/>
      <c r="AA1" s="164"/>
    </row>
    <row r="2" spans="1:27" ht="46.8" x14ac:dyDescent="0.3">
      <c r="A2" s="415" t="s">
        <v>13</v>
      </c>
      <c r="B2" s="416" t="s">
        <v>0</v>
      </c>
      <c r="C2" s="416" t="s">
        <v>100</v>
      </c>
      <c r="D2" s="416" t="s">
        <v>21</v>
      </c>
      <c r="E2" s="416" t="s">
        <v>22</v>
      </c>
      <c r="F2" s="416" t="s">
        <v>23</v>
      </c>
      <c r="G2" s="417" t="s">
        <v>39</v>
      </c>
      <c r="H2" s="416" t="s">
        <v>24</v>
      </c>
      <c r="I2" s="416" t="s">
        <v>25</v>
      </c>
      <c r="J2" s="416" t="s">
        <v>32</v>
      </c>
      <c r="K2" s="416" t="s">
        <v>33</v>
      </c>
      <c r="L2" s="416" t="s">
        <v>34</v>
      </c>
      <c r="M2" s="416" t="s">
        <v>35</v>
      </c>
      <c r="N2" s="416" t="s">
        <v>612</v>
      </c>
      <c r="O2" s="416" t="s">
        <v>613</v>
      </c>
      <c r="P2" s="416" t="s">
        <v>614</v>
      </c>
      <c r="Q2" s="416" t="s">
        <v>615</v>
      </c>
      <c r="R2" s="416" t="s">
        <v>252</v>
      </c>
      <c r="S2" s="416" t="s">
        <v>451</v>
      </c>
      <c r="T2" s="416" t="s">
        <v>196</v>
      </c>
      <c r="U2" s="416" t="s">
        <v>454</v>
      </c>
      <c r="V2" s="416" t="s">
        <v>318</v>
      </c>
      <c r="W2" s="416" t="s">
        <v>319</v>
      </c>
      <c r="X2" s="416" t="s">
        <v>199</v>
      </c>
      <c r="Y2" s="418" t="s">
        <v>320</v>
      </c>
      <c r="Z2" s="419" t="s">
        <v>430</v>
      </c>
      <c r="AA2" s="419" t="str">
        <f>IF(A1="Heim","Lieblingsbahn","")</f>
        <v/>
      </c>
    </row>
    <row r="3" spans="1:27" x14ac:dyDescent="0.3">
      <c r="A3" s="420" t="str" cm="1">
        <f t="array" ref="A3:Z38">IF(A1="Gesamt",_xlfn._xlws.SORT(_xlfn.CHOOSECOLS(_xlfn._xlws.FILTER(AuswertungG[],AuswertungG[Spiele]&gt;0,""),1,2,3,5,6,7,8,9,10,11,12,13,14,15,16,17,18,19,20,21,22,23,24,25,26,27),7,-1,FALSE),IF(A1="Heim",_xlfn._xlws.SORT(_xlfn.CHOOSECOLS(_xlfn._xlws.FILTER(AuswertungH[],AuswertungH[Spiele H]&gt;0),1,2,3,5,6,7,8,9,10,11,12,13,14,15,16,17,18,19,20,21,22,23,24,25,26,27,28),7,-1,FALSE),IF(A1="Auswärts",_xlfn._xlws.SORT(_xlfn.CHOOSECOLS(_xlfn._xlws.FILTER(AuswertungA[],AuswertungA[Spiele A]&gt;0),1,2,3,5,6,7,8,9,10,11,12,13,14,15,16,17,18,19,20,21,22,23,24,25,26,27),7,-1,FALSE),"")))</f>
        <v>Philipp Paulmann</v>
      </c>
      <c r="B3" s="289" t="str">
        <v>E</v>
      </c>
      <c r="C3" s="289">
        <v>5</v>
      </c>
      <c r="D3" s="289">
        <v>368</v>
      </c>
      <c r="E3" s="289">
        <v>198</v>
      </c>
      <c r="F3" s="289">
        <v>4.5999999999999996</v>
      </c>
      <c r="G3" s="421">
        <v>566</v>
      </c>
      <c r="H3" s="289">
        <v>1.7</v>
      </c>
      <c r="I3" s="422">
        <v>0.4</v>
      </c>
      <c r="J3" s="289">
        <v>151</v>
      </c>
      <c r="K3" s="289">
        <v>142</v>
      </c>
      <c r="L3" s="289">
        <v>137</v>
      </c>
      <c r="M3" s="289">
        <v>134</v>
      </c>
      <c r="N3" s="422">
        <v>0.7</v>
      </c>
      <c r="O3" s="422">
        <v>0.6</v>
      </c>
      <c r="P3" s="422">
        <v>0.2</v>
      </c>
      <c r="Q3" s="422">
        <v>0.2</v>
      </c>
      <c r="R3" s="289">
        <v>-0.92</v>
      </c>
      <c r="S3" s="289">
        <v>-9.5399999999999991</v>
      </c>
      <c r="T3" s="289">
        <v>47</v>
      </c>
      <c r="U3" s="289">
        <v>574</v>
      </c>
      <c r="V3" s="289" t="str">
        <v>[6]</v>
      </c>
      <c r="W3" s="289">
        <v>3</v>
      </c>
      <c r="X3" s="289" t="str">
        <v>[5]</v>
      </c>
      <c r="Y3" s="422">
        <v>0.5</v>
      </c>
      <c r="Z3" s="423">
        <v>2.8</v>
      </c>
      <c r="AA3" s="289"/>
    </row>
    <row r="4" spans="1:27" x14ac:dyDescent="0.3">
      <c r="A4" s="420" t="str">
        <v>Maik Fuhrmann</v>
      </c>
      <c r="B4" s="289" t="str">
        <v>E</v>
      </c>
      <c r="C4" s="289">
        <v>8</v>
      </c>
      <c r="D4" s="289">
        <v>370</v>
      </c>
      <c r="E4" s="289">
        <v>191</v>
      </c>
      <c r="F4" s="289">
        <v>3.4</v>
      </c>
      <c r="G4" s="421">
        <v>561</v>
      </c>
      <c r="H4" s="289">
        <v>3.42</v>
      </c>
      <c r="I4" s="422">
        <v>1</v>
      </c>
      <c r="J4" s="289">
        <v>141</v>
      </c>
      <c r="K4" s="289">
        <v>138</v>
      </c>
      <c r="L4" s="289">
        <v>141</v>
      </c>
      <c r="M4" s="289">
        <v>146</v>
      </c>
      <c r="N4" s="422">
        <v>0.92</v>
      </c>
      <c r="O4" s="422">
        <v>0.83</v>
      </c>
      <c r="P4" s="422">
        <v>0.83</v>
      </c>
      <c r="Q4" s="422">
        <v>0.83</v>
      </c>
      <c r="R4" s="289">
        <v>1.2</v>
      </c>
      <c r="S4" s="289">
        <v>-8.7799999999999994</v>
      </c>
      <c r="T4" s="289">
        <v>39</v>
      </c>
      <c r="U4" s="289">
        <v>520</v>
      </c>
      <c r="V4" s="289" t="str">
        <v>[1][2]</v>
      </c>
      <c r="W4" s="289">
        <v>2</v>
      </c>
      <c r="X4" s="289" t="str">
        <v>[1][2][3][4]</v>
      </c>
      <c r="Y4" s="422">
        <v>1</v>
      </c>
      <c r="Z4" s="423">
        <v>2</v>
      </c>
      <c r="AA4" s="289"/>
    </row>
    <row r="5" spans="1:27" x14ac:dyDescent="0.3">
      <c r="A5" s="420" t="str">
        <v>Heiko Fuhrmann</v>
      </c>
      <c r="B5" s="289" t="str">
        <v>E</v>
      </c>
      <c r="C5" s="289">
        <v>6</v>
      </c>
      <c r="D5" s="289">
        <v>368</v>
      </c>
      <c r="E5" s="289">
        <v>179</v>
      </c>
      <c r="F5" s="289">
        <v>6.3</v>
      </c>
      <c r="G5" s="421">
        <v>547</v>
      </c>
      <c r="H5" s="289">
        <v>2.17</v>
      </c>
      <c r="I5" s="422">
        <v>0.33</v>
      </c>
      <c r="J5" s="289">
        <v>147</v>
      </c>
      <c r="K5" s="289">
        <v>130</v>
      </c>
      <c r="L5" s="289">
        <v>137</v>
      </c>
      <c r="M5" s="289">
        <v>133</v>
      </c>
      <c r="N5" s="422">
        <v>0.83</v>
      </c>
      <c r="O5" s="422">
        <v>0.5</v>
      </c>
      <c r="P5" s="422">
        <v>0.33</v>
      </c>
      <c r="Q5" s="422">
        <v>0.5</v>
      </c>
      <c r="R5" s="289">
        <v>3.43</v>
      </c>
      <c r="S5" s="289">
        <v>5.0199999999999996</v>
      </c>
      <c r="T5" s="289">
        <v>25</v>
      </c>
      <c r="U5" s="289">
        <v>552</v>
      </c>
      <c r="V5" s="289" t="str">
        <v>[5]</v>
      </c>
      <c r="W5" s="289">
        <v>3</v>
      </c>
      <c r="X5" s="289" t="str">
        <v>[5]</v>
      </c>
      <c r="Y5" s="422">
        <v>0.67</v>
      </c>
      <c r="Z5" s="423">
        <v>3.4</v>
      </c>
      <c r="AA5" s="289"/>
    </row>
    <row r="6" spans="1:27" x14ac:dyDescent="0.3">
      <c r="A6" s="420" t="str">
        <v>Tim Beger</v>
      </c>
      <c r="B6" s="289" t="str">
        <v>Z</v>
      </c>
      <c r="C6" s="289">
        <v>7</v>
      </c>
      <c r="D6" s="289">
        <v>368</v>
      </c>
      <c r="E6" s="289">
        <v>178</v>
      </c>
      <c r="F6" s="289">
        <v>7.6</v>
      </c>
      <c r="G6" s="421">
        <v>546</v>
      </c>
      <c r="H6" s="289">
        <v>1.9</v>
      </c>
      <c r="I6" s="422">
        <v>0.6</v>
      </c>
      <c r="J6" s="289">
        <v>142</v>
      </c>
      <c r="K6" s="289">
        <v>131</v>
      </c>
      <c r="L6" s="289">
        <v>130</v>
      </c>
      <c r="M6" s="289">
        <v>140</v>
      </c>
      <c r="N6" s="422">
        <v>0.8</v>
      </c>
      <c r="O6" s="422">
        <v>0.2</v>
      </c>
      <c r="P6" s="422">
        <v>0.4</v>
      </c>
      <c r="Q6" s="422">
        <v>0.5</v>
      </c>
      <c r="R6" s="289">
        <v>-2.37</v>
      </c>
      <c r="S6" s="289">
        <v>-19.86</v>
      </c>
      <c r="T6" s="289">
        <v>24</v>
      </c>
      <c r="U6" s="289">
        <v>543</v>
      </c>
      <c r="V6" s="289" t="str">
        <v>[6]</v>
      </c>
      <c r="W6" s="289">
        <v>2</v>
      </c>
      <c r="X6" s="289" t="str">
        <v>[2][3][5]</v>
      </c>
      <c r="Y6" s="422">
        <v>1</v>
      </c>
      <c r="Z6" s="423">
        <v>2.6</v>
      </c>
      <c r="AA6" s="289"/>
    </row>
    <row r="7" spans="1:27" x14ac:dyDescent="0.3">
      <c r="A7" s="420" t="str">
        <v>Stefan Teuber</v>
      </c>
      <c r="B7" s="289" t="str">
        <v>E</v>
      </c>
      <c r="C7" s="289">
        <v>5</v>
      </c>
      <c r="D7" s="289">
        <v>368</v>
      </c>
      <c r="E7" s="289">
        <v>177</v>
      </c>
      <c r="F7" s="289">
        <v>6.4</v>
      </c>
      <c r="G7" s="421">
        <v>545</v>
      </c>
      <c r="H7" s="289">
        <v>2.1</v>
      </c>
      <c r="I7" s="422">
        <v>0.4</v>
      </c>
      <c r="J7" s="289">
        <v>136</v>
      </c>
      <c r="K7" s="289">
        <v>138</v>
      </c>
      <c r="L7" s="289">
        <v>133</v>
      </c>
      <c r="M7" s="289">
        <v>138</v>
      </c>
      <c r="N7" s="422">
        <v>0.5</v>
      </c>
      <c r="O7" s="422">
        <v>0.8</v>
      </c>
      <c r="P7" s="422">
        <v>0.4</v>
      </c>
      <c r="Q7" s="422">
        <v>0.4</v>
      </c>
      <c r="R7" s="289">
        <v>2.4500000000000002</v>
      </c>
      <c r="S7" s="289">
        <v>3.98</v>
      </c>
      <c r="T7" s="289">
        <v>21</v>
      </c>
      <c r="U7" s="289">
        <v>551</v>
      </c>
      <c r="V7" s="289" t="str">
        <v>[2][4]</v>
      </c>
      <c r="W7" s="289">
        <v>2</v>
      </c>
      <c r="X7" s="289" t="str">
        <v>[1]</v>
      </c>
      <c r="Y7" s="422">
        <v>1</v>
      </c>
      <c r="Z7" s="423">
        <v>3</v>
      </c>
      <c r="AA7" s="289"/>
    </row>
    <row r="8" spans="1:27" x14ac:dyDescent="0.3">
      <c r="A8" s="420" t="str">
        <v>Patrick Frenzel</v>
      </c>
      <c r="B8" s="289" t="str">
        <v>D</v>
      </c>
      <c r="C8" s="289">
        <v>1</v>
      </c>
      <c r="D8" s="289">
        <v>351</v>
      </c>
      <c r="E8" s="289">
        <v>191</v>
      </c>
      <c r="F8" s="289">
        <v>12</v>
      </c>
      <c r="G8" s="421">
        <v>542</v>
      </c>
      <c r="H8" s="289">
        <v>2</v>
      </c>
      <c r="I8" s="422">
        <v>0</v>
      </c>
      <c r="J8" s="289">
        <v>140</v>
      </c>
      <c r="K8" s="289">
        <v>126</v>
      </c>
      <c r="L8" s="289">
        <v>130</v>
      </c>
      <c r="M8" s="289">
        <v>146</v>
      </c>
      <c r="N8" s="422">
        <v>1</v>
      </c>
      <c r="O8" s="422">
        <v>0</v>
      </c>
      <c r="P8" s="422">
        <v>0</v>
      </c>
      <c r="Q8" s="422">
        <v>1</v>
      </c>
      <c r="R8" s="289" t="str">
        <v/>
      </c>
      <c r="S8" s="289" t="str">
        <v/>
      </c>
      <c r="T8" s="289" t="str">
        <v/>
      </c>
      <c r="U8" s="289">
        <v>550</v>
      </c>
      <c r="V8" s="289" t="str">
        <v>[4]</v>
      </c>
      <c r="W8" s="289">
        <v>1</v>
      </c>
      <c r="X8" s="289" t="str">
        <v>[4]</v>
      </c>
      <c r="Y8" s="422">
        <v>0</v>
      </c>
      <c r="Z8" s="423">
        <v>1</v>
      </c>
      <c r="AA8" s="289"/>
    </row>
    <row r="9" spans="1:27" x14ac:dyDescent="0.3">
      <c r="A9" s="420" t="str">
        <v>Stefan Ulbricht</v>
      </c>
      <c r="B9" s="289" t="str">
        <v>Z</v>
      </c>
      <c r="C9" s="289">
        <v>4</v>
      </c>
      <c r="D9" s="289">
        <v>354</v>
      </c>
      <c r="E9" s="289">
        <v>188</v>
      </c>
      <c r="F9" s="289">
        <v>6.3</v>
      </c>
      <c r="G9" s="421">
        <v>542</v>
      </c>
      <c r="H9" s="289">
        <v>2.75</v>
      </c>
      <c r="I9" s="422">
        <v>0.75</v>
      </c>
      <c r="J9" s="289">
        <v>130</v>
      </c>
      <c r="K9" s="289">
        <v>134</v>
      </c>
      <c r="L9" s="289">
        <v>139</v>
      </c>
      <c r="M9" s="289">
        <v>138</v>
      </c>
      <c r="N9" s="422">
        <v>0.5</v>
      </c>
      <c r="O9" s="422">
        <v>0.75</v>
      </c>
      <c r="P9" s="422">
        <v>0.75</v>
      </c>
      <c r="Q9" s="422">
        <v>0.75</v>
      </c>
      <c r="R9" s="289">
        <v>-5.34</v>
      </c>
      <c r="S9" s="289">
        <v>-13.13</v>
      </c>
      <c r="T9" s="289">
        <v>51</v>
      </c>
      <c r="U9" s="289">
        <v>490</v>
      </c>
      <c r="V9" s="289" t="str">
        <v>[4]</v>
      </c>
      <c r="W9" s="289">
        <v>3</v>
      </c>
      <c r="X9" s="289" t="str">
        <v>[4]</v>
      </c>
      <c r="Y9" s="422">
        <v>1</v>
      </c>
      <c r="Z9" s="423">
        <v>3.8</v>
      </c>
      <c r="AA9" s="289"/>
    </row>
    <row r="10" spans="1:27" x14ac:dyDescent="0.3">
      <c r="A10" s="420" t="str">
        <v>Emma Hettmann</v>
      </c>
      <c r="B10" s="289" t="str">
        <v>U19</v>
      </c>
      <c r="C10" s="289">
        <v>8</v>
      </c>
      <c r="D10" s="289">
        <v>367</v>
      </c>
      <c r="E10" s="289">
        <v>172</v>
      </c>
      <c r="F10" s="289">
        <v>4.8</v>
      </c>
      <c r="G10" s="421">
        <v>540</v>
      </c>
      <c r="H10" s="289" t="str">
        <v/>
      </c>
      <c r="I10" s="422" t="str">
        <v/>
      </c>
      <c r="J10" s="289">
        <v>142</v>
      </c>
      <c r="K10" s="289">
        <v>134</v>
      </c>
      <c r="L10" s="289">
        <v>134</v>
      </c>
      <c r="M10" s="289">
        <v>131</v>
      </c>
      <c r="N10" s="422" t="str">
        <v/>
      </c>
      <c r="O10" s="422" t="str">
        <v/>
      </c>
      <c r="P10" s="422" t="str">
        <v/>
      </c>
      <c r="Q10" s="422" t="str">
        <v/>
      </c>
      <c r="R10" s="289">
        <v>-0.32</v>
      </c>
      <c r="S10" s="289">
        <v>-0.03</v>
      </c>
      <c r="T10" s="289">
        <v>20</v>
      </c>
      <c r="U10" s="289" t="str">
        <v/>
      </c>
      <c r="V10" s="289" t="str">
        <v/>
      </c>
      <c r="W10" s="289" t="str">
        <v/>
      </c>
      <c r="X10" s="289" t="str">
        <v/>
      </c>
      <c r="Y10" s="422" t="str">
        <v/>
      </c>
      <c r="Z10" s="423">
        <v>1.2</v>
      </c>
      <c r="AA10" s="289"/>
    </row>
    <row r="11" spans="1:27" x14ac:dyDescent="0.3">
      <c r="A11" s="420" t="str">
        <v>Uwe Zippack</v>
      </c>
      <c r="B11" s="289" t="str">
        <v>Z</v>
      </c>
      <c r="C11" s="289">
        <v>5</v>
      </c>
      <c r="D11" s="289">
        <v>357</v>
      </c>
      <c r="E11" s="289">
        <v>181</v>
      </c>
      <c r="F11" s="289">
        <v>4.4000000000000004</v>
      </c>
      <c r="G11" s="421">
        <v>538</v>
      </c>
      <c r="H11" s="289">
        <v>2.2000000000000002</v>
      </c>
      <c r="I11" s="422">
        <v>0.6</v>
      </c>
      <c r="J11" s="289">
        <v>139</v>
      </c>
      <c r="K11" s="289">
        <v>130</v>
      </c>
      <c r="L11" s="289">
        <v>129</v>
      </c>
      <c r="M11" s="289">
        <v>140</v>
      </c>
      <c r="N11" s="422">
        <v>0.6</v>
      </c>
      <c r="O11" s="422">
        <v>0.2</v>
      </c>
      <c r="P11" s="422">
        <v>0.6</v>
      </c>
      <c r="Q11" s="422">
        <v>0.8</v>
      </c>
      <c r="R11" s="289">
        <v>-3.24</v>
      </c>
      <c r="S11" s="289">
        <v>-6.07</v>
      </c>
      <c r="T11" s="289">
        <v>23</v>
      </c>
      <c r="U11" s="289">
        <v>539</v>
      </c>
      <c r="V11" s="289" t="str">
        <v>[2]</v>
      </c>
      <c r="W11" s="289">
        <v>2</v>
      </c>
      <c r="X11" s="289" t="str">
        <v>[4][6]</v>
      </c>
      <c r="Y11" s="422">
        <v>1</v>
      </c>
      <c r="Z11" s="423">
        <v>3</v>
      </c>
      <c r="AA11" s="289"/>
    </row>
    <row r="12" spans="1:27" x14ac:dyDescent="0.3">
      <c r="A12" s="420" t="str">
        <v>Erik Krutak</v>
      </c>
      <c r="B12" s="289" t="str">
        <v>Z</v>
      </c>
      <c r="C12" s="289">
        <v>7</v>
      </c>
      <c r="D12" s="289">
        <v>353</v>
      </c>
      <c r="E12" s="289">
        <v>181</v>
      </c>
      <c r="F12" s="289">
        <v>5.9</v>
      </c>
      <c r="G12" s="421">
        <v>534</v>
      </c>
      <c r="H12" s="289">
        <v>1.2</v>
      </c>
      <c r="I12" s="422">
        <v>0</v>
      </c>
      <c r="J12" s="289">
        <v>135</v>
      </c>
      <c r="K12" s="289">
        <v>127</v>
      </c>
      <c r="L12" s="289">
        <v>130</v>
      </c>
      <c r="M12" s="289">
        <v>142</v>
      </c>
      <c r="N12" s="422">
        <v>0.2</v>
      </c>
      <c r="O12" s="422">
        <v>0.2</v>
      </c>
      <c r="P12" s="422">
        <v>0</v>
      </c>
      <c r="Q12" s="422">
        <v>0.8</v>
      </c>
      <c r="R12" s="289">
        <v>-0.86</v>
      </c>
      <c r="S12" s="289">
        <v>-7.0000000000000007E-2</v>
      </c>
      <c r="T12" s="289">
        <v>21</v>
      </c>
      <c r="U12" s="289">
        <v>556</v>
      </c>
      <c r="V12" s="289" t="str">
        <v>[5]</v>
      </c>
      <c r="W12" s="289">
        <v>3</v>
      </c>
      <c r="X12" s="289" t="str">
        <v>[5][6]</v>
      </c>
      <c r="Y12" s="422">
        <v>0</v>
      </c>
      <c r="Z12" s="423">
        <v>4</v>
      </c>
      <c r="AA12" s="289"/>
    </row>
    <row r="13" spans="1:27" x14ac:dyDescent="0.3">
      <c r="A13" s="420" t="str">
        <v>Mario Hägemann</v>
      </c>
      <c r="B13" s="289" t="str">
        <v>Z</v>
      </c>
      <c r="C13" s="289">
        <v>5</v>
      </c>
      <c r="D13" s="289">
        <v>356</v>
      </c>
      <c r="E13" s="289">
        <v>176</v>
      </c>
      <c r="F13" s="289">
        <v>5.2</v>
      </c>
      <c r="G13" s="421">
        <v>532</v>
      </c>
      <c r="H13" s="289">
        <v>2.5</v>
      </c>
      <c r="I13" s="422">
        <v>0.8</v>
      </c>
      <c r="J13" s="289">
        <v>136</v>
      </c>
      <c r="K13" s="289">
        <v>132</v>
      </c>
      <c r="L13" s="289">
        <v>130</v>
      </c>
      <c r="M13" s="289">
        <v>133</v>
      </c>
      <c r="N13" s="422">
        <v>0.6</v>
      </c>
      <c r="O13" s="422">
        <v>0.6</v>
      </c>
      <c r="P13" s="422">
        <v>0.5</v>
      </c>
      <c r="Q13" s="422">
        <v>0.8</v>
      </c>
      <c r="R13" s="289">
        <v>0.37</v>
      </c>
      <c r="S13" s="289">
        <v>-4.21</v>
      </c>
      <c r="T13" s="289">
        <v>20</v>
      </c>
      <c r="U13" s="289">
        <v>519</v>
      </c>
      <c r="V13" s="289" t="str">
        <v>[1][3]</v>
      </c>
      <c r="W13" s="289">
        <v>2</v>
      </c>
      <c r="X13" s="289" t="str">
        <v>[1][3]</v>
      </c>
      <c r="Y13" s="422">
        <v>1</v>
      </c>
      <c r="Z13" s="423">
        <v>3.2</v>
      </c>
      <c r="AA13" s="289"/>
    </row>
    <row r="14" spans="1:27" x14ac:dyDescent="0.3">
      <c r="A14" s="420" t="str">
        <v>Olaf Kurtze</v>
      </c>
      <c r="B14" s="289" t="str">
        <v>Z</v>
      </c>
      <c r="C14" s="289">
        <v>4</v>
      </c>
      <c r="D14" s="289">
        <v>367</v>
      </c>
      <c r="E14" s="289">
        <v>165</v>
      </c>
      <c r="F14" s="289">
        <v>8.8000000000000007</v>
      </c>
      <c r="G14" s="421">
        <v>531</v>
      </c>
      <c r="H14" s="289">
        <v>1.75</v>
      </c>
      <c r="I14" s="422">
        <v>0.25</v>
      </c>
      <c r="J14" s="289">
        <v>133</v>
      </c>
      <c r="K14" s="289">
        <v>132</v>
      </c>
      <c r="L14" s="289">
        <v>128</v>
      </c>
      <c r="M14" s="289">
        <v>139</v>
      </c>
      <c r="N14" s="422">
        <v>0.5</v>
      </c>
      <c r="O14" s="422">
        <v>0.5</v>
      </c>
      <c r="P14" s="422">
        <v>0.25</v>
      </c>
      <c r="Q14" s="422">
        <v>0.5</v>
      </c>
      <c r="R14" s="289">
        <v>-2.14</v>
      </c>
      <c r="S14" s="289">
        <v>-7.66</v>
      </c>
      <c r="T14" s="289">
        <v>31</v>
      </c>
      <c r="U14" s="289">
        <v>543</v>
      </c>
      <c r="V14" s="289" t="str">
        <v>[1]</v>
      </c>
      <c r="W14" s="289">
        <v>3</v>
      </c>
      <c r="X14" s="289" t="str">
        <v>[1]</v>
      </c>
      <c r="Y14" s="422">
        <v>0.33</v>
      </c>
      <c r="Z14" s="423">
        <v>3.5</v>
      </c>
      <c r="AA14" s="289"/>
    </row>
    <row r="15" spans="1:27" x14ac:dyDescent="0.3">
      <c r="A15" s="420" t="str">
        <v>Peter Paulmann</v>
      </c>
      <c r="B15" s="289" t="str">
        <v>D</v>
      </c>
      <c r="C15" s="289">
        <v>4</v>
      </c>
      <c r="D15" s="289">
        <v>350</v>
      </c>
      <c r="E15" s="289">
        <v>176</v>
      </c>
      <c r="F15" s="289">
        <v>7</v>
      </c>
      <c r="G15" s="421">
        <v>527</v>
      </c>
      <c r="H15" s="289">
        <v>2.25</v>
      </c>
      <c r="I15" s="422">
        <v>0.5</v>
      </c>
      <c r="J15" s="289">
        <v>140</v>
      </c>
      <c r="K15" s="289">
        <v>127</v>
      </c>
      <c r="L15" s="289">
        <v>126</v>
      </c>
      <c r="M15" s="289">
        <v>138</v>
      </c>
      <c r="N15" s="422">
        <v>1</v>
      </c>
      <c r="O15" s="422">
        <v>0.5</v>
      </c>
      <c r="P15" s="422">
        <v>0.5</v>
      </c>
      <c r="Q15" s="422">
        <v>0.25</v>
      </c>
      <c r="R15" s="289">
        <v>3.51</v>
      </c>
      <c r="S15" s="289">
        <v>-4.29</v>
      </c>
      <c r="T15" s="289">
        <v>23</v>
      </c>
      <c r="U15" s="289">
        <v>511</v>
      </c>
      <c r="V15" s="289" t="str">
        <v>[5][6]</v>
      </c>
      <c r="W15" s="289">
        <v>1</v>
      </c>
      <c r="X15" s="289" t="str">
        <v>[6]</v>
      </c>
      <c r="Y15" s="422">
        <v>1</v>
      </c>
      <c r="Z15" s="423">
        <v>2.5</v>
      </c>
      <c r="AA15" s="289"/>
    </row>
    <row r="16" spans="1:27" x14ac:dyDescent="0.3">
      <c r="A16" s="420" t="str">
        <v>Tim Becker</v>
      </c>
      <c r="B16" s="289" t="str">
        <v>E</v>
      </c>
      <c r="C16" s="289">
        <v>3</v>
      </c>
      <c r="D16" s="289">
        <v>365</v>
      </c>
      <c r="E16" s="289">
        <v>162</v>
      </c>
      <c r="F16" s="289">
        <v>6.3</v>
      </c>
      <c r="G16" s="421">
        <v>527</v>
      </c>
      <c r="H16" s="289">
        <v>1.83</v>
      </c>
      <c r="I16" s="422">
        <v>0.33</v>
      </c>
      <c r="J16" s="289">
        <v>122</v>
      </c>
      <c r="K16" s="289">
        <v>138</v>
      </c>
      <c r="L16" s="289">
        <v>134</v>
      </c>
      <c r="M16" s="289">
        <v>133</v>
      </c>
      <c r="N16" s="422">
        <v>0.17</v>
      </c>
      <c r="O16" s="422">
        <v>0.67</v>
      </c>
      <c r="P16" s="422">
        <v>0.33</v>
      </c>
      <c r="Q16" s="422">
        <v>0.67</v>
      </c>
      <c r="R16" s="289">
        <v>2.5299999999999998</v>
      </c>
      <c r="S16" s="289">
        <v>2.5299999999999998</v>
      </c>
      <c r="T16" s="289">
        <v>23</v>
      </c>
      <c r="U16" s="289">
        <v>546</v>
      </c>
      <c r="V16" s="289" t="str">
        <v>[3]</v>
      </c>
      <c r="W16" s="289">
        <v>3</v>
      </c>
      <c r="X16" s="289" t="str">
        <v>[3]</v>
      </c>
      <c r="Y16" s="422">
        <v>0.33</v>
      </c>
      <c r="Z16" s="423">
        <v>4</v>
      </c>
      <c r="AA16" s="289"/>
    </row>
    <row r="17" spans="1:27" x14ac:dyDescent="0.3">
      <c r="A17" s="420" t="str">
        <v>Madlen Baumgarten</v>
      </c>
      <c r="B17" s="289" t="str">
        <v>F</v>
      </c>
      <c r="C17" s="289">
        <v>5</v>
      </c>
      <c r="D17" s="289">
        <v>353</v>
      </c>
      <c r="E17" s="289">
        <v>173</v>
      </c>
      <c r="F17" s="289">
        <v>7.4</v>
      </c>
      <c r="G17" s="421">
        <v>526</v>
      </c>
      <c r="H17" s="289">
        <v>2</v>
      </c>
      <c r="I17" s="422">
        <v>0.6</v>
      </c>
      <c r="J17" s="289">
        <v>131</v>
      </c>
      <c r="K17" s="289">
        <v>125</v>
      </c>
      <c r="L17" s="289">
        <v>141</v>
      </c>
      <c r="M17" s="289">
        <v>130</v>
      </c>
      <c r="N17" s="422">
        <v>0.6</v>
      </c>
      <c r="O17" s="422">
        <v>0.4</v>
      </c>
      <c r="P17" s="422">
        <v>0.6</v>
      </c>
      <c r="Q17" s="422">
        <v>0.4</v>
      </c>
      <c r="R17" s="289">
        <v>0.06</v>
      </c>
      <c r="S17" s="289">
        <v>-4.29</v>
      </c>
      <c r="T17" s="289">
        <v>21</v>
      </c>
      <c r="U17" s="289">
        <v>528</v>
      </c>
      <c r="V17" s="289" t="str">
        <v>[5]</v>
      </c>
      <c r="W17" s="289">
        <v>3</v>
      </c>
      <c r="X17" s="289" t="str">
        <v>[2]</v>
      </c>
      <c r="Y17" s="422">
        <v>1</v>
      </c>
      <c r="Z17" s="423">
        <v>2</v>
      </c>
      <c r="AA17" s="289"/>
    </row>
    <row r="18" spans="1:27" x14ac:dyDescent="0.3">
      <c r="A18" s="420" t="str">
        <v>Sylke Schmidt</v>
      </c>
      <c r="B18" s="289" t="str">
        <v>F</v>
      </c>
      <c r="C18" s="289">
        <v>4</v>
      </c>
      <c r="D18" s="289">
        <v>367</v>
      </c>
      <c r="E18" s="289">
        <v>158</v>
      </c>
      <c r="F18" s="289">
        <v>11</v>
      </c>
      <c r="G18" s="421">
        <v>524</v>
      </c>
      <c r="H18" s="289">
        <v>2.25</v>
      </c>
      <c r="I18" s="422">
        <v>0.75</v>
      </c>
      <c r="J18" s="289">
        <v>131</v>
      </c>
      <c r="K18" s="289">
        <v>138</v>
      </c>
      <c r="L18" s="289">
        <v>128</v>
      </c>
      <c r="M18" s="289">
        <v>127</v>
      </c>
      <c r="N18" s="422">
        <v>0.75</v>
      </c>
      <c r="O18" s="422">
        <v>0.5</v>
      </c>
      <c r="P18" s="422">
        <v>0.5</v>
      </c>
      <c r="Q18" s="422">
        <v>0.5</v>
      </c>
      <c r="R18" s="289">
        <v>2.68</v>
      </c>
      <c r="S18" s="289">
        <v>1.04</v>
      </c>
      <c r="T18" s="289">
        <v>24</v>
      </c>
      <c r="U18" s="289">
        <v>504</v>
      </c>
      <c r="V18" s="289" t="str">
        <v>[5][6]</v>
      </c>
      <c r="W18" s="289">
        <v>2</v>
      </c>
      <c r="X18" s="289" t="str">
        <v>[6]</v>
      </c>
      <c r="Y18" s="422">
        <v>1</v>
      </c>
      <c r="Z18" s="423">
        <v>3</v>
      </c>
      <c r="AA18" s="289"/>
    </row>
    <row r="19" spans="1:27" x14ac:dyDescent="0.3">
      <c r="A19" s="420" t="str">
        <v>Patrick Hohmann</v>
      </c>
      <c r="B19" s="289" t="str">
        <v>E</v>
      </c>
      <c r="C19" s="289">
        <v>6</v>
      </c>
      <c r="D19" s="289">
        <v>356</v>
      </c>
      <c r="E19" s="289">
        <v>164</v>
      </c>
      <c r="F19" s="289">
        <v>7.7</v>
      </c>
      <c r="G19" s="421">
        <v>520</v>
      </c>
      <c r="H19" s="289">
        <v>2</v>
      </c>
      <c r="I19" s="422">
        <v>0.38</v>
      </c>
      <c r="J19" s="289">
        <v>128</v>
      </c>
      <c r="K19" s="289">
        <v>137</v>
      </c>
      <c r="L19" s="289">
        <v>127</v>
      </c>
      <c r="M19" s="289">
        <v>130</v>
      </c>
      <c r="N19" s="422">
        <v>0.75</v>
      </c>
      <c r="O19" s="422">
        <v>0.5</v>
      </c>
      <c r="P19" s="422">
        <v>0.25</v>
      </c>
      <c r="Q19" s="422">
        <v>0.5</v>
      </c>
      <c r="R19" s="289">
        <v>-0.05</v>
      </c>
      <c r="S19" s="289">
        <v>-0.62</v>
      </c>
      <c r="T19" s="289">
        <v>21</v>
      </c>
      <c r="U19" s="289">
        <v>538</v>
      </c>
      <c r="V19" s="289" t="str">
        <v>[1][3][4][6]</v>
      </c>
      <c r="W19" s="289">
        <v>1</v>
      </c>
      <c r="X19" s="289" t="str">
        <v>[4]</v>
      </c>
      <c r="Y19" s="422">
        <v>1</v>
      </c>
      <c r="Z19" s="423">
        <v>4</v>
      </c>
      <c r="AA19" s="289"/>
    </row>
    <row r="20" spans="1:27" x14ac:dyDescent="0.3">
      <c r="A20" s="420" t="str">
        <v>Florian Jäger</v>
      </c>
      <c r="B20" s="289" t="str">
        <v>D</v>
      </c>
      <c r="C20" s="289">
        <v>1</v>
      </c>
      <c r="D20" s="289">
        <v>325</v>
      </c>
      <c r="E20" s="289">
        <v>186</v>
      </c>
      <c r="F20" s="289">
        <v>4</v>
      </c>
      <c r="G20" s="421">
        <v>511</v>
      </c>
      <c r="H20" s="289">
        <v>3</v>
      </c>
      <c r="I20" s="422">
        <v>1</v>
      </c>
      <c r="J20" s="289">
        <v>137</v>
      </c>
      <c r="K20" s="289">
        <v>134</v>
      </c>
      <c r="L20" s="289">
        <v>129</v>
      </c>
      <c r="M20" s="289">
        <v>111</v>
      </c>
      <c r="N20" s="422">
        <v>1</v>
      </c>
      <c r="O20" s="422">
        <v>1</v>
      </c>
      <c r="P20" s="422">
        <v>1</v>
      </c>
      <c r="Q20" s="422">
        <v>0</v>
      </c>
      <c r="R20" s="289" t="str">
        <v/>
      </c>
      <c r="S20" s="289" t="str">
        <v/>
      </c>
      <c r="T20" s="289" t="str">
        <v/>
      </c>
      <c r="U20" s="289">
        <v>481</v>
      </c>
      <c r="V20" s="289" t="str">
        <v>[6]</v>
      </c>
      <c r="W20" s="289">
        <v>1</v>
      </c>
      <c r="X20" s="289" t="str">
        <v>[6]</v>
      </c>
      <c r="Y20" s="422">
        <v>1</v>
      </c>
      <c r="Z20" s="423">
        <v>3</v>
      </c>
      <c r="AA20" s="289"/>
    </row>
    <row r="21" spans="1:27" x14ac:dyDescent="0.3">
      <c r="A21" s="420" t="str">
        <v>Heike Scholz</v>
      </c>
      <c r="B21" s="289" t="str">
        <v>F</v>
      </c>
      <c r="C21" s="289">
        <v>6</v>
      </c>
      <c r="D21" s="289">
        <v>348</v>
      </c>
      <c r="E21" s="289">
        <v>163</v>
      </c>
      <c r="F21" s="289">
        <v>8</v>
      </c>
      <c r="G21" s="421">
        <v>511</v>
      </c>
      <c r="H21" s="289">
        <v>1.75</v>
      </c>
      <c r="I21" s="422">
        <v>0.75</v>
      </c>
      <c r="J21" s="289">
        <v>131</v>
      </c>
      <c r="K21" s="289">
        <v>125</v>
      </c>
      <c r="L21" s="289">
        <v>123</v>
      </c>
      <c r="M21" s="289">
        <v>137</v>
      </c>
      <c r="N21" s="422">
        <v>0.5</v>
      </c>
      <c r="O21" s="422">
        <v>0.25</v>
      </c>
      <c r="P21" s="422">
        <v>0.25</v>
      </c>
      <c r="Q21" s="422">
        <v>0.75</v>
      </c>
      <c r="R21" s="289">
        <v>0.38</v>
      </c>
      <c r="S21" s="289">
        <v>9.57</v>
      </c>
      <c r="T21" s="289">
        <v>15</v>
      </c>
      <c r="U21" s="289">
        <v>527</v>
      </c>
      <c r="V21" s="289" t="str">
        <v>[4]</v>
      </c>
      <c r="W21" s="289">
        <v>3</v>
      </c>
      <c r="X21" s="289" t="str">
        <v>[3]</v>
      </c>
      <c r="Y21" s="422">
        <v>1</v>
      </c>
      <c r="Z21" s="423">
        <v>2.8</v>
      </c>
      <c r="AA21" s="289"/>
    </row>
    <row r="22" spans="1:27" x14ac:dyDescent="0.3">
      <c r="A22" s="420" t="str">
        <v>Katrin Fiedler</v>
      </c>
      <c r="B22" s="289" t="str">
        <v>F</v>
      </c>
      <c r="C22" s="289">
        <v>3</v>
      </c>
      <c r="D22" s="289">
        <v>358</v>
      </c>
      <c r="E22" s="289">
        <v>152</v>
      </c>
      <c r="F22" s="289">
        <v>11</v>
      </c>
      <c r="G22" s="421">
        <v>510</v>
      </c>
      <c r="H22" s="289">
        <v>1.67</v>
      </c>
      <c r="I22" s="422">
        <v>0.33</v>
      </c>
      <c r="J22" s="289">
        <v>129</v>
      </c>
      <c r="K22" s="289">
        <v>132</v>
      </c>
      <c r="L22" s="289">
        <v>125</v>
      </c>
      <c r="M22" s="289">
        <v>124</v>
      </c>
      <c r="N22" s="422">
        <v>0.33</v>
      </c>
      <c r="O22" s="422">
        <v>0.33</v>
      </c>
      <c r="P22" s="422">
        <v>0.33</v>
      </c>
      <c r="Q22" s="422">
        <v>0.67</v>
      </c>
      <c r="R22" s="289">
        <v>3.3</v>
      </c>
      <c r="S22" s="289">
        <v>3.3</v>
      </c>
      <c r="T22" s="289">
        <v>29</v>
      </c>
      <c r="U22" s="289">
        <v>535</v>
      </c>
      <c r="V22" s="289" t="str">
        <v>[6]</v>
      </c>
      <c r="W22" s="289">
        <v>2</v>
      </c>
      <c r="X22" s="289" t="str">
        <v>[6]</v>
      </c>
      <c r="Y22" s="422">
        <v>0.5</v>
      </c>
      <c r="Z22" s="423">
        <v>3.3</v>
      </c>
      <c r="AA22" s="289"/>
    </row>
    <row r="23" spans="1:27" x14ac:dyDescent="0.3">
      <c r="A23" s="420" t="str">
        <v>Andreas Rippin</v>
      </c>
      <c r="B23" s="289" t="str">
        <v>E</v>
      </c>
      <c r="C23" s="289">
        <v>4</v>
      </c>
      <c r="D23" s="289">
        <v>350</v>
      </c>
      <c r="E23" s="289">
        <v>159</v>
      </c>
      <c r="F23" s="289">
        <v>11.5</v>
      </c>
      <c r="G23" s="421">
        <v>509</v>
      </c>
      <c r="H23" s="289">
        <v>0.75</v>
      </c>
      <c r="I23" s="422">
        <v>0</v>
      </c>
      <c r="J23" s="289">
        <v>121</v>
      </c>
      <c r="K23" s="289">
        <v>130</v>
      </c>
      <c r="L23" s="289">
        <v>133</v>
      </c>
      <c r="M23" s="289">
        <v>126</v>
      </c>
      <c r="N23" s="422">
        <v>0.25</v>
      </c>
      <c r="O23" s="422">
        <v>0.25</v>
      </c>
      <c r="P23" s="422">
        <v>0.25</v>
      </c>
      <c r="Q23" s="422">
        <v>0</v>
      </c>
      <c r="R23" s="289">
        <v>6.17</v>
      </c>
      <c r="S23" s="289">
        <v>6.39</v>
      </c>
      <c r="T23" s="289">
        <v>41</v>
      </c>
      <c r="U23" s="289">
        <v>572</v>
      </c>
      <c r="V23" s="289" t="str">
        <v>[2]</v>
      </c>
      <c r="W23" s="289">
        <v>2</v>
      </c>
      <c r="X23" s="289" t="str">
        <v>[1][2][5]</v>
      </c>
      <c r="Y23" s="422">
        <v>0</v>
      </c>
      <c r="Z23" s="423">
        <v>5.3</v>
      </c>
      <c r="AA23" s="289"/>
    </row>
    <row r="24" spans="1:27" x14ac:dyDescent="0.3">
      <c r="A24" s="420" t="str">
        <v>Jens Starke</v>
      </c>
      <c r="B24" s="289" t="str">
        <v>D</v>
      </c>
      <c r="C24" s="289">
        <v>3</v>
      </c>
      <c r="D24" s="289">
        <v>346</v>
      </c>
      <c r="E24" s="289">
        <v>162</v>
      </c>
      <c r="F24" s="289">
        <v>7.7</v>
      </c>
      <c r="G24" s="421">
        <v>507</v>
      </c>
      <c r="H24" s="289">
        <v>1.5</v>
      </c>
      <c r="I24" s="422">
        <v>0.33</v>
      </c>
      <c r="J24" s="289">
        <v>120</v>
      </c>
      <c r="K24" s="289">
        <v>123</v>
      </c>
      <c r="L24" s="289">
        <v>130</v>
      </c>
      <c r="M24" s="289">
        <v>134</v>
      </c>
      <c r="N24" s="422">
        <v>0.33</v>
      </c>
      <c r="O24" s="422">
        <v>0.33</v>
      </c>
      <c r="P24" s="422">
        <v>0.5</v>
      </c>
      <c r="Q24" s="422">
        <v>0.33</v>
      </c>
      <c r="R24" s="289">
        <v>-2.11</v>
      </c>
      <c r="S24" s="289">
        <v>-2.11</v>
      </c>
      <c r="T24" s="289">
        <v>13</v>
      </c>
      <c r="U24" s="289">
        <v>520</v>
      </c>
      <c r="V24" s="289" t="str">
        <v>[1][3][4]</v>
      </c>
      <c r="W24" s="289">
        <v>1</v>
      </c>
      <c r="X24" s="289" t="str">
        <v>[4]</v>
      </c>
      <c r="Y24" s="422">
        <v>1</v>
      </c>
      <c r="Z24" s="423">
        <v>3.3</v>
      </c>
      <c r="AA24" s="289"/>
    </row>
    <row r="25" spans="1:27" x14ac:dyDescent="0.3">
      <c r="A25" s="420" t="str">
        <v>Anna Müller</v>
      </c>
      <c r="B25" s="289" t="str">
        <v>U19</v>
      </c>
      <c r="C25" s="289">
        <v>8</v>
      </c>
      <c r="D25" s="289">
        <v>349</v>
      </c>
      <c r="E25" s="289">
        <v>157</v>
      </c>
      <c r="F25" s="289">
        <v>9.6</v>
      </c>
      <c r="G25" s="421">
        <v>506</v>
      </c>
      <c r="H25" s="289" t="str">
        <v/>
      </c>
      <c r="I25" s="422" t="str">
        <v/>
      </c>
      <c r="J25" s="289">
        <v>127</v>
      </c>
      <c r="K25" s="289">
        <v>130</v>
      </c>
      <c r="L25" s="289">
        <v>119</v>
      </c>
      <c r="M25" s="289">
        <v>130</v>
      </c>
      <c r="N25" s="422" t="str">
        <v/>
      </c>
      <c r="O25" s="422" t="str">
        <v/>
      </c>
      <c r="P25" s="422" t="str">
        <v/>
      </c>
      <c r="Q25" s="422" t="str">
        <v/>
      </c>
      <c r="R25" s="289">
        <v>-0.54</v>
      </c>
      <c r="S25" s="289">
        <v>-0.61</v>
      </c>
      <c r="T25" s="289">
        <v>19</v>
      </c>
      <c r="U25" s="289" t="str">
        <v/>
      </c>
      <c r="V25" s="289" t="str">
        <v/>
      </c>
      <c r="W25" s="289" t="str">
        <v/>
      </c>
      <c r="X25" s="289" t="str">
        <v/>
      </c>
      <c r="Y25" s="422" t="str">
        <v/>
      </c>
      <c r="Z25" s="423">
        <v>2.2999999999999998</v>
      </c>
      <c r="AA25" s="289"/>
    </row>
    <row r="26" spans="1:27" x14ac:dyDescent="0.3">
      <c r="A26" s="420" t="str">
        <v>Cora Keller</v>
      </c>
      <c r="B26" s="289" t="str">
        <v>U19</v>
      </c>
      <c r="C26" s="289">
        <v>10</v>
      </c>
      <c r="D26" s="289">
        <v>348</v>
      </c>
      <c r="E26" s="289">
        <v>154</v>
      </c>
      <c r="F26" s="289">
        <v>11.6</v>
      </c>
      <c r="G26" s="421">
        <v>502</v>
      </c>
      <c r="H26" s="289">
        <v>2</v>
      </c>
      <c r="I26" s="422">
        <v>0.67</v>
      </c>
      <c r="J26" s="289">
        <v>130</v>
      </c>
      <c r="K26" s="289">
        <v>127</v>
      </c>
      <c r="L26" s="289">
        <v>122</v>
      </c>
      <c r="M26" s="289">
        <v>123</v>
      </c>
      <c r="N26" s="422">
        <v>0.33</v>
      </c>
      <c r="O26" s="422">
        <v>0.67</v>
      </c>
      <c r="P26" s="422">
        <v>0.67</v>
      </c>
      <c r="Q26" s="422">
        <v>0.33</v>
      </c>
      <c r="R26" s="289">
        <v>-0.12</v>
      </c>
      <c r="S26" s="289">
        <v>24.5</v>
      </c>
      <c r="T26" s="289">
        <v>33</v>
      </c>
      <c r="U26" s="289">
        <v>482</v>
      </c>
      <c r="V26" s="289" t="str">
        <v>[1][2][3]</v>
      </c>
      <c r="W26" s="289">
        <v>1</v>
      </c>
      <c r="X26" s="289" t="str">
        <v>[2][3]</v>
      </c>
      <c r="Y26" s="422">
        <v>1</v>
      </c>
      <c r="Z26" s="423">
        <v>2.6</v>
      </c>
      <c r="AA26" s="289"/>
    </row>
    <row r="27" spans="1:27" x14ac:dyDescent="0.3">
      <c r="A27" s="420" t="str">
        <v>Ulli Baumgarten</v>
      </c>
      <c r="B27" s="289" t="str">
        <v>D</v>
      </c>
      <c r="C27" s="289">
        <v>3</v>
      </c>
      <c r="D27" s="289">
        <v>361</v>
      </c>
      <c r="E27" s="289">
        <v>139</v>
      </c>
      <c r="F27" s="289">
        <v>10</v>
      </c>
      <c r="G27" s="421">
        <v>499</v>
      </c>
      <c r="H27" s="289">
        <v>2</v>
      </c>
      <c r="I27" s="422">
        <v>0.67</v>
      </c>
      <c r="J27" s="289">
        <v>122</v>
      </c>
      <c r="K27" s="289">
        <v>126</v>
      </c>
      <c r="L27" s="289">
        <v>128</v>
      </c>
      <c r="M27" s="289">
        <v>123</v>
      </c>
      <c r="N27" s="422">
        <v>0.33</v>
      </c>
      <c r="O27" s="422">
        <v>0.67</v>
      </c>
      <c r="P27" s="422">
        <v>0.67</v>
      </c>
      <c r="Q27" s="422">
        <v>0.33</v>
      </c>
      <c r="R27" s="289">
        <v>2.58</v>
      </c>
      <c r="S27" s="289">
        <v>2.58</v>
      </c>
      <c r="T27" s="289">
        <v>12</v>
      </c>
      <c r="U27" s="289">
        <v>499</v>
      </c>
      <c r="V27" s="289" t="str">
        <v>[2][3][5]</v>
      </c>
      <c r="W27" s="289">
        <v>1</v>
      </c>
      <c r="X27" s="289" t="str">
        <v>[2][3]</v>
      </c>
      <c r="Y27" s="422">
        <v>1</v>
      </c>
      <c r="Z27" s="423">
        <v>4.7</v>
      </c>
      <c r="AA27" s="289"/>
    </row>
    <row r="28" spans="1:27" x14ac:dyDescent="0.3">
      <c r="A28" s="420" t="str">
        <v>Peter Weißling</v>
      </c>
      <c r="B28" s="289" t="str">
        <v>D</v>
      </c>
      <c r="C28" s="289">
        <v>1</v>
      </c>
      <c r="D28" s="289">
        <v>342</v>
      </c>
      <c r="E28" s="289">
        <v>145</v>
      </c>
      <c r="F28" s="289">
        <v>8</v>
      </c>
      <c r="G28" s="421">
        <v>487</v>
      </c>
      <c r="H28" s="289">
        <v>2</v>
      </c>
      <c r="I28" s="422">
        <v>1</v>
      </c>
      <c r="J28" s="289">
        <v>113</v>
      </c>
      <c r="K28" s="289">
        <v>138</v>
      </c>
      <c r="L28" s="289">
        <v>130</v>
      </c>
      <c r="M28" s="289">
        <v>106</v>
      </c>
      <c r="N28" s="422">
        <v>0</v>
      </c>
      <c r="O28" s="422">
        <v>1</v>
      </c>
      <c r="P28" s="422">
        <v>1</v>
      </c>
      <c r="Q28" s="422">
        <v>0</v>
      </c>
      <c r="R28" s="289" t="str">
        <v/>
      </c>
      <c r="S28" s="289" t="str">
        <v/>
      </c>
      <c r="T28" s="289" t="str">
        <v/>
      </c>
      <c r="U28" s="289">
        <v>473</v>
      </c>
      <c r="V28" s="289" t="str">
        <v>[3]</v>
      </c>
      <c r="W28" s="289">
        <v>1</v>
      </c>
      <c r="X28" s="289" t="str">
        <v>[3]</v>
      </c>
      <c r="Y28" s="422">
        <v>1</v>
      </c>
      <c r="Z28" s="423">
        <v>5</v>
      </c>
      <c r="AA28" s="289"/>
    </row>
    <row r="29" spans="1:27" x14ac:dyDescent="0.3">
      <c r="A29" s="420" t="str">
        <v>Jörg Nötzel</v>
      </c>
      <c r="B29" s="289" t="str">
        <v>D</v>
      </c>
      <c r="C29" s="289">
        <v>3</v>
      </c>
      <c r="D29" s="289">
        <v>354</v>
      </c>
      <c r="E29" s="289">
        <v>130</v>
      </c>
      <c r="F29" s="289">
        <v>14.3</v>
      </c>
      <c r="G29" s="421">
        <v>484</v>
      </c>
      <c r="H29" s="289">
        <v>2</v>
      </c>
      <c r="I29" s="422">
        <v>0.5</v>
      </c>
      <c r="J29" s="289">
        <v>127</v>
      </c>
      <c r="K29" s="289">
        <v>124</v>
      </c>
      <c r="L29" s="289">
        <v>128</v>
      </c>
      <c r="M29" s="289">
        <v>128</v>
      </c>
      <c r="N29" s="422">
        <v>0.5</v>
      </c>
      <c r="O29" s="422">
        <v>0</v>
      </c>
      <c r="P29" s="422">
        <v>1</v>
      </c>
      <c r="Q29" s="422">
        <v>0.5</v>
      </c>
      <c r="R29" s="289">
        <v>-1.47</v>
      </c>
      <c r="S29" s="289">
        <v>-1.47</v>
      </c>
      <c r="T29" s="289">
        <v>30</v>
      </c>
      <c r="U29" s="289">
        <v>517</v>
      </c>
      <c r="V29" s="289" t="str">
        <v>[2][3]</v>
      </c>
      <c r="W29" s="289">
        <v>1</v>
      </c>
      <c r="X29" s="289" t="str">
        <v>[2]</v>
      </c>
      <c r="Y29" s="422">
        <v>1</v>
      </c>
      <c r="Z29" s="423">
        <v>5</v>
      </c>
      <c r="AA29" s="289"/>
    </row>
    <row r="30" spans="1:27" x14ac:dyDescent="0.3">
      <c r="A30" s="420" t="str">
        <v>Lea Meinert</v>
      </c>
      <c r="B30" s="289" t="str">
        <v>F</v>
      </c>
      <c r="C30" s="289">
        <v>5</v>
      </c>
      <c r="D30" s="289">
        <v>342</v>
      </c>
      <c r="E30" s="289">
        <v>142</v>
      </c>
      <c r="F30" s="289">
        <v>9</v>
      </c>
      <c r="G30" s="421">
        <v>483</v>
      </c>
      <c r="H30" s="289">
        <v>0.67</v>
      </c>
      <c r="I30" s="422">
        <v>0</v>
      </c>
      <c r="J30" s="289">
        <v>124</v>
      </c>
      <c r="K30" s="289">
        <v>118</v>
      </c>
      <c r="L30" s="289">
        <v>122</v>
      </c>
      <c r="M30" s="289">
        <v>119</v>
      </c>
      <c r="N30" s="422">
        <v>0</v>
      </c>
      <c r="O30" s="422">
        <v>0</v>
      </c>
      <c r="P30" s="422">
        <v>0.33</v>
      </c>
      <c r="Q30" s="422">
        <v>0.33</v>
      </c>
      <c r="R30" s="289">
        <v>1.1499999999999999</v>
      </c>
      <c r="S30" s="289">
        <v>6.14</v>
      </c>
      <c r="T30" s="289">
        <v>30</v>
      </c>
      <c r="U30" s="289">
        <v>507</v>
      </c>
      <c r="V30" s="289" t="str">
        <v>[1]</v>
      </c>
      <c r="W30" s="289">
        <v>2</v>
      </c>
      <c r="X30" s="289" t="str">
        <v>[1][2]</v>
      </c>
      <c r="Y30" s="422">
        <v>0</v>
      </c>
      <c r="Z30" s="423">
        <v>5.3</v>
      </c>
      <c r="AA30" s="289"/>
    </row>
    <row r="31" spans="1:27" x14ac:dyDescent="0.3">
      <c r="A31" s="420" t="str">
        <v>Marcel Giese</v>
      </c>
      <c r="B31" s="289" t="str">
        <v>D</v>
      </c>
      <c r="C31" s="289">
        <v>2</v>
      </c>
      <c r="D31" s="289">
        <v>338</v>
      </c>
      <c r="E31" s="289">
        <v>143</v>
      </c>
      <c r="F31" s="289">
        <v>16</v>
      </c>
      <c r="G31" s="421">
        <v>480</v>
      </c>
      <c r="H31" s="289">
        <v>2.5</v>
      </c>
      <c r="I31" s="422">
        <v>1</v>
      </c>
      <c r="J31" s="289">
        <v>112</v>
      </c>
      <c r="K31" s="289">
        <v>120</v>
      </c>
      <c r="L31" s="289">
        <v>118</v>
      </c>
      <c r="M31" s="289">
        <v>131</v>
      </c>
      <c r="N31" s="422">
        <v>0.5</v>
      </c>
      <c r="O31" s="422">
        <v>1</v>
      </c>
      <c r="P31" s="422">
        <v>0</v>
      </c>
      <c r="Q31" s="422">
        <v>1</v>
      </c>
      <c r="R31" s="289">
        <v>22</v>
      </c>
      <c r="S31" s="289">
        <v>22</v>
      </c>
      <c r="T31" s="289">
        <v>11</v>
      </c>
      <c r="U31" s="289">
        <v>490</v>
      </c>
      <c r="V31" s="289" t="str">
        <v>[1]</v>
      </c>
      <c r="W31" s="289">
        <v>1</v>
      </c>
      <c r="X31" s="289" t="str">
        <v>[1]</v>
      </c>
      <c r="Y31" s="422">
        <v>1</v>
      </c>
      <c r="Z31" s="423">
        <v>5</v>
      </c>
      <c r="AA31" s="289"/>
    </row>
    <row r="32" spans="1:27" x14ac:dyDescent="0.3">
      <c r="A32" s="420" t="str">
        <v>Pia Wätzig</v>
      </c>
      <c r="B32" s="289" t="str">
        <v>U19</v>
      </c>
      <c r="C32" s="289">
        <v>9</v>
      </c>
      <c r="D32" s="289">
        <v>331</v>
      </c>
      <c r="E32" s="289">
        <v>136</v>
      </c>
      <c r="F32" s="289">
        <v>15.2</v>
      </c>
      <c r="G32" s="421">
        <v>467</v>
      </c>
      <c r="H32" s="289">
        <v>0.5</v>
      </c>
      <c r="I32" s="422">
        <v>0</v>
      </c>
      <c r="J32" s="289">
        <v>119</v>
      </c>
      <c r="K32" s="289">
        <v>119</v>
      </c>
      <c r="L32" s="289">
        <v>112</v>
      </c>
      <c r="M32" s="289">
        <v>117</v>
      </c>
      <c r="N32" s="422">
        <v>0</v>
      </c>
      <c r="O32" s="422">
        <v>0</v>
      </c>
      <c r="P32" s="422">
        <v>0</v>
      </c>
      <c r="Q32" s="422">
        <v>0.5</v>
      </c>
      <c r="R32" s="289">
        <v>1.22</v>
      </c>
      <c r="S32" s="289">
        <v>24.5</v>
      </c>
      <c r="T32" s="289">
        <v>30</v>
      </c>
      <c r="U32" s="289">
        <v>539</v>
      </c>
      <c r="V32" s="289" t="str">
        <v>[1][3]</v>
      </c>
      <c r="W32" s="289">
        <v>1</v>
      </c>
      <c r="X32" s="289" t="str">
        <v>[1][3]</v>
      </c>
      <c r="Y32" s="422">
        <v>0</v>
      </c>
      <c r="Z32" s="423">
        <v>4</v>
      </c>
      <c r="AA32" s="289"/>
    </row>
    <row r="33" spans="1:27" x14ac:dyDescent="0.3">
      <c r="A33" s="420" t="str">
        <v>Katrin Keller</v>
      </c>
      <c r="B33" s="289" t="str">
        <v>F</v>
      </c>
      <c r="C33" s="289">
        <v>7</v>
      </c>
      <c r="D33" s="289">
        <v>328</v>
      </c>
      <c r="E33" s="289">
        <v>138</v>
      </c>
      <c r="F33" s="289">
        <v>11.6</v>
      </c>
      <c r="G33" s="421">
        <v>466</v>
      </c>
      <c r="H33" s="289">
        <v>1.7</v>
      </c>
      <c r="I33" s="422">
        <v>0.4</v>
      </c>
      <c r="J33" s="289">
        <v>120</v>
      </c>
      <c r="K33" s="289">
        <v>128</v>
      </c>
      <c r="L33" s="289">
        <v>119</v>
      </c>
      <c r="M33" s="289">
        <v>100</v>
      </c>
      <c r="N33" s="422">
        <v>0.4</v>
      </c>
      <c r="O33" s="422">
        <v>0.8</v>
      </c>
      <c r="P33" s="422">
        <v>0.4</v>
      </c>
      <c r="Q33" s="422">
        <v>0.1</v>
      </c>
      <c r="R33" s="289">
        <v>1.8</v>
      </c>
      <c r="S33" s="289">
        <v>27.14</v>
      </c>
      <c r="T33" s="289">
        <v>43</v>
      </c>
      <c r="U33" s="289">
        <v>509</v>
      </c>
      <c r="V33" s="289" t="str">
        <v>[2][3]</v>
      </c>
      <c r="W33" s="289">
        <v>2</v>
      </c>
      <c r="X33" s="289" t="str">
        <v>[2][3]</v>
      </c>
      <c r="Y33" s="422">
        <v>0.5</v>
      </c>
      <c r="Z33" s="423">
        <v>4.4000000000000004</v>
      </c>
      <c r="AA33" s="289"/>
    </row>
    <row r="34" spans="1:27" x14ac:dyDescent="0.3">
      <c r="A34" s="420" t="str">
        <v>Emelie Schiffel</v>
      </c>
      <c r="B34" s="289" t="str">
        <v>U14</v>
      </c>
      <c r="C34" s="289">
        <v>8</v>
      </c>
      <c r="D34" s="289">
        <v>302</v>
      </c>
      <c r="E34" s="289">
        <v>109</v>
      </c>
      <c r="F34" s="289">
        <v>23.1</v>
      </c>
      <c r="G34" s="421">
        <v>411</v>
      </c>
      <c r="H34" s="289" t="str">
        <v/>
      </c>
      <c r="I34" s="422" t="str">
        <v/>
      </c>
      <c r="J34" s="289">
        <v>104</v>
      </c>
      <c r="K34" s="289">
        <v>111</v>
      </c>
      <c r="L34" s="289">
        <v>95</v>
      </c>
      <c r="M34" s="289">
        <v>99</v>
      </c>
      <c r="N34" s="422" t="str">
        <v/>
      </c>
      <c r="O34" s="422" t="str">
        <v/>
      </c>
      <c r="P34" s="422" t="str">
        <v/>
      </c>
      <c r="Q34" s="422" t="str">
        <v/>
      </c>
      <c r="R34" s="289">
        <v>-0.83</v>
      </c>
      <c r="S34" s="289">
        <v>-2.42</v>
      </c>
      <c r="T34" s="289">
        <v>42</v>
      </c>
      <c r="U34" s="289" t="str">
        <v/>
      </c>
      <c r="V34" s="289" t="str">
        <v/>
      </c>
      <c r="W34" s="289" t="str">
        <v/>
      </c>
      <c r="X34" s="289" t="str">
        <v/>
      </c>
      <c r="Y34" s="422" t="str">
        <v/>
      </c>
      <c r="Z34" s="423">
        <v>2</v>
      </c>
      <c r="AA34" s="289"/>
    </row>
    <row r="35" spans="1:27" x14ac:dyDescent="0.3">
      <c r="A35" s="420" t="str">
        <v>Sophia Stirl</v>
      </c>
      <c r="B35" s="289" t="str">
        <v>U14</v>
      </c>
      <c r="C35" s="289">
        <v>6</v>
      </c>
      <c r="D35" s="289">
        <v>296</v>
      </c>
      <c r="E35" s="289">
        <v>95</v>
      </c>
      <c r="F35" s="289">
        <v>24.8</v>
      </c>
      <c r="G35" s="421">
        <v>391</v>
      </c>
      <c r="H35" s="289" t="str">
        <v/>
      </c>
      <c r="I35" s="422" t="str">
        <v/>
      </c>
      <c r="J35" s="289">
        <v>96</v>
      </c>
      <c r="K35" s="289">
        <v>101</v>
      </c>
      <c r="L35" s="289">
        <v>95</v>
      </c>
      <c r="M35" s="289">
        <v>99</v>
      </c>
      <c r="N35" s="422" t="str">
        <v/>
      </c>
      <c r="O35" s="422" t="str">
        <v/>
      </c>
      <c r="P35" s="422" t="str">
        <v/>
      </c>
      <c r="Q35" s="422" t="str">
        <v/>
      </c>
      <c r="R35" s="289">
        <v>1.61</v>
      </c>
      <c r="S35" s="289">
        <v>-2.76</v>
      </c>
      <c r="T35" s="289">
        <v>33</v>
      </c>
      <c r="U35" s="289" t="str">
        <v/>
      </c>
      <c r="V35" s="289" t="str">
        <v/>
      </c>
      <c r="W35" s="289" t="str">
        <v/>
      </c>
      <c r="X35" s="289" t="str">
        <v/>
      </c>
      <c r="Y35" s="422" t="str">
        <v/>
      </c>
      <c r="Z35" s="423">
        <v>2</v>
      </c>
      <c r="AA35" s="289"/>
    </row>
    <row r="36" spans="1:27" x14ac:dyDescent="0.3">
      <c r="A36" s="420" t="str">
        <v>Bruno Bergelt</v>
      </c>
      <c r="B36" s="289" t="str">
        <v>U14</v>
      </c>
      <c r="C36" s="289">
        <v>4</v>
      </c>
      <c r="D36" s="289">
        <v>285</v>
      </c>
      <c r="E36" s="289">
        <v>99</v>
      </c>
      <c r="F36" s="289">
        <v>22</v>
      </c>
      <c r="G36" s="421">
        <v>383</v>
      </c>
      <c r="H36" s="289" t="str">
        <v/>
      </c>
      <c r="I36" s="422" t="str">
        <v/>
      </c>
      <c r="J36" s="289">
        <v>99</v>
      </c>
      <c r="K36" s="289">
        <v>97</v>
      </c>
      <c r="L36" s="289">
        <v>90</v>
      </c>
      <c r="M36" s="289">
        <v>98</v>
      </c>
      <c r="N36" s="422" t="str">
        <v/>
      </c>
      <c r="O36" s="422" t="str">
        <v/>
      </c>
      <c r="P36" s="422" t="str">
        <v/>
      </c>
      <c r="Q36" s="422" t="str">
        <v/>
      </c>
      <c r="R36" s="289">
        <v>1.7</v>
      </c>
      <c r="S36" s="289">
        <v>3.62</v>
      </c>
      <c r="T36" s="289">
        <v>13</v>
      </c>
      <c r="U36" s="289" t="str">
        <v/>
      </c>
      <c r="V36" s="289" t="str">
        <v/>
      </c>
      <c r="W36" s="289" t="str">
        <v/>
      </c>
      <c r="X36" s="289" t="str">
        <v/>
      </c>
      <c r="Y36" s="422" t="str">
        <v/>
      </c>
      <c r="Z36" s="423">
        <v>2</v>
      </c>
      <c r="AA36" s="289"/>
    </row>
    <row r="37" spans="1:27" x14ac:dyDescent="0.3">
      <c r="A37" s="420" t="str">
        <v>Lisa Marutschke</v>
      </c>
      <c r="B37" s="289" t="str">
        <v>U14</v>
      </c>
      <c r="C37" s="289">
        <v>7</v>
      </c>
      <c r="D37" s="289">
        <v>274</v>
      </c>
      <c r="E37" s="289">
        <v>89</v>
      </c>
      <c r="F37" s="289">
        <v>28.4</v>
      </c>
      <c r="G37" s="421">
        <v>363</v>
      </c>
      <c r="H37" s="289" t="str">
        <v/>
      </c>
      <c r="I37" s="422" t="str">
        <v/>
      </c>
      <c r="J37" s="289">
        <v>82</v>
      </c>
      <c r="K37" s="289">
        <v>91</v>
      </c>
      <c r="L37" s="289">
        <v>92</v>
      </c>
      <c r="M37" s="289">
        <v>99</v>
      </c>
      <c r="N37" s="422" t="str">
        <v/>
      </c>
      <c r="O37" s="422" t="str">
        <v/>
      </c>
      <c r="P37" s="422" t="str">
        <v/>
      </c>
      <c r="Q37" s="422" t="str">
        <v/>
      </c>
      <c r="R37" s="289">
        <v>-0.44</v>
      </c>
      <c r="S37" s="289">
        <v>0.62</v>
      </c>
      <c r="T37" s="289">
        <v>25</v>
      </c>
      <c r="U37" s="289" t="str">
        <v/>
      </c>
      <c r="V37" s="289" t="str">
        <v/>
      </c>
      <c r="W37" s="289" t="str">
        <v/>
      </c>
      <c r="X37" s="289" t="str">
        <v/>
      </c>
      <c r="Y37" s="422" t="str">
        <v/>
      </c>
      <c r="Z37" s="423">
        <v>3</v>
      </c>
      <c r="AA37" s="289"/>
    </row>
    <row r="38" spans="1:27" x14ac:dyDescent="0.3">
      <c r="A38" s="271" t="str">
        <v>Ben Böhmer</v>
      </c>
      <c r="B38" s="164" t="str">
        <v>U14</v>
      </c>
      <c r="C38" s="164">
        <v>4</v>
      </c>
      <c r="D38" s="164">
        <v>249</v>
      </c>
      <c r="E38" s="164">
        <v>80</v>
      </c>
      <c r="F38" s="164">
        <v>34.799999999999997</v>
      </c>
      <c r="G38" s="274">
        <v>329</v>
      </c>
      <c r="H38" s="164" t="str">
        <v/>
      </c>
      <c r="I38" s="169" t="str">
        <v/>
      </c>
      <c r="J38" s="164">
        <v>85</v>
      </c>
      <c r="K38" s="164">
        <v>93</v>
      </c>
      <c r="L38" s="164">
        <v>68</v>
      </c>
      <c r="M38" s="164">
        <v>86</v>
      </c>
      <c r="N38" s="169" t="str">
        <v/>
      </c>
      <c r="O38" s="169" t="str">
        <v/>
      </c>
      <c r="P38" s="169" t="str">
        <v/>
      </c>
      <c r="Q38" s="169" t="str">
        <v/>
      </c>
      <c r="R38" s="164">
        <v>1.34</v>
      </c>
      <c r="S38" s="164">
        <v>0.21</v>
      </c>
      <c r="T38" s="164">
        <v>21</v>
      </c>
      <c r="U38" s="164" t="str">
        <v/>
      </c>
      <c r="V38" s="164" t="str">
        <v/>
      </c>
      <c r="W38" s="164" t="str">
        <v/>
      </c>
      <c r="X38" s="164" t="str">
        <v/>
      </c>
      <c r="Y38" s="169" t="str">
        <v/>
      </c>
      <c r="Z38" s="412">
        <v>3.5</v>
      </c>
      <c r="AA38" s="164"/>
    </row>
    <row r="39" spans="1:27" x14ac:dyDescent="0.3">
      <c r="B39" s="164"/>
      <c r="C39" s="164"/>
      <c r="D39" s="164"/>
      <c r="E39" s="164"/>
      <c r="F39" s="164"/>
      <c r="G39" s="274"/>
      <c r="H39" s="164"/>
      <c r="I39" s="169"/>
      <c r="J39" s="164"/>
      <c r="K39" s="164"/>
      <c r="L39" s="164"/>
      <c r="M39" s="164"/>
      <c r="N39" s="169"/>
      <c r="O39" s="169"/>
      <c r="P39" s="169"/>
      <c r="Q39" s="169"/>
      <c r="R39" s="164"/>
      <c r="S39" s="164"/>
      <c r="T39" s="164"/>
      <c r="U39" s="164"/>
      <c r="V39" s="164"/>
      <c r="W39" s="164"/>
      <c r="X39" s="164"/>
      <c r="Y39" s="169"/>
      <c r="Z39" s="412"/>
      <c r="AA39" s="164"/>
    </row>
    <row r="40" spans="1:27" x14ac:dyDescent="0.3">
      <c r="B40" s="164"/>
      <c r="C40" s="164"/>
      <c r="D40" s="164"/>
      <c r="E40" s="164"/>
      <c r="F40" s="164"/>
      <c r="G40" s="274"/>
      <c r="H40" s="164"/>
      <c r="I40" s="169"/>
      <c r="J40" s="164"/>
      <c r="K40" s="164"/>
      <c r="L40" s="164"/>
      <c r="M40" s="164"/>
      <c r="N40" s="169"/>
      <c r="O40" s="169"/>
      <c r="P40" s="169"/>
      <c r="Q40" s="169"/>
      <c r="R40" s="164"/>
      <c r="S40" s="164"/>
      <c r="T40" s="164"/>
      <c r="U40" s="164"/>
      <c r="V40" s="164"/>
      <c r="W40" s="164"/>
      <c r="X40" s="164"/>
      <c r="Y40" s="169"/>
      <c r="Z40" s="412"/>
      <c r="AA40" s="164"/>
    </row>
    <row r="41" spans="1:27" x14ac:dyDescent="0.3">
      <c r="B41" s="164"/>
      <c r="C41" s="164"/>
      <c r="D41" s="164"/>
      <c r="E41" s="164"/>
      <c r="F41" s="164"/>
      <c r="G41" s="274"/>
      <c r="H41" s="164"/>
      <c r="I41" s="169"/>
      <c r="J41" s="164"/>
      <c r="K41" s="164"/>
      <c r="L41" s="164"/>
      <c r="M41" s="164"/>
      <c r="N41" s="169"/>
      <c r="O41" s="169"/>
      <c r="P41" s="169"/>
      <c r="Q41" s="169"/>
      <c r="R41" s="164"/>
      <c r="S41" s="164"/>
      <c r="T41" s="164"/>
      <c r="U41" s="164"/>
      <c r="V41" s="164"/>
      <c r="W41" s="164"/>
      <c r="X41" s="164"/>
      <c r="Y41" s="169"/>
      <c r="Z41" s="412"/>
      <c r="AA41" s="164"/>
    </row>
    <row r="42" spans="1:27" x14ac:dyDescent="0.3">
      <c r="B42" s="164"/>
      <c r="C42" s="164"/>
      <c r="D42" s="164"/>
      <c r="E42" s="164"/>
      <c r="F42" s="164"/>
      <c r="G42" s="274"/>
      <c r="H42" s="164"/>
      <c r="I42" s="169"/>
      <c r="J42" s="164"/>
      <c r="K42" s="164"/>
      <c r="L42" s="164"/>
      <c r="M42" s="164"/>
      <c r="N42" s="169"/>
      <c r="O42" s="169"/>
      <c r="P42" s="169"/>
      <c r="Q42" s="169"/>
      <c r="R42" s="164"/>
      <c r="S42" s="164"/>
      <c r="T42" s="164"/>
      <c r="U42" s="164"/>
      <c r="V42" s="164"/>
      <c r="W42" s="164"/>
      <c r="X42" s="164"/>
      <c r="Y42" s="169"/>
      <c r="Z42" s="412"/>
      <c r="AA42" s="164"/>
    </row>
    <row r="43" spans="1:27" x14ac:dyDescent="0.3">
      <c r="B43" s="164"/>
      <c r="C43" s="164"/>
      <c r="D43" s="164"/>
      <c r="E43" s="164"/>
      <c r="F43" s="164"/>
      <c r="G43" s="274"/>
      <c r="H43" s="164"/>
      <c r="I43" s="169"/>
      <c r="J43" s="164"/>
      <c r="K43" s="164"/>
      <c r="L43" s="164"/>
      <c r="M43" s="164"/>
      <c r="N43" s="169"/>
      <c r="O43" s="169"/>
      <c r="P43" s="169"/>
      <c r="Q43" s="169"/>
      <c r="R43" s="164"/>
      <c r="S43" s="164"/>
      <c r="T43" s="164"/>
      <c r="U43" s="164"/>
      <c r="V43" s="164"/>
      <c r="W43" s="164"/>
      <c r="X43" s="164"/>
      <c r="Y43" s="169"/>
      <c r="Z43" s="164"/>
      <c r="AA43" s="164"/>
    </row>
    <row r="44" spans="1:27" x14ac:dyDescent="0.3">
      <c r="B44" s="164"/>
      <c r="C44" s="164"/>
      <c r="D44" s="164"/>
      <c r="E44" s="164"/>
      <c r="F44" s="164"/>
      <c r="G44" s="274"/>
      <c r="H44" s="164"/>
      <c r="I44" s="164"/>
      <c r="J44" s="164"/>
      <c r="K44" s="164"/>
      <c r="L44" s="164"/>
      <c r="M44" s="164"/>
      <c r="N44" s="169"/>
      <c r="O44" s="169"/>
      <c r="P44" s="169"/>
      <c r="Q44" s="169"/>
      <c r="R44" s="164"/>
      <c r="S44" s="164"/>
      <c r="T44" s="164"/>
      <c r="U44" s="164"/>
      <c r="V44" s="164"/>
      <c r="W44" s="164"/>
      <c r="X44" s="164"/>
      <c r="Y44" s="169"/>
      <c r="Z44" s="164"/>
      <c r="AA44" s="164"/>
    </row>
    <row r="45" spans="1:27" x14ac:dyDescent="0.3">
      <c r="B45" s="164"/>
      <c r="C45" s="164"/>
      <c r="D45" s="164"/>
      <c r="E45" s="164"/>
      <c r="F45" s="164"/>
      <c r="G45" s="274"/>
      <c r="H45" s="164"/>
      <c r="I45" s="164"/>
      <c r="J45" s="164"/>
      <c r="K45" s="164"/>
      <c r="L45" s="164"/>
      <c r="M45" s="164"/>
      <c r="N45" s="169"/>
      <c r="O45" s="169"/>
      <c r="P45" s="169"/>
      <c r="Q45" s="169"/>
      <c r="R45" s="164"/>
      <c r="S45" s="164"/>
      <c r="T45" s="164"/>
      <c r="U45" s="164"/>
      <c r="V45" s="164"/>
      <c r="W45" s="164"/>
      <c r="X45" s="164"/>
      <c r="Y45" s="169"/>
      <c r="Z45" s="164"/>
      <c r="AA45" s="164"/>
    </row>
    <row r="46" spans="1:27" x14ac:dyDescent="0.3">
      <c r="B46" s="164"/>
      <c r="C46" s="164"/>
      <c r="D46" s="164"/>
      <c r="E46" s="164"/>
      <c r="F46" s="164"/>
      <c r="G46" s="274"/>
      <c r="H46" s="164"/>
      <c r="I46" s="164"/>
      <c r="J46" s="164"/>
      <c r="K46" s="164"/>
      <c r="L46" s="164"/>
      <c r="M46" s="164"/>
      <c r="N46" s="169"/>
      <c r="O46" s="169"/>
      <c r="P46" s="169"/>
      <c r="Q46" s="169"/>
      <c r="R46" s="164"/>
      <c r="S46" s="164"/>
      <c r="T46" s="164"/>
      <c r="U46" s="164"/>
      <c r="V46" s="164"/>
      <c r="W46" s="164"/>
      <c r="X46" s="164"/>
      <c r="Y46" s="169"/>
      <c r="Z46" s="164"/>
      <c r="AA46" s="164"/>
    </row>
  </sheetData>
  <phoneticPr fontId="1" type="noConversion"/>
  <conditionalFormatting sqref="A3:AA103">
    <cfRule type="expression" dxfId="435" priority="8">
      <formula>$B3="E"</formula>
    </cfRule>
    <cfRule type="expression" dxfId="434" priority="9">
      <formula>$B3="Z"</formula>
    </cfRule>
    <cfRule type="expression" dxfId="433" priority="10">
      <formula>$B3="D"</formula>
    </cfRule>
    <cfRule type="expression" dxfId="432" priority="11">
      <formula>$B3="F"</formula>
    </cfRule>
    <cfRule type="expression" dxfId="431" priority="12">
      <formula>$B3="U14"</formula>
    </cfRule>
  </conditionalFormatting>
  <dataValidations count="1">
    <dataValidation type="list" allowBlank="1" showInputMessage="1" showErrorMessage="1" sqref="A1" xr:uid="{781BCC0F-AD74-4098-9D3B-DA1847803287}">
      <formula1>"Gesamt, Heim, Auswärts"</formula1>
    </dataValidation>
  </dataValidations>
  <pageMargins left="0.7" right="0.7" top="0.78740157499999996" bottom="0.78740157499999996" header="0.3" footer="0.3"/>
  <pageSetup paperSize="9" scale="63" orientation="landscape" horizontalDpi="4294967293" verticalDpi="0" r:id="rId1"/>
  <extLst>
    <ext xmlns:x14="http://schemas.microsoft.com/office/spreadsheetml/2009/9/main" uri="{78C0D931-6437-407d-A8EE-F0AAD7539E65}">
      <x14:conditionalFormattings>
        <x14:conditionalFormatting xmlns:xm="http://schemas.microsoft.com/office/excel/2006/main">
          <x14:cfRule type="iconSet" priority="1" id="{69F6CA19-859D-447E-B74A-F5797494C15B}">
            <x14:iconSet custom="1">
              <x14:cfvo type="percent">
                <xm:f>0</xm:f>
              </x14:cfvo>
              <x14:cfvo type="num">
                <xm:f>0</xm:f>
              </x14:cfvo>
              <x14:cfvo type="num" gte="0">
                <xm:f>0</xm:f>
              </x14:cfvo>
              <x14:cfIcon iconSet="3Arrows" iconId="0"/>
              <x14:cfIcon iconSet="NoIcons" iconId="0"/>
              <x14:cfIcon iconSet="3Arrows" iconId="2"/>
            </x14:iconSet>
          </x14:cfRule>
          <xm:sqref>R3:S105</xm:sqref>
        </x14:conditionalFormatting>
      </x14:conditionalFormattings>
    </ext>
    <ext xmlns:x14="http://schemas.microsoft.com/office/spreadsheetml/2009/9/main" uri="{05C60535-1F16-4fd2-B633-F4F36F0B64E0}">
      <x14:sparklineGroups xmlns:xm="http://schemas.microsoft.com/office/excel/2006/main">
        <x14:sparklineGroup displayEmptyCellsAs="gap" markers="1" high="1" low="1" xr2:uid="{B4DEB0D8-AD94-4832-8AA8-53CAB524458E}">
          <x14:colorSeries rgb="FF323232"/>
          <x14:colorNegative rgb="FFFF0000"/>
          <x14:colorAxis rgb="FF000000"/>
          <x14:colorMarkers theme="1"/>
          <x14:colorFirst rgb="FFD00000"/>
          <x14:colorLast rgb="FFD00000"/>
          <x14:colorHigh rgb="FF00B050"/>
          <x14:colorLow rgb="FFFF0000"/>
          <x14:sparklines>
            <x14:sparkline>
              <xm:f>Export!J3:M3</xm:f>
              <xm:sqref>AB3</xm:sqref>
            </x14:sparkline>
            <x14:sparkline>
              <xm:f>Export!J4:M4</xm:f>
              <xm:sqref>AB4</xm:sqref>
            </x14:sparkline>
            <x14:sparkline>
              <xm:f>Export!J5:M5</xm:f>
              <xm:sqref>AB5</xm:sqref>
            </x14:sparkline>
            <x14:sparkline>
              <xm:f>Export!J6:M6</xm:f>
              <xm:sqref>AB6</xm:sqref>
            </x14:sparkline>
            <x14:sparkline>
              <xm:f>Export!J7:M7</xm:f>
              <xm:sqref>AB7</xm:sqref>
            </x14:sparkline>
            <x14:sparkline>
              <xm:f>Export!J8:M8</xm:f>
              <xm:sqref>AB8</xm:sqref>
            </x14:sparkline>
            <x14:sparkline>
              <xm:f>Export!J9:M9</xm:f>
              <xm:sqref>AB9</xm:sqref>
            </x14:sparkline>
            <x14:sparkline>
              <xm:f>Export!J10:M10</xm:f>
              <xm:sqref>AB10</xm:sqref>
            </x14:sparkline>
            <x14:sparkline>
              <xm:f>Export!J11:M11</xm:f>
              <xm:sqref>AB11</xm:sqref>
            </x14:sparkline>
            <x14:sparkline>
              <xm:f>Export!J12:M12</xm:f>
              <xm:sqref>AB12</xm:sqref>
            </x14:sparkline>
            <x14:sparkline>
              <xm:f>Export!J13:M13</xm:f>
              <xm:sqref>AB13</xm:sqref>
            </x14:sparkline>
            <x14:sparkline>
              <xm:f>Export!J14:M14</xm:f>
              <xm:sqref>AB14</xm:sqref>
            </x14:sparkline>
            <x14:sparkline>
              <xm:f>Export!J15:M15</xm:f>
              <xm:sqref>AB15</xm:sqref>
            </x14:sparkline>
            <x14:sparkline>
              <xm:f>Export!J16:M16</xm:f>
              <xm:sqref>AB16</xm:sqref>
            </x14:sparkline>
            <x14:sparkline>
              <xm:f>Export!J17:M17</xm:f>
              <xm:sqref>AB17</xm:sqref>
            </x14:sparkline>
            <x14:sparkline>
              <xm:f>Export!J18:M18</xm:f>
              <xm:sqref>AB18</xm:sqref>
            </x14:sparkline>
            <x14:sparkline>
              <xm:f>Export!J19:M19</xm:f>
              <xm:sqref>AB19</xm:sqref>
            </x14:sparkline>
            <x14:sparkline>
              <xm:f>Export!J20:M20</xm:f>
              <xm:sqref>AB20</xm:sqref>
            </x14:sparkline>
            <x14:sparkline>
              <xm:f>Export!J21:M21</xm:f>
              <xm:sqref>AB21</xm:sqref>
            </x14:sparkline>
            <x14:sparkline>
              <xm:f>Export!J22:M22</xm:f>
              <xm:sqref>AB22</xm:sqref>
            </x14:sparkline>
            <x14:sparkline>
              <xm:f>Export!J23:M23</xm:f>
              <xm:sqref>AB23</xm:sqref>
            </x14:sparkline>
            <x14:sparkline>
              <xm:f>Export!J24:M24</xm:f>
              <xm:sqref>AB24</xm:sqref>
            </x14:sparkline>
            <x14:sparkline>
              <xm:f>Export!J25:M25</xm:f>
              <xm:sqref>AB25</xm:sqref>
            </x14:sparkline>
            <x14:sparkline>
              <xm:f>Export!J26:M26</xm:f>
              <xm:sqref>AB26</xm:sqref>
            </x14:sparkline>
            <x14:sparkline>
              <xm:f>Export!J27:M27</xm:f>
              <xm:sqref>AB27</xm:sqref>
            </x14:sparkline>
            <x14:sparkline>
              <xm:f>Export!J28:M28</xm:f>
              <xm:sqref>AB28</xm:sqref>
            </x14:sparkline>
            <x14:sparkline>
              <xm:f>Export!J29:M29</xm:f>
              <xm:sqref>AB29</xm:sqref>
            </x14:sparkline>
            <x14:sparkline>
              <xm:f>Export!J30:M30</xm:f>
              <xm:sqref>AB30</xm:sqref>
            </x14:sparkline>
            <x14:sparkline>
              <xm:f>Export!J31:M31</xm:f>
              <xm:sqref>AB31</xm:sqref>
            </x14:sparkline>
            <x14:sparkline>
              <xm:f>Export!J32:M32</xm:f>
              <xm:sqref>AB32</xm:sqref>
            </x14:sparkline>
            <x14:sparkline>
              <xm:f>Export!J33:M33</xm:f>
              <xm:sqref>AB33</xm:sqref>
            </x14:sparkline>
            <x14:sparkline>
              <xm:f>Export!J34:M34</xm:f>
              <xm:sqref>AB34</xm:sqref>
            </x14:sparkline>
            <x14:sparkline>
              <xm:f>Export!J35:M35</xm:f>
              <xm:sqref>AB35</xm:sqref>
            </x14:sparkline>
            <x14:sparkline>
              <xm:f>Export!J36:M36</xm:f>
              <xm:sqref>AB36</xm:sqref>
            </x14:sparkline>
            <x14:sparkline>
              <xm:f>Export!J37:M37</xm:f>
              <xm:sqref>AB37</xm:sqref>
            </x14:sparkline>
            <x14:sparkline>
              <xm:f>Export!J38:M38</xm:f>
              <xm:sqref>AB38</xm:sqref>
            </x14:sparkline>
            <x14:sparkline>
              <xm:f>Export!J39:M39</xm:f>
              <xm:sqref>AB39</xm:sqref>
            </x14:sparkline>
            <x14:sparkline>
              <xm:f>Export!J40:M40</xm:f>
              <xm:sqref>AB40</xm:sqref>
            </x14:sparkline>
            <x14:sparkline>
              <xm:f>Export!J41:M41</xm:f>
              <xm:sqref>AB41</xm:sqref>
            </x14:sparkline>
            <x14:sparkline>
              <xm:f>Export!J42:M42</xm:f>
              <xm:sqref>AB42</xm:sqref>
            </x14:sparkline>
            <x14:sparkline>
              <xm:f>Export!J43:M43</xm:f>
              <xm:sqref>AB43</xm:sqref>
            </x14:sparkline>
            <x14:sparkline>
              <xm:f>Export!J44:M44</xm:f>
              <xm:sqref>AB44</xm:sqref>
            </x14:sparkline>
            <x14:sparkline>
              <xm:f>Export!J45:M45</xm:f>
              <xm:sqref>AB45</xm:sqref>
            </x14:sparkline>
            <x14:sparkline>
              <xm:f>Export!J46:M46</xm:f>
              <xm:sqref>AB46</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90F15-3919-42FA-B54F-A2373AAF4307}">
  <sheetPr codeName="Tabelle1"/>
  <dimension ref="A1:AD134"/>
  <sheetViews>
    <sheetView topLeftCell="A63" zoomScale="55" zoomScaleNormal="55" workbookViewId="0">
      <selection activeCell="M98" sqref="M98"/>
    </sheetView>
  </sheetViews>
  <sheetFormatPr baseColWidth="10" defaultRowHeight="15.6" x14ac:dyDescent="0.3"/>
  <cols>
    <col min="1" max="1" width="9.44140625" style="1" bestFit="1" customWidth="1"/>
    <col min="2" max="2" width="19.88671875" style="1" bestFit="1" customWidth="1"/>
    <col min="3" max="3" width="6.33203125" style="1" bestFit="1" customWidth="1"/>
    <col min="4" max="4" width="5.77734375" style="1" customWidth="1"/>
    <col min="5" max="5" width="7.33203125" style="2" bestFit="1" customWidth="1"/>
    <col min="6" max="6" width="22.6640625" style="2" bestFit="1" customWidth="1"/>
    <col min="7" max="7" width="12.88671875" style="1" customWidth="1"/>
    <col min="8" max="8" width="7.5546875" style="1" customWidth="1"/>
    <col min="9" max="9" width="6.44140625" style="1" customWidth="1"/>
    <col min="10" max="10" width="13.6640625" style="1" customWidth="1"/>
    <col min="11" max="11" width="38.88671875" style="57" bestFit="1" customWidth="1"/>
    <col min="12" max="12" width="22" style="1" customWidth="1"/>
    <col min="13" max="13" width="4.88671875" style="1" bestFit="1" customWidth="1"/>
    <col min="14" max="14" width="6.5546875" style="1" bestFit="1" customWidth="1"/>
    <col min="15" max="15" width="9.109375" style="1" bestFit="1" customWidth="1"/>
    <col min="16" max="16" width="13.21875" style="1" bestFit="1" customWidth="1"/>
    <col min="17" max="17" width="5.77734375" style="1" bestFit="1" customWidth="1"/>
    <col min="18" max="18" width="22.44140625" style="1" bestFit="1" customWidth="1"/>
    <col min="19" max="19" width="8.6640625" style="1" customWidth="1"/>
    <col min="20" max="20" width="12.109375" style="1" bestFit="1" customWidth="1"/>
    <col min="21" max="22" width="10.33203125" style="2" customWidth="1"/>
    <col min="23" max="23" width="7.21875" style="2" customWidth="1"/>
    <col min="24" max="24" width="36.6640625" style="1" bestFit="1" customWidth="1"/>
    <col min="25" max="25" width="62.33203125" style="1" bestFit="1" customWidth="1"/>
    <col min="26" max="26" width="9.77734375" style="1" bestFit="1" customWidth="1"/>
    <col min="27" max="27" width="25" style="1" bestFit="1" customWidth="1"/>
    <col min="28" max="29" width="19.77734375" style="1" bestFit="1" customWidth="1"/>
    <col min="30" max="30" width="8.6640625" style="6" bestFit="1" customWidth="1"/>
    <col min="31" max="16384" width="11.5546875" style="1"/>
  </cols>
  <sheetData>
    <row r="1" spans="1:30" ht="21.6" thickBot="1" x14ac:dyDescent="0.45">
      <c r="A1" s="434" t="s">
        <v>554</v>
      </c>
      <c r="B1" s="435"/>
      <c r="C1" s="436"/>
      <c r="E1" s="437" t="s">
        <v>101</v>
      </c>
      <c r="F1" s="438"/>
      <c r="G1" s="438"/>
      <c r="H1" s="438"/>
      <c r="I1" s="438"/>
      <c r="J1" s="438"/>
      <c r="K1" s="438"/>
      <c r="L1" s="438"/>
      <c r="M1" s="438"/>
      <c r="N1" s="438"/>
      <c r="O1" s="438"/>
      <c r="P1" s="438"/>
      <c r="Q1" s="438"/>
      <c r="R1" s="438"/>
      <c r="S1" s="438"/>
      <c r="T1" s="438"/>
      <c r="U1" s="438"/>
      <c r="V1" s="438"/>
      <c r="W1" s="439"/>
      <c r="Y1" s="437" t="s">
        <v>407</v>
      </c>
      <c r="Z1" s="438"/>
      <c r="AA1" s="438"/>
      <c r="AB1" s="438"/>
      <c r="AC1" s="438"/>
      <c r="AD1" s="439"/>
    </row>
    <row r="2" spans="1:30" ht="16.2" thickBot="1" x14ac:dyDescent="0.35">
      <c r="A2" s="296" t="s">
        <v>219</v>
      </c>
      <c r="B2" s="296" t="s">
        <v>13</v>
      </c>
      <c r="C2" s="296" t="s">
        <v>0</v>
      </c>
      <c r="E2" s="326" t="s">
        <v>41</v>
      </c>
      <c r="F2" s="321" t="s">
        <v>1</v>
      </c>
      <c r="G2" s="299" t="s">
        <v>3</v>
      </c>
      <c r="H2" s="299" t="s">
        <v>0</v>
      </c>
      <c r="I2" s="299" t="s">
        <v>38</v>
      </c>
      <c r="J2" s="299" t="s">
        <v>5</v>
      </c>
      <c r="K2" s="299" t="s">
        <v>2</v>
      </c>
      <c r="L2" s="321" t="s">
        <v>155</v>
      </c>
      <c r="M2" s="299" t="s">
        <v>37</v>
      </c>
      <c r="N2" s="321" t="s">
        <v>70</v>
      </c>
      <c r="O2" s="321" t="s">
        <v>94</v>
      </c>
      <c r="P2" s="321" t="s">
        <v>71</v>
      </c>
      <c r="Q2" s="321" t="s">
        <v>220</v>
      </c>
      <c r="R2" s="321" t="s">
        <v>229</v>
      </c>
      <c r="S2" s="321" t="s">
        <v>558</v>
      </c>
      <c r="T2" s="299" t="s">
        <v>556</v>
      </c>
      <c r="U2" s="323" t="s">
        <v>560</v>
      </c>
      <c r="V2" s="324" t="s">
        <v>557</v>
      </c>
      <c r="W2" s="1"/>
      <c r="X2" s="327" t="s">
        <v>2</v>
      </c>
      <c r="Y2" s="328" t="s">
        <v>156</v>
      </c>
      <c r="Z2" s="328" t="s">
        <v>224</v>
      </c>
      <c r="AA2" s="328" t="s">
        <v>155</v>
      </c>
      <c r="AB2" s="328" t="s">
        <v>229</v>
      </c>
      <c r="AC2" s="322" t="s">
        <v>558</v>
      </c>
      <c r="AD2" s="1"/>
    </row>
    <row r="3" spans="1:30" x14ac:dyDescent="0.3">
      <c r="A3" s="74">
        <f t="shared" ref="A3:A34" si="0">ROW(A3)-2</f>
        <v>1</v>
      </c>
      <c r="B3" s="74" t="s">
        <v>457</v>
      </c>
      <c r="C3" s="74" t="s">
        <v>16</v>
      </c>
      <c r="E3" s="83">
        <f t="shared" ref="E3:E34" si="1">ROW(E3)-2</f>
        <v>1</v>
      </c>
      <c r="F3" s="64" t="str">
        <f>Chronologie[[#This Row],[Team]]&amp;"-"&amp;Chronologie[[#This Row],[L/P/E]]&amp;"-"&amp;Chronologie[[#This Row],[ST]]</f>
        <v>E-L-1</v>
      </c>
      <c r="G3" s="84">
        <v>45913</v>
      </c>
      <c r="H3" s="64" t="s">
        <v>4</v>
      </c>
      <c r="I3" s="64" t="s">
        <v>663</v>
      </c>
      <c r="J3" s="64">
        <v>1</v>
      </c>
      <c r="K3" s="85" t="s">
        <v>662</v>
      </c>
      <c r="L3" s="86" t="str">
        <f>IF(Chronologie[[#This Row],[H/A]]="A",VLOOKUP(Chronologie[[#This Row],[Gegner]],Orte[],4,FALSE),IF(Chronologie[[#This Row],[H/A]]="H","Hirschfeld",Chronologie[[#This Row],[Gegner]]))</f>
        <v>Hirschfeld</v>
      </c>
      <c r="M3" s="84" t="s">
        <v>72</v>
      </c>
      <c r="N3" s="64">
        <f>Chronologie[[#This Row],[SA-NR]]</f>
        <v>1</v>
      </c>
      <c r="O3" s="64">
        <f ca="1">IF(Chronologie[[#This Row],[Datum]]="","",IF(TODAY()&gt;=Chronologie[[#This Row],[Datum]],1,0))</f>
        <v>1</v>
      </c>
      <c r="P3" s="64">
        <f>IF(COUNTIFS(Eingabe[ID],Chronologie[[#This Row],[ID]],Eingabe[GES],"&gt;0")&gt;=1,1,0)</f>
        <v>1</v>
      </c>
      <c r="Q3" s="75">
        <f>IF(YEAR(Chronologie[[#This Row],[Datum]])=2025,WEEKNUM(Chronologie[[#This Row],[Datum]],2)-34,IF(YEAR(Chronologie[[#This Row],[Datum]])=2026,WEEKNUM(Chronologie[[#This Row],[Datum]],2)+18,""))</f>
        <v>3</v>
      </c>
      <c r="R3" s="87" t="str">
        <f>IF(Chronologie[[#This Row],[Gegner]]="","",VLOOKUP(Chronologie[[#This Row],[Gegner]],Orte[],5,FALSE))</f>
        <v>Zwickau</v>
      </c>
      <c r="S3" s="87">
        <f>IF(Chronologie[[#This Row],[Gegner]]="","",IF(Chronologie[[#This Row],[H/A]]="H",4,VLOOKUP(Chronologie[[#This Row],[Gegner]],Orte[],6,FALSE)))</f>
        <v>4</v>
      </c>
      <c r="T3" s="85" t="s">
        <v>544</v>
      </c>
      <c r="U3" s="325">
        <f>IFERROR(TIMEVALUE(LEFT(Chronologie[[#This Row],[Startzeit]],5)),"")</f>
        <v>0.54166666666666663</v>
      </c>
      <c r="V3" s="325">
        <f>IFERROR(TIMEVALUE(LEFT(Chronologie[[#This Row],[Startzeit]],5))+TIME(12/Chronologie[[#This Row],[Bahnen]],0,0),"")</f>
        <v>0.66666666666666663</v>
      </c>
      <c r="W3" s="1"/>
      <c r="X3" s="132" t="s">
        <v>394</v>
      </c>
      <c r="Y3" s="132" t="s">
        <v>216</v>
      </c>
      <c r="Z3" s="133">
        <v>9618</v>
      </c>
      <c r="AA3" s="134" t="str">
        <f>IF(Orte[[#This Row],[Anschrift]]="",Orte[[#This Row],[Kurzform]],RIGHT(Orte[[#This Row],[Anschrift]],LEN(Orte[[#This Row],[Anschrift]])-FIND("#",SUBSTITUTE(Orte[[#This Row],[Anschrift]]," ","#",LEN(Orte[[#This Row],[Anschrift]])-LEN(SUBSTITUTE(Orte[[#This Row],[Anschrift]]," ",))))))</f>
        <v>Brand-Erbisdorf</v>
      </c>
      <c r="AB3" s="134" t="s">
        <v>395</v>
      </c>
      <c r="AC3" s="6">
        <v>4</v>
      </c>
      <c r="AD3" s="1"/>
    </row>
    <row r="4" spans="1:30" x14ac:dyDescent="0.3">
      <c r="A4" s="74">
        <f t="shared" si="0"/>
        <v>2</v>
      </c>
      <c r="B4" s="74" t="s">
        <v>495</v>
      </c>
      <c r="C4" s="74" t="s">
        <v>10</v>
      </c>
      <c r="E4" s="60">
        <f t="shared" si="1"/>
        <v>2</v>
      </c>
      <c r="F4" s="61" t="str">
        <f>Chronologie[[#This Row],[Team]]&amp;"-"&amp;Chronologie[[#This Row],[L/P/E]]&amp;"-"&amp;Chronologie[[#This Row],[ST]]</f>
        <v>E-L-2</v>
      </c>
      <c r="G4" s="65">
        <v>45920</v>
      </c>
      <c r="H4" s="64" t="s">
        <v>4</v>
      </c>
      <c r="I4" s="64" t="s">
        <v>663</v>
      </c>
      <c r="J4" s="66">
        <v>2</v>
      </c>
      <c r="K4" s="67" t="s">
        <v>664</v>
      </c>
      <c r="L4" s="73" t="str">
        <f>IF(Chronologie[[#This Row],[H/A]]="A",VLOOKUP(Chronologie[[#This Row],[Gegner]],Orte[],4,FALSE),IF(Chronologie[[#This Row],[H/A]]="H","Hirschfeld",Chronologie[[#This Row],[Gegner]]))</f>
        <v>Brand-Erbisdorf</v>
      </c>
      <c r="M4" s="65" t="s">
        <v>74</v>
      </c>
      <c r="N4" s="64">
        <f>Chronologie[[#This Row],[SA-NR]]</f>
        <v>2</v>
      </c>
      <c r="O4" s="64">
        <f ca="1">IF(Chronologie[[#This Row],[Datum]]="","",IF(TODAY()&gt;=Chronologie[[#This Row],[Datum]],1,0))</f>
        <v>1</v>
      </c>
      <c r="P4" s="64">
        <f>IF(COUNTIFS(Eingabe[ID],Chronologie[[#This Row],[ID]],Eingabe[GES],"&gt;0")&gt;=1,1,0)</f>
        <v>1</v>
      </c>
      <c r="Q4" s="75">
        <f>IF(YEAR(Chronologie[[#This Row],[Datum]])=2025,WEEKNUM(Chronologie[[#This Row],[Datum]],2)-34,IF(YEAR(Chronologie[[#This Row],[Datum]])=2026,WEEKNUM(Chronologie[[#This Row],[Datum]],2)+18,""))</f>
        <v>4</v>
      </c>
      <c r="R4" s="87" t="str">
        <f>IF(Chronologie[[#This Row],[Gegner]]="","",VLOOKUP(Chronologie[[#This Row],[Gegner]],Orte[],5,FALSE))</f>
        <v>Großschirma</v>
      </c>
      <c r="S4" s="87">
        <f>IF(Chronologie[[#This Row],[Gegner]]="","",IF(Chronologie[[#This Row],[H/A]]="H",4,VLOOKUP(Chronologie[[#This Row],[Gegner]],Orte[],6,FALSE)))</f>
        <v>4</v>
      </c>
      <c r="T4" s="85" t="s">
        <v>544</v>
      </c>
      <c r="U4" s="325">
        <f>IFERROR(TIMEVALUE(LEFT(Chronologie[[#This Row],[Startzeit]],5)),"")</f>
        <v>0.54166666666666663</v>
      </c>
      <c r="V4" s="325">
        <f>IFERROR(TIMEVALUE(LEFT(Chronologie[[#This Row],[Startzeit]],5))+TIME(12/Chronologie[[#This Row],[Bahnen]],0,0),"")</f>
        <v>0.66666666666666663</v>
      </c>
      <c r="W4" s="1"/>
      <c r="X4" s="132" t="s">
        <v>390</v>
      </c>
      <c r="Y4" s="132" t="s">
        <v>391</v>
      </c>
      <c r="Z4" s="133">
        <v>9306</v>
      </c>
      <c r="AA4" s="134" t="str">
        <f>IF(Orte[[#This Row],[Anschrift]]="",Orte[[#This Row],[Kurzform]],RIGHT(Orte[[#This Row],[Anschrift]],LEN(Orte[[#This Row],[Anschrift]])-FIND("#",SUBSTITUTE(Orte[[#This Row],[Anschrift]]," ","#",LEN(Orte[[#This Row],[Anschrift]])-LEN(SUBSTITUTE(Orte[[#This Row],[Anschrift]]," ",))))))</f>
        <v>Rochlitz</v>
      </c>
      <c r="AB4" s="134" t="s">
        <v>293</v>
      </c>
      <c r="AC4" s="6">
        <v>4</v>
      </c>
      <c r="AD4" s="1"/>
    </row>
    <row r="5" spans="1:30" x14ac:dyDescent="0.3">
      <c r="A5" s="74">
        <f t="shared" si="0"/>
        <v>3</v>
      </c>
      <c r="B5" s="74" t="s">
        <v>660</v>
      </c>
      <c r="C5" s="74" t="s">
        <v>4</v>
      </c>
      <c r="E5" s="60">
        <f t="shared" si="1"/>
        <v>3</v>
      </c>
      <c r="F5" s="61" t="str">
        <f>Chronologie[[#This Row],[Team]]&amp;"-"&amp;Chronologie[[#This Row],[L/P/E]]&amp;"-"&amp;Chronologie[[#This Row],[ST]]</f>
        <v>E-L-3</v>
      </c>
      <c r="G5" s="62">
        <v>45927</v>
      </c>
      <c r="H5" s="64" t="s">
        <v>4</v>
      </c>
      <c r="I5" s="64" t="s">
        <v>663</v>
      </c>
      <c r="J5" s="61">
        <v>3</v>
      </c>
      <c r="K5" s="63" t="s">
        <v>669</v>
      </c>
      <c r="L5" s="72" t="str">
        <f>IF(Chronologie[[#This Row],[H/A]]="A",VLOOKUP(Chronologie[[#This Row],[Gegner]],Orte[],4,FALSE),IF(Chronologie[[#This Row],[H/A]]="H","Hirschfeld",Chronologie[[#This Row],[Gegner]]))</f>
        <v>Hirschfeld</v>
      </c>
      <c r="M5" s="84" t="s">
        <v>72</v>
      </c>
      <c r="N5" s="64">
        <f>Chronologie[[#This Row],[SA-NR]]</f>
        <v>3</v>
      </c>
      <c r="O5" s="64">
        <f ca="1">IF(Chronologie[[#This Row],[Datum]]="","",IF(TODAY()&gt;=Chronologie[[#This Row],[Datum]],1,0))</f>
        <v>1</v>
      </c>
      <c r="P5" s="64">
        <f>IF(COUNTIFS(Eingabe[ID],Chronologie[[#This Row],[ID]],Eingabe[GES],"&gt;0")&gt;=1,1,0)</f>
        <v>1</v>
      </c>
      <c r="Q5" s="75">
        <f>IF(YEAR(Chronologie[[#This Row],[Datum]])=2025,WEEKNUM(Chronologie[[#This Row],[Datum]],2)-34,IF(YEAR(Chronologie[[#This Row],[Datum]])=2026,WEEKNUM(Chronologie[[#This Row],[Datum]],2)+18,""))</f>
        <v>5</v>
      </c>
      <c r="R5" s="87" t="str">
        <f>IF(Chronologie[[#This Row],[Gegner]]="","",VLOOKUP(Chronologie[[#This Row],[Gegner]],Orte[],5,FALSE))</f>
        <v>Mehltheuer</v>
      </c>
      <c r="S5" s="87">
        <f>IF(Chronologie[[#This Row],[Gegner]]="","",IF(Chronologie[[#This Row],[H/A]]="H",4,VLOOKUP(Chronologie[[#This Row],[Gegner]],Orte[],6,FALSE)))</f>
        <v>4</v>
      </c>
      <c r="T5" s="85" t="s">
        <v>551</v>
      </c>
      <c r="U5" s="325">
        <f>IFERROR(TIMEVALUE(LEFT(Chronologie[[#This Row],[Startzeit]],5)),"")</f>
        <v>0.58333333333333337</v>
      </c>
      <c r="V5" s="325">
        <f>IFERROR(TIMEVALUE(LEFT(Chronologie[[#This Row],[Startzeit]],5))+TIME(12/Chronologie[[#This Row],[Bahnen]],0,0),"")</f>
        <v>0.70833333333333337</v>
      </c>
      <c r="W5" s="1"/>
      <c r="X5" s="132" t="s">
        <v>388</v>
      </c>
      <c r="Y5" s="132" t="s">
        <v>389</v>
      </c>
      <c r="Z5" s="133">
        <v>9427</v>
      </c>
      <c r="AA5" s="134" t="str">
        <f>IF(Orte[[#This Row],[Anschrift]]="",Orte[[#This Row],[Kurzform]],RIGHT(Orte[[#This Row],[Anschrift]],LEN(Orte[[#This Row],[Anschrift]])-FIND("#",SUBSTITUTE(Orte[[#This Row],[Anschrift]]," ","#",LEN(Orte[[#This Row],[Anschrift]])-LEN(SUBSTITUTE(Orte[[#This Row],[Anschrift]]," ",))))))</f>
        <v>Ehrenfriedersdorf</v>
      </c>
      <c r="AB5" s="134" t="s">
        <v>299</v>
      </c>
      <c r="AC5" s="6">
        <v>4</v>
      </c>
      <c r="AD5" s="1"/>
    </row>
    <row r="6" spans="1:30" x14ac:dyDescent="0.3">
      <c r="A6" s="74">
        <f t="shared" si="0"/>
        <v>4</v>
      </c>
      <c r="B6" s="74" t="s">
        <v>458</v>
      </c>
      <c r="C6" s="74" t="s">
        <v>795</v>
      </c>
      <c r="E6" s="60">
        <f t="shared" si="1"/>
        <v>4</v>
      </c>
      <c r="F6" s="61" t="str">
        <f>Chronologie[[#This Row],[Team]]&amp;"-"&amp;Chronologie[[#This Row],[L/P/E]]&amp;"-"&amp;Chronologie[[#This Row],[ST]]</f>
        <v>E-L-4</v>
      </c>
      <c r="G6" s="62">
        <v>45948</v>
      </c>
      <c r="H6" s="64" t="s">
        <v>4</v>
      </c>
      <c r="I6" s="64" t="s">
        <v>663</v>
      </c>
      <c r="J6" s="64">
        <v>4</v>
      </c>
      <c r="K6" s="63" t="s">
        <v>357</v>
      </c>
      <c r="L6" s="72" t="str">
        <f>IF(Chronologie[[#This Row],[H/A]]="A",VLOOKUP(Chronologie[[#This Row],[Gegner]],Orte[],4,FALSE),IF(Chronologie[[#This Row],[H/A]]="H","Hirschfeld",Chronologie[[#This Row],[Gegner]]))</f>
        <v>Hirschfeld</v>
      </c>
      <c r="M6" s="65" t="s">
        <v>72</v>
      </c>
      <c r="N6" s="64">
        <f>Chronologie[[#This Row],[SA-NR]]</f>
        <v>4</v>
      </c>
      <c r="O6" s="64">
        <f ca="1">IF(Chronologie[[#This Row],[Datum]]="","",IF(TODAY()&gt;=Chronologie[[#This Row],[Datum]],1,0))</f>
        <v>1</v>
      </c>
      <c r="P6" s="64">
        <f>IF(COUNTIFS(Eingabe[ID],Chronologie[[#This Row],[ID]],Eingabe[GES],"&gt;0")&gt;=1,1,0)</f>
        <v>1</v>
      </c>
      <c r="Q6" s="75">
        <f>IF(YEAR(Chronologie[[#This Row],[Datum]])=2025,WEEKNUM(Chronologie[[#This Row],[Datum]],2)-34,IF(YEAR(Chronologie[[#This Row],[Datum]])=2026,WEEKNUM(Chronologie[[#This Row],[Datum]],2)+18,""))</f>
        <v>8</v>
      </c>
      <c r="R6" s="87" t="str">
        <f>IF(Chronologie[[#This Row],[Gegner]]="","",VLOOKUP(Chronologie[[#This Row],[Gegner]],Orte[],5,FALSE))</f>
        <v>Lengenfeld</v>
      </c>
      <c r="S6" s="87">
        <f>IF(Chronologie[[#This Row],[Gegner]]="","",IF(Chronologie[[#This Row],[H/A]]="H",4,VLOOKUP(Chronologie[[#This Row],[Gegner]],Orte[],6,FALSE)))</f>
        <v>4</v>
      </c>
      <c r="T6" s="85" t="s">
        <v>544</v>
      </c>
      <c r="U6" s="325">
        <f>IFERROR(TIMEVALUE(LEFT(Chronologie[[#This Row],[Startzeit]],5)),"")</f>
        <v>0.54166666666666663</v>
      </c>
      <c r="V6" s="325">
        <f>IFERROR(TIMEVALUE(LEFT(Chronologie[[#This Row],[Startzeit]],5))+TIME(12/Chronologie[[#This Row],[Bahnen]],0,0),"")</f>
        <v>0.66666666666666663</v>
      </c>
      <c r="W6" s="1"/>
      <c r="X6" s="132" t="s">
        <v>366</v>
      </c>
      <c r="Y6" s="132" t="s">
        <v>367</v>
      </c>
      <c r="Z6" s="133">
        <v>9117</v>
      </c>
      <c r="AA6" s="134" t="str">
        <f>IF(Orte[[#This Row],[Anschrift]]="",Orte[[#This Row],[Kurzform]],RIGHT(Orte[[#This Row],[Anschrift]],LEN(Orte[[#This Row],[Anschrift]])-FIND("#",SUBSTITUTE(Orte[[#This Row],[Anschrift]]," ","#",LEN(Orte[[#This Row],[Anschrift]])-LEN(SUBSTITUTE(Orte[[#This Row],[Anschrift]]," ",))))))</f>
        <v>Chemnitz</v>
      </c>
      <c r="AB6" s="134" t="s">
        <v>364</v>
      </c>
      <c r="AC6" s="6">
        <v>4</v>
      </c>
      <c r="AD6" s="1"/>
    </row>
    <row r="7" spans="1:30" x14ac:dyDescent="0.3">
      <c r="A7" s="74">
        <f t="shared" si="0"/>
        <v>5</v>
      </c>
      <c r="B7" s="74" t="s">
        <v>459</v>
      </c>
      <c r="C7" s="74" t="s">
        <v>10</v>
      </c>
      <c r="E7" s="60">
        <f t="shared" si="1"/>
        <v>5</v>
      </c>
      <c r="F7" s="61" t="str">
        <f>Chronologie[[#This Row],[Team]]&amp;"-"&amp;Chronologie[[#This Row],[L/P/E]]&amp;"-"&amp;Chronologie[[#This Row],[ST]]</f>
        <v>E-L-5</v>
      </c>
      <c r="G7" s="65">
        <v>45955</v>
      </c>
      <c r="H7" s="64" t="s">
        <v>4</v>
      </c>
      <c r="I7" s="64" t="s">
        <v>663</v>
      </c>
      <c r="J7" s="66">
        <v>5</v>
      </c>
      <c r="K7" s="67" t="s">
        <v>665</v>
      </c>
      <c r="L7" s="73" t="str">
        <f>IF(Chronologie[[#This Row],[H/A]]="A",VLOOKUP(Chronologie[[#This Row],[Gegner]],Orte[],4,FALSE),IF(Chronologie[[#This Row],[H/A]]="H","Hirschfeld",Chronologie[[#This Row],[Gegner]]))</f>
        <v>Glauchau</v>
      </c>
      <c r="M7" s="84" t="s">
        <v>74</v>
      </c>
      <c r="N7" s="64">
        <f>Chronologie[[#This Row],[SA-NR]]</f>
        <v>5</v>
      </c>
      <c r="O7" s="64">
        <f ca="1">IF(Chronologie[[#This Row],[Datum]]="","",IF(TODAY()&gt;=Chronologie[[#This Row],[Datum]],1,0))</f>
        <v>1</v>
      </c>
      <c r="P7" s="64">
        <f>IF(COUNTIFS(Eingabe[ID],Chronologie[[#This Row],[ID]],Eingabe[GES],"&gt;0")&gt;=1,1,0)</f>
        <v>1</v>
      </c>
      <c r="Q7" s="75">
        <f>IF(YEAR(Chronologie[[#This Row],[Datum]])=2025,WEEKNUM(Chronologie[[#This Row],[Datum]],2)-34,IF(YEAR(Chronologie[[#This Row],[Datum]])=2026,WEEKNUM(Chronologie[[#This Row],[Datum]],2)+18,""))</f>
        <v>9</v>
      </c>
      <c r="R7" s="87" t="str">
        <f>IF(Chronologie[[#This Row],[Gegner]]="","",VLOOKUP(Chronologie[[#This Row],[Gegner]],Orte[],5,FALSE))</f>
        <v>Schönberg</v>
      </c>
      <c r="S7" s="87">
        <f>IF(Chronologie[[#This Row],[Gegner]]="","",IF(Chronologie[[#This Row],[H/A]]="H",4,VLOOKUP(Chronologie[[#This Row],[Gegner]],Orte[],6,FALSE)))</f>
        <v>4</v>
      </c>
      <c r="T7" s="85" t="s">
        <v>544</v>
      </c>
      <c r="U7" s="325">
        <f>IFERROR(TIMEVALUE(LEFT(Chronologie[[#This Row],[Startzeit]],5)),"")</f>
        <v>0.54166666666666663</v>
      </c>
      <c r="V7" s="325">
        <f>IFERROR(TIMEVALUE(LEFT(Chronologie[[#This Row],[Startzeit]],5))+TIME(12/Chronologie[[#This Row],[Bahnen]],0,0),"")</f>
        <v>0.66666666666666663</v>
      </c>
      <c r="W7" s="1"/>
      <c r="X7" s="132" t="s">
        <v>83</v>
      </c>
      <c r="Y7" s="132" t="s">
        <v>169</v>
      </c>
      <c r="Z7" s="133">
        <v>1067</v>
      </c>
      <c r="AA7" s="134" t="str">
        <f>IF(Orte[[#This Row],[Anschrift]]="",Orte[[#This Row],[Kurzform]],RIGHT(Orte[[#This Row],[Anschrift]],LEN(Orte[[#This Row],[Anschrift]])-FIND("#",SUBSTITUTE(Orte[[#This Row],[Anschrift]]," ","#",LEN(Orte[[#This Row],[Anschrift]])-LEN(SUBSTITUTE(Orte[[#This Row],[Anschrift]]," ",))))))</f>
        <v>Dresden</v>
      </c>
      <c r="AB7" s="134" t="s">
        <v>233</v>
      </c>
      <c r="AC7" s="6">
        <v>4</v>
      </c>
      <c r="AD7" s="1"/>
    </row>
    <row r="8" spans="1:30" x14ac:dyDescent="0.3">
      <c r="A8" s="74">
        <f t="shared" si="0"/>
        <v>6</v>
      </c>
      <c r="B8" s="74" t="s">
        <v>591</v>
      </c>
      <c r="C8" s="74" t="s">
        <v>17</v>
      </c>
      <c r="E8" s="60">
        <f t="shared" si="1"/>
        <v>6</v>
      </c>
      <c r="F8" s="61" t="str">
        <f>Chronologie[[#This Row],[Team]]&amp;"-"&amp;Chronologie[[#This Row],[L/P/E]]&amp;"-"&amp;Chronologie[[#This Row],[ST]]</f>
        <v>E-L-6</v>
      </c>
      <c r="G8" s="62">
        <v>45969</v>
      </c>
      <c r="H8" s="64" t="s">
        <v>4</v>
      </c>
      <c r="I8" s="64" t="s">
        <v>663</v>
      </c>
      <c r="J8" s="61">
        <v>6</v>
      </c>
      <c r="K8" s="63" t="s">
        <v>668</v>
      </c>
      <c r="L8" s="72" t="str">
        <f>IF(Chronologie[[#This Row],[H/A]]="A",VLOOKUP(Chronologie[[#This Row],[Gegner]],Orte[],4,FALSE),IF(Chronologie[[#This Row],[H/A]]="H","Hirschfeld",Chronologie[[#This Row],[Gegner]]))</f>
        <v>Hirschfeld</v>
      </c>
      <c r="M8" s="65" t="s">
        <v>72</v>
      </c>
      <c r="N8" s="64">
        <f>Chronologie[[#This Row],[SA-NR]]</f>
        <v>6</v>
      </c>
      <c r="O8" s="64">
        <f ca="1">IF(Chronologie[[#This Row],[Datum]]="","",IF(TODAY()&gt;=Chronologie[[#This Row],[Datum]],1,0))</f>
        <v>1</v>
      </c>
      <c r="P8" s="64">
        <f>IF(COUNTIFS(Eingabe[ID],Chronologie[[#This Row],[ID]],Eingabe[GES],"&gt;0")&gt;=1,1,0)</f>
        <v>1</v>
      </c>
      <c r="Q8" s="75">
        <f>IF(YEAR(Chronologie[[#This Row],[Datum]])=2025,WEEKNUM(Chronologie[[#This Row],[Datum]],2)-34,IF(YEAR(Chronologie[[#This Row],[Datum]])=2026,WEEKNUM(Chronologie[[#This Row],[Datum]],2)+18,""))</f>
        <v>11</v>
      </c>
      <c r="R8" s="87" t="str">
        <f>IF(Chronologie[[#This Row],[Gegner]]="","",VLOOKUP(Chronologie[[#This Row],[Gegner]],Orte[],5,FALSE))</f>
        <v>Taucha</v>
      </c>
      <c r="S8" s="87">
        <f>IF(Chronologie[[#This Row],[Gegner]]="","",IF(Chronologie[[#This Row],[H/A]]="H",4,VLOOKUP(Chronologie[[#This Row],[Gegner]],Orte[],6,FALSE)))</f>
        <v>4</v>
      </c>
      <c r="T8" s="300" t="s">
        <v>544</v>
      </c>
      <c r="U8" s="325">
        <f>IFERROR(TIMEVALUE(LEFT(Chronologie[[#This Row],[Startzeit]],5)),"")</f>
        <v>0.54166666666666663</v>
      </c>
      <c r="V8" s="325">
        <f>IFERROR(TIMEVALUE(LEFT(Chronologie[[#This Row],[Startzeit]],5))+TIME(12/Chronologie[[#This Row],[Bahnen]],0,0),"")</f>
        <v>0.66666666666666663</v>
      </c>
      <c r="W8" s="1"/>
      <c r="X8" s="132" t="s">
        <v>89</v>
      </c>
      <c r="Y8" s="132" t="s">
        <v>183</v>
      </c>
      <c r="Z8" s="133">
        <v>8321</v>
      </c>
      <c r="AA8" s="134" t="str">
        <f>IF(Orte[[#This Row],[Anschrift]]="",Orte[[#This Row],[Kurzform]],RIGHT(Orte[[#This Row],[Anschrift]],LEN(Orte[[#This Row],[Anschrift]])-FIND("#",SUBSTITUTE(Orte[[#This Row],[Anschrift]]," ","#",LEN(Orte[[#This Row],[Anschrift]])-LEN(SUBSTITUTE(Orte[[#This Row],[Anschrift]]," ",))))))</f>
        <v>Zschorlau</v>
      </c>
      <c r="AB8" s="134" t="s">
        <v>210</v>
      </c>
      <c r="AC8" s="6">
        <v>4</v>
      </c>
      <c r="AD8" s="1"/>
    </row>
    <row r="9" spans="1:30" x14ac:dyDescent="0.3">
      <c r="A9" s="74">
        <f t="shared" si="0"/>
        <v>7</v>
      </c>
      <c r="B9" s="74" t="s">
        <v>473</v>
      </c>
      <c r="C9" s="74" t="s">
        <v>17</v>
      </c>
      <c r="E9" s="60">
        <f t="shared" si="1"/>
        <v>7</v>
      </c>
      <c r="F9" s="61" t="str">
        <f>Chronologie[[#This Row],[Team]]&amp;"-"&amp;Chronologie[[#This Row],[L/P/E]]&amp;"-"&amp;Chronologie[[#This Row],[ST]]</f>
        <v>E-L-7</v>
      </c>
      <c r="G9" s="62">
        <v>45976</v>
      </c>
      <c r="H9" s="64" t="s">
        <v>4</v>
      </c>
      <c r="I9" s="64" t="s">
        <v>663</v>
      </c>
      <c r="J9" s="64">
        <v>7</v>
      </c>
      <c r="K9" s="63" t="s">
        <v>79</v>
      </c>
      <c r="L9" s="72" t="str">
        <f>IF(Chronologie[[#This Row],[H/A]]="A",VLOOKUP(Chronologie[[#This Row],[Gegner]],Orte[],4,FALSE),IF(Chronologie[[#This Row],[H/A]]="H","Hirschfeld",Chronologie[[#This Row],[Gegner]]))</f>
        <v>Hirschfeld</v>
      </c>
      <c r="M9" s="84" t="s">
        <v>72</v>
      </c>
      <c r="N9" s="64">
        <f>Chronologie[[#This Row],[SA-NR]]</f>
        <v>7</v>
      </c>
      <c r="O9" s="64">
        <f ca="1">IF(Chronologie[[#This Row],[Datum]]="","",IF(TODAY()&gt;=Chronologie[[#This Row],[Datum]],1,0))</f>
        <v>1</v>
      </c>
      <c r="P9" s="64">
        <f>IF(COUNTIFS(Eingabe[ID],Chronologie[[#This Row],[ID]],Eingabe[GES],"&gt;0")&gt;=1,1,0)</f>
        <v>1</v>
      </c>
      <c r="Q9" s="75">
        <f>IF(YEAR(Chronologie[[#This Row],[Datum]])=2025,WEEKNUM(Chronologie[[#This Row],[Datum]],2)-34,IF(YEAR(Chronologie[[#This Row],[Datum]])=2026,WEEKNUM(Chronologie[[#This Row],[Datum]],2)+18,""))</f>
        <v>12</v>
      </c>
      <c r="R9" s="87" t="str">
        <f>IF(Chronologie[[#This Row],[Gegner]]="","",VLOOKUP(Chronologie[[#This Row],[Gegner]],Orte[],5,FALSE))</f>
        <v>Hohentanne</v>
      </c>
      <c r="S9" s="87">
        <f>IF(Chronologie[[#This Row],[Gegner]]="","",IF(Chronologie[[#This Row],[H/A]]="H",4,VLOOKUP(Chronologie[[#This Row],[Gegner]],Orte[],6,FALSE)))</f>
        <v>4</v>
      </c>
      <c r="T9" s="85" t="s">
        <v>544</v>
      </c>
      <c r="U9" s="325">
        <f>IFERROR(TIMEVALUE(LEFT(Chronologie[[#This Row],[Startzeit]],5)),"")</f>
        <v>0.54166666666666663</v>
      </c>
      <c r="V9" s="325">
        <f>IFERROR(TIMEVALUE(LEFT(Chronologie[[#This Row],[Startzeit]],5))+TIME(12/Chronologie[[#This Row],[Bahnen]],0,0),"")</f>
        <v>0.66666666666666663</v>
      </c>
      <c r="W9" s="1"/>
      <c r="X9" s="132" t="s">
        <v>98</v>
      </c>
      <c r="Y9" s="132" t="s">
        <v>176</v>
      </c>
      <c r="Z9" s="133">
        <v>9634</v>
      </c>
      <c r="AA9" s="134" t="str">
        <f>IF(Orte[[#This Row],[Anschrift]]="",Orte[[#This Row],[Kurzform]],RIGHT(Orte[[#This Row],[Anschrift]],LEN(Orte[[#This Row],[Anschrift]])-FIND("#",SUBSTITUTE(Orte[[#This Row],[Anschrift]]," ","#",LEN(Orte[[#This Row],[Anschrift]])-LEN(SUBSTITUTE(Orte[[#This Row],[Anschrift]]," ",))))))</f>
        <v>Hirschfeld</v>
      </c>
      <c r="AB9" s="134" t="s">
        <v>98</v>
      </c>
      <c r="AC9" s="6">
        <v>4</v>
      </c>
      <c r="AD9" s="1"/>
    </row>
    <row r="10" spans="1:30" x14ac:dyDescent="0.3">
      <c r="A10" s="74">
        <f t="shared" si="0"/>
        <v>8</v>
      </c>
      <c r="B10" s="74" t="s">
        <v>474</v>
      </c>
      <c r="C10" s="74" t="s">
        <v>795</v>
      </c>
      <c r="E10" s="60">
        <f t="shared" si="1"/>
        <v>8</v>
      </c>
      <c r="F10" s="61" t="str">
        <f>Chronologie[[#This Row],[Team]]&amp;"-"&amp;Chronologie[[#This Row],[L/P/E]]&amp;"-"&amp;Chronologie[[#This Row],[ST]]</f>
        <v>E-L-8</v>
      </c>
      <c r="G10" s="62">
        <v>45990</v>
      </c>
      <c r="H10" s="64" t="s">
        <v>4</v>
      </c>
      <c r="I10" s="64" t="s">
        <v>663</v>
      </c>
      <c r="J10" s="66">
        <v>8</v>
      </c>
      <c r="K10" s="63" t="s">
        <v>667</v>
      </c>
      <c r="L10" s="72" t="str">
        <f>IF(Chronologie[[#This Row],[H/A]]="A",VLOOKUP(Chronologie[[#This Row],[Gegner]],Orte[],4,FALSE),IF(Chronologie[[#This Row],[H/A]]="H","Hirschfeld",Chronologie[[#This Row],[Gegner]]))</f>
        <v>Hirschfeld</v>
      </c>
      <c r="M10" s="65" t="s">
        <v>72</v>
      </c>
      <c r="N10" s="64">
        <f>Chronologie[[#This Row],[SA-NR]]</f>
        <v>8</v>
      </c>
      <c r="O10" s="64">
        <f ca="1">IF(Chronologie[[#This Row],[Datum]]="","",IF(TODAY()&gt;=Chronologie[[#This Row],[Datum]],1,0))</f>
        <v>1</v>
      </c>
      <c r="P10" s="64">
        <f>IF(COUNTIFS(Eingabe[ID],Chronologie[[#This Row],[ID]],Eingabe[GES],"&gt;0")&gt;=1,1,0)</f>
        <v>1</v>
      </c>
      <c r="Q10" s="75">
        <f>IF(YEAR(Chronologie[[#This Row],[Datum]])=2025,WEEKNUM(Chronologie[[#This Row],[Datum]],2)-34,IF(YEAR(Chronologie[[#This Row],[Datum]])=2026,WEEKNUM(Chronologie[[#This Row],[Datum]],2)+18,""))</f>
        <v>14</v>
      </c>
      <c r="R10" s="87" t="str">
        <f>IF(Chronologie[[#This Row],[Gegner]]="","",VLOOKUP(Chronologie[[#This Row],[Gegner]],Orte[],5,FALSE))</f>
        <v>Stollberg III</v>
      </c>
      <c r="S10" s="87">
        <f>IF(Chronologie[[#This Row],[Gegner]]="","",IF(Chronologie[[#This Row],[H/A]]="H",4,VLOOKUP(Chronologie[[#This Row],[Gegner]],Orte[],6,FALSE)))</f>
        <v>4</v>
      </c>
      <c r="T10" s="85" t="s">
        <v>544</v>
      </c>
      <c r="U10" s="325">
        <f>IFERROR(TIMEVALUE(LEFT(Chronologie[[#This Row],[Startzeit]],5)),"")</f>
        <v>0.54166666666666663</v>
      </c>
      <c r="V10" s="325">
        <f>IFERROR(TIMEVALUE(LEFT(Chronologie[[#This Row],[Startzeit]],5))+TIME(12/Chronologie[[#This Row],[Bahnen]],0,0),"")</f>
        <v>0.66666666666666663</v>
      </c>
      <c r="W10" s="1"/>
      <c r="X10" s="132" t="s">
        <v>175</v>
      </c>
      <c r="Y10" s="132" t="s">
        <v>176</v>
      </c>
      <c r="Z10" s="133">
        <v>9634</v>
      </c>
      <c r="AA10" s="134" t="str">
        <f>IF(Orte[[#This Row],[Anschrift]]="",Orte[[#This Row],[Kurzform]],RIGHT(Orte[[#This Row],[Anschrift]],LEN(Orte[[#This Row],[Anschrift]])-FIND("#",SUBSTITUTE(Orte[[#This Row],[Anschrift]]," ","#",LEN(Orte[[#This Row],[Anschrift]])-LEN(SUBSTITUTE(Orte[[#This Row],[Anschrift]]," ",))))))</f>
        <v>Hirschfeld</v>
      </c>
      <c r="AB10" s="134" t="s">
        <v>239</v>
      </c>
      <c r="AC10" s="6">
        <v>4</v>
      </c>
      <c r="AD10" s="1"/>
    </row>
    <row r="11" spans="1:30" x14ac:dyDescent="0.3">
      <c r="A11" s="74">
        <f t="shared" si="0"/>
        <v>9</v>
      </c>
      <c r="B11" s="74" t="s">
        <v>475</v>
      </c>
      <c r="C11" s="74" t="s">
        <v>10</v>
      </c>
      <c r="E11" s="60">
        <f t="shared" si="1"/>
        <v>9</v>
      </c>
      <c r="F11" s="61" t="str">
        <f>Chronologie[[#This Row],[Team]]&amp;"-"&amp;Chronologie[[#This Row],[L/P/E]]&amp;"-"&amp;Chronologie[[#This Row],[ST]]</f>
        <v>E-L-9</v>
      </c>
      <c r="G11" s="62">
        <v>46004</v>
      </c>
      <c r="H11" s="64" t="s">
        <v>4</v>
      </c>
      <c r="I11" s="64" t="s">
        <v>663</v>
      </c>
      <c r="J11" s="61">
        <v>9</v>
      </c>
      <c r="K11" s="63" t="s">
        <v>355</v>
      </c>
      <c r="L11" s="72" t="str">
        <f>IF(Chronologie[[#This Row],[H/A]]="A",VLOOKUP(Chronologie[[#This Row],[Gegner]],Orte[],4,FALSE),IF(Chronologie[[#This Row],[H/A]]="H","Hirschfeld",Chronologie[[#This Row],[Gegner]]))</f>
        <v>Treuen</v>
      </c>
      <c r="M11" s="84" t="s">
        <v>74</v>
      </c>
      <c r="N11" s="64">
        <f>Chronologie[[#This Row],[SA-NR]]</f>
        <v>9</v>
      </c>
      <c r="O11" s="64">
        <f ca="1">IF(Chronologie[[#This Row],[Datum]]="","",IF(TODAY()&gt;=Chronologie[[#This Row],[Datum]],1,0))</f>
        <v>1</v>
      </c>
      <c r="P11" s="64">
        <f>IF(COUNTIFS(Eingabe[ID],Chronologie[[#This Row],[ID]],Eingabe[GES],"&gt;0")&gt;=1,1,0)</f>
        <v>1</v>
      </c>
      <c r="Q11" s="75">
        <f>IF(YEAR(Chronologie[[#This Row],[Datum]])=2025,WEEKNUM(Chronologie[[#This Row],[Datum]],2)-34,IF(YEAR(Chronologie[[#This Row],[Datum]])=2026,WEEKNUM(Chronologie[[#This Row],[Datum]],2)+18,""))</f>
        <v>16</v>
      </c>
      <c r="R11" s="87" t="str">
        <f>IF(Chronologie[[#This Row],[Gegner]]="","",VLOOKUP(Chronologie[[#This Row],[Gegner]],Orte[],5,FALSE))</f>
        <v>Treuen</v>
      </c>
      <c r="S11" s="87">
        <f>IF(Chronologie[[#This Row],[Gegner]]="","",IF(Chronologie[[#This Row],[H/A]]="H",4,VLOOKUP(Chronologie[[#This Row],[Gegner]],Orte[],6,FALSE)))</f>
        <v>4</v>
      </c>
      <c r="T11" s="85" t="s">
        <v>544</v>
      </c>
      <c r="U11" s="325">
        <f>IFERROR(TIMEVALUE(LEFT(Chronologie[[#This Row],[Startzeit]],5)),"")</f>
        <v>0.54166666666666663</v>
      </c>
      <c r="V11" s="325">
        <f>IFERROR(TIMEVALUE(LEFT(Chronologie[[#This Row],[Startzeit]],5))+TIME(12/Chronologie[[#This Row],[Bahnen]],0,0),"")</f>
        <v>0.66666666666666663</v>
      </c>
      <c r="W11" s="1"/>
      <c r="X11" s="132" t="s">
        <v>439</v>
      </c>
      <c r="Y11" s="132" t="s">
        <v>441</v>
      </c>
      <c r="Z11" s="133">
        <v>4668</v>
      </c>
      <c r="AA11" s="134" t="str">
        <f>IF(Orte[[#This Row],[Anschrift]]="",Orte[[#This Row],[Kurzform]],RIGHT(Orte[[#This Row],[Anschrift]],LEN(Orte[[#This Row],[Anschrift]])-FIND("#",SUBSTITUTE(Orte[[#This Row],[Anschrift]]," ","#",LEN(Orte[[#This Row],[Anschrift]])-LEN(SUBSTITUTE(Orte[[#This Row],[Anschrift]]," ",))))))</f>
        <v>Hohnstädt</v>
      </c>
      <c r="AB11" s="134" t="s">
        <v>440</v>
      </c>
      <c r="AC11" s="6">
        <v>4</v>
      </c>
      <c r="AD11" s="1"/>
    </row>
    <row r="12" spans="1:30" x14ac:dyDescent="0.3">
      <c r="A12" s="74">
        <f t="shared" si="0"/>
        <v>10</v>
      </c>
      <c r="B12" s="74" t="s">
        <v>476</v>
      </c>
      <c r="C12" s="74" t="s">
        <v>17</v>
      </c>
      <c r="E12" s="60">
        <f t="shared" si="1"/>
        <v>10</v>
      </c>
      <c r="F12" s="61" t="str">
        <f>Chronologie[[#This Row],[Team]]&amp;"-"&amp;Chronologie[[#This Row],[L/P/E]]&amp;"-"&amp;Chronologie[[#This Row],[ST]]</f>
        <v>E-L-10</v>
      </c>
      <c r="G12" s="62">
        <v>46039</v>
      </c>
      <c r="H12" s="64" t="s">
        <v>4</v>
      </c>
      <c r="I12" s="64" t="s">
        <v>663</v>
      </c>
      <c r="J12" s="64">
        <v>10</v>
      </c>
      <c r="K12" s="85" t="s">
        <v>662</v>
      </c>
      <c r="L12" s="72" t="str">
        <f>IF(Chronologie[[#This Row],[H/A]]="A",VLOOKUP(Chronologie[[#This Row],[Gegner]],Orte[],4,FALSE),IF(Chronologie[[#This Row],[H/A]]="H","Hirschfeld",Chronologie[[#This Row],[Gegner]]))</f>
        <v>Zwickau</v>
      </c>
      <c r="M12" s="65" t="s">
        <v>74</v>
      </c>
      <c r="N12" s="64">
        <f>Chronologie[[#This Row],[SA-NR]]</f>
        <v>10</v>
      </c>
      <c r="O12" s="64">
        <f ca="1">IF(Chronologie[[#This Row],[Datum]]="","",IF(TODAY()&gt;=Chronologie[[#This Row],[Datum]],1,0))</f>
        <v>1</v>
      </c>
      <c r="P12" s="64">
        <f>IF(COUNTIFS(Eingabe[ID],Chronologie[[#This Row],[ID]],Eingabe[GES],"&gt;0")&gt;=1,1,0)</f>
        <v>1</v>
      </c>
      <c r="Q12" s="75">
        <f>IF(YEAR(Chronologie[[#This Row],[Datum]])=2025,WEEKNUM(Chronologie[[#This Row],[Datum]],2)-34,IF(YEAR(Chronologie[[#This Row],[Datum]])=2026,WEEKNUM(Chronologie[[#This Row],[Datum]],2)+18,""))</f>
        <v>21</v>
      </c>
      <c r="R12" s="87" t="str">
        <f>IF(Chronologie[[#This Row],[Gegner]]="","",VLOOKUP(Chronologie[[#This Row],[Gegner]],Orte[],5,FALSE))</f>
        <v>Zwickau</v>
      </c>
      <c r="S12" s="87">
        <f>IF(Chronologie[[#This Row],[Gegner]]="","",IF(Chronologie[[#This Row],[H/A]]="H",4,VLOOKUP(Chronologie[[#This Row],[Gegner]],Orte[],6,FALSE)))</f>
        <v>6</v>
      </c>
      <c r="T12" s="85" t="s">
        <v>549</v>
      </c>
      <c r="U12" s="325">
        <f>IFERROR(TIMEVALUE(LEFT(Chronologie[[#This Row],[Startzeit]],5)),"")</f>
        <v>0.5625</v>
      </c>
      <c r="V12" s="325">
        <f>IFERROR(TIMEVALUE(LEFT(Chronologie[[#This Row],[Startzeit]],5))+TIME(12/Chronologie[[#This Row],[Bahnen]],0,0),"")</f>
        <v>0.64583333333333337</v>
      </c>
      <c r="W12" s="1"/>
      <c r="X12" s="132" t="s">
        <v>177</v>
      </c>
      <c r="Y12" s="132" t="s">
        <v>180</v>
      </c>
      <c r="Z12" s="133">
        <v>9430</v>
      </c>
      <c r="AA12" s="134" t="str">
        <f>IF(Orte[[#This Row],[Anschrift]]="",Orte[[#This Row],[Kurzform]],RIGHT(Orte[[#This Row],[Anschrift]],LEN(Orte[[#This Row],[Anschrift]])-FIND("#",SUBSTITUTE(Orte[[#This Row],[Anschrift]]," ","#",LEN(Orte[[#This Row],[Anschrift]])-LEN(SUBSTITUTE(Orte[[#This Row],[Anschrift]]," ",))))))</f>
        <v>Scharfenstein</v>
      </c>
      <c r="AB12" s="134" t="s">
        <v>215</v>
      </c>
      <c r="AC12" s="6">
        <v>2</v>
      </c>
      <c r="AD12" s="1"/>
    </row>
    <row r="13" spans="1:30" x14ac:dyDescent="0.3">
      <c r="A13" s="74">
        <f t="shared" si="0"/>
        <v>11</v>
      </c>
      <c r="B13" s="74" t="s">
        <v>477</v>
      </c>
      <c r="C13" s="74" t="s">
        <v>795</v>
      </c>
      <c r="E13" s="60">
        <f t="shared" si="1"/>
        <v>11</v>
      </c>
      <c r="F13" s="61" t="str">
        <f>Chronologie[[#This Row],[Team]]&amp;"-"&amp;Chronologie[[#This Row],[L/P/E]]&amp;"-"&amp;Chronologie[[#This Row],[ST]]</f>
        <v>E-L-11</v>
      </c>
      <c r="G13" s="62">
        <v>46046</v>
      </c>
      <c r="H13" s="64" t="s">
        <v>4</v>
      </c>
      <c r="I13" s="64" t="s">
        <v>663</v>
      </c>
      <c r="J13" s="66">
        <v>11</v>
      </c>
      <c r="K13" s="67" t="s">
        <v>664</v>
      </c>
      <c r="L13" s="72" t="str">
        <f>IF(Chronologie[[#This Row],[H/A]]="A",VLOOKUP(Chronologie[[#This Row],[Gegner]],Orte[],4,FALSE),IF(Chronologie[[#This Row],[H/A]]="H","Hirschfeld",Chronologie[[#This Row],[Gegner]]))</f>
        <v>Hirschfeld</v>
      </c>
      <c r="M13" s="84" t="s">
        <v>72</v>
      </c>
      <c r="N13" s="64">
        <f>Chronologie[[#This Row],[SA-NR]]</f>
        <v>11</v>
      </c>
      <c r="O13" s="64">
        <f ca="1">IF(Chronologie[[#This Row],[Datum]]="","",IF(TODAY()&gt;=Chronologie[[#This Row],[Datum]],1,0))</f>
        <v>1</v>
      </c>
      <c r="P13" s="64">
        <f>IF(COUNTIFS(Eingabe[ID],Chronologie[[#This Row],[ID]],Eingabe[GES],"&gt;0")&gt;=1,1,0)</f>
        <v>1</v>
      </c>
      <c r="Q13" s="75">
        <f>IF(YEAR(Chronologie[[#This Row],[Datum]])=2025,WEEKNUM(Chronologie[[#This Row],[Datum]],2)-34,IF(YEAR(Chronologie[[#This Row],[Datum]])=2026,WEEKNUM(Chronologie[[#This Row],[Datum]],2)+18,""))</f>
        <v>22</v>
      </c>
      <c r="R13" s="87" t="str">
        <f>IF(Chronologie[[#This Row],[Gegner]]="","",VLOOKUP(Chronologie[[#This Row],[Gegner]],Orte[],5,FALSE))</f>
        <v>Großschirma</v>
      </c>
      <c r="S13" s="87">
        <f>IF(Chronologie[[#This Row],[Gegner]]="","",IF(Chronologie[[#This Row],[H/A]]="H",4,VLOOKUP(Chronologie[[#This Row],[Gegner]],Orte[],6,FALSE)))</f>
        <v>4</v>
      </c>
      <c r="T13" s="85" t="s">
        <v>544</v>
      </c>
      <c r="U13" s="325">
        <f>IFERROR(TIMEVALUE(LEFT(Chronologie[[#This Row],[Startzeit]],5)),"")</f>
        <v>0.54166666666666663</v>
      </c>
      <c r="V13" s="325">
        <f>IFERROR(TIMEVALUE(LEFT(Chronologie[[#This Row],[Startzeit]],5))+TIME(12/Chronologie[[#This Row],[Bahnen]],0,0),"")</f>
        <v>0.66666666666666663</v>
      </c>
      <c r="W13" s="1"/>
      <c r="X13" s="132" t="s">
        <v>301</v>
      </c>
      <c r="Y13" s="132" t="s">
        <v>396</v>
      </c>
      <c r="Z13" s="133">
        <v>9496</v>
      </c>
      <c r="AA13" s="134" t="str">
        <f>IF(Orte[[#This Row],[Anschrift]]="",Orte[[#This Row],[Kurzform]],RIGHT(Orte[[#This Row],[Anschrift]],LEN(Orte[[#This Row],[Anschrift]])-FIND("#",SUBSTITUTE(Orte[[#This Row],[Anschrift]]," ","#",LEN(Orte[[#This Row],[Anschrift]])-LEN(SUBSTITUTE(Orte[[#This Row],[Anschrift]]," ",))))))</f>
        <v>Marienberg</v>
      </c>
      <c r="AB13" s="134" t="s">
        <v>379</v>
      </c>
      <c r="AC13" s="6">
        <v>2</v>
      </c>
      <c r="AD13" s="1"/>
    </row>
    <row r="14" spans="1:30" x14ac:dyDescent="0.3">
      <c r="A14" s="74">
        <f t="shared" si="0"/>
        <v>12</v>
      </c>
      <c r="B14" s="74" t="s">
        <v>478</v>
      </c>
      <c r="C14" s="74" t="s">
        <v>9</v>
      </c>
      <c r="E14" s="60">
        <f t="shared" si="1"/>
        <v>12</v>
      </c>
      <c r="F14" s="61" t="str">
        <f>Chronologie[[#This Row],[Team]]&amp;"-"&amp;Chronologie[[#This Row],[L/P/E]]&amp;"-"&amp;Chronologie[[#This Row],[ST]]</f>
        <v>E-L-12</v>
      </c>
      <c r="G14" s="62">
        <v>46060</v>
      </c>
      <c r="H14" s="64" t="s">
        <v>4</v>
      </c>
      <c r="I14" s="64" t="s">
        <v>663</v>
      </c>
      <c r="J14" s="61">
        <v>12</v>
      </c>
      <c r="K14" s="63" t="s">
        <v>669</v>
      </c>
      <c r="L14" s="72" t="str">
        <f>IF(Chronologie[[#This Row],[H/A]]="A",VLOOKUP(Chronologie[[#This Row],[Gegner]],Orte[],4,FALSE),IF(Chronologie[[#This Row],[H/A]]="H","Hirschfeld",Chronologie[[#This Row],[Gegner]]))</f>
        <v>Mehltheuer</v>
      </c>
      <c r="M14" s="65" t="s">
        <v>74</v>
      </c>
      <c r="N14" s="64">
        <f>Chronologie[[#This Row],[SA-NR]]</f>
        <v>12</v>
      </c>
      <c r="O14" s="64">
        <f ca="1">IF(Chronologie[[#This Row],[Datum]]="","",IF(TODAY()&gt;=Chronologie[[#This Row],[Datum]],1,0))</f>
        <v>0</v>
      </c>
      <c r="P14" s="64">
        <f>IF(COUNTIFS(Eingabe[ID],Chronologie[[#This Row],[ID]],Eingabe[GES],"&gt;0")&gt;=1,1,0)</f>
        <v>0</v>
      </c>
      <c r="Q14" s="75">
        <f>IF(YEAR(Chronologie[[#This Row],[Datum]])=2025,WEEKNUM(Chronologie[[#This Row],[Datum]],2)-34,IF(YEAR(Chronologie[[#This Row],[Datum]])=2026,WEEKNUM(Chronologie[[#This Row],[Datum]],2)+18,""))</f>
        <v>24</v>
      </c>
      <c r="R14" s="87" t="str">
        <f>IF(Chronologie[[#This Row],[Gegner]]="","",VLOOKUP(Chronologie[[#This Row],[Gegner]],Orte[],5,FALSE))</f>
        <v>Mehltheuer</v>
      </c>
      <c r="S14" s="87">
        <f>IF(Chronologie[[#This Row],[Gegner]]="","",IF(Chronologie[[#This Row],[H/A]]="H",4,VLOOKUP(Chronologie[[#This Row],[Gegner]],Orte[],6,FALSE)))</f>
        <v>4</v>
      </c>
      <c r="T14" s="85" t="s">
        <v>544</v>
      </c>
      <c r="U14" s="325">
        <f>IFERROR(TIMEVALUE(LEFT(Chronologie[[#This Row],[Startzeit]],5)),"")</f>
        <v>0.54166666666666663</v>
      </c>
      <c r="V14" s="325">
        <f>IFERROR(TIMEVALUE(LEFT(Chronologie[[#This Row],[Startzeit]],5))+TIME(12/Chronologie[[#This Row],[Bahnen]],0,0),"")</f>
        <v>0.66666666666666663</v>
      </c>
      <c r="W14" s="1"/>
      <c r="X14" s="132" t="s">
        <v>402</v>
      </c>
      <c r="Y14" s="132" t="s">
        <v>401</v>
      </c>
      <c r="Z14" s="133">
        <v>8060</v>
      </c>
      <c r="AA14" s="134" t="str">
        <f>IF(Orte[[#This Row],[Anschrift]]="",Orte[[#This Row],[Kurzform]],RIGHT(Orte[[#This Row],[Anschrift]],LEN(Orte[[#This Row],[Anschrift]])-FIND("#",SUBSTITUTE(Orte[[#This Row],[Anschrift]]," ","#",LEN(Orte[[#This Row],[Anschrift]])-LEN(SUBSTITUTE(Orte[[#This Row],[Anschrift]]," ",))))))</f>
        <v>Zwickau</v>
      </c>
      <c r="AB14" s="134" t="s">
        <v>290</v>
      </c>
      <c r="AC14" s="6">
        <v>4</v>
      </c>
      <c r="AD14" s="1"/>
    </row>
    <row r="15" spans="1:30" x14ac:dyDescent="0.3">
      <c r="A15" s="74">
        <f t="shared" si="0"/>
        <v>13</v>
      </c>
      <c r="B15" s="74" t="s">
        <v>479</v>
      </c>
      <c r="C15" s="74" t="s">
        <v>10</v>
      </c>
      <c r="E15" s="60">
        <f t="shared" si="1"/>
        <v>13</v>
      </c>
      <c r="F15" s="61" t="str">
        <f>Chronologie[[#This Row],[Team]]&amp;"-"&amp;Chronologie[[#This Row],[L/P/E]]&amp;"-"&amp;Chronologie[[#This Row],[ST]]</f>
        <v>E-L-13</v>
      </c>
      <c r="G15" s="65">
        <v>46074</v>
      </c>
      <c r="H15" s="64" t="s">
        <v>4</v>
      </c>
      <c r="I15" s="64" t="s">
        <v>663</v>
      </c>
      <c r="J15" s="64">
        <v>13</v>
      </c>
      <c r="K15" s="63" t="s">
        <v>357</v>
      </c>
      <c r="L15" s="73" t="str">
        <f>IF(Chronologie[[#This Row],[H/A]]="A",VLOOKUP(Chronologie[[#This Row],[Gegner]],Orte[],4,FALSE),IF(Chronologie[[#This Row],[H/A]]="H","Hirschfeld",Chronologie[[#This Row],[Gegner]]))</f>
        <v>Lengenfeld</v>
      </c>
      <c r="M15" s="84" t="s">
        <v>74</v>
      </c>
      <c r="N15" s="64">
        <f>Chronologie[[#This Row],[SA-NR]]</f>
        <v>13</v>
      </c>
      <c r="O15" s="64">
        <f ca="1">IF(Chronologie[[#This Row],[Datum]]="","",IF(TODAY()&gt;=Chronologie[[#This Row],[Datum]],1,0))</f>
        <v>0</v>
      </c>
      <c r="P15" s="64">
        <f>IF(COUNTIFS(Eingabe[ID],Chronologie[[#This Row],[ID]],Eingabe[GES],"&gt;0")&gt;=1,1,0)</f>
        <v>0</v>
      </c>
      <c r="Q15" s="75">
        <f>IF(YEAR(Chronologie[[#This Row],[Datum]])=2025,WEEKNUM(Chronologie[[#This Row],[Datum]],2)-34,IF(YEAR(Chronologie[[#This Row],[Datum]])=2026,WEEKNUM(Chronologie[[#This Row],[Datum]],2)+18,""))</f>
        <v>26</v>
      </c>
      <c r="R15" s="87" t="str">
        <f>IF(Chronologie[[#This Row],[Gegner]]="","",VLOOKUP(Chronologie[[#This Row],[Gegner]],Orte[],5,FALSE))</f>
        <v>Lengenfeld</v>
      </c>
      <c r="S15" s="87">
        <f>IF(Chronologie[[#This Row],[Gegner]]="","",IF(Chronologie[[#This Row],[H/A]]="H",4,VLOOKUP(Chronologie[[#This Row],[Gegner]],Orte[],6,FALSE)))</f>
        <v>4</v>
      </c>
      <c r="T15" s="85" t="s">
        <v>544</v>
      </c>
      <c r="U15" s="325">
        <f>IFERROR(TIMEVALUE(LEFT(Chronologie[[#This Row],[Startzeit]],5)),"")</f>
        <v>0.54166666666666663</v>
      </c>
      <c r="V15" s="325">
        <f>IFERROR(TIMEVALUE(LEFT(Chronologie[[#This Row],[Startzeit]],5))+TIME(12/Chronologie[[#This Row],[Bahnen]],0,0),"")</f>
        <v>0.66666666666666663</v>
      </c>
      <c r="W15" s="1"/>
      <c r="X15" s="132" t="s">
        <v>78</v>
      </c>
      <c r="Y15" s="134" t="s">
        <v>165</v>
      </c>
      <c r="Z15" s="133">
        <v>1936</v>
      </c>
      <c r="AA15" s="134" t="str">
        <f>IF(Orte[[#This Row],[Anschrift]]="",Orte[[#This Row],[Kurzform]],RIGHT(Orte[[#This Row],[Anschrift]],LEN(Orte[[#This Row],[Anschrift]])-FIND("#",SUBSTITUTE(Orte[[#This Row],[Anschrift]]," ","#",LEN(Orte[[#This Row],[Anschrift]])-LEN(SUBSTITUTE(Orte[[#This Row],[Anschrift]]," ",))))))</f>
        <v>Königsbrück</v>
      </c>
      <c r="AB15" s="134" t="s">
        <v>203</v>
      </c>
      <c r="AC15" s="6">
        <v>4</v>
      </c>
      <c r="AD15" s="1"/>
    </row>
    <row r="16" spans="1:30" x14ac:dyDescent="0.3">
      <c r="A16" s="74">
        <f t="shared" si="0"/>
        <v>14</v>
      </c>
      <c r="B16" s="74" t="s">
        <v>480</v>
      </c>
      <c r="C16" s="74" t="s">
        <v>16</v>
      </c>
      <c r="E16" s="60">
        <f t="shared" si="1"/>
        <v>14</v>
      </c>
      <c r="F16" s="61" t="str">
        <f>Chronologie[[#This Row],[Team]]&amp;"-"&amp;Chronologie[[#This Row],[L/P/E]]&amp;"-"&amp;Chronologie[[#This Row],[ST]]</f>
        <v>E-L-14</v>
      </c>
      <c r="G16" s="62">
        <v>46081</v>
      </c>
      <c r="H16" s="64" t="s">
        <v>4</v>
      </c>
      <c r="I16" s="64" t="s">
        <v>663</v>
      </c>
      <c r="J16" s="66">
        <v>14</v>
      </c>
      <c r="K16" s="67" t="s">
        <v>665</v>
      </c>
      <c r="L16" s="72" t="str">
        <f>IF(Chronologie[[#This Row],[H/A]]="A",VLOOKUP(Chronologie[[#This Row],[Gegner]],Orte[],4,FALSE),IF(Chronologie[[#This Row],[H/A]]="H","Hirschfeld",Chronologie[[#This Row],[Gegner]]))</f>
        <v>Hirschfeld</v>
      </c>
      <c r="M16" s="65" t="s">
        <v>72</v>
      </c>
      <c r="N16" s="64">
        <f>Chronologie[[#This Row],[SA-NR]]</f>
        <v>14</v>
      </c>
      <c r="O16" s="64">
        <f ca="1">IF(Chronologie[[#This Row],[Datum]]="","",IF(TODAY()&gt;=Chronologie[[#This Row],[Datum]],1,0))</f>
        <v>0</v>
      </c>
      <c r="P16" s="64">
        <f>IF(COUNTIFS(Eingabe[ID],Chronologie[[#This Row],[ID]],Eingabe[GES],"&gt;0")&gt;=1,1,0)</f>
        <v>0</v>
      </c>
      <c r="Q16" s="75">
        <f>IF(YEAR(Chronologie[[#This Row],[Datum]])=2025,WEEKNUM(Chronologie[[#This Row],[Datum]],2)-34,IF(YEAR(Chronologie[[#This Row],[Datum]])=2026,WEEKNUM(Chronologie[[#This Row],[Datum]],2)+18,""))</f>
        <v>27</v>
      </c>
      <c r="R16" s="87" t="str">
        <f>IF(Chronologie[[#This Row],[Gegner]]="","",VLOOKUP(Chronologie[[#This Row],[Gegner]],Orte[],5,FALSE))</f>
        <v>Schönberg</v>
      </c>
      <c r="S16" s="87">
        <f>IF(Chronologie[[#This Row],[Gegner]]="","",IF(Chronologie[[#This Row],[H/A]]="H",4,VLOOKUP(Chronologie[[#This Row],[Gegner]],Orte[],6,FALSE)))</f>
        <v>4</v>
      </c>
      <c r="T16" s="85" t="s">
        <v>544</v>
      </c>
      <c r="U16" s="325">
        <f>IFERROR(TIMEVALUE(LEFT(Chronologie[[#This Row],[Startzeit]],5)),"")</f>
        <v>0.54166666666666663</v>
      </c>
      <c r="V16" s="325">
        <f>IFERROR(TIMEVALUE(LEFT(Chronologie[[#This Row],[Startzeit]],5))+TIME(12/Chronologie[[#This Row],[Bahnen]],0,0),"")</f>
        <v>0.66666666666666663</v>
      </c>
      <c r="W16" s="1"/>
      <c r="X16" s="132" t="s">
        <v>82</v>
      </c>
      <c r="Y16" s="132" t="s">
        <v>172</v>
      </c>
      <c r="Z16" s="133">
        <v>2699</v>
      </c>
      <c r="AA16" s="134" t="str">
        <f>IF(Orte[[#This Row],[Anschrift]]="",Orte[[#This Row],[Kurzform]],RIGHT(Orte[[#This Row],[Anschrift]],LEN(Orte[[#This Row],[Anschrift]])-FIND("#",SUBSTITUTE(Orte[[#This Row],[Anschrift]]," ","#",LEN(Orte[[#This Row],[Anschrift]])-LEN(SUBSTITUTE(Orte[[#This Row],[Anschrift]]," ",))))))</f>
        <v>Königswartha</v>
      </c>
      <c r="AB16" s="134" t="s">
        <v>206</v>
      </c>
      <c r="AC16" s="6">
        <v>4</v>
      </c>
      <c r="AD16" s="1"/>
    </row>
    <row r="17" spans="1:30" x14ac:dyDescent="0.3">
      <c r="A17" s="74">
        <f t="shared" si="0"/>
        <v>15</v>
      </c>
      <c r="B17" s="74" t="s">
        <v>659</v>
      </c>
      <c r="C17" s="74" t="s">
        <v>4</v>
      </c>
      <c r="E17" s="60">
        <f t="shared" si="1"/>
        <v>15</v>
      </c>
      <c r="F17" s="61" t="str">
        <f>Chronologie[[#This Row],[Team]]&amp;"-"&amp;Chronologie[[#This Row],[L/P/E]]&amp;"-"&amp;Chronologie[[#This Row],[ST]]</f>
        <v>E-L-15</v>
      </c>
      <c r="G17" s="65">
        <v>46095</v>
      </c>
      <c r="H17" s="64" t="s">
        <v>4</v>
      </c>
      <c r="I17" s="64" t="s">
        <v>663</v>
      </c>
      <c r="J17" s="61">
        <v>15</v>
      </c>
      <c r="K17" s="63" t="s">
        <v>668</v>
      </c>
      <c r="L17" s="73" t="str">
        <f>IF(Chronologie[[#This Row],[H/A]]="A",VLOOKUP(Chronologie[[#This Row],[Gegner]],Orte[],4,FALSE),IF(Chronologie[[#This Row],[H/A]]="H","Hirschfeld",Chronologie[[#This Row],[Gegner]]))</f>
        <v>Taucha</v>
      </c>
      <c r="M17" s="84" t="s">
        <v>74</v>
      </c>
      <c r="N17" s="64">
        <f>Chronologie[[#This Row],[SA-NR]]</f>
        <v>15</v>
      </c>
      <c r="O17" s="64">
        <f ca="1">IF(Chronologie[[#This Row],[Datum]]="","",IF(TODAY()&gt;=Chronologie[[#This Row],[Datum]],1,0))</f>
        <v>0</v>
      </c>
      <c r="P17" s="64">
        <f>IF(COUNTIFS(Eingabe[ID],Chronologie[[#This Row],[ID]],Eingabe[GES],"&gt;0")&gt;=1,1,0)</f>
        <v>0</v>
      </c>
      <c r="Q17" s="75">
        <f>IF(YEAR(Chronologie[[#This Row],[Datum]])=2025,WEEKNUM(Chronologie[[#This Row],[Datum]],2)-34,IF(YEAR(Chronologie[[#This Row],[Datum]])=2026,WEEKNUM(Chronologie[[#This Row],[Datum]],2)+18,""))</f>
        <v>29</v>
      </c>
      <c r="R17" s="87" t="str">
        <f>IF(Chronologie[[#This Row],[Gegner]]="","",VLOOKUP(Chronologie[[#This Row],[Gegner]],Orte[],5,FALSE))</f>
        <v>Taucha</v>
      </c>
      <c r="S17" s="87">
        <f>IF(Chronologie[[#This Row],[Gegner]]="","",IF(Chronologie[[#This Row],[H/A]]="H",4,VLOOKUP(Chronologie[[#This Row],[Gegner]],Orte[],6,FALSE)))</f>
        <v>4</v>
      </c>
      <c r="T17" s="85" t="s">
        <v>544</v>
      </c>
      <c r="U17" s="325">
        <f>IFERROR(TIMEVALUE(LEFT(Chronologie[[#This Row],[Startzeit]],5)),"")</f>
        <v>0.54166666666666663</v>
      </c>
      <c r="V17" s="325">
        <f>IFERROR(TIMEVALUE(LEFT(Chronologie[[#This Row],[Startzeit]],5))+TIME(12/Chronologie[[#This Row],[Bahnen]],0,0),"")</f>
        <v>0.66666666666666663</v>
      </c>
      <c r="W17" s="1"/>
      <c r="X17" s="132" t="s">
        <v>382</v>
      </c>
      <c r="Y17" s="132" t="s">
        <v>383</v>
      </c>
      <c r="Z17" s="133">
        <v>8499</v>
      </c>
      <c r="AA17" s="134" t="str">
        <f>IF(Orte[[#This Row],[Anschrift]]="",Orte[[#This Row],[Kurzform]],RIGHT(Orte[[#This Row],[Anschrift]],LEN(Orte[[#This Row],[Anschrift]])-FIND("#",SUBSTITUTE(Orte[[#This Row],[Anschrift]]," ","#",LEN(Orte[[#This Row],[Anschrift]])-LEN(SUBSTITUTE(Orte[[#This Row],[Anschrift]]," ",))))))</f>
        <v>Reichenbach</v>
      </c>
      <c r="AB17" s="134" t="s">
        <v>381</v>
      </c>
      <c r="AC17" s="6">
        <v>6</v>
      </c>
      <c r="AD17" s="1"/>
    </row>
    <row r="18" spans="1:30" x14ac:dyDescent="0.3">
      <c r="A18" s="74">
        <f t="shared" si="0"/>
        <v>16</v>
      </c>
      <c r="B18" s="74" t="s">
        <v>456</v>
      </c>
      <c r="C18" s="74" t="s">
        <v>10</v>
      </c>
      <c r="E18" s="60">
        <f t="shared" si="1"/>
        <v>16</v>
      </c>
      <c r="F18" s="61" t="str">
        <f>Chronologie[[#This Row],[Team]]&amp;"-"&amp;Chronologie[[#This Row],[L/P/E]]&amp;"-"&amp;Chronologie[[#This Row],[ST]]</f>
        <v>E-L-16</v>
      </c>
      <c r="G18" s="65">
        <v>46102</v>
      </c>
      <c r="H18" s="64" t="s">
        <v>4</v>
      </c>
      <c r="I18" s="64" t="s">
        <v>663</v>
      </c>
      <c r="J18" s="64">
        <v>16</v>
      </c>
      <c r="K18" s="63" t="s">
        <v>79</v>
      </c>
      <c r="L18" s="73" t="str">
        <f>IF(Chronologie[[#This Row],[H/A]]="A",VLOOKUP(Chronologie[[#This Row],[Gegner]],Orte[],4,FALSE),IF(Chronologie[[#This Row],[H/A]]="H","Hirschfeld",Chronologie[[#This Row],[Gegner]]))</f>
        <v>Krummenhennersdorf</v>
      </c>
      <c r="M18" s="65" t="s">
        <v>74</v>
      </c>
      <c r="N18" s="64">
        <f>Chronologie[[#This Row],[SA-NR]]</f>
        <v>16</v>
      </c>
      <c r="O18" s="64">
        <f ca="1">IF(Chronologie[[#This Row],[Datum]]="","",IF(TODAY()&gt;=Chronologie[[#This Row],[Datum]],1,0))</f>
        <v>0</v>
      </c>
      <c r="P18" s="64">
        <f>IF(COUNTIFS(Eingabe[ID],Chronologie[[#This Row],[ID]],Eingabe[GES],"&gt;0")&gt;=1,1,0)</f>
        <v>0</v>
      </c>
      <c r="Q18" s="75">
        <f>IF(YEAR(Chronologie[[#This Row],[Datum]])=2025,WEEKNUM(Chronologie[[#This Row],[Datum]],2)-34,IF(YEAR(Chronologie[[#This Row],[Datum]])=2026,WEEKNUM(Chronologie[[#This Row],[Datum]],2)+18,""))</f>
        <v>30</v>
      </c>
      <c r="R18" s="87" t="str">
        <f>IF(Chronologie[[#This Row],[Gegner]]="","",VLOOKUP(Chronologie[[#This Row],[Gegner]],Orte[],5,FALSE))</f>
        <v>Hohentanne</v>
      </c>
      <c r="S18" s="87">
        <f>IF(Chronologie[[#This Row],[Gegner]]="","",IF(Chronologie[[#This Row],[H/A]]="H",4,VLOOKUP(Chronologie[[#This Row],[Gegner]],Orte[],6,FALSE)))</f>
        <v>4</v>
      </c>
      <c r="T18" s="85" t="s">
        <v>544</v>
      </c>
      <c r="U18" s="325">
        <f>IFERROR(TIMEVALUE(LEFT(Chronologie[[#This Row],[Startzeit]],5)),"")</f>
        <v>0.54166666666666663</v>
      </c>
      <c r="V18" s="325">
        <f>IFERROR(TIMEVALUE(LEFT(Chronologie[[#This Row],[Startzeit]],5))+TIME(12/Chronologie[[#This Row],[Bahnen]],0,0),"")</f>
        <v>0.66666666666666663</v>
      </c>
      <c r="W18" s="1"/>
      <c r="X18" s="132" t="s">
        <v>545</v>
      </c>
      <c r="Y18" s="132" t="s">
        <v>546</v>
      </c>
      <c r="Z18" s="133">
        <v>1705</v>
      </c>
      <c r="AA18" s="134" t="str">
        <f>IF(Orte[[#This Row],[Anschrift]]="",Orte[[#This Row],[Kurzform]],RIGHT(Orte[[#This Row],[Anschrift]],LEN(Orte[[#This Row],[Anschrift]])-FIND("#",SUBSTITUTE(Orte[[#This Row],[Anschrift]]," ","#",LEN(Orte[[#This Row],[Anschrift]])-LEN(SUBSTITUTE(Orte[[#This Row],[Anschrift]]," ",))))))</f>
        <v>Freital</v>
      </c>
      <c r="AB18" s="134" t="s">
        <v>547</v>
      </c>
      <c r="AC18" s="6">
        <v>4</v>
      </c>
      <c r="AD18" s="1"/>
    </row>
    <row r="19" spans="1:30" x14ac:dyDescent="0.3">
      <c r="A19" s="74">
        <f t="shared" si="0"/>
        <v>17</v>
      </c>
      <c r="B19" s="74" t="s">
        <v>736</v>
      </c>
      <c r="C19" s="74" t="s">
        <v>10</v>
      </c>
      <c r="E19" s="60">
        <f t="shared" si="1"/>
        <v>17</v>
      </c>
      <c r="F19" s="61" t="str">
        <f>Chronologie[[#This Row],[Team]]&amp;"-"&amp;Chronologie[[#This Row],[L/P/E]]&amp;"-"&amp;Chronologie[[#This Row],[ST]]</f>
        <v>E-L-17</v>
      </c>
      <c r="G19" s="62">
        <v>46109</v>
      </c>
      <c r="H19" s="64" t="s">
        <v>4</v>
      </c>
      <c r="I19" s="64" t="s">
        <v>663</v>
      </c>
      <c r="J19" s="66">
        <v>17</v>
      </c>
      <c r="K19" s="63" t="s">
        <v>667</v>
      </c>
      <c r="L19" s="72" t="str">
        <f>IF(Chronologie[[#This Row],[H/A]]="A",VLOOKUP(Chronologie[[#This Row],[Gegner]],Orte[],4,FALSE),IF(Chronologie[[#This Row],[H/A]]="H","Hirschfeld",Chronologie[[#This Row],[Gegner]]))</f>
        <v>Stollberg</v>
      </c>
      <c r="M19" s="84" t="s">
        <v>74</v>
      </c>
      <c r="N19" s="64">
        <f>Chronologie[[#This Row],[SA-NR]]</f>
        <v>17</v>
      </c>
      <c r="O19" s="64">
        <f ca="1">IF(Chronologie[[#This Row],[Datum]]="","",IF(TODAY()&gt;=Chronologie[[#This Row],[Datum]],1,0))</f>
        <v>0</v>
      </c>
      <c r="P19" s="64">
        <f>IF(COUNTIFS(Eingabe[ID],Chronologie[[#This Row],[ID]],Eingabe[GES],"&gt;0")&gt;=1,1,0)</f>
        <v>0</v>
      </c>
      <c r="Q19" s="75">
        <f>IF(YEAR(Chronologie[[#This Row],[Datum]])=2025,WEEKNUM(Chronologie[[#This Row],[Datum]],2)-34,IF(YEAR(Chronologie[[#This Row],[Datum]])=2026,WEEKNUM(Chronologie[[#This Row],[Datum]],2)+18,""))</f>
        <v>31</v>
      </c>
      <c r="R19" s="87" t="str">
        <f>IF(Chronologie[[#This Row],[Gegner]]="","",VLOOKUP(Chronologie[[#This Row],[Gegner]],Orte[],5,FALSE))</f>
        <v>Stollberg III</v>
      </c>
      <c r="S19" s="87">
        <f>IF(Chronologie[[#This Row],[Gegner]]="","",IF(Chronologie[[#This Row],[H/A]]="H",4,VLOOKUP(Chronologie[[#This Row],[Gegner]],Orte[],6,FALSE)))</f>
        <v>4</v>
      </c>
      <c r="T19" s="85" t="s">
        <v>544</v>
      </c>
      <c r="U19" s="325">
        <f>IFERROR(TIMEVALUE(LEFT(Chronologie[[#This Row],[Startzeit]],5)),"")</f>
        <v>0.54166666666666663</v>
      </c>
      <c r="V19" s="325">
        <f>IFERROR(TIMEVALUE(LEFT(Chronologie[[#This Row],[Startzeit]],5))+TIME(12/Chronologie[[#This Row],[Bahnen]],0,0),"")</f>
        <v>0.66666666666666663</v>
      </c>
      <c r="W19" s="1"/>
      <c r="X19" s="132" t="s">
        <v>419</v>
      </c>
      <c r="Y19" s="132" t="s">
        <v>420</v>
      </c>
      <c r="Z19" s="133">
        <v>4828</v>
      </c>
      <c r="AA19" s="134" t="str">
        <f>IF(Orte[[#This Row],[Anschrift]]="",Orte[[#This Row],[Kurzform]],RIGHT(Orte[[#This Row],[Anschrift]],LEN(Orte[[#This Row],[Anschrift]])-FIND("#",SUBSTITUTE(Orte[[#This Row],[Anschrift]]," ","#",LEN(Orte[[#This Row],[Anschrift]])-LEN(SUBSTITUTE(Orte[[#This Row],[Anschrift]]," ",))))))</f>
        <v>Bennewitz</v>
      </c>
      <c r="AB19" s="134" t="s">
        <v>421</v>
      </c>
      <c r="AC19" s="6">
        <v>4</v>
      </c>
      <c r="AD19" s="1"/>
    </row>
    <row r="20" spans="1:30" x14ac:dyDescent="0.3">
      <c r="A20" s="74">
        <f t="shared" si="0"/>
        <v>18</v>
      </c>
      <c r="B20" s="74" t="s">
        <v>467</v>
      </c>
      <c r="C20" s="74" t="s">
        <v>10</v>
      </c>
      <c r="E20" s="60">
        <f t="shared" si="1"/>
        <v>18</v>
      </c>
      <c r="F20" s="61" t="str">
        <f>Chronologie[[#This Row],[Team]]&amp;"-"&amp;Chronologie[[#This Row],[L/P/E]]&amp;"-"&amp;Chronologie[[#This Row],[ST]]</f>
        <v>E-L-18</v>
      </c>
      <c r="G20" s="65">
        <v>46130</v>
      </c>
      <c r="H20" s="64" t="s">
        <v>4</v>
      </c>
      <c r="I20" s="64" t="s">
        <v>663</v>
      </c>
      <c r="J20" s="61">
        <v>18</v>
      </c>
      <c r="K20" s="63" t="s">
        <v>355</v>
      </c>
      <c r="L20" s="73" t="str">
        <f>IF(Chronologie[[#This Row],[H/A]]="A",VLOOKUP(Chronologie[[#This Row],[Gegner]],Orte[],4,FALSE),IF(Chronologie[[#This Row],[H/A]]="H","Hirschfeld",Chronologie[[#This Row],[Gegner]]))</f>
        <v>Hirschfeld</v>
      </c>
      <c r="M20" s="65" t="s">
        <v>72</v>
      </c>
      <c r="N20" s="64">
        <f>Chronologie[[#This Row],[SA-NR]]</f>
        <v>18</v>
      </c>
      <c r="O20" s="64">
        <f ca="1">IF(Chronologie[[#This Row],[Datum]]="","",IF(TODAY()&gt;=Chronologie[[#This Row],[Datum]],1,0))</f>
        <v>0</v>
      </c>
      <c r="P20" s="64">
        <f>IF(COUNTIFS(Eingabe[ID],Chronologie[[#This Row],[ID]],Eingabe[GES],"&gt;0")&gt;=1,1,0)</f>
        <v>0</v>
      </c>
      <c r="Q20" s="75">
        <f>IF(YEAR(Chronologie[[#This Row],[Datum]])=2025,WEEKNUM(Chronologie[[#This Row],[Datum]],2)-34,IF(YEAR(Chronologie[[#This Row],[Datum]])=2026,WEEKNUM(Chronologie[[#This Row],[Datum]],2)+18,""))</f>
        <v>34</v>
      </c>
      <c r="R20" s="87" t="str">
        <f>IF(Chronologie[[#This Row],[Gegner]]="","",VLOOKUP(Chronologie[[#This Row],[Gegner]],Orte[],5,FALSE))</f>
        <v>Treuen</v>
      </c>
      <c r="S20" s="87">
        <f>IF(Chronologie[[#This Row],[Gegner]]="","",IF(Chronologie[[#This Row],[H/A]]="H",4,VLOOKUP(Chronologie[[#This Row],[Gegner]],Orte[],6,FALSE)))</f>
        <v>4</v>
      </c>
      <c r="T20" s="85" t="s">
        <v>544</v>
      </c>
      <c r="U20" s="325">
        <f>IFERROR(TIMEVALUE(LEFT(Chronologie[[#This Row],[Startzeit]],5)),"")</f>
        <v>0.54166666666666663</v>
      </c>
      <c r="V20" s="325">
        <f>IFERROR(TIMEVALUE(LEFT(Chronologie[[#This Row],[Startzeit]],5))+TIME(12/Chronologie[[#This Row],[Bahnen]],0,0),"")</f>
        <v>0.66666666666666663</v>
      </c>
      <c r="W20" s="1"/>
      <c r="X20" s="132" t="s">
        <v>159</v>
      </c>
      <c r="Y20" s="132" t="s">
        <v>172</v>
      </c>
      <c r="Z20" s="133">
        <v>2699</v>
      </c>
      <c r="AA20" s="134" t="str">
        <f>IF(Orte[[#This Row],[Anschrift]]="",Orte[[#This Row],[Kurzform]],RIGHT(Orte[[#This Row],[Anschrift]],LEN(Orte[[#This Row],[Anschrift]])-FIND("#",SUBSTITUTE(Orte[[#This Row],[Anschrift]]," ","#",LEN(Orte[[#This Row],[Anschrift]])-LEN(SUBSTITUTE(Orte[[#This Row],[Anschrift]]," ",))))))</f>
        <v>Königswartha</v>
      </c>
      <c r="AB20" s="134" t="s">
        <v>236</v>
      </c>
      <c r="AC20" s="6">
        <v>4</v>
      </c>
      <c r="AD20" s="1"/>
    </row>
    <row r="21" spans="1:30" x14ac:dyDescent="0.3">
      <c r="A21" s="74">
        <f t="shared" si="0"/>
        <v>19</v>
      </c>
      <c r="B21" s="74" t="s">
        <v>14</v>
      </c>
      <c r="C21" s="74" t="s">
        <v>16</v>
      </c>
      <c r="E21" s="60">
        <f t="shared" si="1"/>
        <v>19</v>
      </c>
      <c r="F21" s="61" t="str">
        <f>Chronologie[[#This Row],[Team]]&amp;"-"&amp;Chronologie[[#This Row],[L/P/E]]&amp;"-"&amp;Chronologie[[#This Row],[ST]]</f>
        <v>F-L-1</v>
      </c>
      <c r="G21" s="62">
        <v>45921</v>
      </c>
      <c r="H21" s="61" t="s">
        <v>16</v>
      </c>
      <c r="I21" s="61" t="s">
        <v>663</v>
      </c>
      <c r="J21" s="64">
        <v>1</v>
      </c>
      <c r="K21" s="63" t="s">
        <v>83</v>
      </c>
      <c r="L21" s="72" t="str">
        <f>IF(Chronologie[[#This Row],[H/A]]="A",VLOOKUP(Chronologie[[#This Row],[Gegner]],Orte[],4,FALSE),IF(Chronologie[[#This Row],[H/A]]="H","Hirschfeld",Chronologie[[#This Row],[Gegner]]))</f>
        <v>Dresden</v>
      </c>
      <c r="M21" s="62" t="s">
        <v>74</v>
      </c>
      <c r="N21" s="64">
        <f>Chronologie[[#This Row],[SA-NR]]</f>
        <v>19</v>
      </c>
      <c r="O21" s="64">
        <f ca="1">IF(Chronologie[[#This Row],[Datum]]="","",IF(TODAY()&gt;=Chronologie[[#This Row],[Datum]],1,0))</f>
        <v>1</v>
      </c>
      <c r="P21" s="64">
        <f>IF(COUNTIFS(Eingabe[ID],Chronologie[[#This Row],[ID]],Eingabe[GES],"&gt;0")&gt;=1,1,0)</f>
        <v>1</v>
      </c>
      <c r="Q21" s="75">
        <f>IF(YEAR(Chronologie[[#This Row],[Datum]])=2025,WEEKNUM(Chronologie[[#This Row],[Datum]],2)-34,IF(YEAR(Chronologie[[#This Row],[Datum]])=2026,WEEKNUM(Chronologie[[#This Row],[Datum]],2)+18,""))</f>
        <v>4</v>
      </c>
      <c r="R21" s="87" t="str">
        <f>IF(Chronologie[[#This Row],[Gegner]]="","",VLOOKUP(Chronologie[[#This Row],[Gegner]],Orte[],5,FALSE))</f>
        <v>DD SV II</v>
      </c>
      <c r="S21" s="87">
        <f>IF(Chronologie[[#This Row],[Gegner]]="","",IF(Chronologie[[#This Row],[H/A]]="H",4,VLOOKUP(Chronologie[[#This Row],[Gegner]],Orte[],6,FALSE)))</f>
        <v>4</v>
      </c>
      <c r="T21" s="85" t="s">
        <v>552</v>
      </c>
      <c r="U21" s="325">
        <f>IFERROR(TIMEVALUE(LEFT(Chronologie[[#This Row],[Startzeit]],5)),"")</f>
        <v>0.38541666666666669</v>
      </c>
      <c r="V21" s="325">
        <f>IFERROR(TIMEVALUE(LEFT(Chronologie[[#This Row],[Startzeit]],5))+TIME(12/Chronologie[[#This Row],[Bahnen]],0,0),"")</f>
        <v>0.51041666666666674</v>
      </c>
      <c r="W21" s="1"/>
      <c r="X21" s="132" t="s">
        <v>668</v>
      </c>
      <c r="Y21" s="132" t="s">
        <v>540</v>
      </c>
      <c r="Z21" s="133">
        <v>4425</v>
      </c>
      <c r="AA21" s="134" t="str">
        <f>IF(Orte[[#This Row],[Anschrift]]="",Orte[[#This Row],[Kurzform]],RIGHT(Orte[[#This Row],[Anschrift]],LEN(Orte[[#This Row],[Anschrift]])-FIND("#",SUBSTITUTE(Orte[[#This Row],[Anschrift]]," ","#",LEN(Orte[[#This Row],[Anschrift]])-LEN(SUBSTITUTE(Orte[[#This Row],[Anschrift]]," ",))))))</f>
        <v>Taucha</v>
      </c>
      <c r="AB21" s="134" t="s">
        <v>531</v>
      </c>
      <c r="AC21" s="6">
        <v>4</v>
      </c>
      <c r="AD21" s="1"/>
    </row>
    <row r="22" spans="1:30" x14ac:dyDescent="0.3">
      <c r="A22" s="74">
        <f t="shared" si="0"/>
        <v>20</v>
      </c>
      <c r="B22" s="74" t="s">
        <v>15</v>
      </c>
      <c r="C22" s="74" t="s">
        <v>16</v>
      </c>
      <c r="E22" s="60">
        <f t="shared" si="1"/>
        <v>20</v>
      </c>
      <c r="F22" s="61" t="str">
        <f>Chronologie[[#This Row],[Team]]&amp;"-"&amp;Chronologie[[#This Row],[L/P/E]]&amp;"-"&amp;Chronologie[[#This Row],[ST]]</f>
        <v>F-L-2</v>
      </c>
      <c r="G22" s="62">
        <v>45928</v>
      </c>
      <c r="H22" s="61" t="s">
        <v>16</v>
      </c>
      <c r="I22" s="61" t="s">
        <v>663</v>
      </c>
      <c r="J22" s="66">
        <v>2</v>
      </c>
      <c r="K22" s="63" t="s">
        <v>160</v>
      </c>
      <c r="L22" s="72" t="str">
        <f>IF(Chronologie[[#This Row],[H/A]]="A",VLOOKUP(Chronologie[[#This Row],[Gegner]],Orte[],4,FALSE),IF(Chronologie[[#This Row],[H/A]]="H","Hirschfeld",Chronologie[[#This Row],[Gegner]]))</f>
        <v>Hirschfeld</v>
      </c>
      <c r="M22" s="65" t="s">
        <v>72</v>
      </c>
      <c r="N22" s="64">
        <f>Chronologie[[#This Row],[SA-NR]]</f>
        <v>20</v>
      </c>
      <c r="O22" s="64">
        <f ca="1">IF(Chronologie[[#This Row],[Datum]]="","",IF(TODAY()&gt;=Chronologie[[#This Row],[Datum]],1,0))</f>
        <v>1</v>
      </c>
      <c r="P22" s="64">
        <f>IF(COUNTIFS(Eingabe[ID],Chronologie[[#This Row],[ID]],Eingabe[GES],"&gt;0")&gt;=1,1,0)</f>
        <v>1</v>
      </c>
      <c r="Q22" s="75">
        <f>IF(YEAR(Chronologie[[#This Row],[Datum]])=2025,WEEKNUM(Chronologie[[#This Row],[Datum]],2)-34,IF(YEAR(Chronologie[[#This Row],[Datum]])=2026,WEEKNUM(Chronologie[[#This Row],[Datum]],2)+18,""))</f>
        <v>5</v>
      </c>
      <c r="R22" s="87" t="str">
        <f>IF(Chronologie[[#This Row],[Gegner]]="","",VLOOKUP(Chronologie[[#This Row],[Gegner]],Orte[],5,FALSE))</f>
        <v>Thonberg</v>
      </c>
      <c r="S22" s="87">
        <f>IF(Chronologie[[#This Row],[Gegner]]="","",IF(Chronologie[[#This Row],[H/A]]="H",4,VLOOKUP(Chronologie[[#This Row],[Gegner]],Orte[],6,FALSE)))</f>
        <v>4</v>
      </c>
      <c r="T22" s="300" t="s">
        <v>548</v>
      </c>
      <c r="U22" s="325">
        <f>IFERROR(TIMEVALUE(LEFT(Chronologie[[#This Row],[Startzeit]],5)),"")</f>
        <v>0.375</v>
      </c>
      <c r="V22" s="325">
        <f>IFERROR(TIMEVALUE(LEFT(Chronologie[[#This Row],[Startzeit]],5))+TIME(12/Chronologie[[#This Row],[Bahnen]],0,0),"")</f>
        <v>0.5</v>
      </c>
      <c r="W22" s="1"/>
      <c r="X22" s="132" t="s">
        <v>81</v>
      </c>
      <c r="Y22" s="132" t="s">
        <v>171</v>
      </c>
      <c r="Z22" s="133">
        <v>1237</v>
      </c>
      <c r="AA22" s="134" t="str">
        <f>IF(Orte[[#This Row],[Anschrift]]="",Orte[[#This Row],[Kurzform]],RIGHT(Orte[[#This Row],[Anschrift]],LEN(Orte[[#This Row],[Anschrift]])-FIND("#",SUBSTITUTE(Orte[[#This Row],[Anschrift]]," ","#",LEN(Orte[[#This Row],[Anschrift]])-LEN(SUBSTITUTE(Orte[[#This Row],[Anschrift]]," ",))))))</f>
        <v>Dresden</v>
      </c>
      <c r="AB22" s="134" t="s">
        <v>235</v>
      </c>
      <c r="AC22" s="6">
        <v>4</v>
      </c>
      <c r="AD22" s="1"/>
    </row>
    <row r="23" spans="1:30" x14ac:dyDescent="0.3">
      <c r="A23" s="74">
        <f t="shared" si="0"/>
        <v>21</v>
      </c>
      <c r="B23" s="74" t="s">
        <v>496</v>
      </c>
      <c r="C23" s="74" t="s">
        <v>10</v>
      </c>
      <c r="E23" s="60">
        <f t="shared" si="1"/>
        <v>21</v>
      </c>
      <c r="F23" s="61" t="str">
        <f>Chronologie[[#This Row],[Team]]&amp;"-"&amp;Chronologie[[#This Row],[L/P/E]]&amp;"-"&amp;Chronologie[[#This Row],[ST]]</f>
        <v>F-L-3</v>
      </c>
      <c r="G23" s="62">
        <v>45956</v>
      </c>
      <c r="H23" s="61" t="s">
        <v>16</v>
      </c>
      <c r="I23" s="61" t="s">
        <v>663</v>
      </c>
      <c r="J23" s="64">
        <v>3</v>
      </c>
      <c r="K23" s="63" t="s">
        <v>81</v>
      </c>
      <c r="L23" s="72" t="str">
        <f>IF(Chronologie[[#This Row],[H/A]]="A",VLOOKUP(Chronologie[[#This Row],[Gegner]],Orte[],4,FALSE),IF(Chronologie[[#This Row],[H/A]]="H","Hirschfeld",Chronologie[[#This Row],[Gegner]]))</f>
        <v>Dresden</v>
      </c>
      <c r="M23" s="62" t="s">
        <v>74</v>
      </c>
      <c r="N23" s="64">
        <f>Chronologie[[#This Row],[SA-NR]]</f>
        <v>21</v>
      </c>
      <c r="O23" s="64">
        <f ca="1">IF(Chronologie[[#This Row],[Datum]]="","",IF(TODAY()&gt;=Chronologie[[#This Row],[Datum]],1,0))</f>
        <v>1</v>
      </c>
      <c r="P23" s="64">
        <f>IF(COUNTIFS(Eingabe[ID],Chronologie[[#This Row],[ID]],Eingabe[GES],"&gt;0")&gt;=1,1,0)</f>
        <v>1</v>
      </c>
      <c r="Q23" s="75">
        <f>IF(YEAR(Chronologie[[#This Row],[Datum]])=2025,WEEKNUM(Chronologie[[#This Row],[Datum]],2)-34,IF(YEAR(Chronologie[[#This Row],[Datum]])=2026,WEEKNUM(Chronologie[[#This Row],[Datum]],2)+18,""))</f>
        <v>9</v>
      </c>
      <c r="R23" s="87" t="str">
        <f>IF(Chronologie[[#This Row],[Gegner]]="","",VLOOKUP(Chronologie[[#This Row],[Gegner]],Orte[],5,FALSE))</f>
        <v>DD Leuben</v>
      </c>
      <c r="S23" s="87">
        <f>IF(Chronologie[[#This Row],[Gegner]]="","",IF(Chronologie[[#This Row],[H/A]]="H",4,VLOOKUP(Chronologie[[#This Row],[Gegner]],Orte[],6,FALSE)))</f>
        <v>4</v>
      </c>
      <c r="T23" s="300" t="s">
        <v>548</v>
      </c>
      <c r="U23" s="325">
        <f>IFERROR(TIMEVALUE(LEFT(Chronologie[[#This Row],[Startzeit]],5)),"")</f>
        <v>0.375</v>
      </c>
      <c r="V23" s="325">
        <f>IFERROR(TIMEVALUE(LEFT(Chronologie[[#This Row],[Startzeit]],5))+TIME(12/Chronologie[[#This Row],[Bahnen]],0,0),"")</f>
        <v>0.5</v>
      </c>
      <c r="W23" s="1"/>
      <c r="X23" s="132" t="s">
        <v>188</v>
      </c>
      <c r="Y23" s="132" t="s">
        <v>194</v>
      </c>
      <c r="Z23" s="133">
        <v>9573</v>
      </c>
      <c r="AA23" s="134" t="str">
        <f>IF(Orte[[#This Row],[Anschrift]]="",Orte[[#This Row],[Kurzform]],RIGHT(Orte[[#This Row],[Anschrift]],LEN(Orte[[#This Row],[Anschrift]])-FIND("#",SUBSTITUTE(Orte[[#This Row],[Anschrift]]," ","#",LEN(Orte[[#This Row],[Anschrift]])-LEN(SUBSTITUTE(Orte[[#This Row],[Anschrift]]," ",))))))</f>
        <v>Leubsdorf</v>
      </c>
      <c r="AB23" s="134" t="s">
        <v>213</v>
      </c>
      <c r="AC23" s="6">
        <v>2</v>
      </c>
      <c r="AD23" s="1"/>
    </row>
    <row r="24" spans="1:30" x14ac:dyDescent="0.3">
      <c r="A24" s="74">
        <f t="shared" si="0"/>
        <v>22</v>
      </c>
      <c r="B24" s="74" t="s">
        <v>464</v>
      </c>
      <c r="C24" s="74" t="s">
        <v>16</v>
      </c>
      <c r="E24" s="60">
        <f t="shared" si="1"/>
        <v>22</v>
      </c>
      <c r="F24" s="61" t="str">
        <f>Chronologie[[#This Row],[Team]]&amp;"-"&amp;Chronologie[[#This Row],[L/P/E]]&amp;"-"&amp;Chronologie[[#This Row],[ST]]</f>
        <v>F-L-4</v>
      </c>
      <c r="G24" s="62">
        <v>45970</v>
      </c>
      <c r="H24" s="61" t="s">
        <v>16</v>
      </c>
      <c r="I24" s="61" t="s">
        <v>663</v>
      </c>
      <c r="J24" s="66">
        <v>4</v>
      </c>
      <c r="K24" s="63" t="s">
        <v>159</v>
      </c>
      <c r="L24" s="72" t="str">
        <f>IF(Chronologie[[#This Row],[H/A]]="A",VLOOKUP(Chronologie[[#This Row],[Gegner]],Orte[],4,FALSE),IF(Chronologie[[#This Row],[H/A]]="H","Hirschfeld",Chronologie[[#This Row],[Gegner]]))</f>
        <v>Hirschfeld</v>
      </c>
      <c r="M24" s="62" t="s">
        <v>72</v>
      </c>
      <c r="N24" s="64">
        <f>Chronologie[[#This Row],[SA-NR]]</f>
        <v>22</v>
      </c>
      <c r="O24" s="64">
        <f ca="1">IF(Chronologie[[#This Row],[Datum]]="","",IF(TODAY()&gt;=Chronologie[[#This Row],[Datum]],1,0))</f>
        <v>1</v>
      </c>
      <c r="P24" s="64">
        <f>IF(COUNTIFS(Eingabe[ID],Chronologie[[#This Row],[ID]],Eingabe[GES],"&gt;0")&gt;=1,1,0)</f>
        <v>1</v>
      </c>
      <c r="Q24" s="75">
        <f>IF(YEAR(Chronologie[[#This Row],[Datum]])=2025,WEEKNUM(Chronologie[[#This Row],[Datum]],2)-34,IF(YEAR(Chronologie[[#This Row],[Datum]])=2026,WEEKNUM(Chronologie[[#This Row],[Datum]],2)+18,""))</f>
        <v>11</v>
      </c>
      <c r="R24" s="87" t="str">
        <f>IF(Chronologie[[#This Row],[Gegner]]="","",VLOOKUP(Chronologie[[#This Row],[Gegner]],Orte[],5,FALSE))</f>
        <v>Steinitz</v>
      </c>
      <c r="S24" s="87">
        <f>IF(Chronologie[[#This Row],[Gegner]]="","",IF(Chronologie[[#This Row],[H/A]]="H",4,VLOOKUP(Chronologie[[#This Row],[Gegner]],Orte[],6,FALSE)))</f>
        <v>4</v>
      </c>
      <c r="T24" s="300" t="s">
        <v>548</v>
      </c>
      <c r="U24" s="325">
        <f>IFERROR(TIMEVALUE(LEFT(Chronologie[[#This Row],[Startzeit]],5)),"")</f>
        <v>0.375</v>
      </c>
      <c r="V24" s="325">
        <f>IFERROR(TIMEVALUE(LEFT(Chronologie[[#This Row],[Startzeit]],5))+TIME(12/Chronologie[[#This Row],[Bahnen]],0,0),"")</f>
        <v>0.5</v>
      </c>
      <c r="W24" s="1"/>
      <c r="X24" s="132" t="s">
        <v>88</v>
      </c>
      <c r="Y24" s="132" t="s">
        <v>182</v>
      </c>
      <c r="Z24" s="133">
        <v>9661</v>
      </c>
      <c r="AA24" s="134" t="str">
        <f>IF(Orte[[#This Row],[Anschrift]]="",Orte[[#This Row],[Kurzform]],RIGHT(Orte[[#This Row],[Anschrift]],LEN(Orte[[#This Row],[Anschrift]])-FIND("#",SUBSTITUTE(Orte[[#This Row],[Anschrift]]," ","#",LEN(Orte[[#This Row],[Anschrift]])-LEN(SUBSTITUTE(Orte[[#This Row],[Anschrift]]," ",))))))</f>
        <v>Hainichen</v>
      </c>
      <c r="AB24" s="134" t="s">
        <v>209</v>
      </c>
      <c r="AC24" s="6">
        <v>4</v>
      </c>
      <c r="AD24" s="1"/>
    </row>
    <row r="25" spans="1:30" x14ac:dyDescent="0.3">
      <c r="A25" s="74">
        <f t="shared" si="0"/>
        <v>23</v>
      </c>
      <c r="B25" s="74" t="s">
        <v>599</v>
      </c>
      <c r="C25" s="74" t="s">
        <v>17</v>
      </c>
      <c r="E25" s="60">
        <f t="shared" si="1"/>
        <v>23</v>
      </c>
      <c r="F25" s="61" t="str">
        <f>Chronologie[[#This Row],[Team]]&amp;"-"&amp;Chronologie[[#This Row],[L/P/E]]&amp;"-"&amp;Chronologie[[#This Row],[ST]]</f>
        <v>F-L-5</v>
      </c>
      <c r="G25" s="62">
        <v>45977</v>
      </c>
      <c r="H25" s="61" t="s">
        <v>16</v>
      </c>
      <c r="I25" s="61" t="s">
        <v>663</v>
      </c>
      <c r="J25" s="64">
        <v>5</v>
      </c>
      <c r="K25" s="63" t="s">
        <v>670</v>
      </c>
      <c r="L25" s="72" t="str">
        <f>IF(Chronologie[[#This Row],[H/A]]="A",VLOOKUP(Chronologie[[#This Row],[Gegner]],Orte[],4,FALSE),IF(Chronologie[[#This Row],[H/A]]="H","Hirschfeld",Chronologie[[#This Row],[Gegner]]))</f>
        <v>Rietschen</v>
      </c>
      <c r="M25" s="62" t="s">
        <v>74</v>
      </c>
      <c r="N25" s="64">
        <f>Chronologie[[#This Row],[SA-NR]]</f>
        <v>23</v>
      </c>
      <c r="O25" s="64">
        <f ca="1">IF(Chronologie[[#This Row],[Datum]]="","",IF(TODAY()&gt;=Chronologie[[#This Row],[Datum]],1,0))</f>
        <v>1</v>
      </c>
      <c r="P25" s="64">
        <f>IF(COUNTIFS(Eingabe[ID],Chronologie[[#This Row],[ID]],Eingabe[GES],"&gt;0")&gt;=1,1,0)</f>
        <v>1</v>
      </c>
      <c r="Q25" s="75">
        <f>IF(YEAR(Chronologie[[#This Row],[Datum]])=2025,WEEKNUM(Chronologie[[#This Row],[Datum]],2)-34,IF(YEAR(Chronologie[[#This Row],[Datum]])=2026,WEEKNUM(Chronologie[[#This Row],[Datum]],2)+18,""))</f>
        <v>12</v>
      </c>
      <c r="R25" s="87" t="str">
        <f>IF(Chronologie[[#This Row],[Gegner]]="","",VLOOKUP(Chronologie[[#This Row],[Gegner]],Orte[],5,FALSE))</f>
        <v>Rietschen</v>
      </c>
      <c r="S25" s="87">
        <f>IF(Chronologie[[#This Row],[Gegner]]="","",IF(Chronologie[[#This Row],[H/A]]="H",4,VLOOKUP(Chronologie[[#This Row],[Gegner]],Orte[],6,FALSE)))</f>
        <v>4</v>
      </c>
      <c r="T25" s="300" t="s">
        <v>550</v>
      </c>
      <c r="U25" s="325">
        <f>IFERROR(TIMEVALUE(LEFT(Chronologie[[#This Row],[Startzeit]],5)),"")</f>
        <v>0.45833333333333331</v>
      </c>
      <c r="V25" s="325">
        <f>IFERROR(TIMEVALUE(LEFT(Chronologie[[#This Row],[Startzeit]],5))+TIME(12/Chronologie[[#This Row],[Bahnen]],0,0),"")</f>
        <v>0.58333333333333326</v>
      </c>
      <c r="W25" s="1"/>
      <c r="X25" s="132" t="s">
        <v>385</v>
      </c>
      <c r="Y25" s="132" t="s">
        <v>384</v>
      </c>
      <c r="Z25" s="133">
        <v>8527</v>
      </c>
      <c r="AA25" s="134" t="str">
        <f>IF(Orte[[#This Row],[Anschrift]]="",Orte[[#This Row],[Kurzform]],RIGHT(Orte[[#This Row],[Anschrift]],LEN(Orte[[#This Row],[Anschrift]])-FIND("#",SUBSTITUTE(Orte[[#This Row],[Anschrift]]," ","#",LEN(Orte[[#This Row],[Anschrift]])-LEN(SUBSTITUTE(Orte[[#This Row],[Anschrift]]," ",))))))</f>
        <v>Plauen</v>
      </c>
      <c r="AB25" s="134" t="s">
        <v>295</v>
      </c>
      <c r="AC25" s="6">
        <v>4</v>
      </c>
      <c r="AD25" s="1"/>
    </row>
    <row r="26" spans="1:30" x14ac:dyDescent="0.3">
      <c r="A26" s="74">
        <f t="shared" si="0"/>
        <v>24</v>
      </c>
      <c r="B26" s="74" t="s">
        <v>481</v>
      </c>
      <c r="C26" s="74" t="s">
        <v>10</v>
      </c>
      <c r="E26" s="60">
        <f t="shared" si="1"/>
        <v>24</v>
      </c>
      <c r="F26" s="61" t="str">
        <f>Chronologie[[#This Row],[Team]]&amp;"-"&amp;Chronologie[[#This Row],[L/P/E]]&amp;"-"&amp;Chronologie[[#This Row],[ST]]</f>
        <v>F-L-6</v>
      </c>
      <c r="G26" s="62">
        <v>45991</v>
      </c>
      <c r="H26" s="61" t="s">
        <v>16</v>
      </c>
      <c r="I26" s="61" t="s">
        <v>663</v>
      </c>
      <c r="J26" s="66">
        <v>6</v>
      </c>
      <c r="K26" s="63" t="s">
        <v>671</v>
      </c>
      <c r="L26" s="72" t="str">
        <f>IF(Chronologie[[#This Row],[H/A]]="A",VLOOKUP(Chronologie[[#This Row],[Gegner]],Orte[],4,FALSE),IF(Chronologie[[#This Row],[H/A]]="H","Hirschfeld",Chronologie[[#This Row],[Gegner]]))</f>
        <v>Hagenwerder</v>
      </c>
      <c r="M26" s="62" t="s">
        <v>74</v>
      </c>
      <c r="N26" s="64">
        <f>Chronologie[[#This Row],[SA-NR]]</f>
        <v>24</v>
      </c>
      <c r="O26" s="64">
        <f ca="1">IF(Chronologie[[#This Row],[Datum]]="","",IF(TODAY()&gt;=Chronologie[[#This Row],[Datum]],1,0))</f>
        <v>1</v>
      </c>
      <c r="P26" s="64">
        <f>IF(COUNTIFS(Eingabe[ID],Chronologie[[#This Row],[ID]],Eingabe[GES],"&gt;0")&gt;=1,1,0)</f>
        <v>1</v>
      </c>
      <c r="Q26" s="75">
        <f>IF(YEAR(Chronologie[[#This Row],[Datum]])=2025,WEEKNUM(Chronologie[[#This Row],[Datum]],2)-34,IF(YEAR(Chronologie[[#This Row],[Datum]])=2026,WEEKNUM(Chronologie[[#This Row],[Datum]],2)+18,""))</f>
        <v>14</v>
      </c>
      <c r="R26" s="87" t="str">
        <f>IF(Chronologie[[#This Row],[Gegner]]="","",VLOOKUP(Chronologie[[#This Row],[Gegner]],Orte[],5,FALSE))</f>
        <v>Hagenwerder</v>
      </c>
      <c r="S26" s="87">
        <f>IF(Chronologie[[#This Row],[Gegner]]="","",IF(Chronologie[[#This Row],[H/A]]="H",4,VLOOKUP(Chronologie[[#This Row],[Gegner]],Orte[],6,FALSE)))</f>
        <v>4</v>
      </c>
      <c r="T26" s="300" t="s">
        <v>552</v>
      </c>
      <c r="U26" s="325">
        <f>IFERROR(TIMEVALUE(LEFT(Chronologie[[#This Row],[Startzeit]],5)),"")</f>
        <v>0.38541666666666669</v>
      </c>
      <c r="V26" s="325">
        <f>IFERROR(TIMEVALUE(LEFT(Chronologie[[#This Row],[Startzeit]],5))+TIME(12/Chronologie[[#This Row],[Bahnen]],0,0),"")</f>
        <v>0.51041666666666674</v>
      </c>
      <c r="W26" s="1"/>
      <c r="X26" s="132" t="s">
        <v>92</v>
      </c>
      <c r="Y26" s="132" t="s">
        <v>189</v>
      </c>
      <c r="Z26" s="133">
        <v>9514</v>
      </c>
      <c r="AA26" s="134" t="str">
        <f>IF(Orte[[#This Row],[Anschrift]]="",Orte[[#This Row],[Kurzform]],RIGHT(Orte[[#This Row],[Anschrift]],LEN(Orte[[#This Row],[Anschrift]])-FIND("#",SUBSTITUTE(Orte[[#This Row],[Anschrift]]," ","#",LEN(Orte[[#This Row],[Anschrift]])-LEN(SUBSTITUTE(Orte[[#This Row],[Anschrift]]," ",))))))</f>
        <v>Pockau-Lengefeld</v>
      </c>
      <c r="AB26" s="134" t="s">
        <v>240</v>
      </c>
      <c r="AC26" s="6">
        <v>4</v>
      </c>
      <c r="AD26" s="1"/>
    </row>
    <row r="27" spans="1:30" x14ac:dyDescent="0.3">
      <c r="A27" s="74">
        <f t="shared" si="0"/>
        <v>25</v>
      </c>
      <c r="B27" s="74" t="s">
        <v>592</v>
      </c>
      <c r="C27" s="74" t="s">
        <v>16</v>
      </c>
      <c r="E27" s="60">
        <f t="shared" si="1"/>
        <v>25</v>
      </c>
      <c r="F27" s="61" t="str">
        <f>Chronologie[[#This Row],[Team]]&amp;"-"&amp;Chronologie[[#This Row],[L/P/E]]&amp;"-"&amp;Chronologie[[#This Row],[ST]]</f>
        <v>F-L-7</v>
      </c>
      <c r="G27" s="62"/>
      <c r="H27" s="61" t="s">
        <v>16</v>
      </c>
      <c r="I27" s="61" t="s">
        <v>663</v>
      </c>
      <c r="J27" s="64">
        <v>7</v>
      </c>
      <c r="K27" s="63"/>
      <c r="L27" s="72">
        <f>IF(Chronologie[[#This Row],[H/A]]="A",VLOOKUP(Chronologie[[#This Row],[Gegner]],Orte[],4,FALSE),IF(Chronologie[[#This Row],[H/A]]="H","Hirschfeld",Chronologie[[#This Row],[Gegner]]))</f>
        <v>0</v>
      </c>
      <c r="M27" s="62"/>
      <c r="N27" s="64">
        <f>Chronologie[[#This Row],[SA-NR]]</f>
        <v>25</v>
      </c>
      <c r="O27" s="64" t="str">
        <f ca="1">IF(Chronologie[[#This Row],[Datum]]="","",IF(TODAY()&gt;=Chronologie[[#This Row],[Datum]],1,0))</f>
        <v/>
      </c>
      <c r="P27" s="64">
        <f>IF(COUNTIFS(Eingabe[ID],Chronologie[[#This Row],[ID]],Eingabe[GES],"&gt;0")&gt;=1,1,0)</f>
        <v>0</v>
      </c>
      <c r="Q27" s="75" t="str">
        <f>IF(YEAR(Chronologie[[#This Row],[Datum]])=2025,WEEKNUM(Chronologie[[#This Row],[Datum]],2)-34,IF(YEAR(Chronologie[[#This Row],[Datum]])=2026,WEEKNUM(Chronologie[[#This Row],[Datum]],2)+18,""))</f>
        <v/>
      </c>
      <c r="R27" s="87" t="str">
        <f>IF(Chronologie[[#This Row],[Gegner]]="","",VLOOKUP(Chronologie[[#This Row],[Gegner]],Orte[],5,FALSE))</f>
        <v/>
      </c>
      <c r="S27" s="87" t="str">
        <f>IF(Chronologie[[#This Row],[Gegner]]="","",IF(Chronologie[[#This Row],[H/A]]="H",4,VLOOKUP(Chronologie[[#This Row],[Gegner]],Orte[],6,FALSE)))</f>
        <v/>
      </c>
      <c r="T27" s="300"/>
      <c r="U27" s="325" t="str">
        <f>IFERROR(TIMEVALUE(LEFT(Chronologie[[#This Row],[Startzeit]],5)),"")</f>
        <v/>
      </c>
      <c r="V27" s="325" t="str">
        <f>IFERROR(TIMEVALUE(LEFT(Chronologie[[#This Row],[Startzeit]],5))+TIME(12/Chronologie[[#This Row],[Bahnen]],0,0),"")</f>
        <v/>
      </c>
      <c r="W27" s="1"/>
      <c r="X27" s="132" t="s">
        <v>387</v>
      </c>
      <c r="Y27" s="132" t="s">
        <v>386</v>
      </c>
      <c r="Z27" s="133">
        <v>8223</v>
      </c>
      <c r="AA27" s="134" t="str">
        <f>IF(Orte[[#This Row],[Anschrift]]="",Orte[[#This Row],[Kurzform]],RIGHT(Orte[[#This Row],[Anschrift]],LEN(Orte[[#This Row],[Anschrift]])-FIND("#",SUBSTITUTE(Orte[[#This Row],[Anschrift]]," ","#",LEN(Orte[[#This Row],[Anschrift]])-LEN(SUBSTITUTE(Orte[[#This Row],[Anschrift]]," ",))))))</f>
        <v>Falkenstein/Vogtland</v>
      </c>
      <c r="AB27" s="134" t="s">
        <v>297</v>
      </c>
      <c r="AC27" s="6">
        <v>4</v>
      </c>
      <c r="AD27" s="1"/>
    </row>
    <row r="28" spans="1:30" x14ac:dyDescent="0.3">
      <c r="A28" s="74">
        <f t="shared" si="0"/>
        <v>26</v>
      </c>
      <c r="B28" s="74" t="s">
        <v>658</v>
      </c>
      <c r="C28" s="74" t="s">
        <v>4</v>
      </c>
      <c r="E28" s="60">
        <f t="shared" si="1"/>
        <v>26</v>
      </c>
      <c r="F28" s="61" t="str">
        <f>Chronologie[[#This Row],[Team]]&amp;"-"&amp;Chronologie[[#This Row],[L/P/E]]&amp;"-"&amp;Chronologie[[#This Row],[ST]]</f>
        <v>F-L-8</v>
      </c>
      <c r="G28" s="68">
        <v>46040</v>
      </c>
      <c r="H28" s="61" t="s">
        <v>16</v>
      </c>
      <c r="I28" s="61" t="s">
        <v>663</v>
      </c>
      <c r="J28" s="66">
        <v>8</v>
      </c>
      <c r="K28" s="63" t="s">
        <v>83</v>
      </c>
      <c r="L28" s="72" t="str">
        <f>IF(Chronologie[[#This Row],[H/A]]="A",VLOOKUP(Chronologie[[#This Row],[Gegner]],Orte[],4,FALSE),IF(Chronologie[[#This Row],[H/A]]="H","Hirschfeld",Chronologie[[#This Row],[Gegner]]))</f>
        <v>Hirschfeld</v>
      </c>
      <c r="M28" s="62" t="s">
        <v>72</v>
      </c>
      <c r="N28" s="64">
        <f>Chronologie[[#This Row],[SA-NR]]</f>
        <v>26</v>
      </c>
      <c r="O28" s="64">
        <f ca="1">IF(Chronologie[[#This Row],[Datum]]="","",IF(TODAY()&gt;=Chronologie[[#This Row],[Datum]],1,0))</f>
        <v>1</v>
      </c>
      <c r="P28" s="64">
        <f>IF(COUNTIFS(Eingabe[ID],Chronologie[[#This Row],[ID]],Eingabe[GES],"&gt;0")&gt;=1,1,0)</f>
        <v>1</v>
      </c>
      <c r="Q28" s="75">
        <f>IF(YEAR(Chronologie[[#This Row],[Datum]])=2025,WEEKNUM(Chronologie[[#This Row],[Datum]],2)-34,IF(YEAR(Chronologie[[#This Row],[Datum]])=2026,WEEKNUM(Chronologie[[#This Row],[Datum]],2)+18,""))</f>
        <v>21</v>
      </c>
      <c r="R28" s="87" t="str">
        <f>IF(Chronologie[[#This Row],[Gegner]]="","",VLOOKUP(Chronologie[[#This Row],[Gegner]],Orte[],5,FALSE))</f>
        <v>DD SV II</v>
      </c>
      <c r="S28" s="87">
        <f>IF(Chronologie[[#This Row],[Gegner]]="","",IF(Chronologie[[#This Row],[H/A]]="H",4,VLOOKUP(Chronologie[[#This Row],[Gegner]],Orte[],6,FALSE)))</f>
        <v>4</v>
      </c>
      <c r="T28" s="85" t="s">
        <v>548</v>
      </c>
      <c r="U28" s="325">
        <f>IFERROR(TIMEVALUE(LEFT(Chronologie[[#This Row],[Startzeit]],5)),"")</f>
        <v>0.375</v>
      </c>
      <c r="V28" s="325">
        <f>IFERROR(TIMEVALUE(LEFT(Chronologie[[#This Row],[Startzeit]],5))+TIME(12/Chronologie[[#This Row],[Bahnen]],0,0),"")</f>
        <v>0.5</v>
      </c>
      <c r="W28" s="1"/>
      <c r="X28" s="132" t="s">
        <v>442</v>
      </c>
      <c r="Y28" s="132" t="s">
        <v>443</v>
      </c>
      <c r="Z28" s="133">
        <v>2625</v>
      </c>
      <c r="AA28" s="134" t="str">
        <f>IF(Orte[[#This Row],[Anschrift]]="",Orte[[#This Row],[Kurzform]],RIGHT(Orte[[#This Row],[Anschrift]],LEN(Orte[[#This Row],[Anschrift]])-FIND("#",SUBSTITUTE(Orte[[#This Row],[Anschrift]]," ","#",LEN(Orte[[#This Row],[Anschrift]])-LEN(SUBSTITUTE(Orte[[#This Row],[Anschrift]]," ",))))))</f>
        <v>Bautzen</v>
      </c>
      <c r="AB28" s="134" t="s">
        <v>442</v>
      </c>
      <c r="AC28" s="6">
        <v>4</v>
      </c>
      <c r="AD28" s="1"/>
    </row>
    <row r="29" spans="1:30" x14ac:dyDescent="0.3">
      <c r="A29" s="74">
        <f t="shared" si="0"/>
        <v>27</v>
      </c>
      <c r="B29" s="74" t="s">
        <v>470</v>
      </c>
      <c r="C29" s="74" t="s">
        <v>10</v>
      </c>
      <c r="E29" s="60">
        <f t="shared" si="1"/>
        <v>27</v>
      </c>
      <c r="F29" s="61" t="str">
        <f>Chronologie[[#This Row],[Team]]&amp;"-"&amp;Chronologie[[#This Row],[L/P/E]]&amp;"-"&amp;Chronologie[[#This Row],[ST]]</f>
        <v>F-L-9</v>
      </c>
      <c r="G29" s="69">
        <v>46047</v>
      </c>
      <c r="H29" s="61" t="s">
        <v>16</v>
      </c>
      <c r="I29" s="61" t="s">
        <v>663</v>
      </c>
      <c r="J29" s="64">
        <v>9</v>
      </c>
      <c r="K29" s="63" t="s">
        <v>160</v>
      </c>
      <c r="L29" s="72" t="str">
        <f>IF(Chronologie[[#This Row],[H/A]]="A",VLOOKUP(Chronologie[[#This Row],[Gegner]],Orte[],4,FALSE),IF(Chronologie[[#This Row],[H/A]]="H","Hirschfeld",Chronologie[[#This Row],[Gegner]]))</f>
        <v>Kamenz</v>
      </c>
      <c r="M29" s="62" t="s">
        <v>74</v>
      </c>
      <c r="N29" s="64">
        <f>Chronologie[[#This Row],[SA-NR]]</f>
        <v>27</v>
      </c>
      <c r="O29" s="64">
        <f ca="1">IF(Chronologie[[#This Row],[Datum]]="","",IF(TODAY()&gt;=Chronologie[[#This Row],[Datum]],1,0))</f>
        <v>1</v>
      </c>
      <c r="P29" s="64">
        <f>IF(COUNTIFS(Eingabe[ID],Chronologie[[#This Row],[ID]],Eingabe[GES],"&gt;0")&gt;=1,1,0)</f>
        <v>1</v>
      </c>
      <c r="Q29" s="75">
        <f>IF(YEAR(Chronologie[[#This Row],[Datum]])=2025,WEEKNUM(Chronologie[[#This Row],[Datum]],2)-34,IF(YEAR(Chronologie[[#This Row],[Datum]])=2026,WEEKNUM(Chronologie[[#This Row],[Datum]],2)+18,""))</f>
        <v>22</v>
      </c>
      <c r="R29" s="87" t="str">
        <f>IF(Chronologie[[#This Row],[Gegner]]="","",VLOOKUP(Chronologie[[#This Row],[Gegner]],Orte[],5,FALSE))</f>
        <v>Thonberg</v>
      </c>
      <c r="S29" s="87">
        <f>IF(Chronologie[[#This Row],[Gegner]]="","",IF(Chronologie[[#This Row],[H/A]]="H",4,VLOOKUP(Chronologie[[#This Row],[Gegner]],Orte[],6,FALSE)))</f>
        <v>4</v>
      </c>
      <c r="T29" s="85" t="s">
        <v>552</v>
      </c>
      <c r="U29" s="325">
        <f>IFERROR(TIMEVALUE(LEFT(Chronologie[[#This Row],[Startzeit]],5)),"")</f>
        <v>0.38541666666666669</v>
      </c>
      <c r="V29" s="325">
        <f>IFERROR(TIMEVALUE(LEFT(Chronologie[[#This Row],[Startzeit]],5))+TIME(12/Chronologie[[#This Row],[Bahnen]],0,0),"")</f>
        <v>0.51041666666666674</v>
      </c>
      <c r="W29" s="1"/>
      <c r="X29" s="132" t="s">
        <v>405</v>
      </c>
      <c r="Y29" s="132" t="s">
        <v>406</v>
      </c>
      <c r="Z29" s="133">
        <v>9465</v>
      </c>
      <c r="AA29" s="134" t="str">
        <f>IF(Orte[[#This Row],[Anschrift]]="",Orte[[#This Row],[Kurzform]],RIGHT(Orte[[#This Row],[Anschrift]],LEN(Orte[[#This Row],[Anschrift]])-FIND("#",SUBSTITUTE(Orte[[#This Row],[Anschrift]]," ","#",LEN(Orte[[#This Row],[Anschrift]])-LEN(SUBSTITUTE(Orte[[#This Row],[Anschrift]]," ",))))))</f>
        <v>Sehmatal-Cranzahl</v>
      </c>
      <c r="AB29" s="134" t="s">
        <v>296</v>
      </c>
      <c r="AC29" s="6">
        <v>4</v>
      </c>
      <c r="AD29" s="1"/>
    </row>
    <row r="30" spans="1:30" x14ac:dyDescent="0.3">
      <c r="A30" s="74">
        <f t="shared" si="0"/>
        <v>28</v>
      </c>
      <c r="B30" s="74" t="s">
        <v>661</v>
      </c>
      <c r="C30" s="74" t="s">
        <v>9</v>
      </c>
      <c r="E30" s="60">
        <f t="shared" si="1"/>
        <v>28</v>
      </c>
      <c r="F30" s="61" t="str">
        <f>Chronologie[[#This Row],[Team]]&amp;"-"&amp;Chronologie[[#This Row],[L/P/E]]&amp;"-"&amp;Chronologie[[#This Row],[ST]]</f>
        <v>F-L-10</v>
      </c>
      <c r="G30" s="68">
        <v>46075</v>
      </c>
      <c r="H30" s="61" t="s">
        <v>16</v>
      </c>
      <c r="I30" s="61" t="s">
        <v>663</v>
      </c>
      <c r="J30" s="66">
        <v>10</v>
      </c>
      <c r="K30" s="63" t="s">
        <v>81</v>
      </c>
      <c r="L30" s="73" t="str">
        <f>IF(Chronologie[[#This Row],[H/A]]="A",VLOOKUP(Chronologie[[#This Row],[Gegner]],Orte[],4,FALSE),IF(Chronologie[[#This Row],[H/A]]="H","Hirschfeld",Chronologie[[#This Row],[Gegner]]))</f>
        <v>Hirschfeld</v>
      </c>
      <c r="M30" s="65" t="s">
        <v>72</v>
      </c>
      <c r="N30" s="64">
        <f>Chronologie[[#This Row],[SA-NR]]</f>
        <v>28</v>
      </c>
      <c r="O30" s="64">
        <f ca="1">IF(Chronologie[[#This Row],[Datum]]="","",IF(TODAY()&gt;=Chronologie[[#This Row],[Datum]],1,0))</f>
        <v>0</v>
      </c>
      <c r="P30" s="64">
        <f>IF(COUNTIFS(Eingabe[ID],Chronologie[[#This Row],[ID]],Eingabe[GES],"&gt;0")&gt;=1,1,0)</f>
        <v>0</v>
      </c>
      <c r="Q30" s="75">
        <f>IF(YEAR(Chronologie[[#This Row],[Datum]])=2025,WEEKNUM(Chronologie[[#This Row],[Datum]],2)-34,IF(YEAR(Chronologie[[#This Row],[Datum]])=2026,WEEKNUM(Chronologie[[#This Row],[Datum]],2)+18,""))</f>
        <v>26</v>
      </c>
      <c r="R30" s="87" t="str">
        <f>IF(Chronologie[[#This Row],[Gegner]]="","",VLOOKUP(Chronologie[[#This Row],[Gegner]],Orte[],5,FALSE))</f>
        <v>DD Leuben</v>
      </c>
      <c r="S30" s="87">
        <f>IF(Chronologie[[#This Row],[Gegner]]="","",IF(Chronologie[[#This Row],[H/A]]="H",4,VLOOKUP(Chronologie[[#This Row],[Gegner]],Orte[],6,FALSE)))</f>
        <v>4</v>
      </c>
      <c r="T30" s="85" t="s">
        <v>553</v>
      </c>
      <c r="U30" s="325">
        <f>IFERROR(TIMEVALUE(LEFT(Chronologie[[#This Row],[Startzeit]],5)),"")</f>
        <v>0.39583333333333331</v>
      </c>
      <c r="V30" s="325">
        <f>IFERROR(TIMEVALUE(LEFT(Chronologie[[#This Row],[Startzeit]],5))+TIME(12/Chronologie[[#This Row],[Bahnen]],0,0),"")</f>
        <v>0.52083333333333326</v>
      </c>
      <c r="W30" s="1"/>
      <c r="X30" s="132" t="s">
        <v>85</v>
      </c>
      <c r="Y30" s="132" t="s">
        <v>178</v>
      </c>
      <c r="Z30" s="133">
        <v>8141</v>
      </c>
      <c r="AA30" s="134" t="str">
        <f>IF(Orte[[#This Row],[Anschrift]]="",Orte[[#This Row],[Kurzform]],RIGHT(Orte[[#This Row],[Anschrift]],LEN(Orte[[#This Row],[Anschrift]])-FIND("#",SUBSTITUTE(Orte[[#This Row],[Anschrift]]," ","#",LEN(Orte[[#This Row],[Anschrift]])-LEN(SUBSTITUTE(Orte[[#This Row],[Anschrift]]," ",))))))</f>
        <v>Reinsdorf</v>
      </c>
      <c r="AB30" s="134" t="s">
        <v>207</v>
      </c>
      <c r="AC30" s="6">
        <v>4</v>
      </c>
      <c r="AD30" s="1"/>
    </row>
    <row r="31" spans="1:30" x14ac:dyDescent="0.3">
      <c r="A31" s="74">
        <f t="shared" si="0"/>
        <v>29</v>
      </c>
      <c r="B31" s="74" t="s">
        <v>487</v>
      </c>
      <c r="C31" s="74" t="s">
        <v>10</v>
      </c>
      <c r="E31" s="60">
        <f t="shared" si="1"/>
        <v>29</v>
      </c>
      <c r="F31" s="61" t="str">
        <f>Chronologie[[#This Row],[Team]]&amp;"-"&amp;Chronologie[[#This Row],[L/P/E]]&amp;"-"&amp;Chronologie[[#This Row],[ST]]</f>
        <v>F-L-11</v>
      </c>
      <c r="G31" s="68">
        <v>46082</v>
      </c>
      <c r="H31" s="61" t="s">
        <v>16</v>
      </c>
      <c r="I31" s="61" t="s">
        <v>663</v>
      </c>
      <c r="J31" s="64">
        <v>11</v>
      </c>
      <c r="K31" s="63" t="s">
        <v>159</v>
      </c>
      <c r="L31" s="72" t="str">
        <f>IF(Chronologie[[#This Row],[H/A]]="A",VLOOKUP(Chronologie[[#This Row],[Gegner]],Orte[],4,FALSE),IF(Chronologie[[#This Row],[H/A]]="H","Hirschfeld",Chronologie[[#This Row],[Gegner]]))</f>
        <v>Königswartha</v>
      </c>
      <c r="M31" s="65" t="s">
        <v>74</v>
      </c>
      <c r="N31" s="64">
        <f>Chronologie[[#This Row],[SA-NR]]</f>
        <v>29</v>
      </c>
      <c r="O31" s="64">
        <f ca="1">IF(Chronologie[[#This Row],[Datum]]="","",IF(TODAY()&gt;=Chronologie[[#This Row],[Datum]],1,0))</f>
        <v>0</v>
      </c>
      <c r="P31" s="64">
        <f>IF(COUNTIFS(Eingabe[ID],Chronologie[[#This Row],[ID]],Eingabe[GES],"&gt;0")&gt;=1,1,0)</f>
        <v>0</v>
      </c>
      <c r="Q31" s="75">
        <f>IF(YEAR(Chronologie[[#This Row],[Datum]])=2025,WEEKNUM(Chronologie[[#This Row],[Datum]],2)-34,IF(YEAR(Chronologie[[#This Row],[Datum]])=2026,WEEKNUM(Chronologie[[#This Row],[Datum]],2)+18,""))</f>
        <v>27</v>
      </c>
      <c r="R31" s="87" t="str">
        <f>IF(Chronologie[[#This Row],[Gegner]]="","",VLOOKUP(Chronologie[[#This Row],[Gegner]],Orte[],5,FALSE))</f>
        <v>Steinitz</v>
      </c>
      <c r="S31" s="87">
        <f>IF(Chronologie[[#This Row],[Gegner]]="","",IF(Chronologie[[#This Row],[H/A]]="H",4,VLOOKUP(Chronologie[[#This Row],[Gegner]],Orte[],6,FALSE)))</f>
        <v>4</v>
      </c>
      <c r="T31" s="300" t="s">
        <v>552</v>
      </c>
      <c r="U31" s="325">
        <f>IFERROR(TIMEVALUE(LEFT(Chronologie[[#This Row],[Startzeit]],5)),"")</f>
        <v>0.38541666666666669</v>
      </c>
      <c r="V31" s="325">
        <f>IFERROR(TIMEVALUE(LEFT(Chronologie[[#This Row],[Startzeit]],5))+TIME(12/Chronologie[[#This Row],[Bahnen]],0,0),"")</f>
        <v>0.51041666666666674</v>
      </c>
      <c r="W31" s="1"/>
      <c r="X31" s="132" t="s">
        <v>132</v>
      </c>
      <c r="Y31" s="132" t="s">
        <v>246</v>
      </c>
      <c r="Z31" s="133">
        <v>64653</v>
      </c>
      <c r="AA31" s="134" t="str">
        <f>IF(Orte[[#This Row],[Anschrift]]="",Orte[[#This Row],[Kurzform]],RIGHT(Orte[[#This Row],[Anschrift]],LEN(Orte[[#This Row],[Anschrift]])-FIND("#",SUBSTITUTE(Orte[[#This Row],[Anschrift]]," ","#",LEN(Orte[[#This Row],[Anschrift]])-LEN(SUBSTITUTE(Orte[[#This Row],[Anschrift]]," ",))))))</f>
        <v>Lorsch</v>
      </c>
      <c r="AB31" s="134" t="s">
        <v>132</v>
      </c>
      <c r="AC31" s="6">
        <v>8</v>
      </c>
      <c r="AD31" s="1"/>
    </row>
    <row r="32" spans="1:30" x14ac:dyDescent="0.3">
      <c r="A32" s="74">
        <f t="shared" si="0"/>
        <v>30</v>
      </c>
      <c r="B32" s="74" t="s">
        <v>466</v>
      </c>
      <c r="C32" s="74" t="s">
        <v>9</v>
      </c>
      <c r="E32" s="60">
        <f t="shared" si="1"/>
        <v>30</v>
      </c>
      <c r="F32" s="61" t="str">
        <f>Chronologie[[#This Row],[Team]]&amp;"-"&amp;Chronologie[[#This Row],[L/P/E]]&amp;"-"&amp;Chronologie[[#This Row],[ST]]</f>
        <v>F-L-12</v>
      </c>
      <c r="G32" s="69">
        <v>46096</v>
      </c>
      <c r="H32" s="61" t="s">
        <v>16</v>
      </c>
      <c r="I32" s="61" t="s">
        <v>663</v>
      </c>
      <c r="J32" s="66">
        <v>12</v>
      </c>
      <c r="K32" s="63" t="s">
        <v>670</v>
      </c>
      <c r="L32" s="72" t="str">
        <f>IF(Chronologie[[#This Row],[H/A]]="A",VLOOKUP(Chronologie[[#This Row],[Gegner]],Orte[],4,FALSE),IF(Chronologie[[#This Row],[H/A]]="H","Hirschfeld",Chronologie[[#This Row],[Gegner]]))</f>
        <v>Hirschfeld</v>
      </c>
      <c r="M32" s="62" t="s">
        <v>72</v>
      </c>
      <c r="N32" s="64">
        <f>Chronologie[[#This Row],[SA-NR]]</f>
        <v>30</v>
      </c>
      <c r="O32" s="64">
        <f ca="1">IF(Chronologie[[#This Row],[Datum]]="","",IF(TODAY()&gt;=Chronologie[[#This Row],[Datum]],1,0))</f>
        <v>0</v>
      </c>
      <c r="P32" s="64">
        <f>IF(COUNTIFS(Eingabe[ID],Chronologie[[#This Row],[ID]],Eingabe[GES],"&gt;0")&gt;=1,1,0)</f>
        <v>0</v>
      </c>
      <c r="Q32" s="75">
        <f>IF(YEAR(Chronologie[[#This Row],[Datum]])=2025,WEEKNUM(Chronologie[[#This Row],[Datum]],2)-34,IF(YEAR(Chronologie[[#This Row],[Datum]])=2026,WEEKNUM(Chronologie[[#This Row],[Datum]],2)+18,""))</f>
        <v>29</v>
      </c>
      <c r="R32" s="87" t="str">
        <f>IF(Chronologie[[#This Row],[Gegner]]="","",VLOOKUP(Chronologie[[#This Row],[Gegner]],Orte[],5,FALSE))</f>
        <v>Rietschen</v>
      </c>
      <c r="S32" s="87">
        <f>IF(Chronologie[[#This Row],[Gegner]]="","",IF(Chronologie[[#This Row],[H/A]]="H",4,VLOOKUP(Chronologie[[#This Row],[Gegner]],Orte[],6,FALSE)))</f>
        <v>4</v>
      </c>
      <c r="T32" s="85" t="s">
        <v>548</v>
      </c>
      <c r="U32" s="325">
        <f>IFERROR(TIMEVALUE(LEFT(Chronologie[[#This Row],[Startzeit]],5)),"")</f>
        <v>0.375</v>
      </c>
      <c r="V32" s="325">
        <f>IFERROR(TIMEVALUE(LEFT(Chronologie[[#This Row],[Startzeit]],5))+TIME(12/Chronologie[[#This Row],[Bahnen]],0,0),"")</f>
        <v>0.5</v>
      </c>
      <c r="W32" s="1"/>
      <c r="X32" s="132" t="s">
        <v>377</v>
      </c>
      <c r="Y32" s="132" t="s">
        <v>378</v>
      </c>
      <c r="Z32" s="133">
        <v>8294</v>
      </c>
      <c r="AA32" s="134" t="str">
        <f>IF(Orte[[#This Row],[Anschrift]]="",Orte[[#This Row],[Kurzform]],RIGHT(Orte[[#This Row],[Anschrift]],LEN(Orte[[#This Row],[Anschrift]])-FIND("#",SUBSTITUTE(Orte[[#This Row],[Anschrift]]," ","#",LEN(Orte[[#This Row],[Anschrift]])-LEN(SUBSTITUTE(Orte[[#This Row],[Anschrift]]," ",))))))</f>
        <v>Lößnitz</v>
      </c>
      <c r="AB32" s="134" t="s">
        <v>298</v>
      </c>
      <c r="AC32" s="6">
        <v>2</v>
      </c>
      <c r="AD32" s="1"/>
    </row>
    <row r="33" spans="1:30" x14ac:dyDescent="0.3">
      <c r="A33" s="74">
        <f t="shared" si="0"/>
        <v>31</v>
      </c>
      <c r="B33" s="74" t="s">
        <v>482</v>
      </c>
      <c r="C33" s="74" t="s">
        <v>10</v>
      </c>
      <c r="E33" s="60">
        <f t="shared" si="1"/>
        <v>31</v>
      </c>
      <c r="F33" s="61" t="str">
        <f>Chronologie[[#This Row],[Team]]&amp;"-"&amp;Chronologie[[#This Row],[L/P/E]]&amp;"-"&amp;Chronologie[[#This Row],[ST]]</f>
        <v>F-L-13</v>
      </c>
      <c r="G33" s="69">
        <v>46103</v>
      </c>
      <c r="H33" s="61" t="s">
        <v>16</v>
      </c>
      <c r="I33" s="61" t="s">
        <v>663</v>
      </c>
      <c r="J33" s="64">
        <v>13</v>
      </c>
      <c r="K33" s="63" t="s">
        <v>671</v>
      </c>
      <c r="L33" s="73" t="str">
        <f>IF(Chronologie[[#This Row],[H/A]]="A",VLOOKUP(Chronologie[[#This Row],[Gegner]],Orte[],4,FALSE),IF(Chronologie[[#This Row],[H/A]]="H","Hirschfeld",Chronologie[[#This Row],[Gegner]]))</f>
        <v>Hirschfeld</v>
      </c>
      <c r="M33" s="65" t="s">
        <v>72</v>
      </c>
      <c r="N33" s="64">
        <f>Chronologie[[#This Row],[SA-NR]]</f>
        <v>31</v>
      </c>
      <c r="O33" s="64">
        <f ca="1">IF(Chronologie[[#This Row],[Datum]]="","",IF(TODAY()&gt;=Chronologie[[#This Row],[Datum]],1,0))</f>
        <v>0</v>
      </c>
      <c r="P33" s="64">
        <f>IF(COUNTIFS(Eingabe[ID],Chronologie[[#This Row],[ID]],Eingabe[GES],"&gt;0")&gt;=1,1,0)</f>
        <v>0</v>
      </c>
      <c r="Q33" s="75">
        <f>IF(YEAR(Chronologie[[#This Row],[Datum]])=2025,WEEKNUM(Chronologie[[#This Row],[Datum]],2)-34,IF(YEAR(Chronologie[[#This Row],[Datum]])=2026,WEEKNUM(Chronologie[[#This Row],[Datum]],2)+18,""))</f>
        <v>30</v>
      </c>
      <c r="R33" s="87" t="str">
        <f>IF(Chronologie[[#This Row],[Gegner]]="","",VLOOKUP(Chronologie[[#This Row],[Gegner]],Orte[],5,FALSE))</f>
        <v>Hagenwerder</v>
      </c>
      <c r="S33" s="87">
        <f>IF(Chronologie[[#This Row],[Gegner]]="","",IF(Chronologie[[#This Row],[H/A]]="H",4,VLOOKUP(Chronologie[[#This Row],[Gegner]],Orte[],6,FALSE)))</f>
        <v>4</v>
      </c>
      <c r="T33" s="85" t="s">
        <v>548</v>
      </c>
      <c r="U33" s="325">
        <f>IFERROR(TIMEVALUE(LEFT(Chronologie[[#This Row],[Startzeit]],5)),"")</f>
        <v>0.375</v>
      </c>
      <c r="V33" s="325">
        <f>IFERROR(TIMEVALUE(LEFT(Chronologie[[#This Row],[Startzeit]],5))+TIME(12/Chronologie[[#This Row],[Bahnen]],0,0),"")</f>
        <v>0.5</v>
      </c>
      <c r="W33" s="1"/>
      <c r="X33" s="132" t="s">
        <v>403</v>
      </c>
      <c r="Y33" s="132" t="s">
        <v>193</v>
      </c>
      <c r="Z33" s="133">
        <v>8289</v>
      </c>
      <c r="AA33" s="134" t="str">
        <f>IF(Orte[[#This Row],[Anschrift]]="",Orte[[#This Row],[Kurzform]],RIGHT(Orte[[#This Row],[Anschrift]],LEN(Orte[[#This Row],[Anschrift]])-FIND("#",SUBSTITUTE(Orte[[#This Row],[Anschrift]]," ","#",LEN(Orte[[#This Row],[Anschrift]])-LEN(SUBSTITUTE(Orte[[#This Row],[Anschrift]]," ",))))))</f>
        <v>Schneeberg</v>
      </c>
      <c r="AB33" s="134" t="s">
        <v>404</v>
      </c>
      <c r="AC33" s="6">
        <v>4</v>
      </c>
      <c r="AD33" s="1"/>
    </row>
    <row r="34" spans="1:30" x14ac:dyDescent="0.3">
      <c r="A34" s="74">
        <f t="shared" si="0"/>
        <v>32</v>
      </c>
      <c r="B34" s="74" t="s">
        <v>461</v>
      </c>
      <c r="C34" s="74" t="s">
        <v>10</v>
      </c>
      <c r="E34" s="60">
        <f t="shared" si="1"/>
        <v>32</v>
      </c>
      <c r="F34" s="61" t="str">
        <f>Chronologie[[#This Row],[Team]]&amp;"-"&amp;Chronologie[[#This Row],[L/P/E]]&amp;"-"&amp;Chronologie[[#This Row],[ST]]</f>
        <v>F-L-14</v>
      </c>
      <c r="G34" s="69"/>
      <c r="H34" s="61" t="s">
        <v>16</v>
      </c>
      <c r="I34" s="61" t="s">
        <v>663</v>
      </c>
      <c r="J34" s="66">
        <v>14</v>
      </c>
      <c r="K34" s="67"/>
      <c r="L34" s="73">
        <f>IF(Chronologie[[#This Row],[H/A]]="A",VLOOKUP(Chronologie[[#This Row],[Gegner]],Orte[],4,FALSE),IF(Chronologie[[#This Row],[H/A]]="H","Hirschfeld",Chronologie[[#This Row],[Gegner]]))</f>
        <v>0</v>
      </c>
      <c r="M34" s="65"/>
      <c r="N34" s="64">
        <f>Chronologie[[#This Row],[SA-NR]]</f>
        <v>32</v>
      </c>
      <c r="O34" s="64" t="str">
        <f ca="1">IF(Chronologie[[#This Row],[Datum]]="","",IF(TODAY()&gt;=Chronologie[[#This Row],[Datum]],1,0))</f>
        <v/>
      </c>
      <c r="P34" s="64">
        <f>IF(COUNTIFS(Eingabe[ID],Chronologie[[#This Row],[ID]],Eingabe[GES],"&gt;0")&gt;=1,1,0)</f>
        <v>0</v>
      </c>
      <c r="Q34" s="75" t="str">
        <f>IF(YEAR(Chronologie[[#This Row],[Datum]])=2025,WEEKNUM(Chronologie[[#This Row],[Datum]],2)-34,IF(YEAR(Chronologie[[#This Row],[Datum]])=2026,WEEKNUM(Chronologie[[#This Row],[Datum]],2)+18,""))</f>
        <v/>
      </c>
      <c r="R34" s="87" t="str">
        <f>IF(Chronologie[[#This Row],[Gegner]]="","",VLOOKUP(Chronologie[[#This Row],[Gegner]],Orte[],5,FALSE))</f>
        <v/>
      </c>
      <c r="S34" s="87" t="str">
        <f>IF(Chronologie[[#This Row],[Gegner]]="","",IF(Chronologie[[#This Row],[H/A]]="H",4,VLOOKUP(Chronologie[[#This Row],[Gegner]],Orte[],6,FALSE)))</f>
        <v/>
      </c>
      <c r="T34" s="85"/>
      <c r="U34" s="325" t="str">
        <f>IFERROR(TIMEVALUE(LEFT(Chronologie[[#This Row],[Startzeit]],5)),"")</f>
        <v/>
      </c>
      <c r="V34" s="325" t="str">
        <f>IFERROR(TIMEVALUE(LEFT(Chronologie[[#This Row],[Startzeit]],5))+TIME(12/Chronologie[[#This Row],[Bahnen]],0,0),"")</f>
        <v/>
      </c>
      <c r="W34" s="1"/>
      <c r="X34" s="132" t="s">
        <v>686</v>
      </c>
      <c r="Y34" s="132" t="s">
        <v>217</v>
      </c>
      <c r="Z34" s="133">
        <v>9599</v>
      </c>
      <c r="AA34" s="134" t="str">
        <f>IF(Orte[[#This Row],[Anschrift]]="",Orte[[#This Row],[Kurzform]],RIGHT(Orte[[#This Row],[Anschrift]],LEN(Orte[[#This Row],[Anschrift]])-FIND("#",SUBSTITUTE(Orte[[#This Row],[Anschrift]]," ","#",LEN(Orte[[#This Row],[Anschrift]])-LEN(SUBSTITUTE(Orte[[#This Row],[Anschrift]]," ",))))))</f>
        <v>Freiberg</v>
      </c>
      <c r="AB34" s="134" t="s">
        <v>96</v>
      </c>
      <c r="AC34" s="6">
        <v>2</v>
      </c>
      <c r="AD34" s="1"/>
    </row>
    <row r="35" spans="1:30" x14ac:dyDescent="0.3">
      <c r="A35" s="74">
        <f t="shared" ref="A35:A53" si="2">ROW(A35)-2</f>
        <v>33</v>
      </c>
      <c r="B35" s="74" t="s">
        <v>483</v>
      </c>
      <c r="C35" s="74" t="s">
        <v>10</v>
      </c>
      <c r="E35" s="60">
        <f t="shared" ref="E35:E78" si="3">ROW(E35)-2</f>
        <v>33</v>
      </c>
      <c r="F35" s="61" t="str">
        <f>Chronologie[[#This Row],[Team]]&amp;"-"&amp;Chronologie[[#This Row],[L/P/E]]&amp;"-"&amp;Chronologie[[#This Row],[ST]]</f>
        <v>U19-L-1</v>
      </c>
      <c r="G35" s="68">
        <v>45892</v>
      </c>
      <c r="H35" s="61" t="s">
        <v>795</v>
      </c>
      <c r="I35" s="61" t="s">
        <v>663</v>
      </c>
      <c r="J35" s="64">
        <v>1</v>
      </c>
      <c r="K35" s="63" t="s">
        <v>77</v>
      </c>
      <c r="L35" s="72" t="str">
        <f>IF(Chronologie[[#This Row],[H/A]]="A",VLOOKUP(Chronologie[[#This Row],[Gegner]],Orte[],4,FALSE),IF(Chronologie[[#This Row],[H/A]]="H","Hirschfeld",Chronologie[[#This Row],[Gegner]]))</f>
        <v>Pirna</v>
      </c>
      <c r="M35" s="62" t="s">
        <v>74</v>
      </c>
      <c r="N35" s="64">
        <f>Chronologie[[#This Row],[SA-NR]]</f>
        <v>33</v>
      </c>
      <c r="O35" s="64">
        <f ca="1">IF(Chronologie[[#This Row],[Datum]]="","",IF(TODAY()&gt;=Chronologie[[#This Row],[Datum]],1,0))</f>
        <v>1</v>
      </c>
      <c r="P35" s="64">
        <f>IF(COUNTIFS(Eingabe[ID],Chronologie[[#This Row],[ID]],Eingabe[GES],"&gt;0")&gt;=1,1,0)</f>
        <v>1</v>
      </c>
      <c r="Q35" s="75">
        <f>IF(YEAR(Chronologie[[#This Row],[Datum]])=2025,WEEKNUM(Chronologie[[#This Row],[Datum]],2)-34,IF(YEAR(Chronologie[[#This Row],[Datum]])=2026,WEEKNUM(Chronologie[[#This Row],[Datum]],2)+18,""))</f>
        <v>0</v>
      </c>
      <c r="R35" s="87" t="str">
        <f>IF(Chronologie[[#This Row],[Gegner]]="","",VLOOKUP(Chronologie[[#This Row],[Gegner]],Orte[],5,FALSE))</f>
        <v>Pirna</v>
      </c>
      <c r="S35" s="87">
        <f>IF(Chronologie[[#This Row],[Gegner]]="","",IF(Chronologie[[#This Row],[H/A]]="H",4,VLOOKUP(Chronologie[[#This Row],[Gegner]],Orte[],6,FALSE)))</f>
        <v>4</v>
      </c>
      <c r="T35" s="85" t="s">
        <v>544</v>
      </c>
      <c r="U35" s="325">
        <f>IFERROR(TIMEVALUE(LEFT(Chronologie[[#This Row],[Startzeit]],5)),"")</f>
        <v>0.54166666666666663</v>
      </c>
      <c r="V35" s="325">
        <f>IFERROR(TIMEVALUE(LEFT(Chronologie[[#This Row],[Startzeit]],5))+TIME(12/Chronologie[[#This Row],[Bahnen]],0,0),"")</f>
        <v>0.66666666666666663</v>
      </c>
      <c r="W35" s="1"/>
      <c r="X35" s="132" t="s">
        <v>158</v>
      </c>
      <c r="Y35" s="132" t="s">
        <v>162</v>
      </c>
      <c r="Z35" s="133">
        <v>2708</v>
      </c>
      <c r="AA35" s="134" t="str">
        <f>IF(Orte[[#This Row],[Anschrift]]="",Orte[[#This Row],[Kurzform]],RIGHT(Orte[[#This Row],[Anschrift]],LEN(Orte[[#This Row],[Anschrift]])-FIND("#",SUBSTITUTE(Orte[[#This Row],[Anschrift]]," ","#",LEN(Orte[[#This Row],[Anschrift]])-LEN(SUBSTITUTE(Orte[[#This Row],[Anschrift]]," ",))))))</f>
        <v>Großschweidnitz</v>
      </c>
      <c r="AB35" s="134" t="s">
        <v>413</v>
      </c>
      <c r="AC35" s="6">
        <v>4</v>
      </c>
      <c r="AD35" s="1"/>
    </row>
    <row r="36" spans="1:30" x14ac:dyDescent="0.3">
      <c r="A36" s="74">
        <f t="shared" si="2"/>
        <v>34</v>
      </c>
      <c r="B36" s="74" t="s">
        <v>460</v>
      </c>
      <c r="C36" s="74" t="s">
        <v>9</v>
      </c>
      <c r="E36" s="60">
        <f t="shared" si="3"/>
        <v>34</v>
      </c>
      <c r="F36" s="61" t="str">
        <f>Chronologie[[#This Row],[Team]]&amp;"-"&amp;Chronologie[[#This Row],[L/P/E]]&amp;"-"&amp;Chronologie[[#This Row],[ST]]</f>
        <v>U19-L-2</v>
      </c>
      <c r="G36" s="68">
        <v>45899</v>
      </c>
      <c r="H36" s="61" t="s">
        <v>795</v>
      </c>
      <c r="I36" s="61" t="s">
        <v>663</v>
      </c>
      <c r="J36" s="66">
        <v>2</v>
      </c>
      <c r="K36" s="63" t="s">
        <v>673</v>
      </c>
      <c r="L36" s="72" t="str">
        <f>IF(Chronologie[[#This Row],[H/A]]="A",VLOOKUP(Chronologie[[#This Row],[Gegner]],Orte[],4,FALSE),IF(Chronologie[[#This Row],[H/A]]="H","Hirschfeld",Chronologie[[#This Row],[Gegner]]))</f>
        <v>Bautzen</v>
      </c>
      <c r="M36" s="62" t="s">
        <v>74</v>
      </c>
      <c r="N36" s="64">
        <f>Chronologie[[#This Row],[SA-NR]]</f>
        <v>34</v>
      </c>
      <c r="O36" s="64">
        <f ca="1">IF(Chronologie[[#This Row],[Datum]]="","",IF(TODAY()&gt;=Chronologie[[#This Row],[Datum]],1,0))</f>
        <v>1</v>
      </c>
      <c r="P36" s="64">
        <f>IF(COUNTIFS(Eingabe[ID],Chronologie[[#This Row],[ID]],Eingabe[GES],"&gt;0")&gt;=1,1,0)</f>
        <v>1</v>
      </c>
      <c r="Q36" s="75">
        <f>IF(YEAR(Chronologie[[#This Row],[Datum]])=2025,WEEKNUM(Chronologie[[#This Row],[Datum]],2)-34,IF(YEAR(Chronologie[[#This Row],[Datum]])=2026,WEEKNUM(Chronologie[[#This Row],[Datum]],2)+18,""))</f>
        <v>1</v>
      </c>
      <c r="R36" s="87" t="str">
        <f>IF(Chronologie[[#This Row],[Gegner]]="","",VLOOKUP(Chronologie[[#This Row],[Gegner]],Orte[],5,FALSE))</f>
        <v>MSV Bautzen</v>
      </c>
      <c r="S36" s="87">
        <f>IF(Chronologie[[#This Row],[Gegner]]="","",IF(Chronologie[[#This Row],[H/A]]="H",4,VLOOKUP(Chronologie[[#This Row],[Gegner]],Orte[],6,FALSE)))</f>
        <v>4</v>
      </c>
      <c r="T36" s="85" t="s">
        <v>544</v>
      </c>
      <c r="U36" s="325">
        <f>IFERROR(TIMEVALUE(LEFT(Chronologie[[#This Row],[Startzeit]],5)),"")</f>
        <v>0.54166666666666663</v>
      </c>
      <c r="V36" s="325">
        <f>IFERROR(TIMEVALUE(LEFT(Chronologie[[#This Row],[Startzeit]],5))+TIME(12/Chronologie[[#This Row],[Bahnen]],0,0),"")</f>
        <v>0.66666666666666663</v>
      </c>
      <c r="W36" s="1"/>
      <c r="X36" s="132" t="s">
        <v>75</v>
      </c>
      <c r="Y36" s="132" t="s">
        <v>164</v>
      </c>
      <c r="Z36" s="133">
        <v>1587</v>
      </c>
      <c r="AA36" s="134" t="str">
        <f>IF(Orte[[#This Row],[Anschrift]]="",Orte[[#This Row],[Kurzform]],RIGHT(Orte[[#This Row],[Anschrift]],LEN(Orte[[#This Row],[Anschrift]])-FIND("#",SUBSTITUTE(Orte[[#This Row],[Anschrift]]," ","#",LEN(Orte[[#This Row],[Anschrift]])-LEN(SUBSTITUTE(Orte[[#This Row],[Anschrift]]," ",))))))</f>
        <v>Riesa</v>
      </c>
      <c r="AB36" s="134" t="s">
        <v>202</v>
      </c>
      <c r="AC36" s="6">
        <v>4</v>
      </c>
      <c r="AD36" s="1"/>
    </row>
    <row r="37" spans="1:30" x14ac:dyDescent="0.3">
      <c r="A37" s="74">
        <f t="shared" si="2"/>
        <v>35</v>
      </c>
      <c r="B37" s="74" t="s">
        <v>465</v>
      </c>
      <c r="C37" s="74" t="s">
        <v>9</v>
      </c>
      <c r="E37" s="60">
        <f t="shared" si="3"/>
        <v>35</v>
      </c>
      <c r="F37" s="61" t="str">
        <f>Chronologie[[#This Row],[Team]]&amp;"-"&amp;Chronologie[[#This Row],[L/P/E]]&amp;"-"&amp;Chronologie[[#This Row],[ST]]</f>
        <v>U19-L-3</v>
      </c>
      <c r="G37" s="68">
        <v>45920</v>
      </c>
      <c r="H37" s="61" t="s">
        <v>795</v>
      </c>
      <c r="I37" s="61" t="s">
        <v>663</v>
      </c>
      <c r="J37" s="64">
        <v>3</v>
      </c>
      <c r="K37" s="63" t="s">
        <v>175</v>
      </c>
      <c r="L37" s="72" t="str">
        <f>IF(Chronologie[[#This Row],[H/A]]="A",VLOOKUP(Chronologie[[#This Row],[Gegner]],Orte[],4,FALSE),IF(Chronologie[[#This Row],[H/A]]="H","Hirschfeld",Chronologie[[#This Row],[Gegner]]))</f>
        <v>Hirschfeld</v>
      </c>
      <c r="M37" s="62" t="s">
        <v>72</v>
      </c>
      <c r="N37" s="64">
        <f>Chronologie[[#This Row],[SA-NR]]</f>
        <v>35</v>
      </c>
      <c r="O37" s="64">
        <f ca="1">IF(Chronologie[[#This Row],[Datum]]="","",IF(TODAY()&gt;=Chronologie[[#This Row],[Datum]],1,0))</f>
        <v>1</v>
      </c>
      <c r="P37" s="64">
        <f>IF(COUNTIFS(Eingabe[ID],Chronologie[[#This Row],[ID]],Eingabe[GES],"&gt;0")&gt;=1,1,0)</f>
        <v>1</v>
      </c>
      <c r="Q37" s="75">
        <f>IF(YEAR(Chronologie[[#This Row],[Datum]])=2025,WEEKNUM(Chronologie[[#This Row],[Datum]],2)-34,IF(YEAR(Chronologie[[#This Row],[Datum]])=2026,WEEKNUM(Chronologie[[#This Row],[Datum]],2)+18,""))</f>
        <v>4</v>
      </c>
      <c r="R37" s="87" t="str">
        <f>IF(Chronologie[[#This Row],[Gegner]]="","",VLOOKUP(Chronologie[[#This Row],[Gegner]],Orte[],5,FALSE))</f>
        <v>HSV</v>
      </c>
      <c r="S37" s="87">
        <f>IF(Chronologie[[#This Row],[Gegner]]="","",IF(Chronologie[[#This Row],[H/A]]="H",4,VLOOKUP(Chronologie[[#This Row],[Gegner]],Orte[],6,FALSE)))</f>
        <v>4</v>
      </c>
      <c r="T37" s="85" t="s">
        <v>544</v>
      </c>
      <c r="U37" s="325">
        <f>IFERROR(TIMEVALUE(LEFT(Chronologie[[#This Row],[Startzeit]],5)),"")</f>
        <v>0.54166666666666663</v>
      </c>
      <c r="V37" s="325">
        <f>IFERROR(TIMEVALUE(LEFT(Chronologie[[#This Row],[Startzeit]],5))+TIME(12/Chronologie[[#This Row],[Bahnen]],0,0),"")</f>
        <v>0.66666666666666663</v>
      </c>
      <c r="W37" s="1"/>
      <c r="X37" s="132" t="s">
        <v>669</v>
      </c>
      <c r="Y37" s="132" t="s">
        <v>372</v>
      </c>
      <c r="Z37" s="133">
        <v>8539</v>
      </c>
      <c r="AA37" s="134" t="str">
        <f>IF(Orte[[#This Row],[Anschrift]]="",Orte[[#This Row],[Kurzform]],RIGHT(Orte[[#This Row],[Anschrift]],LEN(Orte[[#This Row],[Anschrift]])-FIND("#",SUBSTITUTE(Orte[[#This Row],[Anschrift]]," ","#",LEN(Orte[[#This Row],[Anschrift]])-LEN(SUBSTITUTE(Orte[[#This Row],[Anschrift]]," ",))))))</f>
        <v>Mehltheuer</v>
      </c>
      <c r="AB37" s="134" t="s">
        <v>289</v>
      </c>
      <c r="AC37" s="6">
        <v>4</v>
      </c>
      <c r="AD37" s="1"/>
    </row>
    <row r="38" spans="1:30" x14ac:dyDescent="0.3">
      <c r="A38" s="74">
        <f t="shared" si="2"/>
        <v>36</v>
      </c>
      <c r="B38" s="74" t="s">
        <v>493</v>
      </c>
      <c r="C38" s="74" t="s">
        <v>10</v>
      </c>
      <c r="E38" s="60">
        <f t="shared" si="3"/>
        <v>36</v>
      </c>
      <c r="F38" s="61" t="str">
        <f>Chronologie[[#This Row],[Team]]&amp;"-"&amp;Chronologie[[#This Row],[L/P/E]]&amp;"-"&amp;Chronologie[[#This Row],[ST]]</f>
        <v>U19-L-4</v>
      </c>
      <c r="G38" s="68"/>
      <c r="H38" s="61" t="s">
        <v>795</v>
      </c>
      <c r="I38" s="61" t="s">
        <v>663</v>
      </c>
      <c r="J38" s="66">
        <v>4</v>
      </c>
      <c r="K38" s="63"/>
      <c r="L38" s="72">
        <f>IF(Chronologie[[#This Row],[H/A]]="A",VLOOKUP(Chronologie[[#This Row],[Gegner]],Orte[],4,FALSE),IF(Chronologie[[#This Row],[H/A]]="H","Hirschfeld",Chronologie[[#This Row],[Gegner]]))</f>
        <v>0</v>
      </c>
      <c r="M38" s="62"/>
      <c r="N38" s="64">
        <f>Chronologie[[#This Row],[SA-NR]]</f>
        <v>36</v>
      </c>
      <c r="O38" s="64" t="str">
        <f ca="1">IF(Chronologie[[#This Row],[Datum]]="","",IF(TODAY()&gt;=Chronologie[[#This Row],[Datum]],1,0))</f>
        <v/>
      </c>
      <c r="P38" s="64">
        <f>IF(COUNTIFS(Eingabe[ID],Chronologie[[#This Row],[ID]],Eingabe[GES],"&gt;0")&gt;=1,1,0)</f>
        <v>0</v>
      </c>
      <c r="Q38" s="75" t="str">
        <f>IF(YEAR(Chronologie[[#This Row],[Datum]])=2025,WEEKNUM(Chronologie[[#This Row],[Datum]],2)-34,IF(YEAR(Chronologie[[#This Row],[Datum]])=2026,WEEKNUM(Chronologie[[#This Row],[Datum]],2)+18,""))</f>
        <v/>
      </c>
      <c r="R38" s="87" t="str">
        <f>IF(Chronologie[[#This Row],[Gegner]]="","",VLOOKUP(Chronologie[[#This Row],[Gegner]],Orte[],5,FALSE))</f>
        <v/>
      </c>
      <c r="S38" s="87" t="str">
        <f>IF(Chronologie[[#This Row],[Gegner]]="","",IF(Chronologie[[#This Row],[H/A]]="H",4,VLOOKUP(Chronologie[[#This Row],[Gegner]],Orte[],6,FALSE)))</f>
        <v/>
      </c>
      <c r="T38" s="85" t="s">
        <v>544</v>
      </c>
      <c r="U38" s="325">
        <f>IFERROR(TIMEVALUE(LEFT(Chronologie[[#This Row],[Startzeit]],5)),"")</f>
        <v>0.54166666666666663</v>
      </c>
      <c r="V38" s="325" t="str">
        <f>IFERROR(TIMEVALUE(LEFT(Chronologie[[#This Row],[Startzeit]],5))+TIME(12/Chronologie[[#This Row],[Bahnen]],0,0),"")</f>
        <v/>
      </c>
      <c r="W38" s="1"/>
      <c r="X38" s="132" t="s">
        <v>79</v>
      </c>
      <c r="Y38" s="132" t="s">
        <v>622</v>
      </c>
      <c r="Z38" s="133">
        <v>9633</v>
      </c>
      <c r="AA38" s="134" t="str">
        <f>IF(Orte[[#This Row],[Anschrift]]="",Orte[[#This Row],[Kurzform]],RIGHT(Orte[[#This Row],[Anschrift]],LEN(Orte[[#This Row],[Anschrift]])-FIND("#",SUBSTITUTE(Orte[[#This Row],[Anschrift]]," ","#",LEN(Orte[[#This Row],[Anschrift]])-LEN(SUBSTITUTE(Orte[[#This Row],[Anschrift]]," ",))))))</f>
        <v>Krummenhennersdorf</v>
      </c>
      <c r="AB38" s="134" t="s">
        <v>231</v>
      </c>
      <c r="AC38" s="6">
        <v>4</v>
      </c>
      <c r="AD38" s="1"/>
    </row>
    <row r="39" spans="1:30" x14ac:dyDescent="0.3">
      <c r="A39" s="74">
        <f t="shared" si="2"/>
        <v>37</v>
      </c>
      <c r="B39" s="74" t="s">
        <v>469</v>
      </c>
      <c r="C39" s="74" t="s">
        <v>4</v>
      </c>
      <c r="E39" s="60">
        <f t="shared" si="3"/>
        <v>37</v>
      </c>
      <c r="F39" s="61" t="str">
        <f>Chronologie[[#This Row],[Team]]&amp;"-"&amp;Chronologie[[#This Row],[L/P/E]]&amp;"-"&amp;Chronologie[[#This Row],[ST]]</f>
        <v>U19-L-5</v>
      </c>
      <c r="G39" s="68">
        <v>45962</v>
      </c>
      <c r="H39" s="61" t="s">
        <v>795</v>
      </c>
      <c r="I39" s="61" t="s">
        <v>663</v>
      </c>
      <c r="J39" s="64">
        <v>5</v>
      </c>
      <c r="K39" s="63" t="s">
        <v>674</v>
      </c>
      <c r="L39" s="72" t="str">
        <f>IF(Chronologie[[#This Row],[H/A]]="A",VLOOKUP(Chronologie[[#This Row],[Gegner]],Orte[],4,FALSE),IF(Chronologie[[#This Row],[H/A]]="H","Hirschfeld",Chronologie[[#This Row],[Gegner]]))</f>
        <v>Stollberg</v>
      </c>
      <c r="M39" s="62" t="s">
        <v>74</v>
      </c>
      <c r="N39" s="64">
        <f>Chronologie[[#This Row],[SA-NR]]</f>
        <v>37</v>
      </c>
      <c r="O39" s="64">
        <f ca="1">IF(Chronologie[[#This Row],[Datum]]="","",IF(TODAY()&gt;=Chronologie[[#This Row],[Datum]],1,0))</f>
        <v>1</v>
      </c>
      <c r="P39" s="64">
        <f>IF(COUNTIFS(Eingabe[ID],Chronologie[[#This Row],[ID]],Eingabe[GES],"&gt;0")&gt;=1,1,0)</f>
        <v>1</v>
      </c>
      <c r="Q39" s="75">
        <f>IF(YEAR(Chronologie[[#This Row],[Datum]])=2025,WEEKNUM(Chronologie[[#This Row],[Datum]],2)-34,IF(YEAR(Chronologie[[#This Row],[Datum]])=2026,WEEKNUM(Chronologie[[#This Row],[Datum]],2)+18,""))</f>
        <v>10</v>
      </c>
      <c r="R39" s="87" t="str">
        <f>IF(Chronologie[[#This Row],[Gegner]]="","",VLOOKUP(Chronologie[[#This Row],[Gegner]],Orte[],5,FALSE))</f>
        <v>Stollberg</v>
      </c>
      <c r="S39" s="87">
        <f>IF(Chronologie[[#This Row],[Gegner]]="","",IF(Chronologie[[#This Row],[H/A]]="H",4,VLOOKUP(Chronologie[[#This Row],[Gegner]],Orte[],6,FALSE)))</f>
        <v>4</v>
      </c>
      <c r="T39" s="85" t="s">
        <v>544</v>
      </c>
      <c r="U39" s="325">
        <f>IFERROR(TIMEVALUE(LEFT(Chronologie[[#This Row],[Startzeit]],5)),"")</f>
        <v>0.54166666666666663</v>
      </c>
      <c r="V39" s="325">
        <f>IFERROR(TIMEVALUE(LEFT(Chronologie[[#This Row],[Startzeit]],5))+TIME(12/Chronologie[[#This Row],[Bahnen]],0,0),"")</f>
        <v>0.66666666666666663</v>
      </c>
      <c r="W39" s="1"/>
      <c r="X39" s="132" t="s">
        <v>76</v>
      </c>
      <c r="Y39" s="132" t="s">
        <v>166</v>
      </c>
      <c r="Z39" s="133">
        <v>1900</v>
      </c>
      <c r="AA39" s="134" t="str">
        <f>IF(Orte[[#This Row],[Anschrift]]="",Orte[[#This Row],[Kurzform]],RIGHT(Orte[[#This Row],[Anschrift]],LEN(Orte[[#This Row],[Anschrift]])-FIND("#",SUBSTITUTE(Orte[[#This Row],[Anschrift]]," ","#",LEN(Orte[[#This Row],[Anschrift]])-LEN(SUBSTITUTE(Orte[[#This Row],[Anschrift]]," ",))))))</f>
        <v>Großröhrsdorf</v>
      </c>
      <c r="AB39" s="134" t="s">
        <v>232</v>
      </c>
      <c r="AC39" s="6">
        <v>4</v>
      </c>
      <c r="AD39" s="1"/>
    </row>
    <row r="40" spans="1:30" x14ac:dyDescent="0.3">
      <c r="A40" s="74">
        <f t="shared" si="2"/>
        <v>38</v>
      </c>
      <c r="B40" s="74" t="s">
        <v>463</v>
      </c>
      <c r="C40" s="74" t="s">
        <v>10</v>
      </c>
      <c r="E40" s="60">
        <f t="shared" si="3"/>
        <v>38</v>
      </c>
      <c r="F40" s="61" t="str">
        <f>Chronologie[[#This Row],[Team]]&amp;"-"&amp;Chronologie[[#This Row],[L/P/E]]&amp;"-"&amp;Chronologie[[#This Row],[ST]]</f>
        <v>U19-L-6</v>
      </c>
      <c r="G40" s="68">
        <v>45983</v>
      </c>
      <c r="H40" s="61" t="s">
        <v>795</v>
      </c>
      <c r="I40" s="61" t="s">
        <v>663</v>
      </c>
      <c r="J40" s="66">
        <v>6</v>
      </c>
      <c r="K40" s="67" t="s">
        <v>674</v>
      </c>
      <c r="L40" s="72" t="str">
        <f>IF(Chronologie[[#This Row],[H/A]]="A",VLOOKUP(Chronologie[[#This Row],[Gegner]],Orte[],4,FALSE),IF(Chronologie[[#This Row],[H/A]]="H","Hirschfeld",Chronologie[[#This Row],[Gegner]]))</f>
        <v>Stollberg</v>
      </c>
      <c r="M40" s="62" t="s">
        <v>74</v>
      </c>
      <c r="N40" s="64">
        <f>Chronologie[[#This Row],[SA-NR]]</f>
        <v>38</v>
      </c>
      <c r="O40" s="64">
        <f ca="1">IF(Chronologie[[#This Row],[Datum]]="","",IF(TODAY()&gt;=Chronologie[[#This Row],[Datum]],1,0))</f>
        <v>1</v>
      </c>
      <c r="P40" s="64">
        <f>IF(COUNTIFS(Eingabe[ID],Chronologie[[#This Row],[ID]],Eingabe[GES],"&gt;0")&gt;=1,1,0)</f>
        <v>1</v>
      </c>
      <c r="Q40" s="75">
        <f>IF(YEAR(Chronologie[[#This Row],[Datum]])=2025,WEEKNUM(Chronologie[[#This Row],[Datum]],2)-34,IF(YEAR(Chronologie[[#This Row],[Datum]])=2026,WEEKNUM(Chronologie[[#This Row],[Datum]],2)+18,""))</f>
        <v>13</v>
      </c>
      <c r="R40" s="87" t="str">
        <f>IF(Chronologie[[#This Row],[Gegner]]="","",VLOOKUP(Chronologie[[#This Row],[Gegner]],Orte[],5,FALSE))</f>
        <v>Stollberg</v>
      </c>
      <c r="S40" s="87">
        <f>IF(Chronologie[[#This Row],[Gegner]]="","",IF(Chronologie[[#This Row],[H/A]]="H",4,VLOOKUP(Chronologie[[#This Row],[Gegner]],Orte[],6,FALSE)))</f>
        <v>4</v>
      </c>
      <c r="T40" s="85" t="s">
        <v>544</v>
      </c>
      <c r="U40" s="325">
        <f>IFERROR(TIMEVALUE(LEFT(Chronologie[[#This Row],[Startzeit]],5)),"")</f>
        <v>0.54166666666666663</v>
      </c>
      <c r="V40" s="325">
        <f>IFERROR(TIMEVALUE(LEFT(Chronologie[[#This Row],[Startzeit]],5))+TIME(12/Chronologie[[#This Row],[Bahnen]],0,0),"")</f>
        <v>0.66666666666666663</v>
      </c>
      <c r="W40" s="1"/>
      <c r="X40" s="132" t="s">
        <v>157</v>
      </c>
      <c r="Y40" s="132" t="s">
        <v>161</v>
      </c>
      <c r="Z40" s="133">
        <v>1917</v>
      </c>
      <c r="AA40" s="134" t="str">
        <f>IF(Orte[[#This Row],[Anschrift]]="",Orte[[#This Row],[Kurzform]],RIGHT(Orte[[#This Row],[Anschrift]],LEN(Orte[[#This Row],[Anschrift]])-FIND("#",SUBSTITUTE(Orte[[#This Row],[Anschrift]]," ","#",LEN(Orte[[#This Row],[Anschrift]])-LEN(SUBSTITUTE(Orte[[#This Row],[Anschrift]]," ",))))))</f>
        <v>Kamenz</v>
      </c>
      <c r="AB40" s="134" t="s">
        <v>230</v>
      </c>
      <c r="AC40" s="6">
        <v>4</v>
      </c>
      <c r="AD40" s="1"/>
    </row>
    <row r="41" spans="1:30" x14ac:dyDescent="0.3">
      <c r="A41" s="74">
        <f t="shared" si="2"/>
        <v>39</v>
      </c>
      <c r="B41" s="74" t="s">
        <v>462</v>
      </c>
      <c r="C41" s="74" t="s">
        <v>10</v>
      </c>
      <c r="E41" s="60">
        <f t="shared" si="3"/>
        <v>39</v>
      </c>
      <c r="F41" s="61" t="str">
        <f>Chronologie[[#This Row],[Team]]&amp;"-"&amp;Chronologie[[#This Row],[L/P/E]]&amp;"-"&amp;Chronologie[[#This Row],[ST]]</f>
        <v>U19-L-7</v>
      </c>
      <c r="G41" s="68">
        <v>45997</v>
      </c>
      <c r="H41" s="61" t="s">
        <v>795</v>
      </c>
      <c r="I41" s="61" t="s">
        <v>663</v>
      </c>
      <c r="J41" s="64">
        <v>7</v>
      </c>
      <c r="K41" s="67" t="s">
        <v>175</v>
      </c>
      <c r="L41" s="72" t="str">
        <f>IF(Chronologie[[#This Row],[H/A]]="A",VLOOKUP(Chronologie[[#This Row],[Gegner]],Orte[],4,FALSE),IF(Chronologie[[#This Row],[H/A]]="H","Hirschfeld",Chronologie[[#This Row],[Gegner]]))</f>
        <v>Hirschfeld</v>
      </c>
      <c r="M41" s="62" t="s">
        <v>72</v>
      </c>
      <c r="N41" s="64">
        <f>Chronologie[[#This Row],[SA-NR]]</f>
        <v>39</v>
      </c>
      <c r="O41" s="64">
        <f ca="1">IF(Chronologie[[#This Row],[Datum]]="","",IF(TODAY()&gt;=Chronologie[[#This Row],[Datum]],1,0))</f>
        <v>1</v>
      </c>
      <c r="P41" s="64">
        <f>IF(COUNTIFS(Eingabe[ID],Chronologie[[#This Row],[ID]],Eingabe[GES],"&gt;0")&gt;=1,1,0)</f>
        <v>1</v>
      </c>
      <c r="Q41" s="75">
        <f>IF(YEAR(Chronologie[[#This Row],[Datum]])=2025,WEEKNUM(Chronologie[[#This Row],[Datum]],2)-34,IF(YEAR(Chronologie[[#This Row],[Datum]])=2026,WEEKNUM(Chronologie[[#This Row],[Datum]],2)+18,""))</f>
        <v>15</v>
      </c>
      <c r="R41" s="87" t="str">
        <f>IF(Chronologie[[#This Row],[Gegner]]="","",VLOOKUP(Chronologie[[#This Row],[Gegner]],Orte[],5,FALSE))</f>
        <v>HSV</v>
      </c>
      <c r="S41" s="87">
        <f>IF(Chronologie[[#This Row],[Gegner]]="","",IF(Chronologie[[#This Row],[H/A]]="H",4,VLOOKUP(Chronologie[[#This Row],[Gegner]],Orte[],6,FALSE)))</f>
        <v>4</v>
      </c>
      <c r="T41" s="85" t="s">
        <v>544</v>
      </c>
      <c r="U41" s="325">
        <f>IFERROR(TIMEVALUE(LEFT(Chronologie[[#This Row],[Startzeit]],5)),"")</f>
        <v>0.54166666666666663</v>
      </c>
      <c r="V41" s="325">
        <f>IFERROR(TIMEVALUE(LEFT(Chronologie[[#This Row],[Startzeit]],5))+TIME(12/Chronologie[[#This Row],[Bahnen]],0,0),"")</f>
        <v>0.66666666666666663</v>
      </c>
      <c r="W41" s="1"/>
      <c r="X41" s="298" t="s">
        <v>538</v>
      </c>
      <c r="Y41" s="298" t="s">
        <v>543</v>
      </c>
      <c r="Z41" s="133">
        <v>8132</v>
      </c>
      <c r="AA41" s="134" t="str">
        <f>IF(Orte[[#This Row],[Anschrift]]="",Orte[[#This Row],[Kurzform]],RIGHT(Orte[[#This Row],[Anschrift]],LEN(Orte[[#This Row],[Anschrift]])-FIND("#",SUBSTITUTE(Orte[[#This Row],[Anschrift]]," ","#",LEN(Orte[[#This Row],[Anschrift]])-LEN(SUBSTITUTE(Orte[[#This Row],[Anschrift]]," ",))))))</f>
        <v>Stangendorf</v>
      </c>
      <c r="AB41" s="134" t="s">
        <v>537</v>
      </c>
      <c r="AC41" s="6">
        <v>4</v>
      </c>
      <c r="AD41" s="1"/>
    </row>
    <row r="42" spans="1:30" x14ac:dyDescent="0.3">
      <c r="A42" s="74">
        <f t="shared" si="2"/>
        <v>40</v>
      </c>
      <c r="B42" s="74" t="s">
        <v>494</v>
      </c>
      <c r="C42" s="74" t="s">
        <v>16</v>
      </c>
      <c r="E42" s="60">
        <f t="shared" si="3"/>
        <v>40</v>
      </c>
      <c r="F42" s="61" t="str">
        <f>Chronologie[[#This Row],[Team]]&amp;"-"&amp;Chronologie[[#This Row],[L/P/E]]&amp;"-"&amp;Chronologie[[#This Row],[ST]]</f>
        <v>U19-L-8</v>
      </c>
      <c r="G42" s="68">
        <v>46032</v>
      </c>
      <c r="H42" s="61" t="s">
        <v>795</v>
      </c>
      <c r="I42" s="61" t="s">
        <v>663</v>
      </c>
      <c r="J42" s="66">
        <v>8</v>
      </c>
      <c r="K42" s="63" t="s">
        <v>673</v>
      </c>
      <c r="L42" s="72" t="str">
        <f>IF(Chronologie[[#This Row],[H/A]]="A",VLOOKUP(Chronologie[[#This Row],[Gegner]],Orte[],4,FALSE),IF(Chronologie[[#This Row],[H/A]]="H","Hirschfeld",Chronologie[[#This Row],[Gegner]]))</f>
        <v>Bautzen</v>
      </c>
      <c r="M42" s="62" t="s">
        <v>74</v>
      </c>
      <c r="N42" s="64">
        <f>Chronologie[[#This Row],[SA-NR]]</f>
        <v>40</v>
      </c>
      <c r="O42" s="64">
        <f ca="1">IF(Chronologie[[#This Row],[Datum]]="","",IF(TODAY()&gt;=Chronologie[[#This Row],[Datum]],1,0))</f>
        <v>1</v>
      </c>
      <c r="P42" s="64">
        <f>IF(COUNTIFS(Eingabe[ID],Chronologie[[#This Row],[ID]],Eingabe[GES],"&gt;0")&gt;=1,1,0)</f>
        <v>1</v>
      </c>
      <c r="Q42" s="75">
        <f>IF(YEAR(Chronologie[[#This Row],[Datum]])=2025,WEEKNUM(Chronologie[[#This Row],[Datum]],2)-34,IF(YEAR(Chronologie[[#This Row],[Datum]])=2026,WEEKNUM(Chronologie[[#This Row],[Datum]],2)+18,""))</f>
        <v>20</v>
      </c>
      <c r="R42" s="87" t="str">
        <f>IF(Chronologie[[#This Row],[Gegner]]="","",VLOOKUP(Chronologie[[#This Row],[Gegner]],Orte[],5,FALSE))</f>
        <v>MSV Bautzen</v>
      </c>
      <c r="S42" s="87">
        <f>IF(Chronologie[[#This Row],[Gegner]]="","",IF(Chronologie[[#This Row],[H/A]]="H",4,VLOOKUP(Chronologie[[#This Row],[Gegner]],Orte[],6,FALSE)))</f>
        <v>4</v>
      </c>
      <c r="T42" s="85" t="s">
        <v>544</v>
      </c>
      <c r="U42" s="325">
        <f>IFERROR(TIMEVALUE(LEFT(Chronologie[[#This Row],[Startzeit]],5)),"")</f>
        <v>0.54166666666666663</v>
      </c>
      <c r="V42" s="325">
        <f>IFERROR(TIMEVALUE(LEFT(Chronologie[[#This Row],[Startzeit]],5))+TIME(12/Chronologie[[#This Row],[Bahnen]],0,0),"")</f>
        <v>0.66666666666666663</v>
      </c>
      <c r="W42" s="1"/>
      <c r="X42" s="132" t="s">
        <v>667</v>
      </c>
      <c r="Y42" s="132" t="s">
        <v>542</v>
      </c>
      <c r="Z42" s="133">
        <v>9366</v>
      </c>
      <c r="AA42" s="134" t="str">
        <f>IF(Orte[[#This Row],[Anschrift]]="",Orte[[#This Row],[Kurzform]],RIGHT(Orte[[#This Row],[Anschrift]],LEN(Orte[[#This Row],[Anschrift]])-FIND("#",SUBSTITUTE(Orte[[#This Row],[Anschrift]]," ","#",LEN(Orte[[#This Row],[Anschrift]])-LEN(SUBSTITUTE(Orte[[#This Row],[Anschrift]]," ",))))))</f>
        <v>Stollberg</v>
      </c>
      <c r="AB42" s="134" t="s">
        <v>535</v>
      </c>
      <c r="AC42" s="6">
        <v>4</v>
      </c>
      <c r="AD42" s="1"/>
    </row>
    <row r="43" spans="1:30" x14ac:dyDescent="0.3">
      <c r="A43" s="74">
        <f t="shared" si="2"/>
        <v>41</v>
      </c>
      <c r="B43" s="74" t="s">
        <v>455</v>
      </c>
      <c r="C43" s="74" t="s">
        <v>4</v>
      </c>
      <c r="E43" s="60">
        <f t="shared" si="3"/>
        <v>41</v>
      </c>
      <c r="F43" s="61" t="str">
        <f>Chronologie[[#This Row],[Team]]&amp;"-"&amp;Chronologie[[#This Row],[L/P/E]]&amp;"-"&amp;Chronologie[[#This Row],[ST]]</f>
        <v>U19-L-9</v>
      </c>
      <c r="G43" s="68">
        <v>46039</v>
      </c>
      <c r="H43" s="61" t="s">
        <v>795</v>
      </c>
      <c r="I43" s="61" t="s">
        <v>663</v>
      </c>
      <c r="J43" s="64">
        <v>9</v>
      </c>
      <c r="K43" s="63" t="s">
        <v>673</v>
      </c>
      <c r="L43" s="72" t="str">
        <f>IF(Chronologie[[#This Row],[H/A]]="A",VLOOKUP(Chronologie[[#This Row],[Gegner]],Orte[],4,FALSE),IF(Chronologie[[#This Row],[H/A]]="H","Hirschfeld",Chronologie[[#This Row],[Gegner]]))</f>
        <v>Bautzen</v>
      </c>
      <c r="M43" s="62" t="s">
        <v>74</v>
      </c>
      <c r="N43" s="64">
        <f>Chronologie[[#This Row],[SA-NR]]</f>
        <v>41</v>
      </c>
      <c r="O43" s="64">
        <f ca="1">IF(Chronologie[[#This Row],[Datum]]="","",IF(TODAY()&gt;=Chronologie[[#This Row],[Datum]],1,0))</f>
        <v>1</v>
      </c>
      <c r="P43" s="64">
        <f>IF(COUNTIFS(Eingabe[ID],Chronologie[[#This Row],[ID]],Eingabe[GES],"&gt;0")&gt;=1,1,0)</f>
        <v>1</v>
      </c>
      <c r="Q43" s="75">
        <f>IF(YEAR(Chronologie[[#This Row],[Datum]])=2025,WEEKNUM(Chronologie[[#This Row],[Datum]],2)-34,IF(YEAR(Chronologie[[#This Row],[Datum]])=2026,WEEKNUM(Chronologie[[#This Row],[Datum]],2)+18,""))</f>
        <v>21</v>
      </c>
      <c r="R43" s="87" t="str">
        <f>IF(Chronologie[[#This Row],[Gegner]]="","",VLOOKUP(Chronologie[[#This Row],[Gegner]],Orte[],5,FALSE))</f>
        <v>MSV Bautzen</v>
      </c>
      <c r="S43" s="87">
        <f>IF(Chronologie[[#This Row],[Gegner]]="","",IF(Chronologie[[#This Row],[H/A]]="H",4,VLOOKUP(Chronologie[[#This Row],[Gegner]],Orte[],6,FALSE)))</f>
        <v>4</v>
      </c>
      <c r="T43" s="85" t="s">
        <v>544</v>
      </c>
      <c r="U43" s="325">
        <f>IFERROR(TIMEVALUE(LEFT(Chronologie[[#This Row],[Startzeit]],5)),"")</f>
        <v>0.54166666666666663</v>
      </c>
      <c r="V43" s="325">
        <f>IFERROR(TIMEVALUE(LEFT(Chronologie[[#This Row],[Startzeit]],5))+TIME(12/Chronologie[[#This Row],[Bahnen]],0,0),"")</f>
        <v>0.66666666666666663</v>
      </c>
      <c r="W43" s="1"/>
      <c r="X43" s="132" t="s">
        <v>536</v>
      </c>
      <c r="Y43" s="132" t="s">
        <v>542</v>
      </c>
      <c r="Z43" s="133">
        <v>9366</v>
      </c>
      <c r="AA43" s="134" t="str">
        <f>IF(Orte[[#This Row],[Anschrift]]="",Orte[[#This Row],[Kurzform]],RIGHT(Orte[[#This Row],[Anschrift]],LEN(Orte[[#This Row],[Anschrift]])-FIND("#",SUBSTITUTE(Orte[[#This Row],[Anschrift]]," ","#",LEN(Orte[[#This Row],[Anschrift]])-LEN(SUBSTITUTE(Orte[[#This Row],[Anschrift]]," ",))))))</f>
        <v>Stollberg</v>
      </c>
      <c r="AB43" s="134" t="s">
        <v>539</v>
      </c>
      <c r="AC43" s="6">
        <v>4</v>
      </c>
      <c r="AD43" s="1"/>
    </row>
    <row r="44" spans="1:30" x14ac:dyDescent="0.3">
      <c r="A44" s="74">
        <f t="shared" si="2"/>
        <v>42</v>
      </c>
      <c r="B44" s="74" t="s">
        <v>485</v>
      </c>
      <c r="C44" s="74" t="s">
        <v>795</v>
      </c>
      <c r="E44" s="60">
        <f t="shared" si="3"/>
        <v>42</v>
      </c>
      <c r="F44" s="61" t="str">
        <f>Chronologie[[#This Row],[Team]]&amp;"-"&amp;Chronologie[[#This Row],[L/P/E]]&amp;"-"&amp;Chronologie[[#This Row],[ST]]</f>
        <v>U19-L-10</v>
      </c>
      <c r="G44" s="68">
        <v>46053</v>
      </c>
      <c r="H44" s="61" t="s">
        <v>795</v>
      </c>
      <c r="I44" s="61" t="s">
        <v>663</v>
      </c>
      <c r="J44" s="66">
        <v>10</v>
      </c>
      <c r="K44" s="63" t="s">
        <v>175</v>
      </c>
      <c r="L44" s="72" t="str">
        <f>IF(Chronologie[[#This Row],[H/A]]="A",VLOOKUP(Chronologie[[#This Row],[Gegner]],Orte[],4,FALSE),IF(Chronologie[[#This Row],[H/A]]="H","Hirschfeld",Chronologie[[#This Row],[Gegner]]))</f>
        <v>Hirschfeld</v>
      </c>
      <c r="M44" s="62" t="s">
        <v>72</v>
      </c>
      <c r="N44" s="64">
        <f>Chronologie[[#This Row],[SA-NR]]</f>
        <v>42</v>
      </c>
      <c r="O44" s="64">
        <f ca="1">IF(Chronologie[[#This Row],[Datum]]="","",IF(TODAY()&gt;=Chronologie[[#This Row],[Datum]],1,0))</f>
        <v>1</v>
      </c>
      <c r="P44" s="64">
        <f>IF(COUNTIFS(Eingabe[ID],Chronologie[[#This Row],[ID]],Eingabe[GES],"&gt;0")&gt;=1,1,0)</f>
        <v>0</v>
      </c>
      <c r="Q44" s="75">
        <f>IF(YEAR(Chronologie[[#This Row],[Datum]])=2025,WEEKNUM(Chronologie[[#This Row],[Datum]],2)-34,IF(YEAR(Chronologie[[#This Row],[Datum]])=2026,WEEKNUM(Chronologie[[#This Row],[Datum]],2)+18,""))</f>
        <v>23</v>
      </c>
      <c r="R44" s="87" t="str">
        <f>IF(Chronologie[[#This Row],[Gegner]]="","",VLOOKUP(Chronologie[[#This Row],[Gegner]],Orte[],5,FALSE))</f>
        <v>HSV</v>
      </c>
      <c r="S44" s="87">
        <f>IF(Chronologie[[#This Row],[Gegner]]="","",IF(Chronologie[[#This Row],[H/A]]="H",4,VLOOKUP(Chronologie[[#This Row],[Gegner]],Orte[],6,FALSE)))</f>
        <v>4</v>
      </c>
      <c r="T44" s="85" t="s">
        <v>544</v>
      </c>
      <c r="U44" s="325">
        <f>IFERROR(TIMEVALUE(LEFT(Chronologie[[#This Row],[Startzeit]],5)),"")</f>
        <v>0.54166666666666663</v>
      </c>
      <c r="V44" s="325">
        <f>IFERROR(TIMEVALUE(LEFT(Chronologie[[#This Row],[Startzeit]],5))+TIME(12/Chronologie[[#This Row],[Bahnen]],0,0),"")</f>
        <v>0.66666666666666663</v>
      </c>
      <c r="W44" s="1"/>
      <c r="X44" s="132" t="s">
        <v>371</v>
      </c>
      <c r="Y44" s="132" t="s">
        <v>374</v>
      </c>
      <c r="Z44" s="133">
        <v>8209</v>
      </c>
      <c r="AA44" s="134" t="str">
        <f>IF(Orte[[#This Row],[Anschrift]]="",Orte[[#This Row],[Kurzform]],RIGHT(Orte[[#This Row],[Anschrift]],LEN(Orte[[#This Row],[Anschrift]])-FIND("#",SUBSTITUTE(Orte[[#This Row],[Anschrift]]," ","#",LEN(Orte[[#This Row],[Anschrift]])-LEN(SUBSTITUTE(Orte[[#This Row],[Anschrift]]," ",))))))</f>
        <v>Auerbach/V.</v>
      </c>
      <c r="AB44" s="134" t="s">
        <v>380</v>
      </c>
      <c r="AC44" s="6">
        <v>4</v>
      </c>
      <c r="AD44" s="1"/>
    </row>
    <row r="45" spans="1:30" x14ac:dyDescent="0.3">
      <c r="A45" s="74">
        <f t="shared" si="2"/>
        <v>43</v>
      </c>
      <c r="B45" s="74" t="s">
        <v>484</v>
      </c>
      <c r="C45" s="74" t="s">
        <v>17</v>
      </c>
      <c r="E45" s="60">
        <f t="shared" si="3"/>
        <v>43</v>
      </c>
      <c r="F45" s="61" t="str">
        <f>Chronologie[[#This Row],[Team]]&amp;"-"&amp;Chronologie[[#This Row],[L/P/E]]&amp;"-"&amp;Chronologie[[#This Row],[ST]]</f>
        <v>U19-L-11</v>
      </c>
      <c r="G45" s="68">
        <v>46074</v>
      </c>
      <c r="H45" s="61" t="s">
        <v>795</v>
      </c>
      <c r="I45" s="61" t="s">
        <v>663</v>
      </c>
      <c r="J45" s="64">
        <v>11</v>
      </c>
      <c r="K45" s="63" t="s">
        <v>674</v>
      </c>
      <c r="L45" s="72" t="str">
        <f>IF(Chronologie[[#This Row],[H/A]]="A",VLOOKUP(Chronologie[[#This Row],[Gegner]],Orte[],4,FALSE),IF(Chronologie[[#This Row],[H/A]]="H","Hirschfeld",Chronologie[[#This Row],[Gegner]]))</f>
        <v>Stollberg</v>
      </c>
      <c r="M45" s="65" t="s">
        <v>74</v>
      </c>
      <c r="N45" s="64">
        <f>Chronologie[[#This Row],[SA-NR]]</f>
        <v>43</v>
      </c>
      <c r="O45" s="64">
        <f ca="1">IF(Chronologie[[#This Row],[Datum]]="","",IF(TODAY()&gt;=Chronologie[[#This Row],[Datum]],1,0))</f>
        <v>0</v>
      </c>
      <c r="P45" s="64">
        <f>IF(COUNTIFS(Eingabe[ID],Chronologie[[#This Row],[ID]],Eingabe[GES],"&gt;0")&gt;=1,1,0)</f>
        <v>0</v>
      </c>
      <c r="Q45" s="75">
        <f>IF(YEAR(Chronologie[[#This Row],[Datum]])=2025,WEEKNUM(Chronologie[[#This Row],[Datum]],2)-34,IF(YEAR(Chronologie[[#This Row],[Datum]])=2026,WEEKNUM(Chronologie[[#This Row],[Datum]],2)+18,""))</f>
        <v>26</v>
      </c>
      <c r="R45" s="87" t="str">
        <f>IF(Chronologie[[#This Row],[Gegner]]="","",VLOOKUP(Chronologie[[#This Row],[Gegner]],Orte[],5,FALSE))</f>
        <v>Stollberg</v>
      </c>
      <c r="S45" s="87">
        <f>IF(Chronologie[[#This Row],[Gegner]]="","",IF(Chronologie[[#This Row],[H/A]]="H",4,VLOOKUP(Chronologie[[#This Row],[Gegner]],Orte[],6,FALSE)))</f>
        <v>4</v>
      </c>
      <c r="T45" s="85" t="s">
        <v>544</v>
      </c>
      <c r="U45" s="325">
        <f>IFERROR(TIMEVALUE(LEFT(Chronologie[[#This Row],[Startzeit]],5)),"")</f>
        <v>0.54166666666666663</v>
      </c>
      <c r="V45" s="325">
        <f>IFERROR(TIMEVALUE(LEFT(Chronologie[[#This Row],[Startzeit]],5))+TIME(12/Chronologie[[#This Row],[Bahnen]],0,0),"")</f>
        <v>0.66666666666666663</v>
      </c>
      <c r="W45" s="1"/>
      <c r="X45" s="132" t="s">
        <v>533</v>
      </c>
      <c r="Y45" s="132" t="s">
        <v>360</v>
      </c>
      <c r="Z45" s="133">
        <v>9648</v>
      </c>
      <c r="AA45" s="134" t="str">
        <f>IF(Orte[[#This Row],[Anschrift]]="",Orte[[#This Row],[Kurzform]],RIGHT(Orte[[#This Row],[Anschrift]],LEN(Orte[[#This Row],[Anschrift]])-FIND("#",SUBSTITUTE(Orte[[#This Row],[Anschrift]]," ","#",LEN(Orte[[#This Row],[Anschrift]])-LEN(SUBSTITUTE(Orte[[#This Row],[Anschrift]]," ",))))))</f>
        <v>Mittweida</v>
      </c>
      <c r="AB45" s="134" t="s">
        <v>97</v>
      </c>
      <c r="AC45" s="6">
        <v>4</v>
      </c>
      <c r="AD45" s="1"/>
    </row>
    <row r="46" spans="1:30" x14ac:dyDescent="0.3">
      <c r="A46" s="74">
        <f t="shared" si="2"/>
        <v>44</v>
      </c>
      <c r="B46" s="74" t="s">
        <v>489</v>
      </c>
      <c r="C46" s="74" t="s">
        <v>4</v>
      </c>
      <c r="E46" s="60">
        <f t="shared" si="3"/>
        <v>44</v>
      </c>
      <c r="F46" s="61" t="str">
        <f>Chronologie[[#This Row],[Team]]&amp;"-"&amp;Chronologie[[#This Row],[L/P/E]]&amp;"-"&amp;Chronologie[[#This Row],[ST]]</f>
        <v>U19-L-12</v>
      </c>
      <c r="G46" s="68">
        <v>46095</v>
      </c>
      <c r="H46" s="61" t="s">
        <v>795</v>
      </c>
      <c r="I46" s="61" t="s">
        <v>663</v>
      </c>
      <c r="J46" s="66">
        <v>12</v>
      </c>
      <c r="K46" s="63" t="s">
        <v>677</v>
      </c>
      <c r="L46" s="72" t="str">
        <f>IF(Chronologie[[#This Row],[H/A]]="A",VLOOKUP(Chronologie[[#This Row],[Gegner]],Orte[],4,FALSE),IF(Chronologie[[#This Row],[H/A]]="H","Hirschfeld",Chronologie[[#This Row],[Gegner]]))</f>
        <v>Heidenau</v>
      </c>
      <c r="M46" s="62" t="s">
        <v>74</v>
      </c>
      <c r="N46" s="64">
        <f>Chronologie[[#This Row],[SA-NR]]</f>
        <v>44</v>
      </c>
      <c r="O46" s="64">
        <f ca="1">IF(Chronologie[[#This Row],[Datum]]="","",IF(TODAY()&gt;=Chronologie[[#This Row],[Datum]],1,0))</f>
        <v>0</v>
      </c>
      <c r="P46" s="64">
        <f>IF(COUNTIFS(Eingabe[ID],Chronologie[[#This Row],[ID]],Eingabe[GES],"&gt;0")&gt;=1,1,0)</f>
        <v>0</v>
      </c>
      <c r="Q46" s="75">
        <f>IF(YEAR(Chronologie[[#This Row],[Datum]])=2025,WEEKNUM(Chronologie[[#This Row],[Datum]],2)-34,IF(YEAR(Chronologie[[#This Row],[Datum]])=2026,WEEKNUM(Chronologie[[#This Row],[Datum]],2)+18,""))</f>
        <v>29</v>
      </c>
      <c r="R46" s="87" t="str">
        <f>IF(Chronologie[[#This Row],[Gegner]]="","",VLOOKUP(Chronologie[[#This Row],[Gegner]],Orte[],5,FALSE))</f>
        <v>Heidenau</v>
      </c>
      <c r="S46" s="87">
        <f>IF(Chronologie[[#This Row],[Gegner]]="","",IF(Chronologie[[#This Row],[H/A]]="H",4,VLOOKUP(Chronologie[[#This Row],[Gegner]],Orte[],6,FALSE)))</f>
        <v>4</v>
      </c>
      <c r="T46" s="85" t="s">
        <v>544</v>
      </c>
      <c r="U46" s="325">
        <f>IFERROR(TIMEVALUE(LEFT(Chronologie[[#This Row],[Startzeit]],5)),"")</f>
        <v>0.54166666666666663</v>
      </c>
      <c r="V46" s="325">
        <f>IFERROR(TIMEVALUE(LEFT(Chronologie[[#This Row],[Startzeit]],5))+TIME(12/Chronologie[[#This Row],[Bahnen]],0,0),"")</f>
        <v>0.66666666666666663</v>
      </c>
      <c r="W46" s="1"/>
      <c r="X46" s="132" t="s">
        <v>93</v>
      </c>
      <c r="Y46" s="132" t="s">
        <v>193</v>
      </c>
      <c r="Z46" s="133">
        <v>8289</v>
      </c>
      <c r="AA46" s="134" t="str">
        <f>IF(Orte[[#This Row],[Anschrift]]="",Orte[[#This Row],[Kurzform]],RIGHT(Orte[[#This Row],[Anschrift]],LEN(Orte[[#This Row],[Anschrift]])-FIND("#",SUBSTITUTE(Orte[[#This Row],[Anschrift]]," ","#",LEN(Orte[[#This Row],[Anschrift]])-LEN(SUBSTITUTE(Orte[[#This Row],[Anschrift]]," ",))))))</f>
        <v>Schneeberg</v>
      </c>
      <c r="AB46" s="134" t="s">
        <v>241</v>
      </c>
      <c r="AC46" s="6">
        <v>4</v>
      </c>
      <c r="AD46" s="1"/>
    </row>
    <row r="47" spans="1:30" x14ac:dyDescent="0.3">
      <c r="A47" s="74">
        <f t="shared" si="2"/>
        <v>45</v>
      </c>
      <c r="B47" s="74" t="s">
        <v>490</v>
      </c>
      <c r="C47" s="74" t="s">
        <v>9</v>
      </c>
      <c r="E47" s="60">
        <f t="shared" si="3"/>
        <v>45</v>
      </c>
      <c r="F47" s="61" t="str">
        <f>Chronologie[[#This Row],[Team]]&amp;"-"&amp;Chronologie[[#This Row],[L/P/E]]&amp;"-"&amp;Chronologie[[#This Row],[ST]]</f>
        <v>Z-L-1</v>
      </c>
      <c r="G47" s="69">
        <v>45914</v>
      </c>
      <c r="H47" s="61" t="s">
        <v>9</v>
      </c>
      <c r="I47" s="61" t="s">
        <v>663</v>
      </c>
      <c r="J47" s="64">
        <v>1</v>
      </c>
      <c r="K47" s="67" t="s">
        <v>89</v>
      </c>
      <c r="L47" s="73" t="str">
        <f>IF(Chronologie[[#This Row],[H/A]]="A",VLOOKUP(Chronologie[[#This Row],[Gegner]],Orte[],4,FALSE),IF(Chronologie[[#This Row],[H/A]]="H","Hirschfeld",Chronologie[[#This Row],[Gegner]]))</f>
        <v>Zschorlau</v>
      </c>
      <c r="M47" s="65" t="s">
        <v>74</v>
      </c>
      <c r="N47" s="64">
        <f>Chronologie[[#This Row],[SA-NR]]</f>
        <v>45</v>
      </c>
      <c r="O47" s="64">
        <f ca="1">IF(Chronologie[[#This Row],[Datum]]="","",IF(TODAY()&gt;=Chronologie[[#This Row],[Datum]],1,0))</f>
        <v>1</v>
      </c>
      <c r="P47" s="64">
        <f>IF(COUNTIFS(Eingabe[ID],Chronologie[[#This Row],[ID]],Eingabe[GES],"&gt;0")&gt;=1,1,0)</f>
        <v>1</v>
      </c>
      <c r="Q47" s="75">
        <f>IF(YEAR(Chronologie[[#This Row],[Datum]])=2025,WEEKNUM(Chronologie[[#This Row],[Datum]],2)-34,IF(YEAR(Chronologie[[#This Row],[Datum]])=2026,WEEKNUM(Chronologie[[#This Row],[Datum]],2)+18,""))</f>
        <v>3</v>
      </c>
      <c r="R47" s="87" t="str">
        <f>IF(Chronologie[[#This Row],[Gegner]]="","",VLOOKUP(Chronologie[[#This Row],[Gegner]],Orte[],5,FALSE))</f>
        <v>Zschorlau</v>
      </c>
      <c r="S47" s="87">
        <f>IF(Chronologie[[#This Row],[Gegner]]="","",IF(Chronologie[[#This Row],[H/A]]="H",4,VLOOKUP(Chronologie[[#This Row],[Gegner]],Orte[],6,FALSE)))</f>
        <v>4</v>
      </c>
      <c r="T47" s="85" t="s">
        <v>548</v>
      </c>
      <c r="U47" s="325">
        <f>IFERROR(TIMEVALUE(LEFT(Chronologie[[#This Row],[Startzeit]],5)),"")</f>
        <v>0.375</v>
      </c>
      <c r="V47" s="325">
        <f>IFERROR(TIMEVALUE(LEFT(Chronologie[[#This Row],[Startzeit]],5))+TIME(12/Chronologie[[#This Row],[Bahnen]],0,0),"")</f>
        <v>0.5</v>
      </c>
      <c r="W47" s="1"/>
      <c r="X47" s="132" t="s">
        <v>532</v>
      </c>
      <c r="Y47" s="132" t="s">
        <v>559</v>
      </c>
      <c r="Z47" s="133">
        <v>8527</v>
      </c>
      <c r="AA47" s="134" t="str">
        <f>IF(Orte[[#This Row],[Anschrift]]="",Orte[[#This Row],[Kurzform]],RIGHT(Orte[[#This Row],[Anschrift]],LEN(Orte[[#This Row],[Anschrift]])-FIND("#",SUBSTITUTE(Orte[[#This Row],[Anschrift]]," ","#",LEN(Orte[[#This Row],[Anschrift]])-LEN(SUBSTITUTE(Orte[[#This Row],[Anschrift]]," ",))))))</f>
        <v>Plauen</v>
      </c>
      <c r="AB47" s="134" t="s">
        <v>295</v>
      </c>
      <c r="AC47" s="6">
        <v>4</v>
      </c>
      <c r="AD47" s="1"/>
    </row>
    <row r="48" spans="1:30" x14ac:dyDescent="0.3">
      <c r="A48" s="74">
        <f t="shared" si="2"/>
        <v>46</v>
      </c>
      <c r="B48" s="74" t="s">
        <v>492</v>
      </c>
      <c r="C48" s="74" t="s">
        <v>16</v>
      </c>
      <c r="E48" s="60">
        <f t="shared" si="3"/>
        <v>46</v>
      </c>
      <c r="F48" s="61" t="str">
        <f>Chronologie[[#This Row],[Team]]&amp;"-"&amp;Chronologie[[#This Row],[L/P/E]]&amp;"-"&amp;Chronologie[[#This Row],[ST]]</f>
        <v>Z-L-2</v>
      </c>
      <c r="G48" s="69">
        <v>45942</v>
      </c>
      <c r="H48" s="61" t="s">
        <v>9</v>
      </c>
      <c r="I48" s="61" t="s">
        <v>663</v>
      </c>
      <c r="J48" s="66">
        <v>2</v>
      </c>
      <c r="K48" s="63" t="s">
        <v>538</v>
      </c>
      <c r="L48" s="72" t="str">
        <f>IF(Chronologie[[#This Row],[H/A]]="A",VLOOKUP(Chronologie[[#This Row],[Gegner]],Orte[],4,FALSE),IF(Chronologie[[#This Row],[H/A]]="H","Hirschfeld",Chronologie[[#This Row],[Gegner]]))</f>
        <v>Hirschfeld</v>
      </c>
      <c r="M48" s="65" t="s">
        <v>72</v>
      </c>
      <c r="N48" s="64">
        <f>Chronologie[[#This Row],[SA-NR]]</f>
        <v>46</v>
      </c>
      <c r="O48" s="64">
        <f ca="1">IF(Chronologie[[#This Row],[Datum]]="","",IF(TODAY()&gt;=Chronologie[[#This Row],[Datum]],1,0))</f>
        <v>1</v>
      </c>
      <c r="P48" s="64">
        <f>IF(COUNTIFS(Eingabe[ID],Chronologie[[#This Row],[ID]],Eingabe[GES],"&gt;0")&gt;=1,1,0)</f>
        <v>1</v>
      </c>
      <c r="Q48" s="75">
        <f>IF(YEAR(Chronologie[[#This Row],[Datum]])=2025,WEEKNUM(Chronologie[[#This Row],[Datum]],2)-34,IF(YEAR(Chronologie[[#This Row],[Datum]])=2026,WEEKNUM(Chronologie[[#This Row],[Datum]],2)+18,""))</f>
        <v>7</v>
      </c>
      <c r="R48" s="87" t="str">
        <f>IF(Chronologie[[#This Row],[Gegner]]="","",VLOOKUP(Chronologie[[#This Row],[Gegner]],Orte[],5,FALSE))</f>
        <v>Thurm</v>
      </c>
      <c r="S48" s="87">
        <f>IF(Chronologie[[#This Row],[Gegner]]="","",IF(Chronologie[[#This Row],[H/A]]="H",4,VLOOKUP(Chronologie[[#This Row],[Gegner]],Orte[],6,FALSE)))</f>
        <v>4</v>
      </c>
      <c r="T48" s="85" t="s">
        <v>548</v>
      </c>
      <c r="U48" s="325">
        <f>IFERROR(TIMEVALUE(LEFT(Chronologie[[#This Row],[Startzeit]],5)),"")</f>
        <v>0.375</v>
      </c>
      <c r="V48" s="325">
        <f>IFERROR(TIMEVALUE(LEFT(Chronologie[[#This Row],[Startzeit]],5))+TIME(12/Chronologie[[#This Row],[Bahnen]],0,0),"")</f>
        <v>0.5</v>
      </c>
      <c r="W48" s="1"/>
      <c r="X48" s="132" t="s">
        <v>534</v>
      </c>
      <c r="Y48" s="132" t="s">
        <v>178</v>
      </c>
      <c r="Z48" s="133">
        <v>8141</v>
      </c>
      <c r="AA48" s="134" t="str">
        <f>IF(Orte[[#This Row],[Anschrift]]="",Orte[[#This Row],[Kurzform]],RIGHT(Orte[[#This Row],[Anschrift]],LEN(Orte[[#This Row],[Anschrift]])-FIND("#",SUBSTITUTE(Orte[[#This Row],[Anschrift]]," ","#",LEN(Orte[[#This Row],[Anschrift]])-LEN(SUBSTITUTE(Orte[[#This Row],[Anschrift]]," ",))))))</f>
        <v>Reinsdorf</v>
      </c>
      <c r="AB48" s="134" t="s">
        <v>207</v>
      </c>
      <c r="AC48" s="6">
        <v>4</v>
      </c>
      <c r="AD48" s="1"/>
    </row>
    <row r="49" spans="1:30" x14ac:dyDescent="0.3">
      <c r="A49" s="74">
        <f t="shared" si="2"/>
        <v>47</v>
      </c>
      <c r="B49" s="74" t="s">
        <v>6</v>
      </c>
      <c r="C49" s="74" t="s">
        <v>4</v>
      </c>
      <c r="E49" s="60">
        <f t="shared" si="3"/>
        <v>47</v>
      </c>
      <c r="F49" s="61" t="str">
        <f>Chronologie[[#This Row],[Team]]&amp;"-"&amp;Chronologie[[#This Row],[L/P/E]]&amp;"-"&amp;Chronologie[[#This Row],[ST]]</f>
        <v>Z-L-3</v>
      </c>
      <c r="G49" s="68">
        <v>45949</v>
      </c>
      <c r="H49" s="61" t="s">
        <v>9</v>
      </c>
      <c r="I49" s="61" t="s">
        <v>663</v>
      </c>
      <c r="J49" s="64">
        <v>3</v>
      </c>
      <c r="K49" s="63" t="s">
        <v>536</v>
      </c>
      <c r="L49" s="72" t="str">
        <f>IF(Chronologie[[#This Row],[H/A]]="A",VLOOKUP(Chronologie[[#This Row],[Gegner]],Orte[],4,FALSE),IF(Chronologie[[#This Row],[H/A]]="H","Hirschfeld",Chronologie[[#This Row],[Gegner]]))</f>
        <v>Stollberg</v>
      </c>
      <c r="M49" s="62" t="s">
        <v>74</v>
      </c>
      <c r="N49" s="64">
        <f>Chronologie[[#This Row],[SA-NR]]</f>
        <v>47</v>
      </c>
      <c r="O49" s="64">
        <f ca="1">IF(Chronologie[[#This Row],[Datum]]="","",IF(TODAY()&gt;=Chronologie[[#This Row],[Datum]],1,0))</f>
        <v>1</v>
      </c>
      <c r="P49" s="64">
        <f>IF(COUNTIFS(Eingabe[ID],Chronologie[[#This Row],[ID]],Eingabe[GES],"&gt;0")&gt;=1,1,0)</f>
        <v>1</v>
      </c>
      <c r="Q49" s="75">
        <f>IF(YEAR(Chronologie[[#This Row],[Datum]])=2025,WEEKNUM(Chronologie[[#This Row],[Datum]],2)-34,IF(YEAR(Chronologie[[#This Row],[Datum]])=2026,WEEKNUM(Chronologie[[#This Row],[Datum]],2)+18,""))</f>
        <v>8</v>
      </c>
      <c r="R49" s="87" t="str">
        <f>IF(Chronologie[[#This Row],[Gegner]]="","",VLOOKUP(Chronologie[[#This Row],[Gegner]],Orte[],5,FALSE))</f>
        <v>Stollberg IV</v>
      </c>
      <c r="S49" s="87">
        <f>IF(Chronologie[[#This Row],[Gegner]]="","",IF(Chronologie[[#This Row],[H/A]]="H",4,VLOOKUP(Chronologie[[#This Row],[Gegner]],Orte[],6,FALSE)))</f>
        <v>4</v>
      </c>
      <c r="T49" s="85" t="s">
        <v>548</v>
      </c>
      <c r="U49" s="325">
        <f>IFERROR(TIMEVALUE(LEFT(Chronologie[[#This Row],[Startzeit]],5)),"")</f>
        <v>0.375</v>
      </c>
      <c r="V49" s="325">
        <f>IFERROR(TIMEVALUE(LEFT(Chronologie[[#This Row],[Startzeit]],5))+TIME(12/Chronologie[[#This Row],[Bahnen]],0,0),"")</f>
        <v>0.5</v>
      </c>
      <c r="W49" s="1"/>
      <c r="X49" s="132" t="s">
        <v>86</v>
      </c>
      <c r="Y49" s="132" t="s">
        <v>179</v>
      </c>
      <c r="Z49" s="133">
        <v>9648</v>
      </c>
      <c r="AA49" s="134" t="str">
        <f>IF(Orte[[#This Row],[Anschrift]]="",Orte[[#This Row],[Kurzform]],RIGHT(Orte[[#This Row],[Anschrift]],LEN(Orte[[#This Row],[Anschrift]])-FIND("#",SUBSTITUTE(Orte[[#This Row],[Anschrift]]," ","#",LEN(Orte[[#This Row],[Anschrift]])-LEN(SUBSTITUTE(Orte[[#This Row],[Anschrift]]," ",))))))</f>
        <v>Mittweida</v>
      </c>
      <c r="AB49" s="134" t="s">
        <v>97</v>
      </c>
      <c r="AC49" s="6">
        <v>4</v>
      </c>
      <c r="AD49" s="1"/>
    </row>
    <row r="50" spans="1:30" x14ac:dyDescent="0.3">
      <c r="A50" s="344">
        <f t="shared" si="2"/>
        <v>48</v>
      </c>
      <c r="B50" s="344" t="s">
        <v>12</v>
      </c>
      <c r="C50" s="344" t="s">
        <v>9</v>
      </c>
      <c r="E50" s="60">
        <f t="shared" si="3"/>
        <v>48</v>
      </c>
      <c r="F50" s="61" t="str">
        <f>Chronologie[[#This Row],[Team]]&amp;"-"&amp;Chronologie[[#This Row],[L/P/E]]&amp;"-"&amp;Chronologie[[#This Row],[ST]]</f>
        <v>Z-L-4</v>
      </c>
      <c r="G50" s="68">
        <v>45956</v>
      </c>
      <c r="H50" s="61" t="s">
        <v>9</v>
      </c>
      <c r="I50" s="61" t="s">
        <v>663</v>
      </c>
      <c r="J50" s="66">
        <v>4</v>
      </c>
      <c r="K50" s="63" t="s">
        <v>177</v>
      </c>
      <c r="L50" s="72" t="str">
        <f>IF(Chronologie[[#This Row],[H/A]]="A",VLOOKUP(Chronologie[[#This Row],[Gegner]],Orte[],4,FALSE),IF(Chronologie[[#This Row],[H/A]]="H","Hirschfeld",Chronologie[[#This Row],[Gegner]]))</f>
        <v>Hirschfeld</v>
      </c>
      <c r="M50" s="62" t="s">
        <v>72</v>
      </c>
      <c r="N50" s="64">
        <f>Chronologie[[#This Row],[SA-NR]]</f>
        <v>48</v>
      </c>
      <c r="O50" s="64">
        <f ca="1">IF(Chronologie[[#This Row],[Datum]]="","",IF(TODAY()&gt;=Chronologie[[#This Row],[Datum]],1,0))</f>
        <v>1</v>
      </c>
      <c r="P50" s="64">
        <f>IF(COUNTIFS(Eingabe[ID],Chronologie[[#This Row],[ID]],Eingabe[GES],"&gt;0")&gt;=1,1,0)</f>
        <v>1</v>
      </c>
      <c r="Q50" s="75">
        <f>IF(YEAR(Chronologie[[#This Row],[Datum]])=2025,WEEKNUM(Chronologie[[#This Row],[Datum]],2)-34,IF(YEAR(Chronologie[[#This Row],[Datum]])=2026,WEEKNUM(Chronologie[[#This Row],[Datum]],2)+18,""))</f>
        <v>9</v>
      </c>
      <c r="R50" s="87" t="str">
        <f>IF(Chronologie[[#This Row],[Gegner]]="","",VLOOKUP(Chronologie[[#This Row],[Gegner]],Orte[],5,FALSE))</f>
        <v>Drebach</v>
      </c>
      <c r="S50" s="87">
        <f>IF(Chronologie[[#This Row],[Gegner]]="","",IF(Chronologie[[#This Row],[H/A]]="H",4,VLOOKUP(Chronologie[[#This Row],[Gegner]],Orte[],6,FALSE)))</f>
        <v>4</v>
      </c>
      <c r="T50" s="85" t="s">
        <v>548</v>
      </c>
      <c r="U50" s="325">
        <f>IFERROR(TIMEVALUE(LEFT(Chronologie[[#This Row],[Startzeit]],5)),"")</f>
        <v>0.375</v>
      </c>
      <c r="V50" s="325">
        <f>IFERROR(TIMEVALUE(LEFT(Chronologie[[#This Row],[Startzeit]],5))+TIME(12/Chronologie[[#This Row],[Bahnen]],0,0),"")</f>
        <v>0.5</v>
      </c>
      <c r="W50" s="1"/>
      <c r="X50" s="132" t="s">
        <v>368</v>
      </c>
      <c r="Y50" s="132" t="s">
        <v>369</v>
      </c>
      <c r="Z50" s="133">
        <v>9111</v>
      </c>
      <c r="AA50" s="134" t="str">
        <f>IF(Orte[[#This Row],[Anschrift]]="",Orte[[#This Row],[Kurzform]],RIGHT(Orte[[#This Row],[Anschrift]],LEN(Orte[[#This Row],[Anschrift]])-FIND("#",SUBSTITUTE(Orte[[#This Row],[Anschrift]]," ","#",LEN(Orte[[#This Row],[Anschrift]])-LEN(SUBSTITUTE(Orte[[#This Row],[Anschrift]]," ",))))))</f>
        <v>Chemnitz</v>
      </c>
      <c r="AB50" s="134" t="s">
        <v>294</v>
      </c>
      <c r="AC50" s="6">
        <v>4</v>
      </c>
      <c r="AD50" s="1"/>
    </row>
    <row r="51" spans="1:30" x14ac:dyDescent="0.3">
      <c r="A51" s="344">
        <f t="shared" si="2"/>
        <v>49</v>
      </c>
      <c r="B51" s="344" t="s">
        <v>488</v>
      </c>
      <c r="C51" s="344" t="s">
        <v>10</v>
      </c>
      <c r="E51" s="60">
        <f t="shared" si="3"/>
        <v>49</v>
      </c>
      <c r="F51" s="61" t="str">
        <f>Chronologie[[#This Row],[Team]]&amp;"-"&amp;Chronologie[[#This Row],[L/P/E]]&amp;"-"&amp;Chronologie[[#This Row],[ST]]</f>
        <v>Z-L-5</v>
      </c>
      <c r="G51" s="68">
        <v>45970</v>
      </c>
      <c r="H51" s="61" t="s">
        <v>9</v>
      </c>
      <c r="I51" s="61" t="s">
        <v>663</v>
      </c>
      <c r="J51" s="64">
        <v>5</v>
      </c>
      <c r="K51" s="63" t="s">
        <v>87</v>
      </c>
      <c r="L51" s="72" t="str">
        <f>IF(Chronologie[[#This Row],[H/A]]="A",VLOOKUP(Chronologie[[#This Row],[Gegner]],Orte[],4,FALSE),IF(Chronologie[[#This Row],[H/A]]="H","Hirschfeld",Chronologie[[#This Row],[Gegner]]))</f>
        <v>Geyer</v>
      </c>
      <c r="M51" s="62" t="s">
        <v>74</v>
      </c>
      <c r="N51" s="64">
        <f>Chronologie[[#This Row],[SA-NR]]</f>
        <v>49</v>
      </c>
      <c r="O51" s="64">
        <f ca="1">IF(Chronologie[[#This Row],[Datum]]="","",IF(TODAY()&gt;=Chronologie[[#This Row],[Datum]],1,0))</f>
        <v>1</v>
      </c>
      <c r="P51" s="64">
        <f>IF(COUNTIFS(Eingabe[ID],Chronologie[[#This Row],[ID]],Eingabe[GES],"&gt;0")&gt;=1,1,0)</f>
        <v>1</v>
      </c>
      <c r="Q51" s="75">
        <f>IF(YEAR(Chronologie[[#This Row],[Datum]])=2025,WEEKNUM(Chronologie[[#This Row],[Datum]],2)-34,IF(YEAR(Chronologie[[#This Row],[Datum]])=2026,WEEKNUM(Chronologie[[#This Row],[Datum]],2)+18,""))</f>
        <v>11</v>
      </c>
      <c r="R51" s="87" t="str">
        <f>IF(Chronologie[[#This Row],[Gegner]]="","",VLOOKUP(Chronologie[[#This Row],[Gegner]],Orte[],5,FALSE))</f>
        <v>Geyer</v>
      </c>
      <c r="S51" s="87">
        <f>IF(Chronologie[[#This Row],[Gegner]]="","",IF(Chronologie[[#This Row],[H/A]]="H",4,VLOOKUP(Chronologie[[#This Row],[Gegner]],Orte[],6,FALSE)))</f>
        <v>2</v>
      </c>
      <c r="T51" s="85" t="s">
        <v>548</v>
      </c>
      <c r="U51" s="325">
        <f>IFERROR(TIMEVALUE(LEFT(Chronologie[[#This Row],[Startzeit]],5)),"")</f>
        <v>0.375</v>
      </c>
      <c r="V51" s="325">
        <f>IFERROR(TIMEVALUE(LEFT(Chronologie[[#This Row],[Startzeit]],5))+TIME(12/Chronologie[[#This Row],[Bahnen]],0,0),"")</f>
        <v>0.625</v>
      </c>
      <c r="W51" s="1"/>
      <c r="X51" s="132" t="s">
        <v>529</v>
      </c>
      <c r="Y51" s="132" t="s">
        <v>541</v>
      </c>
      <c r="Z51" s="133">
        <v>4860</v>
      </c>
      <c r="AA51" s="134" t="str">
        <f>IF(Orte[[#This Row],[Anschrift]]="",Orte[[#This Row],[Kurzform]],RIGHT(Orte[[#This Row],[Anschrift]],LEN(Orte[[#This Row],[Anschrift]])-FIND("#",SUBSTITUTE(Orte[[#This Row],[Anschrift]]," ","#",LEN(Orte[[#This Row],[Anschrift]])-LEN(SUBSTITUTE(Orte[[#This Row],[Anschrift]]," ",))))))</f>
        <v>Torgau</v>
      </c>
      <c r="AB51" s="134" t="s">
        <v>530</v>
      </c>
      <c r="AC51" s="6">
        <v>4</v>
      </c>
      <c r="AD51" s="1"/>
    </row>
    <row r="52" spans="1:30" x14ac:dyDescent="0.3">
      <c r="A52" s="344">
        <f t="shared" si="2"/>
        <v>50</v>
      </c>
      <c r="B52" s="344" t="s">
        <v>689</v>
      </c>
      <c r="C52" s="344" t="s">
        <v>9</v>
      </c>
      <c r="E52" s="60">
        <f t="shared" si="3"/>
        <v>50</v>
      </c>
      <c r="F52" s="61" t="str">
        <f>Chronologie[[#This Row],[Team]]&amp;"-"&amp;Chronologie[[#This Row],[L/P/E]]&amp;"-"&amp;Chronologie[[#This Row],[ST]]</f>
        <v>Z-L-6</v>
      </c>
      <c r="G52" s="68">
        <v>45977</v>
      </c>
      <c r="H52" s="61" t="s">
        <v>9</v>
      </c>
      <c r="I52" s="61" t="s">
        <v>663</v>
      </c>
      <c r="J52" s="66">
        <v>6</v>
      </c>
      <c r="K52" s="63" t="s">
        <v>188</v>
      </c>
      <c r="L52" s="72" t="str">
        <f>IF(Chronologie[[#This Row],[H/A]]="A",VLOOKUP(Chronologie[[#This Row],[Gegner]],Orte[],4,FALSE),IF(Chronologie[[#This Row],[H/A]]="H","Hirschfeld",Chronologie[[#This Row],[Gegner]]))</f>
        <v>Hirschfeld</v>
      </c>
      <c r="M52" s="62" t="s">
        <v>72</v>
      </c>
      <c r="N52" s="64">
        <f>Chronologie[[#This Row],[SA-NR]]</f>
        <v>50</v>
      </c>
      <c r="O52" s="64">
        <f ca="1">IF(Chronologie[[#This Row],[Datum]]="","",IF(TODAY()&gt;=Chronologie[[#This Row],[Datum]],1,0))</f>
        <v>1</v>
      </c>
      <c r="P52" s="64">
        <f>IF(COUNTIFS(Eingabe[ID],Chronologie[[#This Row],[ID]],Eingabe[GES],"&gt;0")&gt;=1,1,0)</f>
        <v>1</v>
      </c>
      <c r="Q52" s="75">
        <f>IF(YEAR(Chronologie[[#This Row],[Datum]])=2025,WEEKNUM(Chronologie[[#This Row],[Datum]],2)-34,IF(YEAR(Chronologie[[#This Row],[Datum]])=2026,WEEKNUM(Chronologie[[#This Row],[Datum]],2)+18,""))</f>
        <v>12</v>
      </c>
      <c r="R52" s="87" t="str">
        <f>IF(Chronologie[[#This Row],[Gegner]]="","",VLOOKUP(Chronologie[[#This Row],[Gegner]],Orte[],5,FALSE))</f>
        <v>Leubsdorf</v>
      </c>
      <c r="S52" s="87">
        <f>IF(Chronologie[[#This Row],[Gegner]]="","",IF(Chronologie[[#This Row],[H/A]]="H",4,VLOOKUP(Chronologie[[#This Row],[Gegner]],Orte[],6,FALSE)))</f>
        <v>4</v>
      </c>
      <c r="T52" s="85" t="s">
        <v>550</v>
      </c>
      <c r="U52" s="325">
        <f>IFERROR(TIMEVALUE(LEFT(Chronologie[[#This Row],[Startzeit]],5)),"")</f>
        <v>0.45833333333333331</v>
      </c>
      <c r="V52" s="325">
        <f>IFERROR(TIMEVALUE(LEFT(Chronologie[[#This Row],[Startzeit]],5))+TIME(12/Chronologie[[#This Row],[Bahnen]],0,0),"")</f>
        <v>0.58333333333333326</v>
      </c>
      <c r="W52" s="1"/>
      <c r="X52" s="132" t="s">
        <v>392</v>
      </c>
      <c r="Y52" s="132" t="s">
        <v>216</v>
      </c>
      <c r="Z52" s="133">
        <v>9618</v>
      </c>
      <c r="AA52" s="134" t="str">
        <f>IF(Orte[[#This Row],[Anschrift]]="",Orte[[#This Row],[Kurzform]],RIGHT(Orte[[#This Row],[Anschrift]],LEN(Orte[[#This Row],[Anschrift]])-FIND("#",SUBSTITUTE(Orte[[#This Row],[Anschrift]]," ","#",LEN(Orte[[#This Row],[Anschrift]])-LEN(SUBSTITUTE(Orte[[#This Row],[Anschrift]]," ",))))))</f>
        <v>Brand-Erbisdorf</v>
      </c>
      <c r="AB52" s="134" t="s">
        <v>243</v>
      </c>
      <c r="AC52" s="6">
        <v>4</v>
      </c>
      <c r="AD52" s="1"/>
    </row>
    <row r="53" spans="1:30" x14ac:dyDescent="0.3">
      <c r="A53" s="344">
        <f t="shared" si="2"/>
        <v>51</v>
      </c>
      <c r="B53" s="344" t="s">
        <v>303</v>
      </c>
      <c r="C53" s="344"/>
      <c r="E53" s="60">
        <f t="shared" si="3"/>
        <v>51</v>
      </c>
      <c r="F53" s="61" t="str">
        <f>Chronologie[[#This Row],[Team]]&amp;"-"&amp;Chronologie[[#This Row],[L/P/E]]&amp;"-"&amp;Chronologie[[#This Row],[ST]]</f>
        <v>Z-L-7</v>
      </c>
      <c r="G53" s="68">
        <v>45998</v>
      </c>
      <c r="H53" s="61" t="s">
        <v>9</v>
      </c>
      <c r="I53" s="61" t="s">
        <v>663</v>
      </c>
      <c r="J53" s="64">
        <v>7</v>
      </c>
      <c r="K53" s="67" t="s">
        <v>88</v>
      </c>
      <c r="L53" s="73" t="str">
        <f>IF(Chronologie[[#This Row],[H/A]]="A",VLOOKUP(Chronologie[[#This Row],[Gegner]],Orte[],4,FALSE),IF(Chronologie[[#This Row],[H/A]]="H","Hirschfeld",Chronologie[[#This Row],[Gegner]]))</f>
        <v>Hainichen</v>
      </c>
      <c r="M53" s="65" t="s">
        <v>74</v>
      </c>
      <c r="N53" s="64">
        <f>Chronologie[[#This Row],[SA-NR]]</f>
        <v>51</v>
      </c>
      <c r="O53" s="64">
        <f ca="1">IF(Chronologie[[#This Row],[Datum]]="","",IF(TODAY()&gt;=Chronologie[[#This Row],[Datum]],1,0))</f>
        <v>1</v>
      </c>
      <c r="P53" s="64">
        <f>IF(COUNTIFS(Eingabe[ID],Chronologie[[#This Row],[ID]],Eingabe[GES],"&gt;0")&gt;=1,1,0)</f>
        <v>1</v>
      </c>
      <c r="Q53" s="75">
        <f>IF(YEAR(Chronologie[[#This Row],[Datum]])=2025,WEEKNUM(Chronologie[[#This Row],[Datum]],2)-34,IF(YEAR(Chronologie[[#This Row],[Datum]])=2026,WEEKNUM(Chronologie[[#This Row],[Datum]],2)+18,""))</f>
        <v>15</v>
      </c>
      <c r="R53" s="87" t="str">
        <f>IF(Chronologie[[#This Row],[Gegner]]="","",VLOOKUP(Chronologie[[#This Row],[Gegner]],Orte[],5,FALSE))</f>
        <v>Hainichen</v>
      </c>
      <c r="S53" s="87">
        <f>IF(Chronologie[[#This Row],[Gegner]]="","",IF(Chronologie[[#This Row],[H/A]]="H",4,VLOOKUP(Chronologie[[#This Row],[Gegner]],Orte[],6,FALSE)))</f>
        <v>4</v>
      </c>
      <c r="T53" s="85" t="s">
        <v>548</v>
      </c>
      <c r="U53" s="325">
        <f>IFERROR(TIMEVALUE(LEFT(Chronologie[[#This Row],[Startzeit]],5)),"")</f>
        <v>0.375</v>
      </c>
      <c r="V53" s="325">
        <f>IFERROR(TIMEVALUE(LEFT(Chronologie[[#This Row],[Startzeit]],5))+TIME(12/Chronologie[[#This Row],[Bahnen]],0,0),"")</f>
        <v>0.5</v>
      </c>
      <c r="W53" s="1"/>
      <c r="X53" s="132" t="s">
        <v>73</v>
      </c>
      <c r="Y53" s="132" t="s">
        <v>163</v>
      </c>
      <c r="Z53" s="133">
        <v>1445</v>
      </c>
      <c r="AA53" s="134" t="str">
        <f>IF(Orte[[#This Row],[Anschrift]]="",Orte[[#This Row],[Kurzform]],RIGHT(Orte[[#This Row],[Anschrift]],LEN(Orte[[#This Row],[Anschrift]])-FIND("#",SUBSTITUTE(Orte[[#This Row],[Anschrift]]," ","#",LEN(Orte[[#This Row],[Anschrift]])-LEN(SUBSTITUTE(Orte[[#This Row],[Anschrift]]," ",))))))</f>
        <v>Radebeul</v>
      </c>
      <c r="AB53" s="134" t="s">
        <v>201</v>
      </c>
      <c r="AC53" s="6">
        <v>4</v>
      </c>
      <c r="AD53" s="1"/>
    </row>
    <row r="54" spans="1:30" x14ac:dyDescent="0.3">
      <c r="E54" s="60">
        <f t="shared" si="3"/>
        <v>52</v>
      </c>
      <c r="F54" s="61" t="str">
        <f>Chronologie[[#This Row],[Team]]&amp;"-"&amp;Chronologie[[#This Row],[L/P/E]]&amp;"-"&amp;Chronologie[[#This Row],[ST]]</f>
        <v>Z-L-8</v>
      </c>
      <c r="G54" s="68">
        <v>46005</v>
      </c>
      <c r="H54" s="61" t="s">
        <v>9</v>
      </c>
      <c r="I54" s="61" t="s">
        <v>663</v>
      </c>
      <c r="J54" s="66">
        <v>8</v>
      </c>
      <c r="K54" s="67" t="s">
        <v>89</v>
      </c>
      <c r="L54" s="73" t="str">
        <f>IF(Chronologie[[#This Row],[H/A]]="A",VLOOKUP(Chronologie[[#This Row],[Gegner]],Orte[],4,FALSE),IF(Chronologie[[#This Row],[H/A]]="H","Hirschfeld",Chronologie[[#This Row],[Gegner]]))</f>
        <v>Hirschfeld</v>
      </c>
      <c r="M54" s="65" t="s">
        <v>72</v>
      </c>
      <c r="N54" s="64">
        <f>Chronologie[[#This Row],[SA-NR]]</f>
        <v>52</v>
      </c>
      <c r="O54" s="64">
        <f ca="1">IF(Chronologie[[#This Row],[Datum]]="","",IF(TODAY()&gt;=Chronologie[[#This Row],[Datum]],1,0))</f>
        <v>1</v>
      </c>
      <c r="P54" s="64">
        <f>IF(COUNTIFS(Eingabe[ID],Chronologie[[#This Row],[ID]],Eingabe[GES],"&gt;0")&gt;=1,1,0)</f>
        <v>1</v>
      </c>
      <c r="Q54" s="75">
        <f>IF(YEAR(Chronologie[[#This Row],[Datum]])=2025,WEEKNUM(Chronologie[[#This Row],[Datum]],2)-34,IF(YEAR(Chronologie[[#This Row],[Datum]])=2026,WEEKNUM(Chronologie[[#This Row],[Datum]],2)+18,""))</f>
        <v>16</v>
      </c>
      <c r="R54" s="87" t="str">
        <f>IF(Chronologie[[#This Row],[Gegner]]="","",VLOOKUP(Chronologie[[#This Row],[Gegner]],Orte[],5,FALSE))</f>
        <v>Zschorlau</v>
      </c>
      <c r="S54" s="87">
        <f>IF(Chronologie[[#This Row],[Gegner]]="","",IF(Chronologie[[#This Row],[H/A]]="H",4,VLOOKUP(Chronologie[[#This Row],[Gegner]],Orte[],6,FALSE)))</f>
        <v>4</v>
      </c>
      <c r="T54" s="85" t="s">
        <v>548</v>
      </c>
      <c r="U54" s="325">
        <f>IFERROR(TIMEVALUE(LEFT(Chronologie[[#This Row],[Startzeit]],5)),"")</f>
        <v>0.375</v>
      </c>
      <c r="V54" s="325">
        <f>IFERROR(TIMEVALUE(LEFT(Chronologie[[#This Row],[Startzeit]],5))+TIME(12/Chronologie[[#This Row],[Bahnen]],0,0),"")</f>
        <v>0.5</v>
      </c>
      <c r="W54" s="1"/>
      <c r="X54" s="132" t="s">
        <v>670</v>
      </c>
      <c r="Y54" s="132" t="s">
        <v>168</v>
      </c>
      <c r="Z54" s="133">
        <v>2956</v>
      </c>
      <c r="AA54" s="134" t="str">
        <f>IF(Orte[[#This Row],[Anschrift]]="",Orte[[#This Row],[Kurzform]],RIGHT(Orte[[#This Row],[Anschrift]],LEN(Orte[[#This Row],[Anschrift]])-FIND("#",SUBSTITUTE(Orte[[#This Row],[Anschrift]]," ","#",LEN(Orte[[#This Row],[Anschrift]])-LEN(SUBSTITUTE(Orte[[#This Row],[Anschrift]]," ",))))))</f>
        <v>Rietschen</v>
      </c>
      <c r="AB54" s="134" t="s">
        <v>205</v>
      </c>
      <c r="AC54" s="6">
        <v>4</v>
      </c>
      <c r="AD54" s="1"/>
    </row>
    <row r="55" spans="1:30" x14ac:dyDescent="0.3">
      <c r="E55" s="60">
        <f t="shared" si="3"/>
        <v>53</v>
      </c>
      <c r="F55" s="61" t="str">
        <f>Chronologie[[#This Row],[Team]]&amp;"-"&amp;Chronologie[[#This Row],[L/P/E]]&amp;"-"&amp;Chronologie[[#This Row],[ST]]</f>
        <v>Z-L-9</v>
      </c>
      <c r="G55" s="68">
        <v>46040</v>
      </c>
      <c r="H55" s="61" t="s">
        <v>9</v>
      </c>
      <c r="I55" s="61" t="s">
        <v>663</v>
      </c>
      <c r="J55" s="64">
        <v>9</v>
      </c>
      <c r="K55" s="63" t="s">
        <v>538</v>
      </c>
      <c r="L55" s="72" t="str">
        <f>IF(Chronologie[[#This Row],[H/A]]="A",VLOOKUP(Chronologie[[#This Row],[Gegner]],Orte[],4,FALSE),IF(Chronologie[[#This Row],[H/A]]="H","Hirschfeld",Chronologie[[#This Row],[Gegner]]))</f>
        <v>Stangendorf</v>
      </c>
      <c r="M55" s="62" t="s">
        <v>74</v>
      </c>
      <c r="N55" s="64">
        <f>Chronologie[[#This Row],[SA-NR]]</f>
        <v>53</v>
      </c>
      <c r="O55" s="64">
        <f ca="1">IF(Chronologie[[#This Row],[Datum]]="","",IF(TODAY()&gt;=Chronologie[[#This Row],[Datum]],1,0))</f>
        <v>1</v>
      </c>
      <c r="P55" s="64">
        <f>IF(COUNTIFS(Eingabe[ID],Chronologie[[#This Row],[ID]],Eingabe[GES],"&gt;0")&gt;=1,1,0)</f>
        <v>1</v>
      </c>
      <c r="Q55" s="75">
        <f>IF(YEAR(Chronologie[[#This Row],[Datum]])=2025,WEEKNUM(Chronologie[[#This Row],[Datum]],2)-34,IF(YEAR(Chronologie[[#This Row],[Datum]])=2026,WEEKNUM(Chronologie[[#This Row],[Datum]],2)+18,""))</f>
        <v>21</v>
      </c>
      <c r="R55" s="87" t="str">
        <f>IF(Chronologie[[#This Row],[Gegner]]="","",VLOOKUP(Chronologie[[#This Row],[Gegner]],Orte[],5,FALSE))</f>
        <v>Thurm</v>
      </c>
      <c r="S55" s="87">
        <f>IF(Chronologie[[#This Row],[Gegner]]="","",IF(Chronologie[[#This Row],[H/A]]="H",4,VLOOKUP(Chronologie[[#This Row],[Gegner]],Orte[],6,FALSE)))</f>
        <v>4</v>
      </c>
      <c r="T55" s="85" t="s">
        <v>548</v>
      </c>
      <c r="U55" s="325">
        <f>IFERROR(TIMEVALUE(LEFT(Chronologie[[#This Row],[Startzeit]],5)),"")</f>
        <v>0.375</v>
      </c>
      <c r="V55" s="325">
        <f>IFERROR(TIMEVALUE(LEFT(Chronologie[[#This Row],[Startzeit]],5))+TIME(12/Chronologie[[#This Row],[Bahnen]],0,0),"")</f>
        <v>0.5</v>
      </c>
      <c r="W55" s="1"/>
      <c r="X55" s="132" t="s">
        <v>80</v>
      </c>
      <c r="Y55" s="132" t="s">
        <v>170</v>
      </c>
      <c r="Z55" s="133">
        <v>1237</v>
      </c>
      <c r="AA55" s="134" t="str">
        <f>IF(Orte[[#This Row],[Anschrift]]="",Orte[[#This Row],[Kurzform]],RIGHT(Orte[[#This Row],[Anschrift]],LEN(Orte[[#This Row],[Anschrift]])-FIND("#",SUBSTITUTE(Orte[[#This Row],[Anschrift]]," ","#",LEN(Orte[[#This Row],[Anschrift]])-LEN(SUBSTITUTE(Orte[[#This Row],[Anschrift]]," ",))))))</f>
        <v>Dresden</v>
      </c>
      <c r="AB55" s="134" t="s">
        <v>234</v>
      </c>
      <c r="AC55" s="6">
        <v>4</v>
      </c>
      <c r="AD55" s="1"/>
    </row>
    <row r="56" spans="1:30" x14ac:dyDescent="0.3">
      <c r="E56" s="60">
        <f t="shared" si="3"/>
        <v>54</v>
      </c>
      <c r="F56" s="61" t="str">
        <f>Chronologie[[#This Row],[Team]]&amp;"-"&amp;Chronologie[[#This Row],[L/P/E]]&amp;"-"&amp;Chronologie[[#This Row],[ST]]</f>
        <v>Z-L-10</v>
      </c>
      <c r="G56" s="68">
        <v>46047</v>
      </c>
      <c r="H56" s="61" t="s">
        <v>9</v>
      </c>
      <c r="I56" s="61" t="s">
        <v>663</v>
      </c>
      <c r="J56" s="66">
        <v>10</v>
      </c>
      <c r="K56" s="63" t="s">
        <v>536</v>
      </c>
      <c r="L56" s="72" t="str">
        <f>IF(Chronologie[[#This Row],[H/A]]="A",VLOOKUP(Chronologie[[#This Row],[Gegner]],Orte[],4,FALSE),IF(Chronologie[[#This Row],[H/A]]="H","Hirschfeld",Chronologie[[#This Row],[Gegner]]))</f>
        <v>Hirschfeld</v>
      </c>
      <c r="M56" s="62" t="s">
        <v>72</v>
      </c>
      <c r="N56" s="64">
        <f>Chronologie[[#This Row],[SA-NR]]</f>
        <v>54</v>
      </c>
      <c r="O56" s="64">
        <f ca="1">IF(Chronologie[[#This Row],[Datum]]="","",IF(TODAY()&gt;=Chronologie[[#This Row],[Datum]],1,0))</f>
        <v>1</v>
      </c>
      <c r="P56" s="64">
        <f>IF(COUNTIFS(Eingabe[ID],Chronologie[[#This Row],[ID]],Eingabe[GES],"&gt;0")&gt;=1,1,0)</f>
        <v>1</v>
      </c>
      <c r="Q56" s="75">
        <f>IF(YEAR(Chronologie[[#This Row],[Datum]])=2025,WEEKNUM(Chronologie[[#This Row],[Datum]],2)-34,IF(YEAR(Chronologie[[#This Row],[Datum]])=2026,WEEKNUM(Chronologie[[#This Row],[Datum]],2)+18,""))</f>
        <v>22</v>
      </c>
      <c r="R56" s="87" t="str">
        <f>IF(Chronologie[[#This Row],[Gegner]]="","",VLOOKUP(Chronologie[[#This Row],[Gegner]],Orte[],5,FALSE))</f>
        <v>Stollberg IV</v>
      </c>
      <c r="S56" s="87">
        <f>IF(Chronologie[[#This Row],[Gegner]]="","",IF(Chronologie[[#This Row],[H/A]]="H",4,VLOOKUP(Chronologie[[#This Row],[Gegner]],Orte[],6,FALSE)))</f>
        <v>4</v>
      </c>
      <c r="T56" s="85" t="s">
        <v>548</v>
      </c>
      <c r="U56" s="325">
        <f>IFERROR(TIMEVALUE(LEFT(Chronologie[[#This Row],[Startzeit]],5)),"")</f>
        <v>0.375</v>
      </c>
      <c r="V56" s="325">
        <f>IFERROR(TIMEVALUE(LEFT(Chronologie[[#This Row],[Startzeit]],5))+TIME(12/Chronologie[[#This Row],[Bahnen]],0,0),"")</f>
        <v>0.5</v>
      </c>
      <c r="W56" s="1"/>
      <c r="X56" s="132" t="s">
        <v>90</v>
      </c>
      <c r="Y56" s="132" t="s">
        <v>184</v>
      </c>
      <c r="Z56" s="133">
        <v>9526</v>
      </c>
      <c r="AA56" s="134" t="str">
        <f>IF(Orte[[#This Row],[Anschrift]]="",Orte[[#This Row],[Kurzform]],RIGHT(Orte[[#This Row],[Anschrift]],LEN(Orte[[#This Row],[Anschrift]])-FIND("#",SUBSTITUTE(Orte[[#This Row],[Anschrift]]," ","#",LEN(Orte[[#This Row],[Anschrift]])-LEN(SUBSTITUTE(Orte[[#This Row],[Anschrift]]," ",))))))</f>
        <v>Dörnthal</v>
      </c>
      <c r="AB56" s="134" t="s">
        <v>211</v>
      </c>
      <c r="AC56" s="6">
        <v>2</v>
      </c>
      <c r="AD56" s="1"/>
    </row>
    <row r="57" spans="1:30" x14ac:dyDescent="0.3">
      <c r="E57" s="60">
        <f t="shared" si="3"/>
        <v>55</v>
      </c>
      <c r="F57" s="61" t="str">
        <f>Chronologie[[#This Row],[Team]]&amp;"-"&amp;Chronologie[[#This Row],[L/P/E]]&amp;"-"&amp;Chronologie[[#This Row],[ST]]</f>
        <v>Z-L-11</v>
      </c>
      <c r="G57" s="68">
        <v>46075</v>
      </c>
      <c r="H57" s="61" t="s">
        <v>9</v>
      </c>
      <c r="I57" s="61" t="s">
        <v>663</v>
      </c>
      <c r="J57" s="64">
        <v>11</v>
      </c>
      <c r="K57" s="63" t="s">
        <v>177</v>
      </c>
      <c r="L57" s="72" t="str">
        <f>IF(Chronologie[[#This Row],[H/A]]="A",VLOOKUP(Chronologie[[#This Row],[Gegner]],Orte[],4,FALSE),IF(Chronologie[[#This Row],[H/A]]="H","Hirschfeld",Chronologie[[#This Row],[Gegner]]))</f>
        <v>Scharfenstein</v>
      </c>
      <c r="M57" s="62" t="s">
        <v>74</v>
      </c>
      <c r="N57" s="64">
        <f>Chronologie[[#This Row],[SA-NR]]</f>
        <v>55</v>
      </c>
      <c r="O57" s="64">
        <f ca="1">IF(Chronologie[[#This Row],[Datum]]="","",IF(TODAY()&gt;=Chronologie[[#This Row],[Datum]],1,0))</f>
        <v>0</v>
      </c>
      <c r="P57" s="64">
        <f>IF(COUNTIFS(Eingabe[ID],Chronologie[[#This Row],[ID]],Eingabe[GES],"&gt;0")&gt;=1,1,0)</f>
        <v>0</v>
      </c>
      <c r="Q57" s="75">
        <f>IF(YEAR(Chronologie[[#This Row],[Datum]])=2025,WEEKNUM(Chronologie[[#This Row],[Datum]],2)-34,IF(YEAR(Chronologie[[#This Row],[Datum]])=2026,WEEKNUM(Chronologie[[#This Row],[Datum]],2)+18,""))</f>
        <v>26</v>
      </c>
      <c r="R57" s="87" t="str">
        <f>IF(Chronologie[[#This Row],[Gegner]]="","",VLOOKUP(Chronologie[[#This Row],[Gegner]],Orte[],5,FALSE))</f>
        <v>Drebach</v>
      </c>
      <c r="S57" s="87">
        <f>IF(Chronologie[[#This Row],[Gegner]]="","",IF(Chronologie[[#This Row],[H/A]]="H",4,VLOOKUP(Chronologie[[#This Row],[Gegner]],Orte[],6,FALSE)))</f>
        <v>2</v>
      </c>
      <c r="T57" s="85" t="s">
        <v>548</v>
      </c>
      <c r="U57" s="325">
        <f>IFERROR(TIMEVALUE(LEFT(Chronologie[[#This Row],[Startzeit]],5)),"")</f>
        <v>0.375</v>
      </c>
      <c r="V57" s="325">
        <f>IFERROR(TIMEVALUE(LEFT(Chronologie[[#This Row],[Startzeit]],5))+TIME(12/Chronologie[[#This Row],[Bahnen]],0,0),"")</f>
        <v>0.625</v>
      </c>
      <c r="W57" s="1"/>
      <c r="X57" s="132" t="s">
        <v>91</v>
      </c>
      <c r="Y57" s="132" t="s">
        <v>195</v>
      </c>
      <c r="Z57" s="133">
        <v>8371</v>
      </c>
      <c r="AA57" s="134" t="str">
        <f>IF(Orte[[#This Row],[Anschrift]]="",Orte[[#This Row],[Kurzform]],RIGHT(Orte[[#This Row],[Anschrift]],LEN(Orte[[#This Row],[Anschrift]])-FIND("#",SUBSTITUTE(Orte[[#This Row],[Anschrift]]," ","#",LEN(Orte[[#This Row],[Anschrift]])-LEN(SUBSTITUTE(Orte[[#This Row],[Anschrift]]," ",))))))</f>
        <v>Glauchau</v>
      </c>
      <c r="AB57" s="134" t="s">
        <v>214</v>
      </c>
      <c r="AC57" s="6">
        <v>4</v>
      </c>
      <c r="AD57" s="1"/>
    </row>
    <row r="58" spans="1:30" x14ac:dyDescent="0.3">
      <c r="E58" s="60">
        <f t="shared" si="3"/>
        <v>56</v>
      </c>
      <c r="F58" s="61" t="str">
        <f>Chronologie[[#This Row],[Team]]&amp;"-"&amp;Chronologie[[#This Row],[L/P/E]]&amp;"-"&amp;Chronologie[[#This Row],[ST]]</f>
        <v>Z-L-12</v>
      </c>
      <c r="G58" s="68">
        <v>46089</v>
      </c>
      <c r="H58" s="61" t="s">
        <v>9</v>
      </c>
      <c r="I58" s="61" t="s">
        <v>663</v>
      </c>
      <c r="J58" s="66">
        <v>12</v>
      </c>
      <c r="K58" s="63" t="s">
        <v>87</v>
      </c>
      <c r="L58" s="72" t="str">
        <f>IF(Chronologie[[#This Row],[H/A]]="A",VLOOKUP(Chronologie[[#This Row],[Gegner]],Orte[],4,FALSE),IF(Chronologie[[#This Row],[H/A]]="H","Hirschfeld",Chronologie[[#This Row],[Gegner]]))</f>
        <v>Hirschfeld</v>
      </c>
      <c r="M58" s="62" t="s">
        <v>72</v>
      </c>
      <c r="N58" s="64">
        <f>Chronologie[[#This Row],[SA-NR]]</f>
        <v>56</v>
      </c>
      <c r="O58" s="64">
        <f ca="1">IF(Chronologie[[#This Row],[Datum]]="","",IF(TODAY()&gt;=Chronologie[[#This Row],[Datum]],1,0))</f>
        <v>0</v>
      </c>
      <c r="P58" s="64">
        <f>IF(COUNTIFS(Eingabe[ID],Chronologie[[#This Row],[ID]],Eingabe[GES],"&gt;0")&gt;=1,1,0)</f>
        <v>0</v>
      </c>
      <c r="Q58" s="75">
        <f>IF(YEAR(Chronologie[[#This Row],[Datum]])=2025,WEEKNUM(Chronologie[[#This Row],[Datum]],2)-34,IF(YEAR(Chronologie[[#This Row],[Datum]])=2026,WEEKNUM(Chronologie[[#This Row],[Datum]],2)+18,""))</f>
        <v>28</v>
      </c>
      <c r="R58" s="87" t="str">
        <f>IF(Chronologie[[#This Row],[Gegner]]="","",VLOOKUP(Chronologie[[#This Row],[Gegner]],Orte[],5,FALSE))</f>
        <v>Geyer</v>
      </c>
      <c r="S58" s="87">
        <f>IF(Chronologie[[#This Row],[Gegner]]="","",IF(Chronologie[[#This Row],[H/A]]="H",4,VLOOKUP(Chronologie[[#This Row],[Gegner]],Orte[],6,FALSE)))</f>
        <v>4</v>
      </c>
      <c r="T58" s="85" t="s">
        <v>548</v>
      </c>
      <c r="U58" s="325">
        <f>IFERROR(TIMEVALUE(LEFT(Chronologie[[#This Row],[Startzeit]],5)),"")</f>
        <v>0.375</v>
      </c>
      <c r="V58" s="325">
        <f>IFERROR(TIMEVALUE(LEFT(Chronologie[[#This Row],[Startzeit]],5))+TIME(12/Chronologie[[#This Row],[Bahnen]],0,0),"")</f>
        <v>0.5</v>
      </c>
      <c r="W58" s="1"/>
      <c r="X58" s="132" t="s">
        <v>77</v>
      </c>
      <c r="Y58" s="132" t="s">
        <v>167</v>
      </c>
      <c r="Z58" s="133">
        <v>1796</v>
      </c>
      <c r="AA58" s="134" t="str">
        <f>IF(Orte[[#This Row],[Anschrift]]="",Orte[[#This Row],[Kurzform]],RIGHT(Orte[[#This Row],[Anschrift]],LEN(Orte[[#This Row],[Anschrift]])-FIND("#",SUBSTITUTE(Orte[[#This Row],[Anschrift]]," ","#",LEN(Orte[[#This Row],[Anschrift]])-LEN(SUBSTITUTE(Orte[[#This Row],[Anschrift]]," ",))))))</f>
        <v>Pirna</v>
      </c>
      <c r="AB58" s="134" t="s">
        <v>204</v>
      </c>
      <c r="AC58" s="6">
        <v>4</v>
      </c>
      <c r="AD58" s="1"/>
    </row>
    <row r="59" spans="1:30" x14ac:dyDescent="0.3">
      <c r="E59" s="60">
        <f t="shared" si="3"/>
        <v>57</v>
      </c>
      <c r="F59" s="61" t="str">
        <f>Chronologie[[#This Row],[Team]]&amp;"-"&amp;Chronologie[[#This Row],[L/P/E]]&amp;"-"&amp;Chronologie[[#This Row],[ST]]</f>
        <v>Z-L-13</v>
      </c>
      <c r="G59" s="68">
        <v>46103</v>
      </c>
      <c r="H59" s="61" t="s">
        <v>9</v>
      </c>
      <c r="I59" s="61" t="s">
        <v>663</v>
      </c>
      <c r="J59" s="64">
        <v>13</v>
      </c>
      <c r="K59" s="63" t="s">
        <v>188</v>
      </c>
      <c r="L59" s="72" t="str">
        <f>IF(Chronologie[[#This Row],[H/A]]="A",VLOOKUP(Chronologie[[#This Row],[Gegner]],Orte[],4,FALSE),IF(Chronologie[[#This Row],[H/A]]="H","Hirschfeld",Chronologie[[#This Row],[Gegner]]))</f>
        <v>Leubsdorf</v>
      </c>
      <c r="M59" s="62" t="s">
        <v>74</v>
      </c>
      <c r="N59" s="64">
        <f>Chronologie[[#This Row],[SA-NR]]</f>
        <v>57</v>
      </c>
      <c r="O59" s="64">
        <f ca="1">IF(Chronologie[[#This Row],[Datum]]="","",IF(TODAY()&gt;=Chronologie[[#This Row],[Datum]],1,0))</f>
        <v>0</v>
      </c>
      <c r="P59" s="64">
        <f>IF(COUNTIFS(Eingabe[ID],Chronologie[[#This Row],[ID]],Eingabe[GES],"&gt;0")&gt;=1,1,0)</f>
        <v>0</v>
      </c>
      <c r="Q59" s="75">
        <f>IF(YEAR(Chronologie[[#This Row],[Datum]])=2025,WEEKNUM(Chronologie[[#This Row],[Datum]],2)-34,IF(YEAR(Chronologie[[#This Row],[Datum]])=2026,WEEKNUM(Chronologie[[#This Row],[Datum]],2)+18,""))</f>
        <v>30</v>
      </c>
      <c r="R59" s="87" t="str">
        <f>IF(Chronologie[[#This Row],[Gegner]]="","",VLOOKUP(Chronologie[[#This Row],[Gegner]],Orte[],5,FALSE))</f>
        <v>Leubsdorf</v>
      </c>
      <c r="S59" s="87">
        <f>IF(Chronologie[[#This Row],[Gegner]]="","",IF(Chronologie[[#This Row],[H/A]]="H",4,VLOOKUP(Chronologie[[#This Row],[Gegner]],Orte[],6,FALSE)))</f>
        <v>2</v>
      </c>
      <c r="T59" s="85" t="s">
        <v>548</v>
      </c>
      <c r="U59" s="325">
        <f>IFERROR(TIMEVALUE(LEFT(Chronologie[[#This Row],[Startzeit]],5)),"")</f>
        <v>0.375</v>
      </c>
      <c r="V59" s="325">
        <f>IFERROR(TIMEVALUE(LEFT(Chronologie[[#This Row],[Startzeit]],5))+TIME(12/Chronologie[[#This Row],[Bahnen]],0,0),"")</f>
        <v>0.625</v>
      </c>
      <c r="W59" s="1"/>
      <c r="X59" s="132" t="s">
        <v>187</v>
      </c>
      <c r="Y59" s="132" t="s">
        <v>192</v>
      </c>
      <c r="Z59" s="133">
        <v>9306</v>
      </c>
      <c r="AA59" s="134" t="str">
        <f>IF(Orte[[#This Row],[Anschrift]]="",Orte[[#This Row],[Kurzform]],RIGHT(Orte[[#This Row],[Anschrift]],LEN(Orte[[#This Row],[Anschrift]])-FIND("#",SUBSTITUTE(Orte[[#This Row],[Anschrift]]," ","#",LEN(Orte[[#This Row],[Anschrift]])-LEN(SUBSTITUTE(Orte[[#This Row],[Anschrift]]," ",))))))</f>
        <v>Schweikershain</v>
      </c>
      <c r="AB59" s="134" t="s">
        <v>212</v>
      </c>
      <c r="AC59" s="6">
        <v>2</v>
      </c>
      <c r="AD59" s="1"/>
    </row>
    <row r="60" spans="1:30" x14ac:dyDescent="0.3">
      <c r="E60" s="60">
        <f t="shared" si="3"/>
        <v>58</v>
      </c>
      <c r="F60" s="61" t="str">
        <f>Chronologie[[#This Row],[Team]]&amp;"-"&amp;Chronologie[[#This Row],[L/P/E]]&amp;"-"&amp;Chronologie[[#This Row],[ST]]</f>
        <v>Z-L-14</v>
      </c>
      <c r="G60" s="68">
        <v>46110</v>
      </c>
      <c r="H60" s="61" t="s">
        <v>9</v>
      </c>
      <c r="I60" s="61" t="s">
        <v>663</v>
      </c>
      <c r="J60" s="64">
        <v>14</v>
      </c>
      <c r="K60" s="67" t="s">
        <v>88</v>
      </c>
      <c r="L60" s="72" t="str">
        <f>IF(Chronologie[[#This Row],[H/A]]="A",VLOOKUP(Chronologie[[#This Row],[Gegner]],Orte[],4,FALSE),IF(Chronologie[[#This Row],[H/A]]="H","Hirschfeld",Chronologie[[#This Row],[Gegner]]))</f>
        <v>Hirschfeld</v>
      </c>
      <c r="M60" s="62" t="s">
        <v>72</v>
      </c>
      <c r="N60" s="64">
        <f>Chronologie[[#This Row],[SA-NR]]</f>
        <v>58</v>
      </c>
      <c r="O60" s="64">
        <f ca="1">IF(Chronologie[[#This Row],[Datum]]="","",IF(TODAY()&gt;=Chronologie[[#This Row],[Datum]],1,0))</f>
        <v>0</v>
      </c>
      <c r="P60" s="64">
        <f>IF(COUNTIFS(Eingabe[ID],Chronologie[[#This Row],[ID]],Eingabe[GES],"&gt;0")&gt;=1,1,0)</f>
        <v>0</v>
      </c>
      <c r="Q60" s="75">
        <f>IF(YEAR(Chronologie[[#This Row],[Datum]])=2025,WEEKNUM(Chronologie[[#This Row],[Datum]],2)-34,IF(YEAR(Chronologie[[#This Row],[Datum]])=2026,WEEKNUM(Chronologie[[#This Row],[Datum]],2)+18,""))</f>
        <v>31</v>
      </c>
      <c r="R60" s="87" t="str">
        <f>IF(Chronologie[[#This Row],[Gegner]]="","",VLOOKUP(Chronologie[[#This Row],[Gegner]],Orte[],5,FALSE))</f>
        <v>Hainichen</v>
      </c>
      <c r="S60" s="87">
        <f>IF(Chronologie[[#This Row],[Gegner]]="","",IF(Chronologie[[#This Row],[H/A]]="H",4,VLOOKUP(Chronologie[[#This Row],[Gegner]],Orte[],6,FALSE)))</f>
        <v>4</v>
      </c>
      <c r="T60" s="85" t="s">
        <v>548</v>
      </c>
      <c r="U60" s="325">
        <f>IFERROR(TIMEVALUE(LEFT(Chronologie[[#This Row],[Startzeit]],5)),"")</f>
        <v>0.375</v>
      </c>
      <c r="V60" s="325">
        <f>IFERROR(TIMEVALUE(LEFT(Chronologie[[#This Row],[Startzeit]],5))+TIME(12/Chronologie[[#This Row],[Bahnen]],0,0),"")</f>
        <v>0.5</v>
      </c>
      <c r="W60" s="1"/>
      <c r="X60" s="132" t="s">
        <v>373</v>
      </c>
      <c r="Y60" s="132" t="s">
        <v>622</v>
      </c>
      <c r="Z60" s="133">
        <v>9633</v>
      </c>
      <c r="AA60" s="134" t="str">
        <f>IF(Orte[[#This Row],[Anschrift]]="",Orte[[#This Row],[Kurzform]],RIGHT(Orte[[#This Row],[Anschrift]],LEN(Orte[[#This Row],[Anschrift]])-FIND("#",SUBSTITUTE(Orte[[#This Row],[Anschrift]]," ","#",LEN(Orte[[#This Row],[Anschrift]])-LEN(SUBSTITUTE(Orte[[#This Row],[Anschrift]]," ",))))))</f>
        <v>Krummenhennersdorf</v>
      </c>
      <c r="AB60" s="134" t="s">
        <v>242</v>
      </c>
      <c r="AC60" s="6">
        <v>4</v>
      </c>
      <c r="AD60" s="1"/>
    </row>
    <row r="61" spans="1:30" x14ac:dyDescent="0.3">
      <c r="E61" s="60">
        <f t="shared" ref="E61:E72" si="4">ROW(E61)-2</f>
        <v>59</v>
      </c>
      <c r="F61" s="61" t="str">
        <f>Chronologie[[#This Row],[Team]]&amp;"-"&amp;Chronologie[[#This Row],[L/P/E]]&amp;"-"&amp;Chronologie[[#This Row],[ST]]</f>
        <v>D-L-2</v>
      </c>
      <c r="G61" s="68">
        <v>45949</v>
      </c>
      <c r="H61" s="61" t="s">
        <v>10</v>
      </c>
      <c r="I61" s="61" t="s">
        <v>663</v>
      </c>
      <c r="J61" s="64">
        <v>2</v>
      </c>
      <c r="K61" s="67" t="s">
        <v>682</v>
      </c>
      <c r="L61" s="72" t="str">
        <f>IF(Chronologie[[#This Row],[H/A]]="A",VLOOKUP(Chronologie[[#This Row],[Gegner]],Orte[],4,FALSE),IF(Chronologie[[#This Row],[H/A]]="H","Hirschfeld",Chronologie[[#This Row],[Gegner]]))</f>
        <v>Hirschfeld</v>
      </c>
      <c r="M61" s="62" t="s">
        <v>72</v>
      </c>
      <c r="N61" s="64">
        <f>Chronologie[[#This Row],[SA-NR]]</f>
        <v>59</v>
      </c>
      <c r="O61" s="64">
        <f ca="1">IF(Chronologie[[#This Row],[Datum]]="","",IF(TODAY()&gt;=Chronologie[[#This Row],[Datum]],1,0))</f>
        <v>1</v>
      </c>
      <c r="P61" s="64">
        <f>IF(COUNTIFS(Eingabe[ID],Chronologie[[#This Row],[ID]],Eingabe[GES],"&gt;0")&gt;=1,1,0)</f>
        <v>1</v>
      </c>
      <c r="Q61" s="75">
        <f>IF(YEAR(Chronologie[[#This Row],[Datum]])=2025,WEEKNUM(Chronologie[[#This Row],[Datum]],2)-34,IF(YEAR(Chronologie[[#This Row],[Datum]])=2026,WEEKNUM(Chronologie[[#This Row],[Datum]],2)+18,""))</f>
        <v>8</v>
      </c>
      <c r="R61" s="87" t="str">
        <f>IF(Chronologie[[#This Row],[Gegner]]="","",VLOOKUP(Chronologie[[#This Row],[Gegner]],Orte[],5,FALSE))</f>
        <v>Flöha</v>
      </c>
      <c r="S61" s="87">
        <f>IF(Chronologie[[#This Row],[Gegner]]="","",IF(Chronologie[[#This Row],[H/A]]="H",4,VLOOKUP(Chronologie[[#This Row],[Gegner]],Orte[],6,FALSE)))</f>
        <v>4</v>
      </c>
      <c r="T61" s="85" t="s">
        <v>548</v>
      </c>
      <c r="U61" s="325">
        <f>IFERROR(TIMEVALUE(LEFT(Chronologie[[#This Row],[Startzeit]],5)),"")</f>
        <v>0.375</v>
      </c>
      <c r="V61" s="325">
        <f>IFERROR(TIMEVALUE(LEFT(Chronologie[[#This Row],[Startzeit]],5))+TIME(12/Chronologie[[#This Row],[Bahnen]],0,0),"")</f>
        <v>0.5</v>
      </c>
      <c r="W61" s="1"/>
      <c r="X61" s="132" t="s">
        <v>84</v>
      </c>
      <c r="Y61" s="132" t="s">
        <v>174</v>
      </c>
      <c r="Z61" s="133">
        <v>1127</v>
      </c>
      <c r="AA61" s="134" t="str">
        <f>IF(Orte[[#This Row],[Anschrift]]="",Orte[[#This Row],[Kurzform]],RIGHT(Orte[[#This Row],[Anschrift]],LEN(Orte[[#This Row],[Anschrift]])-FIND("#",SUBSTITUTE(Orte[[#This Row],[Anschrift]]," ","#",LEN(Orte[[#This Row],[Anschrift]])-LEN(SUBSTITUTE(Orte[[#This Row],[Anschrift]]," ",))))))</f>
        <v>Dresden</v>
      </c>
      <c r="AB61" s="134" t="s">
        <v>238</v>
      </c>
      <c r="AC61" s="6">
        <v>4</v>
      </c>
      <c r="AD61" s="1"/>
    </row>
    <row r="62" spans="1:30" x14ac:dyDescent="0.3">
      <c r="E62" s="60">
        <f t="shared" si="4"/>
        <v>60</v>
      </c>
      <c r="F62" s="61" t="str">
        <f>Chronologie[[#This Row],[Team]]&amp;"-"&amp;Chronologie[[#This Row],[L/P/E]]&amp;"-"&amp;Chronologie[[#This Row],[ST]]</f>
        <v>D-L-3</v>
      </c>
      <c r="G62" s="68">
        <v>45962</v>
      </c>
      <c r="H62" s="61" t="s">
        <v>10</v>
      </c>
      <c r="I62" s="61" t="s">
        <v>663</v>
      </c>
      <c r="J62" s="64">
        <v>3</v>
      </c>
      <c r="K62" s="67" t="s">
        <v>683</v>
      </c>
      <c r="L62" s="72" t="str">
        <f>IF(Chronologie[[#This Row],[H/A]]="A",VLOOKUP(Chronologie[[#This Row],[Gegner]],Orte[],4,FALSE),IF(Chronologie[[#This Row],[H/A]]="H","Hirschfeld",Chronologie[[#This Row],[Gegner]]))</f>
        <v>Niederwiesa</v>
      </c>
      <c r="M62" s="62" t="s">
        <v>74</v>
      </c>
      <c r="N62" s="64">
        <f>Chronologie[[#This Row],[SA-NR]]</f>
        <v>60</v>
      </c>
      <c r="O62" s="64">
        <f ca="1">IF(Chronologie[[#This Row],[Datum]]="","",IF(TODAY()&gt;=Chronologie[[#This Row],[Datum]],1,0))</f>
        <v>1</v>
      </c>
      <c r="P62" s="64">
        <f>IF(COUNTIFS(Eingabe[ID],Chronologie[[#This Row],[ID]],Eingabe[GES],"&gt;0")&gt;=1,1,0)</f>
        <v>0</v>
      </c>
      <c r="Q62" s="75">
        <f>IF(YEAR(Chronologie[[#This Row],[Datum]])=2025,WEEKNUM(Chronologie[[#This Row],[Datum]],2)-34,IF(YEAR(Chronologie[[#This Row],[Datum]])=2026,WEEKNUM(Chronologie[[#This Row],[Datum]],2)+18,""))</f>
        <v>10</v>
      </c>
      <c r="R62" s="87" t="str">
        <f>IF(Chronologie[[#This Row],[Gegner]]="","",VLOOKUP(Chronologie[[#This Row],[Gegner]],Orte[],5,FALSE))</f>
        <v>Niederwiesa</v>
      </c>
      <c r="S62" s="87">
        <f>IF(Chronologie[[#This Row],[Gegner]]="","",IF(Chronologie[[#This Row],[H/A]]="H",4,VLOOKUP(Chronologie[[#This Row],[Gegner]],Orte[],6,FALSE)))</f>
        <v>2</v>
      </c>
      <c r="T62" s="85" t="s">
        <v>550</v>
      </c>
      <c r="U62" s="325">
        <f>IFERROR(TIMEVALUE(LEFT(Chronologie[[#This Row],[Startzeit]],5)),"")</f>
        <v>0.45833333333333331</v>
      </c>
      <c r="V62" s="325">
        <f>IFERROR(TIMEVALUE(LEFT(Chronologie[[#This Row],[Startzeit]],5))+TIME(12/Chronologie[[#This Row],[Bahnen]],0,0),"")</f>
        <v>0.70833333333333326</v>
      </c>
      <c r="W62" s="1"/>
      <c r="X62" s="132" t="s">
        <v>444</v>
      </c>
      <c r="Y62" s="297" t="s">
        <v>445</v>
      </c>
      <c r="Z62" s="133">
        <v>1640</v>
      </c>
      <c r="AA62" s="134" t="str">
        <f>IF(Orte[[#This Row],[Anschrift]]="",Orte[[#This Row],[Kurzform]],RIGHT(Orte[[#This Row],[Anschrift]],LEN(Orte[[#This Row],[Anschrift]])-FIND("#",SUBSTITUTE(Orte[[#This Row],[Anschrift]]," ","#",LEN(Orte[[#This Row],[Anschrift]])-LEN(SUBSTITUTE(Orte[[#This Row],[Anschrift]]," ",))))))</f>
        <v>Sörnewitz</v>
      </c>
      <c r="AB62" s="134" t="s">
        <v>446</v>
      </c>
      <c r="AC62" s="6">
        <v>4</v>
      </c>
      <c r="AD62" s="1"/>
    </row>
    <row r="63" spans="1:30" x14ac:dyDescent="0.3">
      <c r="E63" s="60">
        <f t="shared" si="4"/>
        <v>61</v>
      </c>
      <c r="F63" s="61" t="str">
        <f>Chronologie[[#This Row],[Team]]&amp;"-"&amp;Chronologie[[#This Row],[L/P/E]]&amp;"-"&amp;Chronologie[[#This Row],[ST]]</f>
        <v>D-L-4</v>
      </c>
      <c r="G63" s="68">
        <v>45976</v>
      </c>
      <c r="H63" s="61" t="s">
        <v>10</v>
      </c>
      <c r="I63" s="61" t="s">
        <v>663</v>
      </c>
      <c r="J63" s="64">
        <v>4</v>
      </c>
      <c r="K63" s="67" t="s">
        <v>373</v>
      </c>
      <c r="L63" s="72" t="str">
        <f>IF(Chronologie[[#This Row],[H/A]]="A",VLOOKUP(Chronologie[[#This Row],[Gegner]],Orte[],4,FALSE),IF(Chronologie[[#This Row],[H/A]]="H","Hirschfeld",Chronologie[[#This Row],[Gegner]]))</f>
        <v>Krummenhennersdorf</v>
      </c>
      <c r="M63" s="62" t="s">
        <v>74</v>
      </c>
      <c r="N63" s="64">
        <f>Chronologie[[#This Row],[SA-NR]]</f>
        <v>61</v>
      </c>
      <c r="O63" s="64">
        <f ca="1">IF(Chronologie[[#This Row],[Datum]]="","",IF(TODAY()&gt;=Chronologie[[#This Row],[Datum]],1,0))</f>
        <v>1</v>
      </c>
      <c r="P63" s="64">
        <f>IF(COUNTIFS(Eingabe[ID],Chronologie[[#This Row],[ID]],Eingabe[GES],"&gt;0")&gt;=1,1,0)</f>
        <v>1</v>
      </c>
      <c r="Q63" s="75">
        <f>IF(YEAR(Chronologie[[#This Row],[Datum]])=2025,WEEKNUM(Chronologie[[#This Row],[Datum]],2)-34,IF(YEAR(Chronologie[[#This Row],[Datum]])=2026,WEEKNUM(Chronologie[[#This Row],[Datum]],2)+18,""))</f>
        <v>12</v>
      </c>
      <c r="R63" s="87" t="str">
        <f>IF(Chronologie[[#This Row],[Gegner]]="","",VLOOKUP(Chronologie[[#This Row],[Gegner]],Orte[],5,FALSE))</f>
        <v>Krummi</v>
      </c>
      <c r="S63" s="87">
        <f>IF(Chronologie[[#This Row],[Gegner]]="","",IF(Chronologie[[#This Row],[H/A]]="H",4,VLOOKUP(Chronologie[[#This Row],[Gegner]],Orte[],6,FALSE)))</f>
        <v>4</v>
      </c>
      <c r="T63" s="85" t="s">
        <v>550</v>
      </c>
      <c r="U63" s="325">
        <f>IFERROR(TIMEVALUE(LEFT(Chronologie[[#This Row],[Startzeit]],5)),"")</f>
        <v>0.45833333333333331</v>
      </c>
      <c r="V63" s="325">
        <f>IFERROR(TIMEVALUE(LEFT(Chronologie[[#This Row],[Startzeit]],5))+TIME(12/Chronologie[[#This Row],[Bahnen]],0,0),"")</f>
        <v>0.58333333333333326</v>
      </c>
      <c r="W63" s="1"/>
      <c r="X63" s="132" t="s">
        <v>370</v>
      </c>
      <c r="Y63" s="132" t="s">
        <v>247</v>
      </c>
      <c r="Z63" s="133">
        <v>9600</v>
      </c>
      <c r="AA63" s="134" t="str">
        <f>IF(Orte[[#This Row],[Anschrift]]="",Orte[[#This Row],[Kurzform]],RIGHT(Orte[[#This Row],[Anschrift]],LEN(Orte[[#This Row],[Anschrift]])-FIND("#",SUBSTITUTE(Orte[[#This Row],[Anschrift]]," ","#",LEN(Orte[[#This Row],[Anschrift]])-LEN(SUBSTITUTE(Orte[[#This Row],[Anschrift]]," ",))))))</f>
        <v>Weißenborn</v>
      </c>
      <c r="AB63" s="134" t="s">
        <v>244</v>
      </c>
      <c r="AC63" s="6">
        <v>4</v>
      </c>
      <c r="AD63" s="1"/>
    </row>
    <row r="64" spans="1:30" x14ac:dyDescent="0.3">
      <c r="E64" s="60">
        <f t="shared" si="4"/>
        <v>62</v>
      </c>
      <c r="F64" s="61" t="str">
        <f>Chronologie[[#This Row],[Team]]&amp;"-"&amp;Chronologie[[#This Row],[L/P/E]]&amp;"-"&amp;Chronologie[[#This Row],[ST]]</f>
        <v>D-L-5</v>
      </c>
      <c r="G64" s="68">
        <v>45991</v>
      </c>
      <c r="H64" s="61" t="s">
        <v>10</v>
      </c>
      <c r="I64" s="61" t="s">
        <v>663</v>
      </c>
      <c r="J64" s="64">
        <v>5</v>
      </c>
      <c r="K64" s="67" t="s">
        <v>394</v>
      </c>
      <c r="L64" s="72" t="str">
        <f>IF(Chronologie[[#This Row],[H/A]]="A",VLOOKUP(Chronologie[[#This Row],[Gegner]],Orte[],4,FALSE),IF(Chronologie[[#This Row],[H/A]]="H","Hirschfeld",Chronologie[[#This Row],[Gegner]]))</f>
        <v>Hirschfeld</v>
      </c>
      <c r="M64" s="62" t="s">
        <v>72</v>
      </c>
      <c r="N64" s="64">
        <f>Chronologie[[#This Row],[SA-NR]]</f>
        <v>62</v>
      </c>
      <c r="O64" s="64">
        <f ca="1">IF(Chronologie[[#This Row],[Datum]]="","",IF(TODAY()&gt;=Chronologie[[#This Row],[Datum]],1,0))</f>
        <v>1</v>
      </c>
      <c r="P64" s="64">
        <f>IF(COUNTIFS(Eingabe[ID],Chronologie[[#This Row],[ID]],Eingabe[GES],"&gt;0")&gt;=1,1,0)</f>
        <v>1</v>
      </c>
      <c r="Q64" s="75">
        <f>IF(YEAR(Chronologie[[#This Row],[Datum]])=2025,WEEKNUM(Chronologie[[#This Row],[Datum]],2)-34,IF(YEAR(Chronologie[[#This Row],[Datum]])=2026,WEEKNUM(Chronologie[[#This Row],[Datum]],2)+18,""))</f>
        <v>14</v>
      </c>
      <c r="R64" s="87" t="str">
        <f>IF(Chronologie[[#This Row],[Gegner]]="","",VLOOKUP(Chronologie[[#This Row],[Gegner]],Orte[],5,FALSE))</f>
        <v>BKC</v>
      </c>
      <c r="S64" s="87">
        <f>IF(Chronologie[[#This Row],[Gegner]]="","",IF(Chronologie[[#This Row],[H/A]]="H",4,VLOOKUP(Chronologie[[#This Row],[Gegner]],Orte[],6,FALSE)))</f>
        <v>4</v>
      </c>
      <c r="T64" s="85" t="s">
        <v>548</v>
      </c>
      <c r="U64" s="325">
        <f>IFERROR(TIMEVALUE(LEFT(Chronologie[[#This Row],[Startzeit]],5)),"")</f>
        <v>0.375</v>
      </c>
      <c r="V64" s="325">
        <f>IFERROR(TIMEVALUE(LEFT(Chronologie[[#This Row],[Startzeit]],5))+TIME(12/Chronologie[[#This Row],[Bahnen]],0,0),"")</f>
        <v>0.5</v>
      </c>
      <c r="W64" s="1"/>
      <c r="X64" s="132" t="s">
        <v>186</v>
      </c>
      <c r="Y64" s="132" t="s">
        <v>191</v>
      </c>
      <c r="Z64" s="133">
        <v>9518</v>
      </c>
      <c r="AA64" s="134" t="str">
        <f>IF(Orte[[#This Row],[Anschrift]]="",Orte[[#This Row],[Kurzform]],RIGHT(Orte[[#This Row],[Anschrift]],LEN(Orte[[#This Row],[Anschrift]])-FIND("#",SUBSTITUTE(Orte[[#This Row],[Anschrift]]," ","#",LEN(Orte[[#This Row],[Anschrift]])-LEN(SUBSTITUTE(Orte[[#This Row],[Anschrift]]," ",))))))</f>
        <v>Niederschmiedeberg</v>
      </c>
      <c r="AB64" s="134" t="s">
        <v>414</v>
      </c>
      <c r="AC64" s="6">
        <v>2</v>
      </c>
      <c r="AD64" s="1"/>
    </row>
    <row r="65" spans="5:30" x14ac:dyDescent="0.3">
      <c r="E65" s="60">
        <f t="shared" si="4"/>
        <v>63</v>
      </c>
      <c r="F65" s="61" t="str">
        <f>Chronologie[[#This Row],[Team]]&amp;"-"&amp;Chronologie[[#This Row],[L/P/E]]&amp;"-"&amp;Chronologie[[#This Row],[ST]]</f>
        <v>D-L-7</v>
      </c>
      <c r="G65" s="68">
        <v>46039</v>
      </c>
      <c r="H65" s="61" t="s">
        <v>10</v>
      </c>
      <c r="I65" s="61" t="s">
        <v>663</v>
      </c>
      <c r="J65" s="64">
        <v>7</v>
      </c>
      <c r="K65" s="67" t="s">
        <v>682</v>
      </c>
      <c r="L65" s="72" t="str">
        <f>IF(Chronologie[[#This Row],[H/A]]="A",VLOOKUP(Chronologie[[#This Row],[Gegner]],Orte[],4,FALSE),IF(Chronologie[[#This Row],[H/A]]="H","Hirschfeld",Chronologie[[#This Row],[Gegner]]))</f>
        <v>Flöha</v>
      </c>
      <c r="M65" s="62" t="s">
        <v>74</v>
      </c>
      <c r="N65" s="64">
        <f>Chronologie[[#This Row],[SA-NR]]</f>
        <v>63</v>
      </c>
      <c r="O65" s="64">
        <f ca="1">IF(Chronologie[[#This Row],[Datum]]="","",IF(TODAY()&gt;=Chronologie[[#This Row],[Datum]],1,0))</f>
        <v>1</v>
      </c>
      <c r="P65" s="64">
        <f>IF(COUNTIFS(Eingabe[ID],Chronologie[[#This Row],[ID]],Eingabe[GES],"&gt;0")&gt;=1,1,0)</f>
        <v>1</v>
      </c>
      <c r="Q65" s="75">
        <f>IF(YEAR(Chronologie[[#This Row],[Datum]])=2025,WEEKNUM(Chronologie[[#This Row],[Datum]],2)-34,IF(YEAR(Chronologie[[#This Row],[Datum]])=2026,WEEKNUM(Chronologie[[#This Row],[Datum]],2)+18,""))</f>
        <v>21</v>
      </c>
      <c r="R65" s="87" t="str">
        <f>IF(Chronologie[[#This Row],[Gegner]]="","",VLOOKUP(Chronologie[[#This Row],[Gegner]],Orte[],5,FALSE))</f>
        <v>Flöha</v>
      </c>
      <c r="S65" s="87">
        <f>IF(Chronologie[[#This Row],[Gegner]]="","",IF(Chronologie[[#This Row],[H/A]]="H",4,VLOOKUP(Chronologie[[#This Row],[Gegner]],Orte[],6,FALSE)))</f>
        <v>4</v>
      </c>
      <c r="T65" s="85" t="s">
        <v>548</v>
      </c>
      <c r="U65" s="325">
        <f>IFERROR(TIMEVALUE(LEFT(Chronologie[[#This Row],[Startzeit]],5)),"")</f>
        <v>0.375</v>
      </c>
      <c r="V65" s="325">
        <f>IFERROR(TIMEVALUE(LEFT(Chronologie[[#This Row],[Startzeit]],5))+TIME(12/Chronologie[[#This Row],[Bahnen]],0,0),"")</f>
        <v>0.5</v>
      </c>
      <c r="W65" s="1"/>
      <c r="X65" s="132" t="s">
        <v>355</v>
      </c>
      <c r="Y65" s="132" t="s">
        <v>356</v>
      </c>
      <c r="Z65" s="133">
        <v>8233</v>
      </c>
      <c r="AA65" s="134" t="str">
        <f>IF(Orte[[#This Row],[Anschrift]]="",Orte[[#This Row],[Kurzform]],RIGHT(Orte[[#This Row],[Anschrift]],LEN(Orte[[#This Row],[Anschrift]])-FIND("#",SUBSTITUTE(Orte[[#This Row],[Anschrift]]," ","#",LEN(Orte[[#This Row],[Anschrift]])-LEN(SUBSTITUTE(Orte[[#This Row],[Anschrift]]," ",))))))</f>
        <v>Treuen</v>
      </c>
      <c r="AB65" s="134" t="s">
        <v>292</v>
      </c>
      <c r="AC65" s="6">
        <v>4</v>
      </c>
      <c r="AD65" s="1"/>
    </row>
    <row r="66" spans="5:30" x14ac:dyDescent="0.3">
      <c r="E66" s="60">
        <f t="shared" si="4"/>
        <v>64</v>
      </c>
      <c r="F66" s="61" t="str">
        <f>Chronologie[[#This Row],[Team]]&amp;"-"&amp;Chronologie[[#This Row],[L/P/E]]&amp;"-"&amp;Chronologie[[#This Row],[ST]]</f>
        <v>D-L-8</v>
      </c>
      <c r="G66" s="68">
        <v>46082</v>
      </c>
      <c r="H66" s="61" t="s">
        <v>10</v>
      </c>
      <c r="I66" s="61" t="s">
        <v>663</v>
      </c>
      <c r="J66" s="64">
        <v>8</v>
      </c>
      <c r="K66" s="67" t="s">
        <v>683</v>
      </c>
      <c r="L66" s="72" t="str">
        <f>IF(Chronologie[[#This Row],[H/A]]="A",VLOOKUP(Chronologie[[#This Row],[Gegner]],Orte[],4,FALSE),IF(Chronologie[[#This Row],[H/A]]="H","Hirschfeld",Chronologie[[#This Row],[Gegner]]))</f>
        <v>Hirschfeld</v>
      </c>
      <c r="M66" s="62" t="s">
        <v>72</v>
      </c>
      <c r="N66" s="64">
        <f>Chronologie[[#This Row],[SA-NR]]</f>
        <v>64</v>
      </c>
      <c r="O66" s="64">
        <f ca="1">IF(Chronologie[[#This Row],[Datum]]="","",IF(TODAY()&gt;=Chronologie[[#This Row],[Datum]],1,0))</f>
        <v>0</v>
      </c>
      <c r="P66" s="64">
        <f>IF(COUNTIFS(Eingabe[ID],Chronologie[[#This Row],[ID]],Eingabe[GES],"&gt;0")&gt;=1,1,0)</f>
        <v>0</v>
      </c>
      <c r="Q66" s="75">
        <f>IF(YEAR(Chronologie[[#This Row],[Datum]])=2025,WEEKNUM(Chronologie[[#This Row],[Datum]],2)-34,IF(YEAR(Chronologie[[#This Row],[Datum]])=2026,WEEKNUM(Chronologie[[#This Row],[Datum]],2)+18,""))</f>
        <v>27</v>
      </c>
      <c r="R66" s="87" t="str">
        <f>IF(Chronologie[[#This Row],[Gegner]]="","",VLOOKUP(Chronologie[[#This Row],[Gegner]],Orte[],5,FALSE))</f>
        <v>Niederwiesa</v>
      </c>
      <c r="S66" s="87">
        <f>IF(Chronologie[[#This Row],[Gegner]]="","",IF(Chronologie[[#This Row],[H/A]]="H",4,VLOOKUP(Chronologie[[#This Row],[Gegner]],Orte[],6,FALSE)))</f>
        <v>4</v>
      </c>
      <c r="T66" s="85" t="s">
        <v>548</v>
      </c>
      <c r="U66" s="325">
        <f>IFERROR(TIMEVALUE(LEFT(Chronologie[[#This Row],[Startzeit]],5)),"")</f>
        <v>0.375</v>
      </c>
      <c r="V66" s="325">
        <f>IFERROR(TIMEVALUE(LEFT(Chronologie[[#This Row],[Startzeit]],5))+TIME(12/Chronologie[[#This Row],[Bahnen]],0,0),"")</f>
        <v>0.5</v>
      </c>
      <c r="W66" s="1"/>
      <c r="X66" s="132" t="s">
        <v>397</v>
      </c>
      <c r="Y66" s="132" t="s">
        <v>398</v>
      </c>
      <c r="Z66" s="133">
        <v>8412</v>
      </c>
      <c r="AA66" s="134" t="str">
        <f>IF(Orte[[#This Row],[Anschrift]]="",Orte[[#This Row],[Kurzform]],RIGHT(Orte[[#This Row],[Anschrift]],LEN(Orte[[#This Row],[Anschrift]])-FIND("#",SUBSTITUTE(Orte[[#This Row],[Anschrift]]," ","#",LEN(Orte[[#This Row],[Anschrift]])-LEN(SUBSTITUTE(Orte[[#This Row],[Anschrift]]," ",))))))</f>
        <v>Werdau</v>
      </c>
      <c r="AB66" s="134" t="s">
        <v>288</v>
      </c>
      <c r="AC66" s="6">
        <v>4</v>
      </c>
      <c r="AD66" s="1"/>
    </row>
    <row r="67" spans="5:30" x14ac:dyDescent="0.3">
      <c r="E67" s="60">
        <f t="shared" si="4"/>
        <v>65</v>
      </c>
      <c r="F67" s="61" t="str">
        <f>Chronologie[[#This Row],[Team]]&amp;"-"&amp;Chronologie[[#This Row],[L/P/E]]&amp;"-"&amp;Chronologie[[#This Row],[ST]]</f>
        <v>D-L-9</v>
      </c>
      <c r="G67" s="68">
        <v>46102</v>
      </c>
      <c r="H67" s="61" t="s">
        <v>10</v>
      </c>
      <c r="I67" s="61" t="s">
        <v>663</v>
      </c>
      <c r="J67" s="64">
        <v>9</v>
      </c>
      <c r="K67" s="67" t="s">
        <v>373</v>
      </c>
      <c r="L67" s="72" t="str">
        <f>IF(Chronologie[[#This Row],[H/A]]="A",VLOOKUP(Chronologie[[#This Row],[Gegner]],Orte[],4,FALSE),IF(Chronologie[[#This Row],[H/A]]="H","Hirschfeld",Chronologie[[#This Row],[Gegner]]))</f>
        <v>Hirschfeld</v>
      </c>
      <c r="M67" s="62" t="s">
        <v>72</v>
      </c>
      <c r="N67" s="64">
        <f>Chronologie[[#This Row],[SA-NR]]</f>
        <v>65</v>
      </c>
      <c r="O67" s="64">
        <f ca="1">IF(Chronologie[[#This Row],[Datum]]="","",IF(TODAY()&gt;=Chronologie[[#This Row],[Datum]],1,0))</f>
        <v>0</v>
      </c>
      <c r="P67" s="64">
        <f>IF(COUNTIFS(Eingabe[ID],Chronologie[[#This Row],[ID]],Eingabe[GES],"&gt;0")&gt;=1,1,0)</f>
        <v>0</v>
      </c>
      <c r="Q67" s="75">
        <f>IF(YEAR(Chronologie[[#This Row],[Datum]])=2025,WEEKNUM(Chronologie[[#This Row],[Datum]],2)-34,IF(YEAR(Chronologie[[#This Row],[Datum]])=2026,WEEKNUM(Chronologie[[#This Row],[Datum]],2)+18,""))</f>
        <v>30</v>
      </c>
      <c r="R67" s="87" t="str">
        <f>IF(Chronologie[[#This Row],[Gegner]]="","",VLOOKUP(Chronologie[[#This Row],[Gegner]],Orte[],5,FALSE))</f>
        <v>Krummi</v>
      </c>
      <c r="S67" s="87">
        <f>IF(Chronologie[[#This Row],[Gegner]]="","",IF(Chronologie[[#This Row],[H/A]]="H",4,VLOOKUP(Chronologie[[#This Row],[Gegner]],Orte[],6,FALSE)))</f>
        <v>4</v>
      </c>
      <c r="T67" s="85" t="s">
        <v>550</v>
      </c>
      <c r="U67" s="325">
        <f>IFERROR(TIMEVALUE(LEFT(Chronologie[[#This Row],[Startzeit]],5)),"")</f>
        <v>0.45833333333333331</v>
      </c>
      <c r="V67" s="325">
        <f>IFERROR(TIMEVALUE(LEFT(Chronologie[[#This Row],[Startzeit]],5))+TIME(12/Chronologie[[#This Row],[Bahnen]],0,0),"")</f>
        <v>0.58333333333333326</v>
      </c>
      <c r="W67" s="1"/>
      <c r="X67" s="132" t="s">
        <v>361</v>
      </c>
      <c r="Y67" s="132" t="s">
        <v>362</v>
      </c>
      <c r="Z67" s="133">
        <v>8315</v>
      </c>
      <c r="AA67" s="134" t="str">
        <f>IF(Orte[[#This Row],[Anschrift]]="",Orte[[#This Row],[Kurzform]],RIGHT(Orte[[#This Row],[Anschrift]],LEN(Orte[[#This Row],[Anschrift]])-FIND("#",SUBSTITUTE(Orte[[#This Row],[Anschrift]]," ","#",LEN(Orte[[#This Row],[Anschrift]])-LEN(SUBSTITUTE(Orte[[#This Row],[Anschrift]]," ",))))))</f>
        <v>Lauter-Bernsbach</v>
      </c>
      <c r="AB67" s="134" t="s">
        <v>291</v>
      </c>
      <c r="AC67" s="6">
        <v>4</v>
      </c>
      <c r="AD67" s="1"/>
    </row>
    <row r="68" spans="5:30" x14ac:dyDescent="0.3">
      <c r="E68" s="60">
        <f t="shared" si="4"/>
        <v>66</v>
      </c>
      <c r="F68" s="61" t="str">
        <f>Chronologie[[#This Row],[Team]]&amp;"-"&amp;Chronologie[[#This Row],[L/P/E]]&amp;"-"&amp;Chronologie[[#This Row],[ST]]</f>
        <v>D-L-10</v>
      </c>
      <c r="G68" s="68">
        <v>46109</v>
      </c>
      <c r="H68" s="61" t="s">
        <v>10</v>
      </c>
      <c r="I68" s="61" t="s">
        <v>663</v>
      </c>
      <c r="J68" s="64">
        <v>10</v>
      </c>
      <c r="K68" s="67" t="s">
        <v>394</v>
      </c>
      <c r="L68" s="72" t="str">
        <f>IF(Chronologie[[#This Row],[H/A]]="A",VLOOKUP(Chronologie[[#This Row],[Gegner]],Orte[],4,FALSE),IF(Chronologie[[#This Row],[H/A]]="H","Hirschfeld",Chronologie[[#This Row],[Gegner]]))</f>
        <v>Brand-Erbisdorf</v>
      </c>
      <c r="M68" s="62" t="s">
        <v>74</v>
      </c>
      <c r="N68" s="64">
        <f>Chronologie[[#This Row],[SA-NR]]</f>
        <v>66</v>
      </c>
      <c r="O68" s="64">
        <f ca="1">IF(Chronologie[[#This Row],[Datum]]="","",IF(TODAY()&gt;=Chronologie[[#This Row],[Datum]],1,0))</f>
        <v>0</v>
      </c>
      <c r="P68" s="64">
        <f>IF(COUNTIFS(Eingabe[ID],Chronologie[[#This Row],[ID]],Eingabe[GES],"&gt;0")&gt;=1,1,0)</f>
        <v>0</v>
      </c>
      <c r="Q68" s="75">
        <f>IF(YEAR(Chronologie[[#This Row],[Datum]])=2025,WEEKNUM(Chronologie[[#This Row],[Datum]],2)-34,IF(YEAR(Chronologie[[#This Row],[Datum]])=2026,WEEKNUM(Chronologie[[#This Row],[Datum]],2)+18,""))</f>
        <v>31</v>
      </c>
      <c r="R68" s="87" t="str">
        <f>IF(Chronologie[[#This Row],[Gegner]]="","",VLOOKUP(Chronologie[[#This Row],[Gegner]],Orte[],5,FALSE))</f>
        <v>BKC</v>
      </c>
      <c r="S68" s="87">
        <f>IF(Chronologie[[#This Row],[Gegner]]="","",IF(Chronologie[[#This Row],[H/A]]="H",4,VLOOKUP(Chronologie[[#This Row],[Gegner]],Orte[],6,FALSE)))</f>
        <v>4</v>
      </c>
      <c r="T68" s="85" t="s">
        <v>550</v>
      </c>
      <c r="U68" s="325">
        <f>IFERROR(TIMEVALUE(LEFT(Chronologie[[#This Row],[Startzeit]],5)),"")</f>
        <v>0.45833333333333331</v>
      </c>
      <c r="V68" s="325">
        <f>IFERROR(TIMEVALUE(LEFT(Chronologie[[#This Row],[Startzeit]],5))+TIME(12/Chronologie[[#This Row],[Bahnen]],0,0),"")</f>
        <v>0.58333333333333326</v>
      </c>
      <c r="W68" s="1"/>
      <c r="X68" s="132" t="s">
        <v>400</v>
      </c>
      <c r="Y68" s="132" t="s">
        <v>399</v>
      </c>
      <c r="Z68" s="133">
        <v>9396</v>
      </c>
      <c r="AA68" s="134" t="str">
        <f>IF(Orte[[#This Row],[Anschrift]]="",Orte[[#This Row],[Kurzform]],RIGHT(Orte[[#This Row],[Anschrift]],LEN(Orte[[#This Row],[Anschrift]])-FIND("#",SUBSTITUTE(Orte[[#This Row],[Anschrift]]," ","#",LEN(Orte[[#This Row],[Anschrift]])-LEN(SUBSTITUTE(Orte[[#This Row],[Anschrift]]," ",))))))</f>
        <v>Waldenburg</v>
      </c>
      <c r="AB68" s="134" t="s">
        <v>287</v>
      </c>
      <c r="AC68" s="6">
        <v>4</v>
      </c>
      <c r="AD68" s="1"/>
    </row>
    <row r="69" spans="5:30" x14ac:dyDescent="0.3">
      <c r="E69" s="60">
        <f t="shared" si="4"/>
        <v>67</v>
      </c>
      <c r="F69" s="61" t="str">
        <f>Chronologie[[#This Row],[Team]]&amp;"-"&amp;Chronologie[[#This Row],[L/P/E]]&amp;"-"&amp;Chronologie[[#This Row],[ST]]</f>
        <v>E-DKBC-Pokal-2</v>
      </c>
      <c r="G69" s="68">
        <v>45962</v>
      </c>
      <c r="H69" s="61" t="s">
        <v>4</v>
      </c>
      <c r="I69" s="61" t="s">
        <v>685</v>
      </c>
      <c r="J69" s="64">
        <v>2</v>
      </c>
      <c r="K69" s="67" t="s">
        <v>737</v>
      </c>
      <c r="L69" s="72" t="str">
        <f>IF(Chronologie[[#This Row],[H/A]]="A",VLOOKUP(Chronologie[[#This Row],[Gegner]],Orte[],4,FALSE),IF(Chronologie[[#This Row],[H/A]]="H","Hirschfeld",Chronologie[[#This Row],[Gegner]]))</f>
        <v>Hirschfeld</v>
      </c>
      <c r="M69" s="62" t="s">
        <v>72</v>
      </c>
      <c r="N69" s="64">
        <f>Chronologie[[#This Row],[SA-NR]]</f>
        <v>67</v>
      </c>
      <c r="O69" s="64">
        <f ca="1">IF(Chronologie[[#This Row],[Datum]]="","",IF(TODAY()&gt;=Chronologie[[#This Row],[Datum]],1,0))</f>
        <v>1</v>
      </c>
      <c r="P69" s="64">
        <f>IF(COUNTIFS(Eingabe[ID],Chronologie[[#This Row],[ID]],Eingabe[GES],"&gt;0")&gt;=1,1,0)</f>
        <v>1</v>
      </c>
      <c r="Q69" s="75">
        <f>IF(YEAR(Chronologie[[#This Row],[Datum]])=2025,WEEKNUM(Chronologie[[#This Row],[Datum]],2)-34,IF(YEAR(Chronologie[[#This Row],[Datum]])=2026,WEEKNUM(Chronologie[[#This Row],[Datum]],2)+18,""))</f>
        <v>10</v>
      </c>
      <c r="R69" s="87" t="str">
        <f>IF(Chronologie[[#This Row],[Gegner]]="","",VLOOKUP(Chronologie[[#This Row],[Gegner]],Orte[],5,FALSE))</f>
        <v>Gerolsheim</v>
      </c>
      <c r="S69" s="87">
        <f>IF(Chronologie[[#This Row],[Gegner]]="","",IF(Chronologie[[#This Row],[H/A]]="H",4,VLOOKUP(Chronologie[[#This Row],[Gegner]],Orte[],6,FALSE)))</f>
        <v>4</v>
      </c>
      <c r="T69" s="300" t="s">
        <v>544</v>
      </c>
      <c r="U69" s="325">
        <f>IFERROR(TIMEVALUE(LEFT(Chronologie[[#This Row],[Startzeit]],5)),"")</f>
        <v>0.54166666666666663</v>
      </c>
      <c r="V69" s="325">
        <f>IFERROR(TIMEVALUE(LEFT(Chronologie[[#This Row],[Startzeit]],5))+TIME(12/Chronologie[[#This Row],[Bahnen]],0,0),"")</f>
        <v>0.66666666666666663</v>
      </c>
      <c r="W69" s="1"/>
      <c r="X69" s="132" t="s">
        <v>160</v>
      </c>
      <c r="Y69" s="132" t="s">
        <v>173</v>
      </c>
      <c r="Z69" s="133">
        <v>1917</v>
      </c>
      <c r="AA69" s="134" t="str">
        <f>IF(Orte[[#This Row],[Anschrift]]="",Orte[[#This Row],[Kurzform]],RIGHT(Orte[[#This Row],[Anschrift]],LEN(Orte[[#This Row],[Anschrift]])-FIND("#",SUBSTITUTE(Orte[[#This Row],[Anschrift]]," ","#",LEN(Orte[[#This Row],[Anschrift]])-LEN(SUBSTITUTE(Orte[[#This Row],[Anschrift]]," ",))))))</f>
        <v>Kamenz</v>
      </c>
      <c r="AB69" s="134" t="s">
        <v>237</v>
      </c>
      <c r="AC69" s="6">
        <v>4</v>
      </c>
      <c r="AD69" s="1"/>
    </row>
    <row r="70" spans="5:30" x14ac:dyDescent="0.3">
      <c r="E70" s="60">
        <f t="shared" si="4"/>
        <v>68</v>
      </c>
      <c r="F70" s="61" t="str">
        <f>Chronologie[[#This Row],[Team]]&amp;"-"&amp;Chronologie[[#This Row],[L/P/E]]&amp;"-"&amp;Chronologie[[#This Row],[ST]]</f>
        <v>U14-L-1</v>
      </c>
      <c r="G70" s="68">
        <v>45914</v>
      </c>
      <c r="H70" s="61" t="s">
        <v>17</v>
      </c>
      <c r="I70" s="61" t="s">
        <v>663</v>
      </c>
      <c r="J70" s="64">
        <v>1</v>
      </c>
      <c r="K70" s="67" t="s">
        <v>175</v>
      </c>
      <c r="L70" s="72" t="str">
        <f>IF(Chronologie[[#This Row],[H/A]]="A",VLOOKUP(Chronologie[[#This Row],[Gegner]],Orte[],4,FALSE),IF(Chronologie[[#This Row],[H/A]]="H","Hirschfeld",Chronologie[[#This Row],[Gegner]]))</f>
        <v>Hirschfeld</v>
      </c>
      <c r="M70" s="62" t="s">
        <v>72</v>
      </c>
      <c r="N70" s="64">
        <f>Chronologie[[#This Row],[SA-NR]]</f>
        <v>68</v>
      </c>
      <c r="O70" s="64">
        <f ca="1">IF(Chronologie[[#This Row],[Datum]]="","",IF(TODAY()&gt;=Chronologie[[#This Row],[Datum]],1,0))</f>
        <v>1</v>
      </c>
      <c r="P70" s="64">
        <f>IF(COUNTIFS(Eingabe[ID],Chronologie[[#This Row],[ID]],Eingabe[GES],"&gt;0")&gt;=1,1,0)</f>
        <v>1</v>
      </c>
      <c r="Q70" s="75">
        <f>IF(YEAR(Chronologie[[#This Row],[Datum]])=2025,WEEKNUM(Chronologie[[#This Row],[Datum]],2)-34,IF(YEAR(Chronologie[[#This Row],[Datum]])=2026,WEEKNUM(Chronologie[[#This Row],[Datum]],2)+18,""))</f>
        <v>3</v>
      </c>
      <c r="R70" s="87" t="str">
        <f>IF(Chronologie[[#This Row],[Gegner]]="","",VLOOKUP(Chronologie[[#This Row],[Gegner]],Orte[],5,FALSE))</f>
        <v>HSV</v>
      </c>
      <c r="S70" s="87">
        <f>IF(Chronologie[[#This Row],[Gegner]]="","",IF(Chronologie[[#This Row],[H/A]]="H",4,VLOOKUP(Chronologie[[#This Row],[Gegner]],Orte[],6,FALSE)))</f>
        <v>4</v>
      </c>
      <c r="T70" s="85" t="s">
        <v>548</v>
      </c>
      <c r="U70" s="325">
        <f>IFERROR(TIMEVALUE(LEFT(Chronologie[[#This Row],[Startzeit]],5)),"")</f>
        <v>0.375</v>
      </c>
      <c r="V70" s="325">
        <f>IFERROR(TIMEVALUE(LEFT(Chronologie[[#This Row],[Startzeit]],5))+TIME(12/Chronologie[[#This Row],[Bahnen]],0,0),"")</f>
        <v>0.5</v>
      </c>
      <c r="W70" s="1"/>
      <c r="X70" s="132" t="s">
        <v>185</v>
      </c>
      <c r="Y70" s="132" t="s">
        <v>190</v>
      </c>
      <c r="Z70" s="133">
        <v>9557</v>
      </c>
      <c r="AA70" s="134" t="str">
        <f>IF(Orte[[#This Row],[Anschrift]]="",Orte[[#This Row],[Kurzform]],RIGHT(Orte[[#This Row],[Anschrift]],LEN(Orte[[#This Row],[Anschrift]])-FIND("#",SUBSTITUTE(Orte[[#This Row],[Anschrift]]," ","#",LEN(Orte[[#This Row],[Anschrift]])-LEN(SUBSTITUTE(Orte[[#This Row],[Anschrift]]," ",))))))</f>
        <v>Flöha</v>
      </c>
      <c r="AB70" s="134" t="s">
        <v>95</v>
      </c>
      <c r="AC70" s="6">
        <v>4</v>
      </c>
      <c r="AD70" s="1"/>
    </row>
    <row r="71" spans="5:30" x14ac:dyDescent="0.3">
      <c r="E71" s="60">
        <f t="shared" si="4"/>
        <v>69</v>
      </c>
      <c r="F71" s="61" t="str">
        <f>Chronologie[[#This Row],[Team]]&amp;"-"&amp;Chronologie[[#This Row],[L/P/E]]&amp;"-"&amp;Chronologie[[#This Row],[ST]]</f>
        <v>U14-L-2</v>
      </c>
      <c r="G71" s="68">
        <v>45921</v>
      </c>
      <c r="H71" s="61" t="s">
        <v>17</v>
      </c>
      <c r="I71" s="61" t="s">
        <v>663</v>
      </c>
      <c r="J71" s="64">
        <v>2</v>
      </c>
      <c r="K71" s="67" t="s">
        <v>686</v>
      </c>
      <c r="L71" s="72" t="str">
        <f>IF(Chronologie[[#This Row],[H/A]]="A",VLOOKUP(Chronologie[[#This Row],[Gegner]],Orte[],4,FALSE),IF(Chronologie[[#This Row],[H/A]]="H","Hirschfeld",Chronologie[[#This Row],[Gegner]]))</f>
        <v>Freiberg</v>
      </c>
      <c r="M71" s="62" t="s">
        <v>74</v>
      </c>
      <c r="N71" s="64">
        <f>Chronologie[[#This Row],[SA-NR]]</f>
        <v>69</v>
      </c>
      <c r="O71" s="64">
        <f ca="1">IF(Chronologie[[#This Row],[Datum]]="","",IF(TODAY()&gt;=Chronologie[[#This Row],[Datum]],1,0))</f>
        <v>1</v>
      </c>
      <c r="P71" s="64">
        <f>IF(COUNTIFS(Eingabe[ID],Chronologie[[#This Row],[ID]],Eingabe[GES],"&gt;0")&gt;=1,1,0)</f>
        <v>1</v>
      </c>
      <c r="Q71" s="75">
        <f>IF(YEAR(Chronologie[[#This Row],[Datum]])=2025,WEEKNUM(Chronologie[[#This Row],[Datum]],2)-34,IF(YEAR(Chronologie[[#This Row],[Datum]])=2026,WEEKNUM(Chronologie[[#This Row],[Datum]],2)+18,""))</f>
        <v>4</v>
      </c>
      <c r="R71" s="87" t="str">
        <f>IF(Chronologie[[#This Row],[Gegner]]="","",VLOOKUP(Chronologie[[#This Row],[Gegner]],Orte[],5,FALSE))</f>
        <v>Freiberg</v>
      </c>
      <c r="S71" s="87">
        <f>IF(Chronologie[[#This Row],[Gegner]]="","",IF(Chronologie[[#This Row],[H/A]]="H",4,VLOOKUP(Chronologie[[#This Row],[Gegner]],Orte[],6,FALSE)))</f>
        <v>2</v>
      </c>
      <c r="T71" s="85" t="s">
        <v>687</v>
      </c>
      <c r="U71" s="325">
        <f>IFERROR(TIMEVALUE(LEFT(Chronologie[[#This Row],[Startzeit]],5)),"")</f>
        <v>0.51388888888888884</v>
      </c>
      <c r="V71" s="325">
        <f>IFERROR(TIMEVALUE(LEFT(Chronologie[[#This Row],[Startzeit]],5))+TIME(12/Chronologie[[#This Row],[Bahnen]],0,0),"")</f>
        <v>0.76388888888888884</v>
      </c>
      <c r="W71" s="1"/>
      <c r="X71" s="132" t="s">
        <v>302</v>
      </c>
      <c r="Y71" s="132" t="s">
        <v>360</v>
      </c>
      <c r="Z71" s="133">
        <v>9648</v>
      </c>
      <c r="AA71" s="134" t="str">
        <f>IF(Orte[[#This Row],[Anschrift]]="",Orte[[#This Row],[Kurzform]],RIGHT(Orte[[#This Row],[Anschrift]],LEN(Orte[[#This Row],[Anschrift]])-FIND("#",SUBSTITUTE(Orte[[#This Row],[Anschrift]]," ","#",LEN(Orte[[#This Row],[Anschrift]])-LEN(SUBSTITUTE(Orte[[#This Row],[Anschrift]]," ",))))))</f>
        <v>Mittweida</v>
      </c>
      <c r="AB71" s="134" t="s">
        <v>365</v>
      </c>
      <c r="AC71" s="6">
        <v>4</v>
      </c>
      <c r="AD71" s="1"/>
    </row>
    <row r="72" spans="5:30" x14ac:dyDescent="0.3">
      <c r="E72" s="60">
        <f t="shared" si="4"/>
        <v>70</v>
      </c>
      <c r="F72" s="61" t="str">
        <f>Chronologie[[#This Row],[Team]]&amp;"-"&amp;Chronologie[[#This Row],[L/P/E]]&amp;"-"&amp;Chronologie[[#This Row],[ST]]</f>
        <v>U14-L-3</v>
      </c>
      <c r="G72" s="68">
        <v>45927</v>
      </c>
      <c r="H72" s="61" t="s">
        <v>17</v>
      </c>
      <c r="I72" s="61" t="s">
        <v>663</v>
      </c>
      <c r="J72" s="64">
        <v>3</v>
      </c>
      <c r="K72" s="67" t="s">
        <v>185</v>
      </c>
      <c r="L72" s="72" t="str">
        <f>IF(Chronologie[[#This Row],[H/A]]="A",VLOOKUP(Chronologie[[#This Row],[Gegner]],Orte[],4,FALSE),IF(Chronologie[[#This Row],[H/A]]="H","Hirschfeld",Chronologie[[#This Row],[Gegner]]))</f>
        <v>Flöha</v>
      </c>
      <c r="M72" s="62" t="s">
        <v>74</v>
      </c>
      <c r="N72" s="64">
        <f>Chronologie[[#This Row],[SA-NR]]</f>
        <v>70</v>
      </c>
      <c r="O72" s="64">
        <f ca="1">IF(Chronologie[[#This Row],[Datum]]="","",IF(TODAY()&gt;=Chronologie[[#This Row],[Datum]],1,0))</f>
        <v>1</v>
      </c>
      <c r="P72" s="64">
        <f>IF(COUNTIFS(Eingabe[ID],Chronologie[[#This Row],[ID]],Eingabe[GES],"&gt;0")&gt;=1,1,0)</f>
        <v>1</v>
      </c>
      <c r="Q72" s="75">
        <f>IF(YEAR(Chronologie[[#This Row],[Datum]])=2025,WEEKNUM(Chronologie[[#This Row],[Datum]],2)-34,IF(YEAR(Chronologie[[#This Row],[Datum]])=2026,WEEKNUM(Chronologie[[#This Row],[Datum]],2)+18,""))</f>
        <v>5</v>
      </c>
      <c r="R72" s="87" t="str">
        <f>IF(Chronologie[[#This Row],[Gegner]]="","",VLOOKUP(Chronologie[[#This Row],[Gegner]],Orte[],5,FALSE))</f>
        <v>Flöha</v>
      </c>
      <c r="S72" s="87">
        <f>IF(Chronologie[[#This Row],[Gegner]]="","",IF(Chronologie[[#This Row],[H/A]]="H",4,VLOOKUP(Chronologie[[#This Row],[Gegner]],Orte[],6,FALSE)))</f>
        <v>4</v>
      </c>
      <c r="T72" s="85" t="s">
        <v>548</v>
      </c>
      <c r="U72" s="325">
        <f>IFERROR(TIMEVALUE(LEFT(Chronologie[[#This Row],[Startzeit]],5)),"")</f>
        <v>0.375</v>
      </c>
      <c r="V72" s="325">
        <f>IFERROR(TIMEVALUE(LEFT(Chronologie[[#This Row],[Startzeit]],5))+TIME(12/Chronologie[[#This Row],[Bahnen]],0,0),"")</f>
        <v>0.5</v>
      </c>
      <c r="W72" s="1"/>
      <c r="X72" s="132" t="s">
        <v>359</v>
      </c>
      <c r="Y72" s="132" t="s">
        <v>360</v>
      </c>
      <c r="Z72" s="133">
        <v>9648</v>
      </c>
      <c r="AA72" s="134" t="str">
        <f>IF(Orte[[#This Row],[Anschrift]]="",Orte[[#This Row],[Kurzform]],RIGHT(Orte[[#This Row],[Anschrift]],LEN(Orte[[#This Row],[Anschrift]])-FIND("#",SUBSTITUTE(Orte[[#This Row],[Anschrift]]," ","#",LEN(Orte[[#This Row],[Anschrift]])-LEN(SUBSTITUTE(Orte[[#This Row],[Anschrift]]," ",))))))</f>
        <v>Mittweida</v>
      </c>
      <c r="AB72" s="134" t="s">
        <v>97</v>
      </c>
      <c r="AC72" s="6">
        <v>4</v>
      </c>
      <c r="AD72" s="1"/>
    </row>
    <row r="73" spans="5:30" x14ac:dyDescent="0.3">
      <c r="E73" s="60">
        <f t="shared" si="3"/>
        <v>71</v>
      </c>
      <c r="F73" s="61" t="str">
        <f>Chronologie[[#This Row],[Team]]&amp;"-"&amp;Chronologie[[#This Row],[L/P/E]]&amp;"-"&amp;Chronologie[[#This Row],[ST]]</f>
        <v>U14-L-4</v>
      </c>
      <c r="G73" s="68">
        <v>45969</v>
      </c>
      <c r="H73" s="61" t="s">
        <v>17</v>
      </c>
      <c r="I73" s="61" t="s">
        <v>663</v>
      </c>
      <c r="J73" s="64">
        <v>4</v>
      </c>
      <c r="K73" s="67" t="s">
        <v>373</v>
      </c>
      <c r="L73" s="72" t="str">
        <f>IF(Chronologie[[#This Row],[H/A]]="A",VLOOKUP(Chronologie[[#This Row],[Gegner]],Orte[],4,FALSE),IF(Chronologie[[#This Row],[H/A]]="H","Hirschfeld",Chronologie[[#This Row],[Gegner]]))</f>
        <v>Krummenhennersdorf</v>
      </c>
      <c r="M73" s="62" t="s">
        <v>74</v>
      </c>
      <c r="N73" s="64">
        <f>Chronologie[[#This Row],[SA-NR]]</f>
        <v>71</v>
      </c>
      <c r="O73" s="64">
        <f ca="1">IF(Chronologie[[#This Row],[Datum]]="","",IF(TODAY()&gt;=Chronologie[[#This Row],[Datum]],1,0))</f>
        <v>1</v>
      </c>
      <c r="P73" s="64">
        <f>IF(COUNTIFS(Eingabe[ID],Chronologie[[#This Row],[ID]],Eingabe[GES],"&gt;0")&gt;=1,1,0)</f>
        <v>1</v>
      </c>
      <c r="Q73" s="75">
        <f>IF(YEAR(Chronologie[[#This Row],[Datum]])=2025,WEEKNUM(Chronologie[[#This Row],[Datum]],2)-34,IF(YEAR(Chronologie[[#This Row],[Datum]])=2026,WEEKNUM(Chronologie[[#This Row],[Datum]],2)+18,""))</f>
        <v>11</v>
      </c>
      <c r="R73" s="87" t="str">
        <f>IF(Chronologie[[#This Row],[Gegner]]="","",VLOOKUP(Chronologie[[#This Row],[Gegner]],Orte[],5,FALSE))</f>
        <v>Krummi</v>
      </c>
      <c r="S73" s="87">
        <f>IF(Chronologie[[#This Row],[Gegner]]="","",IF(Chronologie[[#This Row],[H/A]]="H",4,VLOOKUP(Chronologie[[#This Row],[Gegner]],Orte[],6,FALSE)))</f>
        <v>4</v>
      </c>
      <c r="T73" s="85" t="s">
        <v>687</v>
      </c>
      <c r="U73" s="325">
        <f>IFERROR(TIMEVALUE(LEFT(Chronologie[[#This Row],[Startzeit]],5)),"")</f>
        <v>0.51388888888888884</v>
      </c>
      <c r="V73" s="325">
        <f>IFERROR(TIMEVALUE(LEFT(Chronologie[[#This Row],[Startzeit]],5))+TIME(12/Chronologie[[#This Row],[Bahnen]],0,0),"")</f>
        <v>0.63888888888888884</v>
      </c>
      <c r="W73" s="1"/>
      <c r="X73" s="132" t="s">
        <v>87</v>
      </c>
      <c r="Y73" s="15" t="s">
        <v>181</v>
      </c>
      <c r="Z73" s="133">
        <v>9468</v>
      </c>
      <c r="AA73" s="134" t="str">
        <f>IF(Orte[[#This Row],[Anschrift]]="",Orte[[#This Row],[Kurzform]],RIGHT(Orte[[#This Row],[Anschrift]],LEN(Orte[[#This Row],[Anschrift]])-FIND("#",SUBSTITUTE(Orte[[#This Row],[Anschrift]]," ","#",LEN(Orte[[#This Row],[Anschrift]])-LEN(SUBSTITUTE(Orte[[#This Row],[Anschrift]]," ",))))))</f>
        <v>Geyer</v>
      </c>
      <c r="AB73" s="134" t="s">
        <v>208</v>
      </c>
      <c r="AC73" s="6">
        <v>2</v>
      </c>
      <c r="AD73" s="1"/>
    </row>
    <row r="74" spans="5:30" x14ac:dyDescent="0.3">
      <c r="E74" s="60">
        <f>ROW(E74)-2</f>
        <v>72</v>
      </c>
      <c r="F74" s="61" t="str">
        <f>Chronologie[[#This Row],[Team]]&amp;"-"&amp;Chronologie[[#This Row],[L/P/E]]&amp;"-"&amp;Chronologie[[#This Row],[ST]]</f>
        <v>U14-L-5</v>
      </c>
      <c r="G74" s="68">
        <v>45991</v>
      </c>
      <c r="H74" s="61" t="s">
        <v>17</v>
      </c>
      <c r="I74" s="61" t="s">
        <v>663</v>
      </c>
      <c r="J74" s="64">
        <v>5</v>
      </c>
      <c r="K74" s="67" t="s">
        <v>370</v>
      </c>
      <c r="L74" s="72" t="str">
        <f>IF(Chronologie[[#This Row],[H/A]]="A",VLOOKUP(Chronologie[[#This Row],[Gegner]],Orte[],4,FALSE),IF(Chronologie[[#This Row],[H/A]]="H","Hirschfeld",Chronologie[[#This Row],[Gegner]]))</f>
        <v>Weißenborn</v>
      </c>
      <c r="M74" s="62" t="s">
        <v>74</v>
      </c>
      <c r="N74" s="64">
        <f>Chronologie[[#This Row],[SA-NR]]</f>
        <v>72</v>
      </c>
      <c r="O74" s="64">
        <f ca="1">IF(Chronologie[[#This Row],[Datum]]="","",IF(TODAY()&gt;=Chronologie[[#This Row],[Datum]],1,0))</f>
        <v>1</v>
      </c>
      <c r="P74" s="64">
        <f>IF(COUNTIFS(Eingabe[ID],Chronologie[[#This Row],[ID]],Eingabe[GES],"&gt;0")&gt;=1,1,0)</f>
        <v>1</v>
      </c>
      <c r="Q74" s="75">
        <f>IF(YEAR(Chronologie[[#This Row],[Datum]])=2025,WEEKNUM(Chronologie[[#This Row],[Datum]],2)-34,IF(YEAR(Chronologie[[#This Row],[Datum]])=2026,WEEKNUM(Chronologie[[#This Row],[Datum]],2)+18,""))</f>
        <v>14</v>
      </c>
      <c r="R74" s="87" t="str">
        <f>IF(Chronologie[[#This Row],[Gegner]]="","",VLOOKUP(Chronologie[[#This Row],[Gegner]],Orte[],5,FALSE))</f>
        <v>Weißenborn</v>
      </c>
      <c r="S74" s="87">
        <f>IF(Chronologie[[#This Row],[Gegner]]="","",IF(Chronologie[[#This Row],[H/A]]="H",4,VLOOKUP(Chronologie[[#This Row],[Gegner]],Orte[],6,FALSE)))</f>
        <v>4</v>
      </c>
      <c r="T74" s="85" t="s">
        <v>688</v>
      </c>
      <c r="U74" s="325">
        <f>IFERROR(TIMEVALUE(LEFT(Chronologie[[#This Row],[Startzeit]],5)),"")</f>
        <v>0.44444444444444442</v>
      </c>
      <c r="V74" s="325">
        <f>IFERROR(TIMEVALUE(LEFT(Chronologie[[#This Row],[Startzeit]],5))+TIME(12/Chronologie[[#This Row],[Bahnen]],0,0),"")</f>
        <v>0.56944444444444442</v>
      </c>
      <c r="W74" s="1"/>
      <c r="X74" s="132" t="s">
        <v>393</v>
      </c>
      <c r="Y74" s="132" t="s">
        <v>248</v>
      </c>
      <c r="Z74" s="133">
        <v>9603</v>
      </c>
      <c r="AA74" s="134" t="str">
        <f>IF(Orte[[#This Row],[Anschrift]]="",Orte[[#This Row],[Kurzform]],RIGHT(Orte[[#This Row],[Anschrift]],LEN(Orte[[#This Row],[Anschrift]])-FIND("#",SUBSTITUTE(Orte[[#This Row],[Anschrift]]," ","#",LEN(Orte[[#This Row],[Anschrift]])-LEN(SUBSTITUTE(Orte[[#This Row],[Anschrift]]," ",))))))</f>
        <v>Großschirma</v>
      </c>
      <c r="AB74" s="134" t="s">
        <v>245</v>
      </c>
      <c r="AC74" s="6">
        <v>2</v>
      </c>
      <c r="AD74" s="1"/>
    </row>
    <row r="75" spans="5:30" x14ac:dyDescent="0.3">
      <c r="E75" s="60">
        <f>ROW(E75)-2</f>
        <v>73</v>
      </c>
      <c r="F75" s="61" t="str">
        <f>Chronologie[[#This Row],[Team]]&amp;"-"&amp;Chronologie[[#This Row],[L/P/E]]&amp;"-"&amp;Chronologie[[#This Row],[ST]]</f>
        <v>U14-L-6</v>
      </c>
      <c r="G75" s="68">
        <v>46054</v>
      </c>
      <c r="H75" s="61" t="s">
        <v>17</v>
      </c>
      <c r="I75" s="61" t="s">
        <v>663</v>
      </c>
      <c r="J75" s="64">
        <v>6</v>
      </c>
      <c r="K75" s="67" t="s">
        <v>394</v>
      </c>
      <c r="L75" s="72" t="str">
        <f>IF(Chronologie[[#This Row],[H/A]]="A",VLOOKUP(Chronologie[[#This Row],[Gegner]],Orte[],4,FALSE),IF(Chronologie[[#This Row],[H/A]]="H","Hirschfeld",Chronologie[[#This Row],[Gegner]]))</f>
        <v>Brand-Erbisdorf</v>
      </c>
      <c r="M75" s="62" t="s">
        <v>74</v>
      </c>
      <c r="N75" s="64">
        <f>Chronologie[[#This Row],[SA-NR]]</f>
        <v>73</v>
      </c>
      <c r="O75" s="64">
        <f ca="1">IF(Chronologie[[#This Row],[Datum]]="","",IF(TODAY()&gt;=Chronologie[[#This Row],[Datum]],1,0))</f>
        <v>1</v>
      </c>
      <c r="P75" s="64">
        <f>IF(COUNTIFS(Eingabe[ID],Chronologie[[#This Row],[ID]],Eingabe[GES],"&gt;0")&gt;=1,1,0)</f>
        <v>1</v>
      </c>
      <c r="Q75" s="75">
        <f>IF(YEAR(Chronologie[[#This Row],[Datum]])=2025,WEEKNUM(Chronologie[[#This Row],[Datum]],2)-34,IF(YEAR(Chronologie[[#This Row],[Datum]])=2026,WEEKNUM(Chronologie[[#This Row],[Datum]],2)+18,""))</f>
        <v>23</v>
      </c>
      <c r="R75" s="87" t="str">
        <f>IF(Chronologie[[#This Row],[Gegner]]="","",VLOOKUP(Chronologie[[#This Row],[Gegner]],Orte[],5,FALSE))</f>
        <v>BKC</v>
      </c>
      <c r="S75" s="87">
        <f>IF(Chronologie[[#This Row],[Gegner]]="","",IF(Chronologie[[#This Row],[H/A]]="H",4,VLOOKUP(Chronologie[[#This Row],[Gegner]],Orte[],6,FALSE)))</f>
        <v>4</v>
      </c>
      <c r="T75" s="85" t="s">
        <v>687</v>
      </c>
      <c r="U75" s="325">
        <f>IFERROR(TIMEVALUE(LEFT(Chronologie[[#This Row],[Startzeit]],5)),"")</f>
        <v>0.51388888888888884</v>
      </c>
      <c r="V75" s="325">
        <f>IFERROR(TIMEVALUE(LEFT(Chronologie[[#This Row],[Startzeit]],5))+TIME(12/Chronologie[[#This Row],[Bahnen]],0,0),"")</f>
        <v>0.63888888888888884</v>
      </c>
      <c r="W75" s="1"/>
      <c r="X75" s="132" t="s">
        <v>375</v>
      </c>
      <c r="Y75" s="132" t="s">
        <v>376</v>
      </c>
      <c r="Z75" s="133">
        <v>8427</v>
      </c>
      <c r="AA75" s="134" t="str">
        <f>IF(Orte[[#This Row],[Anschrift]]="",Orte[[#This Row],[Kurzform]],RIGHT(Orte[[#This Row],[Anschrift]],LEN(Orte[[#This Row],[Anschrift]])-FIND("#",SUBSTITUTE(Orte[[#This Row],[Anschrift]]," ","#",LEN(Orte[[#This Row],[Anschrift]])-LEN(SUBSTITUTE(Orte[[#This Row],[Anschrift]]," ",))))))</f>
        <v>Fraureuth</v>
      </c>
      <c r="AB75" s="134" t="s">
        <v>300</v>
      </c>
      <c r="AC75" s="6">
        <v>4</v>
      </c>
      <c r="AD75" s="1"/>
    </row>
    <row r="76" spans="5:30" x14ac:dyDescent="0.3">
      <c r="E76" s="60">
        <f t="shared" si="3"/>
        <v>74</v>
      </c>
      <c r="F76" s="61" t="str">
        <f>Chronologie[[#This Row],[Team]]&amp;"-"&amp;Chronologie[[#This Row],[L/P/E]]&amp;"-"&amp;Chronologie[[#This Row],[ST]]</f>
        <v>U14-BEL-1</v>
      </c>
      <c r="G76" s="68">
        <v>45983</v>
      </c>
      <c r="H76" s="61" t="s">
        <v>17</v>
      </c>
      <c r="I76" s="61" t="s">
        <v>739</v>
      </c>
      <c r="J76" s="64">
        <v>1</v>
      </c>
      <c r="K76" s="67" t="s">
        <v>357</v>
      </c>
      <c r="L76" s="72" t="str">
        <f>IF(Chronologie[[#This Row],[H/A]]="A",VLOOKUP(Chronologie[[#This Row],[Gegner]],Orte[],4,FALSE),IF(Chronologie[[#This Row],[H/A]]="H","Hirschfeld",Chronologie[[#This Row],[Gegner]]))</f>
        <v>Lengenfeld</v>
      </c>
      <c r="M76" s="62" t="s">
        <v>74</v>
      </c>
      <c r="N76" s="64">
        <f>Chronologie[[#This Row],[SA-NR]]</f>
        <v>74</v>
      </c>
      <c r="O76" s="64">
        <f ca="1">IF(Chronologie[[#This Row],[Datum]]="","",IF(TODAY()&gt;=Chronologie[[#This Row],[Datum]],1,0))</f>
        <v>1</v>
      </c>
      <c r="P76" s="64">
        <f>IF(COUNTIFS(Eingabe[ID],Chronologie[[#This Row],[ID]],Eingabe[GES],"&gt;0")&gt;=1,1,0)</f>
        <v>1</v>
      </c>
      <c r="Q76" s="75">
        <f>IF(YEAR(Chronologie[[#This Row],[Datum]])=2025,WEEKNUM(Chronologie[[#This Row],[Datum]],2)-34,IF(YEAR(Chronologie[[#This Row],[Datum]])=2026,WEEKNUM(Chronologie[[#This Row],[Datum]],2)+18,""))</f>
        <v>13</v>
      </c>
      <c r="R76" s="87" t="str">
        <f>IF(Chronologie[[#This Row],[Gegner]]="","",VLOOKUP(Chronologie[[#This Row],[Gegner]],Orte[],5,FALSE))</f>
        <v>Lengenfeld</v>
      </c>
      <c r="S76" s="87">
        <f>IF(Chronologie[[#This Row],[Gegner]]="","",IF(Chronologie[[#This Row],[H/A]]="H",4,VLOOKUP(Chronologie[[#This Row],[Gegner]],Orte[],6,FALSE)))</f>
        <v>4</v>
      </c>
      <c r="T76" s="85"/>
      <c r="U76" s="325" t="str">
        <f>IFERROR(TIMEVALUE(LEFT(Chronologie[[#This Row],[Startzeit]],5)),"")</f>
        <v/>
      </c>
      <c r="V76" s="325" t="str">
        <f>IFERROR(TIMEVALUE(LEFT(Chronologie[[#This Row],[Startzeit]],5))+TIME(12/Chronologie[[#This Row],[Bahnen]],0,0),"")</f>
        <v/>
      </c>
      <c r="W76" s="1"/>
      <c r="X76" s="301" t="s">
        <v>357</v>
      </c>
      <c r="Y76" s="301" t="s">
        <v>358</v>
      </c>
      <c r="Z76" s="302">
        <v>8485</v>
      </c>
      <c r="AA76" s="303" t="str">
        <f>IF(Orte[[#This Row],[Anschrift]]="",Orte[[#This Row],[Kurzform]],RIGHT(Orte[[#This Row],[Anschrift]],LEN(Orte[[#This Row],[Anschrift]])-FIND("#",SUBSTITUTE(Orte[[#This Row],[Anschrift]]," ","#",LEN(Orte[[#This Row],[Anschrift]])-LEN(SUBSTITUTE(Orte[[#This Row],[Anschrift]]," ",))))))</f>
        <v>Lengenfeld</v>
      </c>
      <c r="AB76" s="303" t="s">
        <v>363</v>
      </c>
      <c r="AC76" s="6">
        <v>4</v>
      </c>
      <c r="AD76" s="1"/>
    </row>
    <row r="77" spans="5:30" x14ac:dyDescent="0.3">
      <c r="E77" s="60">
        <f t="shared" si="3"/>
        <v>75</v>
      </c>
      <c r="F77" s="61" t="str">
        <f>Chronologie[[#This Row],[Team]]&amp;"-"&amp;Chronologie[[#This Row],[L/P/E]]&amp;"-"&amp;Chronologie[[#This Row],[ST]]</f>
        <v>U14-BEL-2</v>
      </c>
      <c r="G77" s="68">
        <v>46039</v>
      </c>
      <c r="H77" s="61" t="s">
        <v>17</v>
      </c>
      <c r="I77" s="61" t="s">
        <v>739</v>
      </c>
      <c r="J77" s="64">
        <v>2</v>
      </c>
      <c r="K77" s="67" t="s">
        <v>92</v>
      </c>
      <c r="L77" s="72" t="str">
        <f>IF(Chronologie[[#This Row],[H/A]]="A",VLOOKUP(Chronologie[[#This Row],[Gegner]],Orte[],4,FALSE),IF(Chronologie[[#This Row],[H/A]]="H","Hirschfeld",Chronologie[[#This Row],[Gegner]]))</f>
        <v>Pockau-Lengefeld</v>
      </c>
      <c r="M77" s="62" t="s">
        <v>74</v>
      </c>
      <c r="N77" s="64">
        <f>Chronologie[[#This Row],[SA-NR]]</f>
        <v>75</v>
      </c>
      <c r="O77" s="64">
        <f ca="1">IF(Chronologie[[#This Row],[Datum]]="","",IF(TODAY()&gt;=Chronologie[[#This Row],[Datum]],1,0))</f>
        <v>1</v>
      </c>
      <c r="P77" s="64">
        <f>IF(COUNTIFS(Eingabe[ID],Chronologie[[#This Row],[ID]],Eingabe[GES],"&gt;0")&gt;=1,1,0)</f>
        <v>1</v>
      </c>
      <c r="Q77" s="75">
        <f>IF(YEAR(Chronologie[[#This Row],[Datum]])=2025,WEEKNUM(Chronologie[[#This Row],[Datum]],2)-34,IF(YEAR(Chronologie[[#This Row],[Datum]])=2026,WEEKNUM(Chronologie[[#This Row],[Datum]],2)+18,""))</f>
        <v>21</v>
      </c>
      <c r="R77" s="87" t="str">
        <f>IF(Chronologie[[#This Row],[Gegner]]="","",VLOOKUP(Chronologie[[#This Row],[Gegner]],Orte[],5,FALSE))</f>
        <v>Pockau</v>
      </c>
      <c r="S77" s="87">
        <f>IF(Chronologie[[#This Row],[Gegner]]="","",IF(Chronologie[[#This Row],[H/A]]="H",4,VLOOKUP(Chronologie[[#This Row],[Gegner]],Orte[],6,FALSE)))</f>
        <v>4</v>
      </c>
      <c r="T77" s="85"/>
      <c r="U77" s="325" t="str">
        <f>IFERROR(TIMEVALUE(LEFT(Chronologie[[#This Row],[Startzeit]],5)),"")</f>
        <v/>
      </c>
      <c r="V77" s="325" t="str">
        <f>IFERROR(TIMEVALUE(LEFT(Chronologie[[#This Row],[Startzeit]],5))+TIME(12/Chronologie[[#This Row],[Bahnen]],0,0),"")</f>
        <v/>
      </c>
      <c r="W77" s="1"/>
      <c r="X77" s="301" t="s">
        <v>638</v>
      </c>
      <c r="Y77" s="301" t="s">
        <v>639</v>
      </c>
      <c r="Z77" s="302">
        <v>1917</v>
      </c>
      <c r="AA77" s="303" t="str">
        <f>IF(Orte[[#This Row],[Anschrift]]="",Orte[[#This Row],[Kurzform]],RIGHT(Orte[[#This Row],[Anschrift]],LEN(Orte[[#This Row],[Anschrift]])-FIND("#",SUBSTITUTE(Orte[[#This Row],[Anschrift]]," ","#",LEN(Orte[[#This Row],[Anschrift]])-LEN(SUBSTITUTE(Orte[[#This Row],[Anschrift]]," ",))))))</f>
        <v>Kamenz</v>
      </c>
      <c r="AB77" s="399" t="s">
        <v>620</v>
      </c>
      <c r="AC77" s="6">
        <v>4</v>
      </c>
      <c r="AD77" s="1"/>
    </row>
    <row r="78" spans="5:30" x14ac:dyDescent="0.3">
      <c r="E78" s="60">
        <f t="shared" si="3"/>
        <v>76</v>
      </c>
      <c r="F78" s="61" t="str">
        <f>Chronologie[[#This Row],[Team]]&amp;"-"&amp;Chronologie[[#This Row],[L/P/E]]&amp;"-"&amp;Chronologie[[#This Row],[ST]]</f>
        <v>U14-BEL-3</v>
      </c>
      <c r="G78" s="68">
        <v>46088</v>
      </c>
      <c r="H78" s="61" t="s">
        <v>17</v>
      </c>
      <c r="I78" s="61" t="s">
        <v>739</v>
      </c>
      <c r="J78" s="64">
        <v>3</v>
      </c>
      <c r="K78" s="67" t="s">
        <v>85</v>
      </c>
      <c r="L78" s="72" t="str">
        <f>IF(Chronologie[[#This Row],[H/A]]="A",VLOOKUP(Chronologie[[#This Row],[Gegner]],Orte[],4,FALSE),IF(Chronologie[[#This Row],[H/A]]="H","Hirschfeld",Chronologie[[#This Row],[Gegner]]))</f>
        <v>Reinsdorf</v>
      </c>
      <c r="M78" s="62" t="s">
        <v>74</v>
      </c>
      <c r="N78" s="64">
        <f>Chronologie[[#This Row],[SA-NR]]</f>
        <v>76</v>
      </c>
      <c r="O78" s="64">
        <f ca="1">IF(Chronologie[[#This Row],[Datum]]="","",IF(TODAY()&gt;=Chronologie[[#This Row],[Datum]],1,0))</f>
        <v>0</v>
      </c>
      <c r="P78" s="64">
        <f>IF(COUNTIFS(Eingabe[ID],Chronologie[[#This Row],[ID]],Eingabe[GES],"&gt;0")&gt;=1,1,0)</f>
        <v>0</v>
      </c>
      <c r="Q78" s="75">
        <f>IF(YEAR(Chronologie[[#This Row],[Datum]])=2025,WEEKNUM(Chronologie[[#This Row],[Datum]],2)-34,IF(YEAR(Chronologie[[#This Row],[Datum]])=2026,WEEKNUM(Chronologie[[#This Row],[Datum]],2)+18,""))</f>
        <v>28</v>
      </c>
      <c r="R78" s="87" t="str">
        <f>IF(Chronologie[[#This Row],[Gegner]]="","",VLOOKUP(Chronologie[[#This Row],[Gegner]],Orte[],5,FALSE))</f>
        <v>Reinsdorf</v>
      </c>
      <c r="S78" s="87">
        <f>IF(Chronologie[[#This Row],[Gegner]]="","",IF(Chronologie[[#This Row],[H/A]]="H",4,VLOOKUP(Chronologie[[#This Row],[Gegner]],Orte[],6,FALSE)))</f>
        <v>4</v>
      </c>
      <c r="T78" s="85"/>
      <c r="U78" s="325" t="str">
        <f>IFERROR(TIMEVALUE(LEFT(Chronologie[[#This Row],[Startzeit]],5)),"")</f>
        <v/>
      </c>
      <c r="V78" s="325" t="str">
        <f>IFERROR(TIMEVALUE(LEFT(Chronologie[[#This Row],[Startzeit]],5))+TIME(12/Chronologie[[#This Row],[Bahnen]],0,0),"")</f>
        <v/>
      </c>
      <c r="W78" s="1"/>
      <c r="X78" s="301" t="s">
        <v>640</v>
      </c>
      <c r="Y78" s="301" t="s">
        <v>641</v>
      </c>
      <c r="Z78" s="302">
        <v>81547</v>
      </c>
      <c r="AA78" s="303" t="str">
        <f>IF(Orte[[#This Row],[Anschrift]]="",Orte[[#This Row],[Kurzform]],RIGHT(Orte[[#This Row],[Anschrift]],LEN(Orte[[#This Row],[Anschrift]])-FIND("#",SUBSTITUTE(Orte[[#This Row],[Anschrift]]," ","#",LEN(Orte[[#This Row],[Anschrift]])-LEN(SUBSTITUTE(Orte[[#This Row],[Anschrift]]," ",))))))</f>
        <v>München</v>
      </c>
      <c r="AB78" s="399" t="s">
        <v>623</v>
      </c>
      <c r="AC78" s="6">
        <v>18</v>
      </c>
      <c r="AD78" s="1"/>
    </row>
    <row r="79" spans="5:30" x14ac:dyDescent="0.3">
      <c r="E79" s="60">
        <f t="shared" ref="E79:E83" si="5">ROW(E79)-2</f>
        <v>77</v>
      </c>
      <c r="F79" s="61" t="str">
        <f>Chronologie[[#This Row],[Team]]&amp;"-"&amp;Chronologie[[#This Row],[L/P/E]]&amp;"-"&amp;Chronologie[[#This Row],[ST]]</f>
        <v>U14-BEL-4</v>
      </c>
      <c r="G79" s="68">
        <v>46123</v>
      </c>
      <c r="H79" s="61" t="s">
        <v>17</v>
      </c>
      <c r="I79" s="61" t="s">
        <v>739</v>
      </c>
      <c r="J79" s="64">
        <v>4</v>
      </c>
      <c r="K79" s="67" t="s">
        <v>175</v>
      </c>
      <c r="L79" s="72" t="str">
        <f>IF(Chronologie[[#This Row],[H/A]]="A",VLOOKUP(Chronologie[[#This Row],[Gegner]],Orte[],4,FALSE),IF(Chronologie[[#This Row],[H/A]]="H","Hirschfeld",Chronologie[[#This Row],[Gegner]]))</f>
        <v>Hirschfeld</v>
      </c>
      <c r="M79" s="62" t="s">
        <v>72</v>
      </c>
      <c r="N79" s="64">
        <f>Chronologie[[#This Row],[SA-NR]]</f>
        <v>77</v>
      </c>
      <c r="O79" s="64">
        <f ca="1">IF(Chronologie[[#This Row],[Datum]]="","",IF(TODAY()&gt;=Chronologie[[#This Row],[Datum]],1,0))</f>
        <v>0</v>
      </c>
      <c r="P79" s="64">
        <f>IF(COUNTIFS(Eingabe[ID],Chronologie[[#This Row],[ID]],Eingabe[GES],"&gt;0")&gt;=1,1,0)</f>
        <v>0</v>
      </c>
      <c r="Q79" s="75">
        <f>IF(YEAR(Chronologie[[#This Row],[Datum]])=2025,WEEKNUM(Chronologie[[#This Row],[Datum]],2)-34,IF(YEAR(Chronologie[[#This Row],[Datum]])=2026,WEEKNUM(Chronologie[[#This Row],[Datum]],2)+18,""))</f>
        <v>33</v>
      </c>
      <c r="R79" s="87" t="str">
        <f>IF(Chronologie[[#This Row],[Gegner]]="","",VLOOKUP(Chronologie[[#This Row],[Gegner]],Orte[],5,FALSE))</f>
        <v>HSV</v>
      </c>
      <c r="S79" s="87">
        <f>IF(Chronologie[[#This Row],[Gegner]]="","",IF(Chronologie[[#This Row],[H/A]]="H",4,VLOOKUP(Chronologie[[#This Row],[Gegner]],Orte[],6,FALSE)))</f>
        <v>4</v>
      </c>
      <c r="T79" s="85"/>
      <c r="U79" s="325" t="str">
        <f>IFERROR(TIMEVALUE(LEFT(Chronologie[[#This Row],[Startzeit]],5)),"")</f>
        <v/>
      </c>
      <c r="V79" s="325" t="str">
        <f>IFERROR(TIMEVALUE(LEFT(Chronologie[[#This Row],[Startzeit]],5))+TIME(12/Chronologie[[#This Row],[Bahnen]],0,0),"")</f>
        <v/>
      </c>
      <c r="W79" s="1"/>
      <c r="X79" s="301" t="s">
        <v>642</v>
      </c>
      <c r="Y79" s="301" t="s">
        <v>643</v>
      </c>
      <c r="Z79" s="302">
        <v>9376</v>
      </c>
      <c r="AA79" s="303" t="str">
        <f>IF(Orte[[#This Row],[Anschrift]]="",Orte[[#This Row],[Kurzform]],RIGHT(Orte[[#This Row],[Anschrift]],LEN(Orte[[#This Row],[Anschrift]])-FIND("#",SUBSTITUTE(Orte[[#This Row],[Anschrift]]," ","#",LEN(Orte[[#This Row],[Anschrift]])-LEN(SUBSTITUTE(Orte[[#This Row],[Anschrift]]," ",))))))</f>
        <v>Oelsnitz/Erzgebirge</v>
      </c>
      <c r="AB79" s="399" t="s">
        <v>619</v>
      </c>
      <c r="AC79" s="6">
        <v>4</v>
      </c>
      <c r="AD79" s="1"/>
    </row>
    <row r="80" spans="5:30" x14ac:dyDescent="0.3">
      <c r="E80" s="60">
        <f t="shared" si="5"/>
        <v>78</v>
      </c>
      <c r="F80" s="61" t="str">
        <f>Chronologie[[#This Row],[Team]]&amp;"-"&amp;Chronologie[[#This Row],[L/P/E]]&amp;"-"&amp;Chronologie[[#This Row],[ST]]</f>
        <v>U19-RLT-1</v>
      </c>
      <c r="G80" s="68">
        <v>45970</v>
      </c>
      <c r="H80" s="61" t="s">
        <v>795</v>
      </c>
      <c r="I80" s="61" t="s">
        <v>740</v>
      </c>
      <c r="J80" s="64">
        <v>1</v>
      </c>
      <c r="K80" s="67" t="s">
        <v>175</v>
      </c>
      <c r="L80" s="72" t="str">
        <f>IF(Chronologie[[#This Row],[H/A]]="A",VLOOKUP(Chronologie[[#This Row],[Gegner]],Orte[],4,FALSE),IF(Chronologie[[#This Row],[H/A]]="H","Hirschfeld",Chronologie[[#This Row],[Gegner]]))</f>
        <v>Hirschfeld</v>
      </c>
      <c r="M80" s="62" t="s">
        <v>72</v>
      </c>
      <c r="N80" s="64">
        <f>Chronologie[[#This Row],[SA-NR]]</f>
        <v>78</v>
      </c>
      <c r="O80" s="64">
        <f ca="1">IF(Chronologie[[#This Row],[Datum]]="","",IF(TODAY()&gt;=Chronologie[[#This Row],[Datum]],1,0))</f>
        <v>1</v>
      </c>
      <c r="P80" s="64">
        <f>IF(COUNTIFS(Eingabe[ID],Chronologie[[#This Row],[ID]],Eingabe[GES],"&gt;0")&gt;=1,1,0)</f>
        <v>1</v>
      </c>
      <c r="Q80" s="75">
        <f>IF(YEAR(Chronologie[[#This Row],[Datum]])=2025,WEEKNUM(Chronologie[[#This Row],[Datum]],2)-34,IF(YEAR(Chronologie[[#This Row],[Datum]])=2026,WEEKNUM(Chronologie[[#This Row],[Datum]],2)+18,""))</f>
        <v>11</v>
      </c>
      <c r="R80" s="87" t="str">
        <f>IF(Chronologie[[#This Row],[Gegner]]="","",VLOOKUP(Chronologie[[#This Row],[Gegner]],Orte[],5,FALSE))</f>
        <v>HSV</v>
      </c>
      <c r="S80" s="87">
        <f>IF(Chronologie[[#This Row],[Gegner]]="","",IF(Chronologie[[#This Row],[H/A]]="H",4,VLOOKUP(Chronologie[[#This Row],[Gegner]],Orte[],6,FALSE)))</f>
        <v>4</v>
      </c>
      <c r="T80" s="85"/>
      <c r="U80" s="325" t="str">
        <f>IFERROR(TIMEVALUE(LEFT(Chronologie[[#This Row],[Startzeit]],5)),"")</f>
        <v/>
      </c>
      <c r="V80" s="325" t="str">
        <f>IFERROR(TIMEVALUE(LEFT(Chronologie[[#This Row],[Startzeit]],5))+TIME(12/Chronologie[[#This Row],[Bahnen]],0,0),"")</f>
        <v/>
      </c>
      <c r="W80" s="1"/>
      <c r="X80" s="301" t="s">
        <v>662</v>
      </c>
      <c r="Y80" s="301" t="s">
        <v>401</v>
      </c>
      <c r="Z80" s="302">
        <v>8060</v>
      </c>
      <c r="AA80" s="303" t="str">
        <f>IF(Orte[[#This Row],[Anschrift]]="",Orte[[#This Row],[Kurzform]],RIGHT(Orte[[#This Row],[Anschrift]],LEN(Orte[[#This Row],[Anschrift]])-FIND("#",SUBSTITUTE(Orte[[#This Row],[Anschrift]]," ","#",LEN(Orte[[#This Row],[Anschrift]])-LEN(SUBSTITUTE(Orte[[#This Row],[Anschrift]]," ",))))))</f>
        <v>Zwickau</v>
      </c>
      <c r="AB80" s="399" t="s">
        <v>644</v>
      </c>
      <c r="AC80" s="6">
        <v>6</v>
      </c>
      <c r="AD80" s="1"/>
    </row>
    <row r="81" spans="5:30" x14ac:dyDescent="0.3">
      <c r="E81" s="60">
        <f t="shared" si="5"/>
        <v>79</v>
      </c>
      <c r="F81" s="61" t="str">
        <f>Chronologie[[#This Row],[Team]]&amp;"-"&amp;Chronologie[[#This Row],[L/P/E]]&amp;"-"&amp;Chronologie[[#This Row],[ST]]</f>
        <v>U19-RLT-2</v>
      </c>
      <c r="G81" s="68">
        <v>45991</v>
      </c>
      <c r="H81" s="61" t="s">
        <v>795</v>
      </c>
      <c r="I81" s="61" t="s">
        <v>740</v>
      </c>
      <c r="J81" s="64">
        <v>2</v>
      </c>
      <c r="K81" s="67" t="s">
        <v>359</v>
      </c>
      <c r="L81" s="72" t="str">
        <f>IF(Chronologie[[#This Row],[H/A]]="A",VLOOKUP(Chronologie[[#This Row],[Gegner]],Orte[],4,FALSE),IF(Chronologie[[#This Row],[H/A]]="H","Hirschfeld",Chronologie[[#This Row],[Gegner]]))</f>
        <v>Mittweida</v>
      </c>
      <c r="M81" s="62" t="s">
        <v>74</v>
      </c>
      <c r="N81" s="64">
        <f>Chronologie[[#This Row],[SA-NR]]</f>
        <v>79</v>
      </c>
      <c r="O81" s="64">
        <f ca="1">IF(Chronologie[[#This Row],[Datum]]="","",IF(TODAY()&gt;=Chronologie[[#This Row],[Datum]],1,0))</f>
        <v>1</v>
      </c>
      <c r="P81" s="64">
        <f>IF(COUNTIFS(Eingabe[ID],Chronologie[[#This Row],[ID]],Eingabe[GES],"&gt;0")&gt;=1,1,0)</f>
        <v>1</v>
      </c>
      <c r="Q81" s="75">
        <f>IF(YEAR(Chronologie[[#This Row],[Datum]])=2025,WEEKNUM(Chronologie[[#This Row],[Datum]],2)-34,IF(YEAR(Chronologie[[#This Row],[Datum]])=2026,WEEKNUM(Chronologie[[#This Row],[Datum]],2)+18,""))</f>
        <v>14</v>
      </c>
      <c r="R81" s="87" t="str">
        <f>IF(Chronologie[[#This Row],[Gegner]]="","",VLOOKUP(Chronologie[[#This Row],[Gegner]],Orte[],5,FALSE))</f>
        <v>Mittweida</v>
      </c>
      <c r="S81" s="87">
        <f>IF(Chronologie[[#This Row],[Gegner]]="","",IF(Chronologie[[#This Row],[H/A]]="H",4,VLOOKUP(Chronologie[[#This Row],[Gegner]],Orte[],6,FALSE)))</f>
        <v>4</v>
      </c>
      <c r="T81" s="85"/>
      <c r="U81" s="325" t="str">
        <f>IFERROR(TIMEVALUE(LEFT(Chronologie[[#This Row],[Startzeit]],5)),"")</f>
        <v/>
      </c>
      <c r="V81" s="325" t="str">
        <f>IFERROR(TIMEVALUE(LEFT(Chronologie[[#This Row],[Startzeit]],5))+TIME(12/Chronologie[[#This Row],[Bahnen]],0,0),"")</f>
        <v/>
      </c>
      <c r="W81" s="1"/>
      <c r="X81" s="301" t="s">
        <v>645</v>
      </c>
      <c r="Y81" s="301" t="s">
        <v>646</v>
      </c>
      <c r="Z81" s="302">
        <v>79110</v>
      </c>
      <c r="AA81" s="303" t="str">
        <f>IF(Orte[[#This Row],[Anschrift]]="",Orte[[#This Row],[Kurzform]],RIGHT(Orte[[#This Row],[Anschrift]],LEN(Orte[[#This Row],[Anschrift]])-FIND("#",SUBSTITUTE(Orte[[#This Row],[Anschrift]]," ","#",LEN(Orte[[#This Row],[Anschrift]])-LEN(SUBSTITUTE(Orte[[#This Row],[Anschrift]]," ",))))))</f>
        <v>Freiburg</v>
      </c>
      <c r="AB81" s="399" t="s">
        <v>618</v>
      </c>
      <c r="AC81" s="6">
        <v>8</v>
      </c>
      <c r="AD81" s="1"/>
    </row>
    <row r="82" spans="5:30" x14ac:dyDescent="0.3">
      <c r="E82" s="60">
        <f t="shared" si="5"/>
        <v>80</v>
      </c>
      <c r="F82" s="61" t="str">
        <f>Chronologie[[#This Row],[Team]]&amp;"-"&amp;Chronologie[[#This Row],[L/P/E]]&amp;"-"&amp;Chronologie[[#This Row],[ST]]</f>
        <v>U19-RLT-3</v>
      </c>
      <c r="G82" s="68"/>
      <c r="H82" s="61" t="s">
        <v>795</v>
      </c>
      <c r="I82" s="61" t="s">
        <v>740</v>
      </c>
      <c r="J82" s="64">
        <v>3</v>
      </c>
      <c r="K82" s="67"/>
      <c r="L82" s="72">
        <f>IF(Chronologie[[#This Row],[H/A]]="A",VLOOKUP(Chronologie[[#This Row],[Gegner]],Orte[],4,FALSE),IF(Chronologie[[#This Row],[H/A]]="H","Hirschfeld",Chronologie[[#This Row],[Gegner]]))</f>
        <v>0</v>
      </c>
      <c r="M82" s="62"/>
      <c r="N82" s="64">
        <f>Chronologie[[#This Row],[SA-NR]]</f>
        <v>80</v>
      </c>
      <c r="O82" s="64" t="str">
        <f ca="1">IF(Chronologie[[#This Row],[Datum]]="","",IF(TODAY()&gt;=Chronologie[[#This Row],[Datum]],1,0))</f>
        <v/>
      </c>
      <c r="P82" s="64">
        <f>IF(COUNTIFS(Eingabe[ID],Chronologie[[#This Row],[ID]],Eingabe[GES],"&gt;0")&gt;=1,1,0)</f>
        <v>0</v>
      </c>
      <c r="Q82" s="75" t="str">
        <f>IF(YEAR(Chronologie[[#This Row],[Datum]])=2025,WEEKNUM(Chronologie[[#This Row],[Datum]],2)-34,IF(YEAR(Chronologie[[#This Row],[Datum]])=2026,WEEKNUM(Chronologie[[#This Row],[Datum]],2)+18,""))</f>
        <v/>
      </c>
      <c r="R82" s="87" t="str">
        <f>IF(Chronologie[[#This Row],[Gegner]]="","",VLOOKUP(Chronologie[[#This Row],[Gegner]],Orte[],5,FALSE))</f>
        <v/>
      </c>
      <c r="S82" s="87" t="str">
        <f>IF(Chronologie[[#This Row],[Gegner]]="","",IF(Chronologie[[#This Row],[H/A]]="H",4,VLOOKUP(Chronologie[[#This Row],[Gegner]],Orte[],6,FALSE)))</f>
        <v/>
      </c>
      <c r="T82" s="85"/>
      <c r="U82" s="325" t="str">
        <f>IFERROR(TIMEVALUE(LEFT(Chronologie[[#This Row],[Startzeit]],5)),"")</f>
        <v/>
      </c>
      <c r="V82" s="325" t="str">
        <f>IFERROR(TIMEVALUE(LEFT(Chronologie[[#This Row],[Startzeit]],5))+TIME(12/Chronologie[[#This Row],[Bahnen]],0,0),"")</f>
        <v/>
      </c>
      <c r="W82" s="1"/>
      <c r="X82" s="301" t="s">
        <v>664</v>
      </c>
      <c r="Y82" s="132" t="s">
        <v>216</v>
      </c>
      <c r="Z82" s="302">
        <v>9618</v>
      </c>
      <c r="AA82" s="303" t="str">
        <f>IF(Orte[[#This Row],[Anschrift]]="",Orte[[#This Row],[Kurzform]],RIGHT(Orte[[#This Row],[Anschrift]],LEN(Orte[[#This Row],[Anschrift]])-FIND("#",SUBSTITUTE(Orte[[#This Row],[Anschrift]]," ","#",LEN(Orte[[#This Row],[Anschrift]])-LEN(SUBSTITUTE(Orte[[#This Row],[Anschrift]]," ",))))))</f>
        <v>Brand-Erbisdorf</v>
      </c>
      <c r="AB82" s="399" t="s">
        <v>245</v>
      </c>
      <c r="AC82" s="6">
        <v>4</v>
      </c>
      <c r="AD82" s="1"/>
    </row>
    <row r="83" spans="5:30" x14ac:dyDescent="0.3">
      <c r="E83" s="60">
        <f t="shared" si="5"/>
        <v>81</v>
      </c>
      <c r="F83" s="61" t="str">
        <f>Chronologie[[#This Row],[Team]]&amp;"-"&amp;Chronologie[[#This Row],[L/P/E]]&amp;"-"&amp;Chronologie[[#This Row],[ST]]</f>
        <v>E-P-1</v>
      </c>
      <c r="G83" s="68">
        <v>45983</v>
      </c>
      <c r="H83" s="61" t="s">
        <v>4</v>
      </c>
      <c r="I83" s="61" t="s">
        <v>742</v>
      </c>
      <c r="J83" s="64">
        <v>1</v>
      </c>
      <c r="K83" s="67" t="s">
        <v>743</v>
      </c>
      <c r="L83" s="72" t="str">
        <f>IF(Chronologie[[#This Row],[H/A]]="A",VLOOKUP(Chronologie[[#This Row],[Gegner]],Orte[],4,FALSE),IF(Chronologie[[#This Row],[H/A]]="H","Hirschfeld",Chronologie[[#This Row],[Gegner]]))</f>
        <v>Leipzig</v>
      </c>
      <c r="M83" s="62" t="s">
        <v>74</v>
      </c>
      <c r="N83" s="64">
        <f>Chronologie[[#This Row],[SA-NR]]</f>
        <v>81</v>
      </c>
      <c r="O83" s="64">
        <f ca="1">IF(Chronologie[[#This Row],[Datum]]="","",IF(TODAY()&gt;=Chronologie[[#This Row],[Datum]],1,0))</f>
        <v>1</v>
      </c>
      <c r="P83" s="64">
        <f>IF(COUNTIFS(Eingabe[ID],Chronologie[[#This Row],[ID]],Eingabe[GES],"&gt;0")&gt;=1,1,0)</f>
        <v>1</v>
      </c>
      <c r="Q83" s="75">
        <f>IF(YEAR(Chronologie[[#This Row],[Datum]])=2025,WEEKNUM(Chronologie[[#This Row],[Datum]],2)-34,IF(YEAR(Chronologie[[#This Row],[Datum]])=2026,WEEKNUM(Chronologie[[#This Row],[Datum]],2)+18,""))</f>
        <v>13</v>
      </c>
      <c r="R83" s="87" t="str">
        <f>IF(Chronologie[[#This Row],[Gegner]]="","",VLOOKUP(Chronologie[[#This Row],[Gegner]],Orte[],5,FALSE))</f>
        <v>Dölzig</v>
      </c>
      <c r="S83" s="87">
        <f>IF(Chronologie[[#This Row],[Gegner]]="","",IF(Chronologie[[#This Row],[H/A]]="H",4,VLOOKUP(Chronologie[[#This Row],[Gegner]],Orte[],6,FALSE)))</f>
        <v>4</v>
      </c>
      <c r="T83" s="85"/>
      <c r="U83" s="325" t="str">
        <f>IFERROR(TIMEVALUE(LEFT(Chronologie[[#This Row],[Startzeit]],5)),"")</f>
        <v/>
      </c>
      <c r="V83" s="325" t="str">
        <f>IFERROR(TIMEVALUE(LEFT(Chronologie[[#This Row],[Startzeit]],5))+TIME(12/Chronologie[[#This Row],[Bahnen]],0,0),"")</f>
        <v/>
      </c>
      <c r="W83" s="1"/>
      <c r="X83" s="301" t="s">
        <v>665</v>
      </c>
      <c r="Y83" s="132" t="s">
        <v>195</v>
      </c>
      <c r="Z83" s="133">
        <v>8371</v>
      </c>
      <c r="AA83" s="303" t="str">
        <f>IF(Orte[[#This Row],[Anschrift]]="",Orte[[#This Row],[Kurzform]],RIGHT(Orte[[#This Row],[Anschrift]],LEN(Orte[[#This Row],[Anschrift]])-FIND("#",SUBSTITUTE(Orte[[#This Row],[Anschrift]]," ","#",LEN(Orte[[#This Row],[Anschrift]])-LEN(SUBSTITUTE(Orte[[#This Row],[Anschrift]]," ",))))))</f>
        <v>Glauchau</v>
      </c>
      <c r="AB83" s="399" t="s">
        <v>666</v>
      </c>
      <c r="AC83" s="6">
        <v>4</v>
      </c>
      <c r="AD83" s="1"/>
    </row>
    <row r="84" spans="5:30" x14ac:dyDescent="0.3">
      <c r="E84" s="60">
        <f>ROW(E84)-2</f>
        <v>82</v>
      </c>
      <c r="F84" s="61" t="str">
        <f>Chronologie[[#This Row],[Team]]&amp;"-"&amp;Chronologie[[#This Row],[L/P/E]]&amp;"-"&amp;Chronologie[[#This Row],[ST]]</f>
        <v>E-DKBC-Pokal-3</v>
      </c>
      <c r="G84" s="68">
        <v>45997</v>
      </c>
      <c r="H84" s="61" t="s">
        <v>4</v>
      </c>
      <c r="I84" s="61" t="s">
        <v>685</v>
      </c>
      <c r="J84" s="64">
        <v>3</v>
      </c>
      <c r="K84" s="67" t="s">
        <v>746</v>
      </c>
      <c r="L84" s="72" t="str">
        <f>IF(Chronologie[[#This Row],[H/A]]="A",VLOOKUP(Chronologie[[#This Row],[Gegner]],Orte[],4,FALSE),IF(Chronologie[[#This Row],[H/A]]="H","Hirschfeld",Chronologie[[#This Row],[Gegner]]))</f>
        <v>Köthen</v>
      </c>
      <c r="M84" s="62" t="s">
        <v>74</v>
      </c>
      <c r="N84" s="64">
        <f>Chronologie[[#This Row],[SA-NR]]</f>
        <v>82</v>
      </c>
      <c r="O84" s="64">
        <f ca="1">IF(Chronologie[[#This Row],[Datum]]="","",IF(TODAY()&gt;=Chronologie[[#This Row],[Datum]],1,0))</f>
        <v>1</v>
      </c>
      <c r="P84" s="64">
        <f>IF(COUNTIFS(Eingabe[ID],Chronologie[[#This Row],[ID]],Eingabe[GES],"&gt;0")&gt;=1,1,0)</f>
        <v>1</v>
      </c>
      <c r="Q84" s="75">
        <f>IF(YEAR(Chronologie[[#This Row],[Datum]])=2025,WEEKNUM(Chronologie[[#This Row],[Datum]],2)-34,IF(YEAR(Chronologie[[#This Row],[Datum]])=2026,WEEKNUM(Chronologie[[#This Row],[Datum]],2)+18,""))</f>
        <v>15</v>
      </c>
      <c r="R84" s="87" t="str">
        <f>IF(Chronologie[[#This Row],[Gegner]]="","",VLOOKUP(Chronologie[[#This Row],[Gegner]],Orte[],5,FALSE))</f>
        <v>Köthen</v>
      </c>
      <c r="S84" s="87">
        <f>IF(Chronologie[[#This Row],[Gegner]]="","",IF(Chronologie[[#This Row],[H/A]]="H",4,VLOOKUP(Chronologie[[#This Row],[Gegner]],Orte[],6,FALSE)))</f>
        <v>4</v>
      </c>
      <c r="T84" s="85" t="s">
        <v>549</v>
      </c>
      <c r="U84" s="325">
        <f>IFERROR(TIMEVALUE(LEFT(Chronologie[[#This Row],[Startzeit]],5)),"")</f>
        <v>0.5625</v>
      </c>
      <c r="V84" s="325">
        <f>IFERROR(TIMEVALUE(LEFT(Chronologie[[#This Row],[Startzeit]],5))+TIME(12/Chronologie[[#This Row],[Bahnen]],0,0),"")</f>
        <v>0.6875</v>
      </c>
      <c r="W84" s="1"/>
      <c r="X84" s="301" t="s">
        <v>671</v>
      </c>
      <c r="Y84" s="301" t="s">
        <v>741</v>
      </c>
      <c r="Z84" s="302">
        <v>2827</v>
      </c>
      <c r="AA84" s="303" t="str">
        <f>IF(Orte[[#This Row],[Anschrift]]="",Orte[[#This Row],[Kurzform]],RIGHT(Orte[[#This Row],[Anschrift]],LEN(Orte[[#This Row],[Anschrift]])-FIND("#",SUBSTITUTE(Orte[[#This Row],[Anschrift]]," ","#",LEN(Orte[[#This Row],[Anschrift]])-LEN(SUBSTITUTE(Orte[[#This Row],[Anschrift]]," ",))))))</f>
        <v>Hagenwerder</v>
      </c>
      <c r="AB84" s="399" t="s">
        <v>672</v>
      </c>
      <c r="AC84" s="6">
        <v>4</v>
      </c>
      <c r="AD84" s="1"/>
    </row>
    <row r="85" spans="5:30" x14ac:dyDescent="0.3">
      <c r="E85" s="60">
        <f>ROW(E85)-2</f>
        <v>83</v>
      </c>
      <c r="F85" s="61" t="str">
        <f>Chronologie[[#This Row],[Team]]&amp;"-"&amp;Chronologie[[#This Row],[L/P/E]]&amp;"-"&amp;Chronologie[[#This Row],[ST]]</f>
        <v>U14-KEM-V</v>
      </c>
      <c r="G85" s="68">
        <v>46025</v>
      </c>
      <c r="H85" s="61" t="s">
        <v>17</v>
      </c>
      <c r="I85" s="61" t="s">
        <v>756</v>
      </c>
      <c r="J85" s="64" t="s">
        <v>757</v>
      </c>
      <c r="K85" s="67" t="s">
        <v>175</v>
      </c>
      <c r="L85" s="72" t="str">
        <f>IF(Chronologie[[#This Row],[H/A]]="A",VLOOKUP(Chronologie[[#This Row],[Gegner]],Orte[],4,FALSE),IF(Chronologie[[#This Row],[H/A]]="H","Hirschfeld",Chronologie[[#This Row],[Gegner]]))</f>
        <v>Hirschfeld</v>
      </c>
      <c r="M85" s="62" t="s">
        <v>72</v>
      </c>
      <c r="N85" s="64">
        <f>Chronologie[[#This Row],[SA-NR]]</f>
        <v>83</v>
      </c>
      <c r="O85" s="64">
        <f ca="1">IF(Chronologie[[#This Row],[Datum]]="","",IF(TODAY()&gt;=Chronologie[[#This Row],[Datum]],1,0))</f>
        <v>1</v>
      </c>
      <c r="P85" s="64">
        <f>IF(COUNTIFS(Eingabe[ID],Chronologie[[#This Row],[ID]],Eingabe[GES],"&gt;0")&gt;=1,1,0)</f>
        <v>1</v>
      </c>
      <c r="Q85" s="75">
        <f>IF(YEAR(Chronologie[[#This Row],[Datum]])=2025,WEEKNUM(Chronologie[[#This Row],[Datum]],2)-34,IF(YEAR(Chronologie[[#This Row],[Datum]])=2026,WEEKNUM(Chronologie[[#This Row],[Datum]],2)+18,""))</f>
        <v>19</v>
      </c>
      <c r="R85" s="87" t="str">
        <f>IF(Chronologie[[#This Row],[Gegner]]="","",VLOOKUP(Chronologie[[#This Row],[Gegner]],Orte[],5,FALSE))</f>
        <v>HSV</v>
      </c>
      <c r="S85" s="87">
        <f>IF(Chronologie[[#This Row],[Gegner]]="","",IF(Chronologie[[#This Row],[H/A]]="H",4,VLOOKUP(Chronologie[[#This Row],[Gegner]],Orte[],6,FALSE)))</f>
        <v>4</v>
      </c>
      <c r="T85" s="85"/>
      <c r="U85" s="325" t="str">
        <f>IFERROR(TIMEVALUE(LEFT(Chronologie[[#This Row],[Startzeit]],5)),"")</f>
        <v/>
      </c>
      <c r="V85" s="325" t="str">
        <f>IFERROR(TIMEVALUE(LEFT(Chronologie[[#This Row],[Startzeit]],5))+TIME(12/Chronologie[[#This Row],[Bahnen]],0,0),"")</f>
        <v/>
      </c>
      <c r="W85" s="1"/>
      <c r="X85" s="301" t="s">
        <v>673</v>
      </c>
      <c r="Y85" s="301" t="s">
        <v>681</v>
      </c>
      <c r="Z85" s="302">
        <v>2625</v>
      </c>
      <c r="AA85" s="303" t="str">
        <f>IF(Orte[[#This Row],[Anschrift]]="",Orte[[#This Row],[Kurzform]],RIGHT(Orte[[#This Row],[Anschrift]],LEN(Orte[[#This Row],[Anschrift]])-FIND("#",SUBSTITUTE(Orte[[#This Row],[Anschrift]]," ","#",LEN(Orte[[#This Row],[Anschrift]])-LEN(SUBSTITUTE(Orte[[#This Row],[Anschrift]]," ",))))))</f>
        <v>Bautzen</v>
      </c>
      <c r="AB85" s="399" t="s">
        <v>675</v>
      </c>
      <c r="AC85" s="6">
        <v>4</v>
      </c>
      <c r="AD85" s="1"/>
    </row>
    <row r="86" spans="5:30" x14ac:dyDescent="0.3">
      <c r="E86" s="60">
        <f t="shared" ref="E86:E105" si="6">ROW(E86)-2</f>
        <v>84</v>
      </c>
      <c r="F86" s="61" t="str">
        <f>Chronologie[[#This Row],[Team]]&amp;"-"&amp;Chronologie[[#This Row],[L/P/E]]&amp;"-"&amp;Chronologie[[#This Row],[ST]]</f>
        <v>U19-KEM-V</v>
      </c>
      <c r="G86" s="68">
        <v>46025</v>
      </c>
      <c r="H86" s="61" t="s">
        <v>795</v>
      </c>
      <c r="I86" s="61" t="s">
        <v>756</v>
      </c>
      <c r="J86" s="64" t="s">
        <v>757</v>
      </c>
      <c r="K86" s="67" t="s">
        <v>175</v>
      </c>
      <c r="L86" s="72" t="str">
        <f>IF(Chronologie[[#This Row],[H/A]]="A",VLOOKUP(Chronologie[[#This Row],[Gegner]],Orte[],4,FALSE),IF(Chronologie[[#This Row],[H/A]]="H","Hirschfeld",Chronologie[[#This Row],[Gegner]]))</f>
        <v>Hirschfeld</v>
      </c>
      <c r="M86" s="62" t="s">
        <v>72</v>
      </c>
      <c r="N86" s="64">
        <f>Chronologie[[#This Row],[SA-NR]]</f>
        <v>84</v>
      </c>
      <c r="O86" s="64">
        <f ca="1">IF(Chronologie[[#This Row],[Datum]]="","",IF(TODAY()&gt;=Chronologie[[#This Row],[Datum]],1,0))</f>
        <v>1</v>
      </c>
      <c r="P86" s="64">
        <f>IF(COUNTIFS(Eingabe[ID],Chronologie[[#This Row],[ID]],Eingabe[GES],"&gt;0")&gt;=1,1,0)</f>
        <v>1</v>
      </c>
      <c r="Q86" s="75">
        <f>IF(YEAR(Chronologie[[#This Row],[Datum]])=2025,WEEKNUM(Chronologie[[#This Row],[Datum]],2)-34,IF(YEAR(Chronologie[[#This Row],[Datum]])=2026,WEEKNUM(Chronologie[[#This Row],[Datum]],2)+18,""))</f>
        <v>19</v>
      </c>
      <c r="R86" s="87" t="str">
        <f>IF(Chronologie[[#This Row],[Gegner]]="","",VLOOKUP(Chronologie[[#This Row],[Gegner]],Orte[],5,FALSE))</f>
        <v>HSV</v>
      </c>
      <c r="S86" s="87">
        <f>IF(Chronologie[[#This Row],[Gegner]]="","",IF(Chronologie[[#This Row],[H/A]]="H",4,VLOOKUP(Chronologie[[#This Row],[Gegner]],Orte[],6,FALSE)))</f>
        <v>4</v>
      </c>
      <c r="T86" s="85"/>
      <c r="U86" s="325" t="str">
        <f>IFERROR(TIMEVALUE(LEFT(Chronologie[[#This Row],[Startzeit]],5)),"")</f>
        <v/>
      </c>
      <c r="V86" s="325" t="str">
        <f>IFERROR(TIMEVALUE(LEFT(Chronologie[[#This Row],[Startzeit]],5))+TIME(12/Chronologie[[#This Row],[Bahnen]],0,0),"")</f>
        <v/>
      </c>
      <c r="W86" s="1"/>
      <c r="X86" s="301" t="s">
        <v>674</v>
      </c>
      <c r="Y86" s="301" t="s">
        <v>680</v>
      </c>
      <c r="Z86" s="302">
        <v>9366</v>
      </c>
      <c r="AA86" s="303" t="str">
        <f>IF(Orte[[#This Row],[Anschrift]]="",Orte[[#This Row],[Kurzform]],RIGHT(Orte[[#This Row],[Anschrift]],LEN(Orte[[#This Row],[Anschrift]])-FIND("#",SUBSTITUTE(Orte[[#This Row],[Anschrift]]," ","#",LEN(Orte[[#This Row],[Anschrift]])-LEN(SUBSTITUTE(Orte[[#This Row],[Anschrift]]," ",))))))</f>
        <v>Stollberg</v>
      </c>
      <c r="AB86" s="399" t="s">
        <v>676</v>
      </c>
      <c r="AC86" s="6">
        <v>4</v>
      </c>
      <c r="AD86" s="1"/>
    </row>
    <row r="87" spans="5:30" x14ac:dyDescent="0.3">
      <c r="E87" s="60">
        <f t="shared" si="6"/>
        <v>85</v>
      </c>
      <c r="F87" s="61" t="str">
        <f>Chronologie[[#This Row],[Team]]&amp;"-"&amp;Chronologie[[#This Row],[L/P/E]]&amp;"-"&amp;Chronologie[[#This Row],[ST]]</f>
        <v>U23-KEM-V</v>
      </c>
      <c r="G87" s="68">
        <v>46032</v>
      </c>
      <c r="H87" s="61" t="s">
        <v>802</v>
      </c>
      <c r="I87" s="61" t="s">
        <v>756</v>
      </c>
      <c r="J87" s="64" t="s">
        <v>757</v>
      </c>
      <c r="K87" s="67" t="s">
        <v>393</v>
      </c>
      <c r="L87" s="72" t="str">
        <f>IF(Chronologie[[#This Row],[H/A]]="A",VLOOKUP(Chronologie[[#This Row],[Gegner]],Orte[],4,FALSE),IF(Chronologie[[#This Row],[H/A]]="H","Hirschfeld",Chronologie[[#This Row],[Gegner]]))</f>
        <v>Großschirma</v>
      </c>
      <c r="M87" s="62" t="s">
        <v>74</v>
      </c>
      <c r="N87" s="64">
        <f>Chronologie[[#This Row],[SA-NR]]</f>
        <v>85</v>
      </c>
      <c r="O87" s="64">
        <f ca="1">IF(Chronologie[[#This Row],[Datum]]="","",IF(TODAY()&gt;=Chronologie[[#This Row],[Datum]],1,0))</f>
        <v>1</v>
      </c>
      <c r="P87" s="64">
        <f>IF(COUNTIFS(Eingabe[ID],Chronologie[[#This Row],[ID]],Eingabe[GES],"&gt;0")&gt;=1,1,0)</f>
        <v>1</v>
      </c>
      <c r="Q87" s="75">
        <f>IF(YEAR(Chronologie[[#This Row],[Datum]])=2025,WEEKNUM(Chronologie[[#This Row],[Datum]],2)-34,IF(YEAR(Chronologie[[#This Row],[Datum]])=2026,WEEKNUM(Chronologie[[#This Row],[Datum]],2)+18,""))</f>
        <v>20</v>
      </c>
      <c r="R87" s="87" t="str">
        <f>IF(Chronologie[[#This Row],[Gegner]]="","",VLOOKUP(Chronologie[[#This Row],[Gegner]],Orte[],5,FALSE))</f>
        <v>Großschirma</v>
      </c>
      <c r="S87" s="87">
        <f>IF(Chronologie[[#This Row],[Gegner]]="","",IF(Chronologie[[#This Row],[H/A]]="H",4,VLOOKUP(Chronologie[[#This Row],[Gegner]],Orte[],6,FALSE)))</f>
        <v>2</v>
      </c>
      <c r="T87" s="85"/>
      <c r="U87" s="325" t="str">
        <f>IFERROR(TIMEVALUE(LEFT(Chronologie[[#This Row],[Startzeit]],5)),"")</f>
        <v/>
      </c>
      <c r="V87" s="325" t="str">
        <f>IFERROR(TIMEVALUE(LEFT(Chronologie[[#This Row],[Startzeit]],5))+TIME(12/Chronologie[[#This Row],[Bahnen]],0,0),"")</f>
        <v/>
      </c>
      <c r="W87" s="1"/>
      <c r="X87" s="301" t="s">
        <v>677</v>
      </c>
      <c r="Y87" s="301" t="s">
        <v>678</v>
      </c>
      <c r="Z87" s="302">
        <v>1809</v>
      </c>
      <c r="AA87" s="303" t="str">
        <f>IF(Orte[[#This Row],[Anschrift]]="",Orte[[#This Row],[Kurzform]],RIGHT(Orte[[#This Row],[Anschrift]],LEN(Orte[[#This Row],[Anschrift]])-FIND("#",SUBSTITUTE(Orte[[#This Row],[Anschrift]]," ","#",LEN(Orte[[#This Row],[Anschrift]])-LEN(SUBSTITUTE(Orte[[#This Row],[Anschrift]]," ",))))))</f>
        <v>Heidenau</v>
      </c>
      <c r="AB87" s="399" t="s">
        <v>679</v>
      </c>
      <c r="AC87" s="6">
        <v>4</v>
      </c>
      <c r="AD87" s="1"/>
    </row>
    <row r="88" spans="5:30" x14ac:dyDescent="0.3">
      <c r="E88" s="60">
        <f t="shared" si="6"/>
        <v>86</v>
      </c>
      <c r="F88" s="61" t="str">
        <f>Chronologie[[#This Row],[Team]]&amp;"-"&amp;Chronologie[[#This Row],[L/P/E]]&amp;"-"&amp;Chronologie[[#This Row],[ST]]</f>
        <v>Ü60-KEM-V</v>
      </c>
      <c r="G88" s="68">
        <v>46032</v>
      </c>
      <c r="H88" s="61" t="s">
        <v>803</v>
      </c>
      <c r="I88" s="61" t="s">
        <v>756</v>
      </c>
      <c r="J88" s="64" t="s">
        <v>757</v>
      </c>
      <c r="K88" s="67" t="s">
        <v>188</v>
      </c>
      <c r="L88" s="72" t="str">
        <f>IF(Chronologie[[#This Row],[H/A]]="A",VLOOKUP(Chronologie[[#This Row],[Gegner]],Orte[],4,FALSE),IF(Chronologie[[#This Row],[H/A]]="H","Hirschfeld",Chronologie[[#This Row],[Gegner]]))</f>
        <v>Leubsdorf</v>
      </c>
      <c r="M88" s="62" t="s">
        <v>74</v>
      </c>
      <c r="N88" s="64">
        <f>Chronologie[[#This Row],[SA-NR]]</f>
        <v>86</v>
      </c>
      <c r="O88" s="64">
        <f ca="1">IF(Chronologie[[#This Row],[Datum]]="","",IF(TODAY()&gt;=Chronologie[[#This Row],[Datum]],1,0))</f>
        <v>1</v>
      </c>
      <c r="P88" s="64">
        <f>IF(COUNTIFS(Eingabe[ID],Chronologie[[#This Row],[ID]],Eingabe[GES],"&gt;0")&gt;=1,1,0)</f>
        <v>1</v>
      </c>
      <c r="Q88" s="75">
        <f>IF(YEAR(Chronologie[[#This Row],[Datum]])=2025,WEEKNUM(Chronologie[[#This Row],[Datum]],2)-34,IF(YEAR(Chronologie[[#This Row],[Datum]])=2026,WEEKNUM(Chronologie[[#This Row],[Datum]],2)+18,""))</f>
        <v>20</v>
      </c>
      <c r="R88" s="87" t="str">
        <f>IF(Chronologie[[#This Row],[Gegner]]="","",VLOOKUP(Chronologie[[#This Row],[Gegner]],Orte[],5,FALSE))</f>
        <v>Leubsdorf</v>
      </c>
      <c r="S88" s="87">
        <f>IF(Chronologie[[#This Row],[Gegner]]="","",IF(Chronologie[[#This Row],[H/A]]="H",4,VLOOKUP(Chronologie[[#This Row],[Gegner]],Orte[],6,FALSE)))</f>
        <v>2</v>
      </c>
      <c r="T88" s="85"/>
      <c r="U88" s="325" t="str">
        <f>IFERROR(TIMEVALUE(LEFT(Chronologie[[#This Row],[Startzeit]],5)),"")</f>
        <v/>
      </c>
      <c r="V88" s="325" t="str">
        <f>IFERROR(TIMEVALUE(LEFT(Chronologie[[#This Row],[Startzeit]],5))+TIME(12/Chronologie[[#This Row],[Bahnen]],0,0),"")</f>
        <v/>
      </c>
      <c r="W88" s="1"/>
      <c r="X88" s="301" t="s">
        <v>682</v>
      </c>
      <c r="Y88" s="132" t="s">
        <v>190</v>
      </c>
      <c r="Z88" s="133">
        <v>9557</v>
      </c>
      <c r="AA88" s="303" t="str">
        <f>IF(Orte[[#This Row],[Anschrift]]="",Orte[[#This Row],[Kurzform]],RIGHT(Orte[[#This Row],[Anschrift]],LEN(Orte[[#This Row],[Anschrift]])-FIND("#",SUBSTITUTE(Orte[[#This Row],[Anschrift]]," ","#",LEN(Orte[[#This Row],[Anschrift]])-LEN(SUBSTITUTE(Orte[[#This Row],[Anschrift]]," ",))))))</f>
        <v>Flöha</v>
      </c>
      <c r="AB88" s="134" t="s">
        <v>95</v>
      </c>
      <c r="AC88" s="6">
        <v>4</v>
      </c>
      <c r="AD88" s="1"/>
    </row>
    <row r="89" spans="5:30" x14ac:dyDescent="0.3">
      <c r="E89" s="60">
        <f t="shared" si="6"/>
        <v>87</v>
      </c>
      <c r="F89" s="61" t="str">
        <f>Chronologie[[#This Row],[Team]]&amp;"-"&amp;Chronologie[[#This Row],[L/P/E]]&amp;"-"&amp;Chronologie[[#This Row],[ST]]</f>
        <v>Ü50-KEM-V</v>
      </c>
      <c r="G89" s="68">
        <v>46032</v>
      </c>
      <c r="H89" s="61" t="s">
        <v>804</v>
      </c>
      <c r="I89" s="61" t="s">
        <v>756</v>
      </c>
      <c r="J89" s="64" t="s">
        <v>757</v>
      </c>
      <c r="K89" s="67" t="s">
        <v>393</v>
      </c>
      <c r="L89" s="72" t="str">
        <f>IF(Chronologie[[#This Row],[H/A]]="A",VLOOKUP(Chronologie[[#This Row],[Gegner]],Orte[],4,FALSE),IF(Chronologie[[#This Row],[H/A]]="H","Hirschfeld",Chronologie[[#This Row],[Gegner]]))</f>
        <v>Großschirma</v>
      </c>
      <c r="M89" s="62" t="s">
        <v>74</v>
      </c>
      <c r="N89" s="64">
        <f>Chronologie[[#This Row],[SA-NR]]</f>
        <v>87</v>
      </c>
      <c r="O89" s="64">
        <f ca="1">IF(Chronologie[[#This Row],[Datum]]="","",IF(TODAY()&gt;=Chronologie[[#This Row],[Datum]],1,0))</f>
        <v>1</v>
      </c>
      <c r="P89" s="64">
        <f>IF(COUNTIFS(Eingabe[ID],Chronologie[[#This Row],[ID]],Eingabe[GES],"&gt;0")&gt;=1,1,0)</f>
        <v>1</v>
      </c>
      <c r="Q89" s="75">
        <f>IF(YEAR(Chronologie[[#This Row],[Datum]])=2025,WEEKNUM(Chronologie[[#This Row],[Datum]],2)-34,IF(YEAR(Chronologie[[#This Row],[Datum]])=2026,WEEKNUM(Chronologie[[#This Row],[Datum]],2)+18,""))</f>
        <v>20</v>
      </c>
      <c r="R89" s="87" t="str">
        <f>IF(Chronologie[[#This Row],[Gegner]]="","",VLOOKUP(Chronologie[[#This Row],[Gegner]],Orte[],5,FALSE))</f>
        <v>Großschirma</v>
      </c>
      <c r="S89" s="87">
        <f>IF(Chronologie[[#This Row],[Gegner]]="","",IF(Chronologie[[#This Row],[H/A]]="H",4,VLOOKUP(Chronologie[[#This Row],[Gegner]],Orte[],6,FALSE)))</f>
        <v>2</v>
      </c>
      <c r="T89" s="85"/>
      <c r="U89" s="325" t="str">
        <f>IFERROR(TIMEVALUE(LEFT(Chronologie[[#This Row],[Startzeit]],5)),"")</f>
        <v/>
      </c>
      <c r="V89" s="325" t="str">
        <f>IFERROR(TIMEVALUE(LEFT(Chronologie[[#This Row],[Startzeit]],5))+TIME(12/Chronologie[[#This Row],[Bahnen]],0,0),"")</f>
        <v/>
      </c>
      <c r="W89" s="1"/>
      <c r="X89" s="301" t="s">
        <v>683</v>
      </c>
      <c r="Y89" s="301"/>
      <c r="Z89" s="302"/>
      <c r="AA89" s="303" t="str">
        <f>IF(Orte[[#This Row],[Anschrift]]="",Orte[[#This Row],[Kurzform]],RIGHT(Orte[[#This Row],[Anschrift]],LEN(Orte[[#This Row],[Anschrift]])-FIND("#",SUBSTITUTE(Orte[[#This Row],[Anschrift]]," ","#",LEN(Orte[[#This Row],[Anschrift]])-LEN(SUBSTITUTE(Orte[[#This Row],[Anschrift]]," ",))))))</f>
        <v>Niederwiesa</v>
      </c>
      <c r="AB89" s="399" t="s">
        <v>684</v>
      </c>
      <c r="AC89" s="6">
        <v>2</v>
      </c>
      <c r="AD89" s="1"/>
    </row>
    <row r="90" spans="5:30" x14ac:dyDescent="0.3">
      <c r="E90" s="60">
        <f t="shared" si="6"/>
        <v>88</v>
      </c>
      <c r="F90" s="61" t="str">
        <f>Chronologie[[#This Row],[Team]]&amp;"-"&amp;Chronologie[[#This Row],[L/P/E]]&amp;"-"&amp;Chronologie[[#This Row],[ST]]</f>
        <v>M-KEM-V</v>
      </c>
      <c r="G90" s="68">
        <v>46032</v>
      </c>
      <c r="H90" s="61" t="s">
        <v>18</v>
      </c>
      <c r="I90" s="61" t="s">
        <v>756</v>
      </c>
      <c r="J90" s="64" t="s">
        <v>757</v>
      </c>
      <c r="K90" s="67" t="s">
        <v>805</v>
      </c>
      <c r="L90" s="72" t="str">
        <f>IF(Chronologie[[#This Row],[H/A]]="A",VLOOKUP(Chronologie[[#This Row],[Gegner]],Orte[],4,FALSE),IF(Chronologie[[#This Row],[H/A]]="H","Hirschfeld",Chronologie[[#This Row],[Gegner]]))</f>
        <v>Linda</v>
      </c>
      <c r="M90" s="62" t="s">
        <v>74</v>
      </c>
      <c r="N90" s="64">
        <f>Chronologie[[#This Row],[SA-NR]]</f>
        <v>88</v>
      </c>
      <c r="O90" s="64">
        <f ca="1">IF(Chronologie[[#This Row],[Datum]]="","",IF(TODAY()&gt;=Chronologie[[#This Row],[Datum]],1,0))</f>
        <v>1</v>
      </c>
      <c r="P90" s="64">
        <f>IF(COUNTIFS(Eingabe[ID],Chronologie[[#This Row],[ID]],Eingabe[GES],"&gt;0")&gt;=1,1,0)</f>
        <v>1</v>
      </c>
      <c r="Q90" s="75">
        <f>IF(YEAR(Chronologie[[#This Row],[Datum]])=2025,WEEKNUM(Chronologie[[#This Row],[Datum]],2)-34,IF(YEAR(Chronologie[[#This Row],[Datum]])=2026,WEEKNUM(Chronologie[[#This Row],[Datum]],2)+18,""))</f>
        <v>20</v>
      </c>
      <c r="R90" s="87" t="str">
        <f>IF(Chronologie[[#This Row],[Gegner]]="","",VLOOKUP(Chronologie[[#This Row],[Gegner]],Orte[],5,FALSE))</f>
        <v>Linda</v>
      </c>
      <c r="S90" s="87">
        <f>IF(Chronologie[[#This Row],[Gegner]]="","",IF(Chronologie[[#This Row],[H/A]]="H",4,VLOOKUP(Chronologie[[#This Row],[Gegner]],Orte[],6,FALSE)))</f>
        <v>2</v>
      </c>
      <c r="T90" s="85"/>
      <c r="U90" s="325" t="str">
        <f>IFERROR(TIMEVALUE(LEFT(Chronologie[[#This Row],[Startzeit]],5)),"")</f>
        <v/>
      </c>
      <c r="V90" s="325" t="str">
        <f>IFERROR(TIMEVALUE(LEFT(Chronologie[[#This Row],[Startzeit]],5))+TIME(12/Chronologie[[#This Row],[Bahnen]],0,0),"")</f>
        <v/>
      </c>
      <c r="W90" s="1"/>
      <c r="X90" s="301" t="s">
        <v>737</v>
      </c>
      <c r="Y90" s="301"/>
      <c r="Z90" s="302"/>
      <c r="AA90" s="303" t="str">
        <f>IF(Orte[[#This Row],[Anschrift]]="",Orte[[#This Row],[Kurzform]],RIGHT(Orte[[#This Row],[Anschrift]],LEN(Orte[[#This Row],[Anschrift]])-FIND("#",SUBSTITUTE(Orte[[#This Row],[Anschrift]]," ","#",LEN(Orte[[#This Row],[Anschrift]])-LEN(SUBSTITUTE(Orte[[#This Row],[Anschrift]]," ",))))))</f>
        <v>Gerolsheim</v>
      </c>
      <c r="AB90" s="399" t="s">
        <v>738</v>
      </c>
      <c r="AC90" s="6">
        <v>4</v>
      </c>
      <c r="AD90" s="1"/>
    </row>
    <row r="91" spans="5:30" x14ac:dyDescent="0.3">
      <c r="E91" s="60">
        <f t="shared" si="6"/>
        <v>89</v>
      </c>
      <c r="F91" s="61" t="str">
        <f>Chronologie[[#This Row],[Team]]&amp;"-"&amp;Chronologie[[#This Row],[L/P/E]]&amp;"-"&amp;Chronologie[[#This Row],[ST]]</f>
        <v>U14-KEM-E</v>
      </c>
      <c r="G91" s="68">
        <v>46046</v>
      </c>
      <c r="H91" s="61" t="s">
        <v>17</v>
      </c>
      <c r="I91" s="61" t="s">
        <v>756</v>
      </c>
      <c r="J91" s="64" t="s">
        <v>4</v>
      </c>
      <c r="K91" s="67" t="s">
        <v>373</v>
      </c>
      <c r="L91" s="72" t="str">
        <f>IF(Chronologie[[#This Row],[H/A]]="A",VLOOKUP(Chronologie[[#This Row],[Gegner]],Orte[],4,FALSE),IF(Chronologie[[#This Row],[H/A]]="H","Hirschfeld",Chronologie[[#This Row],[Gegner]]))</f>
        <v>Krummenhennersdorf</v>
      </c>
      <c r="M91" s="62" t="s">
        <v>74</v>
      </c>
      <c r="N91" s="64">
        <f>Chronologie[[#This Row],[SA-NR]]</f>
        <v>89</v>
      </c>
      <c r="O91" s="64">
        <f ca="1">IF(Chronologie[[#This Row],[Datum]]="","",IF(TODAY()&gt;=Chronologie[[#This Row],[Datum]],1,0))</f>
        <v>1</v>
      </c>
      <c r="P91" s="64">
        <f>IF(COUNTIFS(Eingabe[ID],Chronologie[[#This Row],[ID]],Eingabe[GES],"&gt;0")&gt;=1,1,0)</f>
        <v>1</v>
      </c>
      <c r="Q91" s="75">
        <f>IF(YEAR(Chronologie[[#This Row],[Datum]])=2025,WEEKNUM(Chronologie[[#This Row],[Datum]],2)-34,IF(YEAR(Chronologie[[#This Row],[Datum]])=2026,WEEKNUM(Chronologie[[#This Row],[Datum]],2)+18,""))</f>
        <v>22</v>
      </c>
      <c r="R91" s="87" t="str">
        <f>IF(Chronologie[[#This Row],[Gegner]]="","",VLOOKUP(Chronologie[[#This Row],[Gegner]],Orte[],5,FALSE))</f>
        <v>Krummi</v>
      </c>
      <c r="S91" s="87">
        <f>IF(Chronologie[[#This Row],[Gegner]]="","",IF(Chronologie[[#This Row],[H/A]]="H",4,VLOOKUP(Chronologie[[#This Row],[Gegner]],Orte[],6,FALSE)))</f>
        <v>4</v>
      </c>
      <c r="T91" s="85"/>
      <c r="U91" s="325" t="str">
        <f>IFERROR(TIMEVALUE(LEFT(Chronologie[[#This Row],[Startzeit]],5)),"")</f>
        <v/>
      </c>
      <c r="V91" s="325" t="str">
        <f>IFERROR(TIMEVALUE(LEFT(Chronologie[[#This Row],[Startzeit]],5))+TIME(12/Chronologie[[#This Row],[Bahnen]],0,0),"")</f>
        <v/>
      </c>
      <c r="W91" s="1"/>
      <c r="X91" s="301" t="s">
        <v>743</v>
      </c>
      <c r="Y91" s="301" t="s">
        <v>745</v>
      </c>
      <c r="Z91" s="302">
        <v>4179</v>
      </c>
      <c r="AA91" s="303" t="str">
        <f>IF(Orte[[#This Row],[Anschrift]]="",Orte[[#This Row],[Kurzform]],RIGHT(Orte[[#This Row],[Anschrift]],LEN(Orte[[#This Row],[Anschrift]])-FIND("#",SUBSTITUTE(Orte[[#This Row],[Anschrift]]," ","#",LEN(Orte[[#This Row],[Anschrift]])-LEN(SUBSTITUTE(Orte[[#This Row],[Anschrift]]," ",))))))</f>
        <v>Leipzig</v>
      </c>
      <c r="AB91" s="399" t="s">
        <v>744</v>
      </c>
      <c r="AC91" s="6">
        <v>4</v>
      </c>
      <c r="AD91" s="1"/>
    </row>
    <row r="92" spans="5:30" x14ac:dyDescent="0.3">
      <c r="E92" s="60">
        <f t="shared" si="6"/>
        <v>90</v>
      </c>
      <c r="F92" s="61" t="str">
        <f>Chronologie[[#This Row],[Team]]&amp;"-"&amp;Chronologie[[#This Row],[L/P/E]]&amp;"-"&amp;Chronologie[[#This Row],[ST]]</f>
        <v>U19-KEM-E</v>
      </c>
      <c r="G92" s="68">
        <v>46046</v>
      </c>
      <c r="H92" s="61" t="s">
        <v>795</v>
      </c>
      <c r="I92" s="61" t="s">
        <v>756</v>
      </c>
      <c r="J92" s="64" t="s">
        <v>4</v>
      </c>
      <c r="K92" s="67" t="s">
        <v>373</v>
      </c>
      <c r="L92" s="72" t="str">
        <f>IF(Chronologie[[#This Row],[H/A]]="A",VLOOKUP(Chronologie[[#This Row],[Gegner]],Orte[],4,FALSE),IF(Chronologie[[#This Row],[H/A]]="H","Hirschfeld",Chronologie[[#This Row],[Gegner]]))</f>
        <v>Krummenhennersdorf</v>
      </c>
      <c r="M92" s="62" t="s">
        <v>74</v>
      </c>
      <c r="N92" s="64">
        <f>Chronologie[[#This Row],[SA-NR]]</f>
        <v>90</v>
      </c>
      <c r="O92" s="64">
        <f ca="1">IF(Chronologie[[#This Row],[Datum]]="","",IF(TODAY()&gt;=Chronologie[[#This Row],[Datum]],1,0))</f>
        <v>1</v>
      </c>
      <c r="P92" s="64">
        <f>IF(COUNTIFS(Eingabe[ID],Chronologie[[#This Row],[ID]],Eingabe[GES],"&gt;0")&gt;=1,1,0)</f>
        <v>1</v>
      </c>
      <c r="Q92" s="75">
        <f>IF(YEAR(Chronologie[[#This Row],[Datum]])=2025,WEEKNUM(Chronologie[[#This Row],[Datum]],2)-34,IF(YEAR(Chronologie[[#This Row],[Datum]])=2026,WEEKNUM(Chronologie[[#This Row],[Datum]],2)+18,""))</f>
        <v>22</v>
      </c>
      <c r="R92" s="87" t="str">
        <f>IF(Chronologie[[#This Row],[Gegner]]="","",VLOOKUP(Chronologie[[#This Row],[Gegner]],Orte[],5,FALSE))</f>
        <v>Krummi</v>
      </c>
      <c r="S92" s="87">
        <f>IF(Chronologie[[#This Row],[Gegner]]="","",IF(Chronologie[[#This Row],[H/A]]="H",4,VLOOKUP(Chronologie[[#This Row],[Gegner]],Orte[],6,FALSE)))</f>
        <v>4</v>
      </c>
      <c r="T92" s="85"/>
      <c r="U92" s="325" t="str">
        <f>IFERROR(TIMEVALUE(LEFT(Chronologie[[#This Row],[Startzeit]],5)),"")</f>
        <v/>
      </c>
      <c r="V92" s="325" t="str">
        <f>IFERROR(TIMEVALUE(LEFT(Chronologie[[#This Row],[Startzeit]],5))+TIME(12/Chronologie[[#This Row],[Bahnen]],0,0),"")</f>
        <v/>
      </c>
      <c r="W92" s="1"/>
      <c r="X92" s="301" t="s">
        <v>746</v>
      </c>
      <c r="Y92" s="301" t="s">
        <v>748</v>
      </c>
      <c r="Z92" s="302">
        <v>6366</v>
      </c>
      <c r="AA92" s="303" t="str">
        <f>IF(Orte[[#This Row],[Anschrift]]="",Orte[[#This Row],[Kurzform]],RIGHT(Orte[[#This Row],[Anschrift]],LEN(Orte[[#This Row],[Anschrift]])-FIND("#",SUBSTITUTE(Orte[[#This Row],[Anschrift]]," ","#",LEN(Orte[[#This Row],[Anschrift]])-LEN(SUBSTITUTE(Orte[[#This Row],[Anschrift]]," ",))))))</f>
        <v>Köthen</v>
      </c>
      <c r="AB92" s="399" t="s">
        <v>747</v>
      </c>
      <c r="AC92" s="6">
        <v>4</v>
      </c>
      <c r="AD92" s="1"/>
    </row>
    <row r="93" spans="5:30" x14ac:dyDescent="0.3">
      <c r="E93" s="60">
        <f t="shared" si="6"/>
        <v>91</v>
      </c>
      <c r="F93" s="61" t="str">
        <f>Chronologie[[#This Row],[Team]]&amp;"-"&amp;Chronologie[[#This Row],[L/P/E]]&amp;"-"&amp;Chronologie[[#This Row],[ST]]</f>
        <v>E-P-2</v>
      </c>
      <c r="G93" s="68">
        <v>46052</v>
      </c>
      <c r="H93" s="61" t="s">
        <v>4</v>
      </c>
      <c r="I93" s="61" t="s">
        <v>742</v>
      </c>
      <c r="J93" s="64">
        <v>2</v>
      </c>
      <c r="K93" s="67" t="s">
        <v>78</v>
      </c>
      <c r="L93" s="72" t="str">
        <f>IF(Chronologie[[#This Row],[H/A]]="A",VLOOKUP(Chronologie[[#This Row],[Gegner]],Orte[],4,FALSE),IF(Chronologie[[#This Row],[H/A]]="H","Hirschfeld",Chronologie[[#This Row],[Gegner]]))</f>
        <v>Hirschfeld</v>
      </c>
      <c r="M93" s="62" t="s">
        <v>72</v>
      </c>
      <c r="N93" s="64">
        <f>Chronologie[[#This Row],[SA-NR]]</f>
        <v>91</v>
      </c>
      <c r="O93" s="64">
        <f ca="1">IF(Chronologie[[#This Row],[Datum]]="","",IF(TODAY()&gt;=Chronologie[[#This Row],[Datum]],1,0))</f>
        <v>1</v>
      </c>
      <c r="P93" s="64">
        <f>IF(COUNTIFS(Eingabe[ID],Chronologie[[#This Row],[ID]],Eingabe[GES],"&gt;0")&gt;=1,1,0)</f>
        <v>1</v>
      </c>
      <c r="Q93" s="75">
        <f>IF(YEAR(Chronologie[[#This Row],[Datum]])=2025,WEEKNUM(Chronologie[[#This Row],[Datum]],2)-34,IF(YEAR(Chronologie[[#This Row],[Datum]])=2026,WEEKNUM(Chronologie[[#This Row],[Datum]],2)+18,""))</f>
        <v>23</v>
      </c>
      <c r="R93" s="87" t="str">
        <f>IF(Chronologie[[#This Row],[Gegner]]="","",VLOOKUP(Chronologie[[#This Row],[Gegner]],Orte[],5,FALSE))</f>
        <v>Königsbrück</v>
      </c>
      <c r="S93" s="87">
        <f>IF(Chronologie[[#This Row],[Gegner]]="","",IF(Chronologie[[#This Row],[H/A]]="H",4,VLOOKUP(Chronologie[[#This Row],[Gegner]],Orte[],6,FALSE)))</f>
        <v>4</v>
      </c>
      <c r="T93" s="85"/>
      <c r="U93" s="325" t="str">
        <f>IFERROR(TIMEVALUE(LEFT(Chronologie[[#This Row],[Startzeit]],5)),"")</f>
        <v/>
      </c>
      <c r="V93" s="325" t="str">
        <f>IFERROR(TIMEVALUE(LEFT(Chronologie[[#This Row],[Startzeit]],5))+TIME(12/Chronologie[[#This Row],[Bahnen]],0,0),"")</f>
        <v/>
      </c>
      <c r="W93" s="1"/>
      <c r="X93" s="301" t="s">
        <v>805</v>
      </c>
      <c r="Y93" s="301" t="s">
        <v>807</v>
      </c>
      <c r="Z93" s="302">
        <v>9618</v>
      </c>
      <c r="AA93" s="303" t="str">
        <f>IF(Orte[[#This Row],[Anschrift]]="",Orte[[#This Row],[Kurzform]],RIGHT(Orte[[#This Row],[Anschrift]],LEN(Orte[[#This Row],[Anschrift]])-FIND("#",SUBSTITUTE(Orte[[#This Row],[Anschrift]]," ","#",LEN(Orte[[#This Row],[Anschrift]])-LEN(SUBSTITUTE(Orte[[#This Row],[Anschrift]]," ",))))))</f>
        <v>Linda</v>
      </c>
      <c r="AB93" s="399" t="s">
        <v>806</v>
      </c>
      <c r="AC93" s="6">
        <v>2</v>
      </c>
      <c r="AD93" s="1"/>
    </row>
    <row r="94" spans="5:30" x14ac:dyDescent="0.3">
      <c r="E94" s="60">
        <f t="shared" si="6"/>
        <v>92</v>
      </c>
      <c r="F94" s="61" t="str">
        <f>Chronologie[[#This Row],[Team]]&amp;"-"&amp;Chronologie[[#This Row],[L/P/E]]&amp;"-"&amp;Chronologie[[#This Row],[ST]]</f>
        <v>U23-KEM-E</v>
      </c>
      <c r="G94" s="68">
        <v>46053</v>
      </c>
      <c r="H94" s="61" t="s">
        <v>802</v>
      </c>
      <c r="I94" s="61" t="s">
        <v>756</v>
      </c>
      <c r="J94" s="64" t="s">
        <v>4</v>
      </c>
      <c r="K94" s="67" t="s">
        <v>373</v>
      </c>
      <c r="L94" s="72" t="str">
        <f>IF(Chronologie[[#This Row],[H/A]]="A",VLOOKUP(Chronologie[[#This Row],[Gegner]],Orte[],4,FALSE),IF(Chronologie[[#This Row],[H/A]]="H","Hirschfeld",Chronologie[[#This Row],[Gegner]]))</f>
        <v>Krummenhennersdorf</v>
      </c>
      <c r="M94" s="62" t="s">
        <v>74</v>
      </c>
      <c r="N94" s="64">
        <f>Chronologie[[#This Row],[SA-NR]]</f>
        <v>92</v>
      </c>
      <c r="O94" s="64">
        <f ca="1">IF(Chronologie[[#This Row],[Datum]]="","",IF(TODAY()&gt;=Chronologie[[#This Row],[Datum]],1,0))</f>
        <v>1</v>
      </c>
      <c r="P94" s="64">
        <f>IF(COUNTIFS(Eingabe[ID],Chronologie[[#This Row],[ID]],Eingabe[GES],"&gt;0")&gt;=1,1,0)</f>
        <v>1</v>
      </c>
      <c r="Q94" s="75">
        <f>IF(YEAR(Chronologie[[#This Row],[Datum]])=2025,WEEKNUM(Chronologie[[#This Row],[Datum]],2)-34,IF(YEAR(Chronologie[[#This Row],[Datum]])=2026,WEEKNUM(Chronologie[[#This Row],[Datum]],2)+18,""))</f>
        <v>23</v>
      </c>
      <c r="R94" s="87" t="str">
        <f>IF(Chronologie[[#This Row],[Gegner]]="","",VLOOKUP(Chronologie[[#This Row],[Gegner]],Orte[],5,FALSE))</f>
        <v>Krummi</v>
      </c>
      <c r="S94" s="87">
        <f>IF(Chronologie[[#This Row],[Gegner]]="","",IF(Chronologie[[#This Row],[H/A]]="H",4,VLOOKUP(Chronologie[[#This Row],[Gegner]],Orte[],6,FALSE)))</f>
        <v>4</v>
      </c>
      <c r="T94" s="85"/>
      <c r="U94" s="325" t="str">
        <f>IFERROR(TIMEVALUE(LEFT(Chronologie[[#This Row],[Startzeit]],5)),"")</f>
        <v/>
      </c>
      <c r="V94" s="325" t="str">
        <f>IFERROR(TIMEVALUE(LEFT(Chronologie[[#This Row],[Startzeit]],5))+TIME(12/Chronologie[[#This Row],[Bahnen]],0,0),"")</f>
        <v/>
      </c>
      <c r="W94" s="1"/>
      <c r="AC94" s="6"/>
      <c r="AD94" s="1"/>
    </row>
    <row r="95" spans="5:30" x14ac:dyDescent="0.3">
      <c r="E95" s="60">
        <f t="shared" si="6"/>
        <v>93</v>
      </c>
      <c r="F95" s="61" t="str">
        <f>Chronologie[[#This Row],[Team]]&amp;"-"&amp;Chronologie[[#This Row],[L/P/E]]&amp;"-"&amp;Chronologie[[#This Row],[ST]]</f>
        <v>Ü60-KEM-E</v>
      </c>
      <c r="G95" s="68">
        <v>46053</v>
      </c>
      <c r="H95" s="61" t="s">
        <v>803</v>
      </c>
      <c r="I95" s="61" t="s">
        <v>756</v>
      </c>
      <c r="J95" s="64" t="s">
        <v>4</v>
      </c>
      <c r="K95" s="67" t="s">
        <v>373</v>
      </c>
      <c r="L95" s="72" t="str">
        <f>IF(Chronologie[[#This Row],[H/A]]="A",VLOOKUP(Chronologie[[#This Row],[Gegner]],Orte[],4,FALSE),IF(Chronologie[[#This Row],[H/A]]="H","Hirschfeld",Chronologie[[#This Row],[Gegner]]))</f>
        <v>Krummenhennersdorf</v>
      </c>
      <c r="M95" s="62" t="s">
        <v>74</v>
      </c>
      <c r="N95" s="64">
        <f>Chronologie[[#This Row],[SA-NR]]</f>
        <v>93</v>
      </c>
      <c r="O95" s="64">
        <f ca="1">IF(Chronologie[[#This Row],[Datum]]="","",IF(TODAY()&gt;=Chronologie[[#This Row],[Datum]],1,0))</f>
        <v>1</v>
      </c>
      <c r="P95" s="64">
        <f>IF(COUNTIFS(Eingabe[ID],Chronologie[[#This Row],[ID]],Eingabe[GES],"&gt;0")&gt;=1,1,0)</f>
        <v>1</v>
      </c>
      <c r="Q95" s="75">
        <f>IF(YEAR(Chronologie[[#This Row],[Datum]])=2025,WEEKNUM(Chronologie[[#This Row],[Datum]],2)-34,IF(YEAR(Chronologie[[#This Row],[Datum]])=2026,WEEKNUM(Chronologie[[#This Row],[Datum]],2)+18,""))</f>
        <v>23</v>
      </c>
      <c r="R95" s="87" t="str">
        <f>IF(Chronologie[[#This Row],[Gegner]]="","",VLOOKUP(Chronologie[[#This Row],[Gegner]],Orte[],5,FALSE))</f>
        <v>Krummi</v>
      </c>
      <c r="S95" s="87">
        <f>IF(Chronologie[[#This Row],[Gegner]]="","",IF(Chronologie[[#This Row],[H/A]]="H",4,VLOOKUP(Chronologie[[#This Row],[Gegner]],Orte[],6,FALSE)))</f>
        <v>4</v>
      </c>
      <c r="T95" s="85"/>
      <c r="U95" s="325" t="str">
        <f>IFERROR(TIMEVALUE(LEFT(Chronologie[[#This Row],[Startzeit]],5)),"")</f>
        <v/>
      </c>
      <c r="V95" s="325" t="str">
        <f>IFERROR(TIMEVALUE(LEFT(Chronologie[[#This Row],[Startzeit]],5))+TIME(12/Chronologie[[#This Row],[Bahnen]],0,0),"")</f>
        <v/>
      </c>
      <c r="W95" s="1"/>
      <c r="AC95" s="6"/>
      <c r="AD95" s="1"/>
    </row>
    <row r="96" spans="5:30" x14ac:dyDescent="0.3">
      <c r="E96" s="60">
        <f t="shared" si="6"/>
        <v>94</v>
      </c>
      <c r="F96" s="61" t="str">
        <f>Chronologie[[#This Row],[Team]]&amp;"-"&amp;Chronologie[[#This Row],[L/P/E]]&amp;"-"&amp;Chronologie[[#This Row],[ST]]</f>
        <v>Ü50-KEM-E</v>
      </c>
      <c r="G96" s="68">
        <v>46053</v>
      </c>
      <c r="H96" s="61" t="s">
        <v>804</v>
      </c>
      <c r="I96" s="61" t="s">
        <v>756</v>
      </c>
      <c r="J96" s="64" t="s">
        <v>4</v>
      </c>
      <c r="K96" s="67" t="s">
        <v>373</v>
      </c>
      <c r="L96" s="72" t="str">
        <f>IF(Chronologie[[#This Row],[H/A]]="A",VLOOKUP(Chronologie[[#This Row],[Gegner]],Orte[],4,FALSE),IF(Chronologie[[#This Row],[H/A]]="H","Hirschfeld",Chronologie[[#This Row],[Gegner]]))</f>
        <v>Krummenhennersdorf</v>
      </c>
      <c r="M96" s="62" t="s">
        <v>74</v>
      </c>
      <c r="N96" s="64">
        <f>Chronologie[[#This Row],[SA-NR]]</f>
        <v>94</v>
      </c>
      <c r="O96" s="64">
        <f ca="1">IF(Chronologie[[#This Row],[Datum]]="","",IF(TODAY()&gt;=Chronologie[[#This Row],[Datum]],1,0))</f>
        <v>1</v>
      </c>
      <c r="P96" s="64">
        <f>IF(COUNTIFS(Eingabe[ID],Chronologie[[#This Row],[ID]],Eingabe[GES],"&gt;0")&gt;=1,1,0)</f>
        <v>1</v>
      </c>
      <c r="Q96" s="75">
        <f>IF(YEAR(Chronologie[[#This Row],[Datum]])=2025,WEEKNUM(Chronologie[[#This Row],[Datum]],2)-34,IF(YEAR(Chronologie[[#This Row],[Datum]])=2026,WEEKNUM(Chronologie[[#This Row],[Datum]],2)+18,""))</f>
        <v>23</v>
      </c>
      <c r="R96" s="87" t="str">
        <f>IF(Chronologie[[#This Row],[Gegner]]="","",VLOOKUP(Chronologie[[#This Row],[Gegner]],Orte[],5,FALSE))</f>
        <v>Krummi</v>
      </c>
      <c r="S96" s="87">
        <f>IF(Chronologie[[#This Row],[Gegner]]="","",IF(Chronologie[[#This Row],[H/A]]="H",4,VLOOKUP(Chronologie[[#This Row],[Gegner]],Orte[],6,FALSE)))</f>
        <v>4</v>
      </c>
      <c r="T96" s="85"/>
      <c r="U96" s="325" t="str">
        <f>IFERROR(TIMEVALUE(LEFT(Chronologie[[#This Row],[Startzeit]],5)),"")</f>
        <v/>
      </c>
      <c r="V96" s="325" t="str">
        <f>IFERROR(TIMEVALUE(LEFT(Chronologie[[#This Row],[Startzeit]],5))+TIME(12/Chronologie[[#This Row],[Bahnen]],0,0),"")</f>
        <v/>
      </c>
      <c r="W96" s="1"/>
      <c r="AC96" s="6"/>
      <c r="AD96" s="1"/>
    </row>
    <row r="97" spans="5:30" x14ac:dyDescent="0.3">
      <c r="E97" s="60">
        <f t="shared" si="6"/>
        <v>95</v>
      </c>
      <c r="F97" s="61" t="str">
        <f>Chronologie[[#This Row],[Team]]&amp;"-"&amp;Chronologie[[#This Row],[L/P/E]]&amp;"-"&amp;Chronologie[[#This Row],[ST]]</f>
        <v>M-KEM-E</v>
      </c>
      <c r="G97" s="68">
        <v>46053</v>
      </c>
      <c r="H97" s="61" t="s">
        <v>18</v>
      </c>
      <c r="I97" s="61" t="s">
        <v>756</v>
      </c>
      <c r="J97" s="64" t="s">
        <v>4</v>
      </c>
      <c r="K97" s="67" t="s">
        <v>373</v>
      </c>
      <c r="L97" s="72" t="str">
        <f>IF(Chronologie[[#This Row],[H/A]]="A",VLOOKUP(Chronologie[[#This Row],[Gegner]],Orte[],4,FALSE),IF(Chronologie[[#This Row],[H/A]]="H","Hirschfeld",Chronologie[[#This Row],[Gegner]]))</f>
        <v>Krummenhennersdorf</v>
      </c>
      <c r="M97" s="62" t="s">
        <v>74</v>
      </c>
      <c r="N97" s="64">
        <f>Chronologie[[#This Row],[SA-NR]]</f>
        <v>95</v>
      </c>
      <c r="O97" s="64">
        <f ca="1">IF(Chronologie[[#This Row],[Datum]]="","",IF(TODAY()&gt;=Chronologie[[#This Row],[Datum]],1,0))</f>
        <v>1</v>
      </c>
      <c r="P97" s="64">
        <f>IF(COUNTIFS(Eingabe[ID],Chronologie[[#This Row],[ID]],Eingabe[GES],"&gt;0")&gt;=1,1,0)</f>
        <v>1</v>
      </c>
      <c r="Q97" s="75">
        <f>IF(YEAR(Chronologie[[#This Row],[Datum]])=2025,WEEKNUM(Chronologie[[#This Row],[Datum]],2)-34,IF(YEAR(Chronologie[[#This Row],[Datum]])=2026,WEEKNUM(Chronologie[[#This Row],[Datum]],2)+18,""))</f>
        <v>23</v>
      </c>
      <c r="R97" s="87" t="str">
        <f>IF(Chronologie[[#This Row],[Gegner]]="","",VLOOKUP(Chronologie[[#This Row],[Gegner]],Orte[],5,FALSE))</f>
        <v>Krummi</v>
      </c>
      <c r="S97" s="87">
        <f>IF(Chronologie[[#This Row],[Gegner]]="","",IF(Chronologie[[#This Row],[H/A]]="H",4,VLOOKUP(Chronologie[[#This Row],[Gegner]],Orte[],6,FALSE)))</f>
        <v>4</v>
      </c>
      <c r="T97" s="85"/>
      <c r="U97" s="325" t="str">
        <f>IFERROR(TIMEVALUE(LEFT(Chronologie[[#This Row],[Startzeit]],5)),"")</f>
        <v/>
      </c>
      <c r="V97" s="325" t="str">
        <f>IFERROR(TIMEVALUE(LEFT(Chronologie[[#This Row],[Startzeit]],5))+TIME(12/Chronologie[[#This Row],[Bahnen]],0,0),"")</f>
        <v/>
      </c>
      <c r="W97" s="1"/>
      <c r="AC97" s="6"/>
      <c r="AD97" s="1"/>
    </row>
    <row r="98" spans="5:30" x14ac:dyDescent="0.3">
      <c r="E98" s="60">
        <f t="shared" si="6"/>
        <v>96</v>
      </c>
      <c r="F98" s="61" t="str">
        <f>Chronologie[[#This Row],[Team]]&amp;"-"&amp;Chronologie[[#This Row],[L/P/E]]&amp;"-"&amp;Chronologie[[#This Row],[ST]]</f>
        <v>--E</v>
      </c>
      <c r="G98" s="68"/>
      <c r="H98" s="61"/>
      <c r="I98" s="61"/>
      <c r="J98" s="64" t="s">
        <v>4</v>
      </c>
      <c r="K98" s="67"/>
      <c r="L98" s="72">
        <f>IF(Chronologie[[#This Row],[H/A]]="A",VLOOKUP(Chronologie[[#This Row],[Gegner]],Orte[],4,FALSE),IF(Chronologie[[#This Row],[H/A]]="H","Hirschfeld",Chronologie[[#This Row],[Gegner]]))</f>
        <v>0</v>
      </c>
      <c r="M98" s="62"/>
      <c r="N98" s="64">
        <f>Chronologie[[#This Row],[SA-NR]]</f>
        <v>96</v>
      </c>
      <c r="O98" s="64" t="str">
        <f ca="1">IF(Chronologie[[#This Row],[Datum]]="","",IF(TODAY()&gt;=Chronologie[[#This Row],[Datum]],1,0))</f>
        <v/>
      </c>
      <c r="P98" s="64">
        <f>IF(COUNTIFS(Eingabe[ID],Chronologie[[#This Row],[ID]],Eingabe[GES],"&gt;0")&gt;=1,1,0)</f>
        <v>0</v>
      </c>
      <c r="Q98" s="75" t="str">
        <f>IF(YEAR(Chronologie[[#This Row],[Datum]])=2025,WEEKNUM(Chronologie[[#This Row],[Datum]],2)-34,IF(YEAR(Chronologie[[#This Row],[Datum]])=2026,WEEKNUM(Chronologie[[#This Row],[Datum]],2)+18,""))</f>
        <v/>
      </c>
      <c r="R98" s="87" t="str">
        <f>IF(Chronologie[[#This Row],[Gegner]]="","",VLOOKUP(Chronologie[[#This Row],[Gegner]],Orte[],5,FALSE))</f>
        <v/>
      </c>
      <c r="S98" s="87" t="str">
        <f>IF(Chronologie[[#This Row],[Gegner]]="","",IF(Chronologie[[#This Row],[H/A]]="H",4,VLOOKUP(Chronologie[[#This Row],[Gegner]],Orte[],6,FALSE)))</f>
        <v/>
      </c>
      <c r="T98" s="85"/>
      <c r="U98" s="325" t="str">
        <f>IFERROR(TIMEVALUE(LEFT(Chronologie[[#This Row],[Startzeit]],5)),"")</f>
        <v/>
      </c>
      <c r="V98" s="325" t="str">
        <f>IFERROR(TIMEVALUE(LEFT(Chronologie[[#This Row],[Startzeit]],5))+TIME(12/Chronologie[[#This Row],[Bahnen]],0,0),"")</f>
        <v/>
      </c>
      <c r="W98" s="1"/>
      <c r="AC98" s="6"/>
      <c r="AD98" s="1"/>
    </row>
    <row r="99" spans="5:30" x14ac:dyDescent="0.3">
      <c r="E99" s="60">
        <f t="shared" si="6"/>
        <v>97</v>
      </c>
      <c r="F99" s="61" t="str">
        <f>Chronologie[[#This Row],[Team]]&amp;"-"&amp;Chronologie[[#This Row],[L/P/E]]&amp;"-"&amp;Chronologie[[#This Row],[ST]]</f>
        <v>--</v>
      </c>
      <c r="G99" s="68"/>
      <c r="H99" s="61"/>
      <c r="I99" s="61"/>
      <c r="J99" s="64"/>
      <c r="K99" s="67"/>
      <c r="L99" s="72">
        <f>IF(Chronologie[[#This Row],[H/A]]="A",VLOOKUP(Chronologie[[#This Row],[Gegner]],Orte[],4,FALSE),IF(Chronologie[[#This Row],[H/A]]="H","Hirschfeld",Chronologie[[#This Row],[Gegner]]))</f>
        <v>0</v>
      </c>
      <c r="M99" s="62"/>
      <c r="N99" s="64">
        <f>Chronologie[[#This Row],[SA-NR]]</f>
        <v>97</v>
      </c>
      <c r="O99" s="64" t="str">
        <f ca="1">IF(Chronologie[[#This Row],[Datum]]="","",IF(TODAY()&gt;=Chronologie[[#This Row],[Datum]],1,0))</f>
        <v/>
      </c>
      <c r="P99" s="64">
        <f>IF(COUNTIFS(Eingabe[ID],Chronologie[[#This Row],[ID]],Eingabe[GES],"&gt;0")&gt;=1,1,0)</f>
        <v>0</v>
      </c>
      <c r="Q99" s="75" t="str">
        <f>IF(YEAR(Chronologie[[#This Row],[Datum]])=2025,WEEKNUM(Chronologie[[#This Row],[Datum]],2)-34,IF(YEAR(Chronologie[[#This Row],[Datum]])=2026,WEEKNUM(Chronologie[[#This Row],[Datum]],2)+18,""))</f>
        <v/>
      </c>
      <c r="R99" s="87" t="str">
        <f>IF(Chronologie[[#This Row],[Gegner]]="","",VLOOKUP(Chronologie[[#This Row],[Gegner]],Orte[],5,FALSE))</f>
        <v/>
      </c>
      <c r="S99" s="87" t="str">
        <f>IF(Chronologie[[#This Row],[Gegner]]="","",IF(Chronologie[[#This Row],[H/A]]="H",4,VLOOKUP(Chronologie[[#This Row],[Gegner]],Orte[],6,FALSE)))</f>
        <v/>
      </c>
      <c r="T99" s="85"/>
      <c r="U99" s="325" t="str">
        <f>IFERROR(TIMEVALUE(LEFT(Chronologie[[#This Row],[Startzeit]],5)),"")</f>
        <v/>
      </c>
      <c r="V99" s="325" t="str">
        <f>IFERROR(TIMEVALUE(LEFT(Chronologie[[#This Row],[Startzeit]],5))+TIME(12/Chronologie[[#This Row],[Bahnen]],0,0),"")</f>
        <v/>
      </c>
      <c r="W99" s="1"/>
      <c r="AC99" s="6"/>
      <c r="AD99" s="1"/>
    </row>
    <row r="100" spans="5:30" x14ac:dyDescent="0.3">
      <c r="E100" s="60">
        <f t="shared" si="6"/>
        <v>98</v>
      </c>
      <c r="F100" s="61" t="str">
        <f>Chronologie[[#This Row],[Team]]&amp;"-"&amp;Chronologie[[#This Row],[L/P/E]]&amp;"-"&amp;Chronologie[[#This Row],[ST]]</f>
        <v>--</v>
      </c>
      <c r="G100" s="68"/>
      <c r="H100" s="61"/>
      <c r="I100" s="61"/>
      <c r="J100" s="64"/>
      <c r="K100" s="67"/>
      <c r="L100" s="72">
        <f>IF(Chronologie[[#This Row],[H/A]]="A",VLOOKUP(Chronologie[[#This Row],[Gegner]],Orte[],4,FALSE),IF(Chronologie[[#This Row],[H/A]]="H","Hirschfeld",Chronologie[[#This Row],[Gegner]]))</f>
        <v>0</v>
      </c>
      <c r="M100" s="62"/>
      <c r="N100" s="64">
        <f>Chronologie[[#This Row],[SA-NR]]</f>
        <v>98</v>
      </c>
      <c r="O100" s="64" t="str">
        <f ca="1">IF(Chronologie[[#This Row],[Datum]]="","",IF(TODAY()&gt;=Chronologie[[#This Row],[Datum]],1,0))</f>
        <v/>
      </c>
      <c r="P100" s="64">
        <f>IF(COUNTIFS(Eingabe[ID],Chronologie[[#This Row],[ID]],Eingabe[GES],"&gt;0")&gt;=1,1,0)</f>
        <v>0</v>
      </c>
      <c r="Q100" s="75" t="str">
        <f>IF(YEAR(Chronologie[[#This Row],[Datum]])=2025,WEEKNUM(Chronologie[[#This Row],[Datum]],2)-34,IF(YEAR(Chronologie[[#This Row],[Datum]])=2026,WEEKNUM(Chronologie[[#This Row],[Datum]],2)+18,""))</f>
        <v/>
      </c>
      <c r="R100" s="87" t="str">
        <f>IF(Chronologie[[#This Row],[Gegner]]="","",VLOOKUP(Chronologie[[#This Row],[Gegner]],Orte[],5,FALSE))</f>
        <v/>
      </c>
      <c r="S100" s="87" t="str">
        <f>IF(Chronologie[[#This Row],[Gegner]]="","",IF(Chronologie[[#This Row],[H/A]]="H",4,VLOOKUP(Chronologie[[#This Row],[Gegner]],Orte[],6,FALSE)))</f>
        <v/>
      </c>
      <c r="T100" s="85"/>
      <c r="U100" s="325" t="str">
        <f>IFERROR(TIMEVALUE(LEFT(Chronologie[[#This Row],[Startzeit]],5)),"")</f>
        <v/>
      </c>
      <c r="V100" s="325" t="str">
        <f>IFERROR(TIMEVALUE(LEFT(Chronologie[[#This Row],[Startzeit]],5))+TIME(12/Chronologie[[#This Row],[Bahnen]],0,0),"")</f>
        <v/>
      </c>
      <c r="W100" s="1"/>
      <c r="AC100" s="6"/>
      <c r="AD100" s="1"/>
    </row>
    <row r="101" spans="5:30" x14ac:dyDescent="0.3">
      <c r="E101" s="60">
        <f t="shared" si="6"/>
        <v>99</v>
      </c>
      <c r="F101" s="61" t="str">
        <f>Chronologie[[#This Row],[Team]]&amp;"-"&amp;Chronologie[[#This Row],[L/P/E]]&amp;"-"&amp;Chronologie[[#This Row],[ST]]</f>
        <v>--</v>
      </c>
      <c r="G101" s="68"/>
      <c r="H101" s="61"/>
      <c r="I101" s="61"/>
      <c r="J101" s="64"/>
      <c r="K101" s="67"/>
      <c r="L101" s="72">
        <f>IF(Chronologie[[#This Row],[H/A]]="A",VLOOKUP(Chronologie[[#This Row],[Gegner]],Orte[],4,FALSE),IF(Chronologie[[#This Row],[H/A]]="H","Hirschfeld",Chronologie[[#This Row],[Gegner]]))</f>
        <v>0</v>
      </c>
      <c r="M101" s="62"/>
      <c r="N101" s="64">
        <f>Chronologie[[#This Row],[SA-NR]]</f>
        <v>99</v>
      </c>
      <c r="O101" s="64" t="str">
        <f ca="1">IF(Chronologie[[#This Row],[Datum]]="","",IF(TODAY()&gt;=Chronologie[[#This Row],[Datum]],1,0))</f>
        <v/>
      </c>
      <c r="P101" s="64">
        <f>IF(COUNTIFS(Eingabe[ID],Chronologie[[#This Row],[ID]],Eingabe[GES],"&gt;0")&gt;=1,1,0)</f>
        <v>0</v>
      </c>
      <c r="Q101" s="75" t="str">
        <f>IF(YEAR(Chronologie[[#This Row],[Datum]])=2025,WEEKNUM(Chronologie[[#This Row],[Datum]],2)-34,IF(YEAR(Chronologie[[#This Row],[Datum]])=2026,WEEKNUM(Chronologie[[#This Row],[Datum]],2)+18,""))</f>
        <v/>
      </c>
      <c r="R101" s="87" t="str">
        <f>IF(Chronologie[[#This Row],[Gegner]]="","",VLOOKUP(Chronologie[[#This Row],[Gegner]],Orte[],5,FALSE))</f>
        <v/>
      </c>
      <c r="S101" s="87" t="str">
        <f>IF(Chronologie[[#This Row],[Gegner]]="","",IF(Chronologie[[#This Row],[H/A]]="H",4,VLOOKUP(Chronologie[[#This Row],[Gegner]],Orte[],6,FALSE)))</f>
        <v/>
      </c>
      <c r="T101" s="85"/>
      <c r="U101" s="325" t="str">
        <f>IFERROR(TIMEVALUE(LEFT(Chronologie[[#This Row],[Startzeit]],5)),"")</f>
        <v/>
      </c>
      <c r="V101" s="325" t="str">
        <f>IFERROR(TIMEVALUE(LEFT(Chronologie[[#This Row],[Startzeit]],5))+TIME(12/Chronologie[[#This Row],[Bahnen]],0,0),"")</f>
        <v/>
      </c>
      <c r="W101" s="1"/>
      <c r="AC101" s="6"/>
      <c r="AD101" s="1"/>
    </row>
    <row r="102" spans="5:30" x14ac:dyDescent="0.3">
      <c r="E102" s="60">
        <f t="shared" si="6"/>
        <v>100</v>
      </c>
      <c r="F102" s="61" t="str">
        <f>Chronologie[[#This Row],[Team]]&amp;"-"&amp;Chronologie[[#This Row],[L/P/E]]&amp;"-"&amp;Chronologie[[#This Row],[ST]]</f>
        <v>--</v>
      </c>
      <c r="G102" s="68"/>
      <c r="H102" s="61"/>
      <c r="I102" s="61"/>
      <c r="J102" s="64"/>
      <c r="K102" s="67"/>
      <c r="L102" s="72">
        <f>IF(Chronologie[[#This Row],[H/A]]="A",VLOOKUP(Chronologie[[#This Row],[Gegner]],Orte[],4,FALSE),IF(Chronologie[[#This Row],[H/A]]="H","Hirschfeld",Chronologie[[#This Row],[Gegner]]))</f>
        <v>0</v>
      </c>
      <c r="M102" s="62"/>
      <c r="N102" s="64">
        <f>Chronologie[[#This Row],[SA-NR]]</f>
        <v>100</v>
      </c>
      <c r="O102" s="64" t="str">
        <f ca="1">IF(Chronologie[[#This Row],[Datum]]="","",IF(TODAY()&gt;=Chronologie[[#This Row],[Datum]],1,0))</f>
        <v/>
      </c>
      <c r="P102" s="64">
        <f>IF(COUNTIFS(Eingabe[ID],Chronologie[[#This Row],[ID]],Eingabe[GES],"&gt;0")&gt;=1,1,0)</f>
        <v>0</v>
      </c>
      <c r="Q102" s="75" t="str">
        <f>IF(YEAR(Chronologie[[#This Row],[Datum]])=2025,WEEKNUM(Chronologie[[#This Row],[Datum]],2)-34,IF(YEAR(Chronologie[[#This Row],[Datum]])=2026,WEEKNUM(Chronologie[[#This Row],[Datum]],2)+18,""))</f>
        <v/>
      </c>
      <c r="R102" s="87" t="str">
        <f>IF(Chronologie[[#This Row],[Gegner]]="","",VLOOKUP(Chronologie[[#This Row],[Gegner]],Orte[],5,FALSE))</f>
        <v/>
      </c>
      <c r="S102" s="87" t="str">
        <f>IF(Chronologie[[#This Row],[Gegner]]="","",IF(Chronologie[[#This Row],[H/A]]="H",4,VLOOKUP(Chronologie[[#This Row],[Gegner]],Orte[],6,FALSE)))</f>
        <v/>
      </c>
      <c r="T102" s="85"/>
      <c r="U102" s="325" t="str">
        <f>IFERROR(TIMEVALUE(LEFT(Chronologie[[#This Row],[Startzeit]],5)),"")</f>
        <v/>
      </c>
      <c r="V102" s="325" t="str">
        <f>IFERROR(TIMEVALUE(LEFT(Chronologie[[#This Row],[Startzeit]],5))+TIME(12/Chronologie[[#This Row],[Bahnen]],0,0),"")</f>
        <v/>
      </c>
      <c r="W102" s="1"/>
      <c r="AC102" s="6"/>
      <c r="AD102" s="1"/>
    </row>
    <row r="103" spans="5:30" x14ac:dyDescent="0.3">
      <c r="E103" s="60">
        <f t="shared" si="6"/>
        <v>101</v>
      </c>
      <c r="F103" s="61" t="str">
        <f>Chronologie[[#This Row],[Team]]&amp;"-"&amp;Chronologie[[#This Row],[L/P/E]]&amp;"-"&amp;Chronologie[[#This Row],[ST]]</f>
        <v>--</v>
      </c>
      <c r="G103" s="68"/>
      <c r="H103" s="61"/>
      <c r="I103" s="61"/>
      <c r="J103" s="64"/>
      <c r="K103" s="67"/>
      <c r="L103" s="72">
        <f>IF(Chronologie[[#This Row],[H/A]]="A",VLOOKUP(Chronologie[[#This Row],[Gegner]],Orte[],4,FALSE),IF(Chronologie[[#This Row],[H/A]]="H","Hirschfeld",Chronologie[[#This Row],[Gegner]]))</f>
        <v>0</v>
      </c>
      <c r="M103" s="62"/>
      <c r="N103" s="64">
        <f>Chronologie[[#This Row],[SA-NR]]</f>
        <v>101</v>
      </c>
      <c r="O103" s="64" t="str">
        <f ca="1">IF(Chronologie[[#This Row],[Datum]]="","",IF(TODAY()&gt;=Chronologie[[#This Row],[Datum]],1,0))</f>
        <v/>
      </c>
      <c r="P103" s="64">
        <f>IF(COUNTIFS(Eingabe[ID],Chronologie[[#This Row],[ID]],Eingabe[GES],"&gt;0")&gt;=1,1,0)</f>
        <v>0</v>
      </c>
      <c r="Q103" s="75" t="str">
        <f>IF(YEAR(Chronologie[[#This Row],[Datum]])=2025,WEEKNUM(Chronologie[[#This Row],[Datum]],2)-34,IF(YEAR(Chronologie[[#This Row],[Datum]])=2026,WEEKNUM(Chronologie[[#This Row],[Datum]],2)+18,""))</f>
        <v/>
      </c>
      <c r="R103" s="87" t="str">
        <f>IF(Chronologie[[#This Row],[Gegner]]="","",VLOOKUP(Chronologie[[#This Row],[Gegner]],Orte[],5,FALSE))</f>
        <v/>
      </c>
      <c r="S103" s="87" t="str">
        <f>IF(Chronologie[[#This Row],[Gegner]]="","",IF(Chronologie[[#This Row],[H/A]]="H",4,VLOOKUP(Chronologie[[#This Row],[Gegner]],Orte[],6,FALSE)))</f>
        <v/>
      </c>
      <c r="T103" s="85"/>
      <c r="U103" s="325" t="str">
        <f>IFERROR(TIMEVALUE(LEFT(Chronologie[[#This Row],[Startzeit]],5)),"")</f>
        <v/>
      </c>
      <c r="V103" s="325" t="str">
        <f>IFERROR(TIMEVALUE(LEFT(Chronologie[[#This Row],[Startzeit]],5))+TIME(12/Chronologie[[#This Row],[Bahnen]],0,0),"")</f>
        <v/>
      </c>
      <c r="W103" s="1"/>
      <c r="AC103" s="6"/>
      <c r="AD103" s="1"/>
    </row>
    <row r="104" spans="5:30" x14ac:dyDescent="0.3">
      <c r="E104" s="60">
        <f t="shared" si="6"/>
        <v>102</v>
      </c>
      <c r="F104" s="61" t="str">
        <f>Chronologie[[#This Row],[Team]]&amp;"-"&amp;Chronologie[[#This Row],[L/P/E]]&amp;"-"&amp;Chronologie[[#This Row],[ST]]</f>
        <v>--</v>
      </c>
      <c r="G104" s="68"/>
      <c r="H104" s="61"/>
      <c r="I104" s="61"/>
      <c r="J104" s="64"/>
      <c r="K104" s="67"/>
      <c r="L104" s="72">
        <f>IF(Chronologie[[#This Row],[H/A]]="A",VLOOKUP(Chronologie[[#This Row],[Gegner]],Orte[],4,FALSE),IF(Chronologie[[#This Row],[H/A]]="H","Hirschfeld",Chronologie[[#This Row],[Gegner]]))</f>
        <v>0</v>
      </c>
      <c r="M104" s="62"/>
      <c r="N104" s="64">
        <f>Chronologie[[#This Row],[SA-NR]]</f>
        <v>102</v>
      </c>
      <c r="O104" s="64" t="str">
        <f ca="1">IF(Chronologie[[#This Row],[Datum]]="","",IF(TODAY()&gt;=Chronologie[[#This Row],[Datum]],1,0))</f>
        <v/>
      </c>
      <c r="P104" s="64">
        <f>IF(COUNTIFS(Eingabe[ID],Chronologie[[#This Row],[ID]],Eingabe[GES],"&gt;0")&gt;=1,1,0)</f>
        <v>0</v>
      </c>
      <c r="Q104" s="75" t="str">
        <f>IF(YEAR(Chronologie[[#This Row],[Datum]])=2025,WEEKNUM(Chronologie[[#This Row],[Datum]],2)-34,IF(YEAR(Chronologie[[#This Row],[Datum]])=2026,WEEKNUM(Chronologie[[#This Row],[Datum]],2)+18,""))</f>
        <v/>
      </c>
      <c r="R104" s="87" t="str">
        <f>IF(Chronologie[[#This Row],[Gegner]]="","",VLOOKUP(Chronologie[[#This Row],[Gegner]],Orte[],5,FALSE))</f>
        <v/>
      </c>
      <c r="S104" s="87" t="str">
        <f>IF(Chronologie[[#This Row],[Gegner]]="","",IF(Chronologie[[#This Row],[H/A]]="H",4,VLOOKUP(Chronologie[[#This Row],[Gegner]],Orte[],6,FALSE)))</f>
        <v/>
      </c>
      <c r="T104" s="85"/>
      <c r="U104" s="325"/>
      <c r="V104" s="325" t="str">
        <f>IFERROR(TIMEVALUE(LEFT(Chronologie[[#This Row],[Startzeit]],5))+TIME(12/Chronologie[[#This Row],[Bahnen]],0,0),"")</f>
        <v/>
      </c>
      <c r="W104" s="1"/>
      <c r="AC104" s="6"/>
      <c r="AD104" s="1"/>
    </row>
    <row r="105" spans="5:30" x14ac:dyDescent="0.3">
      <c r="E105" s="60">
        <f t="shared" si="6"/>
        <v>103</v>
      </c>
      <c r="F105" s="61" t="str">
        <f>Chronologie[[#This Row],[Team]]&amp;"-"&amp;Chronologie[[#This Row],[L/P/E]]&amp;"-"&amp;Chronologie[[#This Row],[ST]]</f>
        <v>--</v>
      </c>
      <c r="G105" s="68"/>
      <c r="H105" s="61"/>
      <c r="I105" s="61"/>
      <c r="J105" s="64"/>
      <c r="K105" s="67"/>
      <c r="L105" s="72">
        <f>IF(Chronologie[[#This Row],[H/A]]="A",VLOOKUP(Chronologie[[#This Row],[Gegner]],Orte[],4,FALSE),IF(Chronologie[[#This Row],[H/A]]="H","Hirschfeld",Chronologie[[#This Row],[Gegner]]))</f>
        <v>0</v>
      </c>
      <c r="M105" s="62"/>
      <c r="N105" s="64">
        <f>Chronologie[[#This Row],[SA-NR]]</f>
        <v>103</v>
      </c>
      <c r="O105" s="64" t="str">
        <f ca="1">IF(Chronologie[[#This Row],[Datum]]="","",IF(TODAY()&gt;=Chronologie[[#This Row],[Datum]],1,0))</f>
        <v/>
      </c>
      <c r="P105" s="64">
        <f>IF(COUNTIFS(Eingabe[ID],Chronologie[[#This Row],[ID]],Eingabe[GES],"&gt;0")&gt;=1,1,0)</f>
        <v>0</v>
      </c>
      <c r="Q105" s="75" t="str">
        <f>IF(YEAR(Chronologie[[#This Row],[Datum]])=2025,WEEKNUM(Chronologie[[#This Row],[Datum]],2)-34,IF(YEAR(Chronologie[[#This Row],[Datum]])=2026,WEEKNUM(Chronologie[[#This Row],[Datum]],2)+18,""))</f>
        <v/>
      </c>
      <c r="R105" s="87" t="str">
        <f>IF(Chronologie[[#This Row],[Gegner]]="","",VLOOKUP(Chronologie[[#This Row],[Gegner]],Orte[],5,FALSE))</f>
        <v/>
      </c>
      <c r="S105" s="87" t="str">
        <f>IF(Chronologie[[#This Row],[Gegner]]="","",IF(Chronologie[[#This Row],[H/A]]="H",4,VLOOKUP(Chronologie[[#This Row],[Gegner]],Orte[],6,FALSE)))</f>
        <v/>
      </c>
      <c r="T105" s="85"/>
      <c r="U105" s="325" t="str">
        <f>IFERROR(TIMEVALUE(LEFT(Chronologie[[#This Row],[Startzeit]],5)),"")</f>
        <v/>
      </c>
      <c r="V105" s="325" t="str">
        <f>IFERROR(TIMEVALUE(LEFT(Chronologie[[#This Row],[Startzeit]],5))+TIME(12/Chronologie[[#This Row],[Bahnen]],0,0),"")</f>
        <v/>
      </c>
      <c r="W105" s="1"/>
      <c r="AC105" s="6"/>
      <c r="AD105" s="1"/>
    </row>
    <row r="106" spans="5:30" x14ac:dyDescent="0.3">
      <c r="E106" s="60">
        <f>ROW(E106)-2</f>
        <v>104</v>
      </c>
      <c r="F106" s="61" t="str">
        <f>Chronologie[[#This Row],[Team]]&amp;"-"&amp;Chronologie[[#This Row],[L/P/E]]&amp;"-"&amp;Chronologie[[#This Row],[ST]]</f>
        <v>--</v>
      </c>
      <c r="G106" s="68"/>
      <c r="H106" s="61"/>
      <c r="I106" s="61"/>
      <c r="J106" s="64"/>
      <c r="K106" s="67"/>
      <c r="L106" s="72">
        <f>IF(Chronologie[[#This Row],[H/A]]="A",VLOOKUP(Chronologie[[#This Row],[Gegner]],Orte[],4,FALSE),IF(Chronologie[[#This Row],[H/A]]="H","Hirschfeld",Chronologie[[#This Row],[Gegner]]))</f>
        <v>0</v>
      </c>
      <c r="M106" s="62"/>
      <c r="N106" s="64">
        <f>Chronologie[[#This Row],[SA-NR]]</f>
        <v>104</v>
      </c>
      <c r="O106" s="64" t="str">
        <f ca="1">IF(Chronologie[[#This Row],[Datum]]="","",IF(TODAY()&gt;=Chronologie[[#This Row],[Datum]],1,0))</f>
        <v/>
      </c>
      <c r="P106" s="64">
        <f>IF(COUNTIFS(Eingabe[ID],Chronologie[[#This Row],[ID]],Eingabe[GES],"&gt;0")&gt;=1,1,0)</f>
        <v>0</v>
      </c>
      <c r="Q106" s="75" t="str">
        <f>IF(YEAR(Chronologie[[#This Row],[Datum]])=2025,WEEKNUM(Chronologie[[#This Row],[Datum]],2)-34,IF(YEAR(Chronologie[[#This Row],[Datum]])=2026,WEEKNUM(Chronologie[[#This Row],[Datum]],2)+18,""))</f>
        <v/>
      </c>
      <c r="R106" s="87" t="str">
        <f>IF(Chronologie[[#This Row],[Gegner]]="","",VLOOKUP(Chronologie[[#This Row],[Gegner]],Orte[],5,FALSE))</f>
        <v/>
      </c>
      <c r="S106" s="87" t="str">
        <f>IF(Chronologie[[#This Row],[Gegner]]="","",IF(Chronologie[[#This Row],[H/A]]="H",4,VLOOKUP(Chronologie[[#This Row],[Gegner]],Orte[],6,FALSE)))</f>
        <v/>
      </c>
      <c r="T106" s="85"/>
      <c r="U106" s="325" t="str">
        <f>IFERROR(TIMEVALUE(LEFT(Chronologie[[#This Row],[Startzeit]],5)),"")</f>
        <v/>
      </c>
      <c r="V106" s="325" t="str">
        <f>IFERROR(TIMEVALUE(LEFT(Chronologie[[#This Row],[Startzeit]],5))+TIME(12/Chronologie[[#This Row],[Bahnen]],0,0),"")</f>
        <v/>
      </c>
      <c r="W106" s="1"/>
      <c r="AC106" s="6"/>
      <c r="AD106" s="1"/>
    </row>
    <row r="107" spans="5:30" x14ac:dyDescent="0.3">
      <c r="E107" s="60">
        <f>ROW(E107)-2</f>
        <v>105</v>
      </c>
      <c r="F107" s="61" t="str">
        <f>Chronologie[[#This Row],[Team]]&amp;"-"&amp;Chronologie[[#This Row],[L/P/E]]&amp;"-"&amp;Chronologie[[#This Row],[ST]]</f>
        <v>--</v>
      </c>
      <c r="G107" s="68"/>
      <c r="H107" s="61"/>
      <c r="I107" s="61"/>
      <c r="J107" s="64"/>
      <c r="K107" s="67"/>
      <c r="L107" s="72">
        <f>IF(Chronologie[[#This Row],[H/A]]="A",VLOOKUP(Chronologie[[#This Row],[Gegner]],Orte[],4,FALSE),IF(Chronologie[[#This Row],[H/A]]="H","Hirschfeld",Chronologie[[#This Row],[Gegner]]))</f>
        <v>0</v>
      </c>
      <c r="M107" s="62"/>
      <c r="N107" s="64">
        <f>Chronologie[[#This Row],[SA-NR]]</f>
        <v>105</v>
      </c>
      <c r="O107" s="64" t="str">
        <f ca="1">IF(Chronologie[[#This Row],[Datum]]="","",IF(TODAY()&gt;=Chronologie[[#This Row],[Datum]],1,0))</f>
        <v/>
      </c>
      <c r="P107" s="64">
        <f>IF(COUNTIFS(Eingabe[ID],Chronologie[[#This Row],[ID]],Eingabe[GES],"&gt;0")&gt;=1,1,0)</f>
        <v>0</v>
      </c>
      <c r="Q107" s="75" t="str">
        <f>IF(YEAR(Chronologie[[#This Row],[Datum]])=2025,WEEKNUM(Chronologie[[#This Row],[Datum]],2)-34,IF(YEAR(Chronologie[[#This Row],[Datum]])=2026,WEEKNUM(Chronologie[[#This Row],[Datum]],2)+18,""))</f>
        <v/>
      </c>
      <c r="R107" s="87" t="str">
        <f>IF(Chronologie[[#This Row],[Gegner]]="","",VLOOKUP(Chronologie[[#This Row],[Gegner]],Orte[],5,FALSE))</f>
        <v/>
      </c>
      <c r="S107" s="87" t="str">
        <f>IF(Chronologie[[#This Row],[Gegner]]="","",IF(Chronologie[[#This Row],[H/A]]="H",4,VLOOKUP(Chronologie[[#This Row],[Gegner]],Orte[],6,FALSE)))</f>
        <v/>
      </c>
      <c r="T107" s="85"/>
      <c r="U107" s="325" t="str">
        <f>IFERROR(TIMEVALUE(LEFT(Chronologie[[#This Row],[Startzeit]],5)),"")</f>
        <v/>
      </c>
      <c r="V107" s="325" t="str">
        <f>IFERROR(TIMEVALUE(LEFT(Chronologie[[#This Row],[Startzeit]],5))+TIME(12/Chronologie[[#This Row],[Bahnen]],0,0),"")</f>
        <v/>
      </c>
      <c r="W107" s="1"/>
      <c r="AC107" s="6"/>
      <c r="AD107" s="1"/>
    </row>
    <row r="108" spans="5:30" x14ac:dyDescent="0.3">
      <c r="E108" s="60">
        <f>ROW(E108)-2</f>
        <v>106</v>
      </c>
      <c r="F108" s="61" t="str">
        <f>Chronologie[[#This Row],[Team]]&amp;"-"&amp;Chronologie[[#This Row],[L/P/E]]&amp;"-"&amp;Chronologie[[#This Row],[ST]]</f>
        <v>--</v>
      </c>
      <c r="G108" s="68"/>
      <c r="H108" s="61"/>
      <c r="I108" s="61"/>
      <c r="J108" s="64"/>
      <c r="K108" s="67"/>
      <c r="L108" s="72">
        <f>IF(Chronologie[[#This Row],[H/A]]="A",VLOOKUP(Chronologie[[#This Row],[Gegner]],Orte[],4,FALSE),IF(Chronologie[[#This Row],[H/A]]="H","Hirschfeld",Chronologie[[#This Row],[Gegner]]))</f>
        <v>0</v>
      </c>
      <c r="M108" s="62"/>
      <c r="N108" s="64">
        <f>Chronologie[[#This Row],[SA-NR]]</f>
        <v>106</v>
      </c>
      <c r="O108" s="64" t="str">
        <f ca="1">IF(Chronologie[[#This Row],[Datum]]="","",IF(TODAY()&gt;=Chronologie[[#This Row],[Datum]],1,0))</f>
        <v/>
      </c>
      <c r="P108" s="64">
        <f>IF(COUNTIFS(Eingabe[ID],Chronologie[[#This Row],[ID]],Eingabe[GES],"&gt;0")&gt;=1,1,0)</f>
        <v>0</v>
      </c>
      <c r="Q108" s="75" t="str">
        <f>IF(YEAR(Chronologie[[#This Row],[Datum]])=2025,WEEKNUM(Chronologie[[#This Row],[Datum]],2)-34,IF(YEAR(Chronologie[[#This Row],[Datum]])=2026,WEEKNUM(Chronologie[[#This Row],[Datum]],2)+18,""))</f>
        <v/>
      </c>
      <c r="R108" s="87" t="str">
        <f>IF(Chronologie[[#This Row],[Gegner]]="","",VLOOKUP(Chronologie[[#This Row],[Gegner]],Orte[],5,FALSE))</f>
        <v/>
      </c>
      <c r="S108" s="87" t="str">
        <f>IF(Chronologie[[#This Row],[Gegner]]="","",IF(Chronologie[[#This Row],[H/A]]="H",4,VLOOKUP(Chronologie[[#This Row],[Gegner]],Orte[],6,FALSE)))</f>
        <v/>
      </c>
      <c r="T108" s="85"/>
      <c r="U108" s="325" t="str">
        <f>IFERROR(TIMEVALUE(LEFT(Chronologie[[#This Row],[Startzeit]],5)),"")</f>
        <v/>
      </c>
      <c r="V108" s="325" t="str">
        <f>IFERROR(TIMEVALUE(LEFT(Chronologie[[#This Row],[Startzeit]],5))+TIME(12/Chronologie[[#This Row],[Bahnen]],0,0),"")</f>
        <v/>
      </c>
      <c r="W108" s="1"/>
      <c r="AC108" s="6"/>
      <c r="AD108" s="1"/>
    </row>
    <row r="109" spans="5:30" x14ac:dyDescent="0.3">
      <c r="E109" s="60">
        <f t="shared" ref="E109:E112" si="7">ROW(E109)-2</f>
        <v>107</v>
      </c>
      <c r="F109" s="61" t="str">
        <f>Chronologie[[#This Row],[Team]]&amp;"-"&amp;Chronologie[[#This Row],[L/P/E]]&amp;"-"&amp;Chronologie[[#This Row],[ST]]</f>
        <v>--</v>
      </c>
      <c r="G109" s="68"/>
      <c r="H109" s="61"/>
      <c r="I109" s="61"/>
      <c r="J109" s="64"/>
      <c r="K109" s="67"/>
      <c r="L109" s="72">
        <f>IF(Chronologie[[#This Row],[H/A]]="A",VLOOKUP(Chronologie[[#This Row],[Gegner]],Orte[],4,FALSE),IF(Chronologie[[#This Row],[H/A]]="H","Hirschfeld",Chronologie[[#This Row],[Gegner]]))</f>
        <v>0</v>
      </c>
      <c r="M109" s="62"/>
      <c r="N109" s="64">
        <f>Chronologie[[#This Row],[SA-NR]]</f>
        <v>107</v>
      </c>
      <c r="O109" s="64" t="str">
        <f ca="1">IF(Chronologie[[#This Row],[Datum]]="","",IF(TODAY()&gt;=Chronologie[[#This Row],[Datum]],1,0))</f>
        <v/>
      </c>
      <c r="P109" s="64">
        <f>IF(COUNTIFS(Eingabe[ID],Chronologie[[#This Row],[ID]],Eingabe[GES],"&gt;0")&gt;=1,1,0)</f>
        <v>0</v>
      </c>
      <c r="Q109" s="75" t="str">
        <f>IF(YEAR(Chronologie[[#This Row],[Datum]])=2025,WEEKNUM(Chronologie[[#This Row],[Datum]],2)-34,IF(YEAR(Chronologie[[#This Row],[Datum]])=2026,WEEKNUM(Chronologie[[#This Row],[Datum]],2)+18,""))</f>
        <v/>
      </c>
      <c r="R109" s="87" t="str">
        <f>IF(Chronologie[[#This Row],[Gegner]]="","",VLOOKUP(Chronologie[[#This Row],[Gegner]],Orte[],5,FALSE))</f>
        <v/>
      </c>
      <c r="S109" s="87" t="str">
        <f>IF(Chronologie[[#This Row],[Gegner]]="","",IF(Chronologie[[#This Row],[H/A]]="H",4,VLOOKUP(Chronologie[[#This Row],[Gegner]],Orte[],6,FALSE)))</f>
        <v/>
      </c>
      <c r="T109" s="85"/>
      <c r="U109" s="325" t="str">
        <f>IFERROR(TIMEVALUE(LEFT(Chronologie[[#This Row],[Startzeit]],5)),"")</f>
        <v/>
      </c>
      <c r="V109" s="325" t="str">
        <f>IFERROR(TIMEVALUE(LEFT(Chronologie[[#This Row],[Startzeit]],5))+TIME(12/Chronologie[[#This Row],[Bahnen]],0,0),"")</f>
        <v/>
      </c>
      <c r="W109" s="1"/>
      <c r="AC109" s="6"/>
      <c r="AD109" s="1"/>
    </row>
    <row r="110" spans="5:30" x14ac:dyDescent="0.3">
      <c r="E110" s="60">
        <f t="shared" si="7"/>
        <v>108</v>
      </c>
      <c r="F110" s="61" t="str">
        <f>Chronologie[[#This Row],[Team]]&amp;"-"&amp;Chronologie[[#This Row],[L/P/E]]&amp;"-"&amp;Chronologie[[#This Row],[ST]]</f>
        <v>--</v>
      </c>
      <c r="G110" s="68"/>
      <c r="H110" s="61"/>
      <c r="I110" s="61"/>
      <c r="J110" s="64"/>
      <c r="K110" s="67"/>
      <c r="L110" s="72">
        <f>IF(Chronologie[[#This Row],[H/A]]="A",VLOOKUP(Chronologie[[#This Row],[Gegner]],Orte[],4,FALSE),IF(Chronologie[[#This Row],[H/A]]="H","Hirschfeld",Chronologie[[#This Row],[Gegner]]))</f>
        <v>0</v>
      </c>
      <c r="M110" s="62"/>
      <c r="N110" s="64">
        <f>Chronologie[[#This Row],[SA-NR]]</f>
        <v>108</v>
      </c>
      <c r="O110" s="64" t="str">
        <f ca="1">IF(Chronologie[[#This Row],[Datum]]="","",IF(TODAY()&gt;=Chronologie[[#This Row],[Datum]],1,0))</f>
        <v/>
      </c>
      <c r="P110" s="64">
        <f>IF(COUNTIFS(Eingabe[ID],Chronologie[[#This Row],[ID]],Eingabe[GES],"&gt;0")&gt;=1,1,0)</f>
        <v>0</v>
      </c>
      <c r="Q110" s="75" t="str">
        <f>IF(YEAR(Chronologie[[#This Row],[Datum]])=2025,WEEKNUM(Chronologie[[#This Row],[Datum]],2)-34,IF(YEAR(Chronologie[[#This Row],[Datum]])=2026,WEEKNUM(Chronologie[[#This Row],[Datum]],2)+18,""))</f>
        <v/>
      </c>
      <c r="R110" s="87" t="str">
        <f>IF(Chronologie[[#This Row],[Gegner]]="","",VLOOKUP(Chronologie[[#This Row],[Gegner]],Orte[],5,FALSE))</f>
        <v/>
      </c>
      <c r="S110" s="87" t="str">
        <f>IF(Chronologie[[#This Row],[Gegner]]="","",IF(Chronologie[[#This Row],[H/A]]="H",4,VLOOKUP(Chronologie[[#This Row],[Gegner]],Orte[],6,FALSE)))</f>
        <v/>
      </c>
      <c r="T110" s="85"/>
      <c r="U110" s="325" t="str">
        <f>IFERROR(TIMEVALUE(LEFT(Chronologie[[#This Row],[Startzeit]],5)),"")</f>
        <v/>
      </c>
      <c r="V110" s="325" t="str">
        <f>IFERROR(TIMEVALUE(LEFT(Chronologie[[#This Row],[Startzeit]],5))+TIME(12/Chronologie[[#This Row],[Bahnen]],0,0),"")</f>
        <v/>
      </c>
      <c r="W110" s="1"/>
      <c r="AC110" s="6"/>
      <c r="AD110" s="1"/>
    </row>
    <row r="111" spans="5:30" x14ac:dyDescent="0.3">
      <c r="E111" s="60">
        <f t="shared" si="7"/>
        <v>109</v>
      </c>
      <c r="F111" s="61" t="str">
        <f>Chronologie[[#This Row],[Team]]&amp;"-"&amp;Chronologie[[#This Row],[L/P/E]]&amp;"-"&amp;Chronologie[[#This Row],[ST]]</f>
        <v>--</v>
      </c>
      <c r="G111" s="68"/>
      <c r="H111" s="61"/>
      <c r="I111" s="61"/>
      <c r="J111" s="64"/>
      <c r="K111" s="67"/>
      <c r="L111" s="72">
        <f>IF(Chronologie[[#This Row],[H/A]]="A",VLOOKUP(Chronologie[[#This Row],[Gegner]],Orte[],4,FALSE),IF(Chronologie[[#This Row],[H/A]]="H","Hirschfeld",Chronologie[[#This Row],[Gegner]]))</f>
        <v>0</v>
      </c>
      <c r="M111" s="62"/>
      <c r="N111" s="64">
        <f>Chronologie[[#This Row],[SA-NR]]</f>
        <v>109</v>
      </c>
      <c r="O111" s="64" t="str">
        <f ca="1">IF(Chronologie[[#This Row],[Datum]]="","",IF(TODAY()&gt;=Chronologie[[#This Row],[Datum]],1,0))</f>
        <v/>
      </c>
      <c r="P111" s="64">
        <f>IF(COUNTIFS(Eingabe[ID],Chronologie[[#This Row],[ID]],Eingabe[GES],"&gt;0")&gt;=1,1,0)</f>
        <v>0</v>
      </c>
      <c r="Q111" s="75" t="str">
        <f>IF(YEAR(Chronologie[[#This Row],[Datum]])=2025,WEEKNUM(Chronologie[[#This Row],[Datum]],2)-34,IF(YEAR(Chronologie[[#This Row],[Datum]])=2026,WEEKNUM(Chronologie[[#This Row],[Datum]],2)+18,""))</f>
        <v/>
      </c>
      <c r="R111" s="87" t="str">
        <f>IF(Chronologie[[#This Row],[Gegner]]="","",VLOOKUP(Chronologie[[#This Row],[Gegner]],Orte[],5,FALSE))</f>
        <v/>
      </c>
      <c r="S111" s="87" t="str">
        <f>IF(Chronologie[[#This Row],[Gegner]]="","",IF(Chronologie[[#This Row],[H/A]]="H",4,VLOOKUP(Chronologie[[#This Row],[Gegner]],Orte[],6,FALSE)))</f>
        <v/>
      </c>
      <c r="T111" s="85"/>
      <c r="U111" s="325" t="str">
        <f>IFERROR(TIMEVALUE(LEFT(Chronologie[[#This Row],[Startzeit]],5)),"")</f>
        <v/>
      </c>
      <c r="V111" s="325" t="str">
        <f>IFERROR(TIMEVALUE(LEFT(Chronologie[[#This Row],[Startzeit]],5))+TIME(12/Chronologie[[#This Row],[Bahnen]],0,0),"")</f>
        <v/>
      </c>
      <c r="W111" s="1"/>
      <c r="AC111" s="6"/>
      <c r="AD111" s="1"/>
    </row>
    <row r="112" spans="5:30" x14ac:dyDescent="0.3">
      <c r="E112" s="60">
        <f t="shared" si="7"/>
        <v>110</v>
      </c>
      <c r="F112" s="61" t="str">
        <f>Chronologie[[#This Row],[Team]]&amp;"-"&amp;Chronologie[[#This Row],[L/P/E]]&amp;"-"&amp;Chronologie[[#This Row],[ST]]</f>
        <v>--</v>
      </c>
      <c r="G112" s="68"/>
      <c r="H112" s="61"/>
      <c r="I112" s="61"/>
      <c r="J112" s="64"/>
      <c r="K112" s="67"/>
      <c r="L112" s="72">
        <f>IF(Chronologie[[#This Row],[H/A]]="A",VLOOKUP(Chronologie[[#This Row],[Gegner]],Orte[],4,FALSE),IF(Chronologie[[#This Row],[H/A]]="H","Hirschfeld",Chronologie[[#This Row],[Gegner]]))</f>
        <v>0</v>
      </c>
      <c r="M112" s="62"/>
      <c r="N112" s="64">
        <f>Chronologie[[#This Row],[SA-NR]]</f>
        <v>110</v>
      </c>
      <c r="O112" s="64" t="str">
        <f ca="1">IF(Chronologie[[#This Row],[Datum]]="","",IF(TODAY()&gt;=Chronologie[[#This Row],[Datum]],1,0))</f>
        <v/>
      </c>
      <c r="P112" s="64">
        <f>IF(COUNTIFS(Eingabe[ID],Chronologie[[#This Row],[ID]],Eingabe[GES],"&gt;0")&gt;=1,1,0)</f>
        <v>0</v>
      </c>
      <c r="Q112" s="75" t="str">
        <f>IF(YEAR(Chronologie[[#This Row],[Datum]])=2025,WEEKNUM(Chronologie[[#This Row],[Datum]],2)-34,IF(YEAR(Chronologie[[#This Row],[Datum]])=2026,WEEKNUM(Chronologie[[#This Row],[Datum]],2)+18,""))</f>
        <v/>
      </c>
      <c r="R112" s="87" t="str">
        <f>IF(Chronologie[[#This Row],[Gegner]]="","",VLOOKUP(Chronologie[[#This Row],[Gegner]],Orte[],5,FALSE))</f>
        <v/>
      </c>
      <c r="S112" s="87" t="str">
        <f>IF(Chronologie[[#This Row],[Gegner]]="","",IF(Chronologie[[#This Row],[H/A]]="H",4,VLOOKUP(Chronologie[[#This Row],[Gegner]],Orte[],6,FALSE)))</f>
        <v/>
      </c>
      <c r="T112" s="85"/>
      <c r="U112" s="325" t="str">
        <f>IFERROR(TIMEVALUE(LEFT(Chronologie[[#This Row],[Startzeit]],5)),"")</f>
        <v/>
      </c>
      <c r="V112" s="325" t="str">
        <f>IFERROR(TIMEVALUE(LEFT(Chronologie[[#This Row],[Startzeit]],5))+TIME(12/Chronologie[[#This Row],[Bahnen]],0,0),"")</f>
        <v/>
      </c>
      <c r="W112" s="1"/>
      <c r="AC112" s="6"/>
      <c r="AD112" s="1"/>
    </row>
    <row r="113" spans="5:30" x14ac:dyDescent="0.3">
      <c r="E113" s="60">
        <f t="shared" ref="E113:E118" si="8">ROW(E113)-2</f>
        <v>111</v>
      </c>
      <c r="F113" s="61" t="str">
        <f>Chronologie[[#This Row],[Team]]&amp;"-"&amp;Chronologie[[#This Row],[L/P/E]]&amp;"-"&amp;Chronologie[[#This Row],[ST]]</f>
        <v>--</v>
      </c>
      <c r="G113" s="68"/>
      <c r="H113" s="61"/>
      <c r="I113" s="61"/>
      <c r="J113" s="64"/>
      <c r="K113" s="67"/>
      <c r="L113" s="72">
        <f>IF(Chronologie[[#This Row],[H/A]]="A",VLOOKUP(Chronologie[[#This Row],[Gegner]],Orte[],4,FALSE),IF(Chronologie[[#This Row],[H/A]]="H","Hirschfeld",Chronologie[[#This Row],[Gegner]]))</f>
        <v>0</v>
      </c>
      <c r="M113" s="62"/>
      <c r="N113" s="64">
        <f>Chronologie[[#This Row],[SA-NR]]</f>
        <v>111</v>
      </c>
      <c r="O113" s="64" t="str">
        <f ca="1">IF(Chronologie[[#This Row],[Datum]]="","",IF(TODAY()&gt;=Chronologie[[#This Row],[Datum]],1,0))</f>
        <v/>
      </c>
      <c r="P113" s="64">
        <f>IF(COUNTIFS(Eingabe[ID],Chronologie[[#This Row],[ID]],Eingabe[GES],"&gt;0")&gt;=1,1,0)</f>
        <v>0</v>
      </c>
      <c r="Q113" s="75" t="str">
        <f>IF(YEAR(Chronologie[[#This Row],[Datum]])=2025,WEEKNUM(Chronologie[[#This Row],[Datum]],2)-34,IF(YEAR(Chronologie[[#This Row],[Datum]])=2026,WEEKNUM(Chronologie[[#This Row],[Datum]],2)+18,""))</f>
        <v/>
      </c>
      <c r="R113" s="87" t="str">
        <f>IF(Chronologie[[#This Row],[Gegner]]="","",VLOOKUP(Chronologie[[#This Row],[Gegner]],Orte[],5,FALSE))</f>
        <v/>
      </c>
      <c r="S113" s="87" t="str">
        <f>IF(Chronologie[[#This Row],[Gegner]]="","",IF(Chronologie[[#This Row],[H/A]]="H",4,VLOOKUP(Chronologie[[#This Row],[Gegner]],Orte[],6,FALSE)))</f>
        <v/>
      </c>
      <c r="T113" s="85"/>
      <c r="U113" s="325" t="str">
        <f>IFERROR(TIMEVALUE(LEFT(Chronologie[[#This Row],[Startzeit]],5)),"")</f>
        <v/>
      </c>
      <c r="V113" s="325" t="str">
        <f>IFERROR(TIMEVALUE(LEFT(Chronologie[[#This Row],[Startzeit]],5))+TIME(12/Chronologie[[#This Row],[Bahnen]],0,0),"")</f>
        <v/>
      </c>
      <c r="W113" s="1"/>
      <c r="AC113" s="6"/>
      <c r="AD113" s="1"/>
    </row>
    <row r="114" spans="5:30" x14ac:dyDescent="0.3">
      <c r="E114" s="60">
        <f t="shared" si="8"/>
        <v>112</v>
      </c>
      <c r="F114" s="61" t="str">
        <f>Chronologie[[#This Row],[Team]]&amp;"-"&amp;Chronologie[[#This Row],[L/P/E]]&amp;"-"&amp;Chronologie[[#This Row],[ST]]</f>
        <v>--</v>
      </c>
      <c r="G114" s="68"/>
      <c r="H114" s="61"/>
      <c r="I114" s="61"/>
      <c r="J114" s="64"/>
      <c r="K114" s="67"/>
      <c r="L114" s="72">
        <f>IF(Chronologie[[#This Row],[H/A]]="A",VLOOKUP(Chronologie[[#This Row],[Gegner]],Orte[],4,FALSE),IF(Chronologie[[#This Row],[H/A]]="H","Hirschfeld",Chronologie[[#This Row],[Gegner]]))</f>
        <v>0</v>
      </c>
      <c r="M114" s="62"/>
      <c r="N114" s="64">
        <f>Chronologie[[#This Row],[SA-NR]]</f>
        <v>112</v>
      </c>
      <c r="O114" s="64" t="str">
        <f ca="1">IF(Chronologie[[#This Row],[Datum]]="","",IF(TODAY()&gt;=Chronologie[[#This Row],[Datum]],1,0))</f>
        <v/>
      </c>
      <c r="P114" s="64">
        <f>IF(COUNTIFS(Eingabe[ID],Chronologie[[#This Row],[ID]],Eingabe[GES],"&gt;0")&gt;=1,1,0)</f>
        <v>0</v>
      </c>
      <c r="Q114" s="75" t="str">
        <f>IF(YEAR(Chronologie[[#This Row],[Datum]])=2025,WEEKNUM(Chronologie[[#This Row],[Datum]],2)-34,IF(YEAR(Chronologie[[#This Row],[Datum]])=2026,WEEKNUM(Chronologie[[#This Row],[Datum]],2)+18,""))</f>
        <v/>
      </c>
      <c r="R114" s="87" t="str">
        <f>IF(Chronologie[[#This Row],[Gegner]]="","",VLOOKUP(Chronologie[[#This Row],[Gegner]],Orte[],5,FALSE))</f>
        <v/>
      </c>
      <c r="S114" s="87" t="str">
        <f>IF(Chronologie[[#This Row],[Gegner]]="","",IF(Chronologie[[#This Row],[H/A]]="H",4,VLOOKUP(Chronologie[[#This Row],[Gegner]],Orte[],6,FALSE)))</f>
        <v/>
      </c>
      <c r="T114" s="85"/>
      <c r="U114" s="368" t="str">
        <f>IFERROR(TIMEVALUE(LEFT(Chronologie[[#This Row],[Startzeit]],5)),"")</f>
        <v/>
      </c>
      <c r="V114" s="325" t="str">
        <f>IFERROR(TIMEVALUE(LEFT(Chronologie[[#This Row],[Startzeit]],5))+TIME(12/Chronologie[[#This Row],[Bahnen]],0,0),"")</f>
        <v/>
      </c>
      <c r="W114" s="1"/>
      <c r="AC114" s="6"/>
      <c r="AD114" s="1"/>
    </row>
    <row r="115" spans="5:30" x14ac:dyDescent="0.3">
      <c r="E115" s="60">
        <f t="shared" si="8"/>
        <v>113</v>
      </c>
      <c r="F115" s="61" t="str">
        <f>Chronologie[[#This Row],[Team]]&amp;"-"&amp;Chronologie[[#This Row],[L/P/E]]&amp;"-"&amp;Chronologie[[#This Row],[ST]]</f>
        <v>--</v>
      </c>
      <c r="G115" s="68"/>
      <c r="H115" s="61"/>
      <c r="I115" s="61"/>
      <c r="J115" s="64"/>
      <c r="K115" s="67"/>
      <c r="L115" s="72">
        <f>IF(Chronologie[[#This Row],[H/A]]="A",VLOOKUP(Chronologie[[#This Row],[Gegner]],Orte[],4,FALSE),IF(Chronologie[[#This Row],[H/A]]="H","Hirschfeld",Chronologie[[#This Row],[Gegner]]))</f>
        <v>0</v>
      </c>
      <c r="M115" s="62"/>
      <c r="N115" s="64">
        <f>Chronologie[[#This Row],[SA-NR]]</f>
        <v>113</v>
      </c>
      <c r="O115" s="64" t="str">
        <f ca="1">IF(Chronologie[[#This Row],[Datum]]="","",IF(TODAY()&gt;=Chronologie[[#This Row],[Datum]],1,0))</f>
        <v/>
      </c>
      <c r="P115" s="64">
        <f>IF(COUNTIFS(Eingabe[ID],Chronologie[[#This Row],[ID]],Eingabe[GES],"&gt;0")&gt;=1,1,0)</f>
        <v>0</v>
      </c>
      <c r="Q115" s="75" t="str">
        <f>IF(YEAR(Chronologie[[#This Row],[Datum]])=2025,WEEKNUM(Chronologie[[#This Row],[Datum]],2)-34,IF(YEAR(Chronologie[[#This Row],[Datum]])=2026,WEEKNUM(Chronologie[[#This Row],[Datum]],2)+18,""))</f>
        <v/>
      </c>
      <c r="R115" s="87" t="str">
        <f>IF(Chronologie[[#This Row],[Gegner]]="","",VLOOKUP(Chronologie[[#This Row],[Gegner]],Orte[],5,FALSE))</f>
        <v/>
      </c>
      <c r="S115" s="87" t="str">
        <f>IF(Chronologie[[#This Row],[Gegner]]="","",IF(Chronologie[[#This Row],[H/A]]="H",4,VLOOKUP(Chronologie[[#This Row],[Gegner]],Orte[],6,FALSE)))</f>
        <v/>
      </c>
      <c r="T115" s="85"/>
      <c r="U115" s="368" t="str">
        <f>IFERROR(TIMEVALUE(LEFT(Chronologie[[#This Row],[Startzeit]],5)),"")</f>
        <v/>
      </c>
      <c r="V115" s="325" t="str">
        <f>IFERROR(TIMEVALUE(LEFT(Chronologie[[#This Row],[Startzeit]],5))+TIME(12/Chronologie[[#This Row],[Bahnen]],0,0),"")</f>
        <v/>
      </c>
      <c r="W115" s="1"/>
      <c r="AC115" s="6"/>
      <c r="AD115" s="1"/>
    </row>
    <row r="116" spans="5:30" x14ac:dyDescent="0.3">
      <c r="E116" s="60">
        <f t="shared" si="8"/>
        <v>114</v>
      </c>
      <c r="F116" s="61" t="str">
        <f>Chronologie[[#This Row],[Team]]&amp;"-"&amp;Chronologie[[#This Row],[L/P/E]]&amp;"-"&amp;Chronologie[[#This Row],[ST]]</f>
        <v>--</v>
      </c>
      <c r="G116" s="68"/>
      <c r="H116" s="61"/>
      <c r="I116" s="61"/>
      <c r="J116" s="64"/>
      <c r="K116" s="67"/>
      <c r="L116" s="72">
        <f>IF(Chronologie[[#This Row],[H/A]]="A",VLOOKUP(Chronologie[[#This Row],[Gegner]],Orte[],4,FALSE),IF(Chronologie[[#This Row],[H/A]]="H","Hirschfeld",Chronologie[[#This Row],[Gegner]]))</f>
        <v>0</v>
      </c>
      <c r="M116" s="62"/>
      <c r="N116" s="64">
        <f>Chronologie[[#This Row],[SA-NR]]</f>
        <v>114</v>
      </c>
      <c r="O116" s="64" t="str">
        <f ca="1">IF(Chronologie[[#This Row],[Datum]]="","",IF(TODAY()&gt;=Chronologie[[#This Row],[Datum]],1,0))</f>
        <v/>
      </c>
      <c r="P116" s="64">
        <f>IF(COUNTIFS(Eingabe[ID],Chronologie[[#This Row],[ID]],Eingabe[GES],"&gt;0")&gt;=1,1,0)</f>
        <v>0</v>
      </c>
      <c r="Q116" s="75" t="str">
        <f>IF(YEAR(Chronologie[[#This Row],[Datum]])=2025,WEEKNUM(Chronologie[[#This Row],[Datum]],2)-34,IF(YEAR(Chronologie[[#This Row],[Datum]])=2026,WEEKNUM(Chronologie[[#This Row],[Datum]],2)+18,""))</f>
        <v/>
      </c>
      <c r="R116" s="87" t="str">
        <f>IF(Chronologie[[#This Row],[Gegner]]="","",VLOOKUP(Chronologie[[#This Row],[Gegner]],Orte[],5,FALSE))</f>
        <v/>
      </c>
      <c r="S116" s="87" t="str">
        <f>IF(Chronologie[[#This Row],[Gegner]]="","",IF(Chronologie[[#This Row],[H/A]]="H",4,VLOOKUP(Chronologie[[#This Row],[Gegner]],Orte[],6,FALSE)))</f>
        <v/>
      </c>
      <c r="T116" s="85"/>
      <c r="U116" s="368" t="str">
        <f>IFERROR(TIMEVALUE(LEFT(Chronologie[[#This Row],[Startzeit]],5)),"")</f>
        <v/>
      </c>
      <c r="V116" s="325" t="str">
        <f>IFERROR(TIMEVALUE(LEFT(Chronologie[[#This Row],[Startzeit]],5))+TIME(12/Chronologie[[#This Row],[Bahnen]],0,0),"")</f>
        <v/>
      </c>
      <c r="W116" s="1"/>
      <c r="AC116" s="6"/>
      <c r="AD116" s="1"/>
    </row>
    <row r="117" spans="5:30" x14ac:dyDescent="0.3">
      <c r="E117" s="60">
        <f t="shared" si="8"/>
        <v>115</v>
      </c>
      <c r="F117" s="61" t="str">
        <f>Chronologie[[#This Row],[Team]]&amp;"-"&amp;Chronologie[[#This Row],[L/P/E]]&amp;"-"&amp;Chronologie[[#This Row],[ST]]</f>
        <v>--</v>
      </c>
      <c r="G117" s="68"/>
      <c r="H117" s="61"/>
      <c r="I117" s="61"/>
      <c r="J117" s="64"/>
      <c r="K117" s="67"/>
      <c r="L117" s="72">
        <f>IF(Chronologie[[#This Row],[H/A]]="A",VLOOKUP(Chronologie[[#This Row],[Gegner]],Orte[],4,FALSE),IF(Chronologie[[#This Row],[H/A]]="H","Hirschfeld",Chronologie[[#This Row],[Gegner]]))</f>
        <v>0</v>
      </c>
      <c r="M117" s="62"/>
      <c r="N117" s="64">
        <f>Chronologie[[#This Row],[SA-NR]]</f>
        <v>115</v>
      </c>
      <c r="O117" s="64" t="str">
        <f ca="1">IF(Chronologie[[#This Row],[Datum]]="","",IF(TODAY()&gt;=Chronologie[[#This Row],[Datum]],1,0))</f>
        <v/>
      </c>
      <c r="P117" s="64">
        <f>IF(COUNTIFS(Eingabe[ID],Chronologie[[#This Row],[ID]],Eingabe[GES],"&gt;0")&gt;=1,1,0)</f>
        <v>0</v>
      </c>
      <c r="Q117" s="75" t="str">
        <f>IF(YEAR(Chronologie[[#This Row],[Datum]])=2025,WEEKNUM(Chronologie[[#This Row],[Datum]],2)-34,IF(YEAR(Chronologie[[#This Row],[Datum]])=2026,WEEKNUM(Chronologie[[#This Row],[Datum]],2)+18,""))</f>
        <v/>
      </c>
      <c r="R117" s="87" t="str">
        <f>IF(Chronologie[[#This Row],[Gegner]]="","",VLOOKUP(Chronologie[[#This Row],[Gegner]],Orte[],5,FALSE))</f>
        <v/>
      </c>
      <c r="S117" s="87" t="str">
        <f>IF(Chronologie[[#This Row],[Gegner]]="","",IF(Chronologie[[#This Row],[H/A]]="H",4,VLOOKUP(Chronologie[[#This Row],[Gegner]],Orte[],6,FALSE)))</f>
        <v/>
      </c>
      <c r="T117" s="85"/>
      <c r="U117" s="368" t="str">
        <f>IFERROR(TIMEVALUE(LEFT(Chronologie[[#This Row],[Startzeit]],5)),"")</f>
        <v/>
      </c>
      <c r="V117" s="325" t="str">
        <f>IFERROR(TIMEVALUE(LEFT(Chronologie[[#This Row],[Startzeit]],5))+TIME(12/Chronologie[[#This Row],[Bahnen]],0,0),"")</f>
        <v/>
      </c>
      <c r="W117" s="1"/>
      <c r="AC117" s="6"/>
      <c r="AD117" s="1"/>
    </row>
    <row r="118" spans="5:30" x14ac:dyDescent="0.3">
      <c r="E118" s="60">
        <f t="shared" si="8"/>
        <v>116</v>
      </c>
      <c r="F118" s="61" t="str">
        <f>Chronologie[[#This Row],[Team]]&amp;"-"&amp;Chronologie[[#This Row],[L/P/E]]&amp;"-"&amp;Chronologie[[#This Row],[ST]]</f>
        <v>--</v>
      </c>
      <c r="G118" s="68"/>
      <c r="H118" s="61"/>
      <c r="I118" s="61"/>
      <c r="J118" s="64"/>
      <c r="K118" s="67"/>
      <c r="L118" s="72">
        <f>IF(Chronologie[[#This Row],[H/A]]="A",VLOOKUP(Chronologie[[#This Row],[Gegner]],Orte[],4,FALSE),IF(Chronologie[[#This Row],[H/A]]="H","Hirschfeld",Chronologie[[#This Row],[Gegner]]))</f>
        <v>0</v>
      </c>
      <c r="M118" s="62"/>
      <c r="N118" s="64">
        <f>Chronologie[[#This Row],[SA-NR]]</f>
        <v>116</v>
      </c>
      <c r="O118" s="64" t="str">
        <f ca="1">IF(Chronologie[[#This Row],[Datum]]="","",IF(TODAY()&gt;=Chronologie[[#This Row],[Datum]],1,0))</f>
        <v/>
      </c>
      <c r="P118" s="64">
        <f>IF(COUNTIFS(Eingabe[ID],Chronologie[[#This Row],[ID]],Eingabe[GES],"&gt;0")&gt;=1,1,0)</f>
        <v>0</v>
      </c>
      <c r="Q118" s="75" t="str">
        <f>IF(YEAR(Chronologie[[#This Row],[Datum]])=2025,WEEKNUM(Chronologie[[#This Row],[Datum]],2)-34,IF(YEAR(Chronologie[[#This Row],[Datum]])=2026,WEEKNUM(Chronologie[[#This Row],[Datum]],2)+18,""))</f>
        <v/>
      </c>
      <c r="R118" s="87" t="str">
        <f>IF(Chronologie[[#This Row],[Gegner]]="","",VLOOKUP(Chronologie[[#This Row],[Gegner]],Orte[],5,FALSE))</f>
        <v/>
      </c>
      <c r="S118" s="87" t="str">
        <f>IF(Chronologie[[#This Row],[Gegner]]="","",IF(Chronologie[[#This Row],[H/A]]="H",4,VLOOKUP(Chronologie[[#This Row],[Gegner]],Orte[],6,FALSE)))</f>
        <v/>
      </c>
      <c r="T118" s="85"/>
      <c r="U118" s="368" t="str">
        <f>IFERROR(TIMEVALUE(LEFT(Chronologie[[#This Row],[Startzeit]],5)),"")</f>
        <v/>
      </c>
      <c r="V118" s="325" t="str">
        <f>IFERROR(TIMEVALUE(LEFT(Chronologie[[#This Row],[Startzeit]],5))+TIME(12/Chronologie[[#This Row],[Bahnen]],0,0),"")</f>
        <v/>
      </c>
      <c r="W118" s="1"/>
      <c r="AC118" s="6"/>
      <c r="AD118" s="1"/>
    </row>
    <row r="119" spans="5:30" x14ac:dyDescent="0.3">
      <c r="E119" s="60">
        <f t="shared" ref="E119:E125" si="9">ROW(E119)-2</f>
        <v>117</v>
      </c>
      <c r="F119" s="61" t="str">
        <f>Chronologie[[#This Row],[Team]]&amp;"-"&amp;Chronologie[[#This Row],[L/P/E]]&amp;"-"&amp;Chronologie[[#This Row],[ST]]</f>
        <v>--</v>
      </c>
      <c r="G119" s="68"/>
      <c r="H119" s="61"/>
      <c r="I119" s="61"/>
      <c r="J119" s="64"/>
      <c r="K119" s="67"/>
      <c r="L119" s="72">
        <f>IF(Chronologie[[#This Row],[H/A]]="A",VLOOKUP(Chronologie[[#This Row],[Gegner]],Orte[],4,FALSE),IF(Chronologie[[#This Row],[H/A]]="H","Hirschfeld",Chronologie[[#This Row],[Gegner]]))</f>
        <v>0</v>
      </c>
      <c r="M119" s="62"/>
      <c r="N119" s="64">
        <f>Chronologie[[#This Row],[SA-NR]]</f>
        <v>117</v>
      </c>
      <c r="O119" s="64" t="str">
        <f ca="1">IF(Chronologie[[#This Row],[Datum]]="","",IF(TODAY()&gt;=Chronologie[[#This Row],[Datum]],1,0))</f>
        <v/>
      </c>
      <c r="P119" s="64">
        <f>IF(COUNTIFS(Eingabe[ID],Chronologie[[#This Row],[ID]],Eingabe[GES],"&gt;0")&gt;=1,1,0)</f>
        <v>0</v>
      </c>
      <c r="Q119" s="75" t="str">
        <f>IF(YEAR(Chronologie[[#This Row],[Datum]])=2025,WEEKNUM(Chronologie[[#This Row],[Datum]],2)-34,IF(YEAR(Chronologie[[#This Row],[Datum]])=2026,WEEKNUM(Chronologie[[#This Row],[Datum]],2)+18,""))</f>
        <v/>
      </c>
      <c r="R119" s="87" t="str">
        <f>IF(Chronologie[[#This Row],[Gegner]]="","",VLOOKUP(Chronologie[[#This Row],[Gegner]],Orte[],5,FALSE))</f>
        <v/>
      </c>
      <c r="S119" s="87" t="str">
        <f>IF(Chronologie[[#This Row],[Gegner]]="","",IF(Chronologie[[#This Row],[H/A]]="H",4,VLOOKUP(Chronologie[[#This Row],[Gegner]],Orte[],6,FALSE)))</f>
        <v/>
      </c>
      <c r="T119" s="85"/>
      <c r="U119" s="368" t="str">
        <f>IFERROR(TIMEVALUE(LEFT(Chronologie[[#This Row],[Startzeit]],5)),"")</f>
        <v/>
      </c>
      <c r="V119" s="325" t="str">
        <f>IFERROR(TIMEVALUE(LEFT(Chronologie[[#This Row],[Startzeit]],5))+TIME(12/Chronologie[[#This Row],[Bahnen]],0,0),"")</f>
        <v/>
      </c>
      <c r="W119" s="1"/>
      <c r="AC119" s="6"/>
      <c r="AD119" s="1"/>
    </row>
    <row r="120" spans="5:30" x14ac:dyDescent="0.3">
      <c r="E120" s="60">
        <f t="shared" si="9"/>
        <v>118</v>
      </c>
      <c r="F120" s="61" t="str">
        <f>Chronologie[[#This Row],[Team]]&amp;"-"&amp;Chronologie[[#This Row],[L/P/E]]&amp;"-"&amp;Chronologie[[#This Row],[ST]]</f>
        <v>--</v>
      </c>
      <c r="G120" s="68"/>
      <c r="H120" s="61"/>
      <c r="I120" s="61"/>
      <c r="J120" s="64"/>
      <c r="K120" s="67"/>
      <c r="L120" s="72">
        <f>IF(Chronologie[[#This Row],[H/A]]="A",VLOOKUP(Chronologie[[#This Row],[Gegner]],Orte[],4,FALSE),IF(Chronologie[[#This Row],[H/A]]="H","Hirschfeld",Chronologie[[#This Row],[Gegner]]))</f>
        <v>0</v>
      </c>
      <c r="M120" s="62"/>
      <c r="N120" s="64">
        <f>Chronologie[[#This Row],[SA-NR]]</f>
        <v>118</v>
      </c>
      <c r="O120" s="64" t="str">
        <f ca="1">IF(Chronologie[[#This Row],[Datum]]="","",IF(TODAY()&gt;=Chronologie[[#This Row],[Datum]],1,0))</f>
        <v/>
      </c>
      <c r="P120" s="64">
        <f>IF(COUNTIFS(Eingabe[ID],Chronologie[[#This Row],[ID]],Eingabe[GES],"&gt;0")&gt;=1,1,0)</f>
        <v>0</v>
      </c>
      <c r="Q120" s="75" t="str">
        <f>IF(YEAR(Chronologie[[#This Row],[Datum]])=2025,WEEKNUM(Chronologie[[#This Row],[Datum]],2)-34,IF(YEAR(Chronologie[[#This Row],[Datum]])=2026,WEEKNUM(Chronologie[[#This Row],[Datum]],2)+18,""))</f>
        <v/>
      </c>
      <c r="R120" s="87" t="str">
        <f>IF(Chronologie[[#This Row],[Gegner]]="","",VLOOKUP(Chronologie[[#This Row],[Gegner]],Orte[],5,FALSE))</f>
        <v/>
      </c>
      <c r="S120" s="87" t="str">
        <f>IF(Chronologie[[#This Row],[Gegner]]="","",IF(Chronologie[[#This Row],[H/A]]="H",4,VLOOKUP(Chronologie[[#This Row],[Gegner]],Orte[],6,FALSE)))</f>
        <v/>
      </c>
      <c r="T120" s="85"/>
      <c r="U120" s="368" t="str">
        <f>IFERROR(TIMEVALUE(LEFT(Chronologie[[#This Row],[Startzeit]],5)),"")</f>
        <v/>
      </c>
      <c r="V120" s="325" t="str">
        <f>IFERROR(TIMEVALUE(LEFT(Chronologie[[#This Row],[Startzeit]],5))+TIME(12/Chronologie[[#This Row],[Bahnen]],0,0),"")</f>
        <v/>
      </c>
      <c r="W120" s="1"/>
      <c r="AC120" s="6"/>
      <c r="AD120" s="1"/>
    </row>
    <row r="121" spans="5:30" x14ac:dyDescent="0.3">
      <c r="E121" s="60">
        <f t="shared" si="9"/>
        <v>119</v>
      </c>
      <c r="F121" s="61" t="str">
        <f>Chronologie[[#This Row],[Team]]&amp;"-"&amp;Chronologie[[#This Row],[L/P/E]]&amp;"-"&amp;Chronologie[[#This Row],[ST]]</f>
        <v>--</v>
      </c>
      <c r="G121" s="68"/>
      <c r="H121" s="61"/>
      <c r="I121" s="61"/>
      <c r="J121" s="64"/>
      <c r="K121" s="67"/>
      <c r="L121" s="72">
        <f>IF(Chronologie[[#This Row],[H/A]]="A",VLOOKUP(Chronologie[[#This Row],[Gegner]],Orte[],4,FALSE),IF(Chronologie[[#This Row],[H/A]]="H","Hirschfeld",Chronologie[[#This Row],[Gegner]]))</f>
        <v>0</v>
      </c>
      <c r="M121" s="62"/>
      <c r="N121" s="64">
        <f>Chronologie[[#This Row],[SA-NR]]</f>
        <v>119</v>
      </c>
      <c r="O121" s="64" t="str">
        <f ca="1">IF(Chronologie[[#This Row],[Datum]]="","",IF(TODAY()&gt;=Chronologie[[#This Row],[Datum]],1,0))</f>
        <v/>
      </c>
      <c r="P121" s="64">
        <f>IF(COUNTIFS(Eingabe[ID],Chronologie[[#This Row],[ID]],Eingabe[GES],"&gt;0")&gt;=1,1,0)</f>
        <v>0</v>
      </c>
      <c r="Q121" s="75" t="str">
        <f>IF(YEAR(Chronologie[[#This Row],[Datum]])=2025,WEEKNUM(Chronologie[[#This Row],[Datum]],2)-34,IF(YEAR(Chronologie[[#This Row],[Datum]])=2026,WEEKNUM(Chronologie[[#This Row],[Datum]],2)+18,""))</f>
        <v/>
      </c>
      <c r="R121" s="87" t="str">
        <f>IF(Chronologie[[#This Row],[Gegner]]="","",VLOOKUP(Chronologie[[#This Row],[Gegner]],Orte[],5,FALSE))</f>
        <v/>
      </c>
      <c r="S121" s="87" t="str">
        <f>IF(Chronologie[[#This Row],[Gegner]]="","",IF(Chronologie[[#This Row],[H/A]]="H",4,VLOOKUP(Chronologie[[#This Row],[Gegner]],Orte[],6,FALSE)))</f>
        <v/>
      </c>
      <c r="T121" s="85"/>
      <c r="U121" s="368" t="str">
        <f>IFERROR(TIMEVALUE(LEFT(Chronologie[[#This Row],[Startzeit]],5)),"")</f>
        <v/>
      </c>
      <c r="V121" s="325" t="str">
        <f>IFERROR(TIMEVALUE(LEFT(Chronologie[[#This Row],[Startzeit]],5))+TIME(12/Chronologie[[#This Row],[Bahnen]],0,0),"")</f>
        <v/>
      </c>
      <c r="W121" s="1"/>
      <c r="AC121" s="6"/>
      <c r="AD121" s="1"/>
    </row>
    <row r="122" spans="5:30" x14ac:dyDescent="0.3">
      <c r="E122" s="392">
        <f t="shared" si="9"/>
        <v>120</v>
      </c>
      <c r="F122" s="393" t="str">
        <f>Chronologie[[#This Row],[Team]]&amp;"-"&amp;Chronologie[[#This Row],[L/P/E]]&amp;"-"&amp;Chronologie[[#This Row],[ST]]</f>
        <v>--</v>
      </c>
      <c r="G122" s="394"/>
      <c r="H122" s="393"/>
      <c r="I122" s="393"/>
      <c r="J122" s="393"/>
      <c r="K122" s="367"/>
      <c r="L122" s="72">
        <f>IF(Chronologie[[#This Row],[H/A]]="A",VLOOKUP(Chronologie[[#This Row],[Gegner]],Orte[],4,FALSE),IF(Chronologie[[#This Row],[H/A]]="H","Hirschfeld",Chronologie[[#This Row],[Gegner]]))</f>
        <v>0</v>
      </c>
      <c r="M122" s="394"/>
      <c r="N122" s="393">
        <f>Chronologie[[#This Row],[SA-NR]]</f>
        <v>120</v>
      </c>
      <c r="O122" s="64" t="str">
        <f ca="1">IF(Chronologie[[#This Row],[Datum]]="","",IF(TODAY()&gt;=Chronologie[[#This Row],[Datum]],1,0))</f>
        <v/>
      </c>
      <c r="P122" s="395">
        <f>IF(COUNTIFS(Eingabe[ID],Chronologie[[#This Row],[ID]],Eingabe[GES],"&gt;0")&gt;=1,1,0)</f>
        <v>0</v>
      </c>
      <c r="Q122" s="396" t="str">
        <f>IF(YEAR(Chronologie[[#This Row],[Datum]])=2025,WEEKNUM(Chronologie[[#This Row],[Datum]],2)-34,IF(YEAR(Chronologie[[#This Row],[Datum]])=2026,WEEKNUM(Chronologie[[#This Row],[Datum]],2)+18,""))</f>
        <v/>
      </c>
      <c r="R122" s="397" t="str">
        <f>IF(Chronologie[[#This Row],[Gegner]]="","",VLOOKUP(Chronologie[[#This Row],[Gegner]],Orte[],5,FALSE))</f>
        <v/>
      </c>
      <c r="S122" s="397" t="str">
        <f>IF(Chronologie[[#This Row],[Gegner]]="","",IF(Chronologie[[#This Row],[H/A]]="H",4,VLOOKUP(Chronologie[[#This Row],[Gegner]],Orte[],6,FALSE)))</f>
        <v/>
      </c>
      <c r="T122" s="398"/>
      <c r="U122" s="368" t="str">
        <f>IFERROR(TIMEVALUE(LEFT(Chronologie[[#This Row],[Startzeit]],5)),"")</f>
        <v/>
      </c>
      <c r="V122" s="325" t="str">
        <f>IFERROR(TIMEVALUE(LEFT(Chronologie[[#This Row],[Startzeit]],5))+TIME(12/Chronologie[[#This Row],[Bahnen]],0,0),"")</f>
        <v/>
      </c>
      <c r="W122" s="1"/>
      <c r="AC122" s="6"/>
      <c r="AD122" s="1"/>
    </row>
    <row r="123" spans="5:30" x14ac:dyDescent="0.3">
      <c r="E123" s="392">
        <f t="shared" si="9"/>
        <v>121</v>
      </c>
      <c r="F123" s="393" t="str">
        <f>Chronologie[[#This Row],[Team]]&amp;"-"&amp;Chronologie[[#This Row],[L/P/E]]&amp;"-"&amp;Chronologie[[#This Row],[ST]]</f>
        <v>--</v>
      </c>
      <c r="G123" s="394"/>
      <c r="H123" s="393"/>
      <c r="I123" s="393"/>
      <c r="J123" s="393"/>
      <c r="K123" s="367"/>
      <c r="L123" s="72">
        <f>IF(Chronologie[[#This Row],[H/A]]="A",VLOOKUP(Chronologie[[#This Row],[Gegner]],Orte[],4,FALSE),IF(Chronologie[[#This Row],[H/A]]="H","Hirschfeld",Chronologie[[#This Row],[Gegner]]))</f>
        <v>0</v>
      </c>
      <c r="M123" s="394"/>
      <c r="N123" s="393">
        <f>Chronologie[[#This Row],[SA-NR]]</f>
        <v>121</v>
      </c>
      <c r="O123" s="64" t="str">
        <f ca="1">IF(Chronologie[[#This Row],[Datum]]="","",IF(TODAY()&gt;=Chronologie[[#This Row],[Datum]],1,0))</f>
        <v/>
      </c>
      <c r="P123" s="395">
        <f>IF(COUNTIFS(Eingabe[ID],Chronologie[[#This Row],[ID]],Eingabe[GES],"&gt;0")&gt;=1,1,0)</f>
        <v>0</v>
      </c>
      <c r="Q123" s="396" t="str">
        <f>IF(YEAR(Chronologie[[#This Row],[Datum]])=2025,WEEKNUM(Chronologie[[#This Row],[Datum]],2)-34,IF(YEAR(Chronologie[[#This Row],[Datum]])=2026,WEEKNUM(Chronologie[[#This Row],[Datum]],2)+18,""))</f>
        <v/>
      </c>
      <c r="R123" s="397" t="str">
        <f>IF(Chronologie[[#This Row],[Gegner]]="","",VLOOKUP(Chronologie[[#This Row],[Gegner]],Orte[],5,FALSE))</f>
        <v/>
      </c>
      <c r="S123" s="397" t="str">
        <f>IF(Chronologie[[#This Row],[Gegner]]="","",IF(Chronologie[[#This Row],[H/A]]="H",4,VLOOKUP(Chronologie[[#This Row],[Gegner]],Orte[],6,FALSE)))</f>
        <v/>
      </c>
      <c r="T123" s="398"/>
      <c r="U123" s="368" t="str">
        <f>IFERROR(TIMEVALUE(LEFT(Chronologie[[#This Row],[Startzeit]],5)),"")</f>
        <v/>
      </c>
      <c r="V123" s="325" t="str">
        <f>IFERROR(TIMEVALUE(LEFT(Chronologie[[#This Row],[Startzeit]],5))+TIME(12/Chronologie[[#This Row],[Bahnen]],0,0),"")</f>
        <v/>
      </c>
      <c r="W123" s="1"/>
      <c r="AC123" s="6"/>
      <c r="AD123" s="1"/>
    </row>
    <row r="124" spans="5:30" x14ac:dyDescent="0.3">
      <c r="E124" s="392">
        <f t="shared" si="9"/>
        <v>122</v>
      </c>
      <c r="F124" s="393" t="str">
        <f>Chronologie[[#This Row],[Team]]&amp;"-"&amp;Chronologie[[#This Row],[L/P/E]]&amp;"-"&amp;Chronologie[[#This Row],[ST]]</f>
        <v>--</v>
      </c>
      <c r="G124" s="394"/>
      <c r="H124" s="393"/>
      <c r="I124" s="393"/>
      <c r="J124" s="393"/>
      <c r="K124" s="367"/>
      <c r="L124" s="72">
        <f>IF(Chronologie[[#This Row],[H/A]]="A",VLOOKUP(Chronologie[[#This Row],[Gegner]],Orte[],4,FALSE),IF(Chronologie[[#This Row],[H/A]]="H","Hirschfeld",Chronologie[[#This Row],[Gegner]]))</f>
        <v>0</v>
      </c>
      <c r="M124" s="394"/>
      <c r="N124" s="393">
        <f>Chronologie[[#This Row],[SA-NR]]</f>
        <v>122</v>
      </c>
      <c r="O124" s="64" t="str">
        <f ca="1">IF(Chronologie[[#This Row],[Datum]]="","",IF(TODAY()&gt;=Chronologie[[#This Row],[Datum]],1,0))</f>
        <v/>
      </c>
      <c r="P124" s="395">
        <f>IF(COUNTIFS(Eingabe[ID],Chronologie[[#This Row],[ID]],Eingabe[GES],"&gt;0")&gt;=1,1,0)</f>
        <v>0</v>
      </c>
      <c r="Q124" s="396" t="str">
        <f>IF(YEAR(Chronologie[[#This Row],[Datum]])=2025,WEEKNUM(Chronologie[[#This Row],[Datum]],2)-34,IF(YEAR(Chronologie[[#This Row],[Datum]])=2026,WEEKNUM(Chronologie[[#This Row],[Datum]],2)+18,""))</f>
        <v/>
      </c>
      <c r="R124" s="397" t="str">
        <f>IF(Chronologie[[#This Row],[Gegner]]="","",VLOOKUP(Chronologie[[#This Row],[Gegner]],Orte[],5,FALSE))</f>
        <v/>
      </c>
      <c r="S124" s="397" t="str">
        <f>IF(Chronologie[[#This Row],[Gegner]]="","",IF(Chronologie[[#This Row],[H/A]]="H",4,VLOOKUP(Chronologie[[#This Row],[Gegner]],Orte[],6,FALSE)))</f>
        <v/>
      </c>
      <c r="T124" s="398"/>
      <c r="U124" s="368" t="str">
        <f>IFERROR(TIMEVALUE(LEFT(Chronologie[[#This Row],[Startzeit]],5)),"")</f>
        <v/>
      </c>
      <c r="V124" s="325" t="str">
        <f>IFERROR(TIMEVALUE(LEFT(Chronologie[[#This Row],[Startzeit]],5))+TIME(12/Chronologie[[#This Row],[Bahnen]],0,0),"")</f>
        <v/>
      </c>
      <c r="W124" s="1"/>
      <c r="AC124" s="6"/>
      <c r="AD124" s="1"/>
    </row>
    <row r="125" spans="5:30" x14ac:dyDescent="0.3">
      <c r="E125" s="392">
        <f t="shared" si="9"/>
        <v>123</v>
      </c>
      <c r="F125" s="393" t="str">
        <f>Chronologie[[#This Row],[Team]]&amp;"-"&amp;Chronologie[[#This Row],[L/P/E]]&amp;"-"&amp;Chronologie[[#This Row],[ST]]</f>
        <v>--</v>
      </c>
      <c r="G125" s="394"/>
      <c r="H125" s="393"/>
      <c r="I125" s="393"/>
      <c r="J125" s="393"/>
      <c r="K125" s="367"/>
      <c r="L125" s="72">
        <f>IF(Chronologie[[#This Row],[H/A]]="A",VLOOKUP(Chronologie[[#This Row],[Gegner]],Orte[],4,FALSE),IF(Chronologie[[#This Row],[H/A]]="H","Hirschfeld",Chronologie[[#This Row],[Gegner]]))</f>
        <v>0</v>
      </c>
      <c r="M125" s="394"/>
      <c r="N125" s="393">
        <f>Chronologie[[#This Row],[SA-NR]]</f>
        <v>123</v>
      </c>
      <c r="O125" s="64" t="str">
        <f ca="1">IF(Chronologie[[#This Row],[Datum]]="","",IF(TODAY()&gt;=Chronologie[[#This Row],[Datum]],1,0))</f>
        <v/>
      </c>
      <c r="P125" s="395">
        <f>IF(COUNTIFS(Eingabe[ID],Chronologie[[#This Row],[ID]],Eingabe[GES],"&gt;0")&gt;=1,1,0)</f>
        <v>0</v>
      </c>
      <c r="Q125" s="396" t="str">
        <f>IF(YEAR(Chronologie[[#This Row],[Datum]])=2025,WEEKNUM(Chronologie[[#This Row],[Datum]],2)-34,IF(YEAR(Chronologie[[#This Row],[Datum]])=2026,WEEKNUM(Chronologie[[#This Row],[Datum]],2)+18,""))</f>
        <v/>
      </c>
      <c r="R125" s="397" t="str">
        <f>IF(Chronologie[[#This Row],[Gegner]]="","",VLOOKUP(Chronologie[[#This Row],[Gegner]],Orte[],5,FALSE))</f>
        <v/>
      </c>
      <c r="S125" s="397" t="str">
        <f>IF(Chronologie[[#This Row],[Gegner]]="","",IF(Chronologie[[#This Row],[H/A]]="H",4,VLOOKUP(Chronologie[[#This Row],[Gegner]],Orte[],6,FALSE)))</f>
        <v/>
      </c>
      <c r="T125" s="398"/>
      <c r="U125" s="368" t="str">
        <f>IFERROR(TIMEVALUE(LEFT(Chronologie[[#This Row],[Startzeit]],5)),"")</f>
        <v/>
      </c>
      <c r="V125" s="325" t="str">
        <f>IFERROR(TIMEVALUE(LEFT(Chronologie[[#This Row],[Startzeit]],5))+TIME(12/Chronologie[[#This Row],[Bahnen]],0,0),"")</f>
        <v/>
      </c>
      <c r="W125" s="1"/>
      <c r="AC125" s="6"/>
      <c r="AD125" s="1"/>
    </row>
    <row r="126" spans="5:30" x14ac:dyDescent="0.3">
      <c r="E126" s="1"/>
      <c r="F126" s="1"/>
      <c r="K126" s="1"/>
    </row>
    <row r="127" spans="5:30" x14ac:dyDescent="0.3">
      <c r="E127" s="1"/>
      <c r="F127" s="1"/>
      <c r="K127" s="1"/>
    </row>
    <row r="128" spans="5:30" x14ac:dyDescent="0.3">
      <c r="E128" s="1"/>
      <c r="F128" s="1"/>
      <c r="K128" s="1"/>
    </row>
    <row r="129" spans="5:11" x14ac:dyDescent="0.3">
      <c r="E129" s="1"/>
      <c r="F129" s="1"/>
      <c r="K129" s="1"/>
    </row>
    <row r="130" spans="5:11" x14ac:dyDescent="0.3">
      <c r="E130" s="1"/>
      <c r="F130" s="1"/>
      <c r="K130" s="1"/>
    </row>
    <row r="131" spans="5:11" x14ac:dyDescent="0.3">
      <c r="E131" s="1"/>
      <c r="F131" s="1"/>
      <c r="K131" s="1"/>
    </row>
    <row r="132" spans="5:11" x14ac:dyDescent="0.3">
      <c r="E132" s="1"/>
      <c r="F132" s="1"/>
      <c r="K132" s="1"/>
    </row>
    <row r="133" spans="5:11" x14ac:dyDescent="0.3">
      <c r="E133" s="1"/>
      <c r="F133" s="1"/>
      <c r="K133" s="1"/>
    </row>
    <row r="134" spans="5:11" x14ac:dyDescent="0.3">
      <c r="E134" s="1"/>
      <c r="F134" s="1"/>
      <c r="K134" s="1"/>
    </row>
  </sheetData>
  <mergeCells count="3">
    <mergeCell ref="A1:C1"/>
    <mergeCell ref="E1:W1"/>
    <mergeCell ref="Y1:AD1"/>
  </mergeCells>
  <phoneticPr fontId="1" type="noConversion"/>
  <conditionalFormatting sqref="A3:C53">
    <cfRule type="expression" dxfId="430" priority="122">
      <formula>$C3="Z"</formula>
    </cfRule>
    <cfRule type="expression" dxfId="429" priority="123">
      <formula>$C3="D"</formula>
    </cfRule>
    <cfRule type="expression" dxfId="428" priority="124">
      <formula>$C3="U14"</formula>
    </cfRule>
    <cfRule type="expression" dxfId="427" priority="125">
      <formula>$C3="F"</formula>
    </cfRule>
    <cfRule type="expression" dxfId="426" priority="130">
      <formula>$C3="E"</formula>
    </cfRule>
  </conditionalFormatting>
  <conditionalFormatting sqref="F3:F125">
    <cfRule type="duplicateValues" dxfId="425" priority="2945"/>
  </conditionalFormatting>
  <conditionalFormatting sqref="T3:V3 E3:S4 T4:U102 V4:V125 E5:L5 M5:S20 K6:L20 E6:J87 K21:S72 O71:O125 K73:K87 M73:S121 L73:L125 E88:K121 U103:U112 T103:T121">
    <cfRule type="expression" dxfId="424" priority="119">
      <formula>$I3="LEM"</formula>
    </cfRule>
    <cfRule type="expression" dxfId="423" priority="120">
      <formula>$I3="BEM"</formula>
    </cfRule>
    <cfRule type="expression" dxfId="422" priority="121">
      <formula>$I3="KEM"</formula>
    </cfRule>
    <cfRule type="expression" dxfId="421" priority="131">
      <formula>$H3="U14"</formula>
    </cfRule>
    <cfRule type="expression" dxfId="420" priority="132">
      <formula>$H3="F"</formula>
    </cfRule>
    <cfRule type="expression" dxfId="419" priority="133">
      <formula>$H3="D"</formula>
    </cfRule>
    <cfRule type="expression" dxfId="418" priority="134">
      <formula>$H3="Z"</formula>
    </cfRule>
    <cfRule type="expression" dxfId="417" priority="135">
      <formula>$H3="E"</formula>
    </cfRule>
  </conditionalFormatting>
  <dataValidations count="1">
    <dataValidation type="list" allowBlank="1" showInputMessage="1" showErrorMessage="1" sqref="K3:K125" xr:uid="{1E6AD7F8-164C-44B7-BD5D-5903C38ECD68}">
      <formula1>$X:$X</formula1>
    </dataValidation>
  </dataValidations>
  <pageMargins left="0.7" right="0.7" top="0.78740157499999996" bottom="0.78740157499999996" header="0.3" footer="0.3"/>
  <pageSetup paperSize="9" orientation="portrait" horizontalDpi="4294967293" verticalDpi="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iconSet" priority="2947" id="{E8E9F62B-0C50-41FB-9A66-41A14F77707F}">
            <x14:iconSet showValue="0" custom="1">
              <x14:cfvo type="percent">
                <xm:f>0</xm:f>
              </x14:cfvo>
              <x14:cfvo type="num">
                <xm:f>0</xm:f>
              </x14:cfvo>
              <x14:cfvo type="num">
                <xm:f>1</xm:f>
              </x14:cfvo>
              <x14:cfIcon iconSet="3Symbols2" iconId="1"/>
              <x14:cfIcon iconSet="3Symbols2" iconId="0"/>
              <x14:cfIcon iconSet="3Symbols2" iconId="2"/>
            </x14:iconSet>
          </x14:cfRule>
          <xm:sqref>O3:O125</xm:sqref>
        </x14:conditionalFormatting>
        <x14:conditionalFormatting xmlns:xm="http://schemas.microsoft.com/office/excel/2006/main">
          <x14:cfRule type="iconSet" priority="2949" id="{EFB6D673-D72F-42C3-B53F-46DDADB10F98}">
            <x14:iconSet showValue="0" custom="1">
              <x14:cfvo type="percent">
                <xm:f>0</xm:f>
              </x14:cfvo>
              <x14:cfvo type="num">
                <xm:f>0</xm:f>
              </x14:cfvo>
              <x14:cfvo type="num">
                <xm:f>1</xm:f>
              </x14:cfvo>
              <x14:cfIcon iconSet="3Symbols2" iconId="1"/>
              <x14:cfIcon iconSet="3Symbols2" iconId="0"/>
              <x14:cfIcon iconSet="3Symbols2" iconId="2"/>
            </x14:iconSet>
          </x14:cfRule>
          <xm:sqref>P3:P125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ABC70-9217-415C-9B42-DC9E38998AE3}">
  <sheetPr>
    <pageSetUpPr fitToPage="1"/>
  </sheetPr>
  <dimension ref="A1:S199"/>
  <sheetViews>
    <sheetView topLeftCell="A11" workbookViewId="0">
      <selection activeCell="C12" sqref="C12"/>
    </sheetView>
  </sheetViews>
  <sheetFormatPr baseColWidth="10" defaultRowHeight="30" customHeight="1" x14ac:dyDescent="0.3"/>
  <cols>
    <col min="1" max="1" width="19.44140625" style="354" bestFit="1" customWidth="1"/>
    <col min="2" max="2" width="8.109375" style="354" bestFit="1" customWidth="1"/>
    <col min="3" max="3" width="10" style="354" bestFit="1" customWidth="1"/>
    <col min="4" max="4" width="8.109375" style="354" bestFit="1" customWidth="1"/>
    <col min="5" max="5" width="6.77734375" style="354" bestFit="1" customWidth="1"/>
    <col min="6" max="6" width="8.109375" style="354" bestFit="1" customWidth="1"/>
    <col min="7" max="7" width="8.21875" style="354" bestFit="1" customWidth="1"/>
    <col min="8" max="8" width="8.6640625" style="354" bestFit="1" customWidth="1"/>
    <col min="9" max="10" width="6" style="354" bestFit="1" customWidth="1"/>
    <col min="11" max="14" width="7.5546875" style="354" bestFit="1" customWidth="1"/>
    <col min="15" max="15" width="6.5546875" style="354" bestFit="1" customWidth="1"/>
    <col min="16" max="16" width="8.44140625" style="354" customWidth="1"/>
    <col min="17" max="17" width="9.88671875" style="354" bestFit="1" customWidth="1"/>
    <col min="18" max="18" width="8.109375" style="354" bestFit="1" customWidth="1"/>
    <col min="19" max="19" width="8.21875" style="354" bestFit="1" customWidth="1"/>
    <col min="20" max="16384" width="11.5546875" style="354"/>
  </cols>
  <sheetData>
    <row r="1" spans="1:19" ht="30" hidden="1" customHeight="1" thickBot="1" x14ac:dyDescent="0.35">
      <c r="A1" s="353" t="str">
        <f>VLOOKUP(ROUNDUP(ROW()/4,0),Teamzuordnung[],2,FALSE)</f>
        <v>Anastasia Landau</v>
      </c>
      <c r="B1" s="349" t="s">
        <v>63</v>
      </c>
      <c r="C1" s="347" t="s">
        <v>610</v>
      </c>
      <c r="D1" s="347" t="s">
        <v>605</v>
      </c>
      <c r="E1" s="346" t="s">
        <v>100</v>
      </c>
      <c r="F1" s="346" t="s">
        <v>21</v>
      </c>
      <c r="G1" s="346" t="s">
        <v>22</v>
      </c>
      <c r="H1" s="346" t="s">
        <v>23</v>
      </c>
      <c r="I1" s="346" t="s">
        <v>24</v>
      </c>
      <c r="J1" s="346" t="s">
        <v>25</v>
      </c>
      <c r="K1" s="346" t="s">
        <v>606</v>
      </c>
      <c r="L1" s="346" t="s">
        <v>607</v>
      </c>
      <c r="M1" s="346" t="s">
        <v>608</v>
      </c>
      <c r="N1" s="346" t="s">
        <v>609</v>
      </c>
      <c r="O1" s="346" t="s">
        <v>218</v>
      </c>
      <c r="P1" s="346" t="s">
        <v>454</v>
      </c>
      <c r="Q1" s="347" t="s">
        <v>199</v>
      </c>
      <c r="R1" s="347" t="s">
        <v>603</v>
      </c>
      <c r="S1" s="348" t="s">
        <v>604</v>
      </c>
    </row>
    <row r="2" spans="1:19" ht="30" hidden="1" customHeight="1" thickBot="1" x14ac:dyDescent="0.35">
      <c r="A2" s="350" t="s">
        <v>26</v>
      </c>
      <c r="B2" s="355" t="str">
        <f>IFERROR(VLOOKUP(A1,AuswertungG[],8,FALSE)&amp;" ["&amp;_xlfn.RANK.EQ(VLOOKUP(A1,AuswertungG[],8,FALSE),AuswertungG[GES],0)&amp;"]","")</f>
        <v/>
      </c>
      <c r="C2" s="356" t="str">
        <f>VLOOKUP(A1,Vorjahr[],2,FALSE)</f>
        <v/>
      </c>
      <c r="D2" s="356" t="str">
        <f>IFERROR(VLOOKUP(A1,Rekorde[],3,FALSE)&amp;" ["&amp;_xlfn.RANK.EQ(VLOOKUP(A1,Rekorde[],3,FALSE),Rekorde[GES],0)&amp;"]","")</f>
        <v/>
      </c>
      <c r="E2" s="356">
        <f>VLOOKUP(A1,AuswertungG[],3,FALSE)</f>
        <v>0</v>
      </c>
      <c r="F2" s="356" t="str">
        <f>IFERROR(VLOOKUP(A1,AuswertungG[],5,FALSE)&amp;" ["&amp;_xlfn.RANK.EQ(VLOOKUP(A1,AuswertungG[],5,FALSE),AuswertungG[Volle],0)&amp;"]","")</f>
        <v/>
      </c>
      <c r="G2" s="356" t="str">
        <f>IFERROR(VLOOKUP(A1,AuswertungG[],6,FALSE)&amp;" ["&amp;_xlfn.RANK.EQ(VLOOKUP(A1,AuswertungG[],6,FALSE),AuswertungG[Räumer],0)&amp;"]","")</f>
        <v/>
      </c>
      <c r="H2" s="356" t="str">
        <f>IFERROR(VLOOKUP(A1,AuswertungG[],7,FALSE)&amp;" ["&amp;_xlfn.RANK.EQ(VLOOKUP(A1,AuswertungG[],7,FALSE),AuswertungG[Fehler],1)&amp;"]","")</f>
        <v/>
      </c>
      <c r="I2" s="357" t="str">
        <f>IFERROR(VLOOKUP(A1,AuswertungG[],9,FALSE)/4,"")</f>
        <v/>
      </c>
      <c r="J2" s="357" t="str">
        <f>VLOOKUP(A1,AuswertungG[],10,FALSE)</f>
        <v/>
      </c>
      <c r="K2" s="356" t="str">
        <f>VLOOKUP(A1,AuswertungG[],11,FALSE)</f>
        <v/>
      </c>
      <c r="L2" s="356" t="str">
        <f>VLOOKUP(A1,AuswertungG[],12,FALSE)</f>
        <v/>
      </c>
      <c r="M2" s="356" t="str">
        <f>VLOOKUP(A1,AuswertungG[],13,FALSE)</f>
        <v/>
      </c>
      <c r="N2" s="356" t="str">
        <f>VLOOKUP(A1,AuswertungG[],14,FALSE)</f>
        <v/>
      </c>
      <c r="O2" s="356" t="str">
        <f>VLOOKUP(A1,AuswertungG[],19,FALSE)</f>
        <v/>
      </c>
      <c r="P2" s="356" t="str">
        <f>IFERROR(VLOOKUP(A1,AuswertungG[],22,FALSE)&amp;" ["&amp;_xlfn.RANK.EQ(VLOOKUP(A1,AuswertungG[],22,FALSE),AuswertungG[GEGGES],0)&amp;"]","")</f>
        <v/>
      </c>
      <c r="Q2" s="356" t="str">
        <f>VLOOKUP(A1,AuswertungG[],25,FALSE)</f>
        <v/>
      </c>
      <c r="R2" s="356" t="str">
        <f>IFERROR(VLOOKUP(A1,Rekorde[],4,FALSE)&amp;" ["&amp;_xlfn.RANK.EQ(VLOOKUP(A1,Rekorde[],4,FALSE),Rekorde[Volle],0)&amp;"]","")</f>
        <v/>
      </c>
      <c r="S2" s="356" t="str">
        <f>IFERROR(VLOOKUP(A1,Rekorde[],5,FALSE)&amp;" ["&amp;_xlfn.RANK.EQ(VLOOKUP(A1,Rekorde[],5,FALSE),Rekorde[Räumer],0)&amp;"]","")</f>
        <v/>
      </c>
    </row>
    <row r="3" spans="1:19" ht="30" hidden="1" customHeight="1" thickBot="1" x14ac:dyDescent="0.35">
      <c r="A3" s="351" t="s">
        <v>118</v>
      </c>
      <c r="B3" s="358" t="str">
        <f>IFERROR(VLOOKUP(A1,AuswertungH[],8,FALSE)&amp;" ["&amp;_xlfn.RANK.EQ(VLOOKUP(A1,AuswertungH[],8,FALSE),AuswertungH[GES H],0)&amp;"]","")</f>
        <v/>
      </c>
      <c r="C3" s="359" t="str">
        <f>VLOOKUP(A1,Vorjahr[],6,FALSE)</f>
        <v/>
      </c>
      <c r="D3" s="359" t="str">
        <f>IFERROR(VLOOKUP(A1,Rekorde[],13,FALSE)&amp;" ["&amp;_xlfn.RANK.EQ(VLOOKUP(A1,Rekorde[],13,FALSE),Rekorde[GES H],0)&amp;"]","")</f>
        <v/>
      </c>
      <c r="E3" s="359">
        <f>VLOOKUP(A1,AuswertungH[],3,FALSE)</f>
        <v>0</v>
      </c>
      <c r="F3" s="359" t="str">
        <f>IFERROR(VLOOKUP(A1,AuswertungG[],5,FALSE)&amp;" ["&amp;_xlfn.RANK.EQ(VLOOKUP(A1,AuswertungH[],5,FALSE),AuswertungH[Volle H],0)&amp;"]","")</f>
        <v/>
      </c>
      <c r="G3" s="359" t="str">
        <f>IFERROR(VLOOKUP(A1,AuswertungH[],6,FALSE)&amp;" ["&amp;_xlfn.RANK.EQ(VLOOKUP(A1,AuswertungH[],6,FALSE),AuswertungH[Räumer H],0)&amp;"]","")</f>
        <v/>
      </c>
      <c r="H3" s="359" t="str">
        <f>IFERROR(VLOOKUP(A1,AuswertungH[],7,FALSE)&amp;" ["&amp;_xlfn.RANK.EQ(VLOOKUP(A1,AuswertungH[],7,FALSE),AuswertungH[Fehler H],1)&amp;"]","")</f>
        <v/>
      </c>
      <c r="I3" s="360" t="str">
        <f>IFERROR(VLOOKUP(A1,AuswertungH[],9,FALSE)/4,"")</f>
        <v/>
      </c>
      <c r="J3" s="360" t="str">
        <f>VLOOKUP(A1,AuswertungH[],10,FALSE)</f>
        <v/>
      </c>
      <c r="K3" s="359" t="str">
        <f>VLOOKUP(A1,AuswertungH[],11,FALSE)</f>
        <v/>
      </c>
      <c r="L3" s="359" t="str">
        <f>VLOOKUP(A1,AuswertungH[],12,FALSE)</f>
        <v/>
      </c>
      <c r="M3" s="359" t="str">
        <f>VLOOKUP(A1,AuswertungH[],13,FALSE)</f>
        <v/>
      </c>
      <c r="N3" s="359" t="str">
        <f>VLOOKUP(A1,AuswertungH[],14,FALSE)</f>
        <v/>
      </c>
      <c r="O3" s="359">
        <f>VLOOKUP(A1,AuswertungH[],19,FALSE)</f>
        <v>0</v>
      </c>
      <c r="P3" s="359" t="str">
        <f>IFERROR(VLOOKUP(A1,AuswertungH[],22,FALSE)&amp;" ["&amp;_xlfn.RANK.EQ(VLOOKUP(A1,AuswertungH[],22,FALSE),AuswertungH[GEGGES H],0)&amp;"]","")</f>
        <v/>
      </c>
      <c r="Q3" s="359" t="str">
        <f>VLOOKUP(A1,AuswertungH[],25,FALSE)</f>
        <v/>
      </c>
      <c r="R3" s="359" t="str">
        <f>IFERROR(VLOOKUP(A1,Rekorde[],14,FALSE)&amp;" ["&amp;_xlfn.RANK.EQ(VLOOKUP(A1,Rekorde[],14,FALSE),Rekorde[Volle H],0)&amp;"]","")</f>
        <v/>
      </c>
      <c r="S3" s="359" t="str">
        <f>IFERROR(VLOOKUP(A1,Rekorde[],15,FALSE)&amp;" ["&amp;_xlfn.RANK.EQ(VLOOKUP(A1,Rekorde[],15,FALSE),Rekorde[Räumer H],0)&amp;"]","")</f>
        <v/>
      </c>
    </row>
    <row r="4" spans="1:19" ht="30" hidden="1" customHeight="1" thickBot="1" x14ac:dyDescent="0.35">
      <c r="A4" s="352" t="s">
        <v>119</v>
      </c>
      <c r="B4" s="361" t="str">
        <f>IFERROR(VLOOKUP(A1,AuswertungH[],8,FALSE)&amp;" ["&amp;_xlfn.RANK.EQ(VLOOKUP(A1,AuswertungA[],8,FALSE),AuswertungA[GES A],0)&amp;"]","")</f>
        <v/>
      </c>
      <c r="C4" s="362" t="str">
        <f>VLOOKUP(A1,Vorjahr[],10,FALSE)</f>
        <v/>
      </c>
      <c r="D4" s="362" t="str">
        <f>IFERROR(VLOOKUP(A1,Rekorde[],23,FALSE)&amp;" ["&amp;_xlfn.RANK.EQ(VLOOKUP(A1,Rekorde[],23,FALSE),Rekorde[GES A],0)&amp;"]","")</f>
        <v/>
      </c>
      <c r="E4" s="362">
        <f>VLOOKUP(A1,AuswertungA[],3,FALSE)</f>
        <v>0</v>
      </c>
      <c r="F4" s="362" t="str">
        <f>IFERROR(VLOOKUP(A1,AuswertungA[],5,FALSE)&amp;" ["&amp;_xlfn.RANK.EQ(VLOOKUP(A1,AuswertungA[],5,FALSE),AuswertungA[Volle A],0)&amp;"]","")</f>
        <v/>
      </c>
      <c r="G4" s="362" t="str">
        <f>IFERROR(VLOOKUP(A1,AuswertungA[],6,FALSE)&amp;" ["&amp;_xlfn.RANK.EQ(VLOOKUP(A1,AuswertungA[],6,FALSE),AuswertungA[Räumer A],0)&amp;"]","")</f>
        <v/>
      </c>
      <c r="H4" s="362" t="str">
        <f>IFERROR(VLOOKUP(A1,AuswertungA[],7,FALSE)&amp;" ["&amp;_xlfn.RANK.EQ(VLOOKUP(A1,AuswertungA[],7,FALSE),AuswertungA[Fehler A],1)&amp;"]","")</f>
        <v/>
      </c>
      <c r="I4" s="363" t="str">
        <f>IFERROR(VLOOKUP(A1,AuswertungA[],9,FALSE)/4,"")</f>
        <v/>
      </c>
      <c r="J4" s="363" t="str">
        <f>VLOOKUP(A1,AuswertungA[],10,FALSE)</f>
        <v/>
      </c>
      <c r="K4" s="362" t="str">
        <f>VLOOKUP(A1,AuswertungA[],11,FALSE)</f>
        <v/>
      </c>
      <c r="L4" s="362" t="str">
        <f>VLOOKUP(A1,AuswertungA[],12,FALSE)</f>
        <v/>
      </c>
      <c r="M4" s="362" t="str">
        <f>VLOOKUP(A1,AuswertungA[],13,FALSE)</f>
        <v/>
      </c>
      <c r="N4" s="362" t="str">
        <f>VLOOKUP(A1,AuswertungA[],14,FALSE)</f>
        <v/>
      </c>
      <c r="O4" s="362" t="str">
        <f>VLOOKUP(A1,AuswertungA[],19,FALSE)</f>
        <v/>
      </c>
      <c r="P4" s="362" t="str">
        <f>IFERROR(VLOOKUP(A1,AuswertungA[],22,FALSE)&amp;" ["&amp;_xlfn.RANK.EQ(VLOOKUP(A1,AuswertungA[],22,FALSE),AuswertungA[GEGGES A],0)&amp;"]","")</f>
        <v/>
      </c>
      <c r="Q4" s="362" t="str">
        <f>VLOOKUP(A1,AuswertungA[],25,FALSE)</f>
        <v/>
      </c>
      <c r="R4" s="362" t="str">
        <f>IFERROR(VLOOKUP(A1,Rekorde[],24,FALSE)&amp;" ["&amp;_xlfn.RANK.EQ(VLOOKUP(A1,Rekorde[],24,FALSE),Rekorde[Volle A],0)&amp;"]","")</f>
        <v/>
      </c>
      <c r="S4" s="362" t="str">
        <f>IFERROR(VLOOKUP(A1,Rekorde[],25,FALSE)&amp;" ["&amp;_xlfn.RANK.EQ(VLOOKUP(A1,Rekorde[],25,FALSE),Rekorde[Räumer A],0)&amp;"]","")</f>
        <v/>
      </c>
    </row>
    <row r="5" spans="1:19" ht="30" hidden="1" customHeight="1" thickBot="1" x14ac:dyDescent="0.35"/>
    <row r="6" spans="1:19" ht="30" hidden="1" customHeight="1" thickBot="1" x14ac:dyDescent="0.35">
      <c r="A6" s="353" t="str">
        <f>VLOOKUP(ROUNDUP(ROW()/4,0),Teamzuordnung[],2,FALSE)</f>
        <v>Andreas Ehrlich</v>
      </c>
      <c r="B6" s="349" t="s">
        <v>63</v>
      </c>
      <c r="C6" s="347" t="s">
        <v>610</v>
      </c>
      <c r="D6" s="347" t="s">
        <v>605</v>
      </c>
      <c r="E6" s="346" t="s">
        <v>100</v>
      </c>
      <c r="F6" s="346" t="s">
        <v>21</v>
      </c>
      <c r="G6" s="346" t="s">
        <v>22</v>
      </c>
      <c r="H6" s="346" t="s">
        <v>23</v>
      </c>
      <c r="I6" s="346" t="s">
        <v>24</v>
      </c>
      <c r="J6" s="346" t="s">
        <v>25</v>
      </c>
      <c r="K6" s="346" t="s">
        <v>606</v>
      </c>
      <c r="L6" s="346" t="s">
        <v>607</v>
      </c>
      <c r="M6" s="346" t="s">
        <v>608</v>
      </c>
      <c r="N6" s="346" t="s">
        <v>609</v>
      </c>
      <c r="O6" s="346" t="s">
        <v>218</v>
      </c>
      <c r="P6" s="346" t="s">
        <v>454</v>
      </c>
      <c r="Q6" s="347" t="s">
        <v>199</v>
      </c>
      <c r="R6" s="347" t="s">
        <v>603</v>
      </c>
      <c r="S6" s="348" t="s">
        <v>604</v>
      </c>
    </row>
    <row r="7" spans="1:19" ht="30" hidden="1" customHeight="1" thickBot="1" x14ac:dyDescent="0.35">
      <c r="A7" s="350" t="s">
        <v>26</v>
      </c>
      <c r="B7" s="355" t="str">
        <f>IFERROR(VLOOKUP(A6,AuswertungG[],8,FALSE)&amp;" ["&amp;_xlfn.RANK.EQ(VLOOKUP(A6,AuswertungG[],8,FALSE),AuswertungG[GES],0)&amp;"]","")</f>
        <v>529 [7]</v>
      </c>
      <c r="C7" s="356">
        <f>VLOOKUP(A6,Vorjahr[],2,FALSE)</f>
        <v>506</v>
      </c>
      <c r="D7" s="356" t="str">
        <f>IFERROR(VLOOKUP(A6,Rekorde[],3,FALSE)&amp;" ["&amp;_xlfn.RANK.EQ(VLOOKUP(A6,Rekorde[],3,FALSE),Rekorde[GES],0)&amp;"]","")</f>
        <v>529 [27]</v>
      </c>
      <c r="E7" s="356">
        <f>VLOOKUP(A6,AuswertungG[],3,FALSE)</f>
        <v>1</v>
      </c>
      <c r="F7" s="356" t="str">
        <f>IFERROR(VLOOKUP(A6,AuswertungG[],5,FALSE)&amp;" ["&amp;_xlfn.RANK.EQ(VLOOKUP(A6,AuswertungG[],5,FALSE),AuswertungG[Volle],0)&amp;"]","")</f>
        <v>351 [16]</v>
      </c>
      <c r="G7" s="356" t="str">
        <f>IFERROR(VLOOKUP(A6,AuswertungG[],6,FALSE)&amp;" ["&amp;_xlfn.RANK.EQ(VLOOKUP(A6,AuswertungG[],6,FALSE),AuswertungG[Räumer],0)&amp;"]","")</f>
        <v>178 [4]</v>
      </c>
      <c r="H7" s="356" t="str">
        <f>IFERROR(VLOOKUP(A6,AuswertungG[],7,FALSE)&amp;" ["&amp;_xlfn.RANK.EQ(VLOOKUP(A6,AuswertungG[],7,FALSE),AuswertungG[Fehler],1)&amp;"]","")</f>
        <v>6 [9]</v>
      </c>
      <c r="I7" s="357">
        <f>IFERROR(VLOOKUP(A6,AuswertungG[],9,FALSE)/4,"")</f>
        <v>1</v>
      </c>
      <c r="J7" s="357">
        <f>VLOOKUP(A6,AuswertungG[],10,FALSE)</f>
        <v>1</v>
      </c>
      <c r="K7" s="356">
        <f>VLOOKUP(A6,AuswertungG[],11,FALSE)</f>
        <v>126</v>
      </c>
      <c r="L7" s="356">
        <f>VLOOKUP(A6,AuswertungG[],12,FALSE)</f>
        <v>132</v>
      </c>
      <c r="M7" s="356">
        <f>VLOOKUP(A6,AuswertungG[],13,FALSE)</f>
        <v>121</v>
      </c>
      <c r="N7" s="356">
        <f>VLOOKUP(A6,AuswertungG[],14,FALSE)</f>
        <v>121</v>
      </c>
      <c r="O7" s="356" t="str">
        <f>VLOOKUP(A6,AuswertungG[],19,FALSE)</f>
        <v/>
      </c>
      <c r="P7" s="356" t="str">
        <f>IFERROR(VLOOKUP(A6,AuswertungG[],22,FALSE)&amp;" ["&amp;_xlfn.RANK.EQ(VLOOKUP(A6,AuswertungG[],22,FALSE),AuswertungG[GEGGES],0)&amp;"]","")</f>
        <v>441 [35]</v>
      </c>
      <c r="Q7" s="356" t="str">
        <f>VLOOKUP(A6,AuswertungG[],25,FALSE)</f>
        <v>[3]</v>
      </c>
      <c r="R7" s="356" t="str">
        <f>IFERROR(VLOOKUP(A6,Rekorde[],4,FALSE)&amp;" ["&amp;_xlfn.RANK.EQ(VLOOKUP(A6,Rekorde[],4,FALSE),Rekorde[Volle],0)&amp;"]","")</f>
        <v>351 [28]</v>
      </c>
      <c r="S7" s="356" t="str">
        <f>IFERROR(VLOOKUP(A6,Rekorde[],5,FALSE)&amp;" ["&amp;_xlfn.RANK.EQ(VLOOKUP(A6,Rekorde[],5,FALSE),Rekorde[Räumer],0)&amp;"]","")</f>
        <v>178 [24]</v>
      </c>
    </row>
    <row r="8" spans="1:19" ht="30" hidden="1" customHeight="1" thickBot="1" x14ac:dyDescent="0.35">
      <c r="A8" s="351" t="s">
        <v>118</v>
      </c>
      <c r="B8" s="358" t="str">
        <f>IFERROR(VLOOKUP(A6,AuswertungH[],8,FALSE)&amp;" ["&amp;_xlfn.RANK.EQ(VLOOKUP(A6,AuswertungH[],8,FALSE),AuswertungH[GES H],0)&amp;"]","")</f>
        <v>529 [6]</v>
      </c>
      <c r="C8" s="359" t="str">
        <f>VLOOKUP(A6,Vorjahr[],6,FALSE)</f>
        <v/>
      </c>
      <c r="D8" s="359" t="str">
        <f>IFERROR(VLOOKUP(A6,Rekorde[],13,FALSE)&amp;" ["&amp;_xlfn.RANK.EQ(VLOOKUP(A6,Rekorde[],13,FALSE),Rekorde[GES H],0)&amp;"]","")</f>
        <v>529 [19]</v>
      </c>
      <c r="E8" s="359">
        <f>VLOOKUP(A6,AuswertungH[],3,FALSE)</f>
        <v>1</v>
      </c>
      <c r="F8" s="359" t="str">
        <f>IFERROR(VLOOKUP(A6,AuswertungG[],5,FALSE)&amp;" ["&amp;_xlfn.RANK.EQ(VLOOKUP(A6,AuswertungH[],5,FALSE),AuswertungH[Volle H],0)&amp;"]","")</f>
        <v>351 [15]</v>
      </c>
      <c r="G8" s="359" t="str">
        <f>IFERROR(VLOOKUP(A6,AuswertungH[],6,FALSE)&amp;" ["&amp;_xlfn.RANK.EQ(VLOOKUP(A6,AuswertungH[],6,FALSE),AuswertungH[Räumer H],0)&amp;"]","")</f>
        <v>178 [4]</v>
      </c>
      <c r="H8" s="359" t="str">
        <f>IFERROR(VLOOKUP(A6,AuswertungH[],7,FALSE)&amp;" ["&amp;_xlfn.RANK.EQ(VLOOKUP(A6,AuswertungH[],7,FALSE),AuswertungH[Fehler H],1)&amp;"]","")</f>
        <v>6 [8]</v>
      </c>
      <c r="I8" s="360">
        <f>IFERROR(VLOOKUP(A6,AuswertungH[],9,FALSE)/4,"")</f>
        <v>1</v>
      </c>
      <c r="J8" s="360">
        <f>VLOOKUP(A6,AuswertungH[],10,FALSE)</f>
        <v>1</v>
      </c>
      <c r="K8" s="359">
        <f>VLOOKUP(A6,AuswertungH[],11,FALSE)</f>
        <v>126</v>
      </c>
      <c r="L8" s="359">
        <f>VLOOKUP(A6,AuswertungH[],12,FALSE)</f>
        <v>132</v>
      </c>
      <c r="M8" s="359">
        <f>VLOOKUP(A6,AuswertungH[],13,FALSE)</f>
        <v>121</v>
      </c>
      <c r="N8" s="359">
        <f>VLOOKUP(A6,AuswertungH[],14,FALSE)</f>
        <v>150</v>
      </c>
      <c r="O8" s="359">
        <f>VLOOKUP(A6,AuswertungH[],19,FALSE)</f>
        <v>0</v>
      </c>
      <c r="P8" s="359" t="str">
        <f>IFERROR(VLOOKUP(A6,AuswertungH[],22,FALSE)&amp;" ["&amp;_xlfn.RANK.EQ(VLOOKUP(A6,AuswertungH[],22,FALSE),AuswertungH[GEGGES H],0)&amp;"]","")</f>
        <v>441 [30]</v>
      </c>
      <c r="Q8" s="359" t="str">
        <f>VLOOKUP(A6,AuswertungH[],25,FALSE)</f>
        <v>[3]</v>
      </c>
      <c r="R8" s="359" t="str">
        <f>IFERROR(VLOOKUP(A6,Rekorde[],14,FALSE)&amp;" ["&amp;_xlfn.RANK.EQ(VLOOKUP(A6,Rekorde[],14,FALSE),Rekorde[Volle H],0)&amp;"]","")</f>
        <v>351 [23]</v>
      </c>
      <c r="S8" s="359" t="str">
        <f>IFERROR(VLOOKUP(A6,Rekorde[],15,FALSE)&amp;" ["&amp;_xlfn.RANK.EQ(VLOOKUP(A6,Rekorde[],15,FALSE),Rekorde[Räumer H],0)&amp;"]","")</f>
        <v>178 [14]</v>
      </c>
    </row>
    <row r="9" spans="1:19" ht="30" hidden="1" customHeight="1" thickBot="1" x14ac:dyDescent="0.35">
      <c r="A9" s="352" t="s">
        <v>119</v>
      </c>
      <c r="B9" s="361" t="str">
        <f>IFERROR(VLOOKUP(A6,AuswertungH[],8,FALSE)&amp;" ["&amp;_xlfn.RANK.EQ(VLOOKUP(A6,AuswertungA[],8,FALSE),AuswertungA[GES A],0)&amp;"]","")</f>
        <v/>
      </c>
      <c r="C9" s="362">
        <f>VLOOKUP(A6,Vorjahr[],10,FALSE)</f>
        <v>506</v>
      </c>
      <c r="D9" s="362" t="str">
        <f>IFERROR(VLOOKUP(A6,Rekorde[],23,FALSE)&amp;" ["&amp;_xlfn.RANK.EQ(VLOOKUP(A6,Rekorde[],23,FALSE),Rekorde[GES A],0)&amp;"]","")</f>
        <v/>
      </c>
      <c r="E9" s="362">
        <f>VLOOKUP(A6,AuswertungA[],3,FALSE)</f>
        <v>0</v>
      </c>
      <c r="F9" s="362" t="str">
        <f>IFERROR(VLOOKUP(A6,AuswertungA[],5,FALSE)&amp;" ["&amp;_xlfn.RANK.EQ(VLOOKUP(A6,AuswertungA[],5,FALSE),AuswertungA[Volle A],0)&amp;"]","")</f>
        <v/>
      </c>
      <c r="G9" s="362" t="str">
        <f>IFERROR(VLOOKUP(A6,AuswertungA[],6,FALSE)&amp;" ["&amp;_xlfn.RANK.EQ(VLOOKUP(A6,AuswertungA[],6,FALSE),AuswertungA[Räumer A],0)&amp;"]","")</f>
        <v/>
      </c>
      <c r="H9" s="362" t="str">
        <f>IFERROR(VLOOKUP(A6,AuswertungA[],7,FALSE)&amp;" ["&amp;_xlfn.RANK.EQ(VLOOKUP(A6,AuswertungA[],7,FALSE),AuswertungA[Fehler A],1)&amp;"]","")</f>
        <v/>
      </c>
      <c r="I9" s="363" t="str">
        <f>IFERROR(VLOOKUP(A6,AuswertungA[],9,FALSE)/4,"")</f>
        <v/>
      </c>
      <c r="J9" s="363" t="str">
        <f>VLOOKUP(A6,AuswertungA[],10,FALSE)</f>
        <v/>
      </c>
      <c r="K9" s="362" t="str">
        <f>VLOOKUP(A6,AuswertungA[],11,FALSE)</f>
        <v/>
      </c>
      <c r="L9" s="362" t="str">
        <f>VLOOKUP(A6,AuswertungA[],12,FALSE)</f>
        <v/>
      </c>
      <c r="M9" s="362" t="str">
        <f>VLOOKUP(A6,AuswertungA[],13,FALSE)</f>
        <v/>
      </c>
      <c r="N9" s="362" t="str">
        <f>VLOOKUP(A6,AuswertungA[],14,FALSE)</f>
        <v/>
      </c>
      <c r="O9" s="362" t="str">
        <f>VLOOKUP(A6,AuswertungA[],19,FALSE)</f>
        <v/>
      </c>
      <c r="P9" s="362" t="str">
        <f>IFERROR(VLOOKUP(A6,AuswertungA[],22,FALSE)&amp;" ["&amp;_xlfn.RANK.EQ(VLOOKUP(A6,AuswertungA[],22,FALSE),AuswertungA[GEGGES A],0)&amp;"]","")</f>
        <v/>
      </c>
      <c r="Q9" s="362" t="str">
        <f>VLOOKUP(A6,AuswertungA[],25,FALSE)</f>
        <v/>
      </c>
      <c r="R9" s="362" t="str">
        <f>IFERROR(VLOOKUP(A6,Rekorde[],24,FALSE)&amp;" ["&amp;_xlfn.RANK.EQ(VLOOKUP(A6,Rekorde[],24,FALSE),Rekorde[Volle A],0)&amp;"]","")</f>
        <v/>
      </c>
      <c r="S9" s="362" t="str">
        <f>IFERROR(VLOOKUP(A6,Rekorde[],25,FALSE)&amp;" ["&amp;_xlfn.RANK.EQ(VLOOKUP(A6,Rekorde[],25,FALSE),Rekorde[Räumer A],0)&amp;"]","")</f>
        <v/>
      </c>
    </row>
    <row r="10" spans="1:19" ht="30" hidden="1" customHeight="1" thickBot="1" x14ac:dyDescent="0.35"/>
    <row r="11" spans="1:19" ht="30" customHeight="1" thickBot="1" x14ac:dyDescent="0.35">
      <c r="A11" s="353" t="str">
        <f>VLOOKUP(ROUNDUP(ROW()/4,0),Teamzuordnung[],2,FALSE)</f>
        <v>Andreas Rippin</v>
      </c>
      <c r="B11" s="349" t="s">
        <v>63</v>
      </c>
      <c r="C11" s="347" t="s">
        <v>610</v>
      </c>
      <c r="D11" s="347" t="s">
        <v>605</v>
      </c>
      <c r="E11" s="346" t="s">
        <v>100</v>
      </c>
      <c r="F11" s="346" t="s">
        <v>21</v>
      </c>
      <c r="G11" s="346" t="s">
        <v>22</v>
      </c>
      <c r="H11" s="346" t="s">
        <v>23</v>
      </c>
      <c r="I11" s="346" t="s">
        <v>24</v>
      </c>
      <c r="J11" s="346" t="s">
        <v>25</v>
      </c>
      <c r="K11" s="346" t="s">
        <v>606</v>
      </c>
      <c r="L11" s="346" t="s">
        <v>607</v>
      </c>
      <c r="M11" s="346" t="s">
        <v>608</v>
      </c>
      <c r="N11" s="346" t="s">
        <v>609</v>
      </c>
      <c r="O11" s="346" t="s">
        <v>218</v>
      </c>
      <c r="P11" s="347" t="s">
        <v>611</v>
      </c>
      <c r="Q11" s="347" t="s">
        <v>199</v>
      </c>
      <c r="R11" s="347" t="s">
        <v>603</v>
      </c>
      <c r="S11" s="348" t="s">
        <v>604</v>
      </c>
    </row>
    <row r="12" spans="1:19" ht="30" customHeight="1" thickBot="1" x14ac:dyDescent="0.35">
      <c r="A12" s="350" t="s">
        <v>26</v>
      </c>
      <c r="B12" s="355" t="str">
        <f>IFERROR(VLOOKUP(A11,AuswertungG[],8,FALSE)&amp;" ["&amp;_xlfn.RANK.EQ(VLOOKUP(A11,AuswertungG[],8,FALSE),AuswertungG[GES],0)&amp;"]","")</f>
        <v>508 [23]</v>
      </c>
      <c r="C12" s="356" t="e">
        <f>VLOOKUP(A11,Vorjahr[],2,FALSE)</f>
        <v>#N/A</v>
      </c>
      <c r="D12" s="356" t="str">
        <f>IFERROR(VLOOKUP(A11,Rekorde[],3,FALSE)&amp;" ["&amp;_xlfn.RANK.EQ(VLOOKUP(A11,Rekorde[],3,FALSE),Rekorde[GES],0)&amp;"]","")</f>
        <v>553 [17]</v>
      </c>
      <c r="E12" s="356">
        <f>VLOOKUP(A11,AuswertungG[],3,FALSE)</f>
        <v>7</v>
      </c>
      <c r="F12" s="356" t="str">
        <f>IFERROR(VLOOKUP(A11,AuswertungG[],5,FALSE)&amp;" ["&amp;_xlfn.RANK.EQ(VLOOKUP(A11,AuswertungG[],5,FALSE),AuswertungG[Volle],0)&amp;"]","")</f>
        <v>350 [19]</v>
      </c>
      <c r="G12" s="356" t="str">
        <f>IFERROR(VLOOKUP(A11,AuswertungG[],6,FALSE)&amp;" ["&amp;_xlfn.RANK.EQ(VLOOKUP(A11,AuswertungG[],6,FALSE),AuswertungG[Räumer],0)&amp;"]","")</f>
        <v>158 [24]</v>
      </c>
      <c r="H12" s="356" t="str">
        <f>IFERROR(VLOOKUP(A11,AuswertungG[],7,FALSE)&amp;" ["&amp;_xlfn.RANK.EQ(VLOOKUP(A11,AuswertungG[],7,FALSE),AuswertungG[Fehler],1)&amp;"]","")</f>
        <v>11 [27]</v>
      </c>
      <c r="I12" s="357">
        <f>IFERROR(VLOOKUP(A11,AuswertungG[],9,FALSE)/4,"")</f>
        <v>0.3</v>
      </c>
      <c r="J12" s="357">
        <f>VLOOKUP(A11,AuswertungG[],10,FALSE)</f>
        <v>0.28999999999999998</v>
      </c>
      <c r="K12" s="356">
        <f>VLOOKUP(A11,AuswertungG[],11,FALSE)</f>
        <v>123</v>
      </c>
      <c r="L12" s="356">
        <f>VLOOKUP(A11,AuswertungG[],12,FALSE)</f>
        <v>130</v>
      </c>
      <c r="M12" s="356">
        <f>VLOOKUP(A11,AuswertungG[],13,FALSE)</f>
        <v>127</v>
      </c>
      <c r="N12" s="356">
        <f>VLOOKUP(A11,AuswertungG[],14,FALSE)</f>
        <v>127</v>
      </c>
      <c r="O12" s="356">
        <f>VLOOKUP(A11,AuswertungG[],19,FALSE)</f>
        <v>3.97</v>
      </c>
      <c r="P12" s="356" t="str">
        <f>IFERROR(VLOOKUP(A11,AuswertungG[],22,FALSE)&amp;" ["&amp;_xlfn.RANK.EQ(VLOOKUP(A11,AuswertungG[],22,FALSE),AuswertungG[GEGGES],0)&amp;"]","")</f>
        <v>548 [1]</v>
      </c>
      <c r="Q12" s="356" t="str">
        <f>VLOOKUP(A11,AuswertungG[],25,FALSE)</f>
        <v>[1]</v>
      </c>
      <c r="R12" s="356" t="str">
        <f>IFERROR(VLOOKUP(A11,Rekorde[],4,FALSE)&amp;" ["&amp;_xlfn.RANK.EQ(VLOOKUP(A11,Rekorde[],4,FALSE),Rekorde[Volle],0)&amp;"]","")</f>
        <v>372 [17]</v>
      </c>
      <c r="S12" s="356" t="str">
        <f>IFERROR(VLOOKUP(A11,Rekorde[],5,FALSE)&amp;" ["&amp;_xlfn.RANK.EQ(VLOOKUP(A11,Rekorde[],5,FALSE),Rekorde[Räumer],0)&amp;"]","")</f>
        <v>186 [19]</v>
      </c>
    </row>
    <row r="13" spans="1:19" ht="30" customHeight="1" thickBot="1" x14ac:dyDescent="0.35">
      <c r="A13" s="351" t="s">
        <v>118</v>
      </c>
      <c r="B13" s="358" t="str">
        <f>IFERROR(VLOOKUP(A11,AuswertungH[],8,FALSE)&amp;" ["&amp;_xlfn.RANK.EQ(VLOOKUP(A11,AuswertungH[],8,FALSE),AuswertungH[GES H],0)&amp;"]","")</f>
        <v>506 [21]</v>
      </c>
      <c r="C13" s="359" t="e">
        <f>VLOOKUP(A11,Vorjahr[],6,FALSE)</f>
        <v>#N/A</v>
      </c>
      <c r="D13" s="359" t="str">
        <f>IFERROR(VLOOKUP(A11,Rekorde[],13,FALSE)&amp;" ["&amp;_xlfn.RANK.EQ(VLOOKUP(A11,Rekorde[],13,FALSE),Rekorde[GES H],0)&amp;"]","")</f>
        <v>513 [21]</v>
      </c>
      <c r="E13" s="359">
        <f>VLOOKUP(A11,AuswertungH[],3,FALSE)</f>
        <v>3</v>
      </c>
      <c r="F13" s="359" t="str">
        <f>IFERROR(VLOOKUP(A11,AuswertungG[],5,FALSE)&amp;" ["&amp;_xlfn.RANK.EQ(VLOOKUP(A11,AuswertungH[],5,FALSE),AuswertungH[Volle H],0)&amp;"]","")</f>
        <v>350 [15]</v>
      </c>
      <c r="G13" s="359" t="str">
        <f>IFERROR(VLOOKUP(A11,AuswertungH[],6,FALSE)&amp;" ["&amp;_xlfn.RANK.EQ(VLOOKUP(A11,AuswertungH[],6,FALSE),AuswertungH[Räumer H],0)&amp;"]","")</f>
        <v>156 [20]</v>
      </c>
      <c r="H13" s="359" t="str">
        <f>IFERROR(VLOOKUP(A11,AuswertungH[],7,FALSE)&amp;" ["&amp;_xlfn.RANK.EQ(VLOOKUP(A11,AuswertungH[],7,FALSE),AuswertungH[Fehler H],1)&amp;"]","")</f>
        <v>10,3 [25]</v>
      </c>
      <c r="I13" s="360">
        <f>IFERROR(VLOOKUP(A11,AuswertungH[],9,FALSE)/4,"")</f>
        <v>0.45750000000000002</v>
      </c>
      <c r="J13" s="360">
        <f>VLOOKUP(A11,AuswertungH[],10,FALSE)</f>
        <v>0.67</v>
      </c>
      <c r="K13" s="359">
        <f>VLOOKUP(A11,AuswertungH[],11,FALSE)</f>
        <v>127</v>
      </c>
      <c r="L13" s="359">
        <f>VLOOKUP(A11,AuswertungH[],12,FALSE)</f>
        <v>130</v>
      </c>
      <c r="M13" s="359">
        <f>VLOOKUP(A11,AuswertungH[],13,FALSE)</f>
        <v>119</v>
      </c>
      <c r="N13" s="359">
        <f>VLOOKUP(A11,AuswertungH[],14,FALSE)</f>
        <v>131</v>
      </c>
      <c r="O13" s="359">
        <f>VLOOKUP(A11,AuswertungH[],19,FALSE)</f>
        <v>0.62</v>
      </c>
      <c r="P13" s="359" t="str">
        <f>IFERROR(VLOOKUP(A11,AuswertungH[],22,FALSE)&amp;" ["&amp;_xlfn.RANK.EQ(VLOOKUP(A11,AuswertungH[],22,FALSE),AuswertungH[GEGGES H],0)&amp;"]","")</f>
        <v>517 [7]</v>
      </c>
      <c r="Q13" s="359" t="str">
        <f>VLOOKUP(A11,AuswertungH[],25,FALSE)</f>
        <v>[1][2]</v>
      </c>
      <c r="R13" s="359" t="str">
        <f>IFERROR(VLOOKUP(A11,Rekorde[],14,FALSE)&amp;" ["&amp;_xlfn.RANK.EQ(VLOOKUP(A11,Rekorde[],14,FALSE),Rekorde[Volle H],0)&amp;"]","")</f>
        <v>370 [7]</v>
      </c>
      <c r="S13" s="359" t="str">
        <f>IFERROR(VLOOKUP(A11,Rekorde[],15,FALSE)&amp;" ["&amp;_xlfn.RANK.EQ(VLOOKUP(A11,Rekorde[],15,FALSE),Rekorde[Räumer H],0)&amp;"]","")</f>
        <v>166 [20]</v>
      </c>
    </row>
    <row r="14" spans="1:19" ht="30" customHeight="1" thickBot="1" x14ac:dyDescent="0.35">
      <c r="A14" s="352" t="s">
        <v>119</v>
      </c>
      <c r="B14" s="361" t="str">
        <f>IFERROR(VLOOKUP(A11,AuswertungA[],8,FALSE)&amp;" ["&amp;_xlfn.RANK.EQ(VLOOKUP(A11,AuswertungA[],8,FALSE),AuswertungA[GES A],0)&amp;"]","")</f>
        <v>509 [21]</v>
      </c>
      <c r="C14" s="362" t="e">
        <f>VLOOKUP(A11,Vorjahr[],10,FALSE)</f>
        <v>#N/A</v>
      </c>
      <c r="D14" s="362" t="str">
        <f>IFERROR(VLOOKUP(A11,Rekorde[],23,FALSE)&amp;" ["&amp;_xlfn.RANK.EQ(VLOOKUP(A11,Rekorde[],23,FALSE),Rekorde[GES A],0)&amp;"]","")</f>
        <v>553 [15]</v>
      </c>
      <c r="E14" s="362">
        <f>VLOOKUP(A11,AuswertungA[],3,FALSE)</f>
        <v>4</v>
      </c>
      <c r="F14" s="362" t="str">
        <f>IFERROR(VLOOKUP(A11,AuswertungA[],5,FALSE)&amp;" ["&amp;_xlfn.RANK.EQ(VLOOKUP(A11,AuswertungA[],5,FALSE),AuswertungA[Volle A],0)&amp;"]","")</f>
        <v>350 [20]</v>
      </c>
      <c r="G14" s="362" t="str">
        <f>IFERROR(VLOOKUP(A11,AuswertungA[],6,FALSE)&amp;" ["&amp;_xlfn.RANK.EQ(VLOOKUP(A11,AuswertungA[],6,FALSE),AuswertungA[Räumer A],0)&amp;"]","")</f>
        <v>159 [20]</v>
      </c>
      <c r="H14" s="362" t="str">
        <f>IFERROR(VLOOKUP(A11,AuswertungA[],7,FALSE)&amp;" ["&amp;_xlfn.RANK.EQ(VLOOKUP(A11,AuswertungA[],7,FALSE),AuswertungA[Fehler A],1)&amp;"]","")</f>
        <v>11,5 [25]</v>
      </c>
      <c r="I14" s="363">
        <f>IFERROR(VLOOKUP(A11,AuswertungA[],9,FALSE)/4,"")</f>
        <v>0.1875</v>
      </c>
      <c r="J14" s="363">
        <f>VLOOKUP(A11,AuswertungA[],10,FALSE)</f>
        <v>0</v>
      </c>
      <c r="K14" s="362">
        <f>VLOOKUP(A11,AuswertungA[],11,FALSE)</f>
        <v>121</v>
      </c>
      <c r="L14" s="362">
        <f>VLOOKUP(A11,AuswertungA[],12,FALSE)</f>
        <v>130</v>
      </c>
      <c r="M14" s="362">
        <f>VLOOKUP(A11,AuswertungA[],13,FALSE)</f>
        <v>133</v>
      </c>
      <c r="N14" s="362">
        <f>VLOOKUP(A11,AuswertungA[],14,FALSE)</f>
        <v>126</v>
      </c>
      <c r="O14" s="362">
        <f>VLOOKUP(A11,AuswertungA[],19,FALSE)</f>
        <v>6.17</v>
      </c>
      <c r="P14" s="362" t="str">
        <f>IFERROR(VLOOKUP(A11,AuswertungA[],22,FALSE)&amp;" ["&amp;_xlfn.RANK.EQ(VLOOKUP(A11,AuswertungA[],22,FALSE),AuswertungA[GEGGES A],0)&amp;"]","")</f>
        <v>572 [2]</v>
      </c>
      <c r="Q14" s="362" t="str">
        <f>VLOOKUP(A11,AuswertungA[],25,FALSE)</f>
        <v>[1][2][5]</v>
      </c>
      <c r="R14" s="362" t="str">
        <f>IFERROR(VLOOKUP(A11,Rekorde[],24,FALSE)&amp;" ["&amp;_xlfn.RANK.EQ(VLOOKUP(A11,Rekorde[],24,FALSE),Rekorde[Volle A],0)&amp;"]","")</f>
        <v>372 [14]</v>
      </c>
      <c r="S14" s="362" t="str">
        <f>IFERROR(VLOOKUP(A11,Rekorde[],25,FALSE)&amp;" ["&amp;_xlfn.RANK.EQ(VLOOKUP(A11,Rekorde[],25,FALSE),Rekorde[Räumer A],0)&amp;"]","")</f>
        <v>186 [16]</v>
      </c>
    </row>
    <row r="15" spans="1:19" ht="30" customHeight="1" thickBot="1" x14ac:dyDescent="0.35"/>
    <row r="16" spans="1:19" ht="30" customHeight="1" thickBot="1" x14ac:dyDescent="0.35">
      <c r="A16" s="353" t="str">
        <f>VLOOKUP(ROUNDUP(ROW()/4,0),Teamzuordnung[],2,FALSE)</f>
        <v>Anna Müller</v>
      </c>
      <c r="B16" s="349" t="s">
        <v>63</v>
      </c>
      <c r="C16" s="347" t="s">
        <v>610</v>
      </c>
      <c r="D16" s="347" t="s">
        <v>605</v>
      </c>
      <c r="E16" s="346" t="s">
        <v>100</v>
      </c>
      <c r="F16" s="346" t="s">
        <v>21</v>
      </c>
      <c r="G16" s="346" t="s">
        <v>22</v>
      </c>
      <c r="H16" s="346" t="s">
        <v>23</v>
      </c>
      <c r="I16" s="346" t="s">
        <v>24</v>
      </c>
      <c r="J16" s="346" t="s">
        <v>25</v>
      </c>
      <c r="K16" s="346" t="s">
        <v>606</v>
      </c>
      <c r="L16" s="346" t="s">
        <v>607</v>
      </c>
      <c r="M16" s="346" t="s">
        <v>608</v>
      </c>
      <c r="N16" s="346" t="s">
        <v>609</v>
      </c>
      <c r="O16" s="346" t="s">
        <v>218</v>
      </c>
      <c r="P16" s="347" t="s">
        <v>611</v>
      </c>
      <c r="Q16" s="347" t="s">
        <v>199</v>
      </c>
      <c r="R16" s="347" t="s">
        <v>603</v>
      </c>
      <c r="S16" s="348" t="s">
        <v>604</v>
      </c>
    </row>
    <row r="17" spans="1:19" ht="30" customHeight="1" thickBot="1" x14ac:dyDescent="0.35">
      <c r="A17" s="350" t="s">
        <v>26</v>
      </c>
      <c r="B17" s="355" t="str">
        <f>IFERROR(VLOOKUP(A16,AuswertungG[],8,FALSE)&amp;" ["&amp;_xlfn.RANK.EQ(VLOOKUP(A16,AuswertungG[],8,FALSE),AuswertungG[GES],0)&amp;"]","")</f>
        <v>508 [23]</v>
      </c>
      <c r="C17" s="356">
        <f>VLOOKUP(A16,Vorjahr[],2,FALSE)</f>
        <v>499</v>
      </c>
      <c r="D17" s="356" t="str">
        <f>IFERROR(VLOOKUP(A16,Rekorde[],3,FALSE)&amp;" ["&amp;_xlfn.RANK.EQ(VLOOKUP(A16,Rekorde[],3,FALSE),Rekorde[GES],0)&amp;"]","")</f>
        <v>555 [15]</v>
      </c>
      <c r="E17" s="356">
        <f>VLOOKUP(A16,AuswertungG[],3,FALSE)</f>
        <v>13</v>
      </c>
      <c r="F17" s="356" t="str">
        <f>IFERROR(VLOOKUP(A16,AuswertungG[],5,FALSE)&amp;" ["&amp;_xlfn.RANK.EQ(VLOOKUP(A16,AuswertungG[],5,FALSE),AuswertungG[Volle],0)&amp;"]","")</f>
        <v>345 [28]</v>
      </c>
      <c r="G17" s="356" t="str">
        <f>IFERROR(VLOOKUP(A16,AuswertungG[],6,FALSE)&amp;" ["&amp;_xlfn.RANK.EQ(VLOOKUP(A16,AuswertungG[],6,FALSE),AuswertungG[Räumer],0)&amp;"]","")</f>
        <v>163 [19]</v>
      </c>
      <c r="H17" s="356" t="str">
        <f>IFERROR(VLOOKUP(A16,AuswertungG[],7,FALSE)&amp;" ["&amp;_xlfn.RANK.EQ(VLOOKUP(A16,AuswertungG[],7,FALSE),AuswertungG[Fehler],1)&amp;"]","")</f>
        <v>8,6 [20]</v>
      </c>
      <c r="I17" s="357">
        <f>IFERROR(VLOOKUP(A16,AuswertungG[],9,FALSE)/4,"")</f>
        <v>0.875</v>
      </c>
      <c r="J17" s="357">
        <f>VLOOKUP(A16,AuswertungG[],10,FALSE)</f>
        <v>1</v>
      </c>
      <c r="K17" s="356">
        <f>VLOOKUP(A16,AuswertungG[],11,FALSE)</f>
        <v>127</v>
      </c>
      <c r="L17" s="356">
        <f>VLOOKUP(A16,AuswertungG[],12,FALSE)</f>
        <v>130</v>
      </c>
      <c r="M17" s="356">
        <f>VLOOKUP(A16,AuswertungG[],13,FALSE)</f>
        <v>123</v>
      </c>
      <c r="N17" s="356">
        <f>VLOOKUP(A16,AuswertungG[],14,FALSE)</f>
        <v>123</v>
      </c>
      <c r="O17" s="356">
        <f>VLOOKUP(A16,AuswertungG[],19,FALSE)</f>
        <v>0.15</v>
      </c>
      <c r="P17" s="356" t="str">
        <f>IFERROR(VLOOKUP(A16,AuswertungG[],22,FALSE)&amp;" ["&amp;_xlfn.RANK.EQ(VLOOKUP(A16,AuswertungG[],22,FALSE),AuswertungG[GEGGES],0)&amp;"]","")</f>
        <v>463 [33]</v>
      </c>
      <c r="Q17" s="356" t="str">
        <f>VLOOKUP(A16,AuswertungG[],25,FALSE)</f>
        <v>[1][3]</v>
      </c>
      <c r="R17" s="356" t="str">
        <f>IFERROR(VLOOKUP(A16,Rekorde[],4,FALSE)&amp;" ["&amp;_xlfn.RANK.EQ(VLOOKUP(A16,Rekorde[],4,FALSE),Rekorde[Volle],0)&amp;"]","")</f>
        <v>365 [21]</v>
      </c>
      <c r="S17" s="356" t="str">
        <f>IFERROR(VLOOKUP(A16,Rekorde[],5,FALSE)&amp;" ["&amp;_xlfn.RANK.EQ(VLOOKUP(A16,Rekorde[],5,FALSE),Rekorde[Räumer],0)&amp;"]","")</f>
        <v>200 [8]</v>
      </c>
    </row>
    <row r="18" spans="1:19" ht="30" customHeight="1" thickBot="1" x14ac:dyDescent="0.35">
      <c r="A18" s="351" t="s">
        <v>118</v>
      </c>
      <c r="B18" s="358" t="str">
        <f>IFERROR(VLOOKUP(A16,AuswertungH[],8,FALSE)&amp;" ["&amp;_xlfn.RANK.EQ(VLOOKUP(A16,AuswertungH[],8,FALSE),AuswertungH[GES H],0)&amp;"]","")</f>
        <v>512 [18]</v>
      </c>
      <c r="C18" s="359">
        <f>VLOOKUP(A16,Vorjahr[],6,FALSE)</f>
        <v>485</v>
      </c>
      <c r="D18" s="359" t="str">
        <f>IFERROR(VLOOKUP(A16,Rekorde[],13,FALSE)&amp;" ["&amp;_xlfn.RANK.EQ(VLOOKUP(A16,Rekorde[],13,FALSE),Rekorde[GES H],0)&amp;"]","")</f>
        <v>555 [5]</v>
      </c>
      <c r="E18" s="359">
        <f>VLOOKUP(A16,AuswertungH[],3,FALSE)</f>
        <v>5</v>
      </c>
      <c r="F18" s="359" t="str">
        <f>IFERROR(VLOOKUP(A16,AuswertungG[],5,FALSE)&amp;" ["&amp;_xlfn.RANK.EQ(VLOOKUP(A16,AuswertungH[],5,FALSE),AuswertungH[Volle H],0)&amp;"]","")</f>
        <v>345 [27]</v>
      </c>
      <c r="G18" s="359" t="str">
        <f>IFERROR(VLOOKUP(A16,AuswertungH[],6,FALSE)&amp;" ["&amp;_xlfn.RANK.EQ(VLOOKUP(A16,AuswertungH[],6,FALSE),AuswertungH[Räumer H],0)&amp;"]","")</f>
        <v>172 [6]</v>
      </c>
      <c r="H18" s="359" t="str">
        <f>IFERROR(VLOOKUP(A16,AuswertungH[],7,FALSE)&amp;" ["&amp;_xlfn.RANK.EQ(VLOOKUP(A16,AuswertungH[],7,FALSE),AuswertungH[Fehler H],1)&amp;"]","")</f>
        <v>7 [14]</v>
      </c>
      <c r="I18" s="360">
        <f>IFERROR(VLOOKUP(A16,AuswertungH[],9,FALSE)/4,"")</f>
        <v>0.875</v>
      </c>
      <c r="J18" s="360">
        <f>VLOOKUP(A16,AuswertungH[],10,FALSE)</f>
        <v>1</v>
      </c>
      <c r="K18" s="359">
        <f>VLOOKUP(A16,AuswertungH[],11,FALSE)</f>
        <v>127</v>
      </c>
      <c r="L18" s="359">
        <f>VLOOKUP(A16,AuswertungH[],12,FALSE)</f>
        <v>129</v>
      </c>
      <c r="M18" s="359">
        <f>VLOOKUP(A16,AuswertungH[],13,FALSE)</f>
        <v>129</v>
      </c>
      <c r="N18" s="359">
        <f>VLOOKUP(A16,AuswertungH[],14,FALSE)</f>
        <v>126</v>
      </c>
      <c r="O18" s="359">
        <f>VLOOKUP(A16,AuswertungH[],19,FALSE)</f>
        <v>2.5</v>
      </c>
      <c r="P18" s="359" t="str">
        <f>IFERROR(VLOOKUP(A16,AuswertungH[],22,FALSE)&amp;" ["&amp;_xlfn.RANK.EQ(VLOOKUP(A16,AuswertungH[],22,FALSE),AuswertungH[GEGGES H],0)&amp;"]","")</f>
        <v>463 [25]</v>
      </c>
      <c r="Q18" s="359" t="str">
        <f>VLOOKUP(A16,AuswertungH[],25,FALSE)</f>
        <v>[1][3]</v>
      </c>
      <c r="R18" s="359" t="str">
        <f>IFERROR(VLOOKUP(A16,Rekorde[],14,FALSE)&amp;" ["&amp;_xlfn.RANK.EQ(VLOOKUP(A16,Rekorde[],14,FALSE),Rekorde[Volle H],0)&amp;"]","")</f>
        <v>355 [20]</v>
      </c>
      <c r="S18" s="359" t="str">
        <f>IFERROR(VLOOKUP(A16,Rekorde[],15,FALSE)&amp;" ["&amp;_xlfn.RANK.EQ(VLOOKUP(A16,Rekorde[],15,FALSE),Rekorde[Räumer H],0)&amp;"]","")</f>
        <v>200 [4]</v>
      </c>
    </row>
    <row r="19" spans="1:19" ht="30" customHeight="1" thickBot="1" x14ac:dyDescent="0.35">
      <c r="A19" s="352" t="s">
        <v>119</v>
      </c>
      <c r="B19" s="361" t="str">
        <f>IFERROR(VLOOKUP(A16,AuswertungA[],8,FALSE)&amp;" ["&amp;_xlfn.RANK.EQ(VLOOKUP(A16,AuswertungA[],8,FALSE),AuswertungA[GES A],0)&amp;"]","")</f>
        <v>506 [23]</v>
      </c>
      <c r="C19" s="362">
        <f>VLOOKUP(A16,Vorjahr[],10,FALSE)</f>
        <v>502</v>
      </c>
      <c r="D19" s="362" t="str">
        <f>IFERROR(VLOOKUP(A16,Rekorde[],23,FALSE)&amp;" ["&amp;_xlfn.RANK.EQ(VLOOKUP(A16,Rekorde[],23,FALSE),Rekorde[GES A],0)&amp;"]","")</f>
        <v>542 [19]</v>
      </c>
      <c r="E19" s="362">
        <f>VLOOKUP(A16,AuswertungA[],3,FALSE)</f>
        <v>8</v>
      </c>
      <c r="F19" s="362" t="str">
        <f>IFERROR(VLOOKUP(A16,AuswertungA[],5,FALSE)&amp;" ["&amp;_xlfn.RANK.EQ(VLOOKUP(A16,AuswertungA[],5,FALSE),AuswertungA[Volle A],0)&amp;"]","")</f>
        <v>349 [22]</v>
      </c>
      <c r="G19" s="362" t="str">
        <f>IFERROR(VLOOKUP(A16,AuswertungA[],6,FALSE)&amp;" ["&amp;_xlfn.RANK.EQ(VLOOKUP(A16,AuswertungA[],6,FALSE),AuswertungA[Räumer A],0)&amp;"]","")</f>
        <v>157 [22]</v>
      </c>
      <c r="H19" s="362" t="str">
        <f>IFERROR(VLOOKUP(A16,AuswertungA[],7,FALSE)&amp;" ["&amp;_xlfn.RANK.EQ(VLOOKUP(A16,AuswertungA[],7,FALSE),AuswertungA[Fehler A],1)&amp;"]","")</f>
        <v>9,6 [21]</v>
      </c>
      <c r="I19" s="363" t="str">
        <f>IFERROR(VLOOKUP(A16,AuswertungA[],9,FALSE)/4,"")</f>
        <v/>
      </c>
      <c r="J19" s="363" t="str">
        <f>VLOOKUP(A16,AuswertungA[],10,FALSE)</f>
        <v/>
      </c>
      <c r="K19" s="362">
        <f>VLOOKUP(A16,AuswertungA[],11,FALSE)</f>
        <v>127</v>
      </c>
      <c r="L19" s="362">
        <f>VLOOKUP(A16,AuswertungA[],12,FALSE)</f>
        <v>130</v>
      </c>
      <c r="M19" s="362">
        <f>VLOOKUP(A16,AuswertungA[],13,FALSE)</f>
        <v>119</v>
      </c>
      <c r="N19" s="362">
        <f>VLOOKUP(A16,AuswertungA[],14,FALSE)</f>
        <v>130</v>
      </c>
      <c r="O19" s="362">
        <f>VLOOKUP(A16,AuswertungA[],19,FALSE)</f>
        <v>-0.54</v>
      </c>
      <c r="P19" s="362" t="str">
        <f>IFERROR(VLOOKUP(A16,AuswertungA[],22,FALSE)&amp;" ["&amp;_xlfn.RANK.EQ(VLOOKUP(A16,AuswertungA[],22,FALSE),AuswertungA[GEGGES A],0)&amp;"]","")</f>
        <v/>
      </c>
      <c r="Q19" s="362" t="str">
        <f>VLOOKUP(A16,AuswertungA[],25,FALSE)</f>
        <v/>
      </c>
      <c r="R19" s="362" t="str">
        <f>IFERROR(VLOOKUP(A16,Rekorde[],24,FALSE)&amp;" ["&amp;_xlfn.RANK.EQ(VLOOKUP(A16,Rekorde[],24,FALSE),Rekorde[Volle A],0)&amp;"]","")</f>
        <v>365 [20]</v>
      </c>
      <c r="S19" s="362" t="str">
        <f>IFERROR(VLOOKUP(A16,Rekorde[],25,FALSE)&amp;" ["&amp;_xlfn.RANK.EQ(VLOOKUP(A16,Rekorde[],25,FALSE),Rekorde[Räumer A],0)&amp;"]","")</f>
        <v>186 [16]</v>
      </c>
    </row>
    <row r="20" spans="1:19" ht="30" customHeight="1" thickBot="1" x14ac:dyDescent="0.35"/>
    <row r="21" spans="1:19" ht="30" customHeight="1" thickBot="1" x14ac:dyDescent="0.35">
      <c r="A21" s="353" t="str">
        <f>VLOOKUP(ROUNDUP(ROW()/4,0),Teamzuordnung[],2,FALSE)</f>
        <v>Ben Böhmer</v>
      </c>
      <c r="B21" s="349" t="s">
        <v>63</v>
      </c>
      <c r="C21" s="347" t="s">
        <v>610</v>
      </c>
      <c r="D21" s="347" t="s">
        <v>605</v>
      </c>
      <c r="E21" s="346" t="s">
        <v>100</v>
      </c>
      <c r="F21" s="346" t="s">
        <v>21</v>
      </c>
      <c r="G21" s="346" t="s">
        <v>22</v>
      </c>
      <c r="H21" s="346" t="s">
        <v>23</v>
      </c>
      <c r="I21" s="346" t="s">
        <v>24</v>
      </c>
      <c r="J21" s="346" t="s">
        <v>25</v>
      </c>
      <c r="K21" s="346" t="s">
        <v>606</v>
      </c>
      <c r="L21" s="346" t="s">
        <v>607</v>
      </c>
      <c r="M21" s="346" t="s">
        <v>608</v>
      </c>
      <c r="N21" s="346" t="s">
        <v>609</v>
      </c>
      <c r="O21" s="346" t="s">
        <v>218</v>
      </c>
      <c r="P21" s="347" t="s">
        <v>611</v>
      </c>
      <c r="Q21" s="347" t="s">
        <v>199</v>
      </c>
      <c r="R21" s="347" t="s">
        <v>603</v>
      </c>
      <c r="S21" s="348" t="s">
        <v>604</v>
      </c>
    </row>
    <row r="22" spans="1:19" ht="30" customHeight="1" thickBot="1" x14ac:dyDescent="0.35">
      <c r="A22" s="350" t="s">
        <v>26</v>
      </c>
      <c r="B22" s="355" t="str">
        <f>IFERROR(VLOOKUP(A21,AuswertungG[],8,FALSE)&amp;" ["&amp;_xlfn.RANK.EQ(VLOOKUP(A21,AuswertungG[],8,FALSE),AuswertungG[GES],0)&amp;"]","")</f>
        <v>330 [40]</v>
      </c>
      <c r="C22" s="356">
        <f>VLOOKUP(A21,Vorjahr[],2,FALSE)</f>
        <v>290</v>
      </c>
      <c r="D22" s="356" t="str">
        <f>IFERROR(VLOOKUP(A21,Rekorde[],3,FALSE)&amp;" ["&amp;_xlfn.RANK.EQ(VLOOKUP(A21,Rekorde[],3,FALSE),Rekorde[GES],0)&amp;"]","")</f>
        <v>349 [39]</v>
      </c>
      <c r="E22" s="356">
        <f>VLOOKUP(A21,AuswertungG[],3,FALSE)</f>
        <v>6</v>
      </c>
      <c r="F22" s="356" t="str">
        <f>IFERROR(VLOOKUP(A21,AuswertungG[],5,FALSE)&amp;" ["&amp;_xlfn.RANK.EQ(VLOOKUP(A21,AuswertungG[],5,FALSE),AuswertungG[Volle],0)&amp;"]","")</f>
        <v>251 [40]</v>
      </c>
      <c r="G22" s="356" t="str">
        <f>IFERROR(VLOOKUP(A21,AuswertungG[],6,FALSE)&amp;" ["&amp;_xlfn.RANK.EQ(VLOOKUP(A21,AuswertungG[],6,FALSE),AuswertungG[Räumer],0)&amp;"]","")</f>
        <v>79 [40]</v>
      </c>
      <c r="H22" s="356" t="str">
        <f>IFERROR(VLOOKUP(A21,AuswertungG[],7,FALSE)&amp;" ["&amp;_xlfn.RANK.EQ(VLOOKUP(A21,AuswertungG[],7,FALSE),AuswertungG[Fehler],1)&amp;"]","")</f>
        <v>36,7 [40]</v>
      </c>
      <c r="I22" s="357" t="str">
        <f>IFERROR(VLOOKUP(A21,AuswertungG[],9,FALSE)/4,"")</f>
        <v/>
      </c>
      <c r="J22" s="357" t="str">
        <f>VLOOKUP(A21,AuswertungG[],10,FALSE)</f>
        <v/>
      </c>
      <c r="K22" s="356">
        <f>VLOOKUP(A21,AuswertungG[],11,FALSE)</f>
        <v>82</v>
      </c>
      <c r="L22" s="356">
        <f>VLOOKUP(A21,AuswertungG[],12,FALSE)</f>
        <v>93</v>
      </c>
      <c r="M22" s="356">
        <f>VLOOKUP(A21,AuswertungG[],13,FALSE)</f>
        <v>70</v>
      </c>
      <c r="N22" s="356">
        <f>VLOOKUP(A21,AuswertungG[],14,FALSE)</f>
        <v>70</v>
      </c>
      <c r="O22" s="356">
        <f>VLOOKUP(A21,AuswertungG[],19,FALSE)</f>
        <v>1.04</v>
      </c>
      <c r="P22" s="356" t="str">
        <f>IFERROR(VLOOKUP(A21,AuswertungG[],22,FALSE)&amp;" ["&amp;_xlfn.RANK.EQ(VLOOKUP(A21,AuswertungG[],22,FALSE),AuswertungG[GEGGES],0)&amp;"]","")</f>
        <v/>
      </c>
      <c r="Q22" s="356" t="str">
        <f>VLOOKUP(A21,AuswertungG[],25,FALSE)</f>
        <v/>
      </c>
      <c r="R22" s="356" t="str">
        <f>IFERROR(VLOOKUP(A21,Rekorde[],4,FALSE)&amp;" ["&amp;_xlfn.RANK.EQ(VLOOKUP(A21,Rekorde[],4,FALSE),Rekorde[Volle],0)&amp;"]","")</f>
        <v>265 [39]</v>
      </c>
      <c r="S22" s="356" t="str">
        <f>IFERROR(VLOOKUP(A21,Rekorde[],5,FALSE)&amp;" ["&amp;_xlfn.RANK.EQ(VLOOKUP(A21,Rekorde[],5,FALSE),Rekorde[Räumer],0)&amp;"]","")</f>
        <v>84 [39]</v>
      </c>
    </row>
    <row r="23" spans="1:19" ht="30" customHeight="1" thickBot="1" x14ac:dyDescent="0.35">
      <c r="A23" s="351" t="s">
        <v>118</v>
      </c>
      <c r="B23" s="358" t="str">
        <f>IFERROR(VLOOKUP(A21,AuswertungH[],8,FALSE)&amp;" ["&amp;_xlfn.RANK.EQ(VLOOKUP(A21,AuswertungH[],8,FALSE),AuswertungH[GES H],0)&amp;"]","")</f>
        <v>332 [37]</v>
      </c>
      <c r="C23" s="359">
        <f>VLOOKUP(A21,Vorjahr[],6,FALSE)</f>
        <v>294</v>
      </c>
      <c r="D23" s="359" t="str">
        <f>IFERROR(VLOOKUP(A21,Rekorde[],13,FALSE)&amp;" ["&amp;_xlfn.RANK.EQ(VLOOKUP(A21,Rekorde[],13,FALSE),Rekorde[GES H],0)&amp;"]","")</f>
        <v>336 [36]</v>
      </c>
      <c r="E23" s="359">
        <f>VLOOKUP(A21,AuswertungH[],3,FALSE)</f>
        <v>2</v>
      </c>
      <c r="F23" s="359" t="str">
        <f>IFERROR(VLOOKUP(A21,AuswertungG[],5,FALSE)&amp;" ["&amp;_xlfn.RANK.EQ(VLOOKUP(A21,AuswertungH[],5,FALSE),AuswertungH[Volle H],0)&amp;"]","")</f>
        <v>251 [37]</v>
      </c>
      <c r="G23" s="359" t="str">
        <f>IFERROR(VLOOKUP(A21,AuswertungH[],6,FALSE)&amp;" ["&amp;_xlfn.RANK.EQ(VLOOKUP(A21,AuswertungH[],6,FALSE),AuswertungH[Räumer H],0)&amp;"]","")</f>
        <v>78 [37]</v>
      </c>
      <c r="H23" s="359" t="str">
        <f>IFERROR(VLOOKUP(A21,AuswertungH[],7,FALSE)&amp;" ["&amp;_xlfn.RANK.EQ(VLOOKUP(A21,AuswertungH[],7,FALSE),AuswertungH[Fehler H],1)&amp;"]","")</f>
        <v>40,5 [37]</v>
      </c>
      <c r="I23" s="360" t="str">
        <f>IFERROR(VLOOKUP(A21,AuswertungH[],9,FALSE)/4,"")</f>
        <v/>
      </c>
      <c r="J23" s="360" t="str">
        <f>VLOOKUP(A21,AuswertungH[],10,FALSE)</f>
        <v/>
      </c>
      <c r="K23" s="359">
        <f>VLOOKUP(A21,AuswertungH[],11,FALSE)</f>
        <v>78</v>
      </c>
      <c r="L23" s="359">
        <f>VLOOKUP(A21,AuswertungH[],12,FALSE)</f>
        <v>94</v>
      </c>
      <c r="M23" s="359">
        <f>VLOOKUP(A21,AuswertungH[],13,FALSE)</f>
        <v>74</v>
      </c>
      <c r="N23" s="359">
        <f>VLOOKUP(A21,AuswertungH[],14,FALSE)</f>
        <v>87</v>
      </c>
      <c r="O23" s="359">
        <f>VLOOKUP(A21,AuswertungH[],19,FALSE)</f>
        <v>0.5</v>
      </c>
      <c r="P23" s="359" t="str">
        <f>IFERROR(VLOOKUP(A21,AuswertungH[],22,FALSE)&amp;" ["&amp;_xlfn.RANK.EQ(VLOOKUP(A21,AuswertungH[],22,FALSE),AuswertungH[GEGGES H],0)&amp;"]","")</f>
        <v/>
      </c>
      <c r="Q23" s="359" t="str">
        <f>VLOOKUP(A21,AuswertungH[],25,FALSE)</f>
        <v/>
      </c>
      <c r="R23" s="359" t="str">
        <f>IFERROR(VLOOKUP(A21,Rekorde[],14,FALSE)&amp;" ["&amp;_xlfn.RANK.EQ(VLOOKUP(A21,Rekorde[],14,FALSE),Rekorde[Volle H],0)&amp;"]","")</f>
        <v>264 [36]</v>
      </c>
      <c r="S23" s="359" t="str">
        <f>IFERROR(VLOOKUP(A21,Rekorde[],15,FALSE)&amp;" ["&amp;_xlfn.RANK.EQ(VLOOKUP(A21,Rekorde[],15,FALSE),Rekorde[Räumer H],0)&amp;"]","")</f>
        <v>84 [36]</v>
      </c>
    </row>
    <row r="24" spans="1:19" ht="30" customHeight="1" thickBot="1" x14ac:dyDescent="0.35">
      <c r="A24" s="352" t="s">
        <v>119</v>
      </c>
      <c r="B24" s="361" t="str">
        <f>IFERROR(VLOOKUP(A21,AuswertungA[],8,FALSE)&amp;" ["&amp;_xlfn.RANK.EQ(VLOOKUP(A21,AuswertungA[],8,FALSE),AuswertungA[GES A],0)&amp;"]","")</f>
        <v>329 [36]</v>
      </c>
      <c r="C24" s="362">
        <f>VLOOKUP(A21,Vorjahr[],10,FALSE)</f>
        <v>287</v>
      </c>
      <c r="D24" s="362" t="str">
        <f>IFERROR(VLOOKUP(A21,Rekorde[],23,FALSE)&amp;" ["&amp;_xlfn.RANK.EQ(VLOOKUP(A21,Rekorde[],23,FALSE),Rekorde[GES A],0)&amp;"]","")</f>
        <v>349 [35]</v>
      </c>
      <c r="E24" s="362">
        <f>VLOOKUP(A21,AuswertungA[],3,FALSE)</f>
        <v>4</v>
      </c>
      <c r="F24" s="362" t="str">
        <f>IFERROR(VLOOKUP(A21,AuswertungA[],5,FALSE)&amp;" ["&amp;_xlfn.RANK.EQ(VLOOKUP(A21,AuswertungA[],5,FALSE),AuswertungA[Volle A],0)&amp;"]","")</f>
        <v>249 [36]</v>
      </c>
      <c r="G24" s="362" t="str">
        <f>IFERROR(VLOOKUP(A21,AuswertungA[],6,FALSE)&amp;" ["&amp;_xlfn.RANK.EQ(VLOOKUP(A21,AuswertungA[],6,FALSE),AuswertungA[Räumer A],0)&amp;"]","")</f>
        <v>80 [36]</v>
      </c>
      <c r="H24" s="362" t="str">
        <f>IFERROR(VLOOKUP(A21,AuswertungA[],7,FALSE)&amp;" ["&amp;_xlfn.RANK.EQ(VLOOKUP(A21,AuswertungA[],7,FALSE),AuswertungA[Fehler A],1)&amp;"]","")</f>
        <v>34,8 [36]</v>
      </c>
      <c r="I24" s="363" t="str">
        <f>IFERROR(VLOOKUP(A21,AuswertungA[],9,FALSE)/4,"")</f>
        <v/>
      </c>
      <c r="J24" s="363" t="str">
        <f>VLOOKUP(A21,AuswertungA[],10,FALSE)</f>
        <v/>
      </c>
      <c r="K24" s="362">
        <f>VLOOKUP(A21,AuswertungA[],11,FALSE)</f>
        <v>85</v>
      </c>
      <c r="L24" s="362">
        <f>VLOOKUP(A21,AuswertungA[],12,FALSE)</f>
        <v>93</v>
      </c>
      <c r="M24" s="362">
        <f>VLOOKUP(A21,AuswertungA[],13,FALSE)</f>
        <v>68</v>
      </c>
      <c r="N24" s="362">
        <f>VLOOKUP(A21,AuswertungA[],14,FALSE)</f>
        <v>86</v>
      </c>
      <c r="O24" s="362">
        <f>VLOOKUP(A21,AuswertungA[],19,FALSE)</f>
        <v>1.34</v>
      </c>
      <c r="P24" s="362" t="str">
        <f>IFERROR(VLOOKUP(A21,AuswertungA[],22,FALSE)&amp;" ["&amp;_xlfn.RANK.EQ(VLOOKUP(A21,AuswertungA[],22,FALSE),AuswertungA[GEGGES A],0)&amp;"]","")</f>
        <v/>
      </c>
      <c r="Q24" s="362" t="str">
        <f>VLOOKUP(A21,AuswertungA[],25,FALSE)</f>
        <v/>
      </c>
      <c r="R24" s="362" t="str">
        <f>IFERROR(VLOOKUP(A21,Rekorde[],24,FALSE)&amp;" ["&amp;_xlfn.RANK.EQ(VLOOKUP(A21,Rekorde[],24,FALSE),Rekorde[Volle A],0)&amp;"]","")</f>
        <v>265 [35]</v>
      </c>
      <c r="S24" s="362" t="str">
        <f>IFERROR(VLOOKUP(A21,Rekorde[],25,FALSE)&amp;" ["&amp;_xlfn.RANK.EQ(VLOOKUP(A21,Rekorde[],25,FALSE),Rekorde[Räumer A],0)&amp;"]","")</f>
        <v>84 [35]</v>
      </c>
    </row>
    <row r="25" spans="1:19" ht="30" hidden="1" customHeight="1" thickBot="1" x14ac:dyDescent="0.35"/>
    <row r="26" spans="1:19" ht="30" hidden="1" customHeight="1" thickBot="1" x14ac:dyDescent="0.35">
      <c r="A26" s="353" t="str">
        <f>VLOOKUP(ROUNDUP(ROW()/4,0),Teamzuordnung[],2,FALSE)</f>
        <v>Bruno Bergelt</v>
      </c>
      <c r="B26" s="349" t="s">
        <v>63</v>
      </c>
      <c r="C26" s="347" t="s">
        <v>610</v>
      </c>
      <c r="D26" s="347" t="s">
        <v>605</v>
      </c>
      <c r="E26" s="346" t="s">
        <v>100</v>
      </c>
      <c r="F26" s="346" t="s">
        <v>21</v>
      </c>
      <c r="G26" s="346" t="s">
        <v>22</v>
      </c>
      <c r="H26" s="346" t="s">
        <v>23</v>
      </c>
      <c r="I26" s="346" t="s">
        <v>24</v>
      </c>
      <c r="J26" s="346" t="s">
        <v>25</v>
      </c>
      <c r="K26" s="346" t="s">
        <v>606</v>
      </c>
      <c r="L26" s="346" t="s">
        <v>607</v>
      </c>
      <c r="M26" s="346" t="s">
        <v>608</v>
      </c>
      <c r="N26" s="346" t="s">
        <v>609</v>
      </c>
      <c r="O26" s="346" t="s">
        <v>218</v>
      </c>
      <c r="P26" s="346" t="s">
        <v>454</v>
      </c>
      <c r="Q26" s="347" t="s">
        <v>199</v>
      </c>
      <c r="R26" s="347" t="s">
        <v>603</v>
      </c>
      <c r="S26" s="348" t="s">
        <v>604</v>
      </c>
    </row>
    <row r="27" spans="1:19" ht="30" hidden="1" customHeight="1" thickBot="1" x14ac:dyDescent="0.35">
      <c r="A27" s="350" t="s">
        <v>26</v>
      </c>
      <c r="B27" s="355" t="str">
        <f>IFERROR(VLOOKUP(A26,AuswertungG[],8,FALSE)&amp;" ["&amp;_xlfn.RANK.EQ(VLOOKUP(A26,AuswertungG[],8,FALSE),AuswertungG[GES],0)&amp;"]","")</f>
        <v>386 [37]</v>
      </c>
      <c r="C27" s="356">
        <f>VLOOKUP(A26,Vorjahr[],2,FALSE)</f>
        <v>362</v>
      </c>
      <c r="D27" s="356" t="str">
        <f>IFERROR(VLOOKUP(A26,Rekorde[],3,FALSE)&amp;" ["&amp;_xlfn.RANK.EQ(VLOOKUP(A26,Rekorde[],3,FALSE),Rekorde[GES],0)&amp;"]","")</f>
        <v>398 [37]</v>
      </c>
      <c r="E27" s="356">
        <f>VLOOKUP(A26,AuswertungG[],3,FALSE)</f>
        <v>5</v>
      </c>
      <c r="F27" s="356" t="str">
        <f>IFERROR(VLOOKUP(A26,AuswertungG[],5,FALSE)&amp;" ["&amp;_xlfn.RANK.EQ(VLOOKUP(A26,AuswertungG[],5,FALSE),AuswertungG[Volle],0)&amp;"]","")</f>
        <v>283 [38]</v>
      </c>
      <c r="G27" s="356" t="str">
        <f>IFERROR(VLOOKUP(A26,AuswertungG[],6,FALSE)&amp;" ["&amp;_xlfn.RANK.EQ(VLOOKUP(A26,AuswertungG[],6,FALSE),AuswertungG[Räumer],0)&amp;"]","")</f>
        <v>104 [37]</v>
      </c>
      <c r="H27" s="356" t="str">
        <f>IFERROR(VLOOKUP(A26,AuswertungG[],7,FALSE)&amp;" ["&amp;_xlfn.RANK.EQ(VLOOKUP(A26,AuswertungG[],7,FALSE),AuswertungG[Fehler],1)&amp;"]","")</f>
        <v>21,2 [36]</v>
      </c>
      <c r="I27" s="357" t="str">
        <f>IFERROR(VLOOKUP(A26,AuswertungG[],9,FALSE)/4,"")</f>
        <v/>
      </c>
      <c r="J27" s="357" t="str">
        <f>VLOOKUP(A26,AuswertungG[],10,FALSE)</f>
        <v/>
      </c>
      <c r="K27" s="356">
        <f>VLOOKUP(A26,AuswertungG[],11,FALSE)</f>
        <v>100</v>
      </c>
      <c r="L27" s="356">
        <f>VLOOKUP(A26,AuswertungG[],12,FALSE)</f>
        <v>97</v>
      </c>
      <c r="M27" s="356">
        <f>VLOOKUP(A26,AuswertungG[],13,FALSE)</f>
        <v>93</v>
      </c>
      <c r="N27" s="356">
        <f>VLOOKUP(A26,AuswertungG[],14,FALSE)</f>
        <v>93</v>
      </c>
      <c r="O27" s="356">
        <f>VLOOKUP(A26,AuswertungG[],19,FALSE)</f>
        <v>1.84</v>
      </c>
      <c r="P27" s="356" t="str">
        <f>IFERROR(VLOOKUP(A26,AuswertungG[],22,FALSE)&amp;" ["&amp;_xlfn.RANK.EQ(VLOOKUP(A26,AuswertungG[],22,FALSE),AuswertungG[GEGGES],0)&amp;"]","")</f>
        <v/>
      </c>
      <c r="Q27" s="356" t="str">
        <f>VLOOKUP(A26,AuswertungG[],25,FALSE)</f>
        <v/>
      </c>
      <c r="R27" s="356" t="str">
        <f>IFERROR(VLOOKUP(A26,Rekorde[],4,FALSE)&amp;" ["&amp;_xlfn.RANK.EQ(VLOOKUP(A26,Rekorde[],4,FALSE),Rekorde[Volle],0)&amp;"]","")</f>
        <v>305 [38]</v>
      </c>
      <c r="S27" s="356" t="str">
        <f>IFERROR(VLOOKUP(A26,Rekorde[],5,FALSE)&amp;" ["&amp;_xlfn.RANK.EQ(VLOOKUP(A26,Rekorde[],5,FALSE),Rekorde[Räumer],0)&amp;"]","")</f>
        <v>123 [37]</v>
      </c>
    </row>
    <row r="28" spans="1:19" ht="30" hidden="1" customHeight="1" thickBot="1" x14ac:dyDescent="0.35">
      <c r="A28" s="351" t="s">
        <v>118</v>
      </c>
      <c r="B28" s="358" t="str">
        <f>IFERROR(VLOOKUP(A26,AuswertungH[],8,FALSE)&amp;" ["&amp;_xlfn.RANK.EQ(VLOOKUP(A26,AuswertungH[],8,FALSE),AuswertungH[GES H],0)&amp;"]","")</f>
        <v>398 [34]</v>
      </c>
      <c r="C28" s="359">
        <f>VLOOKUP(A26,Vorjahr[],6,FALSE)</f>
        <v>369</v>
      </c>
      <c r="D28" s="359" t="str">
        <f>IFERROR(VLOOKUP(A26,Rekorde[],13,FALSE)&amp;" ["&amp;_xlfn.RANK.EQ(VLOOKUP(A26,Rekorde[],13,FALSE),Rekorde[GES H],0)&amp;"]","")</f>
        <v>398 [34]</v>
      </c>
      <c r="E28" s="359">
        <f>VLOOKUP(A26,AuswertungH[],3,FALSE)</f>
        <v>1</v>
      </c>
      <c r="F28" s="359" t="str">
        <f>IFERROR(VLOOKUP(A26,AuswertungG[],5,FALSE)&amp;" ["&amp;_xlfn.RANK.EQ(VLOOKUP(A26,AuswertungH[],5,FALSE),AuswertungH[Volle H],0)&amp;"]","")</f>
        <v>283 [34]</v>
      </c>
      <c r="G28" s="359" t="str">
        <f>IFERROR(VLOOKUP(A26,AuswertungH[],6,FALSE)&amp;" ["&amp;_xlfn.RANK.EQ(VLOOKUP(A26,AuswertungH[],6,FALSE),AuswertungH[Räumer H],0)&amp;"]","")</f>
        <v>123 [32]</v>
      </c>
      <c r="H28" s="359" t="str">
        <f>IFERROR(VLOOKUP(A26,AuswertungH[],7,FALSE)&amp;" ["&amp;_xlfn.RANK.EQ(VLOOKUP(A26,AuswertungH[],7,FALSE),AuswertungH[Fehler H],1)&amp;"]","")</f>
        <v>18 [33]</v>
      </c>
      <c r="I28" s="360" t="str">
        <f>IFERROR(VLOOKUP(A26,AuswertungH[],9,FALSE)/4,"")</f>
        <v/>
      </c>
      <c r="J28" s="360" t="str">
        <f>VLOOKUP(A26,AuswertungH[],10,FALSE)</f>
        <v/>
      </c>
      <c r="K28" s="359">
        <f>VLOOKUP(A26,AuswertungH[],11,FALSE)</f>
        <v>104</v>
      </c>
      <c r="L28" s="359">
        <f>VLOOKUP(A26,AuswertungH[],12,FALSE)</f>
        <v>96</v>
      </c>
      <c r="M28" s="359">
        <f>VLOOKUP(A26,AuswertungH[],13,FALSE)</f>
        <v>101</v>
      </c>
      <c r="N28" s="359">
        <f>VLOOKUP(A26,AuswertungH[],14,FALSE)</f>
        <v>97</v>
      </c>
      <c r="O28" s="359">
        <f>VLOOKUP(A26,AuswertungH[],19,FALSE)</f>
        <v>0</v>
      </c>
      <c r="P28" s="359" t="str">
        <f>IFERROR(VLOOKUP(A26,AuswertungH[],22,FALSE)&amp;" ["&amp;_xlfn.RANK.EQ(VLOOKUP(A26,AuswertungH[],22,FALSE),AuswertungH[GEGGES H],0)&amp;"]","")</f>
        <v/>
      </c>
      <c r="Q28" s="359" t="str">
        <f>VLOOKUP(A26,AuswertungH[],25,FALSE)</f>
        <v/>
      </c>
      <c r="R28" s="359" t="str">
        <f>IFERROR(VLOOKUP(A26,Rekorde[],14,FALSE)&amp;" ["&amp;_xlfn.RANK.EQ(VLOOKUP(A26,Rekorde[],14,FALSE),Rekorde[Volle H],0)&amp;"]","")</f>
        <v>275 [35]</v>
      </c>
      <c r="S28" s="359" t="str">
        <f>IFERROR(VLOOKUP(A26,Rekorde[],15,FALSE)&amp;" ["&amp;_xlfn.RANK.EQ(VLOOKUP(A26,Rekorde[],15,FALSE),Rekorde[Räumer H],0)&amp;"]","")</f>
        <v>123 [32]</v>
      </c>
    </row>
    <row r="29" spans="1:19" ht="30" hidden="1" customHeight="1" thickBot="1" x14ac:dyDescent="0.35">
      <c r="A29" s="352" t="s">
        <v>119</v>
      </c>
      <c r="B29" s="361" t="str">
        <f>IFERROR(VLOOKUP(A26,AuswertungH[],8,FALSE)&amp;" ["&amp;_xlfn.RANK.EQ(VLOOKUP(A26,AuswertungA[],8,FALSE),AuswertungA[GES A],0)&amp;"]","")</f>
        <v>398 [34]</v>
      </c>
      <c r="C29" s="362">
        <f>VLOOKUP(A26,Vorjahr[],10,FALSE)</f>
        <v>359</v>
      </c>
      <c r="D29" s="362" t="str">
        <f>IFERROR(VLOOKUP(A26,Rekorde[],23,FALSE)&amp;" ["&amp;_xlfn.RANK.EQ(VLOOKUP(A26,Rekorde[],23,FALSE),Rekorde[GES A],0)&amp;"]","")</f>
        <v>397 [33]</v>
      </c>
      <c r="E29" s="362">
        <f>VLOOKUP(A26,AuswertungA[],3,FALSE)</f>
        <v>4</v>
      </c>
      <c r="F29" s="362" t="str">
        <f>IFERROR(VLOOKUP(A26,AuswertungA[],5,FALSE)&amp;" ["&amp;_xlfn.RANK.EQ(VLOOKUP(A26,AuswertungA[],5,FALSE),AuswertungA[Volle A],0)&amp;"]","")</f>
        <v>285 [34]</v>
      </c>
      <c r="G29" s="362" t="str">
        <f>IFERROR(VLOOKUP(A26,AuswertungA[],6,FALSE)&amp;" ["&amp;_xlfn.RANK.EQ(VLOOKUP(A26,AuswertungA[],6,FALSE),AuswertungA[Räumer A],0)&amp;"]","")</f>
        <v>99 [33]</v>
      </c>
      <c r="H29" s="362" t="str">
        <f>IFERROR(VLOOKUP(A26,AuswertungA[],7,FALSE)&amp;" ["&amp;_xlfn.RANK.EQ(VLOOKUP(A26,AuswertungA[],7,FALSE),AuswertungA[Fehler A],1)&amp;"]","")</f>
        <v>22 [32]</v>
      </c>
      <c r="I29" s="363" t="str">
        <f>IFERROR(VLOOKUP(A26,AuswertungA[],9,FALSE)/4,"")</f>
        <v/>
      </c>
      <c r="J29" s="363" t="str">
        <f>VLOOKUP(A26,AuswertungA[],10,FALSE)</f>
        <v/>
      </c>
      <c r="K29" s="362">
        <f>VLOOKUP(A26,AuswertungA[],11,FALSE)</f>
        <v>99</v>
      </c>
      <c r="L29" s="362">
        <f>VLOOKUP(A26,AuswertungA[],12,FALSE)</f>
        <v>97</v>
      </c>
      <c r="M29" s="362">
        <f>VLOOKUP(A26,AuswertungA[],13,FALSE)</f>
        <v>90</v>
      </c>
      <c r="N29" s="362">
        <f>VLOOKUP(A26,AuswertungA[],14,FALSE)</f>
        <v>98</v>
      </c>
      <c r="O29" s="362">
        <f>VLOOKUP(A26,AuswertungA[],19,FALSE)</f>
        <v>1.7</v>
      </c>
      <c r="P29" s="362" t="str">
        <f>IFERROR(VLOOKUP(A26,AuswertungA[],22,FALSE)&amp;" ["&amp;_xlfn.RANK.EQ(VLOOKUP(A26,AuswertungA[],22,FALSE),AuswertungA[GEGGES A],0)&amp;"]","")</f>
        <v/>
      </c>
      <c r="Q29" s="362" t="str">
        <f>VLOOKUP(A26,AuswertungA[],25,FALSE)</f>
        <v/>
      </c>
      <c r="R29" s="362" t="str">
        <f>IFERROR(VLOOKUP(A26,Rekorde[],24,FALSE)&amp;" ["&amp;_xlfn.RANK.EQ(VLOOKUP(A26,Rekorde[],24,FALSE),Rekorde[Volle A],0)&amp;"]","")</f>
        <v>305 [34]</v>
      </c>
      <c r="S29" s="362" t="str">
        <f>IFERROR(VLOOKUP(A26,Rekorde[],25,FALSE)&amp;" ["&amp;_xlfn.RANK.EQ(VLOOKUP(A26,Rekorde[],25,FALSE),Rekorde[Räumer A],0)&amp;"]","")</f>
        <v>115 [33]</v>
      </c>
    </row>
    <row r="30" spans="1:19" ht="30" customHeight="1" thickBot="1" x14ac:dyDescent="0.35"/>
    <row r="31" spans="1:19" ht="30" customHeight="1" thickBot="1" x14ac:dyDescent="0.35">
      <c r="A31" s="353" t="str">
        <f>VLOOKUP(ROUNDUP(ROW()/4,0),Teamzuordnung[],2,FALSE)</f>
        <v>Cora Keller</v>
      </c>
      <c r="B31" s="349" t="s">
        <v>63</v>
      </c>
      <c r="C31" s="347" t="s">
        <v>610</v>
      </c>
      <c r="D31" s="347" t="s">
        <v>605</v>
      </c>
      <c r="E31" s="346" t="s">
        <v>100</v>
      </c>
      <c r="F31" s="346" t="s">
        <v>21</v>
      </c>
      <c r="G31" s="346" t="s">
        <v>22</v>
      </c>
      <c r="H31" s="346" t="s">
        <v>23</v>
      </c>
      <c r="I31" s="346" t="s">
        <v>24</v>
      </c>
      <c r="J31" s="346" t="s">
        <v>25</v>
      </c>
      <c r="K31" s="346" t="s">
        <v>606</v>
      </c>
      <c r="L31" s="346" t="s">
        <v>607</v>
      </c>
      <c r="M31" s="346" t="s">
        <v>608</v>
      </c>
      <c r="N31" s="346" t="s">
        <v>609</v>
      </c>
      <c r="O31" s="346" t="s">
        <v>218</v>
      </c>
      <c r="P31" s="347" t="s">
        <v>611</v>
      </c>
      <c r="Q31" s="347" t="s">
        <v>199</v>
      </c>
      <c r="R31" s="347" t="s">
        <v>603</v>
      </c>
      <c r="S31" s="348" t="s">
        <v>604</v>
      </c>
    </row>
    <row r="32" spans="1:19" ht="30" customHeight="1" thickBot="1" x14ac:dyDescent="0.35">
      <c r="A32" s="350" t="s">
        <v>26</v>
      </c>
      <c r="B32" s="355" t="str">
        <f>IFERROR(VLOOKUP(A31,AuswertungG[],8,FALSE)&amp;" ["&amp;_xlfn.RANK.EQ(VLOOKUP(A31,AuswertungG[],8,FALSE),AuswertungG[GES],0)&amp;"]","")</f>
        <v>501 [25]</v>
      </c>
      <c r="C32" s="356">
        <f>VLOOKUP(A31,Vorjahr[],2,FALSE)</f>
        <v>467</v>
      </c>
      <c r="D32" s="356" t="str">
        <f>IFERROR(VLOOKUP(A31,Rekorde[],3,FALSE)&amp;" ["&amp;_xlfn.RANK.EQ(VLOOKUP(A31,Rekorde[],3,FALSE),Rekorde[GES],0)&amp;"]","")</f>
        <v>553 [17]</v>
      </c>
      <c r="E32" s="356">
        <f>VLOOKUP(A31,AuswertungG[],3,FALSE)</f>
        <v>15</v>
      </c>
      <c r="F32" s="356" t="str">
        <f>IFERROR(VLOOKUP(A31,AuswertungG[],5,FALSE)&amp;" ["&amp;_xlfn.RANK.EQ(VLOOKUP(A31,AuswertungG[],5,FALSE),AuswertungG[Volle],0)&amp;"]","")</f>
        <v>346 [27]</v>
      </c>
      <c r="G32" s="356" t="str">
        <f>IFERROR(VLOOKUP(A31,AuswertungG[],6,FALSE)&amp;" ["&amp;_xlfn.RANK.EQ(VLOOKUP(A31,AuswertungG[],6,FALSE),AuswertungG[Räumer],0)&amp;"]","")</f>
        <v>154 [25]</v>
      </c>
      <c r="H32" s="356" t="str">
        <f>IFERROR(VLOOKUP(A31,AuswertungG[],7,FALSE)&amp;" ["&amp;_xlfn.RANK.EQ(VLOOKUP(A31,AuswertungG[],7,FALSE),AuswertungG[Fehler],1)&amp;"]","")</f>
        <v>11,1 [29]</v>
      </c>
      <c r="I32" s="357">
        <f>IFERROR(VLOOKUP(A31,AuswertungG[],9,FALSE)/4,"")</f>
        <v>0.5</v>
      </c>
      <c r="J32" s="357">
        <f>VLOOKUP(A31,AuswertungG[],10,FALSE)</f>
        <v>0.6</v>
      </c>
      <c r="K32" s="356">
        <f>VLOOKUP(A31,AuswertungG[],11,FALSE)</f>
        <v>128</v>
      </c>
      <c r="L32" s="356">
        <f>VLOOKUP(A31,AuswertungG[],12,FALSE)</f>
        <v>125</v>
      </c>
      <c r="M32" s="356">
        <f>VLOOKUP(A31,AuswertungG[],13,FALSE)</f>
        <v>124</v>
      </c>
      <c r="N32" s="356">
        <f>VLOOKUP(A31,AuswertungG[],14,FALSE)</f>
        <v>124</v>
      </c>
      <c r="O32" s="356">
        <f>VLOOKUP(A31,AuswertungG[],19,FALSE)</f>
        <v>0.19</v>
      </c>
      <c r="P32" s="356" t="str">
        <f>IFERROR(VLOOKUP(A31,AuswertungG[],22,FALSE)&amp;" ["&amp;_xlfn.RANK.EQ(VLOOKUP(A31,AuswertungG[],22,FALSE),AuswertungG[GEGGES],0)&amp;"]","")</f>
        <v>478 [28]</v>
      </c>
      <c r="Q32" s="356" t="str">
        <f>VLOOKUP(A31,AuswertungG[],25,FALSE)</f>
        <v>[3]</v>
      </c>
      <c r="R32" s="356" t="str">
        <f>IFERROR(VLOOKUP(A31,Rekorde[],4,FALSE)&amp;" ["&amp;_xlfn.RANK.EQ(VLOOKUP(A31,Rekorde[],4,FALSE),Rekorde[Volle],0)&amp;"]","")</f>
        <v>372 [17]</v>
      </c>
      <c r="S32" s="356" t="str">
        <f>IFERROR(VLOOKUP(A31,Rekorde[],5,FALSE)&amp;" ["&amp;_xlfn.RANK.EQ(VLOOKUP(A31,Rekorde[],5,FALSE),Rekorde[Räumer],0)&amp;"]","")</f>
        <v>184 [21]</v>
      </c>
    </row>
    <row r="33" spans="1:19" ht="30" customHeight="1" thickBot="1" x14ac:dyDescent="0.35">
      <c r="A33" s="351" t="s">
        <v>118</v>
      </c>
      <c r="B33" s="358" t="str">
        <f>IFERROR(VLOOKUP(A31,AuswertungH[],8,FALSE)&amp;" ["&amp;_xlfn.RANK.EQ(VLOOKUP(A31,AuswertungH[],8,FALSE),AuswertungH[GES H],0)&amp;"]","")</f>
        <v>498 [23]</v>
      </c>
      <c r="C33" s="359">
        <f>VLOOKUP(A31,Vorjahr[],6,FALSE)</f>
        <v>466</v>
      </c>
      <c r="D33" s="359" t="str">
        <f>IFERROR(VLOOKUP(A31,Rekorde[],13,FALSE)&amp;" ["&amp;_xlfn.RANK.EQ(VLOOKUP(A31,Rekorde[],13,FALSE),Rekorde[GES H],0)&amp;"]","")</f>
        <v>528 [20]</v>
      </c>
      <c r="E33" s="359">
        <f>VLOOKUP(A31,AuswertungH[],3,FALSE)</f>
        <v>5</v>
      </c>
      <c r="F33" s="359" t="str">
        <f>IFERROR(VLOOKUP(A31,AuswertungG[],5,FALSE)&amp;" ["&amp;_xlfn.RANK.EQ(VLOOKUP(A31,AuswertungH[],5,FALSE),AuswertungH[Volle H],0)&amp;"]","")</f>
        <v>346 [24]</v>
      </c>
      <c r="G33" s="359" t="str">
        <f>IFERROR(VLOOKUP(A31,AuswertungH[],6,FALSE)&amp;" ["&amp;_xlfn.RANK.EQ(VLOOKUP(A31,AuswertungH[],6,FALSE),AuswertungH[Räumer H],0)&amp;"]","")</f>
        <v>156 [20]</v>
      </c>
      <c r="H33" s="359" t="str">
        <f>IFERROR(VLOOKUP(A31,AuswertungH[],7,FALSE)&amp;" ["&amp;_xlfn.RANK.EQ(VLOOKUP(A31,AuswertungH[],7,FALSE),AuswertungH[Fehler H],1)&amp;"]","")</f>
        <v>10 [22]</v>
      </c>
      <c r="I33" s="360">
        <f>IFERROR(VLOOKUP(A31,AuswertungH[],9,FALSE)/4,"")</f>
        <v>0.5</v>
      </c>
      <c r="J33" s="360">
        <f>VLOOKUP(A31,AuswertungH[],10,FALSE)</f>
        <v>0.5</v>
      </c>
      <c r="K33" s="359">
        <f>VLOOKUP(A31,AuswertungH[],11,FALSE)</f>
        <v>124</v>
      </c>
      <c r="L33" s="359">
        <f>VLOOKUP(A31,AuswertungH[],12,FALSE)</f>
        <v>121</v>
      </c>
      <c r="M33" s="359">
        <f>VLOOKUP(A31,AuswertungH[],13,FALSE)</f>
        <v>127</v>
      </c>
      <c r="N33" s="359">
        <f>VLOOKUP(A31,AuswertungH[],14,FALSE)</f>
        <v>126</v>
      </c>
      <c r="O33" s="359">
        <f>VLOOKUP(A31,AuswertungH[],19,FALSE)</f>
        <v>1.22</v>
      </c>
      <c r="P33" s="359" t="str">
        <f>IFERROR(VLOOKUP(A31,AuswertungH[],22,FALSE)&amp;" ["&amp;_xlfn.RANK.EQ(VLOOKUP(A31,AuswertungH[],22,FALSE),AuswertungH[GEGGES H],0)&amp;"]","")</f>
        <v>472 [22]</v>
      </c>
      <c r="Q33" s="359" t="str">
        <f>VLOOKUP(A31,AuswertungH[],25,FALSE)</f>
        <v>[1]</v>
      </c>
      <c r="R33" s="359" t="str">
        <f>IFERROR(VLOOKUP(A31,Rekorde[],14,FALSE)&amp;" ["&amp;_xlfn.RANK.EQ(VLOOKUP(A31,Rekorde[],14,FALSE),Rekorde[Volle H],0)&amp;"]","")</f>
        <v>353 [21]</v>
      </c>
      <c r="S33" s="359" t="str">
        <f>IFERROR(VLOOKUP(A31,Rekorde[],15,FALSE)&amp;" ["&amp;_xlfn.RANK.EQ(VLOOKUP(A31,Rekorde[],15,FALSE),Rekorde[Räumer H],0)&amp;"]","")</f>
        <v>175 [16]</v>
      </c>
    </row>
    <row r="34" spans="1:19" ht="30" customHeight="1" thickBot="1" x14ac:dyDescent="0.35">
      <c r="A34" s="352" t="s">
        <v>119</v>
      </c>
      <c r="B34" s="361" t="str">
        <f>IFERROR(VLOOKUP(A31,AuswertungA[],8,FALSE)&amp;" ["&amp;_xlfn.RANK.EQ(VLOOKUP(A31,AuswertungA[],8,FALSE),AuswertungA[GES A],0)&amp;"]","")</f>
        <v>502 [24]</v>
      </c>
      <c r="C34" s="362">
        <f>VLOOKUP(A31,Vorjahr[],10,FALSE)</f>
        <v>467</v>
      </c>
      <c r="D34" s="362" t="str">
        <f>IFERROR(VLOOKUP(A31,Rekorde[],23,FALSE)&amp;" ["&amp;_xlfn.RANK.EQ(VLOOKUP(A31,Rekorde[],23,FALSE),Rekorde[GES A],0)&amp;"]","")</f>
        <v>553 [15]</v>
      </c>
      <c r="E34" s="362">
        <f>VLOOKUP(A31,AuswertungA[],3,FALSE)</f>
        <v>10</v>
      </c>
      <c r="F34" s="362" t="str">
        <f>IFERROR(VLOOKUP(A31,AuswertungA[],5,FALSE)&amp;" ["&amp;_xlfn.RANK.EQ(VLOOKUP(A31,AuswertungA[],5,FALSE),AuswertungA[Volle A],0)&amp;"]","")</f>
        <v>348 [23]</v>
      </c>
      <c r="G34" s="362" t="str">
        <f>IFERROR(VLOOKUP(A31,AuswertungA[],6,FALSE)&amp;" ["&amp;_xlfn.RANK.EQ(VLOOKUP(A31,AuswertungA[],6,FALSE),AuswertungA[Räumer A],0)&amp;"]","")</f>
        <v>154 [23]</v>
      </c>
      <c r="H34" s="362" t="str">
        <f>IFERROR(VLOOKUP(A31,AuswertungA[],7,FALSE)&amp;" ["&amp;_xlfn.RANK.EQ(VLOOKUP(A31,AuswertungA[],7,FALSE),AuswertungA[Fehler A],1)&amp;"]","")</f>
        <v>11,6 [26]</v>
      </c>
      <c r="I34" s="363">
        <f>IFERROR(VLOOKUP(A31,AuswertungA[],9,FALSE)/4,"")</f>
        <v>0.5</v>
      </c>
      <c r="J34" s="363">
        <f>VLOOKUP(A31,AuswertungA[],10,FALSE)</f>
        <v>0.67</v>
      </c>
      <c r="K34" s="362">
        <f>VLOOKUP(A31,AuswertungA[],11,FALSE)</f>
        <v>130</v>
      </c>
      <c r="L34" s="362">
        <f>VLOOKUP(A31,AuswertungA[],12,FALSE)</f>
        <v>127</v>
      </c>
      <c r="M34" s="362">
        <f>VLOOKUP(A31,AuswertungA[],13,FALSE)</f>
        <v>122</v>
      </c>
      <c r="N34" s="362">
        <f>VLOOKUP(A31,AuswertungA[],14,FALSE)</f>
        <v>123</v>
      </c>
      <c r="O34" s="362">
        <f>VLOOKUP(A31,AuswertungA[],19,FALSE)</f>
        <v>-0.12</v>
      </c>
      <c r="P34" s="362" t="str">
        <f>IFERROR(VLOOKUP(A31,AuswertungA[],22,FALSE)&amp;" ["&amp;_xlfn.RANK.EQ(VLOOKUP(A31,AuswertungA[],22,FALSE),AuswertungA[GEGGES A],0)&amp;"]","")</f>
        <v>482 [27]</v>
      </c>
      <c r="Q34" s="362" t="str">
        <f>VLOOKUP(A31,AuswertungA[],25,FALSE)</f>
        <v>[2][3]</v>
      </c>
      <c r="R34" s="362" t="str">
        <f>IFERROR(VLOOKUP(A31,Rekorde[],24,FALSE)&amp;" ["&amp;_xlfn.RANK.EQ(VLOOKUP(A31,Rekorde[],24,FALSE),Rekorde[Volle A],0)&amp;"]","")</f>
        <v>372 [14]</v>
      </c>
      <c r="S34" s="362" t="str">
        <f>IFERROR(VLOOKUP(A31,Rekorde[],25,FALSE)&amp;" ["&amp;_xlfn.RANK.EQ(VLOOKUP(A31,Rekorde[],25,FALSE),Rekorde[Räumer A],0)&amp;"]","")</f>
        <v>184 [19]</v>
      </c>
    </row>
    <row r="35" spans="1:19" ht="14.4" customHeight="1" thickBot="1" x14ac:dyDescent="0.35"/>
    <row r="36" spans="1:19" ht="30" customHeight="1" thickBot="1" x14ac:dyDescent="0.35">
      <c r="A36" s="353" t="str">
        <f>VLOOKUP(ROUNDUP(ROW()/4,0),Teamzuordnung[],2,FALSE)</f>
        <v>Dietmar Klose</v>
      </c>
      <c r="B36" s="349" t="s">
        <v>63</v>
      </c>
      <c r="C36" s="347" t="s">
        <v>610</v>
      </c>
      <c r="D36" s="347" t="s">
        <v>605</v>
      </c>
      <c r="E36" s="346" t="s">
        <v>100</v>
      </c>
      <c r="F36" s="346" t="s">
        <v>21</v>
      </c>
      <c r="G36" s="346" t="s">
        <v>22</v>
      </c>
      <c r="H36" s="346" t="s">
        <v>23</v>
      </c>
      <c r="I36" s="346" t="s">
        <v>24</v>
      </c>
      <c r="J36" s="346" t="s">
        <v>25</v>
      </c>
      <c r="K36" s="346" t="s">
        <v>606</v>
      </c>
      <c r="L36" s="346" t="s">
        <v>607</v>
      </c>
      <c r="M36" s="346" t="s">
        <v>608</v>
      </c>
      <c r="N36" s="346" t="s">
        <v>609</v>
      </c>
      <c r="O36" s="346" t="s">
        <v>218</v>
      </c>
      <c r="P36" s="347" t="s">
        <v>611</v>
      </c>
      <c r="Q36" s="347" t="s">
        <v>199</v>
      </c>
      <c r="R36" s="347" t="s">
        <v>603</v>
      </c>
      <c r="S36" s="348" t="s">
        <v>604</v>
      </c>
    </row>
    <row r="37" spans="1:19" ht="30" customHeight="1" thickBot="1" x14ac:dyDescent="0.35">
      <c r="A37" s="350" t="s">
        <v>26</v>
      </c>
      <c r="B37" s="355" t="str">
        <f>IFERROR(VLOOKUP(A36,AuswertungG[],8,FALSE)&amp;" ["&amp;_xlfn.RANK.EQ(VLOOKUP(A36,AuswertungG[],8,FALSE),AuswertungG[GES],0)&amp;"]","")</f>
        <v/>
      </c>
      <c r="C37" s="356">
        <f>VLOOKUP(A36,Vorjahr[],2,FALSE)</f>
        <v>468</v>
      </c>
      <c r="D37" s="356" t="str">
        <f>IFERROR(VLOOKUP(A36,Rekorde[],3,FALSE)&amp;" ["&amp;_xlfn.RANK.EQ(VLOOKUP(A36,Rekorde[],3,FALSE),Rekorde[GES],0)&amp;"]","")</f>
        <v/>
      </c>
      <c r="E37" s="356">
        <f>VLOOKUP(A36,AuswertungG[],3,FALSE)</f>
        <v>0</v>
      </c>
      <c r="F37" s="356" t="str">
        <f>IFERROR(VLOOKUP(A36,AuswertungG[],5,FALSE)&amp;" ["&amp;_xlfn.RANK.EQ(VLOOKUP(A36,AuswertungG[],5,FALSE),AuswertungG[Volle],0)&amp;"]","")</f>
        <v/>
      </c>
      <c r="G37" s="356" t="str">
        <f>IFERROR(VLOOKUP(A36,AuswertungG[],6,FALSE)&amp;" ["&amp;_xlfn.RANK.EQ(VLOOKUP(A36,AuswertungG[],6,FALSE),AuswertungG[Räumer],0)&amp;"]","")</f>
        <v/>
      </c>
      <c r="H37" s="356" t="str">
        <f>IFERROR(VLOOKUP(A36,AuswertungG[],7,FALSE)&amp;" ["&amp;_xlfn.RANK.EQ(VLOOKUP(A36,AuswertungG[],7,FALSE),AuswertungG[Fehler],1)&amp;"]","")</f>
        <v/>
      </c>
      <c r="I37" s="357" t="str">
        <f>IFERROR(VLOOKUP(A36,AuswertungG[],9,FALSE)/4,"")</f>
        <v/>
      </c>
      <c r="J37" s="357" t="str">
        <f>VLOOKUP(A36,AuswertungG[],10,FALSE)</f>
        <v/>
      </c>
      <c r="K37" s="356" t="str">
        <f>VLOOKUP(A36,AuswertungG[],11,FALSE)</f>
        <v/>
      </c>
      <c r="L37" s="356" t="str">
        <f>VLOOKUP(A36,AuswertungG[],12,FALSE)</f>
        <v/>
      </c>
      <c r="M37" s="356" t="str">
        <f>VLOOKUP(A36,AuswertungG[],13,FALSE)</f>
        <v/>
      </c>
      <c r="N37" s="356" t="str">
        <f>VLOOKUP(A36,AuswertungG[],14,FALSE)</f>
        <v/>
      </c>
      <c r="O37" s="356" t="str">
        <f>VLOOKUP(A36,AuswertungG[],19,FALSE)</f>
        <v/>
      </c>
      <c r="P37" s="356" t="str">
        <f>IFERROR(VLOOKUP(A36,AuswertungG[],22,FALSE)&amp;" ["&amp;_xlfn.RANK.EQ(VLOOKUP(A36,AuswertungG[],22,FALSE),AuswertungG[GEGGES],0)&amp;"]","")</f>
        <v/>
      </c>
      <c r="Q37" s="356" t="str">
        <f>VLOOKUP(A36,AuswertungG[],25,FALSE)</f>
        <v/>
      </c>
      <c r="R37" s="356" t="str">
        <f>IFERROR(VLOOKUP(A36,Rekorde[],4,FALSE)&amp;" ["&amp;_xlfn.RANK.EQ(VLOOKUP(A36,Rekorde[],4,FALSE),Rekorde[Volle],0)&amp;"]","")</f>
        <v/>
      </c>
      <c r="S37" s="356" t="str">
        <f>IFERROR(VLOOKUP(A36,Rekorde[],5,FALSE)&amp;" ["&amp;_xlfn.RANK.EQ(VLOOKUP(A36,Rekorde[],5,FALSE),Rekorde[Räumer],0)&amp;"]","")</f>
        <v/>
      </c>
    </row>
    <row r="38" spans="1:19" ht="30" customHeight="1" thickBot="1" x14ac:dyDescent="0.35">
      <c r="A38" s="351" t="s">
        <v>118</v>
      </c>
      <c r="B38" s="358" t="str">
        <f>IFERROR(VLOOKUP(A36,AuswertungH[],8,FALSE)&amp;" ["&amp;_xlfn.RANK.EQ(VLOOKUP(A36,AuswertungH[],8,FALSE),AuswertungH[GES H],0)&amp;"]","")</f>
        <v/>
      </c>
      <c r="C38" s="359">
        <f>VLOOKUP(A36,Vorjahr[],6,FALSE)</f>
        <v>475</v>
      </c>
      <c r="D38" s="359" t="str">
        <f>IFERROR(VLOOKUP(A36,Rekorde[],13,FALSE)&amp;" ["&amp;_xlfn.RANK.EQ(VLOOKUP(A36,Rekorde[],13,FALSE),Rekorde[GES H],0)&amp;"]","")</f>
        <v/>
      </c>
      <c r="E38" s="359">
        <f>VLOOKUP(A36,AuswertungH[],3,FALSE)</f>
        <v>0</v>
      </c>
      <c r="F38" s="359" t="str">
        <f>IFERROR(VLOOKUP(A36,AuswertungG[],5,FALSE)&amp;" ["&amp;_xlfn.RANK.EQ(VLOOKUP(A36,AuswertungH[],5,FALSE),AuswertungH[Volle H],0)&amp;"]","")</f>
        <v/>
      </c>
      <c r="G38" s="359" t="str">
        <f>IFERROR(VLOOKUP(A36,AuswertungH[],6,FALSE)&amp;" ["&amp;_xlfn.RANK.EQ(VLOOKUP(A36,AuswertungH[],6,FALSE),AuswertungH[Räumer H],0)&amp;"]","")</f>
        <v/>
      </c>
      <c r="H38" s="359" t="str">
        <f>IFERROR(VLOOKUP(A36,AuswertungH[],7,FALSE)&amp;" ["&amp;_xlfn.RANK.EQ(VLOOKUP(A36,AuswertungH[],7,FALSE),AuswertungH[Fehler H],1)&amp;"]","")</f>
        <v/>
      </c>
      <c r="I38" s="360" t="str">
        <f>IFERROR(VLOOKUP(A36,AuswertungH[],9,FALSE)/4,"")</f>
        <v/>
      </c>
      <c r="J38" s="360" t="str">
        <f>VLOOKUP(A36,AuswertungH[],10,FALSE)</f>
        <v/>
      </c>
      <c r="K38" s="359" t="str">
        <f>VLOOKUP(A36,AuswertungH[],11,FALSE)</f>
        <v/>
      </c>
      <c r="L38" s="359" t="str">
        <f>VLOOKUP(A36,AuswertungH[],12,FALSE)</f>
        <v/>
      </c>
      <c r="M38" s="359" t="str">
        <f>VLOOKUP(A36,AuswertungH[],13,FALSE)</f>
        <v/>
      </c>
      <c r="N38" s="359" t="str">
        <f>VLOOKUP(A36,AuswertungH[],14,FALSE)</f>
        <v/>
      </c>
      <c r="O38" s="359">
        <f>VLOOKUP(A36,AuswertungH[],19,FALSE)</f>
        <v>0</v>
      </c>
      <c r="P38" s="359" t="str">
        <f>IFERROR(VLOOKUP(A36,AuswertungH[],22,FALSE)&amp;" ["&amp;_xlfn.RANK.EQ(VLOOKUP(A36,AuswertungH[],22,FALSE),AuswertungH[GEGGES H],0)&amp;"]","")</f>
        <v/>
      </c>
      <c r="Q38" s="359" t="str">
        <f>VLOOKUP(A36,AuswertungH[],25,FALSE)</f>
        <v/>
      </c>
      <c r="R38" s="359" t="str">
        <f>IFERROR(VLOOKUP(A36,Rekorde[],14,FALSE)&amp;" ["&amp;_xlfn.RANK.EQ(VLOOKUP(A36,Rekorde[],14,FALSE),Rekorde[Volle H],0)&amp;"]","")</f>
        <v/>
      </c>
      <c r="S38" s="359" t="str">
        <f>IFERROR(VLOOKUP(A36,Rekorde[],15,FALSE)&amp;" ["&amp;_xlfn.RANK.EQ(VLOOKUP(A36,Rekorde[],15,FALSE),Rekorde[Räumer H],0)&amp;"]","")</f>
        <v/>
      </c>
    </row>
    <row r="39" spans="1:19" ht="30" customHeight="1" thickBot="1" x14ac:dyDescent="0.35">
      <c r="A39" s="352" t="s">
        <v>119</v>
      </c>
      <c r="B39" s="361" t="str">
        <f>IFERROR(VLOOKUP(A36,AuswertungA[],8,FALSE)&amp;" ["&amp;_xlfn.RANK.EQ(VLOOKUP(A36,AuswertungA[],8,FALSE),AuswertungA[GES A],0)&amp;"]","")</f>
        <v/>
      </c>
      <c r="C39" s="362">
        <f>VLOOKUP(A36,Vorjahr[],10,FALSE)</f>
        <v>459</v>
      </c>
      <c r="D39" s="362" t="str">
        <f>IFERROR(VLOOKUP(A36,Rekorde[],23,FALSE)&amp;" ["&amp;_xlfn.RANK.EQ(VLOOKUP(A36,Rekorde[],23,FALSE),Rekorde[GES A],0)&amp;"]","")</f>
        <v/>
      </c>
      <c r="E39" s="362">
        <f>VLOOKUP(A36,AuswertungA[],3,FALSE)</f>
        <v>0</v>
      </c>
      <c r="F39" s="362" t="str">
        <f>IFERROR(VLOOKUP(A36,AuswertungA[],5,FALSE)&amp;" ["&amp;_xlfn.RANK.EQ(VLOOKUP(A36,AuswertungA[],5,FALSE),AuswertungA[Volle A],0)&amp;"]","")</f>
        <v/>
      </c>
      <c r="G39" s="362" t="str">
        <f>IFERROR(VLOOKUP(A36,AuswertungA[],6,FALSE)&amp;" ["&amp;_xlfn.RANK.EQ(VLOOKUP(A36,AuswertungA[],6,FALSE),AuswertungA[Räumer A],0)&amp;"]","")</f>
        <v/>
      </c>
      <c r="H39" s="362" t="str">
        <f>IFERROR(VLOOKUP(A36,AuswertungA[],7,FALSE)&amp;" ["&amp;_xlfn.RANK.EQ(VLOOKUP(A36,AuswertungA[],7,FALSE),AuswertungA[Fehler A],1)&amp;"]","")</f>
        <v/>
      </c>
      <c r="I39" s="363" t="str">
        <f>IFERROR(VLOOKUP(A36,AuswertungA[],9,FALSE)/4,"")</f>
        <v/>
      </c>
      <c r="J39" s="363" t="str">
        <f>VLOOKUP(A36,AuswertungA[],10,FALSE)</f>
        <v/>
      </c>
      <c r="K39" s="362" t="str">
        <f>VLOOKUP(A36,AuswertungA[],11,FALSE)</f>
        <v/>
      </c>
      <c r="L39" s="362" t="str">
        <f>VLOOKUP(A36,AuswertungA[],12,FALSE)</f>
        <v/>
      </c>
      <c r="M39" s="362" t="str">
        <f>VLOOKUP(A36,AuswertungA[],13,FALSE)</f>
        <v/>
      </c>
      <c r="N39" s="362" t="str">
        <f>VLOOKUP(A36,AuswertungA[],14,FALSE)</f>
        <v/>
      </c>
      <c r="O39" s="362" t="str">
        <f>VLOOKUP(A36,AuswertungA[],19,FALSE)</f>
        <v/>
      </c>
      <c r="P39" s="362" t="str">
        <f>IFERROR(VLOOKUP(A36,AuswertungA[],22,FALSE)&amp;" ["&amp;_xlfn.RANK.EQ(VLOOKUP(A36,AuswertungA[],22,FALSE),AuswertungA[GEGGES A],0)&amp;"]","")</f>
        <v/>
      </c>
      <c r="Q39" s="362" t="str">
        <f>VLOOKUP(A36,AuswertungA[],25,FALSE)</f>
        <v/>
      </c>
      <c r="R39" s="362" t="str">
        <f>IFERROR(VLOOKUP(A36,Rekorde[],24,FALSE)&amp;" ["&amp;_xlfn.RANK.EQ(VLOOKUP(A36,Rekorde[],24,FALSE),Rekorde[Volle A],0)&amp;"]","")</f>
        <v/>
      </c>
      <c r="S39" s="362" t="str">
        <f>IFERROR(VLOOKUP(A36,Rekorde[],25,FALSE)&amp;" ["&amp;_xlfn.RANK.EQ(VLOOKUP(A36,Rekorde[],25,FALSE),Rekorde[Räumer A],0)&amp;"]","")</f>
        <v/>
      </c>
    </row>
    <row r="40" spans="1:19" ht="30" customHeight="1" thickBot="1" x14ac:dyDescent="0.35"/>
    <row r="41" spans="1:19" ht="30" customHeight="1" thickBot="1" x14ac:dyDescent="0.35">
      <c r="A41" s="353" t="str">
        <f>VLOOKUP(ROUNDUP(ROW()/4,0),Teamzuordnung[],2,FALSE)</f>
        <v>Emma Hettmann</v>
      </c>
      <c r="B41" s="349" t="s">
        <v>63</v>
      </c>
      <c r="C41" s="347" t="s">
        <v>610</v>
      </c>
      <c r="D41" s="347" t="s">
        <v>605</v>
      </c>
      <c r="E41" s="346" t="s">
        <v>100</v>
      </c>
      <c r="F41" s="346" t="s">
        <v>21</v>
      </c>
      <c r="G41" s="346" t="s">
        <v>22</v>
      </c>
      <c r="H41" s="346" t="s">
        <v>23</v>
      </c>
      <c r="I41" s="346" t="s">
        <v>24</v>
      </c>
      <c r="J41" s="346" t="s">
        <v>25</v>
      </c>
      <c r="K41" s="346" t="s">
        <v>606</v>
      </c>
      <c r="L41" s="346" t="s">
        <v>607</v>
      </c>
      <c r="M41" s="346" t="s">
        <v>608</v>
      </c>
      <c r="N41" s="346" t="s">
        <v>609</v>
      </c>
      <c r="O41" s="346" t="s">
        <v>218</v>
      </c>
      <c r="P41" s="347" t="s">
        <v>611</v>
      </c>
      <c r="Q41" s="347" t="s">
        <v>199</v>
      </c>
      <c r="R41" s="347" t="s">
        <v>603</v>
      </c>
      <c r="S41" s="348" t="s">
        <v>604</v>
      </c>
    </row>
    <row r="42" spans="1:19" ht="30" customHeight="1" thickBot="1" x14ac:dyDescent="0.35">
      <c r="A42" s="350" t="s">
        <v>26</v>
      </c>
      <c r="B42" s="355" t="str">
        <f>IFERROR(VLOOKUP(A41,AuswertungG[],8,FALSE)&amp;" ["&amp;_xlfn.RANK.EQ(VLOOKUP(A41,AuswertungG[],8,FALSE),AuswertungG[GES],0)&amp;"]","")</f>
        <v>532 [4]</v>
      </c>
      <c r="C42" s="356">
        <f>VLOOKUP(A41,Vorjahr[],2,FALSE)</f>
        <v>515</v>
      </c>
      <c r="D42" s="356" t="str">
        <f>IFERROR(VLOOKUP(A41,Rekorde[],3,FALSE)&amp;" ["&amp;_xlfn.RANK.EQ(VLOOKUP(A41,Rekorde[],3,FALSE),Rekorde[GES],0)&amp;"]","")</f>
        <v>587 [4]</v>
      </c>
      <c r="E42" s="356">
        <f>VLOOKUP(A41,AuswertungG[],3,FALSE)</f>
        <v>13</v>
      </c>
      <c r="F42" s="356" t="str">
        <f>IFERROR(VLOOKUP(A41,AuswertungG[],5,FALSE)&amp;" ["&amp;_xlfn.RANK.EQ(VLOOKUP(A41,AuswertungG[],5,FALSE),AuswertungG[Volle],0)&amp;"]","")</f>
        <v>361 [6]</v>
      </c>
      <c r="G42" s="356" t="str">
        <f>IFERROR(VLOOKUP(A41,AuswertungG[],6,FALSE)&amp;" ["&amp;_xlfn.RANK.EQ(VLOOKUP(A41,AuswertungG[],6,FALSE),AuswertungG[Räumer],0)&amp;"]","")</f>
        <v>171 [8]</v>
      </c>
      <c r="H42" s="356" t="str">
        <f>IFERROR(VLOOKUP(A41,AuswertungG[],7,FALSE)&amp;" ["&amp;_xlfn.RANK.EQ(VLOOKUP(A41,AuswertungG[],7,FALSE),AuswertungG[Fehler],1)&amp;"]","")</f>
        <v>5,8 [6]</v>
      </c>
      <c r="I42" s="357">
        <f>IFERROR(VLOOKUP(A41,AuswertungG[],9,FALSE)/4,"")</f>
        <v>1</v>
      </c>
      <c r="J42" s="357">
        <f>VLOOKUP(A41,AuswertungG[],10,FALSE)</f>
        <v>1</v>
      </c>
      <c r="K42" s="356">
        <f>VLOOKUP(A41,AuswertungG[],11,FALSE)</f>
        <v>141</v>
      </c>
      <c r="L42" s="356">
        <f>VLOOKUP(A41,AuswertungG[],12,FALSE)</f>
        <v>133</v>
      </c>
      <c r="M42" s="356">
        <f>VLOOKUP(A41,AuswertungG[],13,FALSE)</f>
        <v>132</v>
      </c>
      <c r="N42" s="356">
        <f>VLOOKUP(A41,AuswertungG[],14,FALSE)</f>
        <v>132</v>
      </c>
      <c r="O42" s="356">
        <f>VLOOKUP(A41,AuswertungG[],19,FALSE)</f>
        <v>0.74</v>
      </c>
      <c r="P42" s="356" t="str">
        <f>IFERROR(VLOOKUP(A41,AuswertungG[],22,FALSE)&amp;" ["&amp;_xlfn.RANK.EQ(VLOOKUP(A41,AuswertungG[],22,FALSE),AuswertungG[GEGGES],0)&amp;"]","")</f>
        <v>445 [34]</v>
      </c>
      <c r="Q42" s="356" t="str">
        <f>VLOOKUP(A41,AuswertungG[],25,FALSE)</f>
        <v>[3]</v>
      </c>
      <c r="R42" s="356" t="str">
        <f>IFERROR(VLOOKUP(A41,Rekorde[],4,FALSE)&amp;" ["&amp;_xlfn.RANK.EQ(VLOOKUP(A41,Rekorde[],4,FALSE),Rekorde[Volle],0)&amp;"]","")</f>
        <v>393 [3]</v>
      </c>
      <c r="S42" s="356" t="str">
        <f>IFERROR(VLOOKUP(A41,Rekorde[],5,FALSE)&amp;" ["&amp;_xlfn.RANK.EQ(VLOOKUP(A41,Rekorde[],5,FALSE),Rekorde[Räumer],0)&amp;"]","")</f>
        <v>201 [7]</v>
      </c>
    </row>
    <row r="43" spans="1:19" ht="30" customHeight="1" thickBot="1" x14ac:dyDescent="0.35">
      <c r="A43" s="351" t="s">
        <v>118</v>
      </c>
      <c r="B43" s="358" t="str">
        <f>IFERROR(VLOOKUP(A41,AuswertungH[],8,FALSE)&amp;" ["&amp;_xlfn.RANK.EQ(VLOOKUP(A41,AuswertungH[],8,FALSE),AuswertungH[GES H],0)&amp;"]","")</f>
        <v>520 [11]</v>
      </c>
      <c r="C43" s="359">
        <f>VLOOKUP(A41,Vorjahr[],6,FALSE)</f>
        <v>518</v>
      </c>
      <c r="D43" s="359" t="str">
        <f>IFERROR(VLOOKUP(A41,Rekorde[],13,FALSE)&amp;" ["&amp;_xlfn.RANK.EQ(VLOOKUP(A41,Rekorde[],13,FALSE),Rekorde[GES H],0)&amp;"]","")</f>
        <v>564 [4]</v>
      </c>
      <c r="E43" s="359">
        <f>VLOOKUP(A41,AuswertungH[],3,FALSE)</f>
        <v>5</v>
      </c>
      <c r="F43" s="359" t="str">
        <f>IFERROR(VLOOKUP(A41,AuswertungG[],5,FALSE)&amp;" ["&amp;_xlfn.RANK.EQ(VLOOKUP(A41,AuswertungH[],5,FALSE),AuswertungH[Volle H],0)&amp;"]","")</f>
        <v>361 [18]</v>
      </c>
      <c r="G43" s="359" t="str">
        <f>IFERROR(VLOOKUP(A41,AuswertungH[],6,FALSE)&amp;" ["&amp;_xlfn.RANK.EQ(VLOOKUP(A41,AuswertungH[],6,FALSE),AuswertungH[Räumer H],0)&amp;"]","")</f>
        <v>169 [9]</v>
      </c>
      <c r="H43" s="359" t="str">
        <f>IFERROR(VLOOKUP(A41,AuswertungH[],7,FALSE)&amp;" ["&amp;_xlfn.RANK.EQ(VLOOKUP(A41,AuswertungH[],7,FALSE),AuswertungH[Fehler H],1)&amp;"]","")</f>
        <v>7,6 [16]</v>
      </c>
      <c r="I43" s="360">
        <f>IFERROR(VLOOKUP(A41,AuswertungH[],9,FALSE)/4,"")</f>
        <v>1</v>
      </c>
      <c r="J43" s="360">
        <f>VLOOKUP(A41,AuswertungH[],10,FALSE)</f>
        <v>1</v>
      </c>
      <c r="K43" s="359">
        <f>VLOOKUP(A41,AuswertungH[],11,FALSE)</f>
        <v>137</v>
      </c>
      <c r="L43" s="359">
        <f>VLOOKUP(A41,AuswertungH[],12,FALSE)</f>
        <v>130</v>
      </c>
      <c r="M43" s="359">
        <f>VLOOKUP(A41,AuswertungH[],13,FALSE)</f>
        <v>129</v>
      </c>
      <c r="N43" s="359">
        <f>VLOOKUP(A41,AuswertungH[],14,FALSE)</f>
        <v>132</v>
      </c>
      <c r="O43" s="359">
        <f>VLOOKUP(A41,AuswertungH[],19,FALSE)</f>
        <v>4.1900000000000004</v>
      </c>
      <c r="P43" s="359" t="str">
        <f>IFERROR(VLOOKUP(A41,AuswertungH[],22,FALSE)&amp;" ["&amp;_xlfn.RANK.EQ(VLOOKUP(A41,AuswertungH[],22,FALSE),AuswertungH[GEGGES H],0)&amp;"]","")</f>
        <v>445 [28]</v>
      </c>
      <c r="Q43" s="359" t="str">
        <f>VLOOKUP(A41,AuswertungH[],25,FALSE)</f>
        <v>[3]</v>
      </c>
      <c r="R43" s="359" t="str">
        <f>IFERROR(VLOOKUP(A41,Rekorde[],14,FALSE)&amp;" ["&amp;_xlfn.RANK.EQ(VLOOKUP(A41,Rekorde[],14,FALSE),Rekorde[Volle H],0)&amp;"]","")</f>
        <v>363 [13]</v>
      </c>
      <c r="S43" s="359" t="str">
        <f>IFERROR(VLOOKUP(A41,Rekorde[],15,FALSE)&amp;" ["&amp;_xlfn.RANK.EQ(VLOOKUP(A41,Rekorde[],15,FALSE),Rekorde[Räumer H],0)&amp;"]","")</f>
        <v>201 [3]</v>
      </c>
    </row>
    <row r="44" spans="1:19" ht="30" customHeight="1" thickBot="1" x14ac:dyDescent="0.35">
      <c r="A44" s="352" t="s">
        <v>119</v>
      </c>
      <c r="B44" s="361" t="str">
        <f>IFERROR(VLOOKUP(A41,AuswertungA[],8,FALSE)&amp;" ["&amp;_xlfn.RANK.EQ(VLOOKUP(A41,AuswertungA[],8,FALSE),AuswertungA[GES A],0)&amp;"]","")</f>
        <v>540 [8]</v>
      </c>
      <c r="C44" s="362">
        <f>VLOOKUP(A41,Vorjahr[],10,FALSE)</f>
        <v>514</v>
      </c>
      <c r="D44" s="362" t="str">
        <f>IFERROR(VLOOKUP(A41,Rekorde[],23,FALSE)&amp;" ["&amp;_xlfn.RANK.EQ(VLOOKUP(A41,Rekorde[],23,FALSE),Rekorde[GES A],0)&amp;"]","")</f>
        <v>587 [4]</v>
      </c>
      <c r="E44" s="362">
        <f>VLOOKUP(A41,AuswertungA[],3,FALSE)</f>
        <v>8</v>
      </c>
      <c r="F44" s="362" t="str">
        <f>IFERROR(VLOOKUP(A41,AuswertungA[],5,FALSE)&amp;" ["&amp;_xlfn.RANK.EQ(VLOOKUP(A41,AuswertungA[],5,FALSE),AuswertungA[Volle A],0)&amp;"]","")</f>
        <v>367 [6]</v>
      </c>
      <c r="G44" s="362" t="str">
        <f>IFERROR(VLOOKUP(A41,AuswertungA[],6,FALSE)&amp;" ["&amp;_xlfn.RANK.EQ(VLOOKUP(A41,AuswertungA[],6,FALSE),AuswertungA[Räumer A],0)&amp;"]","")</f>
        <v>172 [14]</v>
      </c>
      <c r="H44" s="362" t="str">
        <f>IFERROR(VLOOKUP(A41,AuswertungA[],7,FALSE)&amp;" ["&amp;_xlfn.RANK.EQ(VLOOKUP(A41,AuswertungA[],7,FALSE),AuswertungA[Fehler A],1)&amp;"]","")</f>
        <v>4,8 [5]</v>
      </c>
      <c r="I44" s="363" t="str">
        <f>IFERROR(VLOOKUP(A41,AuswertungA[],9,FALSE)/4,"")</f>
        <v/>
      </c>
      <c r="J44" s="363" t="str">
        <f>VLOOKUP(A41,AuswertungA[],10,FALSE)</f>
        <v/>
      </c>
      <c r="K44" s="362">
        <f>VLOOKUP(A41,AuswertungA[],11,FALSE)</f>
        <v>142</v>
      </c>
      <c r="L44" s="362">
        <f>VLOOKUP(A41,AuswertungA[],12,FALSE)</f>
        <v>134</v>
      </c>
      <c r="M44" s="362">
        <f>VLOOKUP(A41,AuswertungA[],13,FALSE)</f>
        <v>134</v>
      </c>
      <c r="N44" s="362">
        <f>VLOOKUP(A41,AuswertungA[],14,FALSE)</f>
        <v>131</v>
      </c>
      <c r="O44" s="362">
        <f>VLOOKUP(A41,AuswertungA[],19,FALSE)</f>
        <v>-0.32</v>
      </c>
      <c r="P44" s="362" t="str">
        <f>IFERROR(VLOOKUP(A41,AuswertungA[],22,FALSE)&amp;" ["&amp;_xlfn.RANK.EQ(VLOOKUP(A41,AuswertungA[],22,FALSE),AuswertungA[GEGGES A],0)&amp;"]","")</f>
        <v/>
      </c>
      <c r="Q44" s="362" t="str">
        <f>VLOOKUP(A41,AuswertungA[],25,FALSE)</f>
        <v/>
      </c>
      <c r="R44" s="362" t="str">
        <f>IFERROR(VLOOKUP(A41,Rekorde[],24,FALSE)&amp;" ["&amp;_xlfn.RANK.EQ(VLOOKUP(A41,Rekorde[],24,FALSE),Rekorde[Volle A],0)&amp;"]","")</f>
        <v>393 [3]</v>
      </c>
      <c r="S44" s="362" t="str">
        <f>IFERROR(VLOOKUP(A41,Rekorde[],25,FALSE)&amp;" ["&amp;_xlfn.RANK.EQ(VLOOKUP(A41,Rekorde[],25,FALSE),Rekorde[Räumer A],0)&amp;"]","")</f>
        <v>194 [9]</v>
      </c>
    </row>
    <row r="45" spans="1:19" ht="30" customHeight="1" thickBot="1" x14ac:dyDescent="0.35"/>
    <row r="46" spans="1:19" ht="30" customHeight="1" thickBot="1" x14ac:dyDescent="0.35">
      <c r="A46" s="353" t="str">
        <f>VLOOKUP(ROUNDUP(ROW()/4,0),Teamzuordnung[],2,FALSE)</f>
        <v>Erik Krutak</v>
      </c>
      <c r="B46" s="349" t="s">
        <v>63</v>
      </c>
      <c r="C46" s="347" t="s">
        <v>610</v>
      </c>
      <c r="D46" s="347" t="s">
        <v>605</v>
      </c>
      <c r="E46" s="346" t="s">
        <v>100</v>
      </c>
      <c r="F46" s="346" t="s">
        <v>21</v>
      </c>
      <c r="G46" s="346" t="s">
        <v>22</v>
      </c>
      <c r="H46" s="346" t="s">
        <v>23</v>
      </c>
      <c r="I46" s="346" t="s">
        <v>24</v>
      </c>
      <c r="J46" s="346" t="s">
        <v>25</v>
      </c>
      <c r="K46" s="346" t="s">
        <v>606</v>
      </c>
      <c r="L46" s="346" t="s">
        <v>607</v>
      </c>
      <c r="M46" s="346" t="s">
        <v>608</v>
      </c>
      <c r="N46" s="346" t="s">
        <v>609</v>
      </c>
      <c r="O46" s="346" t="s">
        <v>218</v>
      </c>
      <c r="P46" s="347" t="s">
        <v>611</v>
      </c>
      <c r="Q46" s="347" t="s">
        <v>199</v>
      </c>
      <c r="R46" s="347" t="s">
        <v>603</v>
      </c>
      <c r="S46" s="348" t="s">
        <v>604</v>
      </c>
    </row>
    <row r="47" spans="1:19" ht="30" customHeight="1" thickBot="1" x14ac:dyDescent="0.35">
      <c r="A47" s="350" t="s">
        <v>26</v>
      </c>
      <c r="B47" s="355" t="str">
        <f>IFERROR(VLOOKUP(A46,AuswertungG[],8,FALSE)&amp;" ["&amp;_xlfn.RANK.EQ(VLOOKUP(A46,AuswertungG[],8,FALSE),AuswertungG[GES],0)&amp;"]","")</f>
        <v>528 [9]</v>
      </c>
      <c r="C47" s="356">
        <f>VLOOKUP(A46,Vorjahr[],2,FALSE)</f>
        <v>520</v>
      </c>
      <c r="D47" s="356" t="str">
        <f>IFERROR(VLOOKUP(A46,Rekorde[],3,FALSE)&amp;" ["&amp;_xlfn.RANK.EQ(VLOOKUP(A46,Rekorde[],3,FALSE),Rekorde[GES],0)&amp;"]","")</f>
        <v>568 [10]</v>
      </c>
      <c r="E47" s="356">
        <f>VLOOKUP(A46,AuswertungG[],3,FALSE)</f>
        <v>12</v>
      </c>
      <c r="F47" s="356" t="str">
        <f>IFERROR(VLOOKUP(A46,AuswertungG[],5,FALSE)&amp;" ["&amp;_xlfn.RANK.EQ(VLOOKUP(A46,AuswertungG[],5,FALSE),AuswertungG[Volle],0)&amp;"]","")</f>
        <v>355 [14]</v>
      </c>
      <c r="G47" s="356" t="str">
        <f>IFERROR(VLOOKUP(A46,AuswertungG[],6,FALSE)&amp;" ["&amp;_xlfn.RANK.EQ(VLOOKUP(A46,AuswertungG[],6,FALSE),AuswertungG[Räumer],0)&amp;"]","")</f>
        <v>173 [5]</v>
      </c>
      <c r="H47" s="356" t="str">
        <f>IFERROR(VLOOKUP(A46,AuswertungG[],7,FALSE)&amp;" ["&amp;_xlfn.RANK.EQ(VLOOKUP(A46,AuswertungG[],7,FALSE),AuswertungG[Fehler],1)&amp;"]","")</f>
        <v>6,2 [11]</v>
      </c>
      <c r="I47" s="357">
        <f>IFERROR(VLOOKUP(A46,AuswertungG[],9,FALSE)/4,"")</f>
        <v>0.47499999999999998</v>
      </c>
      <c r="J47" s="357">
        <f>VLOOKUP(A46,AuswertungG[],10,FALSE)</f>
        <v>0.3</v>
      </c>
      <c r="K47" s="356">
        <f>VLOOKUP(A46,AuswertungG[],11,FALSE)</f>
        <v>128</v>
      </c>
      <c r="L47" s="356">
        <f>VLOOKUP(A46,AuswertungG[],12,FALSE)</f>
        <v>128</v>
      </c>
      <c r="M47" s="356">
        <f>VLOOKUP(A46,AuswertungG[],13,FALSE)</f>
        <v>132</v>
      </c>
      <c r="N47" s="356">
        <f>VLOOKUP(A46,AuswertungG[],14,FALSE)</f>
        <v>132</v>
      </c>
      <c r="O47" s="356">
        <f>VLOOKUP(A46,AuswertungG[],19,FALSE)</f>
        <v>-0.06</v>
      </c>
      <c r="P47" s="356" t="str">
        <f>IFERROR(VLOOKUP(A46,AuswertungG[],22,FALSE)&amp;" ["&amp;_xlfn.RANK.EQ(VLOOKUP(A46,AuswertungG[],22,FALSE),AuswertungG[GEGGES],0)&amp;"]","")</f>
        <v>523 [8]</v>
      </c>
      <c r="Q47" s="356" t="str">
        <f>VLOOKUP(A46,AuswertungG[],25,FALSE)</f>
        <v>[3][6]</v>
      </c>
      <c r="R47" s="356" t="str">
        <f>IFERROR(VLOOKUP(A46,Rekorde[],4,FALSE)&amp;" ["&amp;_xlfn.RANK.EQ(VLOOKUP(A46,Rekorde[],4,FALSE),Rekorde[Volle],0)&amp;"]","")</f>
        <v>380 [11]</v>
      </c>
      <c r="S47" s="356" t="str">
        <f>IFERROR(VLOOKUP(A46,Rekorde[],5,FALSE)&amp;" ["&amp;_xlfn.RANK.EQ(VLOOKUP(A46,Rekorde[],5,FALSE),Rekorde[Räumer],0)&amp;"]","")</f>
        <v>223 [3]</v>
      </c>
    </row>
    <row r="48" spans="1:19" ht="30" customHeight="1" thickBot="1" x14ac:dyDescent="0.35">
      <c r="A48" s="351" t="s">
        <v>118</v>
      </c>
      <c r="B48" s="358" t="str">
        <f>IFERROR(VLOOKUP(A46,AuswertungH[],8,FALSE)&amp;" ["&amp;_xlfn.RANK.EQ(VLOOKUP(A46,AuswertungH[],8,FALSE),AuswertungH[GES H],0)&amp;"]","")</f>
        <v>519 [13]</v>
      </c>
      <c r="C48" s="359">
        <f>VLOOKUP(A46,Vorjahr[],6,FALSE)</f>
        <v>520</v>
      </c>
      <c r="D48" s="359" t="str">
        <f>IFERROR(VLOOKUP(A46,Rekorde[],13,FALSE)&amp;" ["&amp;_xlfn.RANK.EQ(VLOOKUP(A46,Rekorde[],13,FALSE),Rekorde[GES H],0)&amp;"]","")</f>
        <v>539 [14]</v>
      </c>
      <c r="E48" s="359">
        <f>VLOOKUP(A46,AuswertungH[],3,FALSE)</f>
        <v>5</v>
      </c>
      <c r="F48" s="359" t="str">
        <f>IFERROR(VLOOKUP(A46,AuswertungG[],5,FALSE)&amp;" ["&amp;_xlfn.RANK.EQ(VLOOKUP(A46,AuswertungH[],5,FALSE),AuswertungH[Volle H],0)&amp;"]","")</f>
        <v>355 [9]</v>
      </c>
      <c r="G48" s="359" t="str">
        <f>IFERROR(VLOOKUP(A46,AuswertungH[],6,FALSE)&amp;" ["&amp;_xlfn.RANK.EQ(VLOOKUP(A46,AuswertungH[],6,FALSE),AuswertungH[Räumer H],0)&amp;"]","")</f>
        <v>162 [17]</v>
      </c>
      <c r="H48" s="359" t="str">
        <f>IFERROR(VLOOKUP(A46,AuswertungH[],7,FALSE)&amp;" ["&amp;_xlfn.RANK.EQ(VLOOKUP(A46,AuswertungH[],7,FALSE),AuswertungH[Fehler H],1)&amp;"]","")</f>
        <v>6,6 [12]</v>
      </c>
      <c r="I48" s="360">
        <f>IFERROR(VLOOKUP(A46,AuswertungH[],9,FALSE)/4,"")</f>
        <v>0.65</v>
      </c>
      <c r="J48" s="360">
        <f>VLOOKUP(A46,AuswertungH[],10,FALSE)</f>
        <v>0.6</v>
      </c>
      <c r="K48" s="359">
        <f>VLOOKUP(A46,AuswertungH[],11,FALSE)</f>
        <v>121</v>
      </c>
      <c r="L48" s="359">
        <f>VLOOKUP(A46,AuswertungH[],12,FALSE)</f>
        <v>129</v>
      </c>
      <c r="M48" s="359">
        <f>VLOOKUP(A46,AuswertungH[],13,FALSE)</f>
        <v>135</v>
      </c>
      <c r="N48" s="359">
        <f>VLOOKUP(A46,AuswertungH[],14,FALSE)</f>
        <v>134</v>
      </c>
      <c r="O48" s="359">
        <f>VLOOKUP(A46,AuswertungH[],19,FALSE)</f>
        <v>1.45</v>
      </c>
      <c r="P48" s="359" t="str">
        <f>IFERROR(VLOOKUP(A46,AuswertungH[],22,FALSE)&amp;" ["&amp;_xlfn.RANK.EQ(VLOOKUP(A46,AuswertungH[],22,FALSE),AuswertungH[GEGGES H],0)&amp;"]","")</f>
        <v>491 [15]</v>
      </c>
      <c r="Q48" s="359" t="str">
        <f>VLOOKUP(A46,AuswertungH[],25,FALSE)</f>
        <v>[6]</v>
      </c>
      <c r="R48" s="359" t="str">
        <f>IFERROR(VLOOKUP(A46,Rekorde[],14,FALSE)&amp;" ["&amp;_xlfn.RANK.EQ(VLOOKUP(A46,Rekorde[],14,FALSE),Rekorde[Volle H],0)&amp;"]","")</f>
        <v>368 [9]</v>
      </c>
      <c r="S48" s="359" t="str">
        <f>IFERROR(VLOOKUP(A46,Rekorde[],15,FALSE)&amp;" ["&amp;_xlfn.RANK.EQ(VLOOKUP(A46,Rekorde[],15,FALSE),Rekorde[Räumer H],0)&amp;"]","")</f>
        <v>174 [17]</v>
      </c>
    </row>
    <row r="49" spans="1:19" ht="30" customHeight="1" thickBot="1" x14ac:dyDescent="0.35">
      <c r="A49" s="352" t="s">
        <v>119</v>
      </c>
      <c r="B49" s="361" t="str">
        <f>IFERROR(VLOOKUP(A46,AuswertungA[],8,FALSE)&amp;" ["&amp;_xlfn.RANK.EQ(VLOOKUP(A46,AuswertungA[],8,FALSE),AuswertungA[GES A],0)&amp;"]","")</f>
        <v>534 [10]</v>
      </c>
      <c r="C49" s="362">
        <f>VLOOKUP(A46,Vorjahr[],10,FALSE)</f>
        <v>520</v>
      </c>
      <c r="D49" s="362" t="str">
        <f>IFERROR(VLOOKUP(A46,Rekorde[],23,FALSE)&amp;" ["&amp;_xlfn.RANK.EQ(VLOOKUP(A46,Rekorde[],23,FALSE),Rekorde[GES A],0)&amp;"]","")</f>
        <v>568 [9]</v>
      </c>
      <c r="E49" s="362">
        <f>VLOOKUP(A46,AuswertungA[],3,FALSE)</f>
        <v>7</v>
      </c>
      <c r="F49" s="362" t="str">
        <f>IFERROR(VLOOKUP(A46,AuswertungA[],5,FALSE)&amp;" ["&amp;_xlfn.RANK.EQ(VLOOKUP(A46,AuswertungA[],5,FALSE),AuswertungA[Volle A],0)&amp;"]","")</f>
        <v>353 [17]</v>
      </c>
      <c r="G49" s="362" t="str">
        <f>IFERROR(VLOOKUP(A46,AuswertungA[],6,FALSE)&amp;" ["&amp;_xlfn.RANK.EQ(VLOOKUP(A46,AuswertungA[],6,FALSE),AuswertungA[Räumer A],0)&amp;"]","")</f>
        <v>181 [6]</v>
      </c>
      <c r="H49" s="362" t="str">
        <f>IFERROR(VLOOKUP(A46,AuswertungA[],7,FALSE)&amp;" ["&amp;_xlfn.RANK.EQ(VLOOKUP(A46,AuswertungA[],7,FALSE),AuswertungA[Fehler A],1)&amp;"]","")</f>
        <v>5,9 [7]</v>
      </c>
      <c r="I49" s="363">
        <f>IFERROR(VLOOKUP(A46,AuswertungA[],9,FALSE)/4,"")</f>
        <v>0.3</v>
      </c>
      <c r="J49" s="363">
        <f>VLOOKUP(A46,AuswertungA[],10,FALSE)</f>
        <v>0</v>
      </c>
      <c r="K49" s="362">
        <f>VLOOKUP(A46,AuswertungA[],11,FALSE)</f>
        <v>135</v>
      </c>
      <c r="L49" s="362">
        <f>VLOOKUP(A46,AuswertungA[],12,FALSE)</f>
        <v>127</v>
      </c>
      <c r="M49" s="362">
        <f>VLOOKUP(A46,AuswertungA[],13,FALSE)</f>
        <v>130</v>
      </c>
      <c r="N49" s="362">
        <f>VLOOKUP(A46,AuswertungA[],14,FALSE)</f>
        <v>142</v>
      </c>
      <c r="O49" s="362">
        <f>VLOOKUP(A46,AuswertungA[],19,FALSE)</f>
        <v>-0.86</v>
      </c>
      <c r="P49" s="362" t="str">
        <f>IFERROR(VLOOKUP(A46,AuswertungA[],22,FALSE)&amp;" ["&amp;_xlfn.RANK.EQ(VLOOKUP(A46,AuswertungA[],22,FALSE),AuswertungA[GEGGES A],0)&amp;"]","")</f>
        <v>556 [3]</v>
      </c>
      <c r="Q49" s="362" t="str">
        <f>VLOOKUP(A46,AuswertungA[],25,FALSE)</f>
        <v>[5][6]</v>
      </c>
      <c r="R49" s="362" t="str">
        <f>IFERROR(VLOOKUP(A46,Rekorde[],24,FALSE)&amp;" ["&amp;_xlfn.RANK.EQ(VLOOKUP(A46,Rekorde[],24,FALSE),Rekorde[Volle A],0)&amp;"]","")</f>
        <v>380 [9]</v>
      </c>
      <c r="S49" s="362" t="str">
        <f>IFERROR(VLOOKUP(A46,Rekorde[],25,FALSE)&amp;" ["&amp;_xlfn.RANK.EQ(VLOOKUP(A46,Rekorde[],25,FALSE),Rekorde[Räumer A],0)&amp;"]","")</f>
        <v>223 [3]</v>
      </c>
    </row>
    <row r="50" spans="1:19" ht="30" customHeight="1" thickBot="1" x14ac:dyDescent="0.35"/>
    <row r="51" spans="1:19" ht="30" customHeight="1" thickBot="1" x14ac:dyDescent="0.35">
      <c r="A51" s="353" t="str">
        <f>VLOOKUP(ROUNDUP(ROW()/4,0),Teamzuordnung[],2,FALSE)</f>
        <v>Florian Jäger</v>
      </c>
      <c r="B51" s="349" t="s">
        <v>63</v>
      </c>
      <c r="C51" s="347" t="s">
        <v>610</v>
      </c>
      <c r="D51" s="347" t="s">
        <v>605</v>
      </c>
      <c r="E51" s="346" t="s">
        <v>100</v>
      </c>
      <c r="F51" s="346" t="s">
        <v>21</v>
      </c>
      <c r="G51" s="346" t="s">
        <v>22</v>
      </c>
      <c r="H51" s="346" t="s">
        <v>23</v>
      </c>
      <c r="I51" s="346" t="s">
        <v>24</v>
      </c>
      <c r="J51" s="346" t="s">
        <v>25</v>
      </c>
      <c r="K51" s="346" t="s">
        <v>606</v>
      </c>
      <c r="L51" s="346" t="s">
        <v>607</v>
      </c>
      <c r="M51" s="346" t="s">
        <v>608</v>
      </c>
      <c r="N51" s="346" t="s">
        <v>609</v>
      </c>
      <c r="O51" s="346" t="s">
        <v>218</v>
      </c>
      <c r="P51" s="347" t="s">
        <v>611</v>
      </c>
      <c r="Q51" s="347" t="s">
        <v>199</v>
      </c>
      <c r="R51" s="347" t="s">
        <v>603</v>
      </c>
      <c r="S51" s="348" t="s">
        <v>604</v>
      </c>
    </row>
    <row r="52" spans="1:19" ht="30" customHeight="1" thickBot="1" x14ac:dyDescent="0.35">
      <c r="A52" s="350" t="s">
        <v>26</v>
      </c>
      <c r="B52" s="355" t="str">
        <f>IFERROR(VLOOKUP(A51,AuswertungG[],8,FALSE)&amp;" ["&amp;_xlfn.RANK.EQ(VLOOKUP(A51,AuswertungG[],8,FALSE),AuswertungG[GES],0)&amp;"]","")</f>
        <v>492 [30]</v>
      </c>
      <c r="C52" s="356">
        <f>VLOOKUP(A51,Vorjahr[],2,FALSE)</f>
        <v>479</v>
      </c>
      <c r="D52" s="356" t="str">
        <f>IFERROR(VLOOKUP(A51,Rekorde[],3,FALSE)&amp;" ["&amp;_xlfn.RANK.EQ(VLOOKUP(A51,Rekorde[],3,FALSE),Rekorde[GES],0)&amp;"]","")</f>
        <v>511 [29]</v>
      </c>
      <c r="E52" s="356">
        <f>VLOOKUP(A51,AuswertungG[],3,FALSE)</f>
        <v>2</v>
      </c>
      <c r="F52" s="356" t="str">
        <f>IFERROR(VLOOKUP(A51,AuswertungG[],5,FALSE)&amp;" ["&amp;_xlfn.RANK.EQ(VLOOKUP(A51,AuswertungG[],5,FALSE),AuswertungG[Volle],0)&amp;"]","")</f>
        <v>325 [35]</v>
      </c>
      <c r="G52" s="356" t="str">
        <f>IFERROR(VLOOKUP(A51,AuswertungG[],6,FALSE)&amp;" ["&amp;_xlfn.RANK.EQ(VLOOKUP(A51,AuswertungG[],6,FALSE),AuswertungG[Räumer],0)&amp;"]","")</f>
        <v>167 [13]</v>
      </c>
      <c r="H52" s="356" t="str">
        <f>IFERROR(VLOOKUP(A51,AuswertungG[],7,FALSE)&amp;" ["&amp;_xlfn.RANK.EQ(VLOOKUP(A51,AuswertungG[],7,FALSE),AuswertungG[Fehler],1)&amp;"]","")</f>
        <v>7 [12]</v>
      </c>
      <c r="I52" s="357">
        <f>IFERROR(VLOOKUP(A51,AuswertungG[],9,FALSE)/4,"")</f>
        <v>0.75</v>
      </c>
      <c r="J52" s="357">
        <f>VLOOKUP(A51,AuswertungG[],10,FALSE)</f>
        <v>1</v>
      </c>
      <c r="K52" s="356">
        <f>VLOOKUP(A51,AuswertungG[],11,FALSE)</f>
        <v>129</v>
      </c>
      <c r="L52" s="356">
        <f>VLOOKUP(A51,AuswertungG[],12,FALSE)</f>
        <v>128</v>
      </c>
      <c r="M52" s="356">
        <f>VLOOKUP(A51,AuswertungG[],13,FALSE)</f>
        <v>124</v>
      </c>
      <c r="N52" s="356">
        <f>VLOOKUP(A51,AuswertungG[],14,FALSE)</f>
        <v>124</v>
      </c>
      <c r="O52" s="356">
        <f>VLOOKUP(A51,AuswertungG[],19,FALSE)</f>
        <v>-19.5</v>
      </c>
      <c r="P52" s="356" t="str">
        <f>IFERROR(VLOOKUP(A51,AuswertungG[],22,FALSE)&amp;" ["&amp;_xlfn.RANK.EQ(VLOOKUP(A51,AuswertungG[],22,FALSE),AuswertungG[GEGGES],0)&amp;"]","")</f>
        <v>473 [31]</v>
      </c>
      <c r="Q52" s="356" t="str">
        <f>VLOOKUP(A51,AuswertungG[],25,FALSE)</f>
        <v>[6]</v>
      </c>
      <c r="R52" s="356" t="str">
        <f>IFERROR(VLOOKUP(A51,Rekorde[],4,FALSE)&amp;" ["&amp;_xlfn.RANK.EQ(VLOOKUP(A51,Rekorde[],4,FALSE),Rekorde[Volle],0)&amp;"]","")</f>
        <v>325 [36]</v>
      </c>
      <c r="S52" s="356" t="str">
        <f>IFERROR(VLOOKUP(A51,Rekorde[],5,FALSE)&amp;" ["&amp;_xlfn.RANK.EQ(VLOOKUP(A51,Rekorde[],5,FALSE),Rekorde[Räumer],0)&amp;"]","")</f>
        <v>186 [19]</v>
      </c>
    </row>
    <row r="53" spans="1:19" ht="30" customHeight="1" thickBot="1" x14ac:dyDescent="0.35">
      <c r="A53" s="351" t="s">
        <v>118</v>
      </c>
      <c r="B53" s="358" t="str">
        <f>IFERROR(VLOOKUP(A51,AuswertungH[],8,FALSE)&amp;" ["&amp;_xlfn.RANK.EQ(VLOOKUP(A51,AuswertungH[],8,FALSE),AuswertungH[GES H],0)&amp;"]","")</f>
        <v>472 [29]</v>
      </c>
      <c r="C53" s="359">
        <f>VLOOKUP(A51,Vorjahr[],6,FALSE)</f>
        <v>483</v>
      </c>
      <c r="D53" s="359" t="str">
        <f>IFERROR(VLOOKUP(A51,Rekorde[],13,FALSE)&amp;" ["&amp;_xlfn.RANK.EQ(VLOOKUP(A51,Rekorde[],13,FALSE),Rekorde[GES H],0)&amp;"]","")</f>
        <v>472 [28]</v>
      </c>
      <c r="E53" s="359">
        <f>VLOOKUP(A51,AuswertungH[],3,FALSE)</f>
        <v>1</v>
      </c>
      <c r="F53" s="359" t="str">
        <f>IFERROR(VLOOKUP(A51,AuswertungG[],5,FALSE)&amp;" ["&amp;_xlfn.RANK.EQ(VLOOKUP(A51,AuswertungH[],5,FALSE),AuswertungH[Volle H],0)&amp;"]","")</f>
        <v>325 [30]</v>
      </c>
      <c r="G53" s="359" t="str">
        <f>IFERROR(VLOOKUP(A51,AuswertungH[],6,FALSE)&amp;" ["&amp;_xlfn.RANK.EQ(VLOOKUP(A51,AuswertungH[],6,FALSE),AuswertungH[Räumer H],0)&amp;"]","")</f>
        <v>148 [25]</v>
      </c>
      <c r="H53" s="359" t="str">
        <f>IFERROR(VLOOKUP(A51,AuswertungH[],7,FALSE)&amp;" ["&amp;_xlfn.RANK.EQ(VLOOKUP(A51,AuswertungH[],7,FALSE),AuswertungH[Fehler H],1)&amp;"]","")</f>
        <v>10 [22]</v>
      </c>
      <c r="I53" s="360">
        <f>IFERROR(VLOOKUP(A51,AuswertungH[],9,FALSE)/4,"")</f>
        <v>0.75</v>
      </c>
      <c r="J53" s="360">
        <f>VLOOKUP(A51,AuswertungH[],10,FALSE)</f>
        <v>1</v>
      </c>
      <c r="K53" s="359">
        <f>VLOOKUP(A51,AuswertungH[],11,FALSE)</f>
        <v>121</v>
      </c>
      <c r="L53" s="359">
        <f>VLOOKUP(A51,AuswertungH[],12,FALSE)</f>
        <v>122</v>
      </c>
      <c r="M53" s="359">
        <f>VLOOKUP(A51,AuswertungH[],13,FALSE)</f>
        <v>118</v>
      </c>
      <c r="N53" s="359">
        <f>VLOOKUP(A51,AuswertungH[],14,FALSE)</f>
        <v>111</v>
      </c>
      <c r="O53" s="359">
        <f>VLOOKUP(A51,AuswertungH[],19,FALSE)</f>
        <v>0</v>
      </c>
      <c r="P53" s="359" t="str">
        <f>IFERROR(VLOOKUP(A51,AuswertungH[],22,FALSE)&amp;" ["&amp;_xlfn.RANK.EQ(VLOOKUP(A51,AuswertungH[],22,FALSE),AuswertungH[GEGGES H],0)&amp;"]","")</f>
        <v>465 [24]</v>
      </c>
      <c r="Q53" s="359" t="str">
        <f>VLOOKUP(A51,AuswertungH[],25,FALSE)</f>
        <v>[6]</v>
      </c>
      <c r="R53" s="359" t="str">
        <f>IFERROR(VLOOKUP(A51,Rekorde[],14,FALSE)&amp;" ["&amp;_xlfn.RANK.EQ(VLOOKUP(A51,Rekorde[],14,FALSE),Rekorde[Volle H],0)&amp;"]","")</f>
        <v>324 [29]</v>
      </c>
      <c r="S53" s="359" t="str">
        <f>IFERROR(VLOOKUP(A51,Rekorde[],15,FALSE)&amp;" ["&amp;_xlfn.RANK.EQ(VLOOKUP(A51,Rekorde[],15,FALSE),Rekorde[Räumer H],0)&amp;"]","")</f>
        <v>148 [26]</v>
      </c>
    </row>
    <row r="54" spans="1:19" ht="30" customHeight="1" thickBot="1" x14ac:dyDescent="0.35">
      <c r="A54" s="352" t="s">
        <v>119</v>
      </c>
      <c r="B54" s="361" t="str">
        <f>IFERROR(VLOOKUP(A51,AuswertungA[],8,FALSE)&amp;" ["&amp;_xlfn.RANK.EQ(VLOOKUP(A51,AuswertungA[],8,FALSE),AuswertungA[GES A],0)&amp;"]","")</f>
        <v>511 [18]</v>
      </c>
      <c r="C54" s="362">
        <f>VLOOKUP(A51,Vorjahr[],10,FALSE)</f>
        <v>471</v>
      </c>
      <c r="D54" s="362" t="str">
        <f>IFERROR(VLOOKUP(A51,Rekorde[],23,FALSE)&amp;" ["&amp;_xlfn.RANK.EQ(VLOOKUP(A51,Rekorde[],23,FALSE),Rekorde[GES A],0)&amp;"]","")</f>
        <v>511 [25]</v>
      </c>
      <c r="E54" s="362">
        <f>VLOOKUP(A51,AuswertungA[],3,FALSE)</f>
        <v>1</v>
      </c>
      <c r="F54" s="362" t="str">
        <f>IFERROR(VLOOKUP(A51,AuswertungA[],5,FALSE)&amp;" ["&amp;_xlfn.RANK.EQ(VLOOKUP(A51,AuswertungA[],5,FALSE),AuswertungA[Volle A],0)&amp;"]","")</f>
        <v>325 [31]</v>
      </c>
      <c r="G54" s="362" t="str">
        <f>IFERROR(VLOOKUP(A51,AuswertungA[],6,FALSE)&amp;" ["&amp;_xlfn.RANK.EQ(VLOOKUP(A51,AuswertungA[],6,FALSE),AuswertungA[Räumer A],0)&amp;"]","")</f>
        <v>186 [5]</v>
      </c>
      <c r="H54" s="362" t="str">
        <f>IFERROR(VLOOKUP(A51,AuswertungA[],7,FALSE)&amp;" ["&amp;_xlfn.RANK.EQ(VLOOKUP(A51,AuswertungA[],7,FALSE),AuswertungA[Fehler A],1)&amp;"]","")</f>
        <v>4 [2]</v>
      </c>
      <c r="I54" s="363">
        <f>IFERROR(VLOOKUP(A51,AuswertungA[],9,FALSE)/4,"")</f>
        <v>0.75</v>
      </c>
      <c r="J54" s="363">
        <f>VLOOKUP(A51,AuswertungA[],10,FALSE)</f>
        <v>1</v>
      </c>
      <c r="K54" s="362">
        <f>VLOOKUP(A51,AuswertungA[],11,FALSE)</f>
        <v>137</v>
      </c>
      <c r="L54" s="362">
        <f>VLOOKUP(A51,AuswertungA[],12,FALSE)</f>
        <v>134</v>
      </c>
      <c r="M54" s="362">
        <f>VLOOKUP(A51,AuswertungA[],13,FALSE)</f>
        <v>129</v>
      </c>
      <c r="N54" s="362">
        <f>VLOOKUP(A51,AuswertungA[],14,FALSE)</f>
        <v>111</v>
      </c>
      <c r="O54" s="362" t="str">
        <f>VLOOKUP(A51,AuswertungA[],19,FALSE)</f>
        <v/>
      </c>
      <c r="P54" s="362" t="str">
        <f>IFERROR(VLOOKUP(A51,AuswertungA[],22,FALSE)&amp;" ["&amp;_xlfn.RANK.EQ(VLOOKUP(A51,AuswertungA[],22,FALSE),AuswertungA[GEGGES A],0)&amp;"]","")</f>
        <v>481 [28]</v>
      </c>
      <c r="Q54" s="362" t="str">
        <f>VLOOKUP(A51,AuswertungA[],25,FALSE)</f>
        <v>[6]</v>
      </c>
      <c r="R54" s="362" t="str">
        <f>IFERROR(VLOOKUP(A51,Rekorde[],24,FALSE)&amp;" ["&amp;_xlfn.RANK.EQ(VLOOKUP(A51,Rekorde[],24,FALSE),Rekorde[Volle A],0)&amp;"]","")</f>
        <v>325 [32]</v>
      </c>
      <c r="S54" s="362" t="str">
        <f>IFERROR(VLOOKUP(A51,Rekorde[],25,FALSE)&amp;" ["&amp;_xlfn.RANK.EQ(VLOOKUP(A51,Rekorde[],25,FALSE),Rekorde[Räumer A],0)&amp;"]","")</f>
        <v>186 [16]</v>
      </c>
    </row>
    <row r="55" spans="1:19" ht="11.4" customHeight="1" thickBot="1" x14ac:dyDescent="0.35"/>
    <row r="56" spans="1:19" ht="30" hidden="1" customHeight="1" thickBot="1" x14ac:dyDescent="0.35">
      <c r="A56" s="353" t="str">
        <f>VLOOKUP(ROUNDUP(ROW()/4,0),Teamzuordnung[],2,FALSE)</f>
        <v>Heike Scholz</v>
      </c>
      <c r="B56" s="349" t="s">
        <v>63</v>
      </c>
      <c r="C56" s="347" t="s">
        <v>610</v>
      </c>
      <c r="D56" s="347" t="s">
        <v>605</v>
      </c>
      <c r="E56" s="346" t="s">
        <v>100</v>
      </c>
      <c r="F56" s="346" t="s">
        <v>21</v>
      </c>
      <c r="G56" s="346" t="s">
        <v>22</v>
      </c>
      <c r="H56" s="346" t="s">
        <v>23</v>
      </c>
      <c r="I56" s="346" t="s">
        <v>24</v>
      </c>
      <c r="J56" s="346" t="s">
        <v>25</v>
      </c>
      <c r="K56" s="346" t="s">
        <v>606</v>
      </c>
      <c r="L56" s="346" t="s">
        <v>607</v>
      </c>
      <c r="M56" s="346" t="s">
        <v>608</v>
      </c>
      <c r="N56" s="346" t="s">
        <v>609</v>
      </c>
      <c r="O56" s="346" t="s">
        <v>218</v>
      </c>
      <c r="P56" s="346" t="s">
        <v>454</v>
      </c>
      <c r="Q56" s="347" t="s">
        <v>199</v>
      </c>
      <c r="R56" s="347" t="s">
        <v>603</v>
      </c>
      <c r="S56" s="348" t="s">
        <v>604</v>
      </c>
    </row>
    <row r="57" spans="1:19" ht="30" hidden="1" customHeight="1" thickBot="1" x14ac:dyDescent="0.35">
      <c r="A57" s="350" t="s">
        <v>26</v>
      </c>
      <c r="B57" s="355" t="str">
        <f>IFERROR(VLOOKUP(A56,AuswertungG[],8,FALSE)&amp;" ["&amp;_xlfn.RANK.EQ(VLOOKUP(A56,AuswertungG[],8,FALSE),AuswertungG[GES],0)&amp;"]","")</f>
        <v>509 [22]</v>
      </c>
      <c r="C57" s="356">
        <f>VLOOKUP(A56,Vorjahr[],2,FALSE)</f>
        <v>475</v>
      </c>
      <c r="D57" s="356" t="str">
        <f>IFERROR(VLOOKUP(A56,Rekorde[],3,FALSE)&amp;" ["&amp;_xlfn.RANK.EQ(VLOOKUP(A56,Rekorde[],3,FALSE),Rekorde[GES],0)&amp;"]","")</f>
        <v>540 [23]</v>
      </c>
      <c r="E57" s="356">
        <f>VLOOKUP(A56,AuswertungG[],3,FALSE)</f>
        <v>9</v>
      </c>
      <c r="F57" s="356" t="str">
        <f>IFERROR(VLOOKUP(A56,AuswertungG[],5,FALSE)&amp;" ["&amp;_xlfn.RANK.EQ(VLOOKUP(A56,AuswertungG[],5,FALSE),AuswertungG[Volle],0)&amp;"]","")</f>
        <v>350 [19]</v>
      </c>
      <c r="G57" s="356" t="str">
        <f>IFERROR(VLOOKUP(A56,AuswertungG[],6,FALSE)&amp;" ["&amp;_xlfn.RANK.EQ(VLOOKUP(A56,AuswertungG[],6,FALSE),AuswertungG[Räumer],0)&amp;"]","")</f>
        <v>159 [23]</v>
      </c>
      <c r="H57" s="356" t="str">
        <f>IFERROR(VLOOKUP(A56,AuswertungG[],7,FALSE)&amp;" ["&amp;_xlfn.RANK.EQ(VLOOKUP(A56,AuswertungG[],7,FALSE),AuswertungG[Fehler],1)&amp;"]","")</f>
        <v>8,1 [17]</v>
      </c>
      <c r="I57" s="357">
        <f>IFERROR(VLOOKUP(A56,AuswertungG[],9,FALSE)/4,"")</f>
        <v>0.52500000000000002</v>
      </c>
      <c r="J57" s="357">
        <f>VLOOKUP(A56,AuswertungG[],10,FALSE)</f>
        <v>0.71</v>
      </c>
      <c r="K57" s="356">
        <f>VLOOKUP(A56,AuswertungG[],11,FALSE)</f>
        <v>128</v>
      </c>
      <c r="L57" s="356">
        <f>VLOOKUP(A56,AuswertungG[],12,FALSE)</f>
        <v>128</v>
      </c>
      <c r="M57" s="356">
        <f>VLOOKUP(A56,AuswertungG[],13,FALSE)</f>
        <v>125</v>
      </c>
      <c r="N57" s="356">
        <f>VLOOKUP(A56,AuswertungG[],14,FALSE)</f>
        <v>125</v>
      </c>
      <c r="O57" s="356">
        <f>VLOOKUP(A56,AuswertungG[],19,FALSE)</f>
        <v>0.39</v>
      </c>
      <c r="P57" s="356" t="str">
        <f>IFERROR(VLOOKUP(A56,AuswertungG[],22,FALSE)&amp;" ["&amp;_xlfn.RANK.EQ(VLOOKUP(A56,AuswertungG[],22,FALSE),AuswertungG[GEGGES],0)&amp;"]","")</f>
        <v>502 [20]</v>
      </c>
      <c r="Q57" s="356" t="str">
        <f>VLOOKUP(A56,AuswertungG[],25,FALSE)</f>
        <v>[2][3]</v>
      </c>
      <c r="R57" s="356" t="str">
        <f>IFERROR(VLOOKUP(A56,Rekorde[],4,FALSE)&amp;" ["&amp;_xlfn.RANK.EQ(VLOOKUP(A56,Rekorde[],4,FALSE),Rekorde[Volle],0)&amp;"]","")</f>
        <v>365 [21]</v>
      </c>
      <c r="S57" s="356" t="str">
        <f>IFERROR(VLOOKUP(A56,Rekorde[],5,FALSE)&amp;" ["&amp;_xlfn.RANK.EQ(VLOOKUP(A56,Rekorde[],5,FALSE),Rekorde[Räumer],0)&amp;"]","")</f>
        <v>177 [26]</v>
      </c>
    </row>
    <row r="58" spans="1:19" ht="30" hidden="1" customHeight="1" thickBot="1" x14ac:dyDescent="0.35">
      <c r="A58" s="351" t="s">
        <v>118</v>
      </c>
      <c r="B58" s="358" t="str">
        <f>IFERROR(VLOOKUP(A56,AuswertungH[],8,FALSE)&amp;" ["&amp;_xlfn.RANK.EQ(VLOOKUP(A56,AuswertungH[],8,FALSE),AuswertungH[GES H],0)&amp;"]","")</f>
        <v>505 [22]</v>
      </c>
      <c r="C58" s="359">
        <f>VLOOKUP(A56,Vorjahr[],6,FALSE)</f>
        <v>468</v>
      </c>
      <c r="D58" s="359" t="str">
        <f>IFERROR(VLOOKUP(A56,Rekorde[],13,FALSE)&amp;" ["&amp;_xlfn.RANK.EQ(VLOOKUP(A56,Rekorde[],13,FALSE),Rekorde[GES H],0)&amp;"]","")</f>
        <v>506 [22]</v>
      </c>
      <c r="E58" s="359">
        <f>VLOOKUP(A56,AuswertungH[],3,FALSE)</f>
        <v>3</v>
      </c>
      <c r="F58" s="359" t="str">
        <f>IFERROR(VLOOKUP(A56,AuswertungG[],5,FALSE)&amp;" ["&amp;_xlfn.RANK.EQ(VLOOKUP(A56,AuswertungH[],5,FALSE),AuswertungH[Volle H],0)&amp;"]","")</f>
        <v>350 [13]</v>
      </c>
      <c r="G58" s="359" t="str">
        <f>IFERROR(VLOOKUP(A56,AuswertungH[],6,FALSE)&amp;" ["&amp;_xlfn.RANK.EQ(VLOOKUP(A56,AuswertungH[],6,FALSE),AuswertungH[Räumer H],0)&amp;"]","")</f>
        <v>152 [24]</v>
      </c>
      <c r="H58" s="359" t="str">
        <f>IFERROR(VLOOKUP(A56,AuswertungH[],7,FALSE)&amp;" ["&amp;_xlfn.RANK.EQ(VLOOKUP(A56,AuswertungH[],7,FALSE),AuswertungH[Fehler H],1)&amp;"]","")</f>
        <v>8,3 [18]</v>
      </c>
      <c r="I58" s="360">
        <f>IFERROR(VLOOKUP(A56,AuswertungH[],9,FALSE)/4,"")</f>
        <v>0.66749999999999998</v>
      </c>
      <c r="J58" s="360">
        <f>VLOOKUP(A56,AuswertungH[],10,FALSE)</f>
        <v>0.67</v>
      </c>
      <c r="K58" s="359">
        <f>VLOOKUP(A56,AuswertungH[],11,FALSE)</f>
        <v>124</v>
      </c>
      <c r="L58" s="359">
        <f>VLOOKUP(A56,AuswertungH[],12,FALSE)</f>
        <v>134</v>
      </c>
      <c r="M58" s="359">
        <f>VLOOKUP(A56,AuswertungH[],13,FALSE)</f>
        <v>129</v>
      </c>
      <c r="N58" s="359">
        <f>VLOOKUP(A56,AuswertungH[],14,FALSE)</f>
        <v>117</v>
      </c>
      <c r="O58" s="359">
        <f>VLOOKUP(A56,AuswertungH[],19,FALSE)</f>
        <v>0.18</v>
      </c>
      <c r="P58" s="359" t="str">
        <f>IFERROR(VLOOKUP(A56,AuswertungH[],22,FALSE)&amp;" ["&amp;_xlfn.RANK.EQ(VLOOKUP(A56,AuswertungH[],22,FALSE),AuswertungH[GEGGES H],0)&amp;"]","")</f>
        <v>468 [23]</v>
      </c>
      <c r="Q58" s="359" t="str">
        <f>VLOOKUP(A56,AuswertungH[],25,FALSE)</f>
        <v>[2][4]</v>
      </c>
      <c r="R58" s="359" t="str">
        <f>IFERROR(VLOOKUP(A56,Rekorde[],14,FALSE)&amp;" ["&amp;_xlfn.RANK.EQ(VLOOKUP(A56,Rekorde[],14,FALSE),Rekorde[Volle H],0)&amp;"]","")</f>
        <v>363 [13]</v>
      </c>
      <c r="S58" s="359" t="str">
        <f>IFERROR(VLOOKUP(A56,Rekorde[],15,FALSE)&amp;" ["&amp;_xlfn.RANK.EQ(VLOOKUP(A56,Rekorde[],15,FALSE),Rekorde[Räumer H],0)&amp;"]","")</f>
        <v>161 [21]</v>
      </c>
    </row>
    <row r="59" spans="1:19" ht="30" hidden="1" customHeight="1" thickBot="1" x14ac:dyDescent="0.35">
      <c r="A59" s="352" t="s">
        <v>119</v>
      </c>
      <c r="B59" s="361" t="str">
        <f>IFERROR(VLOOKUP(A56,AuswertungH[],8,FALSE)&amp;" ["&amp;_xlfn.RANK.EQ(VLOOKUP(A56,AuswertungA[],8,FALSE),AuswertungA[GES A],0)&amp;"]","")</f>
        <v>505 [18]</v>
      </c>
      <c r="C59" s="362">
        <f>VLOOKUP(A56,Vorjahr[],10,FALSE)</f>
        <v>483</v>
      </c>
      <c r="D59" s="362" t="str">
        <f>IFERROR(VLOOKUP(A56,Rekorde[],23,FALSE)&amp;" ["&amp;_xlfn.RANK.EQ(VLOOKUP(A56,Rekorde[],23,FALSE),Rekorde[GES A],0)&amp;"]","")</f>
        <v>540 [21]</v>
      </c>
      <c r="E59" s="362">
        <f>VLOOKUP(A56,AuswertungA[],3,FALSE)</f>
        <v>6</v>
      </c>
      <c r="F59" s="362" t="str">
        <f>IFERROR(VLOOKUP(A56,AuswertungA[],5,FALSE)&amp;" ["&amp;_xlfn.RANK.EQ(VLOOKUP(A56,AuswertungA[],5,FALSE),AuswertungA[Volle A],0)&amp;"]","")</f>
        <v>348 [23]</v>
      </c>
      <c r="G59" s="362" t="str">
        <f>IFERROR(VLOOKUP(A56,AuswertungA[],6,FALSE)&amp;" ["&amp;_xlfn.RANK.EQ(VLOOKUP(A56,AuswertungA[],6,FALSE),AuswertungA[Räumer A],0)&amp;"]","")</f>
        <v>163 [17]</v>
      </c>
      <c r="H59" s="362" t="str">
        <f>IFERROR(VLOOKUP(A56,AuswertungA[],7,FALSE)&amp;" ["&amp;_xlfn.RANK.EQ(VLOOKUP(A56,AuswertungA[],7,FALSE),AuswertungA[Fehler A],1)&amp;"]","")</f>
        <v>8 [17]</v>
      </c>
      <c r="I59" s="363">
        <f>IFERROR(VLOOKUP(A56,AuswertungA[],9,FALSE)/4,"")</f>
        <v>0.4375</v>
      </c>
      <c r="J59" s="363">
        <f>VLOOKUP(A56,AuswertungA[],10,FALSE)</f>
        <v>0.75</v>
      </c>
      <c r="K59" s="362">
        <f>VLOOKUP(A56,AuswertungA[],11,FALSE)</f>
        <v>131</v>
      </c>
      <c r="L59" s="362">
        <f>VLOOKUP(A56,AuswertungA[],12,FALSE)</f>
        <v>125</v>
      </c>
      <c r="M59" s="362">
        <f>VLOOKUP(A56,AuswertungA[],13,FALSE)</f>
        <v>123</v>
      </c>
      <c r="N59" s="362">
        <f>VLOOKUP(A56,AuswertungA[],14,FALSE)</f>
        <v>137</v>
      </c>
      <c r="O59" s="362">
        <f>VLOOKUP(A56,AuswertungA[],19,FALSE)</f>
        <v>0.38</v>
      </c>
      <c r="P59" s="362" t="str">
        <f>IFERROR(VLOOKUP(A56,AuswertungA[],22,FALSE)&amp;" ["&amp;_xlfn.RANK.EQ(VLOOKUP(A56,AuswertungA[],22,FALSE),AuswertungA[GEGGES A],0)&amp;"]","")</f>
        <v>527 [15]</v>
      </c>
      <c r="Q59" s="362" t="str">
        <f>VLOOKUP(A56,AuswertungA[],25,FALSE)</f>
        <v>[3]</v>
      </c>
      <c r="R59" s="362" t="str">
        <f>IFERROR(VLOOKUP(A56,Rekorde[],24,FALSE)&amp;" ["&amp;_xlfn.RANK.EQ(VLOOKUP(A56,Rekorde[],24,FALSE),Rekorde[Volle A],0)&amp;"]","")</f>
        <v>365 [20]</v>
      </c>
      <c r="S59" s="362" t="str">
        <f>IFERROR(VLOOKUP(A56,Rekorde[],25,FALSE)&amp;" ["&amp;_xlfn.RANK.EQ(VLOOKUP(A56,Rekorde[],25,FALSE),Rekorde[Räumer A],0)&amp;"]","")</f>
        <v>177 [23]</v>
      </c>
    </row>
    <row r="60" spans="1:19" ht="30" hidden="1" customHeight="1" thickBot="1" x14ac:dyDescent="0.35"/>
    <row r="61" spans="1:19" ht="30" hidden="1" customHeight="1" thickBot="1" x14ac:dyDescent="0.35">
      <c r="A61" s="353" t="str">
        <f>VLOOKUP(ROUNDUP(ROW()/4,0),Teamzuordnung[],2,FALSE)</f>
        <v>Heiko Wüstling</v>
      </c>
      <c r="B61" s="349" t="s">
        <v>63</v>
      </c>
      <c r="C61" s="347" t="s">
        <v>610</v>
      </c>
      <c r="D61" s="347" t="s">
        <v>605</v>
      </c>
      <c r="E61" s="346" t="s">
        <v>100</v>
      </c>
      <c r="F61" s="346" t="s">
        <v>21</v>
      </c>
      <c r="G61" s="346" t="s">
        <v>22</v>
      </c>
      <c r="H61" s="346" t="s">
        <v>23</v>
      </c>
      <c r="I61" s="346" t="s">
        <v>24</v>
      </c>
      <c r="J61" s="346" t="s">
        <v>25</v>
      </c>
      <c r="K61" s="346" t="s">
        <v>606</v>
      </c>
      <c r="L61" s="346" t="s">
        <v>607</v>
      </c>
      <c r="M61" s="346" t="s">
        <v>608</v>
      </c>
      <c r="N61" s="346" t="s">
        <v>609</v>
      </c>
      <c r="O61" s="346" t="s">
        <v>218</v>
      </c>
      <c r="P61" s="346" t="s">
        <v>454</v>
      </c>
      <c r="Q61" s="347" t="s">
        <v>199</v>
      </c>
      <c r="R61" s="347" t="s">
        <v>603</v>
      </c>
      <c r="S61" s="348" t="s">
        <v>604</v>
      </c>
    </row>
    <row r="62" spans="1:19" ht="30" hidden="1" customHeight="1" thickBot="1" x14ac:dyDescent="0.35">
      <c r="A62" s="350" t="s">
        <v>26</v>
      </c>
      <c r="B62" s="355" t="str">
        <f>IFERROR(VLOOKUP(A61,AuswertungG[],8,FALSE)&amp;" ["&amp;_xlfn.RANK.EQ(VLOOKUP(A61,AuswertungG[],8,FALSE),AuswertungG[GES],0)&amp;"]","")</f>
        <v/>
      </c>
      <c r="C62" s="356" t="str">
        <f>VLOOKUP(A61,Vorjahr[],2,FALSE)</f>
        <v/>
      </c>
      <c r="D62" s="356" t="str">
        <f>IFERROR(VLOOKUP(A61,Rekorde[],3,FALSE)&amp;" ["&amp;_xlfn.RANK.EQ(VLOOKUP(A61,Rekorde[],3,FALSE),Rekorde[GES],0)&amp;"]","")</f>
        <v/>
      </c>
      <c r="E62" s="356">
        <f>VLOOKUP(A61,AuswertungG[],3,FALSE)</f>
        <v>0</v>
      </c>
      <c r="F62" s="356" t="str">
        <f>IFERROR(VLOOKUP(A61,AuswertungG[],5,FALSE)&amp;" ["&amp;_xlfn.RANK.EQ(VLOOKUP(A61,AuswertungG[],5,FALSE),AuswertungG[Volle],0)&amp;"]","")</f>
        <v/>
      </c>
      <c r="G62" s="356" t="str">
        <f>IFERROR(VLOOKUP(A61,AuswertungG[],6,FALSE)&amp;" ["&amp;_xlfn.RANK.EQ(VLOOKUP(A61,AuswertungG[],6,FALSE),AuswertungG[Räumer],0)&amp;"]","")</f>
        <v/>
      </c>
      <c r="H62" s="356" t="str">
        <f>IFERROR(VLOOKUP(A61,AuswertungG[],7,FALSE)&amp;" ["&amp;_xlfn.RANK.EQ(VLOOKUP(A61,AuswertungG[],7,FALSE),AuswertungG[Fehler],1)&amp;"]","")</f>
        <v/>
      </c>
      <c r="I62" s="357" t="str">
        <f>IFERROR(VLOOKUP(A61,AuswertungG[],9,FALSE)/4,"")</f>
        <v/>
      </c>
      <c r="J62" s="357" t="str">
        <f>VLOOKUP(A61,AuswertungG[],10,FALSE)</f>
        <v/>
      </c>
      <c r="K62" s="356" t="str">
        <f>VLOOKUP(A61,AuswertungG[],11,FALSE)</f>
        <v/>
      </c>
      <c r="L62" s="356" t="str">
        <f>VLOOKUP(A61,AuswertungG[],12,FALSE)</f>
        <v/>
      </c>
      <c r="M62" s="356" t="str">
        <f>VLOOKUP(A61,AuswertungG[],13,FALSE)</f>
        <v/>
      </c>
      <c r="N62" s="356" t="str">
        <f>VLOOKUP(A61,AuswertungG[],14,FALSE)</f>
        <v/>
      </c>
      <c r="O62" s="356" t="str">
        <f>VLOOKUP(A61,AuswertungG[],19,FALSE)</f>
        <v/>
      </c>
      <c r="P62" s="356" t="str">
        <f>IFERROR(VLOOKUP(A61,AuswertungG[],22,FALSE)&amp;" ["&amp;_xlfn.RANK.EQ(VLOOKUP(A61,AuswertungG[],22,FALSE),AuswertungG[GEGGES],0)&amp;"]","")</f>
        <v/>
      </c>
      <c r="Q62" s="356" t="str">
        <f>VLOOKUP(A61,AuswertungG[],25,FALSE)</f>
        <v/>
      </c>
      <c r="R62" s="356" t="str">
        <f>IFERROR(VLOOKUP(A61,Rekorde[],4,FALSE)&amp;" ["&amp;_xlfn.RANK.EQ(VLOOKUP(A61,Rekorde[],4,FALSE),Rekorde[Volle],0)&amp;"]","")</f>
        <v/>
      </c>
      <c r="S62" s="356" t="str">
        <f>IFERROR(VLOOKUP(A61,Rekorde[],5,FALSE)&amp;" ["&amp;_xlfn.RANK.EQ(VLOOKUP(A61,Rekorde[],5,FALSE),Rekorde[Räumer],0)&amp;"]","")</f>
        <v/>
      </c>
    </row>
    <row r="63" spans="1:19" ht="30" hidden="1" customHeight="1" thickBot="1" x14ac:dyDescent="0.35">
      <c r="A63" s="351" t="s">
        <v>118</v>
      </c>
      <c r="B63" s="358" t="str">
        <f>IFERROR(VLOOKUP(A61,AuswertungH[],8,FALSE)&amp;" ["&amp;_xlfn.RANK.EQ(VLOOKUP(A61,AuswertungH[],8,FALSE),AuswertungH[GES H],0)&amp;"]","")</f>
        <v/>
      </c>
      <c r="C63" s="359" t="str">
        <f>VLOOKUP(A61,Vorjahr[],6,FALSE)</f>
        <v/>
      </c>
      <c r="D63" s="359" t="str">
        <f>IFERROR(VLOOKUP(A61,Rekorde[],13,FALSE)&amp;" ["&amp;_xlfn.RANK.EQ(VLOOKUP(A61,Rekorde[],13,FALSE),Rekorde[GES H],0)&amp;"]","")</f>
        <v/>
      </c>
      <c r="E63" s="359">
        <f>VLOOKUP(A61,AuswertungH[],3,FALSE)</f>
        <v>0</v>
      </c>
      <c r="F63" s="359" t="str">
        <f>IFERROR(VLOOKUP(A61,AuswertungG[],5,FALSE)&amp;" ["&amp;_xlfn.RANK.EQ(VLOOKUP(A61,AuswertungH[],5,FALSE),AuswertungH[Volle H],0)&amp;"]","")</f>
        <v/>
      </c>
      <c r="G63" s="359" t="str">
        <f>IFERROR(VLOOKUP(A61,AuswertungH[],6,FALSE)&amp;" ["&amp;_xlfn.RANK.EQ(VLOOKUP(A61,AuswertungH[],6,FALSE),AuswertungH[Räumer H],0)&amp;"]","")</f>
        <v/>
      </c>
      <c r="H63" s="359" t="str">
        <f>IFERROR(VLOOKUP(A61,AuswertungH[],7,FALSE)&amp;" ["&amp;_xlfn.RANK.EQ(VLOOKUP(A61,AuswertungH[],7,FALSE),AuswertungH[Fehler H],1)&amp;"]","")</f>
        <v/>
      </c>
      <c r="I63" s="360" t="str">
        <f>IFERROR(VLOOKUP(A61,AuswertungH[],9,FALSE)/4,"")</f>
        <v/>
      </c>
      <c r="J63" s="360" t="str">
        <f>VLOOKUP(A61,AuswertungH[],10,FALSE)</f>
        <v/>
      </c>
      <c r="K63" s="359" t="str">
        <f>VLOOKUP(A61,AuswertungH[],11,FALSE)</f>
        <v/>
      </c>
      <c r="L63" s="359" t="str">
        <f>VLOOKUP(A61,AuswertungH[],12,FALSE)</f>
        <v/>
      </c>
      <c r="M63" s="359" t="str">
        <f>VLOOKUP(A61,AuswertungH[],13,FALSE)</f>
        <v/>
      </c>
      <c r="N63" s="359" t="str">
        <f>VLOOKUP(A61,AuswertungH[],14,FALSE)</f>
        <v/>
      </c>
      <c r="O63" s="359">
        <f>VLOOKUP(A61,AuswertungH[],19,FALSE)</f>
        <v>0</v>
      </c>
      <c r="P63" s="359" t="str">
        <f>IFERROR(VLOOKUP(A61,AuswertungH[],22,FALSE)&amp;" ["&amp;_xlfn.RANK.EQ(VLOOKUP(A61,AuswertungH[],22,FALSE),AuswertungH[GEGGES H],0)&amp;"]","")</f>
        <v/>
      </c>
      <c r="Q63" s="359" t="str">
        <f>VLOOKUP(A61,AuswertungH[],25,FALSE)</f>
        <v/>
      </c>
      <c r="R63" s="359" t="str">
        <f>IFERROR(VLOOKUP(A61,Rekorde[],14,FALSE)&amp;" ["&amp;_xlfn.RANK.EQ(VLOOKUP(A61,Rekorde[],14,FALSE),Rekorde[Volle H],0)&amp;"]","")</f>
        <v/>
      </c>
      <c r="S63" s="359" t="str">
        <f>IFERROR(VLOOKUP(A61,Rekorde[],15,FALSE)&amp;" ["&amp;_xlfn.RANK.EQ(VLOOKUP(A61,Rekorde[],15,FALSE),Rekorde[Räumer H],0)&amp;"]","")</f>
        <v/>
      </c>
    </row>
    <row r="64" spans="1:19" ht="30" hidden="1" customHeight="1" thickBot="1" x14ac:dyDescent="0.35">
      <c r="A64" s="352" t="s">
        <v>119</v>
      </c>
      <c r="B64" s="361" t="str">
        <f>IFERROR(VLOOKUP(A61,AuswertungH[],8,FALSE)&amp;" ["&amp;_xlfn.RANK.EQ(VLOOKUP(A61,AuswertungA[],8,FALSE),AuswertungA[GES A],0)&amp;"]","")</f>
        <v/>
      </c>
      <c r="C64" s="362" t="str">
        <f>VLOOKUP(A61,Vorjahr[],10,FALSE)</f>
        <v/>
      </c>
      <c r="D64" s="362" t="str">
        <f>IFERROR(VLOOKUP(A61,Rekorde[],23,FALSE)&amp;" ["&amp;_xlfn.RANK.EQ(VLOOKUP(A61,Rekorde[],23,FALSE),Rekorde[GES A],0)&amp;"]","")</f>
        <v/>
      </c>
      <c r="E64" s="362">
        <f>VLOOKUP(A61,AuswertungA[],3,FALSE)</f>
        <v>0</v>
      </c>
      <c r="F64" s="362" t="str">
        <f>IFERROR(VLOOKUP(A61,AuswertungA[],5,FALSE)&amp;" ["&amp;_xlfn.RANK.EQ(VLOOKUP(A61,AuswertungA[],5,FALSE),AuswertungA[Volle A],0)&amp;"]","")</f>
        <v/>
      </c>
      <c r="G64" s="362" t="str">
        <f>IFERROR(VLOOKUP(A61,AuswertungA[],6,FALSE)&amp;" ["&amp;_xlfn.RANK.EQ(VLOOKUP(A61,AuswertungA[],6,FALSE),AuswertungA[Räumer A],0)&amp;"]","")</f>
        <v/>
      </c>
      <c r="H64" s="362" t="str">
        <f>IFERROR(VLOOKUP(A61,AuswertungA[],7,FALSE)&amp;" ["&amp;_xlfn.RANK.EQ(VLOOKUP(A61,AuswertungA[],7,FALSE),AuswertungA[Fehler A],1)&amp;"]","")</f>
        <v/>
      </c>
      <c r="I64" s="363" t="str">
        <f>IFERROR(VLOOKUP(A61,AuswertungA[],9,FALSE)/4,"")</f>
        <v/>
      </c>
      <c r="J64" s="363" t="str">
        <f>VLOOKUP(A61,AuswertungA[],10,FALSE)</f>
        <v/>
      </c>
      <c r="K64" s="362" t="str">
        <f>VLOOKUP(A61,AuswertungA[],11,FALSE)</f>
        <v/>
      </c>
      <c r="L64" s="362" t="str">
        <f>VLOOKUP(A61,AuswertungA[],12,FALSE)</f>
        <v/>
      </c>
      <c r="M64" s="362" t="str">
        <f>VLOOKUP(A61,AuswertungA[],13,FALSE)</f>
        <v/>
      </c>
      <c r="N64" s="362" t="str">
        <f>VLOOKUP(A61,AuswertungA[],14,FALSE)</f>
        <v/>
      </c>
      <c r="O64" s="362" t="str">
        <f>VLOOKUP(A61,AuswertungA[],19,FALSE)</f>
        <v/>
      </c>
      <c r="P64" s="362" t="str">
        <f>IFERROR(VLOOKUP(A61,AuswertungA[],22,FALSE)&amp;" ["&amp;_xlfn.RANK.EQ(VLOOKUP(A61,AuswertungA[],22,FALSE),AuswertungA[GEGGES A],0)&amp;"]","")</f>
        <v/>
      </c>
      <c r="Q64" s="362" t="str">
        <f>VLOOKUP(A61,AuswertungA[],25,FALSE)</f>
        <v/>
      </c>
      <c r="R64" s="362" t="str">
        <f>IFERROR(VLOOKUP(A61,Rekorde[],24,FALSE)&amp;" ["&amp;_xlfn.RANK.EQ(VLOOKUP(A61,Rekorde[],24,FALSE),Rekorde[Volle A],0)&amp;"]","")</f>
        <v/>
      </c>
      <c r="S64" s="362" t="str">
        <f>IFERROR(VLOOKUP(A61,Rekorde[],25,FALSE)&amp;" ["&amp;_xlfn.RANK.EQ(VLOOKUP(A61,Rekorde[],25,FALSE),Rekorde[Räumer A],0)&amp;"]","")</f>
        <v/>
      </c>
    </row>
    <row r="65" spans="1:19" ht="30" hidden="1" customHeight="1" thickBot="1" x14ac:dyDescent="0.35"/>
    <row r="66" spans="1:19" ht="30" customHeight="1" thickBot="1" x14ac:dyDescent="0.35">
      <c r="A66" s="353" t="str">
        <f>VLOOKUP(ROUNDUP(ROW()/4,0),Teamzuordnung[],2,FALSE)</f>
        <v>Jens Starke</v>
      </c>
      <c r="B66" s="349" t="s">
        <v>63</v>
      </c>
      <c r="C66" s="347" t="s">
        <v>610</v>
      </c>
      <c r="D66" s="347" t="s">
        <v>605</v>
      </c>
      <c r="E66" s="346" t="s">
        <v>100</v>
      </c>
      <c r="F66" s="346" t="s">
        <v>21</v>
      </c>
      <c r="G66" s="346" t="s">
        <v>22</v>
      </c>
      <c r="H66" s="346" t="s">
        <v>23</v>
      </c>
      <c r="I66" s="346" t="s">
        <v>24</v>
      </c>
      <c r="J66" s="346" t="s">
        <v>25</v>
      </c>
      <c r="K66" s="346" t="s">
        <v>606</v>
      </c>
      <c r="L66" s="346" t="s">
        <v>607</v>
      </c>
      <c r="M66" s="346" t="s">
        <v>608</v>
      </c>
      <c r="N66" s="346" t="s">
        <v>609</v>
      </c>
      <c r="O66" s="346" t="s">
        <v>218</v>
      </c>
      <c r="P66" s="347" t="s">
        <v>611</v>
      </c>
      <c r="Q66" s="347" t="s">
        <v>199</v>
      </c>
      <c r="R66" s="347" t="s">
        <v>603</v>
      </c>
      <c r="S66" s="348" t="s">
        <v>604</v>
      </c>
    </row>
    <row r="67" spans="1:19" ht="30" customHeight="1" thickBot="1" x14ac:dyDescent="0.35">
      <c r="A67" s="350" t="s">
        <v>26</v>
      </c>
      <c r="B67" s="355" t="str">
        <f>IFERROR(VLOOKUP(A66,AuswertungG[],8,FALSE)&amp;" ["&amp;_xlfn.RANK.EQ(VLOOKUP(A66,AuswertungG[],8,FALSE),AuswertungG[GES],0)&amp;"]","")</f>
        <v>516 [16]</v>
      </c>
      <c r="C67" s="356" t="e">
        <f>VLOOKUP(A66,Vorjahr[],2,FALSE)</f>
        <v>#N/A</v>
      </c>
      <c r="D67" s="356" t="str">
        <f>IFERROR(VLOOKUP(A66,Rekorde[],3,FALSE)&amp;" ["&amp;_xlfn.RANK.EQ(VLOOKUP(A66,Rekorde[],3,FALSE),Rekorde[GES],0)&amp;"]","")</f>
        <v/>
      </c>
      <c r="E67" s="356">
        <f>VLOOKUP(A66,AuswertungG[],3,FALSE)</f>
        <v>5</v>
      </c>
      <c r="F67" s="356" t="str">
        <f>IFERROR(VLOOKUP(A66,AuswertungG[],5,FALSE)&amp;" ["&amp;_xlfn.RANK.EQ(VLOOKUP(A66,AuswertungG[],5,FALSE),AuswertungG[Volle],0)&amp;"]","")</f>
        <v>351 [16]</v>
      </c>
      <c r="G67" s="356" t="str">
        <f>IFERROR(VLOOKUP(A66,AuswertungG[],6,FALSE)&amp;" ["&amp;_xlfn.RANK.EQ(VLOOKUP(A66,AuswertungG[],6,FALSE),AuswertungG[Räumer],0)&amp;"]","")</f>
        <v>165 [17]</v>
      </c>
      <c r="H67" s="356" t="str">
        <f>IFERROR(VLOOKUP(A66,AuswertungG[],7,FALSE)&amp;" ["&amp;_xlfn.RANK.EQ(VLOOKUP(A66,AuswertungG[],7,FALSE),AuswertungG[Fehler],1)&amp;"]","")</f>
        <v>7 [12]</v>
      </c>
      <c r="I67" s="357">
        <f>IFERROR(VLOOKUP(A66,AuswertungG[],9,FALSE)/4,"")</f>
        <v>0.45</v>
      </c>
      <c r="J67" s="357">
        <f>VLOOKUP(A66,AuswertungG[],10,FALSE)</f>
        <v>0.6</v>
      </c>
      <c r="K67" s="356">
        <f>VLOOKUP(A66,AuswertungG[],11,FALSE)</f>
        <v>129</v>
      </c>
      <c r="L67" s="356">
        <f>VLOOKUP(A66,AuswertungG[],12,FALSE)</f>
        <v>126</v>
      </c>
      <c r="M67" s="356">
        <f>VLOOKUP(A66,AuswertungG[],13,FALSE)</f>
        <v>128</v>
      </c>
      <c r="N67" s="356">
        <f>VLOOKUP(A66,AuswertungG[],14,FALSE)</f>
        <v>128</v>
      </c>
      <c r="O67" s="356">
        <f>VLOOKUP(A66,AuswertungG[],19,FALSE)</f>
        <v>-1.29</v>
      </c>
      <c r="P67" s="356" t="str">
        <f>IFERROR(VLOOKUP(A66,AuswertungG[],22,FALSE)&amp;" ["&amp;_xlfn.RANK.EQ(VLOOKUP(A66,AuswertungG[],22,FALSE),AuswertungG[GEGGES],0)&amp;"]","")</f>
        <v>506 [19]</v>
      </c>
      <c r="Q67" s="356" t="str">
        <f>VLOOKUP(A66,AuswertungG[],25,FALSE)</f>
        <v>[2][4]</v>
      </c>
      <c r="R67" s="356" t="str">
        <f>IFERROR(VLOOKUP(A66,Rekorde[],4,FALSE)&amp;" ["&amp;_xlfn.RANK.EQ(VLOOKUP(A66,Rekorde[],4,FALSE),Rekorde[Volle],0)&amp;"]","")</f>
        <v/>
      </c>
      <c r="S67" s="356" t="str">
        <f>IFERROR(VLOOKUP(A66,Rekorde[],5,FALSE)&amp;" ["&amp;_xlfn.RANK.EQ(VLOOKUP(A66,Rekorde[],5,FALSE),Rekorde[Räumer],0)&amp;"]","")</f>
        <v/>
      </c>
    </row>
    <row r="68" spans="1:19" ht="30" customHeight="1" thickBot="1" x14ac:dyDescent="0.35">
      <c r="A68" s="351" t="s">
        <v>118</v>
      </c>
      <c r="B68" s="358" t="str">
        <f>IFERROR(VLOOKUP(A66,AuswertungH[],8,FALSE)&amp;" ["&amp;_xlfn.RANK.EQ(VLOOKUP(A66,AuswertungH[],8,FALSE),AuswertungH[GES H],0)&amp;"]","")</f>
        <v>529 [6]</v>
      </c>
      <c r="C68" s="359" t="e">
        <f>VLOOKUP(A66,Vorjahr[],6,FALSE)</f>
        <v>#N/A</v>
      </c>
      <c r="D68" s="359" t="str">
        <f>IFERROR(VLOOKUP(A66,Rekorde[],13,FALSE)&amp;" ["&amp;_xlfn.RANK.EQ(VLOOKUP(A66,Rekorde[],13,FALSE),Rekorde[GES H],0)&amp;"]","")</f>
        <v/>
      </c>
      <c r="E68" s="359">
        <f>VLOOKUP(A66,AuswertungH[],3,FALSE)</f>
        <v>2</v>
      </c>
      <c r="F68" s="359" t="str">
        <f>IFERROR(VLOOKUP(A66,AuswertungG[],5,FALSE)&amp;" ["&amp;_xlfn.RANK.EQ(VLOOKUP(A66,AuswertungH[],5,FALSE),AuswertungH[Volle H],0)&amp;"]","")</f>
        <v>351 [6]</v>
      </c>
      <c r="G68" s="359" t="str">
        <f>IFERROR(VLOOKUP(A66,AuswertungH[],6,FALSE)&amp;" ["&amp;_xlfn.RANK.EQ(VLOOKUP(A66,AuswertungH[],6,FALSE),AuswertungH[Räumer H],0)&amp;"]","")</f>
        <v>170 [7]</v>
      </c>
      <c r="H68" s="359" t="str">
        <f>IFERROR(VLOOKUP(A66,AuswertungH[],7,FALSE)&amp;" ["&amp;_xlfn.RANK.EQ(VLOOKUP(A66,AuswertungH[],7,FALSE),AuswertungH[Fehler H],1)&amp;"]","")</f>
        <v>6 [8]</v>
      </c>
      <c r="I68" s="360">
        <f>IFERROR(VLOOKUP(A66,AuswertungH[],9,FALSE)/4,"")</f>
        <v>0.5625</v>
      </c>
      <c r="J68" s="360">
        <f>VLOOKUP(A66,AuswertungH[],10,FALSE)</f>
        <v>1</v>
      </c>
      <c r="K68" s="359">
        <f>VLOOKUP(A66,AuswertungH[],11,FALSE)</f>
        <v>142</v>
      </c>
      <c r="L68" s="359">
        <f>VLOOKUP(A66,AuswertungH[],12,FALSE)</f>
        <v>130</v>
      </c>
      <c r="M68" s="359">
        <f>VLOOKUP(A66,AuswertungH[],13,FALSE)</f>
        <v>127</v>
      </c>
      <c r="N68" s="359">
        <f>VLOOKUP(A66,AuswertungH[],14,FALSE)</f>
        <v>131</v>
      </c>
      <c r="O68" s="359">
        <f>VLOOKUP(A66,AuswertungH[],19,FALSE)</f>
        <v>6.83</v>
      </c>
      <c r="P68" s="359" t="str">
        <f>IFERROR(VLOOKUP(A66,AuswertungH[],22,FALSE)&amp;" ["&amp;_xlfn.RANK.EQ(VLOOKUP(A66,AuswertungH[],22,FALSE),AuswertungH[GEGGES H],0)&amp;"]","")</f>
        <v>485 [16]</v>
      </c>
      <c r="Q68" s="359" t="str">
        <f>VLOOKUP(A66,AuswertungH[],25,FALSE)</f>
        <v>[2][4]</v>
      </c>
      <c r="R68" s="359" t="str">
        <f>IFERROR(VLOOKUP(A66,Rekorde[],14,FALSE)&amp;" ["&amp;_xlfn.RANK.EQ(VLOOKUP(A66,Rekorde[],14,FALSE),Rekorde[Volle H],0)&amp;"]","")</f>
        <v/>
      </c>
      <c r="S68" s="359" t="str">
        <f>IFERROR(VLOOKUP(A66,Rekorde[],15,FALSE)&amp;" ["&amp;_xlfn.RANK.EQ(VLOOKUP(A66,Rekorde[],15,FALSE),Rekorde[Räumer H],0)&amp;"]","")</f>
        <v/>
      </c>
    </row>
    <row r="69" spans="1:19" ht="30" customHeight="1" thickBot="1" x14ac:dyDescent="0.35">
      <c r="A69" s="352" t="s">
        <v>119</v>
      </c>
      <c r="B69" s="361" t="str">
        <f>IFERROR(VLOOKUP(A66,AuswertungA[],8,FALSE)&amp;" ["&amp;_xlfn.RANK.EQ(VLOOKUP(A66,AuswertungA[],8,FALSE),AuswertungA[GES A],0)&amp;"]","")</f>
        <v>507 [22]</v>
      </c>
      <c r="C69" s="362" t="e">
        <f>VLOOKUP(A66,Vorjahr[],10,FALSE)</f>
        <v>#N/A</v>
      </c>
      <c r="D69" s="362" t="str">
        <f>IFERROR(VLOOKUP(A66,Rekorde[],23,FALSE)&amp;" ["&amp;_xlfn.RANK.EQ(VLOOKUP(A66,Rekorde[],23,FALSE),Rekorde[GES A],0)&amp;"]","")</f>
        <v/>
      </c>
      <c r="E69" s="362">
        <f>VLOOKUP(A66,AuswertungA[],3,FALSE)</f>
        <v>3</v>
      </c>
      <c r="F69" s="362" t="str">
        <f>IFERROR(VLOOKUP(A66,AuswertungA[],5,FALSE)&amp;" ["&amp;_xlfn.RANK.EQ(VLOOKUP(A66,AuswertungA[],5,FALSE),AuswertungA[Volle A],0)&amp;"]","")</f>
        <v>346 [25]</v>
      </c>
      <c r="G69" s="362" t="str">
        <f>IFERROR(VLOOKUP(A66,AuswertungA[],6,FALSE)&amp;" ["&amp;_xlfn.RANK.EQ(VLOOKUP(A66,AuswertungA[],6,FALSE),AuswertungA[Räumer A],0)&amp;"]","")</f>
        <v>162 [18]</v>
      </c>
      <c r="H69" s="362" t="str">
        <f>IFERROR(VLOOKUP(A66,AuswertungA[],7,FALSE)&amp;" ["&amp;_xlfn.RANK.EQ(VLOOKUP(A66,AuswertungA[],7,FALSE),AuswertungA[Fehler A],1)&amp;"]","")</f>
        <v>7,7 [15]</v>
      </c>
      <c r="I69" s="363">
        <f>IFERROR(VLOOKUP(A66,AuswertungA[],9,FALSE)/4,"")</f>
        <v>0.375</v>
      </c>
      <c r="J69" s="363">
        <f>VLOOKUP(A66,AuswertungA[],10,FALSE)</f>
        <v>0.33</v>
      </c>
      <c r="K69" s="362">
        <f>VLOOKUP(A66,AuswertungA[],11,FALSE)</f>
        <v>120</v>
      </c>
      <c r="L69" s="362">
        <f>VLOOKUP(A66,AuswertungA[],12,FALSE)</f>
        <v>123</v>
      </c>
      <c r="M69" s="362">
        <f>VLOOKUP(A66,AuswertungA[],13,FALSE)</f>
        <v>130</v>
      </c>
      <c r="N69" s="362">
        <f>VLOOKUP(A66,AuswertungA[],14,FALSE)</f>
        <v>134</v>
      </c>
      <c r="O69" s="362">
        <f>VLOOKUP(A66,AuswertungA[],19,FALSE)</f>
        <v>-2.11</v>
      </c>
      <c r="P69" s="362" t="str">
        <f>IFERROR(VLOOKUP(A66,AuswertungA[],22,FALSE)&amp;" ["&amp;_xlfn.RANK.EQ(VLOOKUP(A66,AuswertungA[],22,FALSE),AuswertungA[GEGGES A],0)&amp;"]","")</f>
        <v>520 [16]</v>
      </c>
      <c r="Q69" s="362" t="str">
        <f>VLOOKUP(A66,AuswertungA[],25,FALSE)</f>
        <v>[4]</v>
      </c>
      <c r="R69" s="362" t="str">
        <f>IFERROR(VLOOKUP(A66,Rekorde[],24,FALSE)&amp;" ["&amp;_xlfn.RANK.EQ(VLOOKUP(A66,Rekorde[],24,FALSE),Rekorde[Volle A],0)&amp;"]","")</f>
        <v/>
      </c>
      <c r="S69" s="362" t="str">
        <f>IFERROR(VLOOKUP(A66,Rekorde[],25,FALSE)&amp;" ["&amp;_xlfn.RANK.EQ(VLOOKUP(A66,Rekorde[],25,FALSE),Rekorde[Räumer A],0)&amp;"]","")</f>
        <v/>
      </c>
    </row>
    <row r="70" spans="1:19" ht="30" customHeight="1" thickBot="1" x14ac:dyDescent="0.35"/>
    <row r="71" spans="1:19" ht="30" customHeight="1" thickBot="1" x14ac:dyDescent="0.35">
      <c r="A71" s="353" t="str">
        <f>VLOOKUP(ROUNDUP(ROW()/4,0),Teamzuordnung[],2,FALSE)</f>
        <v>Jörg Nötzel</v>
      </c>
      <c r="B71" s="349" t="s">
        <v>63</v>
      </c>
      <c r="C71" s="347" t="s">
        <v>610</v>
      </c>
      <c r="D71" s="347" t="s">
        <v>605</v>
      </c>
      <c r="E71" s="346" t="s">
        <v>100</v>
      </c>
      <c r="F71" s="346" t="s">
        <v>21</v>
      </c>
      <c r="G71" s="346" t="s">
        <v>22</v>
      </c>
      <c r="H71" s="346" t="s">
        <v>23</v>
      </c>
      <c r="I71" s="346" t="s">
        <v>24</v>
      </c>
      <c r="J71" s="346" t="s">
        <v>25</v>
      </c>
      <c r="K71" s="346" t="s">
        <v>606</v>
      </c>
      <c r="L71" s="346" t="s">
        <v>607</v>
      </c>
      <c r="M71" s="346" t="s">
        <v>608</v>
      </c>
      <c r="N71" s="346" t="s">
        <v>609</v>
      </c>
      <c r="O71" s="346" t="s">
        <v>218</v>
      </c>
      <c r="P71" s="347" t="s">
        <v>611</v>
      </c>
      <c r="Q71" s="347" t="s">
        <v>199</v>
      </c>
      <c r="R71" s="347" t="s">
        <v>603</v>
      </c>
      <c r="S71" s="348" t="s">
        <v>604</v>
      </c>
    </row>
    <row r="72" spans="1:19" ht="30" customHeight="1" thickBot="1" x14ac:dyDescent="0.35">
      <c r="A72" s="350" t="s">
        <v>26</v>
      </c>
      <c r="B72" s="355" t="str">
        <f>IFERROR(VLOOKUP(A71,AuswertungG[],8,FALSE)&amp;" ["&amp;_xlfn.RANK.EQ(VLOOKUP(A71,AuswertungG[],8,FALSE),AuswertungG[GES],0)&amp;"]","")</f>
        <v>498 [27]</v>
      </c>
      <c r="C72" s="356">
        <f>VLOOKUP(A71,Vorjahr[],2,FALSE)</f>
        <v>492</v>
      </c>
      <c r="D72" s="356" t="str">
        <f>IFERROR(VLOOKUP(A71,Rekorde[],3,FALSE)&amp;" ["&amp;_xlfn.RANK.EQ(VLOOKUP(A71,Rekorde[],3,FALSE),Rekorde[GES],0)&amp;"]","")</f>
        <v>538 [25]</v>
      </c>
      <c r="E72" s="356">
        <f>VLOOKUP(A71,AuswertungG[],3,FALSE)</f>
        <v>4</v>
      </c>
      <c r="F72" s="356" t="str">
        <f>IFERROR(VLOOKUP(A71,AuswertungG[],5,FALSE)&amp;" ["&amp;_xlfn.RANK.EQ(VLOOKUP(A71,AuswertungG[],5,FALSE),AuswertungG[Volle],0)&amp;"]","")</f>
        <v>357 [13]</v>
      </c>
      <c r="G72" s="356" t="str">
        <f>IFERROR(VLOOKUP(A71,AuswertungG[],6,FALSE)&amp;" ["&amp;_xlfn.RANK.EQ(VLOOKUP(A71,AuswertungG[],6,FALSE),AuswertungG[Räumer],0)&amp;"]","")</f>
        <v>141 [31]</v>
      </c>
      <c r="H72" s="356" t="str">
        <f>IFERROR(VLOOKUP(A71,AuswertungG[],7,FALSE)&amp;" ["&amp;_xlfn.RANK.EQ(VLOOKUP(A71,AuswertungG[],7,FALSE),AuswertungG[Fehler],1)&amp;"]","")</f>
        <v>12,3 [31]</v>
      </c>
      <c r="I72" s="357">
        <f>IFERROR(VLOOKUP(A71,AuswertungG[],9,FALSE)/4,"")</f>
        <v>0.57499999999999996</v>
      </c>
      <c r="J72" s="357">
        <f>VLOOKUP(A71,AuswertungG[],10,FALSE)</f>
        <v>0.67</v>
      </c>
      <c r="K72" s="356">
        <f>VLOOKUP(A71,AuswertungG[],11,FALSE)</f>
        <v>129</v>
      </c>
      <c r="L72" s="356">
        <f>VLOOKUP(A71,AuswertungG[],12,FALSE)</f>
        <v>122</v>
      </c>
      <c r="M72" s="356">
        <f>VLOOKUP(A71,AuswertungG[],13,FALSE)</f>
        <v>129</v>
      </c>
      <c r="N72" s="356">
        <f>VLOOKUP(A71,AuswertungG[],14,FALSE)</f>
        <v>129</v>
      </c>
      <c r="O72" s="356">
        <f>VLOOKUP(A71,AuswertungG[],19,FALSE)</f>
        <v>-2.39</v>
      </c>
      <c r="P72" s="356" t="str">
        <f>IFERROR(VLOOKUP(A71,AuswertungG[],22,FALSE)&amp;" ["&amp;_xlfn.RANK.EQ(VLOOKUP(A71,AuswertungG[],22,FALSE),AuswertungG[GEGGES],0)&amp;"]","")</f>
        <v>509 [16]</v>
      </c>
      <c r="Q72" s="356" t="str">
        <f>VLOOKUP(A71,AuswertungG[],25,FALSE)</f>
        <v>[2][6]</v>
      </c>
      <c r="R72" s="356" t="str">
        <f>IFERROR(VLOOKUP(A71,Rekorde[],4,FALSE)&amp;" ["&amp;_xlfn.RANK.EQ(VLOOKUP(A71,Rekorde[],4,FALSE),Rekorde[Volle],0)&amp;"]","")</f>
        <v>368 [20]</v>
      </c>
      <c r="S72" s="356" t="str">
        <f>IFERROR(VLOOKUP(A71,Rekorde[],5,FALSE)&amp;" ["&amp;_xlfn.RANK.EQ(VLOOKUP(A71,Rekorde[],5,FALSE),Rekorde[Räumer],0)&amp;"]","")</f>
        <v>174 [27]</v>
      </c>
    </row>
    <row r="73" spans="1:19" ht="30" customHeight="1" thickBot="1" x14ac:dyDescent="0.35">
      <c r="A73" s="351" t="s">
        <v>118</v>
      </c>
      <c r="B73" s="358" t="str">
        <f>IFERROR(VLOOKUP(A71,AuswertungH[],8,FALSE)&amp;" ["&amp;_xlfn.RANK.EQ(VLOOKUP(A71,AuswertungH[],8,FALSE),AuswertungH[GES H],0)&amp;"]","")</f>
        <v>538 [3]</v>
      </c>
      <c r="C73" s="359">
        <f>VLOOKUP(A71,Vorjahr[],6,FALSE)</f>
        <v>493</v>
      </c>
      <c r="D73" s="359" t="str">
        <f>IFERROR(VLOOKUP(A71,Rekorde[],13,FALSE)&amp;" ["&amp;_xlfn.RANK.EQ(VLOOKUP(A71,Rekorde[],13,FALSE),Rekorde[GES H],0)&amp;"]","")</f>
        <v>538 [15]</v>
      </c>
      <c r="E73" s="359">
        <f>VLOOKUP(A71,AuswertungH[],3,FALSE)</f>
        <v>1</v>
      </c>
      <c r="F73" s="359" t="str">
        <f>IFERROR(VLOOKUP(A71,AuswertungG[],5,FALSE)&amp;" ["&amp;_xlfn.RANK.EQ(VLOOKUP(A71,AuswertungH[],5,FALSE),AuswertungH[Volle H],0)&amp;"]","")</f>
        <v>357 [3]</v>
      </c>
      <c r="G73" s="359" t="str">
        <f>IFERROR(VLOOKUP(A71,AuswertungH[],6,FALSE)&amp;" ["&amp;_xlfn.RANK.EQ(VLOOKUP(A71,AuswertungH[],6,FALSE),AuswertungH[Räumer H],0)&amp;"]","")</f>
        <v>174 [5]</v>
      </c>
      <c r="H73" s="359" t="str">
        <f>IFERROR(VLOOKUP(A71,AuswertungH[],7,FALSE)&amp;" ["&amp;_xlfn.RANK.EQ(VLOOKUP(A71,AuswertungH[],7,FALSE),AuswertungH[Fehler H],1)&amp;"]","")</f>
        <v>6 [8]</v>
      </c>
      <c r="I73" s="360">
        <f>IFERROR(VLOOKUP(A71,AuswertungH[],9,FALSE)/4,"")</f>
        <v>0.75</v>
      </c>
      <c r="J73" s="360">
        <f>VLOOKUP(A71,AuswertungH[],10,FALSE)</f>
        <v>1</v>
      </c>
      <c r="K73" s="359">
        <f>VLOOKUP(A71,AuswertungH[],11,FALSE)</f>
        <v>134</v>
      </c>
      <c r="L73" s="359">
        <f>VLOOKUP(A71,AuswertungH[],12,FALSE)</f>
        <v>119</v>
      </c>
      <c r="M73" s="359">
        <f>VLOOKUP(A71,AuswertungH[],13,FALSE)</f>
        <v>133</v>
      </c>
      <c r="N73" s="359">
        <f>VLOOKUP(A71,AuswertungH[],14,FALSE)</f>
        <v>152</v>
      </c>
      <c r="O73" s="359">
        <f>VLOOKUP(A71,AuswertungH[],19,FALSE)</f>
        <v>0</v>
      </c>
      <c r="P73" s="359" t="str">
        <f>IFERROR(VLOOKUP(A71,AuswertungH[],22,FALSE)&amp;" ["&amp;_xlfn.RANK.EQ(VLOOKUP(A71,AuswertungH[],22,FALSE),AuswertungH[GEGGES H],0)&amp;"]","")</f>
        <v>493 [14]</v>
      </c>
      <c r="Q73" s="359" t="str">
        <f>VLOOKUP(A71,AuswertungH[],25,FALSE)</f>
        <v>[6]</v>
      </c>
      <c r="R73" s="359" t="str">
        <f>IFERROR(VLOOKUP(A71,Rekorde[],14,FALSE)&amp;" ["&amp;_xlfn.RANK.EQ(VLOOKUP(A71,Rekorde[],14,FALSE),Rekorde[Volle H],0)&amp;"]","")</f>
        <v>364 [11]</v>
      </c>
      <c r="S73" s="359" t="str">
        <f>IFERROR(VLOOKUP(A71,Rekorde[],15,FALSE)&amp;" ["&amp;_xlfn.RANK.EQ(VLOOKUP(A71,Rekorde[],15,FALSE),Rekorde[Räumer H],0)&amp;"]","")</f>
        <v>174 [17]</v>
      </c>
    </row>
    <row r="74" spans="1:19" ht="30" customHeight="1" thickBot="1" x14ac:dyDescent="0.35">
      <c r="A74" s="352" t="s">
        <v>119</v>
      </c>
      <c r="B74" s="361" t="str">
        <f>IFERROR(VLOOKUP(A71,AuswertungA[],8,FALSE)&amp;" ["&amp;_xlfn.RANK.EQ(VLOOKUP(A71,AuswertungA[],8,FALSE),AuswertungA[GES A],0)&amp;"]","")</f>
        <v>484 [27]</v>
      </c>
      <c r="C74" s="362">
        <f>VLOOKUP(A71,Vorjahr[],10,FALSE)</f>
        <v>492</v>
      </c>
      <c r="D74" s="362" t="str">
        <f>IFERROR(VLOOKUP(A71,Rekorde[],23,FALSE)&amp;" ["&amp;_xlfn.RANK.EQ(VLOOKUP(A71,Rekorde[],23,FALSE),Rekorde[GES A],0)&amp;"]","")</f>
        <v>507 [27]</v>
      </c>
      <c r="E74" s="362">
        <f>VLOOKUP(A71,AuswertungA[],3,FALSE)</f>
        <v>3</v>
      </c>
      <c r="F74" s="362" t="str">
        <f>IFERROR(VLOOKUP(A71,AuswertungA[],5,FALSE)&amp;" ["&amp;_xlfn.RANK.EQ(VLOOKUP(A71,AuswertungA[],5,FALSE),AuswertungA[Volle A],0)&amp;"]","")</f>
        <v>354 [15]</v>
      </c>
      <c r="G74" s="362" t="str">
        <f>IFERROR(VLOOKUP(A71,AuswertungA[],6,FALSE)&amp;" ["&amp;_xlfn.RANK.EQ(VLOOKUP(A71,AuswertungA[],6,FALSE),AuswertungA[Räumer A],0)&amp;"]","")</f>
        <v>130 [31]</v>
      </c>
      <c r="H74" s="362" t="str">
        <f>IFERROR(VLOOKUP(A71,AuswertungA[],7,FALSE)&amp;" ["&amp;_xlfn.RANK.EQ(VLOOKUP(A71,AuswertungA[],7,FALSE),AuswertungA[Fehler A],1)&amp;"]","")</f>
        <v>14,3 [29]</v>
      </c>
      <c r="I74" s="363">
        <f>IFERROR(VLOOKUP(A71,AuswertungA[],9,FALSE)/4,"")</f>
        <v>0.5</v>
      </c>
      <c r="J74" s="363">
        <f>VLOOKUP(A71,AuswertungA[],10,FALSE)</f>
        <v>0.5</v>
      </c>
      <c r="K74" s="362">
        <f>VLOOKUP(A71,AuswertungA[],11,FALSE)</f>
        <v>127</v>
      </c>
      <c r="L74" s="362">
        <f>VLOOKUP(A71,AuswertungA[],12,FALSE)</f>
        <v>124</v>
      </c>
      <c r="M74" s="362">
        <f>VLOOKUP(A71,AuswertungA[],13,FALSE)</f>
        <v>128</v>
      </c>
      <c r="N74" s="362">
        <f>VLOOKUP(A71,AuswertungA[],14,FALSE)</f>
        <v>128</v>
      </c>
      <c r="O74" s="362">
        <f>VLOOKUP(A71,AuswertungA[],19,FALSE)</f>
        <v>-1.47</v>
      </c>
      <c r="P74" s="362" t="str">
        <f>IFERROR(VLOOKUP(A71,AuswertungA[],22,FALSE)&amp;" ["&amp;_xlfn.RANK.EQ(VLOOKUP(A71,AuswertungA[],22,FALSE),AuswertungA[GEGGES A],0)&amp;"]","")</f>
        <v>517 [19]</v>
      </c>
      <c r="Q74" s="362" t="str">
        <f>VLOOKUP(A71,AuswertungA[],25,FALSE)</f>
        <v>[2]</v>
      </c>
      <c r="R74" s="362" t="str">
        <f>IFERROR(VLOOKUP(A71,Rekorde[],24,FALSE)&amp;" ["&amp;_xlfn.RANK.EQ(VLOOKUP(A71,Rekorde[],24,FALSE),Rekorde[Volle A],0)&amp;"]","")</f>
        <v>368 [18]</v>
      </c>
      <c r="S74" s="362" t="str">
        <f>IFERROR(VLOOKUP(A71,Rekorde[],25,FALSE)&amp;" ["&amp;_xlfn.RANK.EQ(VLOOKUP(A71,Rekorde[],25,FALSE),Rekorde[Räumer A],0)&amp;"]","")</f>
        <v>143 [30]</v>
      </c>
    </row>
    <row r="75" spans="1:19" ht="30" customHeight="1" thickBot="1" x14ac:dyDescent="0.35"/>
    <row r="76" spans="1:19" ht="30" customHeight="1" thickBot="1" x14ac:dyDescent="0.35">
      <c r="A76" s="353" t="str">
        <f>VLOOKUP(ROUNDUP(ROW()/4,0),Teamzuordnung[],2,FALSE)</f>
        <v>Katrin Fiedler</v>
      </c>
      <c r="B76" s="349" t="s">
        <v>63</v>
      </c>
      <c r="C76" s="347" t="s">
        <v>610</v>
      </c>
      <c r="D76" s="347" t="s">
        <v>605</v>
      </c>
      <c r="E76" s="346" t="s">
        <v>100</v>
      </c>
      <c r="F76" s="346" t="s">
        <v>21</v>
      </c>
      <c r="G76" s="346" t="s">
        <v>22</v>
      </c>
      <c r="H76" s="346" t="s">
        <v>23</v>
      </c>
      <c r="I76" s="346" t="s">
        <v>24</v>
      </c>
      <c r="J76" s="346" t="s">
        <v>25</v>
      </c>
      <c r="K76" s="346" t="s">
        <v>606</v>
      </c>
      <c r="L76" s="346" t="s">
        <v>607</v>
      </c>
      <c r="M76" s="346" t="s">
        <v>608</v>
      </c>
      <c r="N76" s="346" t="s">
        <v>609</v>
      </c>
      <c r="O76" s="346" t="s">
        <v>218</v>
      </c>
      <c r="P76" s="347" t="s">
        <v>611</v>
      </c>
      <c r="Q76" s="347" t="s">
        <v>199</v>
      </c>
      <c r="R76" s="347" t="s">
        <v>603</v>
      </c>
      <c r="S76" s="348" t="s">
        <v>604</v>
      </c>
    </row>
    <row r="77" spans="1:19" ht="30" customHeight="1" thickBot="1" x14ac:dyDescent="0.35">
      <c r="A77" s="350" t="s">
        <v>26</v>
      </c>
      <c r="B77" s="355" t="str">
        <f>IFERROR(VLOOKUP(A76,AuswertungG[],8,FALSE)&amp;" ["&amp;_xlfn.RANK.EQ(VLOOKUP(A76,AuswertungG[],8,FALSE),AuswertungG[GES],0)&amp;"]","")</f>
        <v>510 [20]</v>
      </c>
      <c r="C77" s="356">
        <f>VLOOKUP(A76,Vorjahr[],2,FALSE)</f>
        <v>487</v>
      </c>
      <c r="D77" s="356" t="str">
        <f>IFERROR(VLOOKUP(A76,Rekorde[],3,FALSE)&amp;" ["&amp;_xlfn.RANK.EQ(VLOOKUP(A76,Rekorde[],3,FALSE),Rekorde[GES],0)&amp;"]","")</f>
        <v>539 [24]</v>
      </c>
      <c r="E77" s="356">
        <f>VLOOKUP(A76,AuswertungG[],3,FALSE)</f>
        <v>3</v>
      </c>
      <c r="F77" s="356" t="str">
        <f>IFERROR(VLOOKUP(A76,AuswertungG[],5,FALSE)&amp;" ["&amp;_xlfn.RANK.EQ(VLOOKUP(A76,AuswertungG[],5,FALSE),AuswertungG[Volle],0)&amp;"]","")</f>
        <v>358 [12]</v>
      </c>
      <c r="G77" s="356" t="str">
        <f>IFERROR(VLOOKUP(A76,AuswertungG[],6,FALSE)&amp;" ["&amp;_xlfn.RANK.EQ(VLOOKUP(A76,AuswertungG[],6,FALSE),AuswertungG[Räumer],0)&amp;"]","")</f>
        <v>152 [27]</v>
      </c>
      <c r="H77" s="356" t="str">
        <f>IFERROR(VLOOKUP(A76,AuswertungG[],7,FALSE)&amp;" ["&amp;_xlfn.RANK.EQ(VLOOKUP(A76,AuswertungG[],7,FALSE),AuswertungG[Fehler],1)&amp;"]","")</f>
        <v>11 [27]</v>
      </c>
      <c r="I77" s="357">
        <f>IFERROR(VLOOKUP(A76,AuswertungG[],9,FALSE)/4,"")</f>
        <v>0.42499999999999999</v>
      </c>
      <c r="J77" s="357">
        <f>VLOOKUP(A76,AuswertungG[],10,FALSE)</f>
        <v>0.33</v>
      </c>
      <c r="K77" s="356">
        <f>VLOOKUP(A76,AuswertungG[],11,FALSE)</f>
        <v>129</v>
      </c>
      <c r="L77" s="356">
        <f>VLOOKUP(A76,AuswertungG[],12,FALSE)</f>
        <v>132</v>
      </c>
      <c r="M77" s="356">
        <f>VLOOKUP(A76,AuswertungG[],13,FALSE)</f>
        <v>125</v>
      </c>
      <c r="N77" s="356">
        <f>VLOOKUP(A76,AuswertungG[],14,FALSE)</f>
        <v>125</v>
      </c>
      <c r="O77" s="356">
        <f>VLOOKUP(A76,AuswertungG[],19,FALSE)</f>
        <v>3.3</v>
      </c>
      <c r="P77" s="356" t="str">
        <f>IFERROR(VLOOKUP(A76,AuswertungG[],22,FALSE)&amp;" ["&amp;_xlfn.RANK.EQ(VLOOKUP(A76,AuswertungG[],22,FALSE),AuswertungG[GEGGES],0)&amp;"]","")</f>
        <v>535 [5]</v>
      </c>
      <c r="Q77" s="356" t="str">
        <f>VLOOKUP(A76,AuswertungG[],25,FALSE)</f>
        <v>[6]</v>
      </c>
      <c r="R77" s="356" t="str">
        <f>IFERROR(VLOOKUP(A76,Rekorde[],4,FALSE)&amp;" ["&amp;_xlfn.RANK.EQ(VLOOKUP(A76,Rekorde[],4,FALSE),Rekorde[Volle],0)&amp;"]","")</f>
        <v>372 [17]</v>
      </c>
      <c r="S77" s="356" t="str">
        <f>IFERROR(VLOOKUP(A76,Rekorde[],5,FALSE)&amp;" ["&amp;_xlfn.RANK.EQ(VLOOKUP(A76,Rekorde[],5,FALSE),Rekorde[Räumer],0)&amp;"]","")</f>
        <v>194 [11]</v>
      </c>
    </row>
    <row r="78" spans="1:19" ht="30" customHeight="1" thickBot="1" x14ac:dyDescent="0.35">
      <c r="A78" s="351" t="s">
        <v>118</v>
      </c>
      <c r="B78" s="358" t="str">
        <f>IFERROR(VLOOKUP(A76,AuswertungH[],8,FALSE)&amp;" ["&amp;_xlfn.RANK.EQ(VLOOKUP(A76,AuswertungH[],8,FALSE),AuswertungH[GES H],0)&amp;"]","")</f>
        <v/>
      </c>
      <c r="C78" s="359">
        <f>VLOOKUP(A76,Vorjahr[],6,FALSE)</f>
        <v>487</v>
      </c>
      <c r="D78" s="359" t="str">
        <f>IFERROR(VLOOKUP(A76,Rekorde[],13,FALSE)&amp;" ["&amp;_xlfn.RANK.EQ(VLOOKUP(A76,Rekorde[],13,FALSE),Rekorde[GES H],0)&amp;"]","")</f>
        <v/>
      </c>
      <c r="E78" s="359">
        <f>VLOOKUP(A76,AuswertungH[],3,FALSE)</f>
        <v>0</v>
      </c>
      <c r="F78" s="359" t="str">
        <f>IFERROR(VLOOKUP(A76,AuswertungG[],5,FALSE)&amp;" ["&amp;_xlfn.RANK.EQ(VLOOKUP(A76,AuswertungH[],5,FALSE),AuswertungH[Volle H],0)&amp;"]","")</f>
        <v/>
      </c>
      <c r="G78" s="359" t="str">
        <f>IFERROR(VLOOKUP(A76,AuswertungH[],6,FALSE)&amp;" ["&amp;_xlfn.RANK.EQ(VLOOKUP(A76,AuswertungH[],6,FALSE),AuswertungH[Räumer H],0)&amp;"]","")</f>
        <v/>
      </c>
      <c r="H78" s="359" t="str">
        <f>IFERROR(VLOOKUP(A76,AuswertungH[],7,FALSE)&amp;" ["&amp;_xlfn.RANK.EQ(VLOOKUP(A76,AuswertungH[],7,FALSE),AuswertungH[Fehler H],1)&amp;"]","")</f>
        <v/>
      </c>
      <c r="I78" s="360" t="str">
        <f>IFERROR(VLOOKUP(A76,AuswertungH[],9,FALSE)/4,"")</f>
        <v/>
      </c>
      <c r="J78" s="360" t="str">
        <f>VLOOKUP(A76,AuswertungH[],10,FALSE)</f>
        <v/>
      </c>
      <c r="K78" s="359" t="str">
        <f>VLOOKUP(A76,AuswertungH[],11,FALSE)</f>
        <v/>
      </c>
      <c r="L78" s="359" t="str">
        <f>VLOOKUP(A76,AuswertungH[],12,FALSE)</f>
        <v/>
      </c>
      <c r="M78" s="359" t="str">
        <f>VLOOKUP(A76,AuswertungH[],13,FALSE)</f>
        <v/>
      </c>
      <c r="N78" s="359" t="str">
        <f>VLOOKUP(A76,AuswertungH[],14,FALSE)</f>
        <v/>
      </c>
      <c r="O78" s="359">
        <f>VLOOKUP(A76,AuswertungH[],19,FALSE)</f>
        <v>0</v>
      </c>
      <c r="P78" s="359" t="str">
        <f>IFERROR(VLOOKUP(A76,AuswertungH[],22,FALSE)&amp;" ["&amp;_xlfn.RANK.EQ(VLOOKUP(A76,AuswertungH[],22,FALSE),AuswertungH[GEGGES H],0)&amp;"]","")</f>
        <v/>
      </c>
      <c r="Q78" s="359" t="str">
        <f>VLOOKUP(A76,AuswertungH[],25,FALSE)</f>
        <v/>
      </c>
      <c r="R78" s="359" t="str">
        <f>IFERROR(VLOOKUP(A76,Rekorde[],14,FALSE)&amp;" ["&amp;_xlfn.RANK.EQ(VLOOKUP(A76,Rekorde[],14,FALSE),Rekorde[Volle H],0)&amp;"]","")</f>
        <v/>
      </c>
      <c r="S78" s="359" t="str">
        <f>IFERROR(VLOOKUP(A76,Rekorde[],15,FALSE)&amp;" ["&amp;_xlfn.RANK.EQ(VLOOKUP(A76,Rekorde[],15,FALSE),Rekorde[Räumer H],0)&amp;"]","")</f>
        <v/>
      </c>
    </row>
    <row r="79" spans="1:19" ht="30" customHeight="1" thickBot="1" x14ac:dyDescent="0.35">
      <c r="A79" s="352" t="s">
        <v>119</v>
      </c>
      <c r="B79" s="361" t="str">
        <f>IFERROR(VLOOKUP(A76,AuswertungA[],8,FALSE)&amp;" ["&amp;_xlfn.RANK.EQ(VLOOKUP(A76,AuswertungA[],8,FALSE),AuswertungA[GES A],0)&amp;"]","")</f>
        <v>510 [20]</v>
      </c>
      <c r="C79" s="362">
        <f>VLOOKUP(A76,Vorjahr[],10,FALSE)</f>
        <v>486</v>
      </c>
      <c r="D79" s="362" t="str">
        <f>IFERROR(VLOOKUP(A76,Rekorde[],23,FALSE)&amp;" ["&amp;_xlfn.RANK.EQ(VLOOKUP(A76,Rekorde[],23,FALSE),Rekorde[GES A],0)&amp;"]","")</f>
        <v>539 [22]</v>
      </c>
      <c r="E79" s="362">
        <f>VLOOKUP(A76,AuswertungA[],3,FALSE)</f>
        <v>3</v>
      </c>
      <c r="F79" s="362" t="str">
        <f>IFERROR(VLOOKUP(A76,AuswertungA[],5,FALSE)&amp;" ["&amp;_xlfn.RANK.EQ(VLOOKUP(A76,AuswertungA[],5,FALSE),AuswertungA[Volle A],0)&amp;"]","")</f>
        <v>358 [11]</v>
      </c>
      <c r="G79" s="362" t="str">
        <f>IFERROR(VLOOKUP(A76,AuswertungA[],6,FALSE)&amp;" ["&amp;_xlfn.RANK.EQ(VLOOKUP(A76,AuswertungA[],6,FALSE),AuswertungA[Räumer A],0)&amp;"]","")</f>
        <v>152 [24]</v>
      </c>
      <c r="H79" s="362" t="str">
        <f>IFERROR(VLOOKUP(A76,AuswertungA[],7,FALSE)&amp;" ["&amp;_xlfn.RANK.EQ(VLOOKUP(A76,AuswertungA[],7,FALSE),AuswertungA[Fehler A],1)&amp;"]","")</f>
        <v>11 [23]</v>
      </c>
      <c r="I79" s="363">
        <f>IFERROR(VLOOKUP(A76,AuswertungA[],9,FALSE)/4,"")</f>
        <v>0.41749999999999998</v>
      </c>
      <c r="J79" s="363">
        <f>VLOOKUP(A76,AuswertungA[],10,FALSE)</f>
        <v>0.33</v>
      </c>
      <c r="K79" s="362">
        <f>VLOOKUP(A76,AuswertungA[],11,FALSE)</f>
        <v>129</v>
      </c>
      <c r="L79" s="362">
        <f>VLOOKUP(A76,AuswertungA[],12,FALSE)</f>
        <v>132</v>
      </c>
      <c r="M79" s="362">
        <f>VLOOKUP(A76,AuswertungA[],13,FALSE)</f>
        <v>125</v>
      </c>
      <c r="N79" s="362">
        <f>VLOOKUP(A76,AuswertungA[],14,FALSE)</f>
        <v>124</v>
      </c>
      <c r="O79" s="362">
        <f>VLOOKUP(A76,AuswertungA[],19,FALSE)</f>
        <v>3.3</v>
      </c>
      <c r="P79" s="362" t="str">
        <f>IFERROR(VLOOKUP(A76,AuswertungA[],22,FALSE)&amp;" ["&amp;_xlfn.RANK.EQ(VLOOKUP(A76,AuswertungA[],22,FALSE),AuswertungA[GEGGES A],0)&amp;"]","")</f>
        <v>535 [13]</v>
      </c>
      <c r="Q79" s="362" t="str">
        <f>VLOOKUP(A76,AuswertungA[],25,FALSE)</f>
        <v>[6]</v>
      </c>
      <c r="R79" s="362" t="str">
        <f>IFERROR(VLOOKUP(A76,Rekorde[],24,FALSE)&amp;" ["&amp;_xlfn.RANK.EQ(VLOOKUP(A76,Rekorde[],24,FALSE),Rekorde[Volle A],0)&amp;"]","")</f>
        <v>372 [14]</v>
      </c>
      <c r="S79" s="362" t="str">
        <f>IFERROR(VLOOKUP(A76,Rekorde[],25,FALSE)&amp;" ["&amp;_xlfn.RANK.EQ(VLOOKUP(A76,Rekorde[],25,FALSE),Rekorde[Räumer A],0)&amp;"]","")</f>
        <v>194 [9]</v>
      </c>
    </row>
    <row r="80" spans="1:19" ht="30" customHeight="1" thickBot="1" x14ac:dyDescent="0.35"/>
    <row r="81" spans="1:19" ht="30" customHeight="1" thickBot="1" x14ac:dyDescent="0.35">
      <c r="A81" s="353" t="str">
        <f>VLOOKUP(ROUNDUP(ROW()/4,0),Teamzuordnung[],2,FALSE)</f>
        <v>Konrad Scheller</v>
      </c>
      <c r="B81" s="349" t="s">
        <v>63</v>
      </c>
      <c r="C81" s="347" t="s">
        <v>610</v>
      </c>
      <c r="D81" s="347" t="s">
        <v>605</v>
      </c>
      <c r="E81" s="346" t="s">
        <v>100</v>
      </c>
      <c r="F81" s="346" t="s">
        <v>21</v>
      </c>
      <c r="G81" s="346" t="s">
        <v>22</v>
      </c>
      <c r="H81" s="346" t="s">
        <v>23</v>
      </c>
      <c r="I81" s="346" t="s">
        <v>24</v>
      </c>
      <c r="J81" s="346" t="s">
        <v>25</v>
      </c>
      <c r="K81" s="346" t="s">
        <v>606</v>
      </c>
      <c r="L81" s="346" t="s">
        <v>607</v>
      </c>
      <c r="M81" s="346" t="s">
        <v>608</v>
      </c>
      <c r="N81" s="346" t="s">
        <v>609</v>
      </c>
      <c r="O81" s="346" t="s">
        <v>218</v>
      </c>
      <c r="P81" s="347" t="s">
        <v>611</v>
      </c>
      <c r="Q81" s="347" t="s">
        <v>199</v>
      </c>
      <c r="R81" s="347" t="s">
        <v>603</v>
      </c>
      <c r="S81" s="348" t="s">
        <v>604</v>
      </c>
    </row>
    <row r="82" spans="1:19" ht="30" customHeight="1" thickBot="1" x14ac:dyDescent="0.35">
      <c r="A82" s="350" t="s">
        <v>26</v>
      </c>
      <c r="B82" s="355" t="str">
        <f>IFERROR(VLOOKUP(A81,AuswertungG[],8,FALSE)&amp;" ["&amp;_xlfn.RANK.EQ(VLOOKUP(A81,AuswertungG[],8,FALSE),AuswertungG[GES],0)&amp;"]","")</f>
        <v/>
      </c>
      <c r="C82" s="356">
        <f>VLOOKUP(A81,Vorjahr[],2,FALSE)</f>
        <v>477</v>
      </c>
      <c r="D82" s="356" t="str">
        <f>IFERROR(VLOOKUP(A81,Rekorde[],3,FALSE)&amp;" ["&amp;_xlfn.RANK.EQ(VLOOKUP(A81,Rekorde[],3,FALSE),Rekorde[GES],0)&amp;"]","")</f>
        <v/>
      </c>
      <c r="E82" s="356">
        <f>VLOOKUP(A81,AuswertungG[],3,FALSE)</f>
        <v>0</v>
      </c>
      <c r="F82" s="356" t="str">
        <f>IFERROR(VLOOKUP(A81,AuswertungG[],5,FALSE)&amp;" ["&amp;_xlfn.RANK.EQ(VLOOKUP(A81,AuswertungG[],5,FALSE),AuswertungG[Volle],0)&amp;"]","")</f>
        <v/>
      </c>
      <c r="G82" s="356" t="str">
        <f>IFERROR(VLOOKUP(A81,AuswertungG[],6,FALSE)&amp;" ["&amp;_xlfn.RANK.EQ(VLOOKUP(A81,AuswertungG[],6,FALSE),AuswertungG[Räumer],0)&amp;"]","")</f>
        <v/>
      </c>
      <c r="H82" s="356" t="str">
        <f>IFERROR(VLOOKUP(A81,AuswertungG[],7,FALSE)&amp;" ["&amp;_xlfn.RANK.EQ(VLOOKUP(A81,AuswertungG[],7,FALSE),AuswertungG[Fehler],1)&amp;"]","")</f>
        <v/>
      </c>
      <c r="I82" s="357" t="str">
        <f>IFERROR(VLOOKUP(A81,AuswertungG[],9,FALSE)/4,"")</f>
        <v/>
      </c>
      <c r="J82" s="357" t="str">
        <f>VLOOKUP(A81,AuswertungG[],10,FALSE)</f>
        <v/>
      </c>
      <c r="K82" s="356" t="str">
        <f>VLOOKUP(A81,AuswertungG[],11,FALSE)</f>
        <v/>
      </c>
      <c r="L82" s="356" t="str">
        <f>VLOOKUP(A81,AuswertungG[],12,FALSE)</f>
        <v/>
      </c>
      <c r="M82" s="356" t="str">
        <f>VLOOKUP(A81,AuswertungG[],13,FALSE)</f>
        <v/>
      </c>
      <c r="N82" s="356" t="str">
        <f>VLOOKUP(A81,AuswertungG[],14,FALSE)</f>
        <v/>
      </c>
      <c r="O82" s="356" t="str">
        <f>VLOOKUP(A81,AuswertungG[],19,FALSE)</f>
        <v/>
      </c>
      <c r="P82" s="356" t="str">
        <f>IFERROR(VLOOKUP(A81,AuswertungG[],22,FALSE)&amp;" ["&amp;_xlfn.RANK.EQ(VLOOKUP(A81,AuswertungG[],22,FALSE),AuswertungG[GEGGES],0)&amp;"]","")</f>
        <v/>
      </c>
      <c r="Q82" s="356" t="str">
        <f>VLOOKUP(A81,AuswertungG[],25,FALSE)</f>
        <v/>
      </c>
      <c r="R82" s="356" t="str">
        <f>IFERROR(VLOOKUP(A81,Rekorde[],4,FALSE)&amp;" ["&amp;_xlfn.RANK.EQ(VLOOKUP(A81,Rekorde[],4,FALSE),Rekorde[Volle],0)&amp;"]","")</f>
        <v/>
      </c>
      <c r="S82" s="356" t="str">
        <f>IFERROR(VLOOKUP(A81,Rekorde[],5,FALSE)&amp;" ["&amp;_xlfn.RANK.EQ(VLOOKUP(A81,Rekorde[],5,FALSE),Rekorde[Räumer],0)&amp;"]","")</f>
        <v/>
      </c>
    </row>
    <row r="83" spans="1:19" ht="30" customHeight="1" thickBot="1" x14ac:dyDescent="0.35">
      <c r="A83" s="351" t="s">
        <v>118</v>
      </c>
      <c r="B83" s="358" t="str">
        <f>IFERROR(VLOOKUP(A81,AuswertungH[],8,FALSE)&amp;" ["&amp;_xlfn.RANK.EQ(VLOOKUP(A81,AuswertungH[],8,FALSE),AuswertungH[GES H],0)&amp;"]","")</f>
        <v/>
      </c>
      <c r="C83" s="359">
        <f>VLOOKUP(A81,Vorjahr[],6,FALSE)</f>
        <v>460</v>
      </c>
      <c r="D83" s="359" t="str">
        <f>IFERROR(VLOOKUP(A81,Rekorde[],13,FALSE)&amp;" ["&amp;_xlfn.RANK.EQ(VLOOKUP(A81,Rekorde[],13,FALSE),Rekorde[GES H],0)&amp;"]","")</f>
        <v/>
      </c>
      <c r="E83" s="359">
        <f>VLOOKUP(A81,AuswertungH[],3,FALSE)</f>
        <v>0</v>
      </c>
      <c r="F83" s="359" t="str">
        <f>IFERROR(VLOOKUP(A81,AuswertungG[],5,FALSE)&amp;" ["&amp;_xlfn.RANK.EQ(VLOOKUP(A81,AuswertungH[],5,FALSE),AuswertungH[Volle H],0)&amp;"]","")</f>
        <v/>
      </c>
      <c r="G83" s="359" t="str">
        <f>IFERROR(VLOOKUP(A81,AuswertungH[],6,FALSE)&amp;" ["&amp;_xlfn.RANK.EQ(VLOOKUP(A81,AuswertungH[],6,FALSE),AuswertungH[Räumer H],0)&amp;"]","")</f>
        <v/>
      </c>
      <c r="H83" s="359" t="str">
        <f>IFERROR(VLOOKUP(A81,AuswertungH[],7,FALSE)&amp;" ["&amp;_xlfn.RANK.EQ(VLOOKUP(A81,AuswertungH[],7,FALSE),AuswertungH[Fehler H],1)&amp;"]","")</f>
        <v/>
      </c>
      <c r="I83" s="360" t="str">
        <f>IFERROR(VLOOKUP(A81,AuswertungH[],9,FALSE)/4,"")</f>
        <v/>
      </c>
      <c r="J83" s="360" t="str">
        <f>VLOOKUP(A81,AuswertungH[],10,FALSE)</f>
        <v/>
      </c>
      <c r="K83" s="359" t="str">
        <f>VLOOKUP(A81,AuswertungH[],11,FALSE)</f>
        <v/>
      </c>
      <c r="L83" s="359" t="str">
        <f>VLOOKUP(A81,AuswertungH[],12,FALSE)</f>
        <v/>
      </c>
      <c r="M83" s="359" t="str">
        <f>VLOOKUP(A81,AuswertungH[],13,FALSE)</f>
        <v/>
      </c>
      <c r="N83" s="359" t="str">
        <f>VLOOKUP(A81,AuswertungH[],14,FALSE)</f>
        <v/>
      </c>
      <c r="O83" s="359">
        <f>VLOOKUP(A81,AuswertungH[],19,FALSE)</f>
        <v>0</v>
      </c>
      <c r="P83" s="359" t="str">
        <f>IFERROR(VLOOKUP(A81,AuswertungH[],22,FALSE)&amp;" ["&amp;_xlfn.RANK.EQ(VLOOKUP(A81,AuswertungH[],22,FALSE),AuswertungH[GEGGES H],0)&amp;"]","")</f>
        <v/>
      </c>
      <c r="Q83" s="359" t="str">
        <f>VLOOKUP(A81,AuswertungH[],25,FALSE)</f>
        <v/>
      </c>
      <c r="R83" s="359" t="str">
        <f>IFERROR(VLOOKUP(A81,Rekorde[],14,FALSE)&amp;" ["&amp;_xlfn.RANK.EQ(VLOOKUP(A81,Rekorde[],14,FALSE),Rekorde[Volle H],0)&amp;"]","")</f>
        <v/>
      </c>
      <c r="S83" s="359" t="str">
        <f>IFERROR(VLOOKUP(A81,Rekorde[],15,FALSE)&amp;" ["&amp;_xlfn.RANK.EQ(VLOOKUP(A81,Rekorde[],15,FALSE),Rekorde[Räumer H],0)&amp;"]","")</f>
        <v/>
      </c>
    </row>
    <row r="84" spans="1:19" ht="30" customHeight="1" thickBot="1" x14ac:dyDescent="0.35">
      <c r="A84" s="352" t="s">
        <v>119</v>
      </c>
      <c r="B84" s="361" t="str">
        <f>IFERROR(VLOOKUP(A81,AuswertungA[],8,FALSE)&amp;" ["&amp;_xlfn.RANK.EQ(VLOOKUP(A81,AuswertungA[],8,FALSE),AuswertungA[GES A],0)&amp;"]","")</f>
        <v/>
      </c>
      <c r="C84" s="362">
        <f>VLOOKUP(A81,Vorjahr[],10,FALSE)</f>
        <v>499</v>
      </c>
      <c r="D84" s="362" t="str">
        <f>IFERROR(VLOOKUP(A81,Rekorde[],23,FALSE)&amp;" ["&amp;_xlfn.RANK.EQ(VLOOKUP(A81,Rekorde[],23,FALSE),Rekorde[GES A],0)&amp;"]","")</f>
        <v/>
      </c>
      <c r="E84" s="362">
        <f>VLOOKUP(A81,AuswertungA[],3,FALSE)</f>
        <v>0</v>
      </c>
      <c r="F84" s="362" t="str">
        <f>IFERROR(VLOOKUP(A81,AuswertungA[],5,FALSE)&amp;" ["&amp;_xlfn.RANK.EQ(VLOOKUP(A81,AuswertungA[],5,FALSE),AuswertungA[Volle A],0)&amp;"]","")</f>
        <v/>
      </c>
      <c r="G84" s="362" t="str">
        <f>IFERROR(VLOOKUP(A81,AuswertungA[],6,FALSE)&amp;" ["&amp;_xlfn.RANK.EQ(VLOOKUP(A81,AuswertungA[],6,FALSE),AuswertungA[Räumer A],0)&amp;"]","")</f>
        <v/>
      </c>
      <c r="H84" s="362" t="str">
        <f>IFERROR(VLOOKUP(A81,AuswertungA[],7,FALSE)&amp;" ["&amp;_xlfn.RANK.EQ(VLOOKUP(A81,AuswertungA[],7,FALSE),AuswertungA[Fehler A],1)&amp;"]","")</f>
        <v/>
      </c>
      <c r="I84" s="363" t="str">
        <f>IFERROR(VLOOKUP(A81,AuswertungA[],9,FALSE)/4,"")</f>
        <v/>
      </c>
      <c r="J84" s="363" t="str">
        <f>VLOOKUP(A81,AuswertungA[],10,FALSE)</f>
        <v/>
      </c>
      <c r="K84" s="362" t="str">
        <f>VLOOKUP(A81,AuswertungA[],11,FALSE)</f>
        <v/>
      </c>
      <c r="L84" s="362" t="str">
        <f>VLOOKUP(A81,AuswertungA[],12,FALSE)</f>
        <v/>
      </c>
      <c r="M84" s="362" t="str">
        <f>VLOOKUP(A81,AuswertungA[],13,FALSE)</f>
        <v/>
      </c>
      <c r="N84" s="362" t="str">
        <f>VLOOKUP(A81,AuswertungA[],14,FALSE)</f>
        <v/>
      </c>
      <c r="O84" s="362" t="str">
        <f>VLOOKUP(A81,AuswertungA[],19,FALSE)</f>
        <v/>
      </c>
      <c r="P84" s="362" t="str">
        <f>IFERROR(VLOOKUP(A81,AuswertungA[],22,FALSE)&amp;" ["&amp;_xlfn.RANK.EQ(VLOOKUP(A81,AuswertungA[],22,FALSE),AuswertungA[GEGGES A],0)&amp;"]","")</f>
        <v/>
      </c>
      <c r="Q84" s="362" t="str">
        <f>VLOOKUP(A81,AuswertungA[],25,FALSE)</f>
        <v/>
      </c>
      <c r="R84" s="362" t="str">
        <f>IFERROR(VLOOKUP(A81,Rekorde[],24,FALSE)&amp;" ["&amp;_xlfn.RANK.EQ(VLOOKUP(A81,Rekorde[],24,FALSE),Rekorde[Volle A],0)&amp;"]","")</f>
        <v/>
      </c>
      <c r="S84" s="362" t="str">
        <f>IFERROR(VLOOKUP(A81,Rekorde[],25,FALSE)&amp;" ["&amp;_xlfn.RANK.EQ(VLOOKUP(A81,Rekorde[],25,FALSE),Rekorde[Räumer A],0)&amp;"]","")</f>
        <v/>
      </c>
    </row>
    <row r="85" spans="1:19" ht="12.6" customHeight="1" thickBot="1" x14ac:dyDescent="0.35"/>
    <row r="86" spans="1:19" ht="30" customHeight="1" thickBot="1" x14ac:dyDescent="0.35">
      <c r="A86" s="353" t="str">
        <f>VLOOKUP(ROUNDUP(ROW()/4,0),Teamzuordnung[],2,FALSE)</f>
        <v>Lea Meinert</v>
      </c>
      <c r="B86" s="349" t="s">
        <v>63</v>
      </c>
      <c r="C86" s="347" t="s">
        <v>610</v>
      </c>
      <c r="D86" s="347" t="s">
        <v>605</v>
      </c>
      <c r="E86" s="346" t="s">
        <v>100</v>
      </c>
      <c r="F86" s="346" t="s">
        <v>21</v>
      </c>
      <c r="G86" s="346" t="s">
        <v>22</v>
      </c>
      <c r="H86" s="346" t="s">
        <v>23</v>
      </c>
      <c r="I86" s="346" t="s">
        <v>24</v>
      </c>
      <c r="J86" s="346" t="s">
        <v>25</v>
      </c>
      <c r="K86" s="346" t="s">
        <v>606</v>
      </c>
      <c r="L86" s="346" t="s">
        <v>607</v>
      </c>
      <c r="M86" s="346" t="s">
        <v>608</v>
      </c>
      <c r="N86" s="346" t="s">
        <v>609</v>
      </c>
      <c r="O86" s="346" t="s">
        <v>218</v>
      </c>
      <c r="P86" s="347" t="s">
        <v>611</v>
      </c>
      <c r="Q86" s="347" t="s">
        <v>199</v>
      </c>
      <c r="R86" s="347" t="s">
        <v>603</v>
      </c>
      <c r="S86" s="348" t="s">
        <v>604</v>
      </c>
    </row>
    <row r="87" spans="1:19" ht="30" customHeight="1" thickBot="1" x14ac:dyDescent="0.35">
      <c r="A87" s="350" t="s">
        <v>26</v>
      </c>
      <c r="B87" s="355" t="str">
        <f>IFERROR(VLOOKUP(A86,AuswertungG[],8,FALSE)&amp;" ["&amp;_xlfn.RANK.EQ(VLOOKUP(A86,AuswertungG[],8,FALSE),AuswertungG[GES],0)&amp;"]","")</f>
        <v>495 [28]</v>
      </c>
      <c r="C87" s="356"/>
      <c r="D87" s="356" t="str">
        <f>IFERROR(VLOOKUP(A86,Rekorde[],3,FALSE)&amp;" ["&amp;_xlfn.RANK.EQ(VLOOKUP(A86,Rekorde[],3,FALSE),Rekorde[GES],0)&amp;"]","")</f>
        <v>550 [20]</v>
      </c>
      <c r="E87" s="356">
        <f>VLOOKUP(A86,AuswertungG[],3,FALSE)</f>
        <v>7</v>
      </c>
      <c r="F87" s="356" t="str">
        <f>IFERROR(VLOOKUP(A86,AuswertungG[],5,FALSE)&amp;" ["&amp;_xlfn.RANK.EQ(VLOOKUP(A86,AuswertungG[],5,FALSE),AuswertungG[Volle],0)&amp;"]","")</f>
        <v>350 [19]</v>
      </c>
      <c r="G87" s="356" t="str">
        <f>IFERROR(VLOOKUP(A86,AuswertungG[],6,FALSE)&amp;" ["&amp;_xlfn.RANK.EQ(VLOOKUP(A86,AuswertungG[],6,FALSE),AuswertungG[Räumer],0)&amp;"]","")</f>
        <v>145 [28]</v>
      </c>
      <c r="H87" s="356" t="str">
        <f>IFERROR(VLOOKUP(A86,AuswertungG[],7,FALSE)&amp;" ["&amp;_xlfn.RANK.EQ(VLOOKUP(A86,AuswertungG[],7,FALSE),AuswertungG[Fehler],1)&amp;"]","")</f>
        <v>9 [22]</v>
      </c>
      <c r="I87" s="357">
        <f>IFERROR(VLOOKUP(A86,AuswertungG[],9,FALSE)/4,"")</f>
        <v>0.5</v>
      </c>
      <c r="J87" s="357">
        <f>VLOOKUP(A86,AuswertungG[],10,FALSE)</f>
        <v>0.4</v>
      </c>
      <c r="K87" s="356">
        <f>VLOOKUP(A86,AuswertungG[],11,FALSE)</f>
        <v>125</v>
      </c>
      <c r="L87" s="356">
        <f>VLOOKUP(A86,AuswertungG[],12,FALSE)</f>
        <v>119</v>
      </c>
      <c r="M87" s="356">
        <f>VLOOKUP(A86,AuswertungG[],13,FALSE)</f>
        <v>128</v>
      </c>
      <c r="N87" s="356">
        <f>VLOOKUP(A86,AuswertungG[],14,FALSE)</f>
        <v>128</v>
      </c>
      <c r="O87" s="356">
        <f>VLOOKUP(A86,AuswertungG[],19,FALSE)</f>
        <v>2.21</v>
      </c>
      <c r="P87" s="356" t="str">
        <f>IFERROR(VLOOKUP(A86,AuswertungG[],22,FALSE)&amp;" ["&amp;_xlfn.RANK.EQ(VLOOKUP(A86,AuswertungG[],22,FALSE),AuswertungG[GEGGES],0)&amp;"]","")</f>
        <v>478 [28]</v>
      </c>
      <c r="Q87" s="356" t="str">
        <f>VLOOKUP(A86,AuswertungG[],25,FALSE)</f>
        <v>[4]</v>
      </c>
      <c r="R87" s="356" t="str">
        <f>IFERROR(VLOOKUP(A86,Rekorde[],4,FALSE)&amp;" ["&amp;_xlfn.RANK.EQ(VLOOKUP(A86,Rekorde[],4,FALSE),Rekorde[Volle],0)&amp;"]","")</f>
        <v>390 [6]</v>
      </c>
      <c r="S87" s="356" t="str">
        <f>IFERROR(VLOOKUP(A86,Rekorde[],5,FALSE)&amp;" ["&amp;_xlfn.RANK.EQ(VLOOKUP(A86,Rekorde[],5,FALSE),Rekorde[Räumer],0)&amp;"]","")</f>
        <v>170 [28]</v>
      </c>
    </row>
    <row r="88" spans="1:19" ht="30" customHeight="1" thickBot="1" x14ac:dyDescent="0.35">
      <c r="A88" s="351" t="s">
        <v>118</v>
      </c>
      <c r="B88" s="358" t="str">
        <f>IFERROR(VLOOKUP(A86,AuswertungH[],8,FALSE)&amp;" ["&amp;_xlfn.RANK.EQ(VLOOKUP(A86,AuswertungH[],8,FALSE),AuswertungH[GES H],0)&amp;"]","")</f>
        <v>524 [9]</v>
      </c>
      <c r="C88" s="359"/>
      <c r="D88" s="359" t="str">
        <f>IFERROR(VLOOKUP(A86,Rekorde[],13,FALSE)&amp;" ["&amp;_xlfn.RANK.EQ(VLOOKUP(A86,Rekorde[],13,FALSE),Rekorde[GES H],0)&amp;"]","")</f>
        <v>550 [9]</v>
      </c>
      <c r="E88" s="359">
        <f>VLOOKUP(A86,AuswertungH[],3,FALSE)</f>
        <v>2</v>
      </c>
      <c r="F88" s="359" t="str">
        <f>IFERROR(VLOOKUP(A86,AuswertungG[],5,FALSE)&amp;" ["&amp;_xlfn.RANK.EQ(VLOOKUP(A86,AuswertungH[],5,FALSE),AuswertungH[Volle H],0)&amp;"]","")</f>
        <v>350 [1]</v>
      </c>
      <c r="G88" s="359" t="str">
        <f>IFERROR(VLOOKUP(A86,AuswertungH[],6,FALSE)&amp;" ["&amp;_xlfn.RANK.EQ(VLOOKUP(A86,AuswertungH[],6,FALSE),AuswertungH[Räumer H],0)&amp;"]","")</f>
        <v>154 [22]</v>
      </c>
      <c r="H88" s="359" t="str">
        <f>IFERROR(VLOOKUP(A86,AuswertungH[],7,FALSE)&amp;" ["&amp;_xlfn.RANK.EQ(VLOOKUP(A86,AuswertungH[],7,FALSE),AuswertungH[Fehler H],1)&amp;"]","")</f>
        <v>9 [19]</v>
      </c>
      <c r="I88" s="360">
        <f>IFERROR(VLOOKUP(A86,AuswertungH[],9,FALSE)/4,"")</f>
        <v>1</v>
      </c>
      <c r="J88" s="360">
        <f>VLOOKUP(A86,AuswertungH[],10,FALSE)</f>
        <v>1</v>
      </c>
      <c r="K88" s="359">
        <f>VLOOKUP(A86,AuswertungH[],11,FALSE)</f>
        <v>127</v>
      </c>
      <c r="L88" s="359">
        <f>VLOOKUP(A86,AuswertungH[],12,FALSE)</f>
        <v>119</v>
      </c>
      <c r="M88" s="359">
        <f>VLOOKUP(A86,AuswertungH[],13,FALSE)</f>
        <v>141</v>
      </c>
      <c r="N88" s="359">
        <f>VLOOKUP(A86,AuswertungH[],14,FALSE)</f>
        <v>137</v>
      </c>
      <c r="O88" s="359">
        <f>VLOOKUP(A86,AuswertungH[],19,FALSE)</f>
        <v>5.3</v>
      </c>
      <c r="P88" s="359" t="str">
        <f>IFERROR(VLOOKUP(A86,AuswertungH[],22,FALSE)&amp;" ["&amp;_xlfn.RANK.EQ(VLOOKUP(A86,AuswertungH[],22,FALSE),AuswertungH[GEGGES H],0)&amp;"]","")</f>
        <v>434 [31]</v>
      </c>
      <c r="Q88" s="359" t="str">
        <f>VLOOKUP(A86,AuswertungH[],25,FALSE)</f>
        <v>[2][4]</v>
      </c>
      <c r="R88" s="359" t="str">
        <f>IFERROR(VLOOKUP(A86,Rekorde[],14,FALSE)&amp;" ["&amp;_xlfn.RANK.EQ(VLOOKUP(A86,Rekorde[],14,FALSE),Rekorde[Volle H],0)&amp;"]","")</f>
        <v>390 [1]</v>
      </c>
      <c r="S88" s="359" t="str">
        <f>IFERROR(VLOOKUP(A86,Rekorde[],15,FALSE)&amp;" ["&amp;_xlfn.RANK.EQ(VLOOKUP(A86,Rekorde[],15,FALSE),Rekorde[Räumer H],0)&amp;"]","")</f>
        <v>160 [22]</v>
      </c>
    </row>
    <row r="89" spans="1:19" ht="30" customHeight="1" thickBot="1" x14ac:dyDescent="0.35">
      <c r="A89" s="352" t="s">
        <v>119</v>
      </c>
      <c r="B89" s="361" t="str">
        <f>IFERROR(VLOOKUP(A86,AuswertungA[],8,FALSE)&amp;" ["&amp;_xlfn.RANK.EQ(VLOOKUP(A86,AuswertungA[],8,FALSE),AuswertungA[GES A],0)&amp;"]","")</f>
        <v>483 [28]</v>
      </c>
      <c r="C89" s="362"/>
      <c r="D89" s="362" t="str">
        <f>IFERROR(VLOOKUP(A86,Rekorde[],23,FALSE)&amp;" ["&amp;_xlfn.RANK.EQ(VLOOKUP(A86,Rekorde[],23,FALSE),Rekorde[GES A],0)&amp;"]","")</f>
        <v>533 [23]</v>
      </c>
      <c r="E89" s="362">
        <f>VLOOKUP(A86,AuswertungA[],3,FALSE)</f>
        <v>5</v>
      </c>
      <c r="F89" s="362" t="str">
        <f>IFERROR(VLOOKUP(A86,AuswertungA[],5,FALSE)&amp;" ["&amp;_xlfn.RANK.EQ(VLOOKUP(A86,AuswertungA[],5,FALSE),AuswertungA[Volle A],0)&amp;"]","")</f>
        <v>342 [26]</v>
      </c>
      <c r="G89" s="362" t="str">
        <f>IFERROR(VLOOKUP(A86,AuswertungA[],6,FALSE)&amp;" ["&amp;_xlfn.RANK.EQ(VLOOKUP(A86,AuswertungA[],6,FALSE),AuswertungA[Räumer A],0)&amp;"]","")</f>
        <v>142 [27]</v>
      </c>
      <c r="H89" s="362" t="str">
        <f>IFERROR(VLOOKUP(A86,AuswertungA[],7,FALSE)&amp;" ["&amp;_xlfn.RANK.EQ(VLOOKUP(A86,AuswertungA[],7,FALSE),AuswertungA[Fehler A],1)&amp;"]","")</f>
        <v>9 [20]</v>
      </c>
      <c r="I89" s="363">
        <f>IFERROR(VLOOKUP(A86,AuswertungA[],9,FALSE)/4,"")</f>
        <v>0.16750000000000001</v>
      </c>
      <c r="J89" s="363">
        <f>VLOOKUP(A86,AuswertungA[],10,FALSE)</f>
        <v>0</v>
      </c>
      <c r="K89" s="362">
        <f>VLOOKUP(A86,AuswertungA[],11,FALSE)</f>
        <v>124</v>
      </c>
      <c r="L89" s="362">
        <f>VLOOKUP(A86,AuswertungA[],12,FALSE)</f>
        <v>118</v>
      </c>
      <c r="M89" s="362">
        <f>VLOOKUP(A86,AuswertungA[],13,FALSE)</f>
        <v>122</v>
      </c>
      <c r="N89" s="362">
        <f>VLOOKUP(A86,AuswertungA[],14,FALSE)</f>
        <v>119</v>
      </c>
      <c r="O89" s="362">
        <f>VLOOKUP(A86,AuswertungA[],19,FALSE)</f>
        <v>1.1499999999999999</v>
      </c>
      <c r="P89" s="362" t="str">
        <f>IFERROR(VLOOKUP(A86,AuswertungA[],22,FALSE)&amp;" ["&amp;_xlfn.RANK.EQ(VLOOKUP(A86,AuswertungA[],22,FALSE),AuswertungA[GEGGES A],0)&amp;"]","")</f>
        <v>507 [22]</v>
      </c>
      <c r="Q89" s="362" t="str">
        <f>VLOOKUP(A86,AuswertungA[],25,FALSE)</f>
        <v>[1][2]</v>
      </c>
      <c r="R89" s="362" t="str">
        <f>IFERROR(VLOOKUP(A86,Rekorde[],24,FALSE)&amp;" ["&amp;_xlfn.RANK.EQ(VLOOKUP(A86,Rekorde[],24,FALSE),Rekorde[Volle A],0)&amp;"]","")</f>
        <v>363 [24]</v>
      </c>
      <c r="S89" s="362" t="str">
        <f>IFERROR(VLOOKUP(A86,Rekorde[],25,FALSE)&amp;" ["&amp;_xlfn.RANK.EQ(VLOOKUP(A86,Rekorde[],25,FALSE),Rekorde[Räumer A],0)&amp;"]","")</f>
        <v>170 [24]</v>
      </c>
    </row>
    <row r="90" spans="1:19" ht="30" hidden="1" customHeight="1" thickBot="1" x14ac:dyDescent="0.35"/>
    <row r="91" spans="1:19" ht="30" hidden="1" customHeight="1" thickBot="1" x14ac:dyDescent="0.35">
      <c r="A91" s="353" t="str">
        <f>VLOOKUP(ROUNDUP(ROW()/4,0),Teamzuordnung[],2,FALSE)</f>
        <v>Lisa Marutschke</v>
      </c>
      <c r="B91" s="349" t="s">
        <v>63</v>
      </c>
      <c r="C91" s="347" t="s">
        <v>610</v>
      </c>
      <c r="D91" s="347" t="s">
        <v>605</v>
      </c>
      <c r="E91" s="346" t="s">
        <v>100</v>
      </c>
      <c r="F91" s="346" t="s">
        <v>21</v>
      </c>
      <c r="G91" s="346" t="s">
        <v>22</v>
      </c>
      <c r="H91" s="346" t="s">
        <v>23</v>
      </c>
      <c r="I91" s="346" t="s">
        <v>24</v>
      </c>
      <c r="J91" s="346" t="s">
        <v>25</v>
      </c>
      <c r="K91" s="346" t="s">
        <v>606</v>
      </c>
      <c r="L91" s="346" t="s">
        <v>607</v>
      </c>
      <c r="M91" s="346" t="s">
        <v>608</v>
      </c>
      <c r="N91" s="346" t="s">
        <v>609</v>
      </c>
      <c r="O91" s="346" t="s">
        <v>218</v>
      </c>
      <c r="P91" s="346" t="s">
        <v>454</v>
      </c>
      <c r="Q91" s="347" t="s">
        <v>199</v>
      </c>
      <c r="R91" s="347" t="s">
        <v>603</v>
      </c>
      <c r="S91" s="348" t="s">
        <v>604</v>
      </c>
    </row>
    <row r="92" spans="1:19" ht="30" hidden="1" customHeight="1" thickBot="1" x14ac:dyDescent="0.35">
      <c r="A92" s="350" t="s">
        <v>26</v>
      </c>
      <c r="B92" s="355" t="str">
        <f>IFERROR(VLOOKUP(A91,AuswertungG[],8,FALSE)&amp;" ["&amp;_xlfn.RANK.EQ(VLOOKUP(A91,AuswertungG[],8,FALSE),AuswertungG[GES],0)&amp;"]","")</f>
        <v>363 [39]</v>
      </c>
      <c r="C92" s="356">
        <f>VLOOKUP(A91,Vorjahr[],2,FALSE)</f>
        <v>301</v>
      </c>
      <c r="D92" s="356" t="str">
        <f>IFERROR(VLOOKUP(A91,Rekorde[],3,FALSE)&amp;" ["&amp;_xlfn.RANK.EQ(VLOOKUP(A91,Rekorde[],3,FALSE),Rekorde[GES],0)&amp;"]","")</f>
        <v>395 [38]</v>
      </c>
      <c r="E92" s="356">
        <f>VLOOKUP(A91,AuswertungG[],3,FALSE)</f>
        <v>9</v>
      </c>
      <c r="F92" s="356" t="str">
        <f>IFERROR(VLOOKUP(A91,AuswertungG[],5,FALSE)&amp;" ["&amp;_xlfn.RANK.EQ(VLOOKUP(A91,AuswertungG[],5,FALSE),AuswertungG[Volle],0)&amp;"]","")</f>
        <v>273 [39]</v>
      </c>
      <c r="G92" s="356" t="str">
        <f>IFERROR(VLOOKUP(A91,AuswertungG[],6,FALSE)&amp;" ["&amp;_xlfn.RANK.EQ(VLOOKUP(A91,AuswertungG[],6,FALSE),AuswertungG[Räumer],0)&amp;"]","")</f>
        <v>90 [39]</v>
      </c>
      <c r="H92" s="356" t="str">
        <f>IFERROR(VLOOKUP(A91,AuswertungG[],7,FALSE)&amp;" ["&amp;_xlfn.RANK.EQ(VLOOKUP(A91,AuswertungG[],7,FALSE),AuswertungG[Fehler],1)&amp;"]","")</f>
        <v>28,4 [39]</v>
      </c>
      <c r="I92" s="357" t="str">
        <f>IFERROR(VLOOKUP(A91,AuswertungG[],9,FALSE)/4,"")</f>
        <v/>
      </c>
      <c r="J92" s="357" t="str">
        <f>VLOOKUP(A91,AuswertungG[],10,FALSE)</f>
        <v/>
      </c>
      <c r="K92" s="356">
        <f>VLOOKUP(A91,AuswertungG[],11,FALSE)</f>
        <v>83</v>
      </c>
      <c r="L92" s="356">
        <f>VLOOKUP(A91,AuswertungG[],12,FALSE)</f>
        <v>89</v>
      </c>
      <c r="M92" s="356">
        <f>VLOOKUP(A91,AuswertungG[],13,FALSE)</f>
        <v>92</v>
      </c>
      <c r="N92" s="356">
        <f>VLOOKUP(A91,AuswertungG[],14,FALSE)</f>
        <v>92</v>
      </c>
      <c r="O92" s="356">
        <f>VLOOKUP(A91,AuswertungG[],19,FALSE)</f>
        <v>0.14000000000000001</v>
      </c>
      <c r="P92" s="356" t="str">
        <f>IFERROR(VLOOKUP(A91,AuswertungG[],22,FALSE)&amp;" ["&amp;_xlfn.RANK.EQ(VLOOKUP(A91,AuswertungG[],22,FALSE),AuswertungG[GEGGES],0)&amp;"]","")</f>
        <v/>
      </c>
      <c r="Q92" s="356" t="str">
        <f>VLOOKUP(A91,AuswertungG[],25,FALSE)</f>
        <v/>
      </c>
      <c r="R92" s="356" t="str">
        <f>IFERROR(VLOOKUP(A91,Rekorde[],4,FALSE)&amp;" ["&amp;_xlfn.RANK.EQ(VLOOKUP(A91,Rekorde[],4,FALSE),Rekorde[Volle],0)&amp;"]","")</f>
        <v>310 [37]</v>
      </c>
      <c r="S92" s="356" t="str">
        <f>IFERROR(VLOOKUP(A91,Rekorde[],5,FALSE)&amp;" ["&amp;_xlfn.RANK.EQ(VLOOKUP(A91,Rekorde[],5,FALSE),Rekorde[Räumer],0)&amp;"]","")</f>
        <v>104 [38]</v>
      </c>
    </row>
    <row r="93" spans="1:19" ht="30" hidden="1" customHeight="1" thickBot="1" x14ac:dyDescent="0.35">
      <c r="A93" s="351" t="s">
        <v>118</v>
      </c>
      <c r="B93" s="358" t="str">
        <f>IFERROR(VLOOKUP(A91,AuswertungH[],8,FALSE)&amp;" ["&amp;_xlfn.RANK.EQ(VLOOKUP(A91,AuswertungH[],8,FALSE),AuswertungH[GES H],0)&amp;"]","")</f>
        <v>361 [36]</v>
      </c>
      <c r="C93" s="359">
        <f>VLOOKUP(A91,Vorjahr[],6,FALSE)</f>
        <v>288</v>
      </c>
      <c r="D93" s="359" t="str">
        <f>IFERROR(VLOOKUP(A91,Rekorde[],13,FALSE)&amp;" ["&amp;_xlfn.RANK.EQ(VLOOKUP(A91,Rekorde[],13,FALSE),Rekorde[GES H],0)&amp;"]","")</f>
        <v>375 [35]</v>
      </c>
      <c r="E93" s="359">
        <f>VLOOKUP(A91,AuswertungH[],3,FALSE)</f>
        <v>2</v>
      </c>
      <c r="F93" s="359" t="str">
        <f>IFERROR(VLOOKUP(A91,AuswertungG[],5,FALSE)&amp;" ["&amp;_xlfn.RANK.EQ(VLOOKUP(A91,AuswertungH[],5,FALSE),AuswertungH[Volle H],0)&amp;"]","")</f>
        <v>273 [36]</v>
      </c>
      <c r="G93" s="359" t="str">
        <f>IFERROR(VLOOKUP(A91,AuswertungH[],6,FALSE)&amp;" ["&amp;_xlfn.RANK.EQ(VLOOKUP(A91,AuswertungH[],6,FALSE),AuswertungH[Räumer H],0)&amp;"]","")</f>
        <v>94 [36]</v>
      </c>
      <c r="H93" s="359" t="str">
        <f>IFERROR(VLOOKUP(A91,AuswertungH[],7,FALSE)&amp;" ["&amp;_xlfn.RANK.EQ(VLOOKUP(A91,AuswertungH[],7,FALSE),AuswertungH[Fehler H],1)&amp;"]","")</f>
        <v>28,5 [36]</v>
      </c>
      <c r="I93" s="360" t="str">
        <f>IFERROR(VLOOKUP(A91,AuswertungH[],9,FALSE)/4,"")</f>
        <v/>
      </c>
      <c r="J93" s="360" t="str">
        <f>VLOOKUP(A91,AuswertungH[],10,FALSE)</f>
        <v/>
      </c>
      <c r="K93" s="359">
        <f>VLOOKUP(A91,AuswertungH[],11,FALSE)</f>
        <v>89</v>
      </c>
      <c r="L93" s="359">
        <f>VLOOKUP(A91,AuswertungH[],12,FALSE)</f>
        <v>83</v>
      </c>
      <c r="M93" s="359">
        <f>VLOOKUP(A91,AuswertungH[],13,FALSE)</f>
        <v>93</v>
      </c>
      <c r="N93" s="359">
        <f>VLOOKUP(A91,AuswertungH[],14,FALSE)</f>
        <v>97</v>
      </c>
      <c r="O93" s="359">
        <f>VLOOKUP(A91,AuswertungH[],19,FALSE)</f>
        <v>1.75</v>
      </c>
      <c r="P93" s="359" t="str">
        <f>IFERROR(VLOOKUP(A91,AuswertungH[],22,FALSE)&amp;" ["&amp;_xlfn.RANK.EQ(VLOOKUP(A91,AuswertungH[],22,FALSE),AuswertungH[GEGGES H],0)&amp;"]","")</f>
        <v/>
      </c>
      <c r="Q93" s="359" t="str">
        <f>VLOOKUP(A91,AuswertungH[],25,FALSE)</f>
        <v/>
      </c>
      <c r="R93" s="359" t="str">
        <f>IFERROR(VLOOKUP(A91,Rekorde[],14,FALSE)&amp;" ["&amp;_xlfn.RANK.EQ(VLOOKUP(A91,Rekorde[],14,FALSE),Rekorde[Volle H],0)&amp;"]","")</f>
        <v>281 [34]</v>
      </c>
      <c r="S93" s="359" t="str">
        <f>IFERROR(VLOOKUP(A91,Rekorde[],15,FALSE)&amp;" ["&amp;_xlfn.RANK.EQ(VLOOKUP(A91,Rekorde[],15,FALSE),Rekorde[Räumer H],0)&amp;"]","")</f>
        <v>94 [35]</v>
      </c>
    </row>
    <row r="94" spans="1:19" ht="30" hidden="1" customHeight="1" thickBot="1" x14ac:dyDescent="0.35">
      <c r="A94" s="352" t="s">
        <v>119</v>
      </c>
      <c r="B94" s="361" t="str">
        <f>IFERROR(VLOOKUP(A91,AuswertungH[],8,FALSE)&amp;" ["&amp;_xlfn.RANK.EQ(VLOOKUP(A91,AuswertungA[],8,FALSE),AuswertungA[GES A],0)&amp;"]","")</f>
        <v>361 [35]</v>
      </c>
      <c r="C94" s="362">
        <f>VLOOKUP(A91,Vorjahr[],10,FALSE)</f>
        <v>327</v>
      </c>
      <c r="D94" s="362" t="str">
        <f>IFERROR(VLOOKUP(A91,Rekorde[],23,FALSE)&amp;" ["&amp;_xlfn.RANK.EQ(VLOOKUP(A91,Rekorde[],23,FALSE),Rekorde[GES A],0)&amp;"]","")</f>
        <v>395 [34]</v>
      </c>
      <c r="E94" s="362">
        <f>VLOOKUP(A91,AuswertungA[],3,FALSE)</f>
        <v>7</v>
      </c>
      <c r="F94" s="362" t="str">
        <f>IFERROR(VLOOKUP(A91,AuswertungA[],5,FALSE)&amp;" ["&amp;_xlfn.RANK.EQ(VLOOKUP(A91,AuswertungA[],5,FALSE),AuswertungA[Volle A],0)&amp;"]","")</f>
        <v>274 [35]</v>
      </c>
      <c r="G94" s="362" t="str">
        <f>IFERROR(VLOOKUP(A91,AuswertungA[],6,FALSE)&amp;" ["&amp;_xlfn.RANK.EQ(VLOOKUP(A91,AuswertungA[],6,FALSE),AuswertungA[Räumer A],0)&amp;"]","")</f>
        <v>89 [35]</v>
      </c>
      <c r="H94" s="362" t="str">
        <f>IFERROR(VLOOKUP(A91,AuswertungA[],7,FALSE)&amp;" ["&amp;_xlfn.RANK.EQ(VLOOKUP(A91,AuswertungA[],7,FALSE),AuswertungA[Fehler A],1)&amp;"]","")</f>
        <v>28,4 [35]</v>
      </c>
      <c r="I94" s="363" t="str">
        <f>IFERROR(VLOOKUP(A91,AuswertungA[],9,FALSE)/4,"")</f>
        <v/>
      </c>
      <c r="J94" s="363" t="str">
        <f>VLOOKUP(A91,AuswertungA[],10,FALSE)</f>
        <v/>
      </c>
      <c r="K94" s="362">
        <f>VLOOKUP(A91,AuswertungA[],11,FALSE)</f>
        <v>82</v>
      </c>
      <c r="L94" s="362">
        <f>VLOOKUP(A91,AuswertungA[],12,FALSE)</f>
        <v>91</v>
      </c>
      <c r="M94" s="362">
        <f>VLOOKUP(A91,AuswertungA[],13,FALSE)</f>
        <v>92</v>
      </c>
      <c r="N94" s="362">
        <f>VLOOKUP(A91,AuswertungA[],14,FALSE)</f>
        <v>99</v>
      </c>
      <c r="O94" s="362">
        <f>VLOOKUP(A91,AuswertungA[],19,FALSE)</f>
        <v>-0.44</v>
      </c>
      <c r="P94" s="362" t="str">
        <f>IFERROR(VLOOKUP(A91,AuswertungA[],22,FALSE)&amp;" ["&amp;_xlfn.RANK.EQ(VLOOKUP(A91,AuswertungA[],22,FALSE),AuswertungA[GEGGES A],0)&amp;"]","")</f>
        <v/>
      </c>
      <c r="Q94" s="362" t="str">
        <f>VLOOKUP(A91,AuswertungA[],25,FALSE)</f>
        <v/>
      </c>
      <c r="R94" s="362" t="str">
        <f>IFERROR(VLOOKUP(A91,Rekorde[],24,FALSE)&amp;" ["&amp;_xlfn.RANK.EQ(VLOOKUP(A91,Rekorde[],24,FALSE),Rekorde[Volle A],0)&amp;"]","")</f>
        <v>310 [33]</v>
      </c>
      <c r="S94" s="362" t="str">
        <f>IFERROR(VLOOKUP(A91,Rekorde[],25,FALSE)&amp;" ["&amp;_xlfn.RANK.EQ(VLOOKUP(A91,Rekorde[],25,FALSE),Rekorde[Räumer A],0)&amp;"]","")</f>
        <v>104 [34]</v>
      </c>
    </row>
    <row r="95" spans="1:19" ht="30" hidden="1" customHeight="1" thickBot="1" x14ac:dyDescent="0.35"/>
    <row r="96" spans="1:19" ht="30" hidden="1" customHeight="1" thickBot="1" x14ac:dyDescent="0.35">
      <c r="A96" s="353" t="str">
        <f>VLOOKUP(ROUNDUP(ROW()/4,0),Teamzuordnung[],2,FALSE)</f>
        <v>Luca Landau</v>
      </c>
      <c r="B96" s="349" t="s">
        <v>63</v>
      </c>
      <c r="C96" s="347" t="s">
        <v>610</v>
      </c>
      <c r="D96" s="347" t="s">
        <v>605</v>
      </c>
      <c r="E96" s="346" t="s">
        <v>100</v>
      </c>
      <c r="F96" s="346" t="s">
        <v>21</v>
      </c>
      <c r="G96" s="346" t="s">
        <v>22</v>
      </c>
      <c r="H96" s="346" t="s">
        <v>23</v>
      </c>
      <c r="I96" s="346" t="s">
        <v>24</v>
      </c>
      <c r="J96" s="346" t="s">
        <v>25</v>
      </c>
      <c r="K96" s="346" t="s">
        <v>606</v>
      </c>
      <c r="L96" s="346" t="s">
        <v>607</v>
      </c>
      <c r="M96" s="346" t="s">
        <v>608</v>
      </c>
      <c r="N96" s="346" t="s">
        <v>609</v>
      </c>
      <c r="O96" s="346" t="s">
        <v>218</v>
      </c>
      <c r="P96" s="346" t="s">
        <v>454</v>
      </c>
      <c r="Q96" s="347" t="s">
        <v>199</v>
      </c>
      <c r="R96" s="347" t="s">
        <v>603</v>
      </c>
      <c r="S96" s="348" t="s">
        <v>604</v>
      </c>
    </row>
    <row r="97" spans="1:19" ht="30" hidden="1" customHeight="1" thickBot="1" x14ac:dyDescent="0.35">
      <c r="A97" s="350" t="s">
        <v>26</v>
      </c>
      <c r="B97" s="355" t="str">
        <f>IFERROR(VLOOKUP(A96,AuswertungG[],8,FALSE)&amp;" ["&amp;_xlfn.RANK.EQ(VLOOKUP(A96,AuswertungG[],8,FALSE),AuswertungG[GES],0)&amp;"]","")</f>
        <v/>
      </c>
      <c r="C97" s="356" t="str">
        <f>VLOOKUP(A96,Vorjahr[],2,FALSE)</f>
        <v/>
      </c>
      <c r="D97" s="356" t="str">
        <f>IFERROR(VLOOKUP(A96,Rekorde[],3,FALSE)&amp;" ["&amp;_xlfn.RANK.EQ(VLOOKUP(A96,Rekorde[],3,FALSE),Rekorde[GES],0)&amp;"]","")</f>
        <v/>
      </c>
      <c r="E97" s="356">
        <f>VLOOKUP(A96,AuswertungG[],3,FALSE)</f>
        <v>0</v>
      </c>
      <c r="F97" s="356" t="str">
        <f>IFERROR(VLOOKUP(A96,AuswertungG[],5,FALSE)&amp;" ["&amp;_xlfn.RANK.EQ(VLOOKUP(A96,AuswertungG[],5,FALSE),AuswertungG[Volle],0)&amp;"]","")</f>
        <v/>
      </c>
      <c r="G97" s="356" t="str">
        <f>IFERROR(VLOOKUP(A96,AuswertungG[],6,FALSE)&amp;" ["&amp;_xlfn.RANK.EQ(VLOOKUP(A96,AuswertungG[],6,FALSE),AuswertungG[Räumer],0)&amp;"]","")</f>
        <v/>
      </c>
      <c r="H97" s="356" t="str">
        <f>IFERROR(VLOOKUP(A96,AuswertungG[],7,FALSE)&amp;" ["&amp;_xlfn.RANK.EQ(VLOOKUP(A96,AuswertungG[],7,FALSE),AuswertungG[Fehler],1)&amp;"]","")</f>
        <v/>
      </c>
      <c r="I97" s="357" t="str">
        <f>IFERROR(VLOOKUP(A96,AuswertungG[],9,FALSE)/4,"")</f>
        <v/>
      </c>
      <c r="J97" s="357" t="str">
        <f>VLOOKUP(A96,AuswertungG[],10,FALSE)</f>
        <v/>
      </c>
      <c r="K97" s="356" t="str">
        <f>VLOOKUP(A96,AuswertungG[],11,FALSE)</f>
        <v/>
      </c>
      <c r="L97" s="356" t="str">
        <f>VLOOKUP(A96,AuswertungG[],12,FALSE)</f>
        <v/>
      </c>
      <c r="M97" s="356" t="str">
        <f>VLOOKUP(A96,AuswertungG[],13,FALSE)</f>
        <v/>
      </c>
      <c r="N97" s="356" t="str">
        <f>VLOOKUP(A96,AuswertungG[],14,FALSE)</f>
        <v/>
      </c>
      <c r="O97" s="356" t="str">
        <f>VLOOKUP(A96,AuswertungG[],19,FALSE)</f>
        <v/>
      </c>
      <c r="P97" s="356" t="str">
        <f>IFERROR(VLOOKUP(A96,AuswertungG[],22,FALSE)&amp;" ["&amp;_xlfn.RANK.EQ(VLOOKUP(A96,AuswertungG[],22,FALSE),AuswertungG[GEGGES],0)&amp;"]","")</f>
        <v/>
      </c>
      <c r="Q97" s="356" t="str">
        <f>VLOOKUP(A96,AuswertungG[],25,FALSE)</f>
        <v/>
      </c>
      <c r="R97" s="356" t="str">
        <f>IFERROR(VLOOKUP(A96,Rekorde[],4,FALSE)&amp;" ["&amp;_xlfn.RANK.EQ(VLOOKUP(A96,Rekorde[],4,FALSE),Rekorde[Volle],0)&amp;"]","")</f>
        <v/>
      </c>
      <c r="S97" s="356" t="str">
        <f>IFERROR(VLOOKUP(A96,Rekorde[],5,FALSE)&amp;" ["&amp;_xlfn.RANK.EQ(VLOOKUP(A96,Rekorde[],5,FALSE),Rekorde[Räumer],0)&amp;"]","")</f>
        <v/>
      </c>
    </row>
    <row r="98" spans="1:19" ht="30" hidden="1" customHeight="1" thickBot="1" x14ac:dyDescent="0.35">
      <c r="A98" s="351" t="s">
        <v>118</v>
      </c>
      <c r="B98" s="358" t="str">
        <f>IFERROR(VLOOKUP(A96,AuswertungH[],8,FALSE)&amp;" ["&amp;_xlfn.RANK.EQ(VLOOKUP(A96,AuswertungH[],8,FALSE),AuswertungH[GES H],0)&amp;"]","")</f>
        <v/>
      </c>
      <c r="C98" s="359" t="str">
        <f>VLOOKUP(A96,Vorjahr[],6,FALSE)</f>
        <v/>
      </c>
      <c r="D98" s="359" t="str">
        <f>IFERROR(VLOOKUP(A96,Rekorde[],13,FALSE)&amp;" ["&amp;_xlfn.RANK.EQ(VLOOKUP(A96,Rekorde[],13,FALSE),Rekorde[GES H],0)&amp;"]","")</f>
        <v/>
      </c>
      <c r="E98" s="359">
        <f>VLOOKUP(A96,AuswertungH[],3,FALSE)</f>
        <v>0</v>
      </c>
      <c r="F98" s="359" t="str">
        <f>IFERROR(VLOOKUP(A96,AuswertungG[],5,FALSE)&amp;" ["&amp;_xlfn.RANK.EQ(VLOOKUP(A96,AuswertungH[],5,FALSE),AuswertungH[Volle H],0)&amp;"]","")</f>
        <v/>
      </c>
      <c r="G98" s="359" t="str">
        <f>IFERROR(VLOOKUP(A96,AuswertungH[],6,FALSE)&amp;" ["&amp;_xlfn.RANK.EQ(VLOOKUP(A96,AuswertungH[],6,FALSE),AuswertungH[Räumer H],0)&amp;"]","")</f>
        <v/>
      </c>
      <c r="H98" s="359" t="str">
        <f>IFERROR(VLOOKUP(A96,AuswertungH[],7,FALSE)&amp;" ["&amp;_xlfn.RANK.EQ(VLOOKUP(A96,AuswertungH[],7,FALSE),AuswertungH[Fehler H],1)&amp;"]","")</f>
        <v/>
      </c>
      <c r="I98" s="360" t="str">
        <f>IFERROR(VLOOKUP(A96,AuswertungH[],9,FALSE)/4,"")</f>
        <v/>
      </c>
      <c r="J98" s="360" t="str">
        <f>VLOOKUP(A96,AuswertungH[],10,FALSE)</f>
        <v/>
      </c>
      <c r="K98" s="359" t="str">
        <f>VLOOKUP(A96,AuswertungH[],11,FALSE)</f>
        <v/>
      </c>
      <c r="L98" s="359" t="str">
        <f>VLOOKUP(A96,AuswertungH[],12,FALSE)</f>
        <v/>
      </c>
      <c r="M98" s="359" t="str">
        <f>VLOOKUP(A96,AuswertungH[],13,FALSE)</f>
        <v/>
      </c>
      <c r="N98" s="359" t="str">
        <f>VLOOKUP(A96,AuswertungH[],14,FALSE)</f>
        <v/>
      </c>
      <c r="O98" s="359">
        <f>VLOOKUP(A96,AuswertungH[],19,FALSE)</f>
        <v>0</v>
      </c>
      <c r="P98" s="359" t="str">
        <f>IFERROR(VLOOKUP(A96,AuswertungH[],22,FALSE)&amp;" ["&amp;_xlfn.RANK.EQ(VLOOKUP(A96,AuswertungH[],22,FALSE),AuswertungH[GEGGES H],0)&amp;"]","")</f>
        <v/>
      </c>
      <c r="Q98" s="359" t="str">
        <f>VLOOKUP(A96,AuswertungH[],25,FALSE)</f>
        <v/>
      </c>
      <c r="R98" s="359" t="str">
        <f>IFERROR(VLOOKUP(A96,Rekorde[],14,FALSE)&amp;" ["&amp;_xlfn.RANK.EQ(VLOOKUP(A96,Rekorde[],14,FALSE),Rekorde[Volle H],0)&amp;"]","")</f>
        <v/>
      </c>
      <c r="S98" s="359" t="str">
        <f>IFERROR(VLOOKUP(A96,Rekorde[],15,FALSE)&amp;" ["&amp;_xlfn.RANK.EQ(VLOOKUP(A96,Rekorde[],15,FALSE),Rekorde[Räumer H],0)&amp;"]","")</f>
        <v/>
      </c>
    </row>
    <row r="99" spans="1:19" ht="30" hidden="1" customHeight="1" thickBot="1" x14ac:dyDescent="0.35">
      <c r="A99" s="352" t="s">
        <v>119</v>
      </c>
      <c r="B99" s="361" t="str">
        <f>IFERROR(VLOOKUP(A96,AuswertungH[],8,FALSE)&amp;" ["&amp;_xlfn.RANK.EQ(VLOOKUP(A96,AuswertungA[],8,FALSE),AuswertungA[GES A],0)&amp;"]","")</f>
        <v/>
      </c>
      <c r="C99" s="362" t="str">
        <f>VLOOKUP(A96,Vorjahr[],10,FALSE)</f>
        <v/>
      </c>
      <c r="D99" s="362" t="str">
        <f>IFERROR(VLOOKUP(A96,Rekorde[],23,FALSE)&amp;" ["&amp;_xlfn.RANK.EQ(VLOOKUP(A96,Rekorde[],23,FALSE),Rekorde[GES A],0)&amp;"]","")</f>
        <v/>
      </c>
      <c r="E99" s="362">
        <f>VLOOKUP(A96,AuswertungA[],3,FALSE)</f>
        <v>0</v>
      </c>
      <c r="F99" s="362" t="str">
        <f>IFERROR(VLOOKUP(A96,AuswertungA[],5,FALSE)&amp;" ["&amp;_xlfn.RANK.EQ(VLOOKUP(A96,AuswertungA[],5,FALSE),AuswertungA[Volle A],0)&amp;"]","")</f>
        <v/>
      </c>
      <c r="G99" s="362" t="str">
        <f>IFERROR(VLOOKUP(A96,AuswertungA[],6,FALSE)&amp;" ["&amp;_xlfn.RANK.EQ(VLOOKUP(A96,AuswertungA[],6,FALSE),AuswertungA[Räumer A],0)&amp;"]","")</f>
        <v/>
      </c>
      <c r="H99" s="362" t="str">
        <f>IFERROR(VLOOKUP(A96,AuswertungA[],7,FALSE)&amp;" ["&amp;_xlfn.RANK.EQ(VLOOKUP(A96,AuswertungA[],7,FALSE),AuswertungA[Fehler A],1)&amp;"]","")</f>
        <v/>
      </c>
      <c r="I99" s="363" t="str">
        <f>IFERROR(VLOOKUP(A96,AuswertungA[],9,FALSE)/4,"")</f>
        <v/>
      </c>
      <c r="J99" s="363" t="str">
        <f>VLOOKUP(A96,AuswertungA[],10,FALSE)</f>
        <v/>
      </c>
      <c r="K99" s="362" t="str">
        <f>VLOOKUP(A96,AuswertungA[],11,FALSE)</f>
        <v/>
      </c>
      <c r="L99" s="362" t="str">
        <f>VLOOKUP(A96,AuswertungA[],12,FALSE)</f>
        <v/>
      </c>
      <c r="M99" s="362" t="str">
        <f>VLOOKUP(A96,AuswertungA[],13,FALSE)</f>
        <v/>
      </c>
      <c r="N99" s="362" t="str">
        <f>VLOOKUP(A96,AuswertungA[],14,FALSE)</f>
        <v/>
      </c>
      <c r="O99" s="362" t="str">
        <f>VLOOKUP(A96,AuswertungA[],19,FALSE)</f>
        <v/>
      </c>
      <c r="P99" s="362" t="str">
        <f>IFERROR(VLOOKUP(A96,AuswertungA[],22,FALSE)&amp;" ["&amp;_xlfn.RANK.EQ(VLOOKUP(A96,AuswertungA[],22,FALSE),AuswertungA[GEGGES A],0)&amp;"]","")</f>
        <v/>
      </c>
      <c r="Q99" s="362" t="str">
        <f>VLOOKUP(A96,AuswertungA[],25,FALSE)</f>
        <v/>
      </c>
      <c r="R99" s="362" t="str">
        <f>IFERROR(VLOOKUP(A96,Rekorde[],24,FALSE)&amp;" ["&amp;_xlfn.RANK.EQ(VLOOKUP(A96,Rekorde[],24,FALSE),Rekorde[Volle A],0)&amp;"]","")</f>
        <v/>
      </c>
      <c r="S99" s="362" t="str">
        <f>IFERROR(VLOOKUP(A96,Rekorde[],25,FALSE)&amp;" ["&amp;_xlfn.RANK.EQ(VLOOKUP(A96,Rekorde[],25,FALSE),Rekorde[Räumer A],0)&amp;"]","")</f>
        <v/>
      </c>
    </row>
    <row r="100" spans="1:19" ht="30" customHeight="1" thickBot="1" x14ac:dyDescent="0.35"/>
    <row r="101" spans="1:19" ht="30" customHeight="1" thickBot="1" x14ac:dyDescent="0.35">
      <c r="A101" s="353" t="str">
        <f>VLOOKUP(ROUNDUP(ROW()/4,0),Teamzuordnung[],2,FALSE)</f>
        <v>Maik Fuhrmann</v>
      </c>
      <c r="B101" s="349" t="s">
        <v>63</v>
      </c>
      <c r="C101" s="347" t="s">
        <v>610</v>
      </c>
      <c r="D101" s="347" t="s">
        <v>605</v>
      </c>
      <c r="E101" s="346" t="s">
        <v>100</v>
      </c>
      <c r="F101" s="346" t="s">
        <v>21</v>
      </c>
      <c r="G101" s="346" t="s">
        <v>22</v>
      </c>
      <c r="H101" s="346" t="s">
        <v>23</v>
      </c>
      <c r="I101" s="346" t="s">
        <v>24</v>
      </c>
      <c r="J101" s="346" t="s">
        <v>25</v>
      </c>
      <c r="K101" s="346" t="s">
        <v>606</v>
      </c>
      <c r="L101" s="346" t="s">
        <v>607</v>
      </c>
      <c r="M101" s="346" t="s">
        <v>608</v>
      </c>
      <c r="N101" s="346" t="s">
        <v>609</v>
      </c>
      <c r="O101" s="346" t="s">
        <v>218</v>
      </c>
      <c r="P101" s="347" t="s">
        <v>611</v>
      </c>
      <c r="Q101" s="347" t="s">
        <v>199</v>
      </c>
      <c r="R101" s="347" t="s">
        <v>603</v>
      </c>
      <c r="S101" s="348" t="s">
        <v>604</v>
      </c>
    </row>
    <row r="102" spans="1:19" ht="30" customHeight="1" thickBot="1" x14ac:dyDescent="0.35">
      <c r="A102" s="350" t="s">
        <v>26</v>
      </c>
      <c r="B102" s="355" t="str">
        <f>IFERROR(VLOOKUP(A101,AuswertungG[],8,FALSE)&amp;" ["&amp;_xlfn.RANK.EQ(VLOOKUP(A101,AuswertungG[],8,FALSE),AuswertungG[GES],0)&amp;"]","")</f>
        <v>550 [2]</v>
      </c>
      <c r="C102" s="356" t="e">
        <f>VLOOKUP(A101,Vorjahr[],2,FALSE)</f>
        <v>#N/A</v>
      </c>
      <c r="D102" s="356" t="str">
        <f>IFERROR(VLOOKUP(A101,Rekorde[],3,FALSE)&amp;" ["&amp;_xlfn.RANK.EQ(VLOOKUP(A101,Rekorde[],3,FALSE),Rekorde[GES],0)&amp;"]","")</f>
        <v>628 [2]</v>
      </c>
      <c r="E102" s="356">
        <f>VLOOKUP(A101,AuswertungG[],3,FALSE)</f>
        <v>15</v>
      </c>
      <c r="F102" s="356" t="str">
        <f>IFERROR(VLOOKUP(A101,AuswertungG[],5,FALSE)&amp;" ["&amp;_xlfn.RANK.EQ(VLOOKUP(A101,AuswertungG[],5,FALSE),AuswertungG[Volle],0)&amp;"]","")</f>
        <v>364 [2]</v>
      </c>
      <c r="G102" s="356" t="str">
        <f>IFERROR(VLOOKUP(A101,AuswertungG[],6,FALSE)&amp;" ["&amp;_xlfn.RANK.EQ(VLOOKUP(A101,AuswertungG[],6,FALSE),AuswertungG[Räumer],0)&amp;"]","")</f>
        <v>186 [2]</v>
      </c>
      <c r="H102" s="356" t="str">
        <f>IFERROR(VLOOKUP(A101,AuswertungG[],7,FALSE)&amp;" ["&amp;_xlfn.RANK.EQ(VLOOKUP(A101,AuswertungG[],7,FALSE),AuswertungG[Fehler],1)&amp;"]","")</f>
        <v>3,3 [2]</v>
      </c>
      <c r="I102" s="357">
        <f>IFERROR(VLOOKUP(A101,AuswertungG[],9,FALSE)/4,"")</f>
        <v>0.625</v>
      </c>
      <c r="J102" s="357">
        <f>VLOOKUP(A101,AuswertungG[],10,FALSE)</f>
        <v>0.77</v>
      </c>
      <c r="K102" s="356">
        <f>VLOOKUP(A101,AuswertungG[],11,FALSE)</f>
        <v>139</v>
      </c>
      <c r="L102" s="356">
        <f>VLOOKUP(A101,AuswertungG[],12,FALSE)</f>
        <v>138</v>
      </c>
      <c r="M102" s="356">
        <f>VLOOKUP(A101,AuswertungG[],13,FALSE)</f>
        <v>137</v>
      </c>
      <c r="N102" s="356">
        <f>VLOOKUP(A101,AuswertungG[],14,FALSE)</f>
        <v>137</v>
      </c>
      <c r="O102" s="356">
        <f>VLOOKUP(A101,AuswertungG[],19,FALSE)</f>
        <v>-0.14000000000000001</v>
      </c>
      <c r="P102" s="356" t="str">
        <f>IFERROR(VLOOKUP(A101,AuswertungG[],22,FALSE)&amp;" ["&amp;_xlfn.RANK.EQ(VLOOKUP(A101,AuswertungG[],22,FALSE),AuswertungG[GEGGES],0)&amp;"]","")</f>
        <v>523 [8]</v>
      </c>
      <c r="Q102" s="356" t="str">
        <f>VLOOKUP(A101,AuswertungG[],25,FALSE)</f>
        <v>[4]</v>
      </c>
      <c r="R102" s="356" t="str">
        <f>IFERROR(VLOOKUP(A101,Rekorde[],4,FALSE)&amp;" ["&amp;_xlfn.RANK.EQ(VLOOKUP(A101,Rekorde[],4,FALSE),Rekorde[Volle],0)&amp;"]","")</f>
        <v>405 [1]</v>
      </c>
      <c r="S102" s="356" t="str">
        <f>IFERROR(VLOOKUP(A101,Rekorde[],5,FALSE)&amp;" ["&amp;_xlfn.RANK.EQ(VLOOKUP(A101,Rekorde[],5,FALSE),Rekorde[Räumer],0)&amp;"]","")</f>
        <v>223 [3]</v>
      </c>
    </row>
    <row r="103" spans="1:19" ht="30" customHeight="1" thickBot="1" x14ac:dyDescent="0.35">
      <c r="A103" s="351" t="s">
        <v>118</v>
      </c>
      <c r="B103" s="358" t="str">
        <f>IFERROR(VLOOKUP(A101,AuswertungH[],8,FALSE)&amp;" ["&amp;_xlfn.RANK.EQ(VLOOKUP(A101,AuswertungH[],8,FALSE),AuswertungH[GES H],0)&amp;"]","")</f>
        <v>538 [3]</v>
      </c>
      <c r="C103" s="359" t="e">
        <f>VLOOKUP(A101,Vorjahr[],6,FALSE)</f>
        <v>#N/A</v>
      </c>
      <c r="D103" s="359" t="str">
        <f>IFERROR(VLOOKUP(A101,Rekorde[],13,FALSE)&amp;" ["&amp;_xlfn.RANK.EQ(VLOOKUP(A101,Rekorde[],13,FALSE),Rekorde[GES H],0)&amp;"]","")</f>
        <v>575 [2]</v>
      </c>
      <c r="E103" s="359">
        <f>VLOOKUP(A101,AuswertungH[],3,FALSE)</f>
        <v>7</v>
      </c>
      <c r="F103" s="359" t="str">
        <f>IFERROR(VLOOKUP(A101,AuswertungG[],5,FALSE)&amp;" ["&amp;_xlfn.RANK.EQ(VLOOKUP(A101,AuswertungH[],5,FALSE),AuswertungH[Volle H],0)&amp;"]","")</f>
        <v>364 [9]</v>
      </c>
      <c r="G103" s="359" t="str">
        <f>IFERROR(VLOOKUP(A101,AuswertungH[],6,FALSE)&amp;" ["&amp;_xlfn.RANK.EQ(VLOOKUP(A101,AuswertungH[],6,FALSE),AuswertungH[Räumer H],0)&amp;"]","")</f>
        <v>181 [3]</v>
      </c>
      <c r="H103" s="359" t="str">
        <f>IFERROR(VLOOKUP(A101,AuswertungH[],7,FALSE)&amp;" ["&amp;_xlfn.RANK.EQ(VLOOKUP(A101,AuswertungH[],7,FALSE),AuswertungH[Fehler H],1)&amp;"]","")</f>
        <v>3,3 [2]</v>
      </c>
      <c r="I103" s="360">
        <f>IFERROR(VLOOKUP(A101,AuswertungH[],9,FALSE)/4,"")</f>
        <v>0.44750000000000001</v>
      </c>
      <c r="J103" s="360">
        <f>VLOOKUP(A101,AuswertungH[],10,FALSE)</f>
        <v>0.56999999999999995</v>
      </c>
      <c r="K103" s="359">
        <f>VLOOKUP(A101,AuswertungH[],11,FALSE)</f>
        <v>137</v>
      </c>
      <c r="L103" s="359">
        <f>VLOOKUP(A101,AuswertungH[],12,FALSE)</f>
        <v>138</v>
      </c>
      <c r="M103" s="359">
        <f>VLOOKUP(A101,AuswertungH[],13,FALSE)</f>
        <v>134</v>
      </c>
      <c r="N103" s="359">
        <f>VLOOKUP(A101,AuswertungH[],14,FALSE)</f>
        <v>129</v>
      </c>
      <c r="O103" s="359">
        <f>VLOOKUP(A101,AuswertungH[],19,FALSE)</f>
        <v>-1.86</v>
      </c>
      <c r="P103" s="359" t="str">
        <f>IFERROR(VLOOKUP(A101,AuswertungH[],22,FALSE)&amp;" ["&amp;_xlfn.RANK.EQ(VLOOKUP(A101,AuswertungH[],22,FALSE),AuswertungH[GEGGES H],0)&amp;"]","")</f>
        <v>526 [4]</v>
      </c>
      <c r="Q103" s="359" t="str">
        <f>VLOOKUP(A101,AuswertungH[],25,FALSE)</f>
        <v>[1]</v>
      </c>
      <c r="R103" s="359" t="str">
        <f>IFERROR(VLOOKUP(A101,Rekorde[],14,FALSE)&amp;" ["&amp;_xlfn.RANK.EQ(VLOOKUP(A101,Rekorde[],14,FALSE),Rekorde[Volle H],0)&amp;"]","")</f>
        <v>375 [5]</v>
      </c>
      <c r="S103" s="359" t="str">
        <f>IFERROR(VLOOKUP(A101,Rekorde[],15,FALSE)&amp;" ["&amp;_xlfn.RANK.EQ(VLOOKUP(A101,Rekorde[],15,FALSE),Rekorde[Räumer H],0)&amp;"]","")</f>
        <v>206 [2]</v>
      </c>
    </row>
    <row r="104" spans="1:19" ht="30" customHeight="1" thickBot="1" x14ac:dyDescent="0.35">
      <c r="A104" s="352" t="s">
        <v>119</v>
      </c>
      <c r="B104" s="361" t="str">
        <f>IFERROR(VLOOKUP(A101,AuswertungA[],8,FALSE)&amp;" ["&amp;_xlfn.RANK.EQ(VLOOKUP(A101,AuswertungA[],8,FALSE),AuswertungA[GES A],0)&amp;"]","")</f>
        <v>561 [2]</v>
      </c>
      <c r="C104" s="362" t="e">
        <f>VLOOKUP(A101,Vorjahr[],10,FALSE)</f>
        <v>#N/A</v>
      </c>
      <c r="D104" s="362" t="str">
        <f>IFERROR(VLOOKUP(A101,Rekorde[],23,FALSE)&amp;" ["&amp;_xlfn.RANK.EQ(VLOOKUP(A101,Rekorde[],23,FALSE),Rekorde[GES A],0)&amp;"]","")</f>
        <v>628 [2]</v>
      </c>
      <c r="E104" s="362">
        <f>VLOOKUP(A101,AuswertungA[],3,FALSE)</f>
        <v>8</v>
      </c>
      <c r="F104" s="362" t="str">
        <f>IFERROR(VLOOKUP(A101,AuswertungA[],5,FALSE)&amp;" ["&amp;_xlfn.RANK.EQ(VLOOKUP(A101,AuswertungA[],5,FALSE),AuswertungA[Volle A],0)&amp;"]","")</f>
        <v>370 [1]</v>
      </c>
      <c r="G104" s="362" t="str">
        <f>IFERROR(VLOOKUP(A101,AuswertungA[],6,FALSE)&amp;" ["&amp;_xlfn.RANK.EQ(VLOOKUP(A101,AuswertungA[],6,FALSE),AuswertungA[Räumer A],0)&amp;"]","")</f>
        <v>191 [2]</v>
      </c>
      <c r="H104" s="362" t="str">
        <f>IFERROR(VLOOKUP(A101,AuswertungA[],7,FALSE)&amp;" ["&amp;_xlfn.RANK.EQ(VLOOKUP(A101,AuswertungA[],7,FALSE),AuswertungA[Fehler A],1)&amp;"]","")</f>
        <v>3,4 [1]</v>
      </c>
      <c r="I104" s="363">
        <f>IFERROR(VLOOKUP(A101,AuswertungA[],9,FALSE)/4,"")</f>
        <v>0.85499999999999998</v>
      </c>
      <c r="J104" s="363">
        <f>VLOOKUP(A101,AuswertungA[],10,FALSE)</f>
        <v>1</v>
      </c>
      <c r="K104" s="362">
        <f>VLOOKUP(A101,AuswertungA[],11,FALSE)</f>
        <v>141</v>
      </c>
      <c r="L104" s="362">
        <f>VLOOKUP(A101,AuswertungA[],12,FALSE)</f>
        <v>138</v>
      </c>
      <c r="M104" s="362">
        <f>VLOOKUP(A101,AuswertungA[],13,FALSE)</f>
        <v>141</v>
      </c>
      <c r="N104" s="362">
        <f>VLOOKUP(A101,AuswertungA[],14,FALSE)</f>
        <v>146</v>
      </c>
      <c r="O104" s="362">
        <f>VLOOKUP(A101,AuswertungA[],19,FALSE)</f>
        <v>1.2</v>
      </c>
      <c r="P104" s="362" t="str">
        <f>IFERROR(VLOOKUP(A101,AuswertungA[],22,FALSE)&amp;" ["&amp;_xlfn.RANK.EQ(VLOOKUP(A101,AuswertungA[],22,FALSE),AuswertungA[GEGGES A],0)&amp;"]","")</f>
        <v>520 [16]</v>
      </c>
      <c r="Q104" s="362" t="str">
        <f>VLOOKUP(A101,AuswertungA[],25,FALSE)</f>
        <v>[1][2][3][4]</v>
      </c>
      <c r="R104" s="362" t="str">
        <f>IFERROR(VLOOKUP(A101,Rekorde[],24,FALSE)&amp;" ["&amp;_xlfn.RANK.EQ(VLOOKUP(A101,Rekorde[],24,FALSE),Rekorde[Volle A],0)&amp;"]","")</f>
        <v>405 [1]</v>
      </c>
      <c r="S104" s="362" t="str">
        <f>IFERROR(VLOOKUP(A101,Rekorde[],25,FALSE)&amp;" ["&amp;_xlfn.RANK.EQ(VLOOKUP(A101,Rekorde[],25,FALSE),Rekorde[Räumer A],0)&amp;"]","")</f>
        <v>223 [3]</v>
      </c>
    </row>
    <row r="105" spans="1:19" ht="30" customHeight="1" thickBot="1" x14ac:dyDescent="0.35"/>
    <row r="106" spans="1:19" ht="30" customHeight="1" thickBot="1" x14ac:dyDescent="0.35">
      <c r="A106" s="353" t="str">
        <f>VLOOKUP(ROUNDUP(ROW()/4,0),Teamzuordnung[],2,FALSE)</f>
        <v>Marcel Giese</v>
      </c>
      <c r="B106" s="349" t="s">
        <v>63</v>
      </c>
      <c r="C106" s="347" t="s">
        <v>610</v>
      </c>
      <c r="D106" s="347" t="s">
        <v>605</v>
      </c>
      <c r="E106" s="346" t="s">
        <v>100</v>
      </c>
      <c r="F106" s="346" t="s">
        <v>21</v>
      </c>
      <c r="G106" s="346" t="s">
        <v>22</v>
      </c>
      <c r="H106" s="346" t="s">
        <v>23</v>
      </c>
      <c r="I106" s="346" t="s">
        <v>24</v>
      </c>
      <c r="J106" s="346" t="s">
        <v>25</v>
      </c>
      <c r="K106" s="346" t="s">
        <v>606</v>
      </c>
      <c r="L106" s="346" t="s">
        <v>607</v>
      </c>
      <c r="M106" s="346" t="s">
        <v>608</v>
      </c>
      <c r="N106" s="346" t="s">
        <v>609</v>
      </c>
      <c r="O106" s="346" t="s">
        <v>218</v>
      </c>
      <c r="P106" s="347" t="s">
        <v>611</v>
      </c>
      <c r="Q106" s="347" t="s">
        <v>199</v>
      </c>
      <c r="R106" s="347" t="s">
        <v>603</v>
      </c>
      <c r="S106" s="348" t="s">
        <v>604</v>
      </c>
    </row>
    <row r="107" spans="1:19" ht="30" customHeight="1" thickBot="1" x14ac:dyDescent="0.35">
      <c r="A107" s="350" t="s">
        <v>26</v>
      </c>
      <c r="B107" s="355" t="str">
        <f>IFERROR(VLOOKUP(A106,AuswertungG[],8,FALSE)&amp;" ["&amp;_xlfn.RANK.EQ(VLOOKUP(A106,AuswertungG[],8,FALSE),AuswertungG[GES],0)&amp;"]","")</f>
        <v>471 [34]</v>
      </c>
      <c r="C107" s="356">
        <f>VLOOKUP(A106,Vorjahr[],2,FALSE)</f>
        <v>474</v>
      </c>
      <c r="D107" s="356" t="str">
        <f>IFERROR(VLOOKUP(A106,Rekorde[],3,FALSE)&amp;" ["&amp;_xlfn.RANK.EQ(VLOOKUP(A106,Rekorde[],3,FALSE),Rekorde[GES],0)&amp;"]","")</f>
        <v>491 [32]</v>
      </c>
      <c r="E107" s="356">
        <f>VLOOKUP(A106,AuswertungG[],3,FALSE)</f>
        <v>3</v>
      </c>
      <c r="F107" s="356" t="str">
        <f>IFERROR(VLOOKUP(A106,AuswertungG[],5,FALSE)&amp;" ["&amp;_xlfn.RANK.EQ(VLOOKUP(A106,AuswertungG[],5,FALSE),AuswertungG[Volle],0)&amp;"]","")</f>
        <v>332 [33]</v>
      </c>
      <c r="G107" s="356" t="str">
        <f>IFERROR(VLOOKUP(A106,AuswertungG[],6,FALSE)&amp;" ["&amp;_xlfn.RANK.EQ(VLOOKUP(A106,AuswertungG[],6,FALSE),AuswertungG[Räumer],0)&amp;"]","")</f>
        <v>140 [32]</v>
      </c>
      <c r="H107" s="356" t="str">
        <f>IFERROR(VLOOKUP(A106,AuswertungG[],7,FALSE)&amp;" ["&amp;_xlfn.RANK.EQ(VLOOKUP(A106,AuswertungG[],7,FALSE),AuswertungG[Fehler],1)&amp;"]","")</f>
        <v>15 [34]</v>
      </c>
      <c r="I107" s="357">
        <f>IFERROR(VLOOKUP(A106,AuswertungG[],9,FALSE)/4,"")</f>
        <v>0.45</v>
      </c>
      <c r="J107" s="357">
        <f>VLOOKUP(A106,AuswertungG[],10,FALSE)</f>
        <v>0.5</v>
      </c>
      <c r="K107" s="356">
        <f>VLOOKUP(A106,AuswertungG[],11,FALSE)</f>
        <v>116</v>
      </c>
      <c r="L107" s="356">
        <f>VLOOKUP(A106,AuswertungG[],12,FALSE)</f>
        <v>119</v>
      </c>
      <c r="M107" s="356">
        <f>VLOOKUP(A106,AuswertungG[],13,FALSE)</f>
        <v>114</v>
      </c>
      <c r="N107" s="356">
        <f>VLOOKUP(A106,AuswertungG[],14,FALSE)</f>
        <v>114</v>
      </c>
      <c r="O107" s="356">
        <f>VLOOKUP(A106,AuswertungG[],19,FALSE)</f>
        <v>4.3099999999999996</v>
      </c>
      <c r="P107" s="356" t="str">
        <f>IFERROR(VLOOKUP(A106,AuswertungG[],22,FALSE)&amp;" ["&amp;_xlfn.RANK.EQ(VLOOKUP(A106,AuswertungG[],22,FALSE),AuswertungG[GEGGES],0)&amp;"]","")</f>
        <v>518 [11]</v>
      </c>
      <c r="Q107" s="356" t="str">
        <f>VLOOKUP(A106,AuswertungG[],25,FALSE)</f>
        <v>[1]</v>
      </c>
      <c r="R107" s="356" t="str">
        <f>IFERROR(VLOOKUP(A106,Rekorde[],4,FALSE)&amp;" ["&amp;_xlfn.RANK.EQ(VLOOKUP(A106,Rekorde[],4,FALSE),Rekorde[Volle],0)&amp;"]","")</f>
        <v>344 [30]</v>
      </c>
      <c r="S107" s="356" t="str">
        <f>IFERROR(VLOOKUP(A106,Rekorde[],5,FALSE)&amp;" ["&amp;_xlfn.RANK.EQ(VLOOKUP(A106,Rekorde[],5,FALSE),Rekorde[Räumer],0)&amp;"]","")</f>
        <v>147 [32]</v>
      </c>
    </row>
    <row r="108" spans="1:19" ht="30" customHeight="1" thickBot="1" x14ac:dyDescent="0.35">
      <c r="A108" s="351" t="s">
        <v>118</v>
      </c>
      <c r="B108" s="358" t="str">
        <f>IFERROR(VLOOKUP(A106,AuswertungH[],8,FALSE)&amp;" ["&amp;_xlfn.RANK.EQ(VLOOKUP(A106,AuswertungH[],8,FALSE),AuswertungH[GES H],0)&amp;"]","")</f>
        <v>454 [31]</v>
      </c>
      <c r="C108" s="359">
        <f>VLOOKUP(A106,Vorjahr[],6,FALSE)</f>
        <v>453</v>
      </c>
      <c r="D108" s="359" t="str">
        <f>IFERROR(VLOOKUP(A106,Rekorde[],13,FALSE)&amp;" ["&amp;_xlfn.RANK.EQ(VLOOKUP(A106,Rekorde[],13,FALSE),Rekorde[GES H],0)&amp;"]","")</f>
        <v>454 [30]</v>
      </c>
      <c r="E108" s="359">
        <f>VLOOKUP(A106,AuswertungH[],3,FALSE)</f>
        <v>1</v>
      </c>
      <c r="F108" s="359" t="str">
        <f>IFERROR(VLOOKUP(A106,AuswertungG[],5,FALSE)&amp;" ["&amp;_xlfn.RANK.EQ(VLOOKUP(A106,AuswertungH[],5,FALSE),AuswertungH[Volle H],0)&amp;"]","")</f>
        <v>332 [31]</v>
      </c>
      <c r="G108" s="359" t="str">
        <f>IFERROR(VLOOKUP(A106,AuswertungH[],6,FALSE)&amp;" ["&amp;_xlfn.RANK.EQ(VLOOKUP(A106,AuswertungH[],6,FALSE),AuswertungH[Räumer H],0)&amp;"]","")</f>
        <v>134 [30]</v>
      </c>
      <c r="H108" s="359" t="str">
        <f>IFERROR(VLOOKUP(A106,AuswertungH[],7,FALSE)&amp;" ["&amp;_xlfn.RANK.EQ(VLOOKUP(A106,AuswertungH[],7,FALSE),AuswertungH[Fehler H],1)&amp;"]","")</f>
        <v>13 [27]</v>
      </c>
      <c r="I108" s="360">
        <f>IFERROR(VLOOKUP(A106,AuswertungH[],9,FALSE)/4,"")</f>
        <v>0.25</v>
      </c>
      <c r="J108" s="360">
        <f>VLOOKUP(A106,AuswertungH[],10,FALSE)</f>
        <v>0</v>
      </c>
      <c r="K108" s="359">
        <f>VLOOKUP(A106,AuswertungH[],11,FALSE)</f>
        <v>123</v>
      </c>
      <c r="L108" s="359">
        <f>VLOOKUP(A106,AuswertungH[],12,FALSE)</f>
        <v>118</v>
      </c>
      <c r="M108" s="359">
        <f>VLOOKUP(A106,AuswertungH[],13,FALSE)</f>
        <v>108</v>
      </c>
      <c r="N108" s="359">
        <f>VLOOKUP(A106,AuswertungH[],14,FALSE)</f>
        <v>105</v>
      </c>
      <c r="O108" s="359">
        <f>VLOOKUP(A106,AuswertungH[],19,FALSE)</f>
        <v>0</v>
      </c>
      <c r="P108" s="359" t="str">
        <f>IFERROR(VLOOKUP(A106,AuswertungH[],22,FALSE)&amp;" ["&amp;_xlfn.RANK.EQ(VLOOKUP(A106,AuswertungH[],22,FALSE),AuswertungH[GEGGES H],0)&amp;"]","")</f>
        <v>545 [1]</v>
      </c>
      <c r="Q108" s="359" t="str">
        <f>VLOOKUP(A106,AuswertungH[],25,FALSE)</f>
        <v>[2]</v>
      </c>
      <c r="R108" s="359" t="str">
        <f>IFERROR(VLOOKUP(A106,Rekorde[],14,FALSE)&amp;" ["&amp;_xlfn.RANK.EQ(VLOOKUP(A106,Rekorde[],14,FALSE),Rekorde[Volle H],0)&amp;"]","")</f>
        <v>320 [31]</v>
      </c>
      <c r="S108" s="359" t="str">
        <f>IFERROR(VLOOKUP(A106,Rekorde[],15,FALSE)&amp;" ["&amp;_xlfn.RANK.EQ(VLOOKUP(A106,Rekorde[],15,FALSE),Rekorde[Räumer H],0)&amp;"]","")</f>
        <v>134 [30]</v>
      </c>
    </row>
    <row r="109" spans="1:19" ht="30" customHeight="1" thickBot="1" x14ac:dyDescent="0.35">
      <c r="A109" s="352" t="s">
        <v>119</v>
      </c>
      <c r="B109" s="361" t="str">
        <f>IFERROR(VLOOKUP(A106,AuswertungA[],8,FALSE)&amp;" ["&amp;_xlfn.RANK.EQ(VLOOKUP(A106,AuswertungA[],8,FALSE),AuswertungA[GES A],0)&amp;"]","")</f>
        <v>480 [29]</v>
      </c>
      <c r="C109" s="362">
        <f>VLOOKUP(A106,Vorjahr[],10,FALSE)</f>
        <v>496</v>
      </c>
      <c r="D109" s="362" t="str">
        <f>IFERROR(VLOOKUP(A106,Rekorde[],23,FALSE)&amp;" ["&amp;_xlfn.RANK.EQ(VLOOKUP(A106,Rekorde[],23,FALSE),Rekorde[GES A],0)&amp;"]","")</f>
        <v>491 [29]</v>
      </c>
      <c r="E109" s="362">
        <f>VLOOKUP(A106,AuswertungA[],3,FALSE)</f>
        <v>2</v>
      </c>
      <c r="F109" s="362" t="str">
        <f>IFERROR(VLOOKUP(A106,AuswertungA[],5,FALSE)&amp;" ["&amp;_xlfn.RANK.EQ(VLOOKUP(A106,AuswertungA[],5,FALSE),AuswertungA[Volle A],0)&amp;"]","")</f>
        <v>338 [28]</v>
      </c>
      <c r="G109" s="362" t="str">
        <f>IFERROR(VLOOKUP(A106,AuswertungA[],6,FALSE)&amp;" ["&amp;_xlfn.RANK.EQ(VLOOKUP(A106,AuswertungA[],6,FALSE),AuswertungA[Räumer A],0)&amp;"]","")</f>
        <v>143 [26]</v>
      </c>
      <c r="H109" s="362" t="str">
        <f>IFERROR(VLOOKUP(A106,AuswertungA[],7,FALSE)&amp;" ["&amp;_xlfn.RANK.EQ(VLOOKUP(A106,AuswertungA[],7,FALSE),AuswertungA[Fehler A],1)&amp;"]","")</f>
        <v>16 [31]</v>
      </c>
      <c r="I109" s="363">
        <f>IFERROR(VLOOKUP(A106,AuswertungA[],9,FALSE)/4,"")</f>
        <v>0.625</v>
      </c>
      <c r="J109" s="363">
        <f>VLOOKUP(A106,AuswertungA[],10,FALSE)</f>
        <v>1</v>
      </c>
      <c r="K109" s="362">
        <f>VLOOKUP(A106,AuswertungA[],11,FALSE)</f>
        <v>112</v>
      </c>
      <c r="L109" s="362">
        <f>VLOOKUP(A106,AuswertungA[],12,FALSE)</f>
        <v>120</v>
      </c>
      <c r="M109" s="362">
        <f>VLOOKUP(A106,AuswertungA[],13,FALSE)</f>
        <v>118</v>
      </c>
      <c r="N109" s="362">
        <f>VLOOKUP(A106,AuswertungA[],14,FALSE)</f>
        <v>131</v>
      </c>
      <c r="O109" s="362">
        <f>VLOOKUP(A106,AuswertungA[],19,FALSE)</f>
        <v>22</v>
      </c>
      <c r="P109" s="362" t="str">
        <f>IFERROR(VLOOKUP(A106,AuswertungA[],22,FALSE)&amp;" ["&amp;_xlfn.RANK.EQ(VLOOKUP(A106,AuswertungA[],22,FALSE),AuswertungA[GEGGES A],0)&amp;"]","")</f>
        <v>490 [25]</v>
      </c>
      <c r="Q109" s="362" t="str">
        <f>VLOOKUP(A106,AuswertungA[],25,FALSE)</f>
        <v>[1]</v>
      </c>
      <c r="R109" s="362" t="str">
        <f>IFERROR(VLOOKUP(A106,Rekorde[],24,FALSE)&amp;" ["&amp;_xlfn.RANK.EQ(VLOOKUP(A106,Rekorde[],24,FALSE),Rekorde[Volle A],0)&amp;"]","")</f>
        <v>344 [28]</v>
      </c>
      <c r="S109" s="362" t="str">
        <f>IFERROR(VLOOKUP(A106,Rekorde[],25,FALSE)&amp;" ["&amp;_xlfn.RANK.EQ(VLOOKUP(A106,Rekorde[],25,FALSE),Rekorde[Räumer A],0)&amp;"]","")</f>
        <v>147 [28]</v>
      </c>
    </row>
    <row r="110" spans="1:19" ht="30" customHeight="1" thickBot="1" x14ac:dyDescent="0.35"/>
    <row r="111" spans="1:19" ht="30" customHeight="1" thickBot="1" x14ac:dyDescent="0.35">
      <c r="A111" s="353" t="str">
        <f>VLOOKUP(ROUNDUP(ROW()/4,0),Teamzuordnung[],2,FALSE)</f>
        <v>Mario Hägemann</v>
      </c>
      <c r="B111" s="349" t="s">
        <v>63</v>
      </c>
      <c r="C111" s="347" t="s">
        <v>610</v>
      </c>
      <c r="D111" s="347" t="s">
        <v>605</v>
      </c>
      <c r="E111" s="346" t="s">
        <v>100</v>
      </c>
      <c r="F111" s="346" t="s">
        <v>21</v>
      </c>
      <c r="G111" s="346" t="s">
        <v>22</v>
      </c>
      <c r="H111" s="346" t="s">
        <v>23</v>
      </c>
      <c r="I111" s="346" t="s">
        <v>24</v>
      </c>
      <c r="J111" s="346" t="s">
        <v>25</v>
      </c>
      <c r="K111" s="346" t="s">
        <v>606</v>
      </c>
      <c r="L111" s="346" t="s">
        <v>607</v>
      </c>
      <c r="M111" s="346" t="s">
        <v>608</v>
      </c>
      <c r="N111" s="346" t="s">
        <v>609</v>
      </c>
      <c r="O111" s="346" t="s">
        <v>218</v>
      </c>
      <c r="P111" s="347" t="s">
        <v>611</v>
      </c>
      <c r="Q111" s="347" t="s">
        <v>199</v>
      </c>
      <c r="R111" s="347" t="s">
        <v>603</v>
      </c>
      <c r="S111" s="348" t="s">
        <v>604</v>
      </c>
    </row>
    <row r="112" spans="1:19" ht="30" customHeight="1" thickBot="1" x14ac:dyDescent="0.35">
      <c r="A112" s="350" t="s">
        <v>26</v>
      </c>
      <c r="B112" s="355" t="str">
        <f>IFERROR(VLOOKUP(A111,AuswertungG[],8,FALSE)&amp;" ["&amp;_xlfn.RANK.EQ(VLOOKUP(A111,AuswertungG[],8,FALSE),AuswertungG[GES],0)&amp;"]","")</f>
        <v>522 [14]</v>
      </c>
      <c r="C112" s="356" t="e">
        <f>VLOOKUP(A111,Vorjahr[],2,FALSE)</f>
        <v>#N/A</v>
      </c>
      <c r="D112" s="356" t="str">
        <f>IFERROR(VLOOKUP(A111,Rekorde[],3,FALSE)&amp;" ["&amp;_xlfn.RANK.EQ(VLOOKUP(A111,Rekorde[],3,FALSE),Rekorde[GES],0)&amp;"]","")</f>
        <v>562 [12]</v>
      </c>
      <c r="E112" s="356">
        <f>VLOOKUP(A111,AuswertungG[],3,FALSE)</f>
        <v>10</v>
      </c>
      <c r="F112" s="356" t="str">
        <f>IFERROR(VLOOKUP(A111,AuswertungG[],5,FALSE)&amp;" ["&amp;_xlfn.RANK.EQ(VLOOKUP(A111,AuswertungG[],5,FALSE),AuswertungG[Volle],0)&amp;"]","")</f>
        <v>349 [23]</v>
      </c>
      <c r="G112" s="356" t="str">
        <f>IFERROR(VLOOKUP(A111,AuswertungG[],6,FALSE)&amp;" ["&amp;_xlfn.RANK.EQ(VLOOKUP(A111,AuswertungG[],6,FALSE),AuswertungG[Räumer],0)&amp;"]","")</f>
        <v>172 [7]</v>
      </c>
      <c r="H112" s="356" t="str">
        <f>IFERROR(VLOOKUP(A111,AuswertungG[],7,FALSE)&amp;" ["&amp;_xlfn.RANK.EQ(VLOOKUP(A111,AuswertungG[],7,FALSE),AuswertungG[Fehler],1)&amp;"]","")</f>
        <v>6 [9]</v>
      </c>
      <c r="I112" s="357">
        <f>IFERROR(VLOOKUP(A111,AuswertungG[],9,FALSE)/4,"")</f>
        <v>0.6</v>
      </c>
      <c r="J112" s="357">
        <f>VLOOKUP(A111,AuswertungG[],10,FALSE)</f>
        <v>0.8</v>
      </c>
      <c r="K112" s="356">
        <f>VLOOKUP(A111,AuswertungG[],11,FALSE)</f>
        <v>135</v>
      </c>
      <c r="L112" s="356">
        <f>VLOOKUP(A111,AuswertungG[],12,FALSE)</f>
        <v>128</v>
      </c>
      <c r="M112" s="356">
        <f>VLOOKUP(A111,AuswertungG[],13,FALSE)</f>
        <v>130</v>
      </c>
      <c r="N112" s="356">
        <f>VLOOKUP(A111,AuswertungG[],14,FALSE)</f>
        <v>130</v>
      </c>
      <c r="O112" s="356">
        <f>VLOOKUP(A111,AuswertungG[],19,FALSE)</f>
        <v>0.1</v>
      </c>
      <c r="P112" s="356" t="str">
        <f>IFERROR(VLOOKUP(A111,AuswertungG[],22,FALSE)&amp;" ["&amp;_xlfn.RANK.EQ(VLOOKUP(A111,AuswertungG[],22,FALSE),AuswertungG[GEGGES],0)&amp;"]","")</f>
        <v>511 [14]</v>
      </c>
      <c r="Q112" s="356" t="str">
        <f>VLOOKUP(A111,AuswertungG[],25,FALSE)</f>
        <v>[1][3][4]</v>
      </c>
      <c r="R112" s="356" t="str">
        <f>IFERROR(VLOOKUP(A111,Rekorde[],4,FALSE)&amp;" ["&amp;_xlfn.RANK.EQ(VLOOKUP(A111,Rekorde[],4,FALSE),Rekorde[Volle],0)&amp;"]","")</f>
        <v>373 [16]</v>
      </c>
      <c r="S112" s="356" t="str">
        <f>IFERROR(VLOOKUP(A111,Rekorde[],5,FALSE)&amp;" ["&amp;_xlfn.RANK.EQ(VLOOKUP(A111,Rekorde[],5,FALSE),Rekorde[Räumer],0)&amp;"]","")</f>
        <v>196 [10]</v>
      </c>
    </row>
    <row r="113" spans="1:19" ht="30" customHeight="1" thickBot="1" x14ac:dyDescent="0.35">
      <c r="A113" s="351" t="s">
        <v>118</v>
      </c>
      <c r="B113" s="358" t="str">
        <f>IFERROR(VLOOKUP(A111,AuswertungH[],8,FALSE)&amp;" ["&amp;_xlfn.RANK.EQ(VLOOKUP(A111,AuswertungH[],8,FALSE),AuswertungH[GES H],0)&amp;"]","")</f>
        <v>511 [19]</v>
      </c>
      <c r="C113" s="359" t="e">
        <f>VLOOKUP(A111,Vorjahr[],6,FALSE)</f>
        <v>#N/A</v>
      </c>
      <c r="D113" s="359" t="str">
        <f>IFERROR(VLOOKUP(A111,Rekorde[],13,FALSE)&amp;" ["&amp;_xlfn.RANK.EQ(VLOOKUP(A111,Rekorde[],13,FALSE),Rekorde[GES H],0)&amp;"]","")</f>
        <v>551 [8]</v>
      </c>
      <c r="E113" s="359">
        <f>VLOOKUP(A111,AuswertungH[],3,FALSE)</f>
        <v>5</v>
      </c>
      <c r="F113" s="359" t="str">
        <f>IFERROR(VLOOKUP(A111,AuswertungG[],5,FALSE)&amp;" ["&amp;_xlfn.RANK.EQ(VLOOKUP(A111,AuswertungH[],5,FALSE),AuswertungH[Volle H],0)&amp;"]","")</f>
        <v>349 [23]</v>
      </c>
      <c r="G113" s="359" t="str">
        <f>IFERROR(VLOOKUP(A111,AuswertungH[],6,FALSE)&amp;" ["&amp;_xlfn.RANK.EQ(VLOOKUP(A111,AuswertungH[],6,FALSE),AuswertungH[Räumer H],0)&amp;"]","")</f>
        <v>169 [9]</v>
      </c>
      <c r="H113" s="359" t="str">
        <f>IFERROR(VLOOKUP(A111,AuswertungH[],7,FALSE)&amp;" ["&amp;_xlfn.RANK.EQ(VLOOKUP(A111,AuswertungH[],7,FALSE),AuswertungH[Fehler H],1)&amp;"]","")</f>
        <v>6,8 [13]</v>
      </c>
      <c r="I113" s="360">
        <f>IFERROR(VLOOKUP(A111,AuswertungH[],9,FALSE)/4,"")</f>
        <v>0.57499999999999996</v>
      </c>
      <c r="J113" s="360">
        <f>VLOOKUP(A111,AuswertungH[],10,FALSE)</f>
        <v>0.8</v>
      </c>
      <c r="K113" s="359">
        <f>VLOOKUP(A111,AuswertungH[],11,FALSE)</f>
        <v>134</v>
      </c>
      <c r="L113" s="359">
        <f>VLOOKUP(A111,AuswertungH[],12,FALSE)</f>
        <v>123</v>
      </c>
      <c r="M113" s="359">
        <f>VLOOKUP(A111,AuswertungH[],13,FALSE)</f>
        <v>130</v>
      </c>
      <c r="N113" s="359">
        <f>VLOOKUP(A111,AuswertungH[],14,FALSE)</f>
        <v>124</v>
      </c>
      <c r="O113" s="359">
        <f>VLOOKUP(A111,AuswertungH[],19,FALSE)</f>
        <v>0.31</v>
      </c>
      <c r="P113" s="359" t="str">
        <f>IFERROR(VLOOKUP(A111,AuswertungH[],22,FALSE)&amp;" ["&amp;_xlfn.RANK.EQ(VLOOKUP(A111,AuswertungH[],22,FALSE),AuswertungH[GEGGES H],0)&amp;"]","")</f>
        <v>504 [10]</v>
      </c>
      <c r="Q113" s="359" t="str">
        <f>VLOOKUP(A111,AuswertungH[],25,FALSE)</f>
        <v>[1][2][4]</v>
      </c>
      <c r="R113" s="359" t="str">
        <f>IFERROR(VLOOKUP(A111,Rekorde[],14,FALSE)&amp;" ["&amp;_xlfn.RANK.EQ(VLOOKUP(A111,Rekorde[],14,FALSE),Rekorde[Volle H],0)&amp;"]","")</f>
        <v>358 [19]</v>
      </c>
      <c r="S113" s="359" t="str">
        <f>IFERROR(VLOOKUP(A111,Rekorde[],15,FALSE)&amp;" ["&amp;_xlfn.RANK.EQ(VLOOKUP(A111,Rekorde[],15,FALSE),Rekorde[Räumer H],0)&amp;"]","")</f>
        <v>193 [5]</v>
      </c>
    </row>
    <row r="114" spans="1:19" ht="30" customHeight="1" thickBot="1" x14ac:dyDescent="0.35">
      <c r="A114" s="352" t="s">
        <v>119</v>
      </c>
      <c r="B114" s="361" t="str">
        <f>IFERROR(VLOOKUP(A111,AuswertungA[],8,FALSE)&amp;" ["&amp;_xlfn.RANK.EQ(VLOOKUP(A111,AuswertungA[],8,FALSE),AuswertungA[GES A],0)&amp;"]","")</f>
        <v>532 [11]</v>
      </c>
      <c r="C114" s="362" t="e">
        <f>VLOOKUP(A111,Vorjahr[],10,FALSE)</f>
        <v>#N/A</v>
      </c>
      <c r="D114" s="362" t="str">
        <f>IFERROR(VLOOKUP(A111,Rekorde[],23,FALSE)&amp;" ["&amp;_xlfn.RANK.EQ(VLOOKUP(A111,Rekorde[],23,FALSE),Rekorde[GES A],0)&amp;"]","")</f>
        <v>562 [11]</v>
      </c>
      <c r="E114" s="362">
        <f>VLOOKUP(A111,AuswertungA[],3,FALSE)</f>
        <v>5</v>
      </c>
      <c r="F114" s="362" t="str">
        <f>IFERROR(VLOOKUP(A111,AuswertungA[],5,FALSE)&amp;" ["&amp;_xlfn.RANK.EQ(VLOOKUP(A111,AuswertungA[],5,FALSE),AuswertungA[Volle A],0)&amp;"]","")</f>
        <v>356 [13]</v>
      </c>
      <c r="G114" s="362" t="str">
        <f>IFERROR(VLOOKUP(A111,AuswertungA[],6,FALSE)&amp;" ["&amp;_xlfn.RANK.EQ(VLOOKUP(A111,AuswertungA[],6,FALSE),AuswertungA[Räumer A],0)&amp;"]","")</f>
        <v>176 [11]</v>
      </c>
      <c r="H114" s="362" t="str">
        <f>IFERROR(VLOOKUP(A111,AuswertungA[],7,FALSE)&amp;" ["&amp;_xlfn.RANK.EQ(VLOOKUP(A111,AuswertungA[],7,FALSE),AuswertungA[Fehler A],1)&amp;"]","")</f>
        <v>5,2 [6]</v>
      </c>
      <c r="I114" s="363">
        <f>IFERROR(VLOOKUP(A111,AuswertungA[],9,FALSE)/4,"")</f>
        <v>0.625</v>
      </c>
      <c r="J114" s="363">
        <f>VLOOKUP(A111,AuswertungA[],10,FALSE)</f>
        <v>0.8</v>
      </c>
      <c r="K114" s="362">
        <f>VLOOKUP(A111,AuswertungA[],11,FALSE)</f>
        <v>136</v>
      </c>
      <c r="L114" s="362">
        <f>VLOOKUP(A111,AuswertungA[],12,FALSE)</f>
        <v>132</v>
      </c>
      <c r="M114" s="362">
        <f>VLOOKUP(A111,AuswertungA[],13,FALSE)</f>
        <v>130</v>
      </c>
      <c r="N114" s="362">
        <f>VLOOKUP(A111,AuswertungA[],14,FALSE)</f>
        <v>133</v>
      </c>
      <c r="O114" s="362">
        <f>VLOOKUP(A111,AuswertungA[],19,FALSE)</f>
        <v>0.37</v>
      </c>
      <c r="P114" s="362" t="str">
        <f>IFERROR(VLOOKUP(A111,AuswertungA[],22,FALSE)&amp;" ["&amp;_xlfn.RANK.EQ(VLOOKUP(A111,AuswertungA[],22,FALSE),AuswertungA[GEGGES A],0)&amp;"]","")</f>
        <v>519 [18]</v>
      </c>
      <c r="Q114" s="362" t="str">
        <f>VLOOKUP(A111,AuswertungA[],25,FALSE)</f>
        <v>[1][3]</v>
      </c>
      <c r="R114" s="362" t="str">
        <f>IFERROR(VLOOKUP(A111,Rekorde[],24,FALSE)&amp;" ["&amp;_xlfn.RANK.EQ(VLOOKUP(A111,Rekorde[],24,FALSE),Rekorde[Volle A],0)&amp;"]","")</f>
        <v>373 [13]</v>
      </c>
      <c r="S114" s="362" t="str">
        <f>IFERROR(VLOOKUP(A111,Rekorde[],25,FALSE)&amp;" ["&amp;_xlfn.RANK.EQ(VLOOKUP(A111,Rekorde[],25,FALSE),Rekorde[Räumer A],0)&amp;"]","")</f>
        <v>196 [8]</v>
      </c>
    </row>
    <row r="115" spans="1:19" ht="9" customHeight="1" thickBot="1" x14ac:dyDescent="0.35"/>
    <row r="116" spans="1:19" ht="30" customHeight="1" thickBot="1" x14ac:dyDescent="0.35">
      <c r="A116" s="353" t="str">
        <f>VLOOKUP(ROUNDUP(ROW()/4,0),Teamzuordnung[],2,FALSE)</f>
        <v>Markus Unvericht</v>
      </c>
      <c r="B116" s="349" t="s">
        <v>63</v>
      </c>
      <c r="C116" s="347" t="s">
        <v>610</v>
      </c>
      <c r="D116" s="347" t="s">
        <v>605</v>
      </c>
      <c r="E116" s="346" t="s">
        <v>100</v>
      </c>
      <c r="F116" s="346" t="s">
        <v>21</v>
      </c>
      <c r="G116" s="346" t="s">
        <v>22</v>
      </c>
      <c r="H116" s="346" t="s">
        <v>23</v>
      </c>
      <c r="I116" s="346" t="s">
        <v>24</v>
      </c>
      <c r="J116" s="346" t="s">
        <v>25</v>
      </c>
      <c r="K116" s="346" t="s">
        <v>606</v>
      </c>
      <c r="L116" s="346" t="s">
        <v>607</v>
      </c>
      <c r="M116" s="346" t="s">
        <v>608</v>
      </c>
      <c r="N116" s="346" t="s">
        <v>609</v>
      </c>
      <c r="O116" s="346" t="s">
        <v>218</v>
      </c>
      <c r="P116" s="347" t="s">
        <v>611</v>
      </c>
      <c r="Q116" s="347" t="s">
        <v>199</v>
      </c>
      <c r="R116" s="347" t="s">
        <v>603</v>
      </c>
      <c r="S116" s="348" t="s">
        <v>604</v>
      </c>
    </row>
    <row r="117" spans="1:19" ht="30" customHeight="1" thickBot="1" x14ac:dyDescent="0.35">
      <c r="A117" s="350" t="s">
        <v>26</v>
      </c>
      <c r="B117" s="355" t="str">
        <f>IFERROR(VLOOKUP(A116,AuswertungG[],8,FALSE)&amp;" ["&amp;_xlfn.RANK.EQ(VLOOKUP(A116,AuswertungG[],8,FALSE),AuswertungG[GES],0)&amp;"]","")</f>
        <v/>
      </c>
      <c r="C117" s="356">
        <f>VLOOKUP(A116,Vorjahr[],2,FALSE)</f>
        <v>472</v>
      </c>
      <c r="D117" s="356" t="str">
        <f>IFERROR(VLOOKUP(A116,Rekorde[],3,FALSE)&amp;" ["&amp;_xlfn.RANK.EQ(VLOOKUP(A116,Rekorde[],3,FALSE),Rekorde[GES],0)&amp;"]","")</f>
        <v/>
      </c>
      <c r="E117" s="356">
        <f>VLOOKUP(A116,AuswertungG[],3,FALSE)</f>
        <v>0</v>
      </c>
      <c r="F117" s="356" t="str">
        <f>IFERROR(VLOOKUP(A116,AuswertungG[],5,FALSE)&amp;" ["&amp;_xlfn.RANK.EQ(VLOOKUP(A116,AuswertungG[],5,FALSE),AuswertungG[Volle],0)&amp;"]","")</f>
        <v/>
      </c>
      <c r="G117" s="356" t="str">
        <f>IFERROR(VLOOKUP(A116,AuswertungG[],6,FALSE)&amp;" ["&amp;_xlfn.RANK.EQ(VLOOKUP(A116,AuswertungG[],6,FALSE),AuswertungG[Räumer],0)&amp;"]","")</f>
        <v/>
      </c>
      <c r="H117" s="356" t="str">
        <f>IFERROR(VLOOKUP(A116,AuswertungG[],7,FALSE)&amp;" ["&amp;_xlfn.RANK.EQ(VLOOKUP(A116,AuswertungG[],7,FALSE),AuswertungG[Fehler],1)&amp;"]","")</f>
        <v/>
      </c>
      <c r="I117" s="357" t="str">
        <f>IFERROR(VLOOKUP(A116,AuswertungG[],9,FALSE)/4,"")</f>
        <v/>
      </c>
      <c r="J117" s="357" t="str">
        <f>VLOOKUP(A116,AuswertungG[],10,FALSE)</f>
        <v/>
      </c>
      <c r="K117" s="356" t="str">
        <f>VLOOKUP(A116,AuswertungG[],11,FALSE)</f>
        <v/>
      </c>
      <c r="L117" s="356" t="str">
        <f>VLOOKUP(A116,AuswertungG[],12,FALSE)</f>
        <v/>
      </c>
      <c r="M117" s="356" t="str">
        <f>VLOOKUP(A116,AuswertungG[],13,FALSE)</f>
        <v/>
      </c>
      <c r="N117" s="356" t="str">
        <f>VLOOKUP(A116,AuswertungG[],14,FALSE)</f>
        <v/>
      </c>
      <c r="O117" s="356" t="str">
        <f>VLOOKUP(A116,AuswertungG[],19,FALSE)</f>
        <v/>
      </c>
      <c r="P117" s="356" t="str">
        <f>IFERROR(VLOOKUP(A116,AuswertungG[],22,FALSE)&amp;" ["&amp;_xlfn.RANK.EQ(VLOOKUP(A116,AuswertungG[],22,FALSE),AuswertungG[GEGGES],0)&amp;"]","")</f>
        <v/>
      </c>
      <c r="Q117" s="356" t="str">
        <f>VLOOKUP(A116,AuswertungG[],25,FALSE)</f>
        <v/>
      </c>
      <c r="R117" s="356" t="str">
        <f>IFERROR(VLOOKUP(A116,Rekorde[],4,FALSE)&amp;" ["&amp;_xlfn.RANK.EQ(VLOOKUP(A116,Rekorde[],4,FALSE),Rekorde[Volle],0)&amp;"]","")</f>
        <v/>
      </c>
      <c r="S117" s="356" t="str">
        <f>IFERROR(VLOOKUP(A116,Rekorde[],5,FALSE)&amp;" ["&amp;_xlfn.RANK.EQ(VLOOKUP(A116,Rekorde[],5,FALSE),Rekorde[Räumer],0)&amp;"]","")</f>
        <v/>
      </c>
    </row>
    <row r="118" spans="1:19" ht="30" customHeight="1" thickBot="1" x14ac:dyDescent="0.35">
      <c r="A118" s="351" t="s">
        <v>118</v>
      </c>
      <c r="B118" s="358" t="str">
        <f>IFERROR(VLOOKUP(A116,AuswertungH[],8,FALSE)&amp;" ["&amp;_xlfn.RANK.EQ(VLOOKUP(A116,AuswertungH[],8,FALSE),AuswertungH[GES H],0)&amp;"]","")</f>
        <v/>
      </c>
      <c r="C118" s="359">
        <f>VLOOKUP(A116,Vorjahr[],6,FALSE)</f>
        <v>472</v>
      </c>
      <c r="D118" s="359" t="str">
        <f>IFERROR(VLOOKUP(A116,Rekorde[],13,FALSE)&amp;" ["&amp;_xlfn.RANK.EQ(VLOOKUP(A116,Rekorde[],13,FALSE),Rekorde[GES H],0)&amp;"]","")</f>
        <v/>
      </c>
      <c r="E118" s="359">
        <f>VLOOKUP(A116,AuswertungH[],3,FALSE)</f>
        <v>0</v>
      </c>
      <c r="F118" s="359" t="str">
        <f>IFERROR(VLOOKUP(A116,AuswertungG[],5,FALSE)&amp;" ["&amp;_xlfn.RANK.EQ(VLOOKUP(A116,AuswertungH[],5,FALSE),AuswertungH[Volle H],0)&amp;"]","")</f>
        <v/>
      </c>
      <c r="G118" s="359" t="str">
        <f>IFERROR(VLOOKUP(A116,AuswertungH[],6,FALSE)&amp;" ["&amp;_xlfn.RANK.EQ(VLOOKUP(A116,AuswertungH[],6,FALSE),AuswertungH[Räumer H],0)&amp;"]","")</f>
        <v/>
      </c>
      <c r="H118" s="359" t="str">
        <f>IFERROR(VLOOKUP(A116,AuswertungH[],7,FALSE)&amp;" ["&amp;_xlfn.RANK.EQ(VLOOKUP(A116,AuswertungH[],7,FALSE),AuswertungH[Fehler H],1)&amp;"]","")</f>
        <v/>
      </c>
      <c r="I118" s="360" t="str">
        <f>IFERROR(VLOOKUP(A116,AuswertungH[],9,FALSE)/4,"")</f>
        <v/>
      </c>
      <c r="J118" s="360" t="str">
        <f>VLOOKUP(A116,AuswertungH[],10,FALSE)</f>
        <v/>
      </c>
      <c r="K118" s="359" t="str">
        <f>VLOOKUP(A116,AuswertungH[],11,FALSE)</f>
        <v/>
      </c>
      <c r="L118" s="359" t="str">
        <f>VLOOKUP(A116,AuswertungH[],12,FALSE)</f>
        <v/>
      </c>
      <c r="M118" s="359" t="str">
        <f>VLOOKUP(A116,AuswertungH[],13,FALSE)</f>
        <v/>
      </c>
      <c r="N118" s="359" t="str">
        <f>VLOOKUP(A116,AuswertungH[],14,FALSE)</f>
        <v/>
      </c>
      <c r="O118" s="359">
        <f>VLOOKUP(A116,AuswertungH[],19,FALSE)</f>
        <v>0</v>
      </c>
      <c r="P118" s="359" t="str">
        <f>IFERROR(VLOOKUP(A116,AuswertungH[],22,FALSE)&amp;" ["&amp;_xlfn.RANK.EQ(VLOOKUP(A116,AuswertungH[],22,FALSE),AuswertungH[GEGGES H],0)&amp;"]","")</f>
        <v/>
      </c>
      <c r="Q118" s="359" t="str">
        <f>VLOOKUP(A116,AuswertungH[],25,FALSE)</f>
        <v/>
      </c>
      <c r="R118" s="359" t="str">
        <f>IFERROR(VLOOKUP(A116,Rekorde[],14,FALSE)&amp;" ["&amp;_xlfn.RANK.EQ(VLOOKUP(A116,Rekorde[],14,FALSE),Rekorde[Volle H],0)&amp;"]","")</f>
        <v/>
      </c>
      <c r="S118" s="359" t="str">
        <f>IFERROR(VLOOKUP(A116,Rekorde[],15,FALSE)&amp;" ["&amp;_xlfn.RANK.EQ(VLOOKUP(A116,Rekorde[],15,FALSE),Rekorde[Räumer H],0)&amp;"]","")</f>
        <v/>
      </c>
    </row>
    <row r="119" spans="1:19" ht="30" customHeight="1" thickBot="1" x14ac:dyDescent="0.35">
      <c r="A119" s="352" t="s">
        <v>119</v>
      </c>
      <c r="B119" s="361" t="str">
        <f>IFERROR(VLOOKUP(A116,AuswertungA[],8,FALSE)&amp;" ["&amp;_xlfn.RANK.EQ(VLOOKUP(A116,AuswertungA[],8,FALSE),AuswertungA[GES A],0)&amp;"]","")</f>
        <v/>
      </c>
      <c r="C119" s="362">
        <f>VLOOKUP(A116,Vorjahr[],10,FALSE)</f>
        <v>470</v>
      </c>
      <c r="D119" s="362" t="str">
        <f>IFERROR(VLOOKUP(A116,Rekorde[],23,FALSE)&amp;" ["&amp;_xlfn.RANK.EQ(VLOOKUP(A116,Rekorde[],23,FALSE),Rekorde[GES A],0)&amp;"]","")</f>
        <v/>
      </c>
      <c r="E119" s="362">
        <f>VLOOKUP(A116,AuswertungA[],3,FALSE)</f>
        <v>0</v>
      </c>
      <c r="F119" s="362" t="str">
        <f>IFERROR(VLOOKUP(A116,AuswertungA[],5,FALSE)&amp;" ["&amp;_xlfn.RANK.EQ(VLOOKUP(A116,AuswertungA[],5,FALSE),AuswertungA[Volle A],0)&amp;"]","")</f>
        <v/>
      </c>
      <c r="G119" s="362" t="str">
        <f>IFERROR(VLOOKUP(A116,AuswertungA[],6,FALSE)&amp;" ["&amp;_xlfn.RANK.EQ(VLOOKUP(A116,AuswertungA[],6,FALSE),AuswertungA[Räumer A],0)&amp;"]","")</f>
        <v/>
      </c>
      <c r="H119" s="362" t="str">
        <f>IFERROR(VLOOKUP(A116,AuswertungA[],7,FALSE)&amp;" ["&amp;_xlfn.RANK.EQ(VLOOKUP(A116,AuswertungA[],7,FALSE),AuswertungA[Fehler A],1)&amp;"]","")</f>
        <v/>
      </c>
      <c r="I119" s="363" t="str">
        <f>IFERROR(VLOOKUP(A116,AuswertungA[],9,FALSE)/4,"")</f>
        <v/>
      </c>
      <c r="J119" s="363" t="str">
        <f>VLOOKUP(A116,AuswertungA[],10,FALSE)</f>
        <v/>
      </c>
      <c r="K119" s="362" t="str">
        <f>VLOOKUP(A116,AuswertungA[],11,FALSE)</f>
        <v/>
      </c>
      <c r="L119" s="362" t="str">
        <f>VLOOKUP(A116,AuswertungA[],12,FALSE)</f>
        <v/>
      </c>
      <c r="M119" s="362" t="str">
        <f>VLOOKUP(A116,AuswertungA[],13,FALSE)</f>
        <v/>
      </c>
      <c r="N119" s="362" t="str">
        <f>VLOOKUP(A116,AuswertungA[],14,FALSE)</f>
        <v/>
      </c>
      <c r="O119" s="362" t="str">
        <f>VLOOKUP(A116,AuswertungA[],19,FALSE)</f>
        <v/>
      </c>
      <c r="P119" s="362" t="str">
        <f>IFERROR(VLOOKUP(A116,AuswertungA[],22,FALSE)&amp;" ["&amp;_xlfn.RANK.EQ(VLOOKUP(A116,AuswertungA[],22,FALSE),AuswertungA[GEGGES A],0)&amp;"]","")</f>
        <v/>
      </c>
      <c r="Q119" s="362" t="str">
        <f>VLOOKUP(A116,AuswertungA[],25,FALSE)</f>
        <v/>
      </c>
      <c r="R119" s="362" t="str">
        <f>IFERROR(VLOOKUP(A116,Rekorde[],24,FALSE)&amp;" ["&amp;_xlfn.RANK.EQ(VLOOKUP(A116,Rekorde[],24,FALSE),Rekorde[Volle A],0)&amp;"]","")</f>
        <v/>
      </c>
      <c r="S119" s="362" t="str">
        <f>IFERROR(VLOOKUP(A116,Rekorde[],25,FALSE)&amp;" ["&amp;_xlfn.RANK.EQ(VLOOKUP(A116,Rekorde[],25,FALSE),Rekorde[Räumer A],0)&amp;"]","")</f>
        <v/>
      </c>
    </row>
    <row r="120" spans="1:19" ht="30" customHeight="1" thickBot="1" x14ac:dyDescent="0.35"/>
    <row r="121" spans="1:19" ht="30" customHeight="1" thickBot="1" x14ac:dyDescent="0.35">
      <c r="A121" s="353" t="str">
        <f>VLOOKUP(ROUNDUP(ROW()/4,0),Teamzuordnung[],2,FALSE)</f>
        <v>Max Dost</v>
      </c>
      <c r="B121" s="349" t="s">
        <v>63</v>
      </c>
      <c r="C121" s="347" t="s">
        <v>610</v>
      </c>
      <c r="D121" s="347" t="s">
        <v>605</v>
      </c>
      <c r="E121" s="346" t="s">
        <v>100</v>
      </c>
      <c r="F121" s="346" t="s">
        <v>21</v>
      </c>
      <c r="G121" s="346" t="s">
        <v>22</v>
      </c>
      <c r="H121" s="346" t="s">
        <v>23</v>
      </c>
      <c r="I121" s="346" t="s">
        <v>24</v>
      </c>
      <c r="J121" s="346" t="s">
        <v>25</v>
      </c>
      <c r="K121" s="346" t="s">
        <v>606</v>
      </c>
      <c r="L121" s="346" t="s">
        <v>607</v>
      </c>
      <c r="M121" s="346" t="s">
        <v>608</v>
      </c>
      <c r="N121" s="346" t="s">
        <v>609</v>
      </c>
      <c r="O121" s="346" t="s">
        <v>218</v>
      </c>
      <c r="P121" s="347" t="s">
        <v>611</v>
      </c>
      <c r="Q121" s="347" t="s">
        <v>199</v>
      </c>
      <c r="R121" s="347" t="s">
        <v>603</v>
      </c>
      <c r="S121" s="348" t="s">
        <v>604</v>
      </c>
    </row>
    <row r="122" spans="1:19" ht="30" customHeight="1" thickBot="1" x14ac:dyDescent="0.35">
      <c r="A122" s="350" t="s">
        <v>26</v>
      </c>
      <c r="B122" s="355" t="str">
        <f>IFERROR(VLOOKUP(A121,AuswertungG[],8,FALSE)&amp;" ["&amp;_xlfn.RANK.EQ(VLOOKUP(A121,AuswertungG[],8,FALSE),AuswertungG[GES],0)&amp;"]","")</f>
        <v/>
      </c>
      <c r="C122" s="356">
        <f>VLOOKUP(A121,Vorjahr[],2,FALSE)</f>
        <v>416</v>
      </c>
      <c r="D122" s="356" t="str">
        <f>IFERROR(VLOOKUP(A121,Rekorde[],3,FALSE)&amp;" ["&amp;_xlfn.RANK.EQ(VLOOKUP(A121,Rekorde[],3,FALSE),Rekorde[GES],0)&amp;"]","")</f>
        <v/>
      </c>
      <c r="E122" s="356">
        <f>VLOOKUP(A121,AuswertungG[],3,FALSE)</f>
        <v>0</v>
      </c>
      <c r="F122" s="356" t="str">
        <f>IFERROR(VLOOKUP(A121,AuswertungG[],5,FALSE)&amp;" ["&amp;_xlfn.RANK.EQ(VLOOKUP(A121,AuswertungG[],5,FALSE),AuswertungG[Volle],0)&amp;"]","")</f>
        <v/>
      </c>
      <c r="G122" s="356" t="str">
        <f>IFERROR(VLOOKUP(A121,AuswertungG[],6,FALSE)&amp;" ["&amp;_xlfn.RANK.EQ(VLOOKUP(A121,AuswertungG[],6,FALSE),AuswertungG[Räumer],0)&amp;"]","")</f>
        <v/>
      </c>
      <c r="H122" s="356" t="str">
        <f>IFERROR(VLOOKUP(A121,AuswertungG[],7,FALSE)&amp;" ["&amp;_xlfn.RANK.EQ(VLOOKUP(A121,AuswertungG[],7,FALSE),AuswertungG[Fehler],1)&amp;"]","")</f>
        <v/>
      </c>
      <c r="I122" s="357" t="str">
        <f>IFERROR(VLOOKUP(A121,AuswertungG[],9,FALSE)/4,"")</f>
        <v/>
      </c>
      <c r="J122" s="357" t="str">
        <f>VLOOKUP(A121,AuswertungG[],10,FALSE)</f>
        <v/>
      </c>
      <c r="K122" s="356" t="str">
        <f>VLOOKUP(A121,AuswertungG[],11,FALSE)</f>
        <v/>
      </c>
      <c r="L122" s="356" t="str">
        <f>VLOOKUP(A121,AuswertungG[],12,FALSE)</f>
        <v/>
      </c>
      <c r="M122" s="356" t="str">
        <f>VLOOKUP(A121,AuswertungG[],13,FALSE)</f>
        <v/>
      </c>
      <c r="N122" s="356" t="str">
        <f>VLOOKUP(A121,AuswertungG[],14,FALSE)</f>
        <v/>
      </c>
      <c r="O122" s="356" t="str">
        <f>VLOOKUP(A121,AuswertungG[],19,FALSE)</f>
        <v/>
      </c>
      <c r="P122" s="356" t="str">
        <f>IFERROR(VLOOKUP(A121,AuswertungG[],22,FALSE)&amp;" ["&amp;_xlfn.RANK.EQ(VLOOKUP(A121,AuswertungG[],22,FALSE),AuswertungG[GEGGES],0)&amp;"]","")</f>
        <v/>
      </c>
      <c r="Q122" s="356" t="str">
        <f>VLOOKUP(A121,AuswertungG[],25,FALSE)</f>
        <v/>
      </c>
      <c r="R122" s="356" t="str">
        <f>IFERROR(VLOOKUP(A121,Rekorde[],4,FALSE)&amp;" ["&amp;_xlfn.RANK.EQ(VLOOKUP(A121,Rekorde[],4,FALSE),Rekorde[Volle],0)&amp;"]","")</f>
        <v/>
      </c>
      <c r="S122" s="356" t="str">
        <f>IFERROR(VLOOKUP(A121,Rekorde[],5,FALSE)&amp;" ["&amp;_xlfn.RANK.EQ(VLOOKUP(A121,Rekorde[],5,FALSE),Rekorde[Räumer],0)&amp;"]","")</f>
        <v/>
      </c>
    </row>
    <row r="123" spans="1:19" ht="30" customHeight="1" thickBot="1" x14ac:dyDescent="0.35">
      <c r="A123" s="351" t="s">
        <v>118</v>
      </c>
      <c r="B123" s="358" t="str">
        <f>IFERROR(VLOOKUP(A121,AuswertungH[],8,FALSE)&amp;" ["&amp;_xlfn.RANK.EQ(VLOOKUP(A121,AuswertungH[],8,FALSE),AuswertungH[GES H],0)&amp;"]","")</f>
        <v/>
      </c>
      <c r="C123" s="359">
        <f>VLOOKUP(A121,Vorjahr[],6,FALSE)</f>
        <v>416</v>
      </c>
      <c r="D123" s="359" t="str">
        <f>IFERROR(VLOOKUP(A121,Rekorde[],13,FALSE)&amp;" ["&amp;_xlfn.RANK.EQ(VLOOKUP(A121,Rekorde[],13,FALSE),Rekorde[GES H],0)&amp;"]","")</f>
        <v/>
      </c>
      <c r="E123" s="359">
        <f>VLOOKUP(A121,AuswertungH[],3,FALSE)</f>
        <v>0</v>
      </c>
      <c r="F123" s="359" t="str">
        <f>IFERROR(VLOOKUP(A121,AuswertungG[],5,FALSE)&amp;" ["&amp;_xlfn.RANK.EQ(VLOOKUP(A121,AuswertungH[],5,FALSE),AuswertungH[Volle H],0)&amp;"]","")</f>
        <v/>
      </c>
      <c r="G123" s="359" t="str">
        <f>IFERROR(VLOOKUP(A121,AuswertungH[],6,FALSE)&amp;" ["&amp;_xlfn.RANK.EQ(VLOOKUP(A121,AuswertungH[],6,FALSE),AuswertungH[Räumer H],0)&amp;"]","")</f>
        <v/>
      </c>
      <c r="H123" s="359" t="str">
        <f>IFERROR(VLOOKUP(A121,AuswertungH[],7,FALSE)&amp;" ["&amp;_xlfn.RANK.EQ(VLOOKUP(A121,AuswertungH[],7,FALSE),AuswertungH[Fehler H],1)&amp;"]","")</f>
        <v/>
      </c>
      <c r="I123" s="360" t="str">
        <f>IFERROR(VLOOKUP(A121,AuswertungH[],9,FALSE)/4,"")</f>
        <v/>
      </c>
      <c r="J123" s="360" t="str">
        <f>VLOOKUP(A121,AuswertungH[],10,FALSE)</f>
        <v/>
      </c>
      <c r="K123" s="359" t="str">
        <f>VLOOKUP(A121,AuswertungH[],11,FALSE)</f>
        <v/>
      </c>
      <c r="L123" s="359" t="str">
        <f>VLOOKUP(A121,AuswertungH[],12,FALSE)</f>
        <v/>
      </c>
      <c r="M123" s="359" t="str">
        <f>VLOOKUP(A121,AuswertungH[],13,FALSE)</f>
        <v/>
      </c>
      <c r="N123" s="359" t="str">
        <f>VLOOKUP(A121,AuswertungH[],14,FALSE)</f>
        <v/>
      </c>
      <c r="O123" s="359">
        <f>VLOOKUP(A121,AuswertungH[],19,FALSE)</f>
        <v>0</v>
      </c>
      <c r="P123" s="359" t="str">
        <f>IFERROR(VLOOKUP(A121,AuswertungH[],22,FALSE)&amp;" ["&amp;_xlfn.RANK.EQ(VLOOKUP(A121,AuswertungH[],22,FALSE),AuswertungH[GEGGES H],0)&amp;"]","")</f>
        <v/>
      </c>
      <c r="Q123" s="359" t="str">
        <f>VLOOKUP(A121,AuswertungH[],25,FALSE)</f>
        <v/>
      </c>
      <c r="R123" s="359" t="str">
        <f>IFERROR(VLOOKUP(A121,Rekorde[],14,FALSE)&amp;" ["&amp;_xlfn.RANK.EQ(VLOOKUP(A121,Rekorde[],14,FALSE),Rekorde[Volle H],0)&amp;"]","")</f>
        <v/>
      </c>
      <c r="S123" s="359" t="str">
        <f>IFERROR(VLOOKUP(A121,Rekorde[],15,FALSE)&amp;" ["&amp;_xlfn.RANK.EQ(VLOOKUP(A121,Rekorde[],15,FALSE),Rekorde[Räumer H],0)&amp;"]","")</f>
        <v/>
      </c>
    </row>
    <row r="124" spans="1:19" ht="30" customHeight="1" thickBot="1" x14ac:dyDescent="0.35">
      <c r="A124" s="352" t="s">
        <v>119</v>
      </c>
      <c r="B124" s="361" t="str">
        <f>IFERROR(VLOOKUP(A121,AuswertungA[],8,FALSE)&amp;" ["&amp;_xlfn.RANK.EQ(VLOOKUP(A121,AuswertungA[],8,FALSE),AuswertungA[GES A],0)&amp;"]","")</f>
        <v/>
      </c>
      <c r="C124" s="362" t="str">
        <f>VLOOKUP(A121,Vorjahr[],10,FALSE)</f>
        <v/>
      </c>
      <c r="D124" s="362" t="str">
        <f>IFERROR(VLOOKUP(A121,Rekorde[],23,FALSE)&amp;" ["&amp;_xlfn.RANK.EQ(VLOOKUP(A121,Rekorde[],23,FALSE),Rekorde[GES A],0)&amp;"]","")</f>
        <v/>
      </c>
      <c r="E124" s="362">
        <f>VLOOKUP(A121,AuswertungA[],3,FALSE)</f>
        <v>0</v>
      </c>
      <c r="F124" s="362" t="str">
        <f>IFERROR(VLOOKUP(A121,AuswertungA[],5,FALSE)&amp;" ["&amp;_xlfn.RANK.EQ(VLOOKUP(A121,AuswertungA[],5,FALSE),AuswertungA[Volle A],0)&amp;"]","")</f>
        <v/>
      </c>
      <c r="G124" s="362" t="str">
        <f>IFERROR(VLOOKUP(A121,AuswertungA[],6,FALSE)&amp;" ["&amp;_xlfn.RANK.EQ(VLOOKUP(A121,AuswertungA[],6,FALSE),AuswertungA[Räumer A],0)&amp;"]","")</f>
        <v/>
      </c>
      <c r="H124" s="362" t="str">
        <f>IFERROR(VLOOKUP(A121,AuswertungA[],7,FALSE)&amp;" ["&amp;_xlfn.RANK.EQ(VLOOKUP(A121,AuswertungA[],7,FALSE),AuswertungA[Fehler A],1)&amp;"]","")</f>
        <v/>
      </c>
      <c r="I124" s="363" t="str">
        <f>IFERROR(VLOOKUP(A121,AuswertungA[],9,FALSE)/4,"")</f>
        <v/>
      </c>
      <c r="J124" s="363" t="str">
        <f>VLOOKUP(A121,AuswertungA[],10,FALSE)</f>
        <v/>
      </c>
      <c r="K124" s="362" t="str">
        <f>VLOOKUP(A121,AuswertungA[],11,FALSE)</f>
        <v/>
      </c>
      <c r="L124" s="362" t="str">
        <f>VLOOKUP(A121,AuswertungA[],12,FALSE)</f>
        <v/>
      </c>
      <c r="M124" s="362" t="str">
        <f>VLOOKUP(A121,AuswertungA[],13,FALSE)</f>
        <v/>
      </c>
      <c r="N124" s="362" t="str">
        <f>VLOOKUP(A121,AuswertungA[],14,FALSE)</f>
        <v/>
      </c>
      <c r="O124" s="362" t="str">
        <f>VLOOKUP(A121,AuswertungA[],19,FALSE)</f>
        <v/>
      </c>
      <c r="P124" s="362" t="str">
        <f>IFERROR(VLOOKUP(A121,AuswertungA[],22,FALSE)&amp;" ["&amp;_xlfn.RANK.EQ(VLOOKUP(A121,AuswertungA[],22,FALSE),AuswertungA[GEGGES A],0)&amp;"]","")</f>
        <v/>
      </c>
      <c r="Q124" s="362" t="str">
        <f>VLOOKUP(A121,AuswertungA[],25,FALSE)</f>
        <v/>
      </c>
      <c r="R124" s="362" t="str">
        <f>IFERROR(VLOOKUP(A121,Rekorde[],24,FALSE)&amp;" ["&amp;_xlfn.RANK.EQ(VLOOKUP(A121,Rekorde[],24,FALSE),Rekorde[Volle A],0)&amp;"]","")</f>
        <v/>
      </c>
      <c r="S124" s="362" t="str">
        <f>IFERROR(VLOOKUP(A121,Rekorde[],25,FALSE)&amp;" ["&amp;_xlfn.RANK.EQ(VLOOKUP(A121,Rekorde[],25,FALSE),Rekorde[Räumer A],0)&amp;"]","")</f>
        <v/>
      </c>
    </row>
    <row r="125" spans="1:19" ht="30" customHeight="1" thickBot="1" x14ac:dyDescent="0.35"/>
    <row r="126" spans="1:19" ht="30" customHeight="1" thickBot="1" x14ac:dyDescent="0.35">
      <c r="A126" s="353" t="str">
        <f>VLOOKUP(ROUNDUP(ROW()/4,0),Teamzuordnung[],2,FALSE)</f>
        <v>Michael Becker</v>
      </c>
      <c r="B126" s="349" t="s">
        <v>63</v>
      </c>
      <c r="C126" s="347" t="s">
        <v>610</v>
      </c>
      <c r="D126" s="347" t="s">
        <v>605</v>
      </c>
      <c r="E126" s="346" t="s">
        <v>100</v>
      </c>
      <c r="F126" s="346" t="s">
        <v>21</v>
      </c>
      <c r="G126" s="346" t="s">
        <v>22</v>
      </c>
      <c r="H126" s="346" t="s">
        <v>23</v>
      </c>
      <c r="I126" s="346" t="s">
        <v>24</v>
      </c>
      <c r="J126" s="346" t="s">
        <v>25</v>
      </c>
      <c r="K126" s="346" t="s">
        <v>606</v>
      </c>
      <c r="L126" s="346" t="s">
        <v>607</v>
      </c>
      <c r="M126" s="346" t="s">
        <v>608</v>
      </c>
      <c r="N126" s="346" t="s">
        <v>609</v>
      </c>
      <c r="O126" s="346" t="s">
        <v>218</v>
      </c>
      <c r="P126" s="347" t="s">
        <v>611</v>
      </c>
      <c r="Q126" s="347" t="s">
        <v>199</v>
      </c>
      <c r="R126" s="347" t="s">
        <v>603</v>
      </c>
      <c r="S126" s="348" t="s">
        <v>604</v>
      </c>
    </row>
    <row r="127" spans="1:19" ht="30" customHeight="1" thickBot="1" x14ac:dyDescent="0.35">
      <c r="A127" s="350" t="s">
        <v>26</v>
      </c>
      <c r="B127" s="355" t="str">
        <f>IFERROR(VLOOKUP(A126,AuswertungG[],8,FALSE)&amp;" ["&amp;_xlfn.RANK.EQ(VLOOKUP(A126,AuswertungG[],8,FALSE),AuswertungG[GES],0)&amp;"]","")</f>
        <v>494 [29]</v>
      </c>
      <c r="C127" s="356">
        <f>VLOOKUP(A126,Vorjahr[],2,FALSE)</f>
        <v>509</v>
      </c>
      <c r="D127" s="356" t="str">
        <f>IFERROR(VLOOKUP(A126,Rekorde[],3,FALSE)&amp;" ["&amp;_xlfn.RANK.EQ(VLOOKUP(A126,Rekorde[],3,FALSE),Rekorde[GES],0)&amp;"]","")</f>
        <v>494 [31]</v>
      </c>
      <c r="E127" s="356">
        <f>VLOOKUP(A126,AuswertungG[],3,FALSE)</f>
        <v>1</v>
      </c>
      <c r="F127" s="356" t="str">
        <f>IFERROR(VLOOKUP(A126,AuswertungG[],5,FALSE)&amp;" ["&amp;_xlfn.RANK.EQ(VLOOKUP(A126,AuswertungG[],5,FALSE),AuswertungG[Volle],0)&amp;"]","")</f>
        <v>341 [30]</v>
      </c>
      <c r="G127" s="356" t="str">
        <f>IFERROR(VLOOKUP(A126,AuswertungG[],6,FALSE)&amp;" ["&amp;_xlfn.RANK.EQ(VLOOKUP(A126,AuswertungG[],6,FALSE),AuswertungG[Räumer],0)&amp;"]","")</f>
        <v>153 [26]</v>
      </c>
      <c r="H127" s="356" t="str">
        <f>IFERROR(VLOOKUP(A126,AuswertungG[],7,FALSE)&amp;" ["&amp;_xlfn.RANK.EQ(VLOOKUP(A126,AuswertungG[],7,FALSE),AuswertungG[Fehler],1)&amp;"]","")</f>
        <v>10 [25]</v>
      </c>
      <c r="I127" s="357">
        <f>IFERROR(VLOOKUP(A126,AuswertungG[],9,FALSE)/4,"")</f>
        <v>0.5</v>
      </c>
      <c r="J127" s="357">
        <f>VLOOKUP(A126,AuswertungG[],10,FALSE)</f>
        <v>1</v>
      </c>
      <c r="K127" s="356">
        <f>VLOOKUP(A126,AuswertungG[],11,FALSE)</f>
        <v>123</v>
      </c>
      <c r="L127" s="356">
        <f>VLOOKUP(A126,AuswertungG[],12,FALSE)</f>
        <v>131</v>
      </c>
      <c r="M127" s="356">
        <f>VLOOKUP(A126,AuswertungG[],13,FALSE)</f>
        <v>124</v>
      </c>
      <c r="N127" s="356">
        <f>VLOOKUP(A126,AuswertungG[],14,FALSE)</f>
        <v>124</v>
      </c>
      <c r="O127" s="356" t="str">
        <f>VLOOKUP(A126,AuswertungG[],19,FALSE)</f>
        <v/>
      </c>
      <c r="P127" s="356" t="str">
        <f>IFERROR(VLOOKUP(A126,AuswertungG[],22,FALSE)&amp;" ["&amp;_xlfn.RANK.EQ(VLOOKUP(A126,AuswertungG[],22,FALSE),AuswertungG[GEGGES],0)&amp;"]","")</f>
        <v>480 [27]</v>
      </c>
      <c r="Q127" s="356" t="str">
        <f>VLOOKUP(A126,AuswertungG[],25,FALSE)</f>
        <v>[5]</v>
      </c>
      <c r="R127" s="356" t="str">
        <f>IFERROR(VLOOKUP(A126,Rekorde[],4,FALSE)&amp;" ["&amp;_xlfn.RANK.EQ(VLOOKUP(A126,Rekorde[],4,FALSE),Rekorde[Volle],0)&amp;"]","")</f>
        <v>341 [32]</v>
      </c>
      <c r="S127" s="356" t="str">
        <f>IFERROR(VLOOKUP(A126,Rekorde[],5,FALSE)&amp;" ["&amp;_xlfn.RANK.EQ(VLOOKUP(A126,Rekorde[],5,FALSE),Rekorde[Räumer],0)&amp;"]","")</f>
        <v>153 [30]</v>
      </c>
    </row>
    <row r="128" spans="1:19" ht="30" customHeight="1" thickBot="1" x14ac:dyDescent="0.35">
      <c r="A128" s="351" t="s">
        <v>118</v>
      </c>
      <c r="B128" s="358" t="str">
        <f>IFERROR(VLOOKUP(A126,AuswertungH[],8,FALSE)&amp;" ["&amp;_xlfn.RANK.EQ(VLOOKUP(A126,AuswertungH[],8,FALSE),AuswertungH[GES H],0)&amp;"]","")</f>
        <v>494 [24]</v>
      </c>
      <c r="C128" s="359">
        <f>VLOOKUP(A126,Vorjahr[],6,FALSE)</f>
        <v>499</v>
      </c>
      <c r="D128" s="359" t="str">
        <f>IFERROR(VLOOKUP(A126,Rekorde[],13,FALSE)&amp;" ["&amp;_xlfn.RANK.EQ(VLOOKUP(A126,Rekorde[],13,FALSE),Rekorde[GES H],0)&amp;"]","")</f>
        <v>494 [25]</v>
      </c>
      <c r="E128" s="359">
        <f>VLOOKUP(A126,AuswertungH[],3,FALSE)</f>
        <v>1</v>
      </c>
      <c r="F128" s="359" t="str">
        <f>IFERROR(VLOOKUP(A126,AuswertungG[],5,FALSE)&amp;" ["&amp;_xlfn.RANK.EQ(VLOOKUP(A126,AuswertungH[],5,FALSE),AuswertungH[Volle H],0)&amp;"]","")</f>
        <v>341 [24]</v>
      </c>
      <c r="G128" s="359" t="str">
        <f>IFERROR(VLOOKUP(A126,AuswertungH[],6,FALSE)&amp;" ["&amp;_xlfn.RANK.EQ(VLOOKUP(A126,AuswertungH[],6,FALSE),AuswertungH[Räumer H],0)&amp;"]","")</f>
        <v>153 [23]</v>
      </c>
      <c r="H128" s="359" t="str">
        <f>IFERROR(VLOOKUP(A126,AuswertungH[],7,FALSE)&amp;" ["&amp;_xlfn.RANK.EQ(VLOOKUP(A126,AuswertungH[],7,FALSE),AuswertungH[Fehler H],1)&amp;"]","")</f>
        <v>10 [22]</v>
      </c>
      <c r="I128" s="360">
        <f>IFERROR(VLOOKUP(A126,AuswertungH[],9,FALSE)/4,"")</f>
        <v>0.5</v>
      </c>
      <c r="J128" s="360">
        <f>VLOOKUP(A126,AuswertungH[],10,FALSE)</f>
        <v>1</v>
      </c>
      <c r="K128" s="359">
        <f>VLOOKUP(A126,AuswertungH[],11,FALSE)</f>
        <v>123</v>
      </c>
      <c r="L128" s="359">
        <f>VLOOKUP(A126,AuswertungH[],12,FALSE)</f>
        <v>131</v>
      </c>
      <c r="M128" s="359">
        <f>VLOOKUP(A126,AuswertungH[],13,FALSE)</f>
        <v>124</v>
      </c>
      <c r="N128" s="359">
        <f>VLOOKUP(A126,AuswertungH[],14,FALSE)</f>
        <v>116</v>
      </c>
      <c r="O128" s="359">
        <f>VLOOKUP(A126,AuswertungH[],19,FALSE)</f>
        <v>0</v>
      </c>
      <c r="P128" s="359" t="str">
        <f>IFERROR(VLOOKUP(A126,AuswertungH[],22,FALSE)&amp;" ["&amp;_xlfn.RANK.EQ(VLOOKUP(A126,AuswertungH[],22,FALSE),AuswertungH[GEGGES H],0)&amp;"]","")</f>
        <v>480 [19]</v>
      </c>
      <c r="Q128" s="359" t="str">
        <f>VLOOKUP(A126,AuswertungH[],25,FALSE)</f>
        <v>[5]</v>
      </c>
      <c r="R128" s="359" t="str">
        <f>IFERROR(VLOOKUP(A126,Rekorde[],14,FALSE)&amp;" ["&amp;_xlfn.RANK.EQ(VLOOKUP(A126,Rekorde[],14,FALSE),Rekorde[Volle H],0)&amp;"]","")</f>
        <v>341 [27]</v>
      </c>
      <c r="S128" s="359" t="str">
        <f>IFERROR(VLOOKUP(A126,Rekorde[],15,FALSE)&amp;" ["&amp;_xlfn.RANK.EQ(VLOOKUP(A126,Rekorde[],15,FALSE),Rekorde[Räumer H],0)&amp;"]","")</f>
        <v>153 [25]</v>
      </c>
    </row>
    <row r="129" spans="1:19" ht="30" customHeight="1" thickBot="1" x14ac:dyDescent="0.35">
      <c r="A129" s="352" t="s">
        <v>119</v>
      </c>
      <c r="B129" s="361" t="str">
        <f>IFERROR(VLOOKUP(A126,AuswertungA[],8,FALSE)&amp;" ["&amp;_xlfn.RANK.EQ(VLOOKUP(A126,AuswertungA[],8,FALSE),AuswertungA[GES A],0)&amp;"]","")</f>
        <v/>
      </c>
      <c r="C129" s="362">
        <f>VLOOKUP(A126,Vorjahr[],10,FALSE)</f>
        <v>522</v>
      </c>
      <c r="D129" s="362" t="str">
        <f>IFERROR(VLOOKUP(A126,Rekorde[],23,FALSE)&amp;" ["&amp;_xlfn.RANK.EQ(VLOOKUP(A126,Rekorde[],23,FALSE),Rekorde[GES A],0)&amp;"]","")</f>
        <v/>
      </c>
      <c r="E129" s="362">
        <f>VLOOKUP(A126,AuswertungA[],3,FALSE)</f>
        <v>0</v>
      </c>
      <c r="F129" s="362" t="str">
        <f>IFERROR(VLOOKUP(A126,AuswertungA[],5,FALSE)&amp;" ["&amp;_xlfn.RANK.EQ(VLOOKUP(A126,AuswertungA[],5,FALSE),AuswertungA[Volle A],0)&amp;"]","")</f>
        <v/>
      </c>
      <c r="G129" s="362" t="str">
        <f>IFERROR(VLOOKUP(A126,AuswertungA[],6,FALSE)&amp;" ["&amp;_xlfn.RANK.EQ(VLOOKUP(A126,AuswertungA[],6,FALSE),AuswertungA[Räumer A],0)&amp;"]","")</f>
        <v/>
      </c>
      <c r="H129" s="362" t="str">
        <f>IFERROR(VLOOKUP(A126,AuswertungA[],7,FALSE)&amp;" ["&amp;_xlfn.RANK.EQ(VLOOKUP(A126,AuswertungA[],7,FALSE),AuswertungA[Fehler A],1)&amp;"]","")</f>
        <v/>
      </c>
      <c r="I129" s="363" t="str">
        <f>IFERROR(VLOOKUP(A126,AuswertungA[],9,FALSE)/4,"")</f>
        <v/>
      </c>
      <c r="J129" s="363" t="str">
        <f>VLOOKUP(A126,AuswertungA[],10,FALSE)</f>
        <v/>
      </c>
      <c r="K129" s="362" t="str">
        <f>VLOOKUP(A126,AuswertungA[],11,FALSE)</f>
        <v/>
      </c>
      <c r="L129" s="362" t="str">
        <f>VLOOKUP(A126,AuswertungA[],12,FALSE)</f>
        <v/>
      </c>
      <c r="M129" s="362" t="str">
        <f>VLOOKUP(A126,AuswertungA[],13,FALSE)</f>
        <v/>
      </c>
      <c r="N129" s="362" t="str">
        <f>VLOOKUP(A126,AuswertungA[],14,FALSE)</f>
        <v/>
      </c>
      <c r="O129" s="362" t="str">
        <f>VLOOKUP(A126,AuswertungA[],19,FALSE)</f>
        <v/>
      </c>
      <c r="P129" s="362" t="str">
        <f>IFERROR(VLOOKUP(A126,AuswertungA[],22,FALSE)&amp;" ["&amp;_xlfn.RANK.EQ(VLOOKUP(A126,AuswertungA[],22,FALSE),AuswertungA[GEGGES A],0)&amp;"]","")</f>
        <v/>
      </c>
      <c r="Q129" s="362" t="str">
        <f>VLOOKUP(A126,AuswertungA[],25,FALSE)</f>
        <v/>
      </c>
      <c r="R129" s="362" t="str">
        <f>IFERROR(VLOOKUP(A126,Rekorde[],24,FALSE)&amp;" ["&amp;_xlfn.RANK.EQ(VLOOKUP(A126,Rekorde[],24,FALSE),Rekorde[Volle A],0)&amp;"]","")</f>
        <v/>
      </c>
      <c r="S129" s="362" t="str">
        <f>IFERROR(VLOOKUP(A126,Rekorde[],25,FALSE)&amp;" ["&amp;_xlfn.RANK.EQ(VLOOKUP(A126,Rekorde[],25,FALSE),Rekorde[Räumer A],0)&amp;"]","")</f>
        <v/>
      </c>
    </row>
    <row r="130" spans="1:19" ht="30" customHeight="1" thickBot="1" x14ac:dyDescent="0.35"/>
    <row r="131" spans="1:19" ht="30" customHeight="1" thickBot="1" x14ac:dyDescent="0.35">
      <c r="A131" s="353" t="str">
        <f>VLOOKUP(ROUNDUP(ROW()/4,0),Teamzuordnung[],2,FALSE)</f>
        <v>Michael Klose</v>
      </c>
      <c r="B131" s="349" t="s">
        <v>63</v>
      </c>
      <c r="C131" s="347" t="s">
        <v>610</v>
      </c>
      <c r="D131" s="347" t="s">
        <v>605</v>
      </c>
      <c r="E131" s="346" t="s">
        <v>100</v>
      </c>
      <c r="F131" s="346" t="s">
        <v>21</v>
      </c>
      <c r="G131" s="346" t="s">
        <v>22</v>
      </c>
      <c r="H131" s="346" t="s">
        <v>23</v>
      </c>
      <c r="I131" s="346" t="s">
        <v>24</v>
      </c>
      <c r="J131" s="346" t="s">
        <v>25</v>
      </c>
      <c r="K131" s="346" t="s">
        <v>606</v>
      </c>
      <c r="L131" s="346" t="s">
        <v>607</v>
      </c>
      <c r="M131" s="346" t="s">
        <v>608</v>
      </c>
      <c r="N131" s="346" t="s">
        <v>609</v>
      </c>
      <c r="O131" s="346" t="s">
        <v>218</v>
      </c>
      <c r="P131" s="347" t="s">
        <v>611</v>
      </c>
      <c r="Q131" s="347" t="s">
        <v>199</v>
      </c>
      <c r="R131" s="347" t="s">
        <v>603</v>
      </c>
      <c r="S131" s="348" t="s">
        <v>604</v>
      </c>
    </row>
    <row r="132" spans="1:19" ht="30" customHeight="1" thickBot="1" x14ac:dyDescent="0.35">
      <c r="A132" s="350" t="s">
        <v>26</v>
      </c>
      <c r="B132" s="355" t="str">
        <f>IFERROR(VLOOKUP(A131,AuswertungG[],8,FALSE)&amp;" ["&amp;_xlfn.RANK.EQ(VLOOKUP(A131,AuswertungG[],8,FALSE),AuswertungG[GES],0)&amp;"]","")</f>
        <v/>
      </c>
      <c r="C132" s="356">
        <f>VLOOKUP(A131,Vorjahr[],2,FALSE)</f>
        <v>414</v>
      </c>
      <c r="D132" s="356" t="str">
        <f>IFERROR(VLOOKUP(A131,Rekorde[],3,FALSE)&amp;" ["&amp;_xlfn.RANK.EQ(VLOOKUP(A131,Rekorde[],3,FALSE),Rekorde[GES],0)&amp;"]","")</f>
        <v/>
      </c>
      <c r="E132" s="356">
        <f>VLOOKUP(A131,AuswertungG[],3,FALSE)</f>
        <v>0</v>
      </c>
      <c r="F132" s="356" t="str">
        <f>IFERROR(VLOOKUP(A131,AuswertungG[],5,FALSE)&amp;" ["&amp;_xlfn.RANK.EQ(VLOOKUP(A131,AuswertungG[],5,FALSE),AuswertungG[Volle],0)&amp;"]","")</f>
        <v/>
      </c>
      <c r="G132" s="356" t="str">
        <f>IFERROR(VLOOKUP(A131,AuswertungG[],6,FALSE)&amp;" ["&amp;_xlfn.RANK.EQ(VLOOKUP(A131,AuswertungG[],6,FALSE),AuswertungG[Räumer],0)&amp;"]","")</f>
        <v/>
      </c>
      <c r="H132" s="356" t="str">
        <f>IFERROR(VLOOKUP(A131,AuswertungG[],7,FALSE)&amp;" ["&amp;_xlfn.RANK.EQ(VLOOKUP(A131,AuswertungG[],7,FALSE),AuswertungG[Fehler],1)&amp;"]","")</f>
        <v/>
      </c>
      <c r="I132" s="357" t="str">
        <f>IFERROR(VLOOKUP(A131,AuswertungG[],9,FALSE)/4,"")</f>
        <v/>
      </c>
      <c r="J132" s="357" t="str">
        <f>VLOOKUP(A131,AuswertungG[],10,FALSE)</f>
        <v/>
      </c>
      <c r="K132" s="356" t="str">
        <f>VLOOKUP(A131,AuswertungG[],11,FALSE)</f>
        <v/>
      </c>
      <c r="L132" s="356" t="str">
        <f>VLOOKUP(A131,AuswertungG[],12,FALSE)</f>
        <v/>
      </c>
      <c r="M132" s="356" t="str">
        <f>VLOOKUP(A131,AuswertungG[],13,FALSE)</f>
        <v/>
      </c>
      <c r="N132" s="356" t="str">
        <f>VLOOKUP(A131,AuswertungG[],14,FALSE)</f>
        <v/>
      </c>
      <c r="O132" s="356" t="str">
        <f>VLOOKUP(A131,AuswertungG[],19,FALSE)</f>
        <v/>
      </c>
      <c r="P132" s="356" t="str">
        <f>IFERROR(VLOOKUP(A131,AuswertungG[],22,FALSE)&amp;" ["&amp;_xlfn.RANK.EQ(VLOOKUP(A131,AuswertungG[],22,FALSE),AuswertungG[GEGGES],0)&amp;"]","")</f>
        <v/>
      </c>
      <c r="Q132" s="356" t="str">
        <f>VLOOKUP(A131,AuswertungG[],25,FALSE)</f>
        <v/>
      </c>
      <c r="R132" s="356" t="str">
        <f>IFERROR(VLOOKUP(A131,Rekorde[],4,FALSE)&amp;" ["&amp;_xlfn.RANK.EQ(VLOOKUP(A131,Rekorde[],4,FALSE),Rekorde[Volle],0)&amp;"]","")</f>
        <v/>
      </c>
      <c r="S132" s="356" t="str">
        <f>IFERROR(VLOOKUP(A131,Rekorde[],5,FALSE)&amp;" ["&amp;_xlfn.RANK.EQ(VLOOKUP(A131,Rekorde[],5,FALSE),Rekorde[Räumer],0)&amp;"]","")</f>
        <v/>
      </c>
    </row>
    <row r="133" spans="1:19" ht="30" customHeight="1" thickBot="1" x14ac:dyDescent="0.35">
      <c r="A133" s="351" t="s">
        <v>118</v>
      </c>
      <c r="B133" s="358" t="str">
        <f>IFERROR(VLOOKUP(A131,AuswertungH[],8,FALSE)&amp;" ["&amp;_xlfn.RANK.EQ(VLOOKUP(A131,AuswertungH[],8,FALSE),AuswertungH[GES H],0)&amp;"]","")</f>
        <v/>
      </c>
      <c r="C133" s="359" t="str">
        <f>VLOOKUP(A131,Vorjahr[],6,FALSE)</f>
        <v/>
      </c>
      <c r="D133" s="359" t="str">
        <f>IFERROR(VLOOKUP(A131,Rekorde[],13,FALSE)&amp;" ["&amp;_xlfn.RANK.EQ(VLOOKUP(A131,Rekorde[],13,FALSE),Rekorde[GES H],0)&amp;"]","")</f>
        <v/>
      </c>
      <c r="E133" s="359">
        <f>VLOOKUP(A131,AuswertungH[],3,FALSE)</f>
        <v>0</v>
      </c>
      <c r="F133" s="359" t="str">
        <f>IFERROR(VLOOKUP(A131,AuswertungG[],5,FALSE)&amp;" ["&amp;_xlfn.RANK.EQ(VLOOKUP(A131,AuswertungH[],5,FALSE),AuswertungH[Volle H],0)&amp;"]","")</f>
        <v/>
      </c>
      <c r="G133" s="359" t="str">
        <f>IFERROR(VLOOKUP(A131,AuswertungH[],6,FALSE)&amp;" ["&amp;_xlfn.RANK.EQ(VLOOKUP(A131,AuswertungH[],6,FALSE),AuswertungH[Räumer H],0)&amp;"]","")</f>
        <v/>
      </c>
      <c r="H133" s="359" t="str">
        <f>IFERROR(VLOOKUP(A131,AuswertungH[],7,FALSE)&amp;" ["&amp;_xlfn.RANK.EQ(VLOOKUP(A131,AuswertungH[],7,FALSE),AuswertungH[Fehler H],1)&amp;"]","")</f>
        <v/>
      </c>
      <c r="I133" s="360" t="str">
        <f>IFERROR(VLOOKUP(A131,AuswertungH[],9,FALSE)/4,"")</f>
        <v/>
      </c>
      <c r="J133" s="360" t="str">
        <f>VLOOKUP(A131,AuswertungH[],10,FALSE)</f>
        <v/>
      </c>
      <c r="K133" s="359" t="str">
        <f>VLOOKUP(A131,AuswertungH[],11,FALSE)</f>
        <v/>
      </c>
      <c r="L133" s="359" t="str">
        <f>VLOOKUP(A131,AuswertungH[],12,FALSE)</f>
        <v/>
      </c>
      <c r="M133" s="359" t="str">
        <f>VLOOKUP(A131,AuswertungH[],13,FALSE)</f>
        <v/>
      </c>
      <c r="N133" s="359" t="str">
        <f>VLOOKUP(A131,AuswertungH[],14,FALSE)</f>
        <v/>
      </c>
      <c r="O133" s="359">
        <f>VLOOKUP(A131,AuswertungH[],19,FALSE)</f>
        <v>0</v>
      </c>
      <c r="P133" s="359" t="str">
        <f>IFERROR(VLOOKUP(A131,AuswertungH[],22,FALSE)&amp;" ["&amp;_xlfn.RANK.EQ(VLOOKUP(A131,AuswertungH[],22,FALSE),AuswertungH[GEGGES H],0)&amp;"]","")</f>
        <v/>
      </c>
      <c r="Q133" s="359" t="str">
        <f>VLOOKUP(A131,AuswertungH[],25,FALSE)</f>
        <v/>
      </c>
      <c r="R133" s="359" t="str">
        <f>IFERROR(VLOOKUP(A131,Rekorde[],14,FALSE)&amp;" ["&amp;_xlfn.RANK.EQ(VLOOKUP(A131,Rekorde[],14,FALSE),Rekorde[Volle H],0)&amp;"]","")</f>
        <v/>
      </c>
      <c r="S133" s="359" t="str">
        <f>IFERROR(VLOOKUP(A131,Rekorde[],15,FALSE)&amp;" ["&amp;_xlfn.RANK.EQ(VLOOKUP(A131,Rekorde[],15,FALSE),Rekorde[Räumer H],0)&amp;"]","")</f>
        <v/>
      </c>
    </row>
    <row r="134" spans="1:19" ht="30" customHeight="1" thickBot="1" x14ac:dyDescent="0.35">
      <c r="A134" s="352" t="s">
        <v>119</v>
      </c>
      <c r="B134" s="361" t="str">
        <f>IFERROR(VLOOKUP(A131,AuswertungA[],8,FALSE)&amp;" ["&amp;_xlfn.RANK.EQ(VLOOKUP(A131,AuswertungA[],8,FALSE),AuswertungA[GES A],0)&amp;"]","")</f>
        <v/>
      </c>
      <c r="C134" s="362">
        <f>VLOOKUP(A131,Vorjahr[],10,FALSE)</f>
        <v>414</v>
      </c>
      <c r="D134" s="362" t="str">
        <f>IFERROR(VLOOKUP(A131,Rekorde[],23,FALSE)&amp;" ["&amp;_xlfn.RANK.EQ(VLOOKUP(A131,Rekorde[],23,FALSE),Rekorde[GES A],0)&amp;"]","")</f>
        <v/>
      </c>
      <c r="E134" s="362">
        <f>VLOOKUP(A131,AuswertungA[],3,FALSE)</f>
        <v>0</v>
      </c>
      <c r="F134" s="362" t="str">
        <f>IFERROR(VLOOKUP(A131,AuswertungA[],5,FALSE)&amp;" ["&amp;_xlfn.RANK.EQ(VLOOKUP(A131,AuswertungA[],5,FALSE),AuswertungA[Volle A],0)&amp;"]","")</f>
        <v/>
      </c>
      <c r="G134" s="362" t="str">
        <f>IFERROR(VLOOKUP(A131,AuswertungA[],6,FALSE)&amp;" ["&amp;_xlfn.RANK.EQ(VLOOKUP(A131,AuswertungA[],6,FALSE),AuswertungA[Räumer A],0)&amp;"]","")</f>
        <v/>
      </c>
      <c r="H134" s="362" t="str">
        <f>IFERROR(VLOOKUP(A131,AuswertungA[],7,FALSE)&amp;" ["&amp;_xlfn.RANK.EQ(VLOOKUP(A131,AuswertungA[],7,FALSE),AuswertungA[Fehler A],1)&amp;"]","")</f>
        <v/>
      </c>
      <c r="I134" s="363" t="str">
        <f>IFERROR(VLOOKUP(A131,AuswertungA[],9,FALSE)/4,"")</f>
        <v/>
      </c>
      <c r="J134" s="363" t="str">
        <f>VLOOKUP(A131,AuswertungA[],10,FALSE)</f>
        <v/>
      </c>
      <c r="K134" s="362" t="str">
        <f>VLOOKUP(A131,AuswertungA[],11,FALSE)</f>
        <v/>
      </c>
      <c r="L134" s="362" t="str">
        <f>VLOOKUP(A131,AuswertungA[],12,FALSE)</f>
        <v/>
      </c>
      <c r="M134" s="362" t="str">
        <f>VLOOKUP(A131,AuswertungA[],13,FALSE)</f>
        <v/>
      </c>
      <c r="N134" s="362" t="str">
        <f>VLOOKUP(A131,AuswertungA[],14,FALSE)</f>
        <v/>
      </c>
      <c r="O134" s="362" t="str">
        <f>VLOOKUP(A131,AuswertungA[],19,FALSE)</f>
        <v/>
      </c>
      <c r="P134" s="362" t="str">
        <f>IFERROR(VLOOKUP(A131,AuswertungA[],22,FALSE)&amp;" ["&amp;_xlfn.RANK.EQ(VLOOKUP(A131,AuswertungA[],22,FALSE),AuswertungA[GEGGES A],0)&amp;"]","")</f>
        <v/>
      </c>
      <c r="Q134" s="362" t="str">
        <f>VLOOKUP(A131,AuswertungA[],25,FALSE)</f>
        <v/>
      </c>
      <c r="R134" s="362" t="str">
        <f>IFERROR(VLOOKUP(A131,Rekorde[],24,FALSE)&amp;" ["&amp;_xlfn.RANK.EQ(VLOOKUP(A131,Rekorde[],24,FALSE),Rekorde[Volle A],0)&amp;"]","")</f>
        <v/>
      </c>
      <c r="S134" s="362" t="str">
        <f>IFERROR(VLOOKUP(A131,Rekorde[],25,FALSE)&amp;" ["&amp;_xlfn.RANK.EQ(VLOOKUP(A131,Rekorde[],25,FALSE),Rekorde[Räumer A],0)&amp;"]","")</f>
        <v/>
      </c>
    </row>
    <row r="135" spans="1:19" ht="10.199999999999999" customHeight="1" thickBot="1" x14ac:dyDescent="0.35"/>
    <row r="136" spans="1:19" ht="30" customHeight="1" thickBot="1" x14ac:dyDescent="0.35">
      <c r="A136" s="353" t="str">
        <f>VLOOKUP(ROUNDUP(ROW()/4,0),Teamzuordnung[],2,FALSE)</f>
        <v>Mick Becker</v>
      </c>
      <c r="B136" s="349" t="s">
        <v>63</v>
      </c>
      <c r="C136" s="347" t="s">
        <v>610</v>
      </c>
      <c r="D136" s="347" t="s">
        <v>605</v>
      </c>
      <c r="E136" s="346" t="s">
        <v>100</v>
      </c>
      <c r="F136" s="346" t="s">
        <v>21</v>
      </c>
      <c r="G136" s="346" t="s">
        <v>22</v>
      </c>
      <c r="H136" s="346" t="s">
        <v>23</v>
      </c>
      <c r="I136" s="346" t="s">
        <v>24</v>
      </c>
      <c r="J136" s="346" t="s">
        <v>25</v>
      </c>
      <c r="K136" s="346" t="s">
        <v>606</v>
      </c>
      <c r="L136" s="346" t="s">
        <v>607</v>
      </c>
      <c r="M136" s="346" t="s">
        <v>608</v>
      </c>
      <c r="N136" s="346" t="s">
        <v>609</v>
      </c>
      <c r="O136" s="346" t="s">
        <v>218</v>
      </c>
      <c r="P136" s="347" t="s">
        <v>611</v>
      </c>
      <c r="Q136" s="347" t="s">
        <v>199</v>
      </c>
      <c r="R136" s="347" t="s">
        <v>603</v>
      </c>
      <c r="S136" s="348" t="s">
        <v>604</v>
      </c>
    </row>
    <row r="137" spans="1:19" ht="30" customHeight="1" thickBot="1" x14ac:dyDescent="0.35">
      <c r="A137" s="350" t="s">
        <v>26</v>
      </c>
      <c r="B137" s="355" t="str">
        <f>IFERROR(VLOOKUP(A136,AuswertungG[],8,FALSE)&amp;" ["&amp;_xlfn.RANK.EQ(VLOOKUP(A136,AuswertungG[],8,FALSE),AuswertungG[GES],0)&amp;"]","")</f>
        <v>545 [3]</v>
      </c>
      <c r="C137" s="356">
        <f>VLOOKUP(A136,Vorjahr[],2,FALSE)</f>
        <v>522</v>
      </c>
      <c r="D137" s="356" t="str">
        <f>IFERROR(VLOOKUP(A136,Rekorde[],3,FALSE)&amp;" ["&amp;_xlfn.RANK.EQ(VLOOKUP(A136,Rekorde[],3,FALSE),Rekorde[GES],0)&amp;"]","")</f>
        <v>545 [21]</v>
      </c>
      <c r="E137" s="356">
        <f>VLOOKUP(A136,AuswertungG[],3,FALSE)</f>
        <v>1</v>
      </c>
      <c r="F137" s="356" t="str">
        <f>IFERROR(VLOOKUP(A136,AuswertungG[],5,FALSE)&amp;" ["&amp;_xlfn.RANK.EQ(VLOOKUP(A136,AuswertungG[],5,FALSE),AuswertungG[Volle],0)&amp;"]","")</f>
        <v>362 [3]</v>
      </c>
      <c r="G137" s="356" t="str">
        <f>IFERROR(VLOOKUP(A136,AuswertungG[],6,FALSE)&amp;" ["&amp;_xlfn.RANK.EQ(VLOOKUP(A136,AuswertungG[],6,FALSE),AuswertungG[Räumer],0)&amp;"]","")</f>
        <v>183 [3]</v>
      </c>
      <c r="H137" s="356" t="str">
        <f>IFERROR(VLOOKUP(A136,AuswertungG[],7,FALSE)&amp;" ["&amp;_xlfn.RANK.EQ(VLOOKUP(A136,AuswertungG[],7,FALSE),AuswertungG[Fehler],1)&amp;"]","")</f>
        <v>9 [22]</v>
      </c>
      <c r="I137" s="357">
        <f>IFERROR(VLOOKUP(A136,AuswertungG[],9,FALSE)/4,"")</f>
        <v>1</v>
      </c>
      <c r="J137" s="357">
        <f>VLOOKUP(A136,AuswertungG[],10,FALSE)</f>
        <v>1</v>
      </c>
      <c r="K137" s="356">
        <f>VLOOKUP(A136,AuswertungG[],11,FALSE)</f>
        <v>138</v>
      </c>
      <c r="L137" s="356">
        <f>VLOOKUP(A136,AuswertungG[],12,FALSE)</f>
        <v>126</v>
      </c>
      <c r="M137" s="356">
        <f>VLOOKUP(A136,AuswertungG[],13,FALSE)</f>
        <v>147</v>
      </c>
      <c r="N137" s="356">
        <f>VLOOKUP(A136,AuswertungG[],14,FALSE)</f>
        <v>147</v>
      </c>
      <c r="O137" s="356" t="str">
        <f>VLOOKUP(A136,AuswertungG[],19,FALSE)</f>
        <v/>
      </c>
      <c r="P137" s="356" t="str">
        <f>IFERROR(VLOOKUP(A136,AuswertungG[],22,FALSE)&amp;" ["&amp;_xlfn.RANK.EQ(VLOOKUP(A136,AuswertungG[],22,FALSE),AuswertungG[GEGGES],0)&amp;"]","")</f>
        <v>501 [21]</v>
      </c>
      <c r="Q137" s="356" t="str">
        <f>VLOOKUP(A136,AuswertungG[],25,FALSE)</f>
        <v>[4]</v>
      </c>
      <c r="R137" s="356" t="str">
        <f>IFERROR(VLOOKUP(A136,Rekorde[],4,FALSE)&amp;" ["&amp;_xlfn.RANK.EQ(VLOOKUP(A136,Rekorde[],4,FALSE),Rekorde[Volle],0)&amp;"]","")</f>
        <v>362 [25]</v>
      </c>
      <c r="S137" s="356" t="str">
        <f>IFERROR(VLOOKUP(A136,Rekorde[],5,FALSE)&amp;" ["&amp;_xlfn.RANK.EQ(VLOOKUP(A136,Rekorde[],5,FALSE),Rekorde[Räumer],0)&amp;"]","")</f>
        <v>183 [22]</v>
      </c>
    </row>
    <row r="138" spans="1:19" ht="30" customHeight="1" thickBot="1" x14ac:dyDescent="0.35">
      <c r="A138" s="351" t="s">
        <v>118</v>
      </c>
      <c r="B138" s="358" t="str">
        <f>IFERROR(VLOOKUP(A136,AuswertungH[],8,FALSE)&amp;" ["&amp;_xlfn.RANK.EQ(VLOOKUP(A136,AuswertungH[],8,FALSE),AuswertungH[GES H],0)&amp;"]","")</f>
        <v>545 [2]</v>
      </c>
      <c r="C138" s="359">
        <f>VLOOKUP(A136,Vorjahr[],6,FALSE)</f>
        <v>513</v>
      </c>
      <c r="D138" s="359" t="str">
        <f>IFERROR(VLOOKUP(A136,Rekorde[],13,FALSE)&amp;" ["&amp;_xlfn.RANK.EQ(VLOOKUP(A136,Rekorde[],13,FALSE),Rekorde[GES H],0)&amp;"]","")</f>
        <v>545 [11]</v>
      </c>
      <c r="E138" s="359">
        <f>VLOOKUP(A136,AuswertungH[],3,FALSE)</f>
        <v>1</v>
      </c>
      <c r="F138" s="359" t="str">
        <f>IFERROR(VLOOKUP(A136,AuswertungG[],5,FALSE)&amp;" ["&amp;_xlfn.RANK.EQ(VLOOKUP(A136,AuswertungH[],5,FALSE),AuswertungH[Volle H],0)&amp;"]","")</f>
        <v>362 [5]</v>
      </c>
      <c r="G138" s="359" t="str">
        <f>IFERROR(VLOOKUP(A136,AuswertungH[],6,FALSE)&amp;" ["&amp;_xlfn.RANK.EQ(VLOOKUP(A136,AuswertungH[],6,FALSE),AuswertungH[Räumer H],0)&amp;"]","")</f>
        <v>183 [2]</v>
      </c>
      <c r="H138" s="359" t="str">
        <f>IFERROR(VLOOKUP(A136,AuswertungH[],7,FALSE)&amp;" ["&amp;_xlfn.RANK.EQ(VLOOKUP(A136,AuswertungH[],7,FALSE),AuswertungH[Fehler H],1)&amp;"]","")</f>
        <v>9 [19]</v>
      </c>
      <c r="I138" s="360">
        <f>IFERROR(VLOOKUP(A136,AuswertungH[],9,FALSE)/4,"")</f>
        <v>1</v>
      </c>
      <c r="J138" s="360">
        <f>VLOOKUP(A136,AuswertungH[],10,FALSE)</f>
        <v>1</v>
      </c>
      <c r="K138" s="359">
        <f>VLOOKUP(A136,AuswertungH[],11,FALSE)</f>
        <v>138</v>
      </c>
      <c r="L138" s="359">
        <f>VLOOKUP(A136,AuswertungH[],12,FALSE)</f>
        <v>126</v>
      </c>
      <c r="M138" s="359">
        <f>VLOOKUP(A136,AuswertungH[],13,FALSE)</f>
        <v>147</v>
      </c>
      <c r="N138" s="359">
        <f>VLOOKUP(A136,AuswertungH[],14,FALSE)</f>
        <v>134</v>
      </c>
      <c r="O138" s="359">
        <f>VLOOKUP(A136,AuswertungH[],19,FALSE)</f>
        <v>0</v>
      </c>
      <c r="P138" s="359" t="str">
        <f>IFERROR(VLOOKUP(A136,AuswertungH[],22,FALSE)&amp;" ["&amp;_xlfn.RANK.EQ(VLOOKUP(A136,AuswertungH[],22,FALSE),AuswertungH[GEGGES H],0)&amp;"]","")</f>
        <v>501 [12]</v>
      </c>
      <c r="Q138" s="359" t="str">
        <f>VLOOKUP(A136,AuswertungH[],25,FALSE)</f>
        <v>[4]</v>
      </c>
      <c r="R138" s="359" t="str">
        <f>IFERROR(VLOOKUP(A136,Rekorde[],14,FALSE)&amp;" ["&amp;_xlfn.RANK.EQ(VLOOKUP(A136,Rekorde[],14,FALSE),Rekorde[Volle H],0)&amp;"]","")</f>
        <v>362 [16]</v>
      </c>
      <c r="S138" s="359" t="str">
        <f>IFERROR(VLOOKUP(A136,Rekorde[],15,FALSE)&amp;" ["&amp;_xlfn.RANK.EQ(VLOOKUP(A136,Rekorde[],15,FALSE),Rekorde[Räumer H],0)&amp;"]","")</f>
        <v>183 [9]</v>
      </c>
    </row>
    <row r="139" spans="1:19" ht="30" customHeight="1" thickBot="1" x14ac:dyDescent="0.35">
      <c r="A139" s="352" t="s">
        <v>119</v>
      </c>
      <c r="B139" s="361" t="str">
        <f>IFERROR(VLOOKUP(A136,AuswertungA[],8,FALSE)&amp;" ["&amp;_xlfn.RANK.EQ(VLOOKUP(A136,AuswertungA[],8,FALSE),AuswertungA[GES A],0)&amp;"]","")</f>
        <v/>
      </c>
      <c r="C139" s="362">
        <f>VLOOKUP(A136,Vorjahr[],10,FALSE)</f>
        <v>524</v>
      </c>
      <c r="D139" s="362" t="str">
        <f>IFERROR(VLOOKUP(A136,Rekorde[],23,FALSE)&amp;" ["&amp;_xlfn.RANK.EQ(VLOOKUP(A136,Rekorde[],23,FALSE),Rekorde[GES A],0)&amp;"]","")</f>
        <v/>
      </c>
      <c r="E139" s="362">
        <f>VLOOKUP(A136,AuswertungA[],3,FALSE)</f>
        <v>0</v>
      </c>
      <c r="F139" s="362" t="str">
        <f>IFERROR(VLOOKUP(A136,AuswertungA[],5,FALSE)&amp;" ["&amp;_xlfn.RANK.EQ(VLOOKUP(A136,AuswertungA[],5,FALSE),AuswertungA[Volle A],0)&amp;"]","")</f>
        <v/>
      </c>
      <c r="G139" s="362" t="str">
        <f>IFERROR(VLOOKUP(A136,AuswertungA[],6,FALSE)&amp;" ["&amp;_xlfn.RANK.EQ(VLOOKUP(A136,AuswertungA[],6,FALSE),AuswertungA[Räumer A],0)&amp;"]","")</f>
        <v/>
      </c>
      <c r="H139" s="362" t="str">
        <f>IFERROR(VLOOKUP(A136,AuswertungA[],7,FALSE)&amp;" ["&amp;_xlfn.RANK.EQ(VLOOKUP(A136,AuswertungA[],7,FALSE),AuswertungA[Fehler A],1)&amp;"]","")</f>
        <v/>
      </c>
      <c r="I139" s="363" t="str">
        <f>IFERROR(VLOOKUP(A136,AuswertungA[],9,FALSE)/4,"")</f>
        <v/>
      </c>
      <c r="J139" s="363" t="str">
        <f>VLOOKUP(A136,AuswertungA[],10,FALSE)</f>
        <v/>
      </c>
      <c r="K139" s="362" t="str">
        <f>VLOOKUP(A136,AuswertungA[],11,FALSE)</f>
        <v/>
      </c>
      <c r="L139" s="362" t="str">
        <f>VLOOKUP(A136,AuswertungA[],12,FALSE)</f>
        <v/>
      </c>
      <c r="M139" s="362" t="str">
        <f>VLOOKUP(A136,AuswertungA[],13,FALSE)</f>
        <v/>
      </c>
      <c r="N139" s="362" t="str">
        <f>VLOOKUP(A136,AuswertungA[],14,FALSE)</f>
        <v/>
      </c>
      <c r="O139" s="362" t="str">
        <f>VLOOKUP(A136,AuswertungA[],19,FALSE)</f>
        <v/>
      </c>
      <c r="P139" s="362" t="str">
        <f>IFERROR(VLOOKUP(A136,AuswertungA[],22,FALSE)&amp;" ["&amp;_xlfn.RANK.EQ(VLOOKUP(A136,AuswertungA[],22,FALSE),AuswertungA[GEGGES A],0)&amp;"]","")</f>
        <v/>
      </c>
      <c r="Q139" s="362" t="str">
        <f>VLOOKUP(A136,AuswertungA[],25,FALSE)</f>
        <v/>
      </c>
      <c r="R139" s="362" t="str">
        <f>IFERROR(VLOOKUP(A136,Rekorde[],24,FALSE)&amp;" ["&amp;_xlfn.RANK.EQ(VLOOKUP(A136,Rekorde[],24,FALSE),Rekorde[Volle A],0)&amp;"]","")</f>
        <v/>
      </c>
      <c r="S139" s="362" t="str">
        <f>IFERROR(VLOOKUP(A136,Rekorde[],25,FALSE)&amp;" ["&amp;_xlfn.RANK.EQ(VLOOKUP(A136,Rekorde[],25,FALSE),Rekorde[Räumer A],0)&amp;"]","")</f>
        <v/>
      </c>
    </row>
    <row r="140" spans="1:19" ht="30" customHeight="1" thickBot="1" x14ac:dyDescent="0.35"/>
    <row r="141" spans="1:19" ht="30" customHeight="1" thickBot="1" x14ac:dyDescent="0.35">
      <c r="A141" s="353" t="str">
        <f>VLOOKUP(ROUNDUP(ROW()/4,0),Teamzuordnung[],2,FALSE)</f>
        <v>Patrick Frenzel</v>
      </c>
      <c r="B141" s="349" t="s">
        <v>63</v>
      </c>
      <c r="C141" s="347" t="s">
        <v>610</v>
      </c>
      <c r="D141" s="347" t="s">
        <v>605</v>
      </c>
      <c r="E141" s="346" t="s">
        <v>100</v>
      </c>
      <c r="F141" s="346" t="s">
        <v>21</v>
      </c>
      <c r="G141" s="346" t="s">
        <v>22</v>
      </c>
      <c r="H141" s="346" t="s">
        <v>23</v>
      </c>
      <c r="I141" s="346" t="s">
        <v>24</v>
      </c>
      <c r="J141" s="346" t="s">
        <v>25</v>
      </c>
      <c r="K141" s="346" t="s">
        <v>606</v>
      </c>
      <c r="L141" s="346" t="s">
        <v>607</v>
      </c>
      <c r="M141" s="346" t="s">
        <v>608</v>
      </c>
      <c r="N141" s="346" t="s">
        <v>609</v>
      </c>
      <c r="O141" s="346" t="s">
        <v>218</v>
      </c>
      <c r="P141" s="347" t="s">
        <v>611</v>
      </c>
      <c r="Q141" s="347" t="s">
        <v>199</v>
      </c>
      <c r="R141" s="347" t="s">
        <v>603</v>
      </c>
      <c r="S141" s="348" t="s">
        <v>604</v>
      </c>
    </row>
    <row r="142" spans="1:19" ht="30" customHeight="1" thickBot="1" x14ac:dyDescent="0.35">
      <c r="A142" s="350" t="s">
        <v>26</v>
      </c>
      <c r="B142" s="355" t="str">
        <f>IFERROR(VLOOKUP(A141,AuswertungG[],8,FALSE)&amp;" ["&amp;_xlfn.RANK.EQ(VLOOKUP(A141,AuswertungG[],8,FALSE),AuswertungG[GES],0)&amp;"]","")</f>
        <v>510 [20]</v>
      </c>
      <c r="C142" s="356">
        <f>VLOOKUP(A141,Vorjahr[],2,FALSE)</f>
        <v>493</v>
      </c>
      <c r="D142" s="356" t="str">
        <f>IFERROR(VLOOKUP(A141,Rekorde[],3,FALSE)&amp;" ["&amp;_xlfn.RANK.EQ(VLOOKUP(A141,Rekorde[],3,FALSE),Rekorde[GES],0)&amp;"]","")</f>
        <v>542 [22]</v>
      </c>
      <c r="E142" s="356">
        <f>VLOOKUP(A141,AuswertungG[],3,FALSE)</f>
        <v>3</v>
      </c>
      <c r="F142" s="356" t="str">
        <f>IFERROR(VLOOKUP(A141,AuswertungG[],5,FALSE)&amp;" ["&amp;_xlfn.RANK.EQ(VLOOKUP(A141,AuswertungG[],5,FALSE),AuswertungG[Volle],0)&amp;"]","")</f>
        <v>348 [24]</v>
      </c>
      <c r="G142" s="356" t="str">
        <f>IFERROR(VLOOKUP(A141,AuswertungG[],6,FALSE)&amp;" ["&amp;_xlfn.RANK.EQ(VLOOKUP(A141,AuswertungG[],6,FALSE),AuswertungG[Räumer],0)&amp;"]","")</f>
        <v>162 [21]</v>
      </c>
      <c r="H142" s="356" t="str">
        <f>IFERROR(VLOOKUP(A141,AuswertungG[],7,FALSE)&amp;" ["&amp;_xlfn.RANK.EQ(VLOOKUP(A141,AuswertungG[],7,FALSE),AuswertungG[Fehler],1)&amp;"]","")</f>
        <v>12,7 [32]</v>
      </c>
      <c r="I142" s="357">
        <f>IFERROR(VLOOKUP(A141,AuswertungG[],9,FALSE)/4,"")</f>
        <v>0.67500000000000004</v>
      </c>
      <c r="J142" s="357">
        <f>VLOOKUP(A141,AuswertungG[],10,FALSE)</f>
        <v>0.67</v>
      </c>
      <c r="K142" s="356">
        <f>VLOOKUP(A141,AuswertungG[],11,FALSE)</f>
        <v>121</v>
      </c>
      <c r="L142" s="356">
        <f>VLOOKUP(A141,AuswertungG[],12,FALSE)</f>
        <v>124</v>
      </c>
      <c r="M142" s="356">
        <f>VLOOKUP(A141,AuswertungG[],13,FALSE)</f>
        <v>130</v>
      </c>
      <c r="N142" s="356">
        <f>VLOOKUP(A141,AuswertungG[],14,FALSE)</f>
        <v>130</v>
      </c>
      <c r="O142" s="356">
        <f>VLOOKUP(A141,AuswertungG[],19,FALSE)</f>
        <v>0.61</v>
      </c>
      <c r="P142" s="356" t="str">
        <f>IFERROR(VLOOKUP(A141,AuswertungG[],22,FALSE)&amp;" ["&amp;_xlfn.RANK.EQ(VLOOKUP(A141,AuswertungG[],22,FALSE),AuswertungG[GEGGES],0)&amp;"]","")</f>
        <v>478 [28]</v>
      </c>
      <c r="Q142" s="356" t="str">
        <f>VLOOKUP(A141,AuswertungG[],25,FALSE)</f>
        <v>[1][3]</v>
      </c>
      <c r="R142" s="356" t="str">
        <f>IFERROR(VLOOKUP(A141,Rekorde[],4,FALSE)&amp;" ["&amp;_xlfn.RANK.EQ(VLOOKUP(A141,Rekorde[],4,FALSE),Rekorde[Volle],0)&amp;"]","")</f>
        <v>351 [28]</v>
      </c>
      <c r="S142" s="356" t="str">
        <f>IFERROR(VLOOKUP(A141,Rekorde[],5,FALSE)&amp;" ["&amp;_xlfn.RANK.EQ(VLOOKUP(A141,Rekorde[],5,FALSE),Rekorde[Räumer],0)&amp;"]","")</f>
        <v>191 [16]</v>
      </c>
    </row>
    <row r="143" spans="1:19" ht="30" customHeight="1" thickBot="1" x14ac:dyDescent="0.35">
      <c r="A143" s="351" t="s">
        <v>118</v>
      </c>
      <c r="B143" s="358" t="str">
        <f>IFERROR(VLOOKUP(A141,AuswertungH[],8,FALSE)&amp;" ["&amp;_xlfn.RANK.EQ(VLOOKUP(A141,AuswertungH[],8,FALSE),AuswertungH[GES H],0)&amp;"]","")</f>
        <v>494 [24]</v>
      </c>
      <c r="C143" s="359">
        <f>VLOOKUP(A141,Vorjahr[],6,FALSE)</f>
        <v>498</v>
      </c>
      <c r="D143" s="359" t="str">
        <f>IFERROR(VLOOKUP(A141,Rekorde[],13,FALSE)&amp;" ["&amp;_xlfn.RANK.EQ(VLOOKUP(A141,Rekorde[],13,FALSE),Rekorde[GES H],0)&amp;"]","")</f>
        <v>497 [23]</v>
      </c>
      <c r="E143" s="359">
        <f>VLOOKUP(A141,AuswertungH[],3,FALSE)</f>
        <v>2</v>
      </c>
      <c r="F143" s="359" t="str">
        <f>IFERROR(VLOOKUP(A141,AuswertungG[],5,FALSE)&amp;" ["&amp;_xlfn.RANK.EQ(VLOOKUP(A141,AuswertungH[],5,FALSE),AuswertungH[Volle H],0)&amp;"]","")</f>
        <v>348 [21]</v>
      </c>
      <c r="G143" s="359" t="str">
        <f>IFERROR(VLOOKUP(A141,AuswertungH[],6,FALSE)&amp;" ["&amp;_xlfn.RANK.EQ(VLOOKUP(A141,AuswertungH[],6,FALSE),AuswertungH[Räumer H],0)&amp;"]","")</f>
        <v>147 [26]</v>
      </c>
      <c r="H143" s="359" t="str">
        <f>IFERROR(VLOOKUP(A141,AuswertungH[],7,FALSE)&amp;" ["&amp;_xlfn.RANK.EQ(VLOOKUP(A141,AuswertungH[],7,FALSE),AuswertungH[Fehler H],1)&amp;"]","")</f>
        <v>13 [27]</v>
      </c>
      <c r="I143" s="360">
        <f>IFERROR(VLOOKUP(A141,AuswertungH[],9,FALSE)/4,"")</f>
        <v>0.75</v>
      </c>
      <c r="J143" s="360">
        <f>VLOOKUP(A141,AuswertungH[],10,FALSE)</f>
        <v>1</v>
      </c>
      <c r="K143" s="359">
        <f>VLOOKUP(A141,AuswertungH[],11,FALSE)</f>
        <v>112</v>
      </c>
      <c r="L143" s="359">
        <f>VLOOKUP(A141,AuswertungH[],12,FALSE)</f>
        <v>123</v>
      </c>
      <c r="M143" s="359">
        <f>VLOOKUP(A141,AuswertungH[],13,FALSE)</f>
        <v>131</v>
      </c>
      <c r="N143" s="359">
        <f>VLOOKUP(A141,AuswertungH[],14,FALSE)</f>
        <v>129</v>
      </c>
      <c r="O143" s="359">
        <f>VLOOKUP(A141,AuswertungH[],19,FALSE)</f>
        <v>-1.17</v>
      </c>
      <c r="P143" s="359" t="str">
        <f>IFERROR(VLOOKUP(A141,AuswertungH[],22,FALSE)&amp;" ["&amp;_xlfn.RANK.EQ(VLOOKUP(A141,AuswertungH[],22,FALSE),AuswertungH[GEGGES H],0)&amp;"]","")</f>
        <v>442 [29]</v>
      </c>
      <c r="Q143" s="359" t="str">
        <f>VLOOKUP(A141,AuswertungH[],25,FALSE)</f>
        <v>[1][3]</v>
      </c>
      <c r="R143" s="359" t="str">
        <f>IFERROR(VLOOKUP(A141,Rekorde[],14,FALSE)&amp;" ["&amp;_xlfn.RANK.EQ(VLOOKUP(A141,Rekorde[],14,FALSE),Rekorde[Volle H],0)&amp;"]","")</f>
        <v>351 [23]</v>
      </c>
      <c r="S143" s="359" t="str">
        <f>IFERROR(VLOOKUP(A141,Rekorde[],15,FALSE)&amp;" ["&amp;_xlfn.RANK.EQ(VLOOKUP(A141,Rekorde[],15,FALSE),Rekorde[Räumer H],0)&amp;"]","")</f>
        <v>155 [24]</v>
      </c>
    </row>
    <row r="144" spans="1:19" ht="30" customHeight="1" thickBot="1" x14ac:dyDescent="0.35">
      <c r="A144" s="352" t="s">
        <v>119</v>
      </c>
      <c r="B144" s="361" t="str">
        <f>IFERROR(VLOOKUP(A141,AuswertungA[],8,FALSE)&amp;" ["&amp;_xlfn.RANK.EQ(VLOOKUP(A141,AuswertungA[],8,FALSE),AuswertungA[GES A],0)&amp;"]","")</f>
        <v>542 [6]</v>
      </c>
      <c r="C144" s="362">
        <f>VLOOKUP(A141,Vorjahr[],10,FALSE)</f>
        <v>490</v>
      </c>
      <c r="D144" s="362" t="str">
        <f>IFERROR(VLOOKUP(A141,Rekorde[],23,FALSE)&amp;" ["&amp;_xlfn.RANK.EQ(VLOOKUP(A141,Rekorde[],23,FALSE),Rekorde[GES A],0)&amp;"]","")</f>
        <v>542 [19]</v>
      </c>
      <c r="E144" s="362">
        <f>VLOOKUP(A141,AuswertungA[],3,FALSE)</f>
        <v>1</v>
      </c>
      <c r="F144" s="362" t="str">
        <f>IFERROR(VLOOKUP(A141,AuswertungA[],5,FALSE)&amp;" ["&amp;_xlfn.RANK.EQ(VLOOKUP(A141,AuswertungA[],5,FALSE),AuswertungA[Volle A],0)&amp;"]","")</f>
        <v>351 [19]</v>
      </c>
      <c r="G144" s="362" t="str">
        <f>IFERROR(VLOOKUP(A141,AuswertungA[],6,FALSE)&amp;" ["&amp;_xlfn.RANK.EQ(VLOOKUP(A141,AuswertungA[],6,FALSE),AuswertungA[Räumer A],0)&amp;"]","")</f>
        <v>191 [2]</v>
      </c>
      <c r="H144" s="362" t="str">
        <f>IFERROR(VLOOKUP(A141,AuswertungA[],7,FALSE)&amp;" ["&amp;_xlfn.RANK.EQ(VLOOKUP(A141,AuswertungA[],7,FALSE),AuswertungA[Fehler A],1)&amp;"]","")</f>
        <v>12 [28]</v>
      </c>
      <c r="I144" s="363">
        <f>IFERROR(VLOOKUP(A141,AuswertungA[],9,FALSE)/4,"")</f>
        <v>0.5</v>
      </c>
      <c r="J144" s="363">
        <f>VLOOKUP(A141,AuswertungA[],10,FALSE)</f>
        <v>0</v>
      </c>
      <c r="K144" s="362">
        <f>VLOOKUP(A141,AuswertungA[],11,FALSE)</f>
        <v>140</v>
      </c>
      <c r="L144" s="362">
        <f>VLOOKUP(A141,AuswertungA[],12,FALSE)</f>
        <v>126</v>
      </c>
      <c r="M144" s="362">
        <f>VLOOKUP(A141,AuswertungA[],13,FALSE)</f>
        <v>130</v>
      </c>
      <c r="N144" s="362">
        <f>VLOOKUP(A141,AuswertungA[],14,FALSE)</f>
        <v>146</v>
      </c>
      <c r="O144" s="362" t="str">
        <f>VLOOKUP(A141,AuswertungA[],19,FALSE)</f>
        <v/>
      </c>
      <c r="P144" s="362" t="str">
        <f>IFERROR(VLOOKUP(A141,AuswertungA[],22,FALSE)&amp;" ["&amp;_xlfn.RANK.EQ(VLOOKUP(A141,AuswertungA[],22,FALSE),AuswertungA[GEGGES A],0)&amp;"]","")</f>
        <v>550 [6]</v>
      </c>
      <c r="Q144" s="362" t="str">
        <f>VLOOKUP(A141,AuswertungA[],25,FALSE)</f>
        <v>[4]</v>
      </c>
      <c r="R144" s="362" t="str">
        <f>IFERROR(VLOOKUP(A141,Rekorde[],24,FALSE)&amp;" ["&amp;_xlfn.RANK.EQ(VLOOKUP(A141,Rekorde[],24,FALSE),Rekorde[Volle A],0)&amp;"]","")</f>
        <v>351 [26]</v>
      </c>
      <c r="S144" s="362" t="str">
        <f>IFERROR(VLOOKUP(A141,Rekorde[],25,FALSE)&amp;" ["&amp;_xlfn.RANK.EQ(VLOOKUP(A141,Rekorde[],25,FALSE),Rekorde[Räumer A],0)&amp;"]","")</f>
        <v>191 [15]</v>
      </c>
    </row>
    <row r="145" spans="1:19" ht="30" customHeight="1" thickBot="1" x14ac:dyDescent="0.35"/>
    <row r="146" spans="1:19" ht="30" customHeight="1" thickBot="1" x14ac:dyDescent="0.35">
      <c r="A146" s="353" t="str">
        <f>VLOOKUP(ROUNDUP(ROW()/4,0),Teamzuordnung[],2,FALSE)</f>
        <v>Patrick Hohmann</v>
      </c>
      <c r="B146" s="349" t="s">
        <v>63</v>
      </c>
      <c r="C146" s="347" t="s">
        <v>610</v>
      </c>
      <c r="D146" s="347" t="s">
        <v>605</v>
      </c>
      <c r="E146" s="346" t="s">
        <v>100</v>
      </c>
      <c r="F146" s="346" t="s">
        <v>21</v>
      </c>
      <c r="G146" s="346" t="s">
        <v>22</v>
      </c>
      <c r="H146" s="346" t="s">
        <v>23</v>
      </c>
      <c r="I146" s="346" t="s">
        <v>24</v>
      </c>
      <c r="J146" s="346" t="s">
        <v>25</v>
      </c>
      <c r="K146" s="346" t="s">
        <v>606</v>
      </c>
      <c r="L146" s="346" t="s">
        <v>607</v>
      </c>
      <c r="M146" s="346" t="s">
        <v>608</v>
      </c>
      <c r="N146" s="346" t="s">
        <v>609</v>
      </c>
      <c r="O146" s="346" t="s">
        <v>218</v>
      </c>
      <c r="P146" s="347" t="s">
        <v>611</v>
      </c>
      <c r="Q146" s="347" t="s">
        <v>199</v>
      </c>
      <c r="R146" s="347" t="s">
        <v>603</v>
      </c>
      <c r="S146" s="348" t="s">
        <v>604</v>
      </c>
    </row>
    <row r="147" spans="1:19" ht="30" customHeight="1" thickBot="1" x14ac:dyDescent="0.35">
      <c r="A147" s="350" t="s">
        <v>26</v>
      </c>
      <c r="B147" s="355" t="str">
        <f>IFERROR(VLOOKUP(A146,AuswertungG[],8,FALSE)&amp;" ["&amp;_xlfn.RANK.EQ(VLOOKUP(A146,AuswertungG[],8,FALSE),AuswertungG[GES],0)&amp;"]","")</f>
        <v>528 [9]</v>
      </c>
      <c r="C147" s="356">
        <f>VLOOKUP(A146,Vorjahr[],2,FALSE)</f>
        <v>525</v>
      </c>
      <c r="D147" s="356" t="str">
        <f>IFERROR(VLOOKUP(A146,Rekorde[],3,FALSE)&amp;" ["&amp;_xlfn.RANK.EQ(VLOOKUP(A146,Rekorde[],3,FALSE),Rekorde[GES],0)&amp;"]","")</f>
        <v>574 [8]</v>
      </c>
      <c r="E147" s="356">
        <f>VLOOKUP(A146,AuswertungG[],3,FALSE)</f>
        <v>15</v>
      </c>
      <c r="F147" s="356" t="str">
        <f>IFERROR(VLOOKUP(A146,AuswertungG[],5,FALSE)&amp;" ["&amp;_xlfn.RANK.EQ(VLOOKUP(A146,AuswertungG[],5,FALSE),AuswertungG[Volle],0)&amp;"]","")</f>
        <v>361 [6]</v>
      </c>
      <c r="G147" s="356" t="str">
        <f>IFERROR(VLOOKUP(A146,AuswertungG[],6,FALSE)&amp;" ["&amp;_xlfn.RANK.EQ(VLOOKUP(A146,AuswertungG[],6,FALSE),AuswertungG[Räumer],0)&amp;"]","")</f>
        <v>167 [13]</v>
      </c>
      <c r="H147" s="356" t="str">
        <f>IFERROR(VLOOKUP(A146,AuswertungG[],7,FALSE)&amp;" ["&amp;_xlfn.RANK.EQ(VLOOKUP(A146,AuswertungG[],7,FALSE),AuswertungG[Fehler],1)&amp;"]","")</f>
        <v>5,9 [7]</v>
      </c>
      <c r="I147" s="357">
        <f>IFERROR(VLOOKUP(A146,AuswertungG[],9,FALSE)/4,"")</f>
        <v>0.55000000000000004</v>
      </c>
      <c r="J147" s="357">
        <f>VLOOKUP(A146,AuswertungG[],10,FALSE)</f>
        <v>0.57999999999999996</v>
      </c>
      <c r="K147" s="356">
        <f>VLOOKUP(A146,AuswertungG[],11,FALSE)</f>
        <v>131</v>
      </c>
      <c r="L147" s="356">
        <f>VLOOKUP(A146,AuswertungG[],12,FALSE)</f>
        <v>133</v>
      </c>
      <c r="M147" s="356">
        <f>VLOOKUP(A146,AuswertungG[],13,FALSE)</f>
        <v>133</v>
      </c>
      <c r="N147" s="356">
        <f>VLOOKUP(A146,AuswertungG[],14,FALSE)</f>
        <v>133</v>
      </c>
      <c r="O147" s="356">
        <f>VLOOKUP(A146,AuswertungG[],19,FALSE)</f>
        <v>-0.68</v>
      </c>
      <c r="P147" s="356" t="str">
        <f>IFERROR(VLOOKUP(A146,AuswertungG[],22,FALSE)&amp;" ["&amp;_xlfn.RANK.EQ(VLOOKUP(A146,AuswertungG[],22,FALSE),AuswertungG[GEGGES],0)&amp;"]","")</f>
        <v>527 [7]</v>
      </c>
      <c r="Q147" s="356" t="str">
        <f>VLOOKUP(A146,AuswertungG[],25,FALSE)</f>
        <v>[4]</v>
      </c>
      <c r="R147" s="356" t="str">
        <f>IFERROR(VLOOKUP(A146,Rekorde[],4,FALSE)&amp;" ["&amp;_xlfn.RANK.EQ(VLOOKUP(A146,Rekorde[],4,FALSE),Rekorde[Volle],0)&amp;"]","")</f>
        <v>387 [9]</v>
      </c>
      <c r="S147" s="356" t="str">
        <f>IFERROR(VLOOKUP(A146,Rekorde[],5,FALSE)&amp;" ["&amp;_xlfn.RANK.EQ(VLOOKUP(A146,Rekorde[],5,FALSE),Rekorde[Räumer],0)&amp;"]","")</f>
        <v>206 [6]</v>
      </c>
    </row>
    <row r="148" spans="1:19" ht="30" customHeight="1" thickBot="1" x14ac:dyDescent="0.35">
      <c r="A148" s="351" t="s">
        <v>118</v>
      </c>
      <c r="B148" s="358" t="str">
        <f>IFERROR(VLOOKUP(A146,AuswertungH[],8,FALSE)&amp;" ["&amp;_xlfn.RANK.EQ(VLOOKUP(A146,AuswertungH[],8,FALSE),AuswertungH[GES H],0)&amp;"]","")</f>
        <v>533 [5]</v>
      </c>
      <c r="C148" s="359">
        <f>VLOOKUP(A146,Vorjahr[],6,FALSE)</f>
        <v>512</v>
      </c>
      <c r="D148" s="359" t="str">
        <f>IFERROR(VLOOKUP(A146,Rekorde[],13,FALSE)&amp;" ["&amp;_xlfn.RANK.EQ(VLOOKUP(A146,Rekorde[],13,FALSE),Rekorde[GES H],0)&amp;"]","")</f>
        <v>574 [3]</v>
      </c>
      <c r="E148" s="359">
        <f>VLOOKUP(A146,AuswertungH[],3,FALSE)</f>
        <v>9</v>
      </c>
      <c r="F148" s="359" t="str">
        <f>IFERROR(VLOOKUP(A146,AuswertungG[],5,FALSE)&amp;" ["&amp;_xlfn.RANK.EQ(VLOOKUP(A146,AuswertungH[],5,FALSE),AuswertungH[Volle H],0)&amp;"]","")</f>
        <v>361 [3]</v>
      </c>
      <c r="G148" s="359" t="str">
        <f>IFERROR(VLOOKUP(A146,AuswertungH[],6,FALSE)&amp;" ["&amp;_xlfn.RANK.EQ(VLOOKUP(A146,AuswertungH[],6,FALSE),AuswertungH[Räumer H],0)&amp;"]","")</f>
        <v>169 [9]</v>
      </c>
      <c r="H148" s="359" t="str">
        <f>IFERROR(VLOOKUP(A146,AuswertungH[],7,FALSE)&amp;" ["&amp;_xlfn.RANK.EQ(VLOOKUP(A146,AuswertungH[],7,FALSE),AuswertungH[Fehler H],1)&amp;"]","")</f>
        <v>4,8 [5]</v>
      </c>
      <c r="I148" s="360">
        <f>IFERROR(VLOOKUP(A146,AuswertungH[],9,FALSE)/4,"")</f>
        <v>0.55500000000000005</v>
      </c>
      <c r="J148" s="360">
        <f>VLOOKUP(A146,AuswertungH[],10,FALSE)</f>
        <v>0.67</v>
      </c>
      <c r="K148" s="359">
        <f>VLOOKUP(A146,AuswertungH[],11,FALSE)</f>
        <v>132</v>
      </c>
      <c r="L148" s="359">
        <f>VLOOKUP(A146,AuswertungH[],12,FALSE)</f>
        <v>131</v>
      </c>
      <c r="M148" s="359">
        <f>VLOOKUP(A146,AuswertungH[],13,FALSE)</f>
        <v>137</v>
      </c>
      <c r="N148" s="359">
        <f>VLOOKUP(A146,AuswertungH[],14,FALSE)</f>
        <v>134</v>
      </c>
      <c r="O148" s="359">
        <f>VLOOKUP(A146,AuswertungH[],19,FALSE)</f>
        <v>-0.85</v>
      </c>
      <c r="P148" s="359" t="str">
        <f>IFERROR(VLOOKUP(A146,AuswertungH[],22,FALSE)&amp;" ["&amp;_xlfn.RANK.EQ(VLOOKUP(A146,AuswertungH[],22,FALSE),AuswertungH[GEGGES H],0)&amp;"]","")</f>
        <v>522 [5]</v>
      </c>
      <c r="Q148" s="359" t="str">
        <f>VLOOKUP(A146,AuswertungH[],25,FALSE)</f>
        <v>[1]</v>
      </c>
      <c r="R148" s="359" t="str">
        <f>IFERROR(VLOOKUP(A146,Rekorde[],14,FALSE)&amp;" ["&amp;_xlfn.RANK.EQ(VLOOKUP(A146,Rekorde[],14,FALSE),Rekorde[Volle H],0)&amp;"]","")</f>
        <v>387 [2]</v>
      </c>
      <c r="S148" s="359" t="str">
        <f>IFERROR(VLOOKUP(A146,Rekorde[],15,FALSE)&amp;" ["&amp;_xlfn.RANK.EQ(VLOOKUP(A146,Rekorde[],15,FALSE),Rekorde[Räumer H],0)&amp;"]","")</f>
        <v>192 [6]</v>
      </c>
    </row>
    <row r="149" spans="1:19" ht="30" customHeight="1" thickBot="1" x14ac:dyDescent="0.35">
      <c r="A149" s="352" t="s">
        <v>119</v>
      </c>
      <c r="B149" s="361" t="str">
        <f>IFERROR(VLOOKUP(A146,AuswertungA[],8,FALSE)&amp;" ["&amp;_xlfn.RANK.EQ(VLOOKUP(A146,AuswertungA[],8,FALSE),AuswertungA[GES A],0)&amp;"]","")</f>
        <v>520 [17]</v>
      </c>
      <c r="C149" s="362">
        <f>VLOOKUP(A146,Vorjahr[],10,FALSE)</f>
        <v>535</v>
      </c>
      <c r="D149" s="362" t="str">
        <f>IFERROR(VLOOKUP(A146,Rekorde[],23,FALSE)&amp;" ["&amp;_xlfn.RANK.EQ(VLOOKUP(A146,Rekorde[],23,FALSE),Rekorde[GES A],0)&amp;"]","")</f>
        <v>560 [13]</v>
      </c>
      <c r="E149" s="362">
        <f>VLOOKUP(A146,AuswertungA[],3,FALSE)</f>
        <v>6</v>
      </c>
      <c r="F149" s="362" t="str">
        <f>IFERROR(VLOOKUP(A146,AuswertungA[],5,FALSE)&amp;" ["&amp;_xlfn.RANK.EQ(VLOOKUP(A146,AuswertungA[],5,FALSE),AuswertungA[Volle A],0)&amp;"]","")</f>
        <v>356 [13]</v>
      </c>
      <c r="G149" s="362" t="str">
        <f>IFERROR(VLOOKUP(A146,AuswertungA[],6,FALSE)&amp;" ["&amp;_xlfn.RANK.EQ(VLOOKUP(A146,AuswertungA[],6,FALSE),AuswertungA[Räumer A],0)&amp;"]","")</f>
        <v>164 [16]</v>
      </c>
      <c r="H149" s="362" t="str">
        <f>IFERROR(VLOOKUP(A146,AuswertungA[],7,FALSE)&amp;" ["&amp;_xlfn.RANK.EQ(VLOOKUP(A146,AuswertungA[],7,FALSE),AuswertungA[Fehler A],1)&amp;"]","")</f>
        <v>7,7 [15]</v>
      </c>
      <c r="I149" s="363">
        <f>IFERROR(VLOOKUP(A146,AuswertungA[],9,FALSE)/4,"")</f>
        <v>0.5</v>
      </c>
      <c r="J149" s="363">
        <f>VLOOKUP(A146,AuswertungA[],10,FALSE)</f>
        <v>0.38</v>
      </c>
      <c r="K149" s="362">
        <f>VLOOKUP(A146,AuswertungA[],11,FALSE)</f>
        <v>128</v>
      </c>
      <c r="L149" s="362">
        <f>VLOOKUP(A146,AuswertungA[],12,FALSE)</f>
        <v>137</v>
      </c>
      <c r="M149" s="362">
        <f>VLOOKUP(A146,AuswertungA[],13,FALSE)</f>
        <v>127</v>
      </c>
      <c r="N149" s="362">
        <f>VLOOKUP(A146,AuswertungA[],14,FALSE)</f>
        <v>130</v>
      </c>
      <c r="O149" s="362">
        <f>VLOOKUP(A146,AuswertungA[],19,FALSE)</f>
        <v>-0.05</v>
      </c>
      <c r="P149" s="362" t="str">
        <f>IFERROR(VLOOKUP(A146,AuswertungA[],22,FALSE)&amp;" ["&amp;_xlfn.RANK.EQ(VLOOKUP(A146,AuswertungA[],22,FALSE),AuswertungA[GEGGES A],0)&amp;"]","")</f>
        <v>538 [12]</v>
      </c>
      <c r="Q149" s="362" t="str">
        <f>VLOOKUP(A146,AuswertungA[],25,FALSE)</f>
        <v>[4]</v>
      </c>
      <c r="R149" s="362" t="str">
        <f>IFERROR(VLOOKUP(A146,Rekorde[],24,FALSE)&amp;" ["&amp;_xlfn.RANK.EQ(VLOOKUP(A146,Rekorde[],24,FALSE),Rekorde[Volle A],0)&amp;"]","")</f>
        <v>366 [19]</v>
      </c>
      <c r="S149" s="362" t="str">
        <f>IFERROR(VLOOKUP(A146,Rekorde[],25,FALSE)&amp;" ["&amp;_xlfn.RANK.EQ(VLOOKUP(A146,Rekorde[],25,FALSE),Rekorde[Räumer A],0)&amp;"]","")</f>
        <v>206 [6]</v>
      </c>
    </row>
    <row r="150" spans="1:19" ht="30" customHeight="1" thickBot="1" x14ac:dyDescent="0.35"/>
    <row r="151" spans="1:19" ht="30" customHeight="1" thickBot="1" x14ac:dyDescent="0.35">
      <c r="A151" s="353" t="str">
        <f>VLOOKUP(ROUNDUP(ROW()/4,0),Teamzuordnung[],2,FALSE)</f>
        <v>Peter Paulmann</v>
      </c>
      <c r="B151" s="349" t="s">
        <v>63</v>
      </c>
      <c r="C151" s="347" t="s">
        <v>610</v>
      </c>
      <c r="D151" s="347" t="s">
        <v>605</v>
      </c>
      <c r="E151" s="346" t="s">
        <v>100</v>
      </c>
      <c r="F151" s="346" t="s">
        <v>21</v>
      </c>
      <c r="G151" s="346" t="s">
        <v>22</v>
      </c>
      <c r="H151" s="346" t="s">
        <v>23</v>
      </c>
      <c r="I151" s="346" t="s">
        <v>24</v>
      </c>
      <c r="J151" s="346" t="s">
        <v>25</v>
      </c>
      <c r="K151" s="346" t="s">
        <v>606</v>
      </c>
      <c r="L151" s="346" t="s">
        <v>607</v>
      </c>
      <c r="M151" s="346" t="s">
        <v>608</v>
      </c>
      <c r="N151" s="346" t="s">
        <v>609</v>
      </c>
      <c r="O151" s="346" t="s">
        <v>218</v>
      </c>
      <c r="P151" s="347" t="s">
        <v>611</v>
      </c>
      <c r="Q151" s="347" t="s">
        <v>199</v>
      </c>
      <c r="R151" s="347" t="s">
        <v>603</v>
      </c>
      <c r="S151" s="348" t="s">
        <v>604</v>
      </c>
    </row>
    <row r="152" spans="1:19" ht="30" customHeight="1" thickBot="1" x14ac:dyDescent="0.35">
      <c r="A152" s="350" t="s">
        <v>26</v>
      </c>
      <c r="B152" s="355" t="str">
        <f>IFERROR(VLOOKUP(A151,AuswertungG[],8,FALSE)&amp;" ["&amp;_xlfn.RANK.EQ(VLOOKUP(A151,AuswertungG[],8,FALSE),AuswertungG[GES],0)&amp;"]","")</f>
        <v>515 [17]</v>
      </c>
      <c r="C152" s="356">
        <f>VLOOKUP(A151,Vorjahr[],2,FALSE)</f>
        <v>506</v>
      </c>
      <c r="D152" s="356" t="str">
        <f>IFERROR(VLOOKUP(A151,Rekorde[],3,FALSE)&amp;" ["&amp;_xlfn.RANK.EQ(VLOOKUP(A151,Rekorde[],3,FALSE),Rekorde[GES],0)&amp;"]","")</f>
        <v>561 [13]</v>
      </c>
      <c r="E152" s="356">
        <f>VLOOKUP(A151,AuswertungG[],3,FALSE)</f>
        <v>5</v>
      </c>
      <c r="F152" s="356" t="str">
        <f>IFERROR(VLOOKUP(A151,AuswertungG[],5,FALSE)&amp;" ["&amp;_xlfn.RANK.EQ(VLOOKUP(A151,AuswertungG[],5,FALSE),AuswertungG[Volle],0)&amp;"]","")</f>
        <v>350 [19]</v>
      </c>
      <c r="G152" s="356" t="str">
        <f>IFERROR(VLOOKUP(A151,AuswertungG[],6,FALSE)&amp;" ["&amp;_xlfn.RANK.EQ(VLOOKUP(A151,AuswertungG[],6,FALSE),AuswertungG[Räumer],0)&amp;"]","")</f>
        <v>165 [17]</v>
      </c>
      <c r="H152" s="356" t="str">
        <f>IFERROR(VLOOKUP(A151,AuswertungG[],7,FALSE)&amp;" ["&amp;_xlfn.RANK.EQ(VLOOKUP(A151,AuswertungG[],7,FALSE),AuswertungG[Fehler],1)&amp;"]","")</f>
        <v>8,4 [18]</v>
      </c>
      <c r="I152" s="357">
        <f>IFERROR(VLOOKUP(A151,AuswertungG[],9,FALSE)/4,"")</f>
        <v>0.57499999999999996</v>
      </c>
      <c r="J152" s="357">
        <f>VLOOKUP(A151,AuswertungG[],10,FALSE)</f>
        <v>0.67</v>
      </c>
      <c r="K152" s="356">
        <f>VLOOKUP(A151,AuswertungG[],11,FALSE)</f>
        <v>131</v>
      </c>
      <c r="L152" s="356">
        <f>VLOOKUP(A151,AuswertungG[],12,FALSE)</f>
        <v>128</v>
      </c>
      <c r="M152" s="356">
        <f>VLOOKUP(A151,AuswertungG[],13,FALSE)</f>
        <v>123</v>
      </c>
      <c r="N152" s="356">
        <f>VLOOKUP(A151,AuswertungG[],14,FALSE)</f>
        <v>123</v>
      </c>
      <c r="O152" s="356">
        <f>VLOOKUP(A151,AuswertungG[],19,FALSE)</f>
        <v>4.3099999999999996</v>
      </c>
      <c r="P152" s="356" t="str">
        <f>IFERROR(VLOOKUP(A151,AuswertungG[],22,FALSE)&amp;" ["&amp;_xlfn.RANK.EQ(VLOOKUP(A151,AuswertungG[],22,FALSE),AuswertungG[GEGGES],0)&amp;"]","")</f>
        <v>495 [24]</v>
      </c>
      <c r="Q152" s="356" t="str">
        <f>VLOOKUP(A151,AuswertungG[],25,FALSE)</f>
        <v>[1][6]</v>
      </c>
      <c r="R152" s="356" t="str">
        <f>IFERROR(VLOOKUP(A151,Rekorde[],4,FALSE)&amp;" ["&amp;_xlfn.RANK.EQ(VLOOKUP(A151,Rekorde[],4,FALSE),Rekorde[Volle],0)&amp;"]","")</f>
        <v>364 [24]</v>
      </c>
      <c r="S152" s="356" t="str">
        <f>IFERROR(VLOOKUP(A151,Rekorde[],5,FALSE)&amp;" ["&amp;_xlfn.RANK.EQ(VLOOKUP(A151,Rekorde[],5,FALSE),Rekorde[Räumer],0)&amp;"]","")</f>
        <v>210 [5]</v>
      </c>
    </row>
    <row r="153" spans="1:19" ht="30" customHeight="1" thickBot="1" x14ac:dyDescent="0.35">
      <c r="A153" s="351" t="s">
        <v>118</v>
      </c>
      <c r="B153" s="358" t="str">
        <f>IFERROR(VLOOKUP(A151,AuswertungH[],8,FALSE)&amp;" ["&amp;_xlfn.RANK.EQ(VLOOKUP(A151,AuswertungH[],8,FALSE),AuswertungH[GES H],0)&amp;"]","")</f>
        <v>469 [30]</v>
      </c>
      <c r="C153" s="359">
        <f>VLOOKUP(A151,Vorjahr[],6,FALSE)</f>
        <v>495</v>
      </c>
      <c r="D153" s="359" t="str">
        <f>IFERROR(VLOOKUP(A151,Rekorde[],13,FALSE)&amp;" ["&amp;_xlfn.RANK.EQ(VLOOKUP(A151,Rekorde[],13,FALSE),Rekorde[GES H],0)&amp;"]","")</f>
        <v>469 [29]</v>
      </c>
      <c r="E153" s="359">
        <f>VLOOKUP(A151,AuswertungH[],3,FALSE)</f>
        <v>1</v>
      </c>
      <c r="F153" s="359" t="str">
        <f>IFERROR(VLOOKUP(A151,AuswertungG[],5,FALSE)&amp;" ["&amp;_xlfn.RANK.EQ(VLOOKUP(A151,AuswertungH[],5,FALSE),AuswertungH[Volle H],0)&amp;"]","")</f>
        <v>350 [19]</v>
      </c>
      <c r="G153" s="359" t="str">
        <f>IFERROR(VLOOKUP(A151,AuswertungH[],6,FALSE)&amp;" ["&amp;_xlfn.RANK.EQ(VLOOKUP(A151,AuswertungH[],6,FALSE),AuswertungH[Räumer H],0)&amp;"]","")</f>
        <v>120 [33]</v>
      </c>
      <c r="H153" s="359" t="str">
        <f>IFERROR(VLOOKUP(A151,AuswertungH[],7,FALSE)&amp;" ["&amp;_xlfn.RANK.EQ(VLOOKUP(A151,AuswertungH[],7,FALSE),AuswertungH[Fehler H],1)&amp;"]","")</f>
        <v>14 [31]</v>
      </c>
      <c r="I153" s="360">
        <f>IFERROR(VLOOKUP(A151,AuswertungH[],9,FALSE)/4,"")</f>
        <v>0.625</v>
      </c>
      <c r="J153" s="360">
        <f>VLOOKUP(A151,AuswertungH[],10,FALSE)</f>
        <v>1</v>
      </c>
      <c r="K153" s="359">
        <f>VLOOKUP(A151,AuswertungH[],11,FALSE)</f>
        <v>113</v>
      </c>
      <c r="L153" s="359">
        <f>VLOOKUP(A151,AuswertungH[],12,FALSE)</f>
        <v>131</v>
      </c>
      <c r="M153" s="359">
        <f>VLOOKUP(A151,AuswertungH[],13,FALSE)</f>
        <v>119</v>
      </c>
      <c r="N153" s="359">
        <f>VLOOKUP(A151,AuswertungH[],14,FALSE)</f>
        <v>106</v>
      </c>
      <c r="O153" s="359">
        <f>VLOOKUP(A151,AuswertungH[],19,FALSE)</f>
        <v>0</v>
      </c>
      <c r="P153" s="359" t="str">
        <f>IFERROR(VLOOKUP(A151,AuswertungH[],22,FALSE)&amp;" ["&amp;_xlfn.RANK.EQ(VLOOKUP(A151,AuswertungH[],22,FALSE),AuswertungH[GEGGES H],0)&amp;"]","")</f>
        <v>462 [26]</v>
      </c>
      <c r="Q153" s="359" t="str">
        <f>VLOOKUP(A151,AuswertungH[],25,FALSE)</f>
        <v>[1]</v>
      </c>
      <c r="R153" s="359" t="str">
        <f>IFERROR(VLOOKUP(A151,Rekorde[],14,FALSE)&amp;" ["&amp;_xlfn.RANK.EQ(VLOOKUP(A151,Rekorde[],14,FALSE),Rekorde[Volle H],0)&amp;"]","")</f>
        <v>349 [25]</v>
      </c>
      <c r="S153" s="359" t="str">
        <f>IFERROR(VLOOKUP(A151,Rekorde[],15,FALSE)&amp;" ["&amp;_xlfn.RANK.EQ(VLOOKUP(A151,Rekorde[],15,FALSE),Rekorde[Räumer H],0)&amp;"]","")</f>
        <v>120 [34]</v>
      </c>
    </row>
    <row r="154" spans="1:19" ht="30" customHeight="1" thickBot="1" x14ac:dyDescent="0.35">
      <c r="A154" s="352" t="s">
        <v>119</v>
      </c>
      <c r="B154" s="361" t="str">
        <f>IFERROR(VLOOKUP(A151,AuswertungA[],8,FALSE)&amp;" ["&amp;_xlfn.RANK.EQ(VLOOKUP(A151,AuswertungA[],8,FALSE),AuswertungA[GES A],0)&amp;"]","")</f>
        <v>527 [13]</v>
      </c>
      <c r="C154" s="362">
        <f>VLOOKUP(A151,Vorjahr[],10,FALSE)</f>
        <v>517</v>
      </c>
      <c r="D154" s="362" t="str">
        <f>IFERROR(VLOOKUP(A151,Rekorde[],23,FALSE)&amp;" ["&amp;_xlfn.RANK.EQ(VLOOKUP(A151,Rekorde[],23,FALSE),Rekorde[GES A],0)&amp;"]","")</f>
        <v>561 [12]</v>
      </c>
      <c r="E154" s="362">
        <f>VLOOKUP(A151,AuswertungA[],3,FALSE)</f>
        <v>4</v>
      </c>
      <c r="F154" s="362" t="str">
        <f>IFERROR(VLOOKUP(A151,AuswertungA[],5,FALSE)&amp;" ["&amp;_xlfn.RANK.EQ(VLOOKUP(A151,AuswertungA[],5,FALSE),AuswertungA[Volle A],0)&amp;"]","")</f>
        <v>350 [20]</v>
      </c>
      <c r="G154" s="362" t="str">
        <f>IFERROR(VLOOKUP(A151,AuswertungA[],6,FALSE)&amp;" ["&amp;_xlfn.RANK.EQ(VLOOKUP(A151,AuswertungA[],6,FALSE),AuswertungA[Räumer A],0)&amp;"]","")</f>
        <v>176 [11]</v>
      </c>
      <c r="H154" s="362" t="str">
        <f>IFERROR(VLOOKUP(A151,AuswertungA[],7,FALSE)&amp;" ["&amp;_xlfn.RANK.EQ(VLOOKUP(A151,AuswertungA[],7,FALSE),AuswertungA[Fehler A],1)&amp;"]","")</f>
        <v>7 [12]</v>
      </c>
      <c r="I154" s="363">
        <f>IFERROR(VLOOKUP(A151,AuswertungA[],9,FALSE)/4,"")</f>
        <v>0.5625</v>
      </c>
      <c r="J154" s="363">
        <f>VLOOKUP(A151,AuswertungA[],10,FALSE)</f>
        <v>0.5</v>
      </c>
      <c r="K154" s="362">
        <f>VLOOKUP(A151,AuswertungA[],11,FALSE)</f>
        <v>140</v>
      </c>
      <c r="L154" s="362">
        <f>VLOOKUP(A151,AuswertungA[],12,FALSE)</f>
        <v>127</v>
      </c>
      <c r="M154" s="362">
        <f>VLOOKUP(A151,AuswertungA[],13,FALSE)</f>
        <v>126</v>
      </c>
      <c r="N154" s="362">
        <f>VLOOKUP(A151,AuswertungA[],14,FALSE)</f>
        <v>138</v>
      </c>
      <c r="O154" s="362">
        <f>VLOOKUP(A151,AuswertungA[],19,FALSE)</f>
        <v>3.51</v>
      </c>
      <c r="P154" s="362" t="str">
        <f>IFERROR(VLOOKUP(A151,AuswertungA[],22,FALSE)&amp;" ["&amp;_xlfn.RANK.EQ(VLOOKUP(A151,AuswertungA[],22,FALSE),AuswertungA[GEGGES A],0)&amp;"]","")</f>
        <v>511 [20]</v>
      </c>
      <c r="Q154" s="362" t="str">
        <f>VLOOKUP(A151,AuswertungA[],25,FALSE)</f>
        <v>[6]</v>
      </c>
      <c r="R154" s="362" t="str">
        <f>IFERROR(VLOOKUP(A151,Rekorde[],24,FALSE)&amp;" ["&amp;_xlfn.RANK.EQ(VLOOKUP(A151,Rekorde[],24,FALSE),Rekorde[Volle A],0)&amp;"]","")</f>
        <v>364 [23]</v>
      </c>
      <c r="S154" s="362" t="str">
        <f>IFERROR(VLOOKUP(A151,Rekorde[],25,FALSE)&amp;" ["&amp;_xlfn.RANK.EQ(VLOOKUP(A151,Rekorde[],25,FALSE),Rekorde[Räumer A],0)&amp;"]","")</f>
        <v>210 [5]</v>
      </c>
    </row>
    <row r="155" spans="1:19" ht="9.6" customHeight="1" thickBot="1" x14ac:dyDescent="0.35"/>
    <row r="156" spans="1:19" ht="30" customHeight="1" thickBot="1" x14ac:dyDescent="0.35">
      <c r="A156" s="353" t="str">
        <f>VLOOKUP(ROUNDUP(ROW()/4,0),Teamzuordnung[],2,FALSE)</f>
        <v>Peter Weißling</v>
      </c>
      <c r="B156" s="349" t="s">
        <v>63</v>
      </c>
      <c r="C156" s="347" t="s">
        <v>610</v>
      </c>
      <c r="D156" s="347" t="s">
        <v>605</v>
      </c>
      <c r="E156" s="346" t="s">
        <v>100</v>
      </c>
      <c r="F156" s="346" t="s">
        <v>21</v>
      </c>
      <c r="G156" s="346" t="s">
        <v>22</v>
      </c>
      <c r="H156" s="346" t="s">
        <v>23</v>
      </c>
      <c r="I156" s="346" t="s">
        <v>24</v>
      </c>
      <c r="J156" s="346" t="s">
        <v>25</v>
      </c>
      <c r="K156" s="346" t="s">
        <v>606</v>
      </c>
      <c r="L156" s="346" t="s">
        <v>607</v>
      </c>
      <c r="M156" s="346" t="s">
        <v>608</v>
      </c>
      <c r="N156" s="346" t="s">
        <v>609</v>
      </c>
      <c r="O156" s="346" t="s">
        <v>218</v>
      </c>
      <c r="P156" s="347" t="s">
        <v>611</v>
      </c>
      <c r="Q156" s="347" t="s">
        <v>199</v>
      </c>
      <c r="R156" s="347" t="s">
        <v>603</v>
      </c>
      <c r="S156" s="348" t="s">
        <v>604</v>
      </c>
    </row>
    <row r="157" spans="1:19" ht="30" customHeight="1" thickBot="1" x14ac:dyDescent="0.35">
      <c r="A157" s="350" t="s">
        <v>26</v>
      </c>
      <c r="B157" s="355" t="str">
        <f>IFERROR(VLOOKUP(A156,AuswertungG[],8,FALSE)&amp;" ["&amp;_xlfn.RANK.EQ(VLOOKUP(A156,AuswertungG[],8,FALSE),AuswertungG[GES],0)&amp;"]","")</f>
        <v>487 [31]</v>
      </c>
      <c r="C157" s="356">
        <f>VLOOKUP(A156,Vorjahr[],2,FALSE)</f>
        <v>511</v>
      </c>
      <c r="D157" s="356" t="str">
        <f>IFERROR(VLOOKUP(A156,Rekorde[],3,FALSE)&amp;" ["&amp;_xlfn.RANK.EQ(VLOOKUP(A156,Rekorde[],3,FALSE),Rekorde[GES],0)&amp;"]","")</f>
        <v>487 [33]</v>
      </c>
      <c r="E157" s="356">
        <f>VLOOKUP(A156,AuswertungG[],3,FALSE)</f>
        <v>1</v>
      </c>
      <c r="F157" s="356" t="str">
        <f>IFERROR(VLOOKUP(A156,AuswertungG[],5,FALSE)&amp;" ["&amp;_xlfn.RANK.EQ(VLOOKUP(A156,AuswertungG[],5,FALSE),AuswertungG[Volle],0)&amp;"]","")</f>
        <v>342 [29]</v>
      </c>
      <c r="G157" s="356" t="str">
        <f>IFERROR(VLOOKUP(A156,AuswertungG[],6,FALSE)&amp;" ["&amp;_xlfn.RANK.EQ(VLOOKUP(A156,AuswertungG[],6,FALSE),AuswertungG[Räumer],0)&amp;"]","")</f>
        <v>145 [28]</v>
      </c>
      <c r="H157" s="356" t="str">
        <f>IFERROR(VLOOKUP(A156,AuswertungG[],7,FALSE)&amp;" ["&amp;_xlfn.RANK.EQ(VLOOKUP(A156,AuswertungG[],7,FALSE),AuswertungG[Fehler],1)&amp;"]","")</f>
        <v>8 [16]</v>
      </c>
      <c r="I157" s="357">
        <f>IFERROR(VLOOKUP(A156,AuswertungG[],9,FALSE)/4,"")</f>
        <v>0.5</v>
      </c>
      <c r="J157" s="357">
        <f>VLOOKUP(A156,AuswertungG[],10,FALSE)</f>
        <v>1</v>
      </c>
      <c r="K157" s="356">
        <f>VLOOKUP(A156,AuswertungG[],11,FALSE)</f>
        <v>113</v>
      </c>
      <c r="L157" s="356">
        <f>VLOOKUP(A156,AuswertungG[],12,FALSE)</f>
        <v>138</v>
      </c>
      <c r="M157" s="356">
        <f>VLOOKUP(A156,AuswertungG[],13,FALSE)</f>
        <v>130</v>
      </c>
      <c r="N157" s="356">
        <f>VLOOKUP(A156,AuswertungG[],14,FALSE)</f>
        <v>130</v>
      </c>
      <c r="O157" s="356" t="str">
        <f>VLOOKUP(A156,AuswertungG[],19,FALSE)</f>
        <v/>
      </c>
      <c r="P157" s="356" t="str">
        <f>IFERROR(VLOOKUP(A156,AuswertungG[],22,FALSE)&amp;" ["&amp;_xlfn.RANK.EQ(VLOOKUP(A156,AuswertungG[],22,FALSE),AuswertungG[GEGGES],0)&amp;"]","")</f>
        <v>473 [31]</v>
      </c>
      <c r="Q157" s="356" t="str">
        <f>VLOOKUP(A156,AuswertungG[],25,FALSE)</f>
        <v>[3]</v>
      </c>
      <c r="R157" s="356" t="str">
        <f>IFERROR(VLOOKUP(A156,Rekorde[],4,FALSE)&amp;" ["&amp;_xlfn.RANK.EQ(VLOOKUP(A156,Rekorde[],4,FALSE),Rekorde[Volle],0)&amp;"]","")</f>
        <v>342 [31]</v>
      </c>
      <c r="S157" s="356" t="str">
        <f>IFERROR(VLOOKUP(A156,Rekorde[],5,FALSE)&amp;" ["&amp;_xlfn.RANK.EQ(VLOOKUP(A156,Rekorde[],5,FALSE),Rekorde[Räumer],0)&amp;"]","")</f>
        <v>145 [33]</v>
      </c>
    </row>
    <row r="158" spans="1:19" ht="30" customHeight="1" thickBot="1" x14ac:dyDescent="0.35">
      <c r="A158" s="351" t="s">
        <v>118</v>
      </c>
      <c r="B158" s="358" t="str">
        <f>IFERROR(VLOOKUP(A156,AuswertungH[],8,FALSE)&amp;" ["&amp;_xlfn.RANK.EQ(VLOOKUP(A156,AuswertungH[],8,FALSE),AuswertungH[GES H],0)&amp;"]","")</f>
        <v/>
      </c>
      <c r="C158" s="359">
        <f>VLOOKUP(A156,Vorjahr[],6,FALSE)</f>
        <v>512</v>
      </c>
      <c r="D158" s="359" t="str">
        <f>IFERROR(VLOOKUP(A156,Rekorde[],13,FALSE)&amp;" ["&amp;_xlfn.RANK.EQ(VLOOKUP(A156,Rekorde[],13,FALSE),Rekorde[GES H],0)&amp;"]","")</f>
        <v/>
      </c>
      <c r="E158" s="359">
        <f>VLOOKUP(A156,AuswertungH[],3,FALSE)</f>
        <v>0</v>
      </c>
      <c r="F158" s="359" t="str">
        <f>IFERROR(VLOOKUP(A156,AuswertungG[],5,FALSE)&amp;" ["&amp;_xlfn.RANK.EQ(VLOOKUP(A156,AuswertungH[],5,FALSE),AuswertungH[Volle H],0)&amp;"]","")</f>
        <v/>
      </c>
      <c r="G158" s="359" t="str">
        <f>IFERROR(VLOOKUP(A156,AuswertungH[],6,FALSE)&amp;" ["&amp;_xlfn.RANK.EQ(VLOOKUP(A156,AuswertungH[],6,FALSE),AuswertungH[Räumer H],0)&amp;"]","")</f>
        <v/>
      </c>
      <c r="H158" s="359" t="str">
        <f>IFERROR(VLOOKUP(A156,AuswertungH[],7,FALSE)&amp;" ["&amp;_xlfn.RANK.EQ(VLOOKUP(A156,AuswertungH[],7,FALSE),AuswertungH[Fehler H],1)&amp;"]","")</f>
        <v/>
      </c>
      <c r="I158" s="360" t="str">
        <f>IFERROR(VLOOKUP(A156,AuswertungH[],9,FALSE)/4,"")</f>
        <v/>
      </c>
      <c r="J158" s="360" t="str">
        <f>VLOOKUP(A156,AuswertungH[],10,FALSE)</f>
        <v/>
      </c>
      <c r="K158" s="359" t="str">
        <f>VLOOKUP(A156,AuswertungH[],11,FALSE)</f>
        <v/>
      </c>
      <c r="L158" s="359" t="str">
        <f>VLOOKUP(A156,AuswertungH[],12,FALSE)</f>
        <v/>
      </c>
      <c r="M158" s="359" t="str">
        <f>VLOOKUP(A156,AuswertungH[],13,FALSE)</f>
        <v/>
      </c>
      <c r="N158" s="359" t="str">
        <f>VLOOKUP(A156,AuswertungH[],14,FALSE)</f>
        <v/>
      </c>
      <c r="O158" s="359">
        <f>VLOOKUP(A156,AuswertungH[],19,FALSE)</f>
        <v>0</v>
      </c>
      <c r="P158" s="359" t="str">
        <f>IFERROR(VLOOKUP(A156,AuswertungH[],22,FALSE)&amp;" ["&amp;_xlfn.RANK.EQ(VLOOKUP(A156,AuswertungH[],22,FALSE),AuswertungH[GEGGES H],0)&amp;"]","")</f>
        <v/>
      </c>
      <c r="Q158" s="359" t="str">
        <f>VLOOKUP(A156,AuswertungH[],25,FALSE)</f>
        <v/>
      </c>
      <c r="R158" s="359" t="str">
        <f>IFERROR(VLOOKUP(A156,Rekorde[],14,FALSE)&amp;" ["&amp;_xlfn.RANK.EQ(VLOOKUP(A156,Rekorde[],14,FALSE),Rekorde[Volle H],0)&amp;"]","")</f>
        <v/>
      </c>
      <c r="S158" s="359" t="str">
        <f>IFERROR(VLOOKUP(A156,Rekorde[],15,FALSE)&amp;" ["&amp;_xlfn.RANK.EQ(VLOOKUP(A156,Rekorde[],15,FALSE),Rekorde[Räumer H],0)&amp;"]","")</f>
        <v/>
      </c>
    </row>
    <row r="159" spans="1:19" ht="30" customHeight="1" thickBot="1" x14ac:dyDescent="0.35">
      <c r="A159" s="352" t="s">
        <v>119</v>
      </c>
      <c r="B159" s="361" t="str">
        <f>IFERROR(VLOOKUP(A156,AuswertungA[],8,FALSE)&amp;" ["&amp;_xlfn.RANK.EQ(VLOOKUP(A156,AuswertungA[],8,FALSE),AuswertungA[GES A],0)&amp;"]","")</f>
        <v>487 [26]</v>
      </c>
      <c r="C159" s="362">
        <f>VLOOKUP(A156,Vorjahr[],10,FALSE)</f>
        <v>508</v>
      </c>
      <c r="D159" s="362" t="str">
        <f>IFERROR(VLOOKUP(A156,Rekorde[],23,FALSE)&amp;" ["&amp;_xlfn.RANK.EQ(VLOOKUP(A156,Rekorde[],23,FALSE),Rekorde[GES A],0)&amp;"]","")</f>
        <v>487 [30]</v>
      </c>
      <c r="E159" s="362">
        <f>VLOOKUP(A156,AuswertungA[],3,FALSE)</f>
        <v>1</v>
      </c>
      <c r="F159" s="362" t="str">
        <f>IFERROR(VLOOKUP(A156,AuswertungA[],5,FALSE)&amp;" ["&amp;_xlfn.RANK.EQ(VLOOKUP(A156,AuswertungA[],5,FALSE),AuswertungA[Volle A],0)&amp;"]","")</f>
        <v>342 [26]</v>
      </c>
      <c r="G159" s="362" t="str">
        <f>IFERROR(VLOOKUP(A156,AuswertungA[],6,FALSE)&amp;" ["&amp;_xlfn.RANK.EQ(VLOOKUP(A156,AuswertungA[],6,FALSE),AuswertungA[Räumer A],0)&amp;"]","")</f>
        <v>145 [25]</v>
      </c>
      <c r="H159" s="362" t="str">
        <f>IFERROR(VLOOKUP(A156,AuswertungA[],7,FALSE)&amp;" ["&amp;_xlfn.RANK.EQ(VLOOKUP(A156,AuswertungA[],7,FALSE),AuswertungA[Fehler A],1)&amp;"]","")</f>
        <v>8 [17]</v>
      </c>
      <c r="I159" s="363">
        <f>IFERROR(VLOOKUP(A156,AuswertungA[],9,FALSE)/4,"")</f>
        <v>0.5</v>
      </c>
      <c r="J159" s="363">
        <f>VLOOKUP(A156,AuswertungA[],10,FALSE)</f>
        <v>1</v>
      </c>
      <c r="K159" s="362">
        <f>VLOOKUP(A156,AuswertungA[],11,FALSE)</f>
        <v>113</v>
      </c>
      <c r="L159" s="362">
        <f>VLOOKUP(A156,AuswertungA[],12,FALSE)</f>
        <v>138</v>
      </c>
      <c r="M159" s="362">
        <f>VLOOKUP(A156,AuswertungA[],13,FALSE)</f>
        <v>130</v>
      </c>
      <c r="N159" s="362">
        <f>VLOOKUP(A156,AuswertungA[],14,FALSE)</f>
        <v>106</v>
      </c>
      <c r="O159" s="362" t="str">
        <f>VLOOKUP(A156,AuswertungA[],19,FALSE)</f>
        <v/>
      </c>
      <c r="P159" s="362" t="str">
        <f>IFERROR(VLOOKUP(A156,AuswertungA[],22,FALSE)&amp;" ["&amp;_xlfn.RANK.EQ(VLOOKUP(A156,AuswertungA[],22,FALSE),AuswertungA[GEGGES A],0)&amp;"]","")</f>
        <v>473 [29]</v>
      </c>
      <c r="Q159" s="362" t="str">
        <f>VLOOKUP(A156,AuswertungA[],25,FALSE)</f>
        <v>[3]</v>
      </c>
      <c r="R159" s="362" t="str">
        <f>IFERROR(VLOOKUP(A156,Rekorde[],24,FALSE)&amp;" ["&amp;_xlfn.RANK.EQ(VLOOKUP(A156,Rekorde[],24,FALSE),Rekorde[Volle A],0)&amp;"]","")</f>
        <v>342 [29]</v>
      </c>
      <c r="S159" s="362" t="str">
        <f>IFERROR(VLOOKUP(A156,Rekorde[],25,FALSE)&amp;" ["&amp;_xlfn.RANK.EQ(VLOOKUP(A156,Rekorde[],25,FALSE),Rekorde[Räumer A],0)&amp;"]","")</f>
        <v>145 [29]</v>
      </c>
    </row>
    <row r="160" spans="1:19" ht="30" customHeight="1" thickBot="1" x14ac:dyDescent="0.35"/>
    <row r="161" spans="1:19" ht="30" customHeight="1" thickBot="1" x14ac:dyDescent="0.35">
      <c r="A161" s="353" t="str">
        <f>VLOOKUP(ROUNDUP(ROW()/4,0),Teamzuordnung[],2,FALSE)</f>
        <v>Philipp Paulmann</v>
      </c>
      <c r="B161" s="349" t="s">
        <v>63</v>
      </c>
      <c r="C161" s="347" t="s">
        <v>610</v>
      </c>
      <c r="D161" s="347" t="s">
        <v>605</v>
      </c>
      <c r="E161" s="346" t="s">
        <v>100</v>
      </c>
      <c r="F161" s="346" t="s">
        <v>21</v>
      </c>
      <c r="G161" s="346" t="s">
        <v>22</v>
      </c>
      <c r="H161" s="346" t="s">
        <v>23</v>
      </c>
      <c r="I161" s="346" t="s">
        <v>24</v>
      </c>
      <c r="J161" s="346" t="s">
        <v>25</v>
      </c>
      <c r="K161" s="346" t="s">
        <v>606</v>
      </c>
      <c r="L161" s="346" t="s">
        <v>607</v>
      </c>
      <c r="M161" s="346" t="s">
        <v>608</v>
      </c>
      <c r="N161" s="346" t="s">
        <v>609</v>
      </c>
      <c r="O161" s="346" t="s">
        <v>218</v>
      </c>
      <c r="P161" s="347" t="s">
        <v>611</v>
      </c>
      <c r="Q161" s="347" t="s">
        <v>199</v>
      </c>
      <c r="R161" s="347" t="s">
        <v>603</v>
      </c>
      <c r="S161" s="348" t="s">
        <v>604</v>
      </c>
    </row>
    <row r="162" spans="1:19" ht="30" customHeight="1" thickBot="1" x14ac:dyDescent="0.35">
      <c r="A162" s="350" t="s">
        <v>26</v>
      </c>
      <c r="B162" s="355" t="str">
        <f>IFERROR(VLOOKUP(A161,AuswertungG[],8,FALSE)&amp;" ["&amp;_xlfn.RANK.EQ(VLOOKUP(A161,AuswertungG[],8,FALSE),AuswertungG[GES],0)&amp;"]","")</f>
        <v>568 [1]</v>
      </c>
      <c r="C162" s="356">
        <f>VLOOKUP(A161,Vorjahr[],2,FALSE)</f>
        <v>572</v>
      </c>
      <c r="D162" s="356" t="str">
        <f>IFERROR(VLOOKUP(A161,Rekorde[],3,FALSE)&amp;" ["&amp;_xlfn.RANK.EQ(VLOOKUP(A161,Rekorde[],3,FALSE),Rekorde[GES],0)&amp;"]","")</f>
        <v>649 [1]</v>
      </c>
      <c r="E162" s="356">
        <f>VLOOKUP(A161,AuswertungG[],3,FALSE)</f>
        <v>13</v>
      </c>
      <c r="F162" s="356" t="str">
        <f>IFERROR(VLOOKUP(A161,AuswertungG[],5,FALSE)&amp;" ["&amp;_xlfn.RANK.EQ(VLOOKUP(A161,AuswertungG[],5,FALSE),AuswertungG[Volle],0)&amp;"]","")</f>
        <v>369 [1]</v>
      </c>
      <c r="G162" s="356" t="str">
        <f>IFERROR(VLOOKUP(A161,AuswertungG[],6,FALSE)&amp;" ["&amp;_xlfn.RANK.EQ(VLOOKUP(A161,AuswertungG[],6,FALSE),AuswertungG[Räumer],0)&amp;"]","")</f>
        <v>199 [1]</v>
      </c>
      <c r="H162" s="356" t="str">
        <f>IFERROR(VLOOKUP(A161,AuswertungG[],7,FALSE)&amp;" ["&amp;_xlfn.RANK.EQ(VLOOKUP(A161,AuswertungG[],7,FALSE),AuswertungG[Fehler],1)&amp;"]","")</f>
        <v>2,8 [1]</v>
      </c>
      <c r="I162" s="357">
        <f>IFERROR(VLOOKUP(A161,AuswertungG[],9,FALSE)/4,"")</f>
        <v>0.57499999999999996</v>
      </c>
      <c r="J162" s="357">
        <f>VLOOKUP(A161,AuswertungG[],10,FALSE)</f>
        <v>0.62</v>
      </c>
      <c r="K162" s="356">
        <f>VLOOKUP(A161,AuswertungG[],11,FALSE)</f>
        <v>147</v>
      </c>
      <c r="L162" s="356">
        <f>VLOOKUP(A161,AuswertungG[],12,FALSE)</f>
        <v>139</v>
      </c>
      <c r="M162" s="356">
        <f>VLOOKUP(A161,AuswertungG[],13,FALSE)</f>
        <v>142</v>
      </c>
      <c r="N162" s="356">
        <f>VLOOKUP(A161,AuswertungG[],14,FALSE)</f>
        <v>142</v>
      </c>
      <c r="O162" s="356">
        <f>VLOOKUP(A161,AuswertungG[],19,FALSE)</f>
        <v>-3.17</v>
      </c>
      <c r="P162" s="356" t="str">
        <f>IFERROR(VLOOKUP(A161,AuswertungG[],22,FALSE)&amp;" ["&amp;_xlfn.RANK.EQ(VLOOKUP(A161,AuswertungG[],22,FALSE),AuswertungG[GEGGES],0)&amp;"]","")</f>
        <v>546 [2]</v>
      </c>
      <c r="Q162" s="356" t="str">
        <f>VLOOKUP(A161,AuswertungG[],25,FALSE)</f>
        <v>[3]</v>
      </c>
      <c r="R162" s="356" t="str">
        <f>IFERROR(VLOOKUP(A161,Rekorde[],4,FALSE)&amp;" ["&amp;_xlfn.RANK.EQ(VLOOKUP(A161,Rekorde[],4,FALSE),Rekorde[Volle],0)&amp;"]","")</f>
        <v>405 [1]</v>
      </c>
      <c r="S162" s="356" t="str">
        <f>IFERROR(VLOOKUP(A161,Rekorde[],5,FALSE)&amp;" ["&amp;_xlfn.RANK.EQ(VLOOKUP(A161,Rekorde[],5,FALSE),Rekorde[Räumer],0)&amp;"]","")</f>
        <v>244 [2]</v>
      </c>
    </row>
    <row r="163" spans="1:19" ht="30" customHeight="1" thickBot="1" x14ac:dyDescent="0.35">
      <c r="A163" s="351" t="s">
        <v>118</v>
      </c>
      <c r="B163" s="358" t="str">
        <f>IFERROR(VLOOKUP(A161,AuswertungH[],8,FALSE)&amp;" ["&amp;_xlfn.RANK.EQ(VLOOKUP(A161,AuswertungH[],8,FALSE),AuswertungH[GES H],0)&amp;"]","")</f>
        <v>570 [1]</v>
      </c>
      <c r="C163" s="359">
        <f>VLOOKUP(A161,Vorjahr[],6,FALSE)</f>
        <v>569</v>
      </c>
      <c r="D163" s="359" t="str">
        <f>IFERROR(VLOOKUP(A161,Rekorde[],13,FALSE)&amp;" ["&amp;_xlfn.RANK.EQ(VLOOKUP(A161,Rekorde[],13,FALSE),Rekorde[GES H],0)&amp;"]","")</f>
        <v>610 [1]</v>
      </c>
      <c r="E163" s="359">
        <f>VLOOKUP(A161,AuswertungH[],3,FALSE)</f>
        <v>8</v>
      </c>
      <c r="F163" s="359" t="str">
        <f>IFERROR(VLOOKUP(A161,AuswertungG[],5,FALSE)&amp;" ["&amp;_xlfn.RANK.EQ(VLOOKUP(A161,AuswertungH[],5,FALSE),AuswertungH[Volle H],0)&amp;"]","")</f>
        <v>369 [1]</v>
      </c>
      <c r="G163" s="359" t="str">
        <f>IFERROR(VLOOKUP(A161,AuswertungH[],6,FALSE)&amp;" ["&amp;_xlfn.RANK.EQ(VLOOKUP(A161,AuswertungH[],6,FALSE),AuswertungH[Räumer H],0)&amp;"]","")</f>
        <v>200 [1]</v>
      </c>
      <c r="H163" s="359" t="str">
        <f>IFERROR(VLOOKUP(A161,AuswertungH[],7,FALSE)&amp;" ["&amp;_xlfn.RANK.EQ(VLOOKUP(A161,AuswertungH[],7,FALSE),AuswertungH[Fehler H],1)&amp;"]","")</f>
        <v>1,6 [1]</v>
      </c>
      <c r="I163" s="360">
        <f>IFERROR(VLOOKUP(A161,AuswertungH[],9,FALSE)/4,"")</f>
        <v>0.65749999999999997</v>
      </c>
      <c r="J163" s="360">
        <f>VLOOKUP(A161,AuswertungH[],10,FALSE)</f>
        <v>0.75</v>
      </c>
      <c r="K163" s="359">
        <f>VLOOKUP(A161,AuswertungH[],11,FALSE)</f>
        <v>144</v>
      </c>
      <c r="L163" s="359">
        <f>VLOOKUP(A161,AuswertungH[],12,FALSE)</f>
        <v>137</v>
      </c>
      <c r="M163" s="359">
        <f>VLOOKUP(A161,AuswertungH[],13,FALSE)</f>
        <v>144</v>
      </c>
      <c r="N163" s="359">
        <f>VLOOKUP(A161,AuswertungH[],14,FALSE)</f>
        <v>145</v>
      </c>
      <c r="O163" s="359">
        <f>VLOOKUP(A161,AuswertungH[],19,FALSE)</f>
        <v>-4.1399999999999997</v>
      </c>
      <c r="P163" s="359" t="str">
        <f>IFERROR(VLOOKUP(A161,AuswertungH[],22,FALSE)&amp;" ["&amp;_xlfn.RANK.EQ(VLOOKUP(A161,AuswertungH[],22,FALSE),AuswertungH[GEGGES H],0)&amp;"]","")</f>
        <v>529 [2]</v>
      </c>
      <c r="Q163" s="359" t="str">
        <f>VLOOKUP(A161,AuswertungH[],25,FALSE)</f>
        <v>[3]</v>
      </c>
      <c r="R163" s="359" t="str">
        <f>IFERROR(VLOOKUP(A161,Rekorde[],14,FALSE)&amp;" ["&amp;_xlfn.RANK.EQ(VLOOKUP(A161,Rekorde[],14,FALSE),Rekorde[Volle H],0)&amp;"]","")</f>
        <v>385 [3]</v>
      </c>
      <c r="S163" s="359" t="str">
        <f>IFERROR(VLOOKUP(A161,Rekorde[],15,FALSE)&amp;" ["&amp;_xlfn.RANK.EQ(VLOOKUP(A161,Rekorde[],15,FALSE),Rekorde[Räumer H],0)&amp;"]","")</f>
        <v>232 [1]</v>
      </c>
    </row>
    <row r="164" spans="1:19" ht="30" customHeight="1" thickBot="1" x14ac:dyDescent="0.35">
      <c r="A164" s="352" t="s">
        <v>119</v>
      </c>
      <c r="B164" s="361" t="str">
        <f>IFERROR(VLOOKUP(A161,AuswertungA[],8,FALSE)&amp;" ["&amp;_xlfn.RANK.EQ(VLOOKUP(A161,AuswertungA[],8,FALSE),AuswertungA[GES A],0)&amp;"]","")</f>
        <v>566 [1]</v>
      </c>
      <c r="C164" s="362">
        <f>VLOOKUP(A161,Vorjahr[],10,FALSE)</f>
        <v>574</v>
      </c>
      <c r="D164" s="362" t="str">
        <f>IFERROR(VLOOKUP(A161,Rekorde[],23,FALSE)&amp;" ["&amp;_xlfn.RANK.EQ(VLOOKUP(A161,Rekorde[],23,FALSE),Rekorde[GES A],0)&amp;"]","")</f>
        <v>649 [1]</v>
      </c>
      <c r="E164" s="362">
        <f>VLOOKUP(A161,AuswertungA[],3,FALSE)</f>
        <v>5</v>
      </c>
      <c r="F164" s="362" t="str">
        <f>IFERROR(VLOOKUP(A161,AuswertungA[],5,FALSE)&amp;" ["&amp;_xlfn.RANK.EQ(VLOOKUP(A161,AuswertungA[],5,FALSE),AuswertungA[Volle A],0)&amp;"]","")</f>
        <v>368 [2]</v>
      </c>
      <c r="G164" s="362" t="str">
        <f>IFERROR(VLOOKUP(A161,AuswertungA[],6,FALSE)&amp;" ["&amp;_xlfn.RANK.EQ(VLOOKUP(A161,AuswertungA[],6,FALSE),AuswertungA[Räumer A],0)&amp;"]","")</f>
        <v>198 [1]</v>
      </c>
      <c r="H164" s="362" t="str">
        <f>IFERROR(VLOOKUP(A161,AuswertungA[],7,FALSE)&amp;" ["&amp;_xlfn.RANK.EQ(VLOOKUP(A161,AuswertungA[],7,FALSE),AuswertungA[Fehler A],1)&amp;"]","")</f>
        <v>4,6 [4]</v>
      </c>
      <c r="I164" s="363">
        <f>IFERROR(VLOOKUP(A161,AuswertungA[],9,FALSE)/4,"")</f>
        <v>0.42499999999999999</v>
      </c>
      <c r="J164" s="363">
        <f>VLOOKUP(A161,AuswertungA[],10,FALSE)</f>
        <v>0.4</v>
      </c>
      <c r="K164" s="362">
        <f>VLOOKUP(A161,AuswertungA[],11,FALSE)</f>
        <v>151</v>
      </c>
      <c r="L164" s="362">
        <f>VLOOKUP(A161,AuswertungA[],12,FALSE)</f>
        <v>142</v>
      </c>
      <c r="M164" s="362">
        <f>VLOOKUP(A161,AuswertungA[],13,FALSE)</f>
        <v>137</v>
      </c>
      <c r="N164" s="362">
        <f>VLOOKUP(A161,AuswertungA[],14,FALSE)</f>
        <v>134</v>
      </c>
      <c r="O164" s="362">
        <f>VLOOKUP(A161,AuswertungA[],19,FALSE)</f>
        <v>-0.92</v>
      </c>
      <c r="P164" s="362" t="str">
        <f>IFERROR(VLOOKUP(A161,AuswertungA[],22,FALSE)&amp;" ["&amp;_xlfn.RANK.EQ(VLOOKUP(A161,AuswertungA[],22,FALSE),AuswertungA[GEGGES A],0)&amp;"]","")</f>
        <v>574 [1]</v>
      </c>
      <c r="Q164" s="362" t="str">
        <f>VLOOKUP(A161,AuswertungA[],25,FALSE)</f>
        <v>[5]</v>
      </c>
      <c r="R164" s="362" t="str">
        <f>IFERROR(VLOOKUP(A161,Rekorde[],24,FALSE)&amp;" ["&amp;_xlfn.RANK.EQ(VLOOKUP(A161,Rekorde[],24,FALSE),Rekorde[Volle A],0)&amp;"]","")</f>
        <v>405 [1]</v>
      </c>
      <c r="S164" s="362" t="str">
        <f>IFERROR(VLOOKUP(A161,Rekorde[],25,FALSE)&amp;" ["&amp;_xlfn.RANK.EQ(VLOOKUP(A161,Rekorde[],25,FALSE),Rekorde[Räumer A],0)&amp;"]","")</f>
        <v>244 [2]</v>
      </c>
    </row>
    <row r="165" spans="1:19" ht="30" customHeight="1" thickBot="1" x14ac:dyDescent="0.35"/>
    <row r="166" spans="1:19" ht="30" customHeight="1" thickBot="1" x14ac:dyDescent="0.35">
      <c r="A166" s="353" t="str">
        <f>VLOOKUP(ROUNDUP(ROW()/4,0),Teamzuordnung[],2,FALSE)</f>
        <v>Pia Wätzig</v>
      </c>
      <c r="B166" s="349" t="s">
        <v>63</v>
      </c>
      <c r="C166" s="347" t="s">
        <v>610</v>
      </c>
      <c r="D166" s="347" t="s">
        <v>605</v>
      </c>
      <c r="E166" s="346" t="s">
        <v>100</v>
      </c>
      <c r="F166" s="346" t="s">
        <v>21</v>
      </c>
      <c r="G166" s="346" t="s">
        <v>22</v>
      </c>
      <c r="H166" s="346" t="s">
        <v>23</v>
      </c>
      <c r="I166" s="346" t="s">
        <v>24</v>
      </c>
      <c r="J166" s="346" t="s">
        <v>25</v>
      </c>
      <c r="K166" s="346" t="s">
        <v>606</v>
      </c>
      <c r="L166" s="346" t="s">
        <v>607</v>
      </c>
      <c r="M166" s="346" t="s">
        <v>608</v>
      </c>
      <c r="N166" s="346" t="s">
        <v>609</v>
      </c>
      <c r="O166" s="346" t="s">
        <v>218</v>
      </c>
      <c r="P166" s="347" t="s">
        <v>611</v>
      </c>
      <c r="Q166" s="347" t="s">
        <v>199</v>
      </c>
      <c r="R166" s="347" t="s">
        <v>603</v>
      </c>
      <c r="S166" s="348" t="s">
        <v>604</v>
      </c>
    </row>
    <row r="167" spans="1:19" ht="30" customHeight="1" thickBot="1" x14ac:dyDescent="0.35">
      <c r="A167" s="350" t="s">
        <v>26</v>
      </c>
      <c r="B167" s="355" t="str">
        <f>IFERROR(VLOOKUP(A166,AuswertungG[],8,FALSE)&amp;" ["&amp;_xlfn.RANK.EQ(VLOOKUP(A166,AuswertungG[],8,FALSE),AuswertungG[GES],0)&amp;"]","")</f>
        <v>461 [35]</v>
      </c>
      <c r="C167" s="356">
        <f>VLOOKUP(A166,Vorjahr[],2,FALSE)</f>
        <v>418</v>
      </c>
      <c r="D167" s="356" t="str">
        <f>IFERROR(VLOOKUP(A166,Rekorde[],3,FALSE)&amp;" ["&amp;_xlfn.RANK.EQ(VLOOKUP(A166,Rekorde[],3,FALSE),Rekorde[GES],0)&amp;"]","")</f>
        <v>500 [30]</v>
      </c>
      <c r="E167" s="356">
        <f>VLOOKUP(A166,AuswertungG[],3,FALSE)</f>
        <v>12</v>
      </c>
      <c r="F167" s="356" t="str">
        <f>IFERROR(VLOOKUP(A166,AuswertungG[],5,FALSE)&amp;" ["&amp;_xlfn.RANK.EQ(VLOOKUP(A166,AuswertungG[],5,FALSE),AuswertungG[Volle],0)&amp;"]","")</f>
        <v>327 [34]</v>
      </c>
      <c r="G167" s="356" t="str">
        <f>IFERROR(VLOOKUP(A166,AuswertungG[],6,FALSE)&amp;" ["&amp;_xlfn.RANK.EQ(VLOOKUP(A166,AuswertungG[],6,FALSE),AuswertungG[Räumer],0)&amp;"]","")</f>
        <v>134 [35]</v>
      </c>
      <c r="H167" s="356" t="str">
        <f>IFERROR(VLOOKUP(A166,AuswertungG[],7,FALSE)&amp;" ["&amp;_xlfn.RANK.EQ(VLOOKUP(A166,AuswertungG[],7,FALSE),AuswertungG[Fehler],1)&amp;"]","")</f>
        <v>15,1 [35]</v>
      </c>
      <c r="I167" s="357">
        <f>IFERROR(VLOOKUP(A166,AuswertungG[],9,FALSE)/4,"")</f>
        <v>0.125</v>
      </c>
      <c r="J167" s="357">
        <f>VLOOKUP(A166,AuswertungG[],10,FALSE)</f>
        <v>0</v>
      </c>
      <c r="K167" s="356">
        <f>VLOOKUP(A166,AuswertungG[],11,FALSE)</f>
        <v>115</v>
      </c>
      <c r="L167" s="356">
        <f>VLOOKUP(A166,AuswertungG[],12,FALSE)</f>
        <v>117</v>
      </c>
      <c r="M167" s="356">
        <f>VLOOKUP(A166,AuswertungG[],13,FALSE)</f>
        <v>114</v>
      </c>
      <c r="N167" s="356">
        <f>VLOOKUP(A166,AuswertungG[],14,FALSE)</f>
        <v>114</v>
      </c>
      <c r="O167" s="356">
        <f>VLOOKUP(A166,AuswertungG[],19,FALSE)</f>
        <v>0.68</v>
      </c>
      <c r="P167" s="356" t="str">
        <f>IFERROR(VLOOKUP(A166,AuswertungG[],22,FALSE)&amp;" ["&amp;_xlfn.RANK.EQ(VLOOKUP(A166,AuswertungG[],22,FALSE),AuswertungG[GEGGES],0)&amp;"]","")</f>
        <v>539 [3]</v>
      </c>
      <c r="Q167" s="356" t="str">
        <f>VLOOKUP(A166,AuswertungG[],25,FALSE)</f>
        <v>[1][3]</v>
      </c>
      <c r="R167" s="356" t="str">
        <f>IFERROR(VLOOKUP(A166,Rekorde[],4,FALSE)&amp;" ["&amp;_xlfn.RANK.EQ(VLOOKUP(A166,Rekorde[],4,FALSE),Rekorde[Volle],0)&amp;"]","")</f>
        <v>352 [27]</v>
      </c>
      <c r="S167" s="356" t="str">
        <f>IFERROR(VLOOKUP(A166,Rekorde[],5,FALSE)&amp;" ["&amp;_xlfn.RANK.EQ(VLOOKUP(A166,Rekorde[],5,FALSE),Rekorde[Räumer],0)&amp;"]","")</f>
        <v>160 [29]</v>
      </c>
    </row>
    <row r="168" spans="1:19" ht="30" customHeight="1" thickBot="1" x14ac:dyDescent="0.35">
      <c r="A168" s="351" t="s">
        <v>118</v>
      </c>
      <c r="B168" s="358" t="str">
        <f>IFERROR(VLOOKUP(A166,AuswertungH[],8,FALSE)&amp;" ["&amp;_xlfn.RANK.EQ(VLOOKUP(A166,AuswertungH[],8,FALSE),AuswertungH[GES H],0)&amp;"]","")</f>
        <v>443 [32]</v>
      </c>
      <c r="C168" s="359">
        <f>VLOOKUP(A166,Vorjahr[],6,FALSE)</f>
        <v>409</v>
      </c>
      <c r="D168" s="359" t="str">
        <f>IFERROR(VLOOKUP(A166,Rekorde[],13,FALSE)&amp;" ["&amp;_xlfn.RANK.EQ(VLOOKUP(A166,Rekorde[],13,FALSE),Rekorde[GES H],0)&amp;"]","")</f>
        <v>454 [30]</v>
      </c>
      <c r="E168" s="359">
        <f>VLOOKUP(A166,AuswertungH[],3,FALSE)</f>
        <v>3</v>
      </c>
      <c r="F168" s="359" t="str">
        <f>IFERROR(VLOOKUP(A166,AuswertungG[],5,FALSE)&amp;" ["&amp;_xlfn.RANK.EQ(VLOOKUP(A166,AuswertungH[],5,FALSE),AuswertungH[Volle H],0)&amp;"]","")</f>
        <v>327 [32]</v>
      </c>
      <c r="G168" s="359" t="str">
        <f>IFERROR(VLOOKUP(A166,AuswertungH[],6,FALSE)&amp;" ["&amp;_xlfn.RANK.EQ(VLOOKUP(A166,AuswertungH[],6,FALSE),AuswertungH[Räumer H],0)&amp;"]","")</f>
        <v>128 [31]</v>
      </c>
      <c r="H168" s="359" t="str">
        <f>IFERROR(VLOOKUP(A166,AuswertungH[],7,FALSE)&amp;" ["&amp;_xlfn.RANK.EQ(VLOOKUP(A166,AuswertungH[],7,FALSE),AuswertungH[Fehler H],1)&amp;"]","")</f>
        <v>14,7 [32]</v>
      </c>
      <c r="I168" s="360" t="str">
        <f>IFERROR(VLOOKUP(A166,AuswertungH[],9,FALSE)/4,"")</f>
        <v/>
      </c>
      <c r="J168" s="360" t="str">
        <f>VLOOKUP(A166,AuswertungH[],10,FALSE)</f>
        <v/>
      </c>
      <c r="K168" s="359">
        <f>VLOOKUP(A166,AuswertungH[],11,FALSE)</f>
        <v>105</v>
      </c>
      <c r="L168" s="359">
        <f>VLOOKUP(A166,AuswertungH[],12,FALSE)</f>
        <v>111</v>
      </c>
      <c r="M168" s="359">
        <f>VLOOKUP(A166,AuswertungH[],13,FALSE)</f>
        <v>118</v>
      </c>
      <c r="N168" s="359">
        <f>VLOOKUP(A166,AuswertungH[],14,FALSE)</f>
        <v>109</v>
      </c>
      <c r="O168" s="359">
        <f>VLOOKUP(A166,AuswertungH[],19,FALSE)</f>
        <v>-1.57</v>
      </c>
      <c r="P168" s="359" t="str">
        <f>IFERROR(VLOOKUP(A166,AuswertungH[],22,FALSE)&amp;" ["&amp;_xlfn.RANK.EQ(VLOOKUP(A166,AuswertungH[],22,FALSE),AuswertungH[GEGGES H],0)&amp;"]","")</f>
        <v/>
      </c>
      <c r="Q168" s="359" t="str">
        <f>VLOOKUP(A166,AuswertungH[],25,FALSE)</f>
        <v/>
      </c>
      <c r="R168" s="359" t="str">
        <f>IFERROR(VLOOKUP(A166,Rekorde[],14,FALSE)&amp;" ["&amp;_xlfn.RANK.EQ(VLOOKUP(A166,Rekorde[],14,FALSE),Rekorde[Volle H],0)&amp;"]","")</f>
        <v>322 [30]</v>
      </c>
      <c r="S168" s="359" t="str">
        <f>IFERROR(VLOOKUP(A166,Rekorde[],15,FALSE)&amp;" ["&amp;_xlfn.RANK.EQ(VLOOKUP(A166,Rekorde[],15,FALSE),Rekorde[Räumer H],0)&amp;"]","")</f>
        <v>142 [27]</v>
      </c>
    </row>
    <row r="169" spans="1:19" ht="30" customHeight="1" thickBot="1" x14ac:dyDescent="0.35">
      <c r="A169" s="352" t="s">
        <v>119</v>
      </c>
      <c r="B169" s="361" t="str">
        <f>IFERROR(VLOOKUP(A166,AuswertungA[],8,FALSE)&amp;" ["&amp;_xlfn.RANK.EQ(VLOOKUP(A166,AuswertungA[],8,FALSE),AuswertungA[GES A],0)&amp;"]","")</f>
        <v>467 [30]</v>
      </c>
      <c r="C169" s="362">
        <f>VLOOKUP(A166,Vorjahr[],10,FALSE)</f>
        <v>421</v>
      </c>
      <c r="D169" s="362" t="str">
        <f>IFERROR(VLOOKUP(A166,Rekorde[],23,FALSE)&amp;" ["&amp;_xlfn.RANK.EQ(VLOOKUP(A166,Rekorde[],23,FALSE),Rekorde[GES A],0)&amp;"]","")</f>
        <v>500 [28]</v>
      </c>
      <c r="E169" s="362">
        <f>VLOOKUP(A166,AuswertungA[],3,FALSE)</f>
        <v>9</v>
      </c>
      <c r="F169" s="362" t="str">
        <f>IFERROR(VLOOKUP(A166,AuswertungA[],5,FALSE)&amp;" ["&amp;_xlfn.RANK.EQ(VLOOKUP(A166,AuswertungA[],5,FALSE),AuswertungA[Volle A],0)&amp;"]","")</f>
        <v>331 [29]</v>
      </c>
      <c r="G169" s="362" t="str">
        <f>IFERROR(VLOOKUP(A166,AuswertungA[],6,FALSE)&amp;" ["&amp;_xlfn.RANK.EQ(VLOOKUP(A166,AuswertungA[],6,FALSE),AuswertungA[Räumer A],0)&amp;"]","")</f>
        <v>136 [30]</v>
      </c>
      <c r="H169" s="362" t="str">
        <f>IFERROR(VLOOKUP(A166,AuswertungA[],7,FALSE)&amp;" ["&amp;_xlfn.RANK.EQ(VLOOKUP(A166,AuswertungA[],7,FALSE),AuswertungA[Fehler A],1)&amp;"]","")</f>
        <v>15,2 [30]</v>
      </c>
      <c r="I169" s="363">
        <f>IFERROR(VLOOKUP(A166,AuswertungA[],9,FALSE)/4,"")</f>
        <v>0.125</v>
      </c>
      <c r="J169" s="363">
        <f>VLOOKUP(A166,AuswertungA[],10,FALSE)</f>
        <v>0</v>
      </c>
      <c r="K169" s="362">
        <f>VLOOKUP(A166,AuswertungA[],11,FALSE)</f>
        <v>119</v>
      </c>
      <c r="L169" s="362">
        <f>VLOOKUP(A166,AuswertungA[],12,FALSE)</f>
        <v>119</v>
      </c>
      <c r="M169" s="362">
        <f>VLOOKUP(A166,AuswertungA[],13,FALSE)</f>
        <v>112</v>
      </c>
      <c r="N169" s="362">
        <f>VLOOKUP(A166,AuswertungA[],14,FALSE)</f>
        <v>117</v>
      </c>
      <c r="O169" s="362">
        <f>VLOOKUP(A166,AuswertungA[],19,FALSE)</f>
        <v>1.22</v>
      </c>
      <c r="P169" s="362" t="str">
        <f>IFERROR(VLOOKUP(A166,AuswertungA[],22,FALSE)&amp;" ["&amp;_xlfn.RANK.EQ(VLOOKUP(A166,AuswertungA[],22,FALSE),AuswertungA[GEGGES A],0)&amp;"]","")</f>
        <v>539 [10]</v>
      </c>
      <c r="Q169" s="362" t="str">
        <f>VLOOKUP(A166,AuswertungA[],25,FALSE)</f>
        <v>[1][3]</v>
      </c>
      <c r="R169" s="362" t="str">
        <f>IFERROR(VLOOKUP(A166,Rekorde[],24,FALSE)&amp;" ["&amp;_xlfn.RANK.EQ(VLOOKUP(A166,Rekorde[],24,FALSE),Rekorde[Volle A],0)&amp;"]","")</f>
        <v>352 [25]</v>
      </c>
      <c r="S169" s="362" t="str">
        <f>IFERROR(VLOOKUP(A166,Rekorde[],25,FALSE)&amp;" ["&amp;_xlfn.RANK.EQ(VLOOKUP(A166,Rekorde[],25,FALSE),Rekorde[Räumer A],0)&amp;"]","")</f>
        <v>160 [26]</v>
      </c>
    </row>
    <row r="170" spans="1:19" ht="30" customHeight="1" thickBot="1" x14ac:dyDescent="0.35"/>
    <row r="171" spans="1:19" ht="30" customHeight="1" thickBot="1" x14ac:dyDescent="0.35">
      <c r="A171" s="353" t="str">
        <f>VLOOKUP(ROUNDUP(ROW()/4,0),Teamzuordnung[],2,FALSE)</f>
        <v>Sophia Stirl</v>
      </c>
      <c r="B171" s="349" t="s">
        <v>63</v>
      </c>
      <c r="C171" s="347" t="s">
        <v>610</v>
      </c>
      <c r="D171" s="347" t="s">
        <v>605</v>
      </c>
      <c r="E171" s="346" t="s">
        <v>100</v>
      </c>
      <c r="F171" s="346" t="s">
        <v>21</v>
      </c>
      <c r="G171" s="346" t="s">
        <v>22</v>
      </c>
      <c r="H171" s="346" t="s">
        <v>23</v>
      </c>
      <c r="I171" s="346" t="s">
        <v>24</v>
      </c>
      <c r="J171" s="346" t="s">
        <v>25</v>
      </c>
      <c r="K171" s="346" t="s">
        <v>606</v>
      </c>
      <c r="L171" s="346" t="s">
        <v>607</v>
      </c>
      <c r="M171" s="346" t="s">
        <v>608</v>
      </c>
      <c r="N171" s="346" t="s">
        <v>609</v>
      </c>
      <c r="O171" s="346" t="s">
        <v>218</v>
      </c>
      <c r="P171" s="347" t="s">
        <v>611</v>
      </c>
      <c r="Q171" s="347" t="s">
        <v>199</v>
      </c>
      <c r="R171" s="347" t="s">
        <v>603</v>
      </c>
      <c r="S171" s="348" t="s">
        <v>604</v>
      </c>
    </row>
    <row r="172" spans="1:19" ht="30" customHeight="1" thickBot="1" x14ac:dyDescent="0.35">
      <c r="A172" s="350" t="s">
        <v>26</v>
      </c>
      <c r="B172" s="355" t="str">
        <f>IFERROR(VLOOKUP(A171,AuswertungG[],8,FALSE)&amp;" ["&amp;_xlfn.RANK.EQ(VLOOKUP(A171,AuswertungG[],8,FALSE),AuswertungG[GES],0)&amp;"]","")</f>
        <v>386 [37]</v>
      </c>
      <c r="C172" s="356">
        <f>VLOOKUP(A171,Vorjahr[],2,FALSE)</f>
        <v>343</v>
      </c>
      <c r="D172" s="356" t="str">
        <f>IFERROR(VLOOKUP(A171,Rekorde[],3,FALSE)&amp;" ["&amp;_xlfn.RANK.EQ(VLOOKUP(A171,Rekorde[],3,FALSE),Rekorde[GES],0)&amp;"]","")</f>
        <v>438 [36]</v>
      </c>
      <c r="E172" s="356">
        <f>VLOOKUP(A171,AuswertungG[],3,FALSE)</f>
        <v>9</v>
      </c>
      <c r="F172" s="356" t="str">
        <f>IFERROR(VLOOKUP(A171,AuswertungG[],5,FALSE)&amp;" ["&amp;_xlfn.RANK.EQ(VLOOKUP(A171,AuswertungG[],5,FALSE),AuswertungG[Volle],0)&amp;"]","")</f>
        <v>289 [37]</v>
      </c>
      <c r="G172" s="356" t="str">
        <f>IFERROR(VLOOKUP(A171,AuswertungG[],6,FALSE)&amp;" ["&amp;_xlfn.RANK.EQ(VLOOKUP(A171,AuswertungG[],6,FALSE),AuswertungG[Räumer],0)&amp;"]","")</f>
        <v>97 [38]</v>
      </c>
      <c r="H172" s="356" t="str">
        <f>IFERROR(VLOOKUP(A171,AuswertungG[],7,FALSE)&amp;" ["&amp;_xlfn.RANK.EQ(VLOOKUP(A171,AuswertungG[],7,FALSE),AuswertungG[Fehler],1)&amp;"]","")</f>
        <v>24,2 [38]</v>
      </c>
      <c r="I172" s="357" t="str">
        <f>IFERROR(VLOOKUP(A171,AuswertungG[],9,FALSE)/4,"")</f>
        <v/>
      </c>
      <c r="J172" s="357" t="str">
        <f>VLOOKUP(A171,AuswertungG[],10,FALSE)</f>
        <v/>
      </c>
      <c r="K172" s="356">
        <f>VLOOKUP(A171,AuswertungG[],11,FALSE)</f>
        <v>93</v>
      </c>
      <c r="L172" s="356">
        <f>VLOOKUP(A171,AuswertungG[],12,FALSE)</f>
        <v>100</v>
      </c>
      <c r="M172" s="356">
        <f>VLOOKUP(A171,AuswertungG[],13,FALSE)</f>
        <v>95</v>
      </c>
      <c r="N172" s="356">
        <f>VLOOKUP(A171,AuswertungG[],14,FALSE)</f>
        <v>95</v>
      </c>
      <c r="O172" s="356">
        <f>VLOOKUP(A171,AuswertungG[],19,FALSE)</f>
        <v>2.46</v>
      </c>
      <c r="P172" s="356" t="str">
        <f>IFERROR(VLOOKUP(A171,AuswertungG[],22,FALSE)&amp;" ["&amp;_xlfn.RANK.EQ(VLOOKUP(A171,AuswertungG[],22,FALSE),AuswertungG[GEGGES],0)&amp;"]","")</f>
        <v/>
      </c>
      <c r="Q172" s="356" t="str">
        <f>VLOOKUP(A171,AuswertungG[],25,FALSE)</f>
        <v/>
      </c>
      <c r="R172" s="356" t="str">
        <f>IFERROR(VLOOKUP(A171,Rekorde[],4,FALSE)&amp;" ["&amp;_xlfn.RANK.EQ(VLOOKUP(A171,Rekorde[],4,FALSE),Rekorde[Volle],0)&amp;"]","")</f>
        <v>340 [33]</v>
      </c>
      <c r="S172" s="356" t="str">
        <f>IFERROR(VLOOKUP(A171,Rekorde[],5,FALSE)&amp;" ["&amp;_xlfn.RANK.EQ(VLOOKUP(A171,Rekorde[],5,FALSE),Rekorde[Räumer],0)&amp;"]","")</f>
        <v>127 [36]</v>
      </c>
    </row>
    <row r="173" spans="1:19" ht="30" customHeight="1" thickBot="1" x14ac:dyDescent="0.35">
      <c r="A173" s="351" t="s">
        <v>118</v>
      </c>
      <c r="B173" s="358" t="str">
        <f>IFERROR(VLOOKUP(A171,AuswertungH[],8,FALSE)&amp;" ["&amp;_xlfn.RANK.EQ(VLOOKUP(A171,AuswertungH[],8,FALSE),AuswertungH[GES H],0)&amp;"]","")</f>
        <v>376 [35]</v>
      </c>
      <c r="C173" s="359">
        <f>VLOOKUP(A171,Vorjahr[],6,FALSE)</f>
        <v>352</v>
      </c>
      <c r="D173" s="359" t="str">
        <f>IFERROR(VLOOKUP(A171,Rekorde[],13,FALSE)&amp;" ["&amp;_xlfn.RANK.EQ(VLOOKUP(A171,Rekorde[],13,FALSE),Rekorde[GES H],0)&amp;"]","")</f>
        <v>420 [33]</v>
      </c>
      <c r="E173" s="359">
        <f>VLOOKUP(A171,AuswertungH[],3,FALSE)</f>
        <v>3</v>
      </c>
      <c r="F173" s="359" t="str">
        <f>IFERROR(VLOOKUP(A171,AuswertungG[],5,FALSE)&amp;" ["&amp;_xlfn.RANK.EQ(VLOOKUP(A171,AuswertungH[],5,FALSE),AuswertungH[Volle H],0)&amp;"]","")</f>
        <v>289 [34]</v>
      </c>
      <c r="G173" s="359" t="str">
        <f>IFERROR(VLOOKUP(A171,AuswertungH[],6,FALSE)&amp;" ["&amp;_xlfn.RANK.EQ(VLOOKUP(A171,AuswertungH[],6,FALSE),AuswertungH[Räumer H],0)&amp;"]","")</f>
        <v>101 [35]</v>
      </c>
      <c r="H173" s="359" t="str">
        <f>IFERROR(VLOOKUP(A171,AuswertungH[],7,FALSE)&amp;" ["&amp;_xlfn.RANK.EQ(VLOOKUP(A171,AuswertungH[],7,FALSE),AuswertungH[Fehler H],1)&amp;"]","")</f>
        <v>23 [35]</v>
      </c>
      <c r="I173" s="360" t="str">
        <f>IFERROR(VLOOKUP(A171,AuswertungH[],9,FALSE)/4,"")</f>
        <v/>
      </c>
      <c r="J173" s="360" t="str">
        <f>VLOOKUP(A171,AuswertungH[],10,FALSE)</f>
        <v/>
      </c>
      <c r="K173" s="359">
        <f>VLOOKUP(A171,AuswertungH[],11,FALSE)</f>
        <v>88</v>
      </c>
      <c r="L173" s="359">
        <f>VLOOKUP(A171,AuswertungH[],12,FALSE)</f>
        <v>97</v>
      </c>
      <c r="M173" s="359">
        <f>VLOOKUP(A171,AuswertungH[],13,FALSE)</f>
        <v>94</v>
      </c>
      <c r="N173" s="359">
        <f>VLOOKUP(A171,AuswertungH[],14,FALSE)</f>
        <v>97</v>
      </c>
      <c r="O173" s="359">
        <f>VLOOKUP(A171,AuswertungH[],19,FALSE)</f>
        <v>4.16</v>
      </c>
      <c r="P173" s="359" t="str">
        <f>IFERROR(VLOOKUP(A171,AuswertungH[],22,FALSE)&amp;" ["&amp;_xlfn.RANK.EQ(VLOOKUP(A171,AuswertungH[],22,FALSE),AuswertungH[GEGGES H],0)&amp;"]","")</f>
        <v/>
      </c>
      <c r="Q173" s="359" t="str">
        <f>VLOOKUP(A171,AuswertungH[],25,FALSE)</f>
        <v/>
      </c>
      <c r="R173" s="359" t="str">
        <f>IFERROR(VLOOKUP(A171,Rekorde[],14,FALSE)&amp;" ["&amp;_xlfn.RANK.EQ(VLOOKUP(A171,Rekorde[],14,FALSE),Rekorde[Volle H],0)&amp;"]","")</f>
        <v>297 [33]</v>
      </c>
      <c r="S173" s="359" t="str">
        <f>IFERROR(VLOOKUP(A171,Rekorde[],15,FALSE)&amp;" ["&amp;_xlfn.RANK.EQ(VLOOKUP(A171,Rekorde[],15,FALSE),Rekorde[Räumer H],0)&amp;"]","")</f>
        <v>123 [32]</v>
      </c>
    </row>
    <row r="174" spans="1:19" ht="30" customHeight="1" thickBot="1" x14ac:dyDescent="0.35">
      <c r="A174" s="352" t="s">
        <v>119</v>
      </c>
      <c r="B174" s="361" t="str">
        <f>IFERROR(VLOOKUP(A171,AuswertungA[],8,FALSE)&amp;" ["&amp;_xlfn.RANK.EQ(VLOOKUP(A171,AuswertungA[],8,FALSE),AuswertungA[GES A],0)&amp;"]","")</f>
        <v>391 [33]</v>
      </c>
      <c r="C174" s="362">
        <f>VLOOKUP(A171,Vorjahr[],10,FALSE)</f>
        <v>337</v>
      </c>
      <c r="D174" s="362" t="str">
        <f>IFERROR(VLOOKUP(A171,Rekorde[],23,FALSE)&amp;" ["&amp;_xlfn.RANK.EQ(VLOOKUP(A171,Rekorde[],23,FALSE),Rekorde[GES A],0)&amp;"]","")</f>
        <v>438 [32]</v>
      </c>
      <c r="E174" s="362">
        <f>VLOOKUP(A171,AuswertungA[],3,FALSE)</f>
        <v>6</v>
      </c>
      <c r="F174" s="362" t="str">
        <f>IFERROR(VLOOKUP(A171,AuswertungA[],5,FALSE)&amp;" ["&amp;_xlfn.RANK.EQ(VLOOKUP(A171,AuswertungA[],5,FALSE),AuswertungA[Volle A],0)&amp;"]","")</f>
        <v>296 [33]</v>
      </c>
      <c r="G174" s="362" t="str">
        <f>IFERROR(VLOOKUP(A171,AuswertungA[],6,FALSE)&amp;" ["&amp;_xlfn.RANK.EQ(VLOOKUP(A171,AuswertungA[],6,FALSE),AuswertungA[Räumer A],0)&amp;"]","")</f>
        <v>95 [34]</v>
      </c>
      <c r="H174" s="362" t="str">
        <f>IFERROR(VLOOKUP(A171,AuswertungA[],7,FALSE)&amp;" ["&amp;_xlfn.RANK.EQ(VLOOKUP(A171,AuswertungA[],7,FALSE),AuswertungA[Fehler A],1)&amp;"]","")</f>
        <v>24,8 [34]</v>
      </c>
      <c r="I174" s="363" t="str">
        <f>IFERROR(VLOOKUP(A171,AuswertungA[],9,FALSE)/4,"")</f>
        <v/>
      </c>
      <c r="J174" s="363" t="str">
        <f>VLOOKUP(A171,AuswertungA[],10,FALSE)</f>
        <v/>
      </c>
      <c r="K174" s="362">
        <f>VLOOKUP(A171,AuswertungA[],11,FALSE)</f>
        <v>96</v>
      </c>
      <c r="L174" s="362">
        <f>VLOOKUP(A171,AuswertungA[],12,FALSE)</f>
        <v>101</v>
      </c>
      <c r="M174" s="362">
        <f>VLOOKUP(A171,AuswertungA[],13,FALSE)</f>
        <v>95</v>
      </c>
      <c r="N174" s="362">
        <f>VLOOKUP(A171,AuswertungA[],14,FALSE)</f>
        <v>99</v>
      </c>
      <c r="O174" s="362">
        <f>VLOOKUP(A171,AuswertungA[],19,FALSE)</f>
        <v>1.61</v>
      </c>
      <c r="P174" s="362" t="str">
        <f>IFERROR(VLOOKUP(A171,AuswertungA[],22,FALSE)&amp;" ["&amp;_xlfn.RANK.EQ(VLOOKUP(A171,AuswertungA[],22,FALSE),AuswertungA[GEGGES A],0)&amp;"]","")</f>
        <v/>
      </c>
      <c r="Q174" s="362" t="str">
        <f>VLOOKUP(A171,AuswertungA[],25,FALSE)</f>
        <v/>
      </c>
      <c r="R174" s="362" t="str">
        <f>IFERROR(VLOOKUP(A171,Rekorde[],24,FALSE)&amp;" ["&amp;_xlfn.RANK.EQ(VLOOKUP(A171,Rekorde[],24,FALSE),Rekorde[Volle A],0)&amp;"]","")</f>
        <v>340 [30]</v>
      </c>
      <c r="S174" s="362" t="str">
        <f>IFERROR(VLOOKUP(A171,Rekorde[],25,FALSE)&amp;" ["&amp;_xlfn.RANK.EQ(VLOOKUP(A171,Rekorde[],25,FALSE),Rekorde[Räumer A],0)&amp;"]","")</f>
        <v>127 [32]</v>
      </c>
    </row>
    <row r="175" spans="1:19" ht="8.4" customHeight="1" thickBot="1" x14ac:dyDescent="0.35"/>
    <row r="176" spans="1:19" ht="30" customHeight="1" thickBot="1" x14ac:dyDescent="0.35">
      <c r="A176" s="353" t="str">
        <f>VLOOKUP(ROUNDUP(ROW()/4,0),Teamzuordnung[],2,FALSE)</f>
        <v>Stefan Teuber</v>
      </c>
      <c r="B176" s="349" t="s">
        <v>63</v>
      </c>
      <c r="C176" s="347" t="s">
        <v>610</v>
      </c>
      <c r="D176" s="347" t="s">
        <v>605</v>
      </c>
      <c r="E176" s="346" t="s">
        <v>100</v>
      </c>
      <c r="F176" s="346" t="s">
        <v>21</v>
      </c>
      <c r="G176" s="346" t="s">
        <v>22</v>
      </c>
      <c r="H176" s="346" t="s">
        <v>23</v>
      </c>
      <c r="I176" s="346" t="s">
        <v>24</v>
      </c>
      <c r="J176" s="346" t="s">
        <v>25</v>
      </c>
      <c r="K176" s="346" t="s">
        <v>606</v>
      </c>
      <c r="L176" s="346" t="s">
        <v>607</v>
      </c>
      <c r="M176" s="346" t="s">
        <v>608</v>
      </c>
      <c r="N176" s="346" t="s">
        <v>609</v>
      </c>
      <c r="O176" s="346" t="s">
        <v>218</v>
      </c>
      <c r="P176" s="347" t="s">
        <v>611</v>
      </c>
      <c r="Q176" s="347" t="s">
        <v>199</v>
      </c>
      <c r="R176" s="347" t="s">
        <v>603</v>
      </c>
      <c r="S176" s="348" t="s">
        <v>604</v>
      </c>
    </row>
    <row r="177" spans="1:19" ht="30" customHeight="1" thickBot="1" x14ac:dyDescent="0.35">
      <c r="A177" s="350" t="s">
        <v>26</v>
      </c>
      <c r="B177" s="355" t="str">
        <f>IFERROR(VLOOKUP(A176,AuswertungG[],8,FALSE)&amp;" ["&amp;_xlfn.RANK.EQ(VLOOKUP(A176,AuswertungG[],8,FALSE),AuswertungG[GES],0)&amp;"]","")</f>
        <v>526 [11]</v>
      </c>
      <c r="C177" s="356">
        <f>VLOOKUP(A176,Vorjahr[],2,FALSE)</f>
        <v>529</v>
      </c>
      <c r="D177" s="356" t="str">
        <f>IFERROR(VLOOKUP(A176,Rekorde[],3,FALSE)&amp;" ["&amp;_xlfn.RANK.EQ(VLOOKUP(A176,Rekorde[],3,FALSE),Rekorde[GES],0)&amp;"]","")</f>
        <v>579 [6]</v>
      </c>
      <c r="E177" s="356">
        <f>VLOOKUP(A176,AuswertungG[],3,FALSE)</f>
        <v>14</v>
      </c>
      <c r="F177" s="356" t="str">
        <f>IFERROR(VLOOKUP(A176,AuswertungG[],5,FALSE)&amp;" ["&amp;_xlfn.RANK.EQ(VLOOKUP(A176,AuswertungG[],5,FALSE),AuswertungG[Volle],0)&amp;"]","")</f>
        <v>355 [14]</v>
      </c>
      <c r="G177" s="356" t="str">
        <f>IFERROR(VLOOKUP(A176,AuswertungG[],6,FALSE)&amp;" ["&amp;_xlfn.RANK.EQ(VLOOKUP(A176,AuswertungG[],6,FALSE),AuswertungG[Räumer],0)&amp;"]","")</f>
        <v>171 [8]</v>
      </c>
      <c r="H177" s="356" t="str">
        <f>IFERROR(VLOOKUP(A176,AuswertungG[],7,FALSE)&amp;" ["&amp;_xlfn.RANK.EQ(VLOOKUP(A176,AuswertungG[],7,FALSE),AuswertungG[Fehler],1)&amp;"]","")</f>
        <v>5,9 [7]</v>
      </c>
      <c r="I177" s="357">
        <f>IFERROR(VLOOKUP(A176,AuswertungG[],9,FALSE)/4,"")</f>
        <v>0.42499999999999999</v>
      </c>
      <c r="J177" s="357">
        <f>VLOOKUP(A176,AuswertungG[],10,FALSE)</f>
        <v>0.28999999999999998</v>
      </c>
      <c r="K177" s="356">
        <f>VLOOKUP(A176,AuswertungG[],11,FALSE)</f>
        <v>132</v>
      </c>
      <c r="L177" s="356">
        <f>VLOOKUP(A176,AuswertungG[],12,FALSE)</f>
        <v>131</v>
      </c>
      <c r="M177" s="356">
        <f>VLOOKUP(A176,AuswertungG[],13,FALSE)</f>
        <v>132</v>
      </c>
      <c r="N177" s="356">
        <f>VLOOKUP(A176,AuswertungG[],14,FALSE)</f>
        <v>132</v>
      </c>
      <c r="O177" s="356">
        <f>VLOOKUP(A176,AuswertungG[],19,FALSE)</f>
        <v>0.71</v>
      </c>
      <c r="P177" s="356" t="str">
        <f>IFERROR(VLOOKUP(A176,AuswertungG[],22,FALSE)&amp;" ["&amp;_xlfn.RANK.EQ(VLOOKUP(A176,AuswertungG[],22,FALSE),AuswertungG[GEGGES],0)&amp;"]","")</f>
        <v>536 [4]</v>
      </c>
      <c r="Q177" s="356" t="str">
        <f>VLOOKUP(A176,AuswertungG[],25,FALSE)</f>
        <v>[4]</v>
      </c>
      <c r="R177" s="356" t="str">
        <f>IFERROR(VLOOKUP(A176,Rekorde[],4,FALSE)&amp;" ["&amp;_xlfn.RANK.EQ(VLOOKUP(A176,Rekorde[],4,FALSE),Rekorde[Volle],0)&amp;"]","")</f>
        <v>387 [9]</v>
      </c>
      <c r="S177" s="356" t="str">
        <f>IFERROR(VLOOKUP(A176,Rekorde[],5,FALSE)&amp;" ["&amp;_xlfn.RANK.EQ(VLOOKUP(A176,Rekorde[],5,FALSE),Rekorde[Räumer],0)&amp;"]","")</f>
        <v>192 [15]</v>
      </c>
    </row>
    <row r="178" spans="1:19" ht="30" customHeight="1" thickBot="1" x14ac:dyDescent="0.35">
      <c r="A178" s="351" t="s">
        <v>118</v>
      </c>
      <c r="B178" s="358" t="str">
        <f>IFERROR(VLOOKUP(A176,AuswertungH[],8,FALSE)&amp;" ["&amp;_xlfn.RANK.EQ(VLOOKUP(A176,AuswertungH[],8,FALSE),AuswertungH[GES H],0)&amp;"]","")</f>
        <v>516 [15]</v>
      </c>
      <c r="C178" s="359">
        <f>VLOOKUP(A176,Vorjahr[],6,FALSE)</f>
        <v>515</v>
      </c>
      <c r="D178" s="359" t="str">
        <f>IFERROR(VLOOKUP(A176,Rekorde[],13,FALSE)&amp;" ["&amp;_xlfn.RANK.EQ(VLOOKUP(A176,Rekorde[],13,FALSE),Rekorde[GES H],0)&amp;"]","")</f>
        <v>546 [10]</v>
      </c>
      <c r="E178" s="359">
        <f>VLOOKUP(A176,AuswertungH[],3,FALSE)</f>
        <v>9</v>
      </c>
      <c r="F178" s="359" t="str">
        <f>IFERROR(VLOOKUP(A176,AuswertungG[],5,FALSE)&amp;" ["&amp;_xlfn.RANK.EQ(VLOOKUP(A176,AuswertungH[],5,FALSE),AuswertungH[Volle H],0)&amp;"]","")</f>
        <v>355 [20]</v>
      </c>
      <c r="G178" s="359" t="str">
        <f>IFERROR(VLOOKUP(A176,AuswertungH[],6,FALSE)&amp;" ["&amp;_xlfn.RANK.EQ(VLOOKUP(A176,AuswertungH[],6,FALSE),AuswertungH[Räumer H],0)&amp;"]","")</f>
        <v>168 [12]</v>
      </c>
      <c r="H178" s="359" t="str">
        <f>IFERROR(VLOOKUP(A176,AuswertungH[],7,FALSE)&amp;" ["&amp;_xlfn.RANK.EQ(VLOOKUP(A176,AuswertungH[],7,FALSE),AuswertungH[Fehler H],1)&amp;"]","")</f>
        <v>5,7 [7]</v>
      </c>
      <c r="I178" s="360">
        <f>IFERROR(VLOOKUP(A176,AuswertungH[],9,FALSE)/4,"")</f>
        <v>0.36</v>
      </c>
      <c r="J178" s="360">
        <f>VLOOKUP(A176,AuswertungH[],10,FALSE)</f>
        <v>0.22</v>
      </c>
      <c r="K178" s="359">
        <f>VLOOKUP(A176,AuswertungH[],11,FALSE)</f>
        <v>130</v>
      </c>
      <c r="L178" s="359">
        <f>VLOOKUP(A176,AuswertungH[],12,FALSE)</f>
        <v>128</v>
      </c>
      <c r="M178" s="359">
        <f>VLOOKUP(A176,AuswertungH[],13,FALSE)</f>
        <v>131</v>
      </c>
      <c r="N178" s="359">
        <f>VLOOKUP(A176,AuswertungH[],14,FALSE)</f>
        <v>127</v>
      </c>
      <c r="O178" s="359">
        <f>VLOOKUP(A176,AuswertungH[],19,FALSE)</f>
        <v>-0.3</v>
      </c>
      <c r="P178" s="359" t="str">
        <f>IFERROR(VLOOKUP(A176,AuswertungH[],22,FALSE)&amp;" ["&amp;_xlfn.RANK.EQ(VLOOKUP(A176,AuswertungH[],22,FALSE),AuswertungH[GEGGES H],0)&amp;"]","")</f>
        <v>527 [3]</v>
      </c>
      <c r="Q178" s="359" t="str">
        <f>VLOOKUP(A176,AuswertungH[],25,FALSE)</f>
        <v>[4]</v>
      </c>
      <c r="R178" s="359" t="str">
        <f>IFERROR(VLOOKUP(A176,Rekorde[],14,FALSE)&amp;" ["&amp;_xlfn.RANK.EQ(VLOOKUP(A176,Rekorde[],14,FALSE),Rekorde[Volle H],0)&amp;"]","")</f>
        <v>363 [13]</v>
      </c>
      <c r="S178" s="359" t="str">
        <f>IFERROR(VLOOKUP(A176,Rekorde[],15,FALSE)&amp;" ["&amp;_xlfn.RANK.EQ(VLOOKUP(A176,Rekorde[],15,FALSE),Rekorde[Räumer H],0)&amp;"]","")</f>
        <v>183 [9]</v>
      </c>
    </row>
    <row r="179" spans="1:19" ht="30" customHeight="1" thickBot="1" x14ac:dyDescent="0.35">
      <c r="A179" s="352" t="s">
        <v>119</v>
      </c>
      <c r="B179" s="361" t="str">
        <f>IFERROR(VLOOKUP(A176,AuswertungA[],8,FALSE)&amp;" ["&amp;_xlfn.RANK.EQ(VLOOKUP(A176,AuswertungA[],8,FALSE),AuswertungA[GES A],0)&amp;"]","")</f>
        <v>545 [5]</v>
      </c>
      <c r="C179" s="362">
        <f>VLOOKUP(A176,Vorjahr[],10,FALSE)</f>
        <v>539</v>
      </c>
      <c r="D179" s="362" t="str">
        <f>IFERROR(VLOOKUP(A176,Rekorde[],23,FALSE)&amp;" ["&amp;_xlfn.RANK.EQ(VLOOKUP(A176,Rekorde[],23,FALSE),Rekorde[GES A],0)&amp;"]","")</f>
        <v>579 [6]</v>
      </c>
      <c r="E179" s="362">
        <f>VLOOKUP(A176,AuswertungA[],3,FALSE)</f>
        <v>5</v>
      </c>
      <c r="F179" s="362" t="str">
        <f>IFERROR(VLOOKUP(A176,AuswertungA[],5,FALSE)&amp;" ["&amp;_xlfn.RANK.EQ(VLOOKUP(A176,AuswertungA[],5,FALSE),AuswertungA[Volle A],0)&amp;"]","")</f>
        <v>368 [2]</v>
      </c>
      <c r="G179" s="362" t="str">
        <f>IFERROR(VLOOKUP(A176,AuswertungA[],6,FALSE)&amp;" ["&amp;_xlfn.RANK.EQ(VLOOKUP(A176,AuswertungA[],6,FALSE),AuswertungA[Räumer A],0)&amp;"]","")</f>
        <v>177 [10]</v>
      </c>
      <c r="H179" s="362" t="str">
        <f>IFERROR(VLOOKUP(A176,AuswertungA[],7,FALSE)&amp;" ["&amp;_xlfn.RANK.EQ(VLOOKUP(A176,AuswertungA[],7,FALSE),AuswertungA[Fehler A],1)&amp;"]","")</f>
        <v>6,4 [11]</v>
      </c>
      <c r="I179" s="363">
        <f>IFERROR(VLOOKUP(A176,AuswertungA[],9,FALSE)/4,"")</f>
        <v>0.52500000000000002</v>
      </c>
      <c r="J179" s="363">
        <f>VLOOKUP(A176,AuswertungA[],10,FALSE)</f>
        <v>0.4</v>
      </c>
      <c r="K179" s="362">
        <f>VLOOKUP(A176,AuswertungA[],11,FALSE)</f>
        <v>136</v>
      </c>
      <c r="L179" s="362">
        <f>VLOOKUP(A176,AuswertungA[],12,FALSE)</f>
        <v>138</v>
      </c>
      <c r="M179" s="362">
        <f>VLOOKUP(A176,AuswertungA[],13,FALSE)</f>
        <v>133</v>
      </c>
      <c r="N179" s="362">
        <f>VLOOKUP(A176,AuswertungA[],14,FALSE)</f>
        <v>138</v>
      </c>
      <c r="O179" s="362">
        <f>VLOOKUP(A176,AuswertungA[],19,FALSE)</f>
        <v>2.4500000000000002</v>
      </c>
      <c r="P179" s="362" t="str">
        <f>IFERROR(VLOOKUP(A176,AuswertungA[],22,FALSE)&amp;" ["&amp;_xlfn.RANK.EQ(VLOOKUP(A176,AuswertungA[],22,FALSE),AuswertungA[GEGGES A],0)&amp;"]","")</f>
        <v>551 [5]</v>
      </c>
      <c r="Q179" s="362" t="str">
        <f>VLOOKUP(A176,AuswertungA[],25,FALSE)</f>
        <v>[1]</v>
      </c>
      <c r="R179" s="362" t="str">
        <f>IFERROR(VLOOKUP(A176,Rekorde[],24,FALSE)&amp;" ["&amp;_xlfn.RANK.EQ(VLOOKUP(A176,Rekorde[],24,FALSE),Rekorde[Volle A],0)&amp;"]","")</f>
        <v>387 [8]</v>
      </c>
      <c r="S179" s="362" t="str">
        <f>IFERROR(VLOOKUP(A176,Rekorde[],25,FALSE)&amp;" ["&amp;_xlfn.RANK.EQ(VLOOKUP(A176,Rekorde[],25,FALSE),Rekorde[Räumer A],0)&amp;"]","")</f>
        <v>192 [14]</v>
      </c>
    </row>
    <row r="180" spans="1:19" ht="30" customHeight="1" thickBot="1" x14ac:dyDescent="0.35"/>
    <row r="181" spans="1:19" ht="30" customHeight="1" thickBot="1" x14ac:dyDescent="0.35">
      <c r="A181" s="353" t="str">
        <f>VLOOKUP(ROUNDUP(ROW()/4,0),Teamzuordnung[],2,FALSE)</f>
        <v>Sylke Schmidt</v>
      </c>
      <c r="B181" s="349" t="s">
        <v>63</v>
      </c>
      <c r="C181" s="347" t="s">
        <v>610</v>
      </c>
      <c r="D181" s="347" t="s">
        <v>605</v>
      </c>
      <c r="E181" s="346" t="s">
        <v>100</v>
      </c>
      <c r="F181" s="346" t="s">
        <v>21</v>
      </c>
      <c r="G181" s="346" t="s">
        <v>22</v>
      </c>
      <c r="H181" s="346" t="s">
        <v>23</v>
      </c>
      <c r="I181" s="346" t="s">
        <v>24</v>
      </c>
      <c r="J181" s="346" t="s">
        <v>25</v>
      </c>
      <c r="K181" s="346" t="s">
        <v>606</v>
      </c>
      <c r="L181" s="346" t="s">
        <v>607</v>
      </c>
      <c r="M181" s="346" t="s">
        <v>608</v>
      </c>
      <c r="N181" s="346" t="s">
        <v>609</v>
      </c>
      <c r="O181" s="346" t="s">
        <v>218</v>
      </c>
      <c r="P181" s="347" t="s">
        <v>611</v>
      </c>
      <c r="Q181" s="347" t="s">
        <v>199</v>
      </c>
      <c r="R181" s="347" t="s">
        <v>603</v>
      </c>
      <c r="S181" s="348" t="s">
        <v>604</v>
      </c>
    </row>
    <row r="182" spans="1:19" ht="30" customHeight="1" thickBot="1" x14ac:dyDescent="0.35">
      <c r="A182" s="350" t="s">
        <v>26</v>
      </c>
      <c r="B182" s="355" t="str">
        <f>IFERROR(VLOOKUP(A181,AuswertungG[],8,FALSE)&amp;" ["&amp;_xlfn.RANK.EQ(VLOOKUP(A181,AuswertungG[],8,FALSE),AuswertungG[GES],0)&amp;"]","")</f>
        <v>520 [15]</v>
      </c>
      <c r="C182" s="356">
        <f>VLOOKUP(A181,Vorjahr[],2,FALSE)</f>
        <v>516</v>
      </c>
      <c r="D182" s="356" t="str">
        <f>IFERROR(VLOOKUP(A181,Rekorde[],3,FALSE)&amp;" ["&amp;_xlfn.RANK.EQ(VLOOKUP(A181,Rekorde[],3,FALSE),Rekorde[GES],0)&amp;"]","")</f>
        <v>551 [19]</v>
      </c>
      <c r="E182" s="356">
        <f>VLOOKUP(A181,AuswertungG[],3,FALSE)</f>
        <v>7</v>
      </c>
      <c r="F182" s="356" t="str">
        <f>IFERROR(VLOOKUP(A181,AuswertungG[],5,FALSE)&amp;" ["&amp;_xlfn.RANK.EQ(VLOOKUP(A181,AuswertungG[],5,FALSE),AuswertungG[Volle],0)&amp;"]","")</f>
        <v>360 [9]</v>
      </c>
      <c r="G182" s="356" t="str">
        <f>IFERROR(VLOOKUP(A181,AuswertungG[],6,FALSE)&amp;" ["&amp;_xlfn.RANK.EQ(VLOOKUP(A181,AuswertungG[],6,FALSE),AuswertungG[Räumer],0)&amp;"]","")</f>
        <v>160 [22]</v>
      </c>
      <c r="H182" s="356" t="str">
        <f>IFERROR(VLOOKUP(A181,AuswertungG[],7,FALSE)&amp;" ["&amp;_xlfn.RANK.EQ(VLOOKUP(A181,AuswertungG[],7,FALSE),AuswertungG[Fehler],1)&amp;"]","")</f>
        <v>8,9 [21]</v>
      </c>
      <c r="I182" s="357">
        <f>IFERROR(VLOOKUP(A181,AuswertungG[],9,FALSE)/4,"")</f>
        <v>0.67500000000000004</v>
      </c>
      <c r="J182" s="357">
        <f>VLOOKUP(A181,AuswertungG[],10,FALSE)</f>
        <v>0.86</v>
      </c>
      <c r="K182" s="356">
        <f>VLOOKUP(A181,AuswertungG[],11,FALSE)</f>
        <v>131</v>
      </c>
      <c r="L182" s="356">
        <f>VLOOKUP(A181,AuswertungG[],12,FALSE)</f>
        <v>131</v>
      </c>
      <c r="M182" s="356">
        <f>VLOOKUP(A181,AuswertungG[],13,FALSE)</f>
        <v>128</v>
      </c>
      <c r="N182" s="356">
        <f>VLOOKUP(A181,AuswertungG[],14,FALSE)</f>
        <v>128</v>
      </c>
      <c r="O182" s="356">
        <f>VLOOKUP(A181,AuswertungG[],19,FALSE)</f>
        <v>2.89</v>
      </c>
      <c r="P182" s="356" t="str">
        <f>IFERROR(VLOOKUP(A181,AuswertungG[],22,FALSE)&amp;" ["&amp;_xlfn.RANK.EQ(VLOOKUP(A181,AuswertungG[],22,FALSE),AuswertungG[GEGGES],0)&amp;"]","")</f>
        <v>485 [25]</v>
      </c>
      <c r="Q182" s="356" t="str">
        <f>VLOOKUP(A181,AuswertungG[],25,FALSE)</f>
        <v>[6]</v>
      </c>
      <c r="R182" s="356" t="str">
        <f>IFERROR(VLOOKUP(A181,Rekorde[],4,FALSE)&amp;" ["&amp;_xlfn.RANK.EQ(VLOOKUP(A181,Rekorde[],4,FALSE),Rekorde[Volle],0)&amp;"]","")</f>
        <v>393 [3]</v>
      </c>
      <c r="S182" s="356" t="str">
        <f>IFERROR(VLOOKUP(A181,Rekorde[],5,FALSE)&amp;" ["&amp;_xlfn.RANK.EQ(VLOOKUP(A181,Rekorde[],5,FALSE),Rekorde[Räumer],0)&amp;"]","")</f>
        <v>180 [23]</v>
      </c>
    </row>
    <row r="183" spans="1:19" ht="30" customHeight="1" thickBot="1" x14ac:dyDescent="0.35">
      <c r="A183" s="351" t="s">
        <v>118</v>
      </c>
      <c r="B183" s="358" t="str">
        <f>IFERROR(VLOOKUP(A181,AuswertungH[],8,FALSE)&amp;" ["&amp;_xlfn.RANK.EQ(VLOOKUP(A181,AuswertungH[],8,FALSE),AuswertungH[GES H],0)&amp;"]","")</f>
        <v>515 [16]</v>
      </c>
      <c r="C183" s="359">
        <f>VLOOKUP(A181,Vorjahr[],6,FALSE)</f>
        <v>500</v>
      </c>
      <c r="D183" s="359" t="str">
        <f>IFERROR(VLOOKUP(A181,Rekorde[],13,FALSE)&amp;" ["&amp;_xlfn.RANK.EQ(VLOOKUP(A181,Rekorde[],13,FALSE),Rekorde[GES H],0)&amp;"]","")</f>
        <v>543 [12]</v>
      </c>
      <c r="E183" s="359">
        <f>VLOOKUP(A181,AuswertungH[],3,FALSE)</f>
        <v>3</v>
      </c>
      <c r="F183" s="359" t="str">
        <f>IFERROR(VLOOKUP(A181,AuswertungG[],5,FALSE)&amp;" ["&amp;_xlfn.RANK.EQ(VLOOKUP(A181,AuswertungH[],5,FALSE),AuswertungH[Volle H],0)&amp;"]","")</f>
        <v>360 [15]</v>
      </c>
      <c r="G183" s="359" t="str">
        <f>IFERROR(VLOOKUP(A181,AuswertungH[],6,FALSE)&amp;" ["&amp;_xlfn.RANK.EQ(VLOOKUP(A181,AuswertungH[],6,FALSE),AuswertungH[Räumer H],0)&amp;"]","")</f>
        <v>164 [15]</v>
      </c>
      <c r="H183" s="359" t="str">
        <f>IFERROR(VLOOKUP(A181,AuswertungH[],7,FALSE)&amp;" ["&amp;_xlfn.RANK.EQ(VLOOKUP(A181,AuswertungH[],7,FALSE),AuswertungH[Fehler H],1)&amp;"]","")</f>
        <v>6 [8]</v>
      </c>
      <c r="I183" s="360">
        <f>IFERROR(VLOOKUP(A181,AuswertungH[],9,FALSE)/4,"")</f>
        <v>0.83250000000000002</v>
      </c>
      <c r="J183" s="360">
        <f>VLOOKUP(A181,AuswertungH[],10,FALSE)</f>
        <v>1</v>
      </c>
      <c r="K183" s="359">
        <f>VLOOKUP(A181,AuswertungH[],11,FALSE)</f>
        <v>130</v>
      </c>
      <c r="L183" s="359">
        <f>VLOOKUP(A181,AuswertungH[],12,FALSE)</f>
        <v>121</v>
      </c>
      <c r="M183" s="359">
        <f>VLOOKUP(A181,AuswertungH[],13,FALSE)</f>
        <v>127</v>
      </c>
      <c r="N183" s="359">
        <f>VLOOKUP(A181,AuswertungH[],14,FALSE)</f>
        <v>137</v>
      </c>
      <c r="O183" s="359">
        <f>VLOOKUP(A181,AuswertungH[],19,FALSE)</f>
        <v>2.96</v>
      </c>
      <c r="P183" s="359" t="str">
        <f>IFERROR(VLOOKUP(A181,AuswertungH[],22,FALSE)&amp;" ["&amp;_xlfn.RANK.EQ(VLOOKUP(A181,AuswertungH[],22,FALSE),AuswertungH[GEGGES H],0)&amp;"]","")</f>
        <v>460 [27]</v>
      </c>
      <c r="Q183" s="359" t="str">
        <f>VLOOKUP(A181,AuswertungH[],25,FALSE)</f>
        <v>[6]</v>
      </c>
      <c r="R183" s="359" t="str">
        <f>IFERROR(VLOOKUP(A181,Rekorde[],14,FALSE)&amp;" ["&amp;_xlfn.RANK.EQ(VLOOKUP(A181,Rekorde[],14,FALSE),Rekorde[Volle H],0)&amp;"]","")</f>
        <v>369 [8]</v>
      </c>
      <c r="S183" s="359" t="str">
        <f>IFERROR(VLOOKUP(A181,Rekorde[],15,FALSE)&amp;" ["&amp;_xlfn.RANK.EQ(VLOOKUP(A181,Rekorde[],15,FALSE),Rekorde[Räumer H],0)&amp;"]","")</f>
        <v>174 [17]</v>
      </c>
    </row>
    <row r="184" spans="1:19" ht="30" customHeight="1" thickBot="1" x14ac:dyDescent="0.35">
      <c r="A184" s="352" t="s">
        <v>119</v>
      </c>
      <c r="B184" s="361" t="str">
        <f>IFERROR(VLOOKUP(A181,AuswertungA[],8,FALSE)&amp;" ["&amp;_xlfn.RANK.EQ(VLOOKUP(A181,AuswertungA[],8,FALSE),AuswertungA[GES A],0)&amp;"]","")</f>
        <v>524 [16]</v>
      </c>
      <c r="C184" s="362">
        <f>VLOOKUP(A181,Vorjahr[],10,FALSE)</f>
        <v>544</v>
      </c>
      <c r="D184" s="362" t="str">
        <f>IFERROR(VLOOKUP(A181,Rekorde[],23,FALSE)&amp;" ["&amp;_xlfn.RANK.EQ(VLOOKUP(A181,Rekorde[],23,FALSE),Rekorde[GES A],0)&amp;"]","")</f>
        <v>551 [18]</v>
      </c>
      <c r="E184" s="362">
        <f>VLOOKUP(A181,AuswertungA[],3,FALSE)</f>
        <v>4</v>
      </c>
      <c r="F184" s="362" t="str">
        <f>IFERROR(VLOOKUP(A181,AuswertungA[],5,FALSE)&amp;" ["&amp;_xlfn.RANK.EQ(VLOOKUP(A181,AuswertungA[],5,FALSE),AuswertungA[Volle A],0)&amp;"]","")</f>
        <v>367 [6]</v>
      </c>
      <c r="G184" s="362" t="str">
        <f>IFERROR(VLOOKUP(A181,AuswertungA[],6,FALSE)&amp;" ["&amp;_xlfn.RANK.EQ(VLOOKUP(A181,AuswertungA[],6,FALSE),AuswertungA[Räumer A],0)&amp;"]","")</f>
        <v>158 [21]</v>
      </c>
      <c r="H184" s="362" t="str">
        <f>IFERROR(VLOOKUP(A181,AuswertungA[],7,FALSE)&amp;" ["&amp;_xlfn.RANK.EQ(VLOOKUP(A181,AuswertungA[],7,FALSE),AuswertungA[Fehler A],1)&amp;"]","")</f>
        <v>11 [23]</v>
      </c>
      <c r="I184" s="363">
        <f>IFERROR(VLOOKUP(A181,AuswertungA[],9,FALSE)/4,"")</f>
        <v>0.5625</v>
      </c>
      <c r="J184" s="363">
        <f>VLOOKUP(A181,AuswertungA[],10,FALSE)</f>
        <v>0.75</v>
      </c>
      <c r="K184" s="362">
        <f>VLOOKUP(A181,AuswertungA[],11,FALSE)</f>
        <v>131</v>
      </c>
      <c r="L184" s="362">
        <f>VLOOKUP(A181,AuswertungA[],12,FALSE)</f>
        <v>138</v>
      </c>
      <c r="M184" s="362">
        <f>VLOOKUP(A181,AuswertungA[],13,FALSE)</f>
        <v>128</v>
      </c>
      <c r="N184" s="362">
        <f>VLOOKUP(A181,AuswertungA[],14,FALSE)</f>
        <v>127</v>
      </c>
      <c r="O184" s="362">
        <f>VLOOKUP(A181,AuswertungA[],19,FALSE)</f>
        <v>2.68</v>
      </c>
      <c r="P184" s="362" t="str">
        <f>IFERROR(VLOOKUP(A181,AuswertungA[],22,FALSE)&amp;" ["&amp;_xlfn.RANK.EQ(VLOOKUP(A181,AuswertungA[],22,FALSE),AuswertungA[GEGGES A],0)&amp;"]","")</f>
        <v>504 [23]</v>
      </c>
      <c r="Q184" s="362" t="str">
        <f>VLOOKUP(A181,AuswertungA[],25,FALSE)</f>
        <v>[6]</v>
      </c>
      <c r="R184" s="362" t="str">
        <f>IFERROR(VLOOKUP(A181,Rekorde[],24,FALSE)&amp;" ["&amp;_xlfn.RANK.EQ(VLOOKUP(A181,Rekorde[],24,FALSE),Rekorde[Volle A],0)&amp;"]","")</f>
        <v>393 [3]</v>
      </c>
      <c r="S184" s="362" t="str">
        <f>IFERROR(VLOOKUP(A181,Rekorde[],25,FALSE)&amp;" ["&amp;_xlfn.RANK.EQ(VLOOKUP(A181,Rekorde[],25,FALSE),Rekorde[Räumer A],0)&amp;"]","")</f>
        <v>180 [22]</v>
      </c>
    </row>
    <row r="185" spans="1:19" ht="30" customHeight="1" thickBot="1" x14ac:dyDescent="0.35"/>
    <row r="186" spans="1:19" ht="30" customHeight="1" thickBot="1" x14ac:dyDescent="0.35">
      <c r="A186" s="353" t="str">
        <f>VLOOKUP(ROUNDUP(ROW()/4,0),Teamzuordnung[],2,FALSE)</f>
        <v>Tim Becker</v>
      </c>
      <c r="B186" s="349" t="s">
        <v>63</v>
      </c>
      <c r="C186" s="347" t="s">
        <v>610</v>
      </c>
      <c r="D186" s="347" t="s">
        <v>605</v>
      </c>
      <c r="E186" s="346" t="s">
        <v>100</v>
      </c>
      <c r="F186" s="346" t="s">
        <v>21</v>
      </c>
      <c r="G186" s="346" t="s">
        <v>22</v>
      </c>
      <c r="H186" s="346" t="s">
        <v>23</v>
      </c>
      <c r="I186" s="346" t="s">
        <v>24</v>
      </c>
      <c r="J186" s="346" t="s">
        <v>25</v>
      </c>
      <c r="K186" s="346" t="s">
        <v>606</v>
      </c>
      <c r="L186" s="346" t="s">
        <v>607</v>
      </c>
      <c r="M186" s="346" t="s">
        <v>608</v>
      </c>
      <c r="N186" s="346" t="s">
        <v>609</v>
      </c>
      <c r="O186" s="346" t="s">
        <v>218</v>
      </c>
      <c r="P186" s="347" t="s">
        <v>611</v>
      </c>
      <c r="Q186" s="347" t="s">
        <v>199</v>
      </c>
      <c r="R186" s="347" t="s">
        <v>603</v>
      </c>
      <c r="S186" s="348" t="s">
        <v>604</v>
      </c>
    </row>
    <row r="187" spans="1:19" ht="30" customHeight="1" thickBot="1" x14ac:dyDescent="0.35">
      <c r="A187" s="350" t="s">
        <v>26</v>
      </c>
      <c r="B187" s="355" t="str">
        <f>IFERROR(VLOOKUP(A186,AuswertungG[],8,FALSE)&amp;" ["&amp;_xlfn.RANK.EQ(VLOOKUP(A186,AuswertungG[],8,FALSE),AuswertungG[GES],0)&amp;"]","")</f>
        <v>529 [7]</v>
      </c>
      <c r="C187" s="356">
        <f>VLOOKUP(A186,Vorjahr[],2,FALSE)</f>
        <v>529</v>
      </c>
      <c r="D187" s="356" t="str">
        <f>IFERROR(VLOOKUP(A186,Rekorde[],3,FALSE)&amp;" ["&amp;_xlfn.RANK.EQ(VLOOKUP(A186,Rekorde[],3,FALSE),Rekorde[GES],0)&amp;"]","")</f>
        <v>554 [16]</v>
      </c>
      <c r="E187" s="356">
        <f>VLOOKUP(A186,AuswertungG[],3,FALSE)</f>
        <v>12</v>
      </c>
      <c r="F187" s="356" t="str">
        <f>IFERROR(VLOOKUP(A186,AuswertungG[],5,FALSE)&amp;" ["&amp;_xlfn.RANK.EQ(VLOOKUP(A186,AuswertungG[],5,FALSE),AuswertungG[Volle],0)&amp;"]","")</f>
        <v>360 [9]</v>
      </c>
      <c r="G187" s="356" t="str">
        <f>IFERROR(VLOOKUP(A186,AuswertungG[],6,FALSE)&amp;" ["&amp;_xlfn.RANK.EQ(VLOOKUP(A186,AuswertungG[],6,FALSE),AuswertungG[Räumer],0)&amp;"]","")</f>
        <v>168 [12]</v>
      </c>
      <c r="H187" s="356" t="str">
        <f>IFERROR(VLOOKUP(A186,AuswertungG[],7,FALSE)&amp;" ["&amp;_xlfn.RANK.EQ(VLOOKUP(A186,AuswertungG[],7,FALSE),AuswertungG[Fehler],1)&amp;"]","")</f>
        <v>4,3 [3]</v>
      </c>
      <c r="I187" s="357">
        <f>IFERROR(VLOOKUP(A186,AuswertungG[],9,FALSE)/4,"")</f>
        <v>0.67500000000000004</v>
      </c>
      <c r="J187" s="357">
        <f>VLOOKUP(A186,AuswertungG[],10,FALSE)</f>
        <v>0.83</v>
      </c>
      <c r="K187" s="356">
        <f>VLOOKUP(A186,AuswertungG[],11,FALSE)</f>
        <v>129</v>
      </c>
      <c r="L187" s="356">
        <f>VLOOKUP(A186,AuswertungG[],12,FALSE)</f>
        <v>130</v>
      </c>
      <c r="M187" s="356">
        <f>VLOOKUP(A186,AuswertungG[],13,FALSE)</f>
        <v>133</v>
      </c>
      <c r="N187" s="356">
        <f>VLOOKUP(A186,AuswertungG[],14,FALSE)</f>
        <v>133</v>
      </c>
      <c r="O187" s="356">
        <f>VLOOKUP(A186,AuswertungG[],19,FALSE)</f>
        <v>-0.44</v>
      </c>
      <c r="P187" s="356" t="str">
        <f>IFERROR(VLOOKUP(A186,AuswertungG[],22,FALSE)&amp;" ["&amp;_xlfn.RANK.EQ(VLOOKUP(A186,AuswertungG[],22,FALSE),AuswertungG[GEGGES],0)&amp;"]","")</f>
        <v>518 [11]</v>
      </c>
      <c r="Q187" s="356" t="str">
        <f>VLOOKUP(A186,AuswertungG[],25,FALSE)</f>
        <v>[2][4][6]</v>
      </c>
      <c r="R187" s="356" t="str">
        <f>IFERROR(VLOOKUP(A186,Rekorde[],4,FALSE)&amp;" ["&amp;_xlfn.RANK.EQ(VLOOKUP(A186,Rekorde[],4,FALSE),Rekorde[Volle],0)&amp;"]","")</f>
        <v>379 [13]</v>
      </c>
      <c r="S187" s="356" t="str">
        <f>IFERROR(VLOOKUP(A186,Rekorde[],5,FALSE)&amp;" ["&amp;_xlfn.RANK.EQ(VLOOKUP(A186,Rekorde[],5,FALSE),Rekorde[Räumer],0)&amp;"]","")</f>
        <v>188 [18]</v>
      </c>
    </row>
    <row r="188" spans="1:19" ht="30" customHeight="1" thickBot="1" x14ac:dyDescent="0.35">
      <c r="A188" s="351" t="s">
        <v>118</v>
      </c>
      <c r="B188" s="358" t="str">
        <f>IFERROR(VLOOKUP(A186,AuswertungH[],8,FALSE)&amp;" ["&amp;_xlfn.RANK.EQ(VLOOKUP(A186,AuswertungH[],8,FALSE),AuswertungH[GES H],0)&amp;"]","")</f>
        <v>529 [6]</v>
      </c>
      <c r="C188" s="359">
        <f>VLOOKUP(A186,Vorjahr[],6,FALSE)</f>
        <v>518</v>
      </c>
      <c r="D188" s="359" t="str">
        <f>IFERROR(VLOOKUP(A186,Rekorde[],13,FALSE)&amp;" ["&amp;_xlfn.RANK.EQ(VLOOKUP(A186,Rekorde[],13,FALSE),Rekorde[GES H],0)&amp;"]","")</f>
        <v>554 [6]</v>
      </c>
      <c r="E188" s="359">
        <f>VLOOKUP(A186,AuswertungH[],3,FALSE)</f>
        <v>9</v>
      </c>
      <c r="F188" s="359" t="str">
        <f>IFERROR(VLOOKUP(A186,AuswertungG[],5,FALSE)&amp;" ["&amp;_xlfn.RANK.EQ(VLOOKUP(A186,AuswertungH[],5,FALSE),AuswertungH[Volle H],0)&amp;"]","")</f>
        <v>360 [6]</v>
      </c>
      <c r="G188" s="359" t="str">
        <f>IFERROR(VLOOKUP(A186,AuswertungH[],6,FALSE)&amp;" ["&amp;_xlfn.RANK.EQ(VLOOKUP(A186,AuswertungH[],6,FALSE),AuswertungH[Räumer H],0)&amp;"]","")</f>
        <v>170 [7]</v>
      </c>
      <c r="H188" s="359" t="str">
        <f>IFERROR(VLOOKUP(A186,AuswertungH[],7,FALSE)&amp;" ["&amp;_xlfn.RANK.EQ(VLOOKUP(A186,AuswertungH[],7,FALSE),AuswertungH[Fehler H],1)&amp;"]","")</f>
        <v>3,6 [3]</v>
      </c>
      <c r="I188" s="360">
        <f>IFERROR(VLOOKUP(A186,AuswertungH[],9,FALSE)/4,"")</f>
        <v>0.75</v>
      </c>
      <c r="J188" s="360">
        <f>VLOOKUP(A186,AuswertungH[],10,FALSE)</f>
        <v>1</v>
      </c>
      <c r="K188" s="359">
        <f>VLOOKUP(A186,AuswertungH[],11,FALSE)</f>
        <v>132</v>
      </c>
      <c r="L188" s="359">
        <f>VLOOKUP(A186,AuswertungH[],12,FALSE)</f>
        <v>127</v>
      </c>
      <c r="M188" s="359">
        <f>VLOOKUP(A186,AuswertungH[],13,FALSE)</f>
        <v>133</v>
      </c>
      <c r="N188" s="359">
        <f>VLOOKUP(A186,AuswertungH[],14,FALSE)</f>
        <v>137</v>
      </c>
      <c r="O188" s="359">
        <f>VLOOKUP(A186,AuswertungH[],19,FALSE)</f>
        <v>-1.06</v>
      </c>
      <c r="P188" s="359" t="str">
        <f>IFERROR(VLOOKUP(A186,AuswertungH[],22,FALSE)&amp;" ["&amp;_xlfn.RANK.EQ(VLOOKUP(A186,AuswertungH[],22,FALSE),AuswertungH[GEGGES H],0)&amp;"]","")</f>
        <v>509 [9]</v>
      </c>
      <c r="Q188" s="359" t="str">
        <f>VLOOKUP(A186,AuswertungH[],25,FALSE)</f>
        <v>[2][4][6]</v>
      </c>
      <c r="R188" s="359" t="str">
        <f>IFERROR(VLOOKUP(A186,Rekorde[],14,FALSE)&amp;" ["&amp;_xlfn.RANK.EQ(VLOOKUP(A186,Rekorde[],14,FALSE),Rekorde[Volle H],0)&amp;"]","")</f>
        <v>379 [4]</v>
      </c>
      <c r="S188" s="359" t="str">
        <f>IFERROR(VLOOKUP(A186,Rekorde[],15,FALSE)&amp;" ["&amp;_xlfn.RANK.EQ(VLOOKUP(A186,Rekorde[],15,FALSE),Rekorde[Räumer H],0)&amp;"]","")</f>
        <v>188 [8]</v>
      </c>
    </row>
    <row r="189" spans="1:19" ht="30" customHeight="1" thickBot="1" x14ac:dyDescent="0.35">
      <c r="A189" s="352" t="s">
        <v>119</v>
      </c>
      <c r="B189" s="361" t="str">
        <f>IFERROR(VLOOKUP(A186,AuswertungA[],8,FALSE)&amp;" ["&amp;_xlfn.RANK.EQ(VLOOKUP(A186,AuswertungA[],8,FALSE),AuswertungA[GES A],0)&amp;"]","")</f>
        <v>527 [13]</v>
      </c>
      <c r="C189" s="362">
        <f>VLOOKUP(A186,Vorjahr[],10,FALSE)</f>
        <v>543</v>
      </c>
      <c r="D189" s="362" t="str">
        <f>IFERROR(VLOOKUP(A186,Rekorde[],23,FALSE)&amp;" ["&amp;_xlfn.RANK.EQ(VLOOKUP(A186,Rekorde[],23,FALSE),Rekorde[GES A],0)&amp;"]","")</f>
        <v>553 [15]</v>
      </c>
      <c r="E189" s="362">
        <f>VLOOKUP(A186,AuswertungA[],3,FALSE)</f>
        <v>3</v>
      </c>
      <c r="F189" s="362" t="str">
        <f>IFERROR(VLOOKUP(A186,AuswertungA[],5,FALSE)&amp;" ["&amp;_xlfn.RANK.EQ(VLOOKUP(A186,AuswertungA[],5,FALSE),AuswertungA[Volle A],0)&amp;"]","")</f>
        <v>365 [9]</v>
      </c>
      <c r="G189" s="362" t="str">
        <f>IFERROR(VLOOKUP(A186,AuswertungA[],6,FALSE)&amp;" ["&amp;_xlfn.RANK.EQ(VLOOKUP(A186,AuswertungA[],6,FALSE),AuswertungA[Räumer A],0)&amp;"]","")</f>
        <v>162 [18]</v>
      </c>
      <c r="H189" s="362" t="str">
        <f>IFERROR(VLOOKUP(A186,AuswertungA[],7,FALSE)&amp;" ["&amp;_xlfn.RANK.EQ(VLOOKUP(A186,AuswertungA[],7,FALSE),AuswertungA[Fehler A],1)&amp;"]","")</f>
        <v>6,3 [8]</v>
      </c>
      <c r="I189" s="363">
        <f>IFERROR(VLOOKUP(A186,AuswertungA[],9,FALSE)/4,"")</f>
        <v>0.45750000000000002</v>
      </c>
      <c r="J189" s="363">
        <f>VLOOKUP(A186,AuswertungA[],10,FALSE)</f>
        <v>0.33</v>
      </c>
      <c r="K189" s="362">
        <f>VLOOKUP(A186,AuswertungA[],11,FALSE)</f>
        <v>122</v>
      </c>
      <c r="L189" s="362">
        <f>VLOOKUP(A186,AuswertungA[],12,FALSE)</f>
        <v>138</v>
      </c>
      <c r="M189" s="362">
        <f>VLOOKUP(A186,AuswertungA[],13,FALSE)</f>
        <v>134</v>
      </c>
      <c r="N189" s="362">
        <f>VLOOKUP(A186,AuswertungA[],14,FALSE)</f>
        <v>133</v>
      </c>
      <c r="O189" s="362">
        <f>VLOOKUP(A186,AuswertungA[],19,FALSE)</f>
        <v>2.5299999999999998</v>
      </c>
      <c r="P189" s="362" t="str">
        <f>IFERROR(VLOOKUP(A186,AuswertungA[],22,FALSE)&amp;" ["&amp;_xlfn.RANK.EQ(VLOOKUP(A186,AuswertungA[],22,FALSE),AuswertungA[GEGGES A],0)&amp;"]","")</f>
        <v>546 [7]</v>
      </c>
      <c r="Q189" s="362" t="str">
        <f>VLOOKUP(A186,AuswertungA[],25,FALSE)</f>
        <v>[3]</v>
      </c>
      <c r="R189" s="362" t="str">
        <f>IFERROR(VLOOKUP(A186,Rekorde[],24,FALSE)&amp;" ["&amp;_xlfn.RANK.EQ(VLOOKUP(A186,Rekorde[],24,FALSE),Rekorde[Volle A],0)&amp;"]","")</f>
        <v>369 [17]</v>
      </c>
      <c r="S189" s="362" t="str">
        <f>IFERROR(VLOOKUP(A186,Rekorde[],25,FALSE)&amp;" ["&amp;_xlfn.RANK.EQ(VLOOKUP(A186,Rekorde[],25,FALSE),Rekorde[Räumer A],0)&amp;"]","")</f>
        <v>184 [19]</v>
      </c>
    </row>
    <row r="190" spans="1:19" ht="30" customHeight="1" thickBot="1" x14ac:dyDescent="0.35"/>
    <row r="191" spans="1:19" ht="30" customHeight="1" thickBot="1" x14ac:dyDescent="0.35">
      <c r="A191" s="353" t="str">
        <f>VLOOKUP(ROUNDUP(ROW()/4,0),Teamzuordnung[],2,FALSE)</f>
        <v>Tim Beger</v>
      </c>
      <c r="B191" s="349" t="s">
        <v>63</v>
      </c>
      <c r="C191" s="347" t="s">
        <v>610</v>
      </c>
      <c r="D191" s="347" t="s">
        <v>605</v>
      </c>
      <c r="E191" s="346" t="s">
        <v>100</v>
      </c>
      <c r="F191" s="346" t="s">
        <v>21</v>
      </c>
      <c r="G191" s="346" t="s">
        <v>22</v>
      </c>
      <c r="H191" s="346" t="s">
        <v>23</v>
      </c>
      <c r="I191" s="346" t="s">
        <v>24</v>
      </c>
      <c r="J191" s="346" t="s">
        <v>25</v>
      </c>
      <c r="K191" s="346" t="s">
        <v>606</v>
      </c>
      <c r="L191" s="346" t="s">
        <v>607</v>
      </c>
      <c r="M191" s="346" t="s">
        <v>608</v>
      </c>
      <c r="N191" s="346" t="s">
        <v>609</v>
      </c>
      <c r="O191" s="346" t="s">
        <v>218</v>
      </c>
      <c r="P191" s="347" t="s">
        <v>611</v>
      </c>
      <c r="Q191" s="347" t="s">
        <v>199</v>
      </c>
      <c r="R191" s="347" t="s">
        <v>603</v>
      </c>
      <c r="S191" s="348" t="s">
        <v>604</v>
      </c>
    </row>
    <row r="192" spans="1:19" ht="30" customHeight="1" thickBot="1" x14ac:dyDescent="0.35">
      <c r="A192" s="350" t="s">
        <v>26</v>
      </c>
      <c r="B192" s="355" t="str">
        <f>IFERROR(VLOOKUP(A191,AuswertungG[],8,FALSE)&amp;" ["&amp;_xlfn.RANK.EQ(VLOOKUP(A191,AuswertungG[],8,FALSE),AuswertungG[GES],0)&amp;"]","")</f>
        <v>532 [4]</v>
      </c>
      <c r="C192" s="356">
        <f>VLOOKUP(A191,Vorjahr[],2,FALSE)</f>
        <v>513</v>
      </c>
      <c r="D192" s="356" t="str">
        <f>IFERROR(VLOOKUP(A191,Rekorde[],3,FALSE)&amp;" ["&amp;_xlfn.RANK.EQ(VLOOKUP(A191,Rekorde[],3,FALSE),Rekorde[GES],0)&amp;"]","")</f>
        <v>577 [7]</v>
      </c>
      <c r="E192" s="356">
        <f>VLOOKUP(A191,AuswertungG[],3,FALSE)</f>
        <v>12</v>
      </c>
      <c r="F192" s="356" t="str">
        <f>IFERROR(VLOOKUP(A191,AuswertungG[],5,FALSE)&amp;" ["&amp;_xlfn.RANK.EQ(VLOOKUP(A191,AuswertungG[],5,FALSE),AuswertungG[Volle],0)&amp;"]","")</f>
        <v>362 [3]</v>
      </c>
      <c r="G192" s="356" t="str">
        <f>IFERROR(VLOOKUP(A191,AuswertungG[],6,FALSE)&amp;" ["&amp;_xlfn.RANK.EQ(VLOOKUP(A191,AuswertungG[],6,FALSE),AuswertungG[Räumer],0)&amp;"]","")</f>
        <v>171 [8]</v>
      </c>
      <c r="H192" s="356" t="str">
        <f>IFERROR(VLOOKUP(A191,AuswertungG[],7,FALSE)&amp;" ["&amp;_xlfn.RANK.EQ(VLOOKUP(A191,AuswertungG[],7,FALSE),AuswertungG[Fehler],1)&amp;"]","")</f>
        <v>7,6 [14]</v>
      </c>
      <c r="I192" s="357">
        <f>IFERROR(VLOOKUP(A191,AuswertungG[],9,FALSE)/4,"")</f>
        <v>0.55000000000000004</v>
      </c>
      <c r="J192" s="357">
        <f>VLOOKUP(A191,AuswertungG[],10,FALSE)</f>
        <v>0.6</v>
      </c>
      <c r="K192" s="356">
        <f>VLOOKUP(A191,AuswertungG[],11,FALSE)</f>
        <v>135</v>
      </c>
      <c r="L192" s="356">
        <f>VLOOKUP(A191,AuswertungG[],12,FALSE)</f>
        <v>129</v>
      </c>
      <c r="M192" s="356">
        <f>VLOOKUP(A191,AuswertungG[],13,FALSE)</f>
        <v>131</v>
      </c>
      <c r="N192" s="356">
        <f>VLOOKUP(A191,AuswertungG[],14,FALSE)</f>
        <v>131</v>
      </c>
      <c r="O192" s="356">
        <f>VLOOKUP(A191,AuswertungG[],19,FALSE)</f>
        <v>-0.98</v>
      </c>
      <c r="P192" s="356" t="str">
        <f>IFERROR(VLOOKUP(A191,AuswertungG[],22,FALSE)&amp;" ["&amp;_xlfn.RANK.EQ(VLOOKUP(A191,AuswertungG[],22,FALSE),AuswertungG[GEGGES],0)&amp;"]","")</f>
        <v>519 [10]</v>
      </c>
      <c r="Q192" s="356" t="str">
        <f>VLOOKUP(A191,AuswertungG[],25,FALSE)</f>
        <v>[2][3]</v>
      </c>
      <c r="R192" s="356" t="str">
        <f>IFERROR(VLOOKUP(A191,Rekorde[],4,FALSE)&amp;" ["&amp;_xlfn.RANK.EQ(VLOOKUP(A191,Rekorde[],4,FALSE),Rekorde[Volle],0)&amp;"]","")</f>
        <v>392 [5]</v>
      </c>
      <c r="S192" s="356" t="str">
        <f>IFERROR(VLOOKUP(A191,Rekorde[],5,FALSE)&amp;" ["&amp;_xlfn.RANK.EQ(VLOOKUP(A191,Rekorde[],5,FALSE),Rekorde[Räumer],0)&amp;"]","")</f>
        <v>193 [13]</v>
      </c>
    </row>
    <row r="193" spans="1:19" ht="30" customHeight="1" thickBot="1" x14ac:dyDescent="0.35">
      <c r="A193" s="351" t="s">
        <v>118</v>
      </c>
      <c r="B193" s="358" t="str">
        <f>IFERROR(VLOOKUP(A191,AuswertungH[],8,FALSE)&amp;" ["&amp;_xlfn.RANK.EQ(VLOOKUP(A191,AuswertungH[],8,FALSE),AuswertungH[GES H],0)&amp;"]","")</f>
        <v>513 [17]</v>
      </c>
      <c r="C193" s="359">
        <f>VLOOKUP(A191,Vorjahr[],6,FALSE)</f>
        <v>495</v>
      </c>
      <c r="D193" s="359" t="str">
        <f>IFERROR(VLOOKUP(A191,Rekorde[],13,FALSE)&amp;" ["&amp;_xlfn.RANK.EQ(VLOOKUP(A191,Rekorde[],13,FALSE),Rekorde[GES H],0)&amp;"]","")</f>
        <v>533 [18]</v>
      </c>
      <c r="E193" s="359">
        <f>VLOOKUP(A191,AuswertungH[],3,FALSE)</f>
        <v>5</v>
      </c>
      <c r="F193" s="359" t="str">
        <f>IFERROR(VLOOKUP(A191,AuswertungG[],5,FALSE)&amp;" ["&amp;_xlfn.RANK.EQ(VLOOKUP(A191,AuswertungH[],5,FALSE),AuswertungH[Volle H],0)&amp;"]","")</f>
        <v>362 [13]</v>
      </c>
      <c r="G193" s="359" t="str">
        <f>IFERROR(VLOOKUP(A191,AuswertungH[],6,FALSE)&amp;" ["&amp;_xlfn.RANK.EQ(VLOOKUP(A191,AuswertungH[],6,FALSE),AuswertungH[Räumer H],0)&amp;"]","")</f>
        <v>160 [18]</v>
      </c>
      <c r="H193" s="359" t="str">
        <f>IFERROR(VLOOKUP(A191,AuswertungH[],7,FALSE)&amp;" ["&amp;_xlfn.RANK.EQ(VLOOKUP(A191,AuswertungH[],7,FALSE),AuswertungH[Fehler H],1)&amp;"]","")</f>
        <v>7,6 [16]</v>
      </c>
      <c r="I193" s="360">
        <f>IFERROR(VLOOKUP(A191,AuswertungH[],9,FALSE)/4,"")</f>
        <v>0.625</v>
      </c>
      <c r="J193" s="360">
        <f>VLOOKUP(A191,AuswertungH[],10,FALSE)</f>
        <v>0.6</v>
      </c>
      <c r="K193" s="359">
        <f>VLOOKUP(A191,AuswertungH[],11,FALSE)</f>
        <v>126</v>
      </c>
      <c r="L193" s="359">
        <f>VLOOKUP(A191,AuswertungH[],12,FALSE)</f>
        <v>126</v>
      </c>
      <c r="M193" s="359">
        <f>VLOOKUP(A191,AuswertungH[],13,FALSE)</f>
        <v>133</v>
      </c>
      <c r="N193" s="359">
        <f>VLOOKUP(A191,AuswertungH[],14,FALSE)</f>
        <v>128</v>
      </c>
      <c r="O193" s="359">
        <f>VLOOKUP(A191,AuswertungH[],19,FALSE)</f>
        <v>1.39</v>
      </c>
      <c r="P193" s="359" t="str">
        <f>IFERROR(VLOOKUP(A191,AuswertungH[],22,FALSE)&amp;" ["&amp;_xlfn.RANK.EQ(VLOOKUP(A191,AuswertungH[],22,FALSE),AuswertungH[GEGGES H],0)&amp;"]","")</f>
        <v>495 [13]</v>
      </c>
      <c r="Q193" s="359" t="str">
        <f>VLOOKUP(A191,AuswertungH[],25,FALSE)</f>
        <v>[6]</v>
      </c>
      <c r="R193" s="359" t="str">
        <f>IFERROR(VLOOKUP(A191,Rekorde[],14,FALSE)&amp;" ["&amp;_xlfn.RANK.EQ(VLOOKUP(A191,Rekorde[],14,FALSE),Rekorde[Volle H],0)&amp;"]","")</f>
        <v>367 [10]</v>
      </c>
      <c r="S193" s="359" t="str">
        <f>IFERROR(VLOOKUP(A191,Rekorde[],15,FALSE)&amp;" ["&amp;_xlfn.RANK.EQ(VLOOKUP(A191,Rekorde[],15,FALSE),Rekorde[Räumer H],0)&amp;"]","")</f>
        <v>182 [11]</v>
      </c>
    </row>
    <row r="194" spans="1:19" ht="30" customHeight="1" thickBot="1" x14ac:dyDescent="0.35">
      <c r="A194" s="352" t="s">
        <v>119</v>
      </c>
      <c r="B194" s="361" t="str">
        <f>IFERROR(VLOOKUP(A191,AuswertungA[],8,FALSE)&amp;" ["&amp;_xlfn.RANK.EQ(VLOOKUP(A191,AuswertungA[],8,FALSE),AuswertungA[GES A],0)&amp;"]","")</f>
        <v>546 [4]</v>
      </c>
      <c r="C194" s="362">
        <f>VLOOKUP(A191,Vorjahr[],10,FALSE)</f>
        <v>528</v>
      </c>
      <c r="D194" s="362" t="str">
        <f>IFERROR(VLOOKUP(A191,Rekorde[],23,FALSE)&amp;" ["&amp;_xlfn.RANK.EQ(VLOOKUP(A191,Rekorde[],23,FALSE),Rekorde[GES A],0)&amp;"]","")</f>
        <v>577 [7]</v>
      </c>
      <c r="E194" s="362">
        <f>VLOOKUP(A191,AuswertungA[],3,FALSE)</f>
        <v>7</v>
      </c>
      <c r="F194" s="362" t="str">
        <f>IFERROR(VLOOKUP(A191,AuswertungA[],5,FALSE)&amp;" ["&amp;_xlfn.RANK.EQ(VLOOKUP(A191,AuswertungA[],5,FALSE),AuswertungA[Volle A],0)&amp;"]","")</f>
        <v>368 [2]</v>
      </c>
      <c r="G194" s="362" t="str">
        <f>IFERROR(VLOOKUP(A191,AuswertungA[],6,FALSE)&amp;" ["&amp;_xlfn.RANK.EQ(VLOOKUP(A191,AuswertungA[],6,FALSE),AuswertungA[Räumer A],0)&amp;"]","")</f>
        <v>178 [9]</v>
      </c>
      <c r="H194" s="362" t="str">
        <f>IFERROR(VLOOKUP(A191,AuswertungA[],7,FALSE)&amp;" ["&amp;_xlfn.RANK.EQ(VLOOKUP(A191,AuswertungA[],7,FALSE),AuswertungA[Fehler A],1)&amp;"]","")</f>
        <v>7,6 [14]</v>
      </c>
      <c r="I194" s="363">
        <f>IFERROR(VLOOKUP(A191,AuswertungA[],9,FALSE)/4,"")</f>
        <v>0.47499999999999998</v>
      </c>
      <c r="J194" s="363">
        <f>VLOOKUP(A191,AuswertungA[],10,FALSE)</f>
        <v>0.6</v>
      </c>
      <c r="K194" s="362">
        <f>VLOOKUP(A191,AuswertungA[],11,FALSE)</f>
        <v>142</v>
      </c>
      <c r="L194" s="362">
        <f>VLOOKUP(A191,AuswertungA[],12,FALSE)</f>
        <v>131</v>
      </c>
      <c r="M194" s="362">
        <f>VLOOKUP(A191,AuswertungA[],13,FALSE)</f>
        <v>130</v>
      </c>
      <c r="N194" s="362">
        <f>VLOOKUP(A191,AuswertungA[],14,FALSE)</f>
        <v>140</v>
      </c>
      <c r="O194" s="362">
        <f>VLOOKUP(A191,AuswertungA[],19,FALSE)</f>
        <v>-2.37</v>
      </c>
      <c r="P194" s="362" t="str">
        <f>IFERROR(VLOOKUP(A191,AuswertungA[],22,FALSE)&amp;" ["&amp;_xlfn.RANK.EQ(VLOOKUP(A191,AuswertungA[],22,FALSE),AuswertungA[GEGGES A],0)&amp;"]","")</f>
        <v>543 [8]</v>
      </c>
      <c r="Q194" s="362" t="str">
        <f>VLOOKUP(A191,AuswertungA[],25,FALSE)</f>
        <v>[2][3][5]</v>
      </c>
      <c r="R194" s="362" t="str">
        <f>IFERROR(VLOOKUP(A191,Rekorde[],24,FALSE)&amp;" ["&amp;_xlfn.RANK.EQ(VLOOKUP(A191,Rekorde[],24,FALSE),Rekorde[Volle A],0)&amp;"]","")</f>
        <v>392 [5]</v>
      </c>
      <c r="S194" s="362" t="str">
        <f>IFERROR(VLOOKUP(A191,Rekorde[],25,FALSE)&amp;" ["&amp;_xlfn.RANK.EQ(VLOOKUP(A191,Rekorde[],25,FALSE),Rekorde[Räumer A],0)&amp;"]","")</f>
        <v>193 [12]</v>
      </c>
    </row>
    <row r="195" spans="1:19" ht="8.4" customHeight="1" thickBot="1" x14ac:dyDescent="0.35"/>
    <row r="196" spans="1:19" ht="30" customHeight="1" thickBot="1" x14ac:dyDescent="0.35">
      <c r="A196" s="353" t="str">
        <f>VLOOKUP(ROUNDUP(ROW()/4,0),Teamzuordnung[],2,FALSE)</f>
        <v>Ulli Baumgarten</v>
      </c>
      <c r="B196" s="349" t="s">
        <v>63</v>
      </c>
      <c r="C196" s="347" t="s">
        <v>610</v>
      </c>
      <c r="D196" s="347" t="s">
        <v>605</v>
      </c>
      <c r="E196" s="346" t="s">
        <v>100</v>
      </c>
      <c r="F196" s="346" t="s">
        <v>21</v>
      </c>
      <c r="G196" s="346" t="s">
        <v>22</v>
      </c>
      <c r="H196" s="346" t="s">
        <v>23</v>
      </c>
      <c r="I196" s="346" t="s">
        <v>24</v>
      </c>
      <c r="J196" s="346" t="s">
        <v>25</v>
      </c>
      <c r="K196" s="346" t="s">
        <v>606</v>
      </c>
      <c r="L196" s="346" t="s">
        <v>607</v>
      </c>
      <c r="M196" s="346" t="s">
        <v>608</v>
      </c>
      <c r="N196" s="346" t="s">
        <v>609</v>
      </c>
      <c r="O196" s="346" t="s">
        <v>218</v>
      </c>
      <c r="P196" s="347" t="s">
        <v>611</v>
      </c>
      <c r="Q196" s="347" t="s">
        <v>199</v>
      </c>
      <c r="R196" s="347" t="s">
        <v>603</v>
      </c>
      <c r="S196" s="348" t="s">
        <v>604</v>
      </c>
    </row>
    <row r="197" spans="1:19" ht="30" customHeight="1" thickBot="1" x14ac:dyDescent="0.35">
      <c r="A197" s="350" t="s">
        <v>26</v>
      </c>
      <c r="B197" s="355" t="str">
        <f>IFERROR(VLOOKUP(A196,AuswertungG[],8,FALSE)&amp;" ["&amp;_xlfn.RANK.EQ(VLOOKUP(A196,AuswertungG[],8,FALSE),AuswertungG[GES],0)&amp;"]","")</f>
        <v>499 [26]</v>
      </c>
      <c r="C197" s="356">
        <f>VLOOKUP(A196,Vorjahr[],2,FALSE)</f>
        <v>469</v>
      </c>
      <c r="D197" s="356" t="str">
        <f>IFERROR(VLOOKUP(A196,Rekorde[],3,FALSE)&amp;" ["&amp;_xlfn.RANK.EQ(VLOOKUP(A196,Rekorde[],3,FALSE),Rekorde[GES],0)&amp;"]","")</f>
        <v>513 [28]</v>
      </c>
      <c r="E197" s="356">
        <f>VLOOKUP(A196,AuswertungG[],3,FALSE)</f>
        <v>3</v>
      </c>
      <c r="F197" s="356" t="str">
        <f>IFERROR(VLOOKUP(A196,AuswertungG[],5,FALSE)&amp;" ["&amp;_xlfn.RANK.EQ(VLOOKUP(A196,AuswertungG[],5,FALSE),AuswertungG[Volle],0)&amp;"]","")</f>
        <v>361 [6]</v>
      </c>
      <c r="G197" s="356" t="str">
        <f>IFERROR(VLOOKUP(A196,AuswertungG[],6,FALSE)&amp;" ["&amp;_xlfn.RANK.EQ(VLOOKUP(A196,AuswertungG[],6,FALSE),AuswertungG[Räumer],0)&amp;"]","")</f>
        <v>139 [33]</v>
      </c>
      <c r="H197" s="356" t="str">
        <f>IFERROR(VLOOKUP(A196,AuswertungG[],7,FALSE)&amp;" ["&amp;_xlfn.RANK.EQ(VLOOKUP(A196,AuswertungG[],7,FALSE),AuswertungG[Fehler],1)&amp;"]","")</f>
        <v>10 [25]</v>
      </c>
      <c r="I197" s="357">
        <f>IFERROR(VLOOKUP(A196,AuswertungG[],9,FALSE)/4,"")</f>
        <v>0.5</v>
      </c>
      <c r="J197" s="357">
        <f>VLOOKUP(A196,AuswertungG[],10,FALSE)</f>
        <v>0.67</v>
      </c>
      <c r="K197" s="356">
        <f>VLOOKUP(A196,AuswertungG[],11,FALSE)</f>
        <v>122</v>
      </c>
      <c r="L197" s="356">
        <f>VLOOKUP(A196,AuswertungG[],12,FALSE)</f>
        <v>126</v>
      </c>
      <c r="M197" s="356">
        <f>VLOOKUP(A196,AuswertungG[],13,FALSE)</f>
        <v>128</v>
      </c>
      <c r="N197" s="356">
        <f>VLOOKUP(A196,AuswertungG[],14,FALSE)</f>
        <v>128</v>
      </c>
      <c r="O197" s="356">
        <f>VLOOKUP(A196,AuswertungG[],19,FALSE)</f>
        <v>2.58</v>
      </c>
      <c r="P197" s="356" t="str">
        <f>IFERROR(VLOOKUP(A196,AuswertungG[],22,FALSE)&amp;" ["&amp;_xlfn.RANK.EQ(VLOOKUP(A196,AuswertungG[],22,FALSE),AuswertungG[GEGGES],0)&amp;"]","")</f>
        <v>499 [23]</v>
      </c>
      <c r="Q197" s="356" t="str">
        <f>VLOOKUP(A196,AuswertungG[],25,FALSE)</f>
        <v>[2][3]</v>
      </c>
      <c r="R197" s="356" t="str">
        <f>IFERROR(VLOOKUP(A196,Rekorde[],4,FALSE)&amp;" ["&amp;_xlfn.RANK.EQ(VLOOKUP(A196,Rekorde[],4,FALSE),Rekorde[Volle],0)&amp;"]","")</f>
        <v>365 [21]</v>
      </c>
      <c r="S197" s="356" t="str">
        <f>IFERROR(VLOOKUP(A196,Rekorde[],5,FALSE)&amp;" ["&amp;_xlfn.RANK.EQ(VLOOKUP(A196,Rekorde[],5,FALSE),Rekorde[Räumer],0)&amp;"]","")</f>
        <v>148 [31]</v>
      </c>
    </row>
    <row r="198" spans="1:19" ht="30" customHeight="1" thickBot="1" x14ac:dyDescent="0.35">
      <c r="A198" s="351" t="s">
        <v>118</v>
      </c>
      <c r="B198" s="358" t="str">
        <f>IFERROR(VLOOKUP(A196,AuswertungH[],8,FALSE)&amp;" ["&amp;_xlfn.RANK.EQ(VLOOKUP(A196,AuswertungH[],8,FALSE),AuswertungH[GES H],0)&amp;"]","")</f>
        <v/>
      </c>
      <c r="C198" s="359">
        <f>VLOOKUP(A196,Vorjahr[],6,FALSE)</f>
        <v>466</v>
      </c>
      <c r="D198" s="359" t="str">
        <f>IFERROR(VLOOKUP(A196,Rekorde[],13,FALSE)&amp;" ["&amp;_xlfn.RANK.EQ(VLOOKUP(A196,Rekorde[],13,FALSE),Rekorde[GES H],0)&amp;"]","")</f>
        <v/>
      </c>
      <c r="E198" s="359">
        <f>VLOOKUP(A196,AuswertungH[],3,FALSE)</f>
        <v>0</v>
      </c>
      <c r="F198" s="359" t="str">
        <f>IFERROR(VLOOKUP(A196,AuswertungG[],5,FALSE)&amp;" ["&amp;_xlfn.RANK.EQ(VLOOKUP(A196,AuswertungH[],5,FALSE),AuswertungH[Volle H],0)&amp;"]","")</f>
        <v/>
      </c>
      <c r="G198" s="359" t="str">
        <f>IFERROR(VLOOKUP(A196,AuswertungH[],6,FALSE)&amp;" ["&amp;_xlfn.RANK.EQ(VLOOKUP(A196,AuswertungH[],6,FALSE),AuswertungH[Räumer H],0)&amp;"]","")</f>
        <v/>
      </c>
      <c r="H198" s="359" t="str">
        <f>IFERROR(VLOOKUP(A196,AuswertungH[],7,FALSE)&amp;" ["&amp;_xlfn.RANK.EQ(VLOOKUP(A196,AuswertungH[],7,FALSE),AuswertungH[Fehler H],1)&amp;"]","")</f>
        <v/>
      </c>
      <c r="I198" s="360" t="str">
        <f>IFERROR(VLOOKUP(A196,AuswertungH[],9,FALSE)/4,"")</f>
        <v/>
      </c>
      <c r="J198" s="360" t="str">
        <f>VLOOKUP(A196,AuswertungH[],10,FALSE)</f>
        <v/>
      </c>
      <c r="K198" s="359" t="str">
        <f>VLOOKUP(A196,AuswertungH[],11,FALSE)</f>
        <v/>
      </c>
      <c r="L198" s="359" t="str">
        <f>VLOOKUP(A196,AuswertungH[],12,FALSE)</f>
        <v/>
      </c>
      <c r="M198" s="359" t="str">
        <f>VLOOKUP(A196,AuswertungH[],13,FALSE)</f>
        <v/>
      </c>
      <c r="N198" s="359" t="str">
        <f>VLOOKUP(A196,AuswertungH[],14,FALSE)</f>
        <v/>
      </c>
      <c r="O198" s="359">
        <f>VLOOKUP(A196,AuswertungH[],19,FALSE)</f>
        <v>0</v>
      </c>
      <c r="P198" s="359" t="str">
        <f>IFERROR(VLOOKUP(A196,AuswertungH[],22,FALSE)&amp;" ["&amp;_xlfn.RANK.EQ(VLOOKUP(A196,AuswertungH[],22,FALSE),AuswertungH[GEGGES H],0)&amp;"]","")</f>
        <v/>
      </c>
      <c r="Q198" s="359" t="str">
        <f>VLOOKUP(A196,AuswertungH[],25,FALSE)</f>
        <v/>
      </c>
      <c r="R198" s="359" t="str">
        <f>IFERROR(VLOOKUP(A196,Rekorde[],14,FALSE)&amp;" ["&amp;_xlfn.RANK.EQ(VLOOKUP(A196,Rekorde[],14,FALSE),Rekorde[Volle H],0)&amp;"]","")</f>
        <v/>
      </c>
      <c r="S198" s="359" t="str">
        <f>IFERROR(VLOOKUP(A196,Rekorde[],15,FALSE)&amp;" ["&amp;_xlfn.RANK.EQ(VLOOKUP(A196,Rekorde[],15,FALSE),Rekorde[Räumer H],0)&amp;"]","")</f>
        <v/>
      </c>
    </row>
    <row r="199" spans="1:19" ht="30" customHeight="1" thickBot="1" x14ac:dyDescent="0.35">
      <c r="A199" s="352" t="s">
        <v>119</v>
      </c>
      <c r="B199" s="361" t="str">
        <f>IFERROR(VLOOKUP(A196,AuswertungA[],8,FALSE)&amp;" ["&amp;_xlfn.RANK.EQ(VLOOKUP(A196,AuswertungA[],8,FALSE),AuswertungA[GES A],0)&amp;"]","")</f>
        <v>499 [25]</v>
      </c>
      <c r="C199" s="362">
        <f>VLOOKUP(A196,Vorjahr[],10,FALSE)</f>
        <v>472</v>
      </c>
      <c r="D199" s="362" t="str">
        <f>IFERROR(VLOOKUP(A196,Rekorde[],23,FALSE)&amp;" ["&amp;_xlfn.RANK.EQ(VLOOKUP(A196,Rekorde[],23,FALSE),Rekorde[GES A],0)&amp;"]","")</f>
        <v>513 [24]</v>
      </c>
      <c r="E199" s="362">
        <f>VLOOKUP(A196,AuswertungA[],3,FALSE)</f>
        <v>3</v>
      </c>
      <c r="F199" s="362" t="str">
        <f>IFERROR(VLOOKUP(A196,AuswertungA[],5,FALSE)&amp;" ["&amp;_xlfn.RANK.EQ(VLOOKUP(A196,AuswertungA[],5,FALSE),AuswertungA[Volle A],0)&amp;"]","")</f>
        <v>361 [10]</v>
      </c>
      <c r="G199" s="362" t="str">
        <f>IFERROR(VLOOKUP(A196,AuswertungA[],6,FALSE)&amp;" ["&amp;_xlfn.RANK.EQ(VLOOKUP(A196,AuswertungA[],6,FALSE),AuswertungA[Räumer A],0)&amp;"]","")</f>
        <v>139 [28]</v>
      </c>
      <c r="H199" s="362" t="str">
        <f>IFERROR(VLOOKUP(A196,AuswertungA[],7,FALSE)&amp;" ["&amp;_xlfn.RANK.EQ(VLOOKUP(A196,AuswertungA[],7,FALSE),AuswertungA[Fehler A],1)&amp;"]","")</f>
        <v>10 [22]</v>
      </c>
      <c r="I199" s="363">
        <f>IFERROR(VLOOKUP(A196,AuswertungA[],9,FALSE)/4,"")</f>
        <v>0.5</v>
      </c>
      <c r="J199" s="363">
        <f>VLOOKUP(A196,AuswertungA[],10,FALSE)</f>
        <v>0.67</v>
      </c>
      <c r="K199" s="362">
        <f>VLOOKUP(A196,AuswertungA[],11,FALSE)</f>
        <v>122</v>
      </c>
      <c r="L199" s="362">
        <f>VLOOKUP(A196,AuswertungA[],12,FALSE)</f>
        <v>126</v>
      </c>
      <c r="M199" s="362">
        <f>VLOOKUP(A196,AuswertungA[],13,FALSE)</f>
        <v>128</v>
      </c>
      <c r="N199" s="362">
        <f>VLOOKUP(A196,AuswertungA[],14,FALSE)</f>
        <v>123</v>
      </c>
      <c r="O199" s="362">
        <f>VLOOKUP(A196,AuswertungA[],19,FALSE)</f>
        <v>2.58</v>
      </c>
      <c r="P199" s="362" t="str">
        <f>IFERROR(VLOOKUP(A196,AuswertungA[],22,FALSE)&amp;" ["&amp;_xlfn.RANK.EQ(VLOOKUP(A196,AuswertungA[],22,FALSE),AuswertungA[GEGGES A],0)&amp;"]","")</f>
        <v>499 [24]</v>
      </c>
      <c r="Q199" s="362" t="str">
        <f>VLOOKUP(A196,AuswertungA[],25,FALSE)</f>
        <v>[2][3]</v>
      </c>
      <c r="R199" s="362" t="str">
        <f>IFERROR(VLOOKUP(A196,Rekorde[],24,FALSE)&amp;" ["&amp;_xlfn.RANK.EQ(VLOOKUP(A196,Rekorde[],24,FALSE),Rekorde[Volle A],0)&amp;"]","")</f>
        <v>365 [20]</v>
      </c>
      <c r="S199" s="362" t="str">
        <f>IFERROR(VLOOKUP(A196,Rekorde[],25,FALSE)&amp;" ["&amp;_xlfn.RANK.EQ(VLOOKUP(A196,Rekorde[],25,FALSE),Rekorde[Räumer A],0)&amp;"]","")</f>
        <v>148 [27]</v>
      </c>
    </row>
  </sheetData>
  <phoneticPr fontId="1" type="noConversion"/>
  <conditionalFormatting sqref="B2:S4">
    <cfRule type="containsBlanks" dxfId="416" priority="73">
      <formula>LEN(TRIM(B2))=0</formula>
    </cfRule>
  </conditionalFormatting>
  <conditionalFormatting sqref="B7:S9">
    <cfRule type="containsBlanks" dxfId="415" priority="72">
      <formula>LEN(TRIM(B7))=0</formula>
    </cfRule>
  </conditionalFormatting>
  <conditionalFormatting sqref="B12:S14">
    <cfRule type="containsBlanks" dxfId="414" priority="1">
      <formula>LEN(TRIM(B12))=0</formula>
    </cfRule>
  </conditionalFormatting>
  <conditionalFormatting sqref="B17:S19">
    <cfRule type="containsBlanks" dxfId="413" priority="2">
      <formula>LEN(TRIM(B17))=0</formula>
    </cfRule>
  </conditionalFormatting>
  <conditionalFormatting sqref="B22:S24">
    <cfRule type="containsBlanks" dxfId="412" priority="3">
      <formula>LEN(TRIM(B22))=0</formula>
    </cfRule>
  </conditionalFormatting>
  <conditionalFormatting sqref="B27:S29">
    <cfRule type="containsBlanks" dxfId="411" priority="68">
      <formula>LEN(TRIM(B27))=0</formula>
    </cfRule>
  </conditionalFormatting>
  <conditionalFormatting sqref="B32:S34">
    <cfRule type="containsBlanks" dxfId="410" priority="4">
      <formula>LEN(TRIM(B32))=0</formula>
    </cfRule>
  </conditionalFormatting>
  <conditionalFormatting sqref="B37:S39">
    <cfRule type="containsBlanks" dxfId="409" priority="5">
      <formula>LEN(TRIM(B37))=0</formula>
    </cfRule>
  </conditionalFormatting>
  <conditionalFormatting sqref="B42:S44">
    <cfRule type="containsBlanks" dxfId="408" priority="6">
      <formula>LEN(TRIM(B42))=0</formula>
    </cfRule>
  </conditionalFormatting>
  <conditionalFormatting sqref="B47:S49">
    <cfRule type="containsBlanks" dxfId="407" priority="7">
      <formula>LEN(TRIM(B47))=0</formula>
    </cfRule>
  </conditionalFormatting>
  <conditionalFormatting sqref="B52:S54">
    <cfRule type="containsBlanks" dxfId="406" priority="8">
      <formula>LEN(TRIM(B52))=0</formula>
    </cfRule>
  </conditionalFormatting>
  <conditionalFormatting sqref="B57:S59">
    <cfRule type="containsBlanks" dxfId="405" priority="62">
      <formula>LEN(TRIM(B57))=0</formula>
    </cfRule>
  </conditionalFormatting>
  <conditionalFormatting sqref="B62:S64">
    <cfRule type="containsBlanks" dxfId="404" priority="61">
      <formula>LEN(TRIM(B62))=0</formula>
    </cfRule>
  </conditionalFormatting>
  <conditionalFormatting sqref="B67:S69">
    <cfRule type="containsBlanks" dxfId="403" priority="9">
      <formula>LEN(TRIM(B67))=0</formula>
    </cfRule>
  </conditionalFormatting>
  <conditionalFormatting sqref="B72:S74">
    <cfRule type="containsBlanks" dxfId="402" priority="10">
      <formula>LEN(TRIM(B72))=0</formula>
    </cfRule>
  </conditionalFormatting>
  <conditionalFormatting sqref="B77:S79">
    <cfRule type="containsBlanks" dxfId="401" priority="11">
      <formula>LEN(TRIM(B77))=0</formula>
    </cfRule>
  </conditionalFormatting>
  <conditionalFormatting sqref="B82:S84">
    <cfRule type="containsBlanks" dxfId="400" priority="12">
      <formula>LEN(TRIM(B82))=0</formula>
    </cfRule>
  </conditionalFormatting>
  <conditionalFormatting sqref="B87:S89">
    <cfRule type="containsBlanks" dxfId="399" priority="13">
      <formula>LEN(TRIM(B87))=0</formula>
    </cfRule>
  </conditionalFormatting>
  <conditionalFormatting sqref="B92:S94">
    <cfRule type="containsBlanks" dxfId="398" priority="55">
      <formula>LEN(TRIM(B92))=0</formula>
    </cfRule>
  </conditionalFormatting>
  <conditionalFormatting sqref="B97:S99">
    <cfRule type="containsBlanks" dxfId="397" priority="54">
      <formula>LEN(TRIM(B97))=0</formula>
    </cfRule>
  </conditionalFormatting>
  <conditionalFormatting sqref="B102:S104">
    <cfRule type="containsBlanks" dxfId="396" priority="14">
      <formula>LEN(TRIM(B102))=0</formula>
    </cfRule>
  </conditionalFormatting>
  <conditionalFormatting sqref="B107:S109">
    <cfRule type="containsBlanks" dxfId="395" priority="15">
      <formula>LEN(TRIM(B107))=0</formula>
    </cfRule>
  </conditionalFormatting>
  <conditionalFormatting sqref="B112:S114">
    <cfRule type="containsBlanks" dxfId="394" priority="16">
      <formula>LEN(TRIM(B112))=0</formula>
    </cfRule>
  </conditionalFormatting>
  <conditionalFormatting sqref="B117:S119">
    <cfRule type="containsBlanks" dxfId="393" priority="17">
      <formula>LEN(TRIM(B117))=0</formula>
    </cfRule>
  </conditionalFormatting>
  <conditionalFormatting sqref="B122:S124">
    <cfRule type="containsBlanks" dxfId="392" priority="18">
      <formula>LEN(TRIM(B122))=0</formula>
    </cfRule>
  </conditionalFormatting>
  <conditionalFormatting sqref="B127:S129">
    <cfRule type="containsBlanks" dxfId="391" priority="19">
      <formula>LEN(TRIM(B127))=0</formula>
    </cfRule>
  </conditionalFormatting>
  <conditionalFormatting sqref="B132:S134">
    <cfRule type="containsBlanks" dxfId="390" priority="20">
      <formula>LEN(TRIM(B132))=0</formula>
    </cfRule>
  </conditionalFormatting>
  <conditionalFormatting sqref="B137:S139">
    <cfRule type="containsBlanks" dxfId="389" priority="21">
      <formula>LEN(TRIM(B137))=0</formula>
    </cfRule>
  </conditionalFormatting>
  <conditionalFormatting sqref="B142:S144">
    <cfRule type="containsBlanks" dxfId="388" priority="22">
      <formula>LEN(TRIM(B142))=0</formula>
    </cfRule>
  </conditionalFormatting>
  <conditionalFormatting sqref="B147:S149">
    <cfRule type="containsBlanks" dxfId="387" priority="23">
      <formula>LEN(TRIM(B147))=0</formula>
    </cfRule>
  </conditionalFormatting>
  <conditionalFormatting sqref="B152:S154">
    <cfRule type="containsBlanks" dxfId="386" priority="24">
      <formula>LEN(TRIM(B152))=0</formula>
    </cfRule>
  </conditionalFormatting>
  <conditionalFormatting sqref="B157:S159">
    <cfRule type="containsBlanks" dxfId="385" priority="26">
      <formula>LEN(TRIM(B157))=0</formula>
    </cfRule>
  </conditionalFormatting>
  <conditionalFormatting sqref="B162:S164">
    <cfRule type="containsBlanks" dxfId="384" priority="27">
      <formula>LEN(TRIM(B162))=0</formula>
    </cfRule>
  </conditionalFormatting>
  <conditionalFormatting sqref="B167:S169">
    <cfRule type="containsBlanks" dxfId="383" priority="28">
      <formula>LEN(TRIM(B167))=0</formula>
    </cfRule>
  </conditionalFormatting>
  <conditionalFormatting sqref="B172:S174">
    <cfRule type="containsBlanks" dxfId="382" priority="29">
      <formula>LEN(TRIM(B172))=0</formula>
    </cfRule>
  </conditionalFormatting>
  <conditionalFormatting sqref="B177:S179">
    <cfRule type="containsBlanks" dxfId="381" priority="30">
      <formula>LEN(TRIM(B177))=0</formula>
    </cfRule>
  </conditionalFormatting>
  <conditionalFormatting sqref="B182:S184">
    <cfRule type="containsBlanks" dxfId="380" priority="31">
      <formula>LEN(TRIM(B182))=0</formula>
    </cfRule>
  </conditionalFormatting>
  <conditionalFormatting sqref="B187:S189">
    <cfRule type="containsBlanks" dxfId="379" priority="32">
      <formula>LEN(TRIM(B187))=0</formula>
    </cfRule>
  </conditionalFormatting>
  <conditionalFormatting sqref="B192:S194">
    <cfRule type="containsBlanks" dxfId="378" priority="33">
      <formula>LEN(TRIM(B192))=0</formula>
    </cfRule>
  </conditionalFormatting>
  <conditionalFormatting sqref="B197:S199">
    <cfRule type="containsBlanks" dxfId="377" priority="34">
      <formula>LEN(TRIM(B197))=0</formula>
    </cfRule>
  </conditionalFormatting>
  <pageMargins left="0.7" right="0.7" top="0.78740157499999996" bottom="0.78740157499999996" header="0.3" footer="0.3"/>
  <pageSetup paperSize="9" scale="81" fitToHeight="0" orientation="landscape"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4CB23-047F-424E-9637-7AF9CE54E4F5}">
  <dimension ref="A1:AZ800"/>
  <sheetViews>
    <sheetView tabSelected="1" zoomScale="55" zoomScaleNormal="55" workbookViewId="0">
      <selection activeCell="K414" sqref="K414"/>
    </sheetView>
  </sheetViews>
  <sheetFormatPr baseColWidth="10" defaultRowHeight="15.6" x14ac:dyDescent="0.3"/>
  <cols>
    <col min="1" max="1" width="4.6640625" style="21" customWidth="1"/>
    <col min="2" max="2" width="6" style="6" customWidth="1"/>
    <col min="3" max="3" width="32" style="6" customWidth="1"/>
    <col min="4" max="4" width="19.77734375" style="6" customWidth="1"/>
    <col min="5" max="5" width="9.21875" style="6" customWidth="1"/>
    <col min="6" max="6" width="6.21875" style="6" customWidth="1"/>
    <col min="7" max="7" width="7.5546875" style="6" customWidth="1"/>
    <col min="8" max="8" width="3.44140625" style="6" customWidth="1"/>
    <col min="9" max="9" width="12.33203125" style="22" customWidth="1"/>
    <col min="10" max="10" width="12.44140625" style="6" customWidth="1"/>
    <col min="11" max="11" width="19.21875" style="6" bestFit="1" customWidth="1"/>
    <col min="12" max="15" width="4.88671875" style="6" bestFit="1" customWidth="1"/>
    <col min="16" max="23" width="3.5546875" style="6" bestFit="1" customWidth="1"/>
    <col min="24" max="28" width="4.88671875" style="6" bestFit="1" customWidth="1"/>
    <col min="29" max="29" width="6" style="6" bestFit="1" customWidth="1"/>
    <col min="30" max="30" width="8.44140625" style="6" bestFit="1" customWidth="1"/>
    <col min="31" max="31" width="7" style="6" bestFit="1" customWidth="1"/>
    <col min="32" max="32" width="9.44140625" style="6" bestFit="1" customWidth="1"/>
    <col min="33" max="33" width="6" style="6" customWidth="1"/>
    <col min="34" max="34" width="8.44140625" style="6" customWidth="1"/>
    <col min="35" max="35" width="7" style="6" customWidth="1"/>
    <col min="36" max="36" width="5.109375" style="6" customWidth="1"/>
    <col min="37" max="37" width="3.6640625" style="6" customWidth="1"/>
    <col min="38" max="38" width="4.88671875" style="6" customWidth="1"/>
    <col min="39" max="39" width="9" style="6" customWidth="1"/>
    <col min="40" max="40" width="7.33203125" style="6" customWidth="1"/>
    <col min="41" max="41" width="4.33203125" style="6" customWidth="1"/>
    <col min="42" max="42" width="19.88671875" style="6" customWidth="1"/>
    <col min="43" max="46" width="12.6640625" style="6" customWidth="1"/>
    <col min="47" max="47" width="5.6640625" style="6" customWidth="1"/>
    <col min="48" max="48" width="8" style="6" customWidth="1"/>
    <col min="49" max="51" width="11.5546875" style="6" customWidth="1"/>
    <col min="52" max="16384" width="11.5546875" style="6"/>
  </cols>
  <sheetData>
    <row r="1" spans="1:52" s="7" customFormat="1" ht="16.2" thickBot="1" x14ac:dyDescent="0.35">
      <c r="A1" s="443" t="s">
        <v>68</v>
      </c>
      <c r="B1" s="444"/>
      <c r="C1" s="444"/>
      <c r="D1" s="444"/>
      <c r="E1" s="444"/>
      <c r="F1" s="444"/>
      <c r="G1" s="444"/>
      <c r="H1" s="444"/>
      <c r="I1" s="444"/>
      <c r="J1" s="445"/>
      <c r="K1" s="443" t="s">
        <v>69</v>
      </c>
      <c r="L1" s="446"/>
      <c r="M1" s="446"/>
      <c r="N1" s="446"/>
      <c r="O1" s="446"/>
      <c r="P1" s="446"/>
      <c r="Q1" s="446"/>
      <c r="R1" s="446"/>
      <c r="S1" s="446"/>
      <c r="T1" s="446"/>
      <c r="U1" s="446"/>
      <c r="V1" s="446"/>
      <c r="W1" s="446"/>
      <c r="X1" s="446"/>
      <c r="Y1" s="446"/>
      <c r="Z1" s="446"/>
      <c r="AA1" s="446"/>
      <c r="AB1" s="446"/>
      <c r="AC1" s="446" t="str">
        <f>A1</f>
        <v>VOLL AUTOMATISCH</v>
      </c>
      <c r="AD1" s="446"/>
      <c r="AE1" s="446"/>
      <c r="AF1" s="446"/>
      <c r="AG1" s="446"/>
      <c r="AH1" s="446"/>
      <c r="AI1" s="446"/>
      <c r="AJ1" s="446"/>
      <c r="AK1" s="446"/>
      <c r="AL1" s="446"/>
      <c r="AM1" s="446"/>
      <c r="AN1" s="446"/>
      <c r="AO1" s="446"/>
      <c r="AP1" s="446"/>
      <c r="AQ1" s="446"/>
      <c r="AR1" s="446"/>
      <c r="AS1" s="446"/>
      <c r="AT1" s="446"/>
      <c r="AU1" s="446"/>
      <c r="AV1" s="447"/>
    </row>
    <row r="2" spans="1:52" ht="16.2" thickBot="1" x14ac:dyDescent="0.35">
      <c r="A2" s="235"/>
      <c r="B2" s="28" t="s">
        <v>36</v>
      </c>
      <c r="C2" s="30" t="s">
        <v>2</v>
      </c>
      <c r="D2" s="30" t="s">
        <v>155</v>
      </c>
      <c r="E2" s="30" t="s">
        <v>616</v>
      </c>
      <c r="F2" s="30" t="s">
        <v>0</v>
      </c>
      <c r="G2" s="30" t="s">
        <v>617</v>
      </c>
      <c r="H2" s="30" t="s">
        <v>27</v>
      </c>
      <c r="I2" s="241" t="s">
        <v>1</v>
      </c>
      <c r="J2" s="241" t="s">
        <v>3</v>
      </c>
      <c r="K2" s="135" t="s">
        <v>13</v>
      </c>
      <c r="L2" s="135" t="s">
        <v>561</v>
      </c>
      <c r="M2" s="135" t="s">
        <v>562</v>
      </c>
      <c r="N2" s="135" t="s">
        <v>563</v>
      </c>
      <c r="O2" s="135" t="s">
        <v>564</v>
      </c>
      <c r="P2" s="135" t="s">
        <v>565</v>
      </c>
      <c r="Q2" s="135" t="s">
        <v>566</v>
      </c>
      <c r="R2" s="135" t="s">
        <v>567</v>
      </c>
      <c r="S2" s="135" t="s">
        <v>568</v>
      </c>
      <c r="T2" s="135" t="s">
        <v>569</v>
      </c>
      <c r="U2" s="135" t="s">
        <v>570</v>
      </c>
      <c r="V2" s="135" t="s">
        <v>571</v>
      </c>
      <c r="W2" s="135" t="s">
        <v>572</v>
      </c>
      <c r="X2" s="135" t="s">
        <v>104</v>
      </c>
      <c r="Y2" s="135" t="s">
        <v>105</v>
      </c>
      <c r="Z2" s="135" t="s">
        <v>106</v>
      </c>
      <c r="AA2" s="135" t="s">
        <v>107</v>
      </c>
      <c r="AB2" s="371" t="s">
        <v>40</v>
      </c>
      <c r="AC2" s="23" t="s">
        <v>21</v>
      </c>
      <c r="AD2" s="23" t="s">
        <v>22</v>
      </c>
      <c r="AE2" s="23" t="s">
        <v>23</v>
      </c>
      <c r="AF2" s="23" t="s">
        <v>39</v>
      </c>
      <c r="AG2" s="23" t="s">
        <v>32</v>
      </c>
      <c r="AH2" s="23" t="s">
        <v>33</v>
      </c>
      <c r="AI2" s="23" t="s">
        <v>34</v>
      </c>
      <c r="AJ2" s="23" t="s">
        <v>35</v>
      </c>
      <c r="AK2" s="23" t="s">
        <v>24</v>
      </c>
      <c r="AL2" s="23" t="s">
        <v>25</v>
      </c>
      <c r="AM2" s="23" t="s">
        <v>66</v>
      </c>
      <c r="AN2" s="23" t="s">
        <v>763</v>
      </c>
      <c r="AO2" s="23" t="s">
        <v>220</v>
      </c>
      <c r="AP2" s="23" t="s">
        <v>229</v>
      </c>
      <c r="AQ2" s="23" t="s">
        <v>283</v>
      </c>
      <c r="AR2" s="23" t="s">
        <v>284</v>
      </c>
      <c r="AS2" s="23" t="s">
        <v>285</v>
      </c>
      <c r="AT2" s="23" t="s">
        <v>286</v>
      </c>
      <c r="AU2" s="89" t="s">
        <v>430</v>
      </c>
      <c r="AV2" s="23" t="s">
        <v>63</v>
      </c>
      <c r="AW2" s="23" t="s">
        <v>600</v>
      </c>
      <c r="AX2" s="23" t="s">
        <v>601</v>
      </c>
      <c r="AY2" s="23" t="s">
        <v>602</v>
      </c>
      <c r="AZ2" s="23" t="s">
        <v>764</v>
      </c>
    </row>
    <row r="3" spans="1:52" ht="16.2" hidden="1" thickBot="1" x14ac:dyDescent="0.35">
      <c r="A3" s="440">
        <f>B3</f>
        <v>1</v>
      </c>
      <c r="B3" s="55">
        <f>ROUNDUP((ROW(B3)-2)/6,0)</f>
        <v>1</v>
      </c>
      <c r="C3" s="35" t="str">
        <f>VLOOKUP($B3,Chronologie[],7,TRUE)</f>
        <v>TSV 90 Zwickau II</v>
      </c>
      <c r="D3" s="35" t="str">
        <f>VLOOKUP($B3,Chronologie[],8,TRUE)</f>
        <v>Hirschfeld</v>
      </c>
      <c r="E3" s="36" t="str">
        <f>VLOOKUP($B3,Chronologie[],9,TRUE)</f>
        <v>H</v>
      </c>
      <c r="F3" s="35" t="str">
        <f>VLOOKUP($B3,Chronologie[],COLUMN(F4)-2,TRUE)</f>
        <v>E</v>
      </c>
      <c r="G3" s="35" t="str">
        <f>VLOOKUP($B3,Chronologie[],COLUMN(G4)-2,TRUE)</f>
        <v>L</v>
      </c>
      <c r="H3" s="35">
        <f>VLOOKUP($B3,Chronologie[],COLUMN(H4)-2,TRUE)</f>
        <v>1</v>
      </c>
      <c r="I3" s="9" t="str">
        <f>VLOOKUP($B3,Chronologie[],2,TRUE)</f>
        <v>E-L-1</v>
      </c>
      <c r="J3" s="242">
        <f>VLOOKUP($B3,Chronologie[],3,TRUE)</f>
        <v>45913</v>
      </c>
      <c r="K3" s="236" t="s">
        <v>658</v>
      </c>
      <c r="L3" s="334">
        <v>103</v>
      </c>
      <c r="M3" s="334">
        <v>85</v>
      </c>
      <c r="N3" s="334">
        <v>95</v>
      </c>
      <c r="O3" s="334">
        <v>92</v>
      </c>
      <c r="P3" s="334">
        <v>36</v>
      </c>
      <c r="Q3" s="334">
        <v>52</v>
      </c>
      <c r="R3" s="334">
        <v>63</v>
      </c>
      <c r="S3" s="334">
        <v>36</v>
      </c>
      <c r="T3" s="334">
        <v>2</v>
      </c>
      <c r="U3" s="334">
        <v>0</v>
      </c>
      <c r="V3" s="334">
        <v>1</v>
      </c>
      <c r="W3" s="334">
        <v>1</v>
      </c>
      <c r="X3" s="37">
        <v>1</v>
      </c>
      <c r="Y3" s="37">
        <v>0</v>
      </c>
      <c r="Z3" s="37">
        <v>1</v>
      </c>
      <c r="AA3" s="37">
        <v>1</v>
      </c>
      <c r="AB3" s="90">
        <v>517</v>
      </c>
      <c r="AC3" s="93">
        <f>IF(Eingabe[[#This Row],[V1]]="",IF(Eingabe[[#This Row],[Volle alternativ]]="","",Eingabe[[#This Row],[Volle alternativ]]),SUM(Eingabe[[#This Row],[V1]:[V4]]))</f>
        <v>375</v>
      </c>
      <c r="AD3" s="35">
        <f>IF(Eingabe[[#This Row],[R1]]="",IF(Eingabe[[#This Row],[Räumer alternativ]]="","",Eingabe[[#This Row],[Räumer alternativ]]),SUM(Eingabe[[#This Row],[R1]:[R4]]))</f>
        <v>187</v>
      </c>
      <c r="AE3" s="35">
        <f>IF(Eingabe[[#This Row],[F1]]="",IF(Eingabe[[#This Row],[Fehler alternativ]]="","",Eingabe[[#This Row],[Fehler alternativ]]),SUM(Eingabe[[#This Row],[F1]:[F4]]))</f>
        <v>4</v>
      </c>
      <c r="AF3" s="35">
        <f>IF(Eingabe[[#This Row],[Volle]]="","",IF(Eingabe[[#This Row],[S1]]="",Eingabe[[#This Row],[Volle]]+Eingabe[[#This Row],[Räumer]],IF(Eingabe[[#This Row],[Volle]]+Eingabe[[#This Row],[Räumer]]=Eingabe[[#This Row],[S1]]+Eingabe[[#This Row],[S2]]+Eingabe[[#This Row],[S3]]+Eingabe[[#This Row],[S4]],Eingabe[[#This Row],[Volle]]+Eingabe[[#This Row],[Räumer]],"FEHLER")))</f>
        <v>562</v>
      </c>
      <c r="AG3" s="35">
        <f>IF(Eingabe[[#This Row],[V1]]="","",Eingabe[[#This Row],[V1]]+Eingabe[[#This Row],[R1]])</f>
        <v>139</v>
      </c>
      <c r="AH3" s="35">
        <f>IF(Eingabe[[#This Row],[V2]]="","",Eingabe[[#This Row],[V2]]+Eingabe[[#This Row],[R2]])</f>
        <v>137</v>
      </c>
      <c r="AI3" s="35">
        <f>IF(Eingabe[[#This Row],[V3]]="","",Eingabe[[#This Row],[V3]]+Eingabe[[#This Row],[R3]])</f>
        <v>158</v>
      </c>
      <c r="AJ3" s="35">
        <f>IF(Eingabe[[#This Row],[V4]]="","",Eingabe[[#This Row],[V4]]+Eingabe[[#This Row],[R4]])</f>
        <v>128</v>
      </c>
      <c r="AK3" s="35">
        <f>IF(Eingabe[[#This Row],[S1P]]="","",Eingabe[[#This Row],[S1P]]+Eingabe[[#This Row],[S2P]]+Eingabe[[#This Row],[S3P]]+Eingabe[[#This Row],[S4P]])</f>
        <v>3</v>
      </c>
      <c r="AL3" s="35">
        <f>IF(Eingabe[[#This Row],[S1P]]="","",IF(Eingabe[[#This Row],[SP]]&gt;2,1,IF(Eingabe[[#This Row],[SP]]&lt;2,0,IF(Eingabe[[#This Row],[GES]]&gt;Eingabe[[#This Row],[GEGGES]],1,IF(Eingabe[[#This Row],[GES]]=Eingabe[[#This Row],[GEGGES]],0.5,0)))))</f>
        <v>1</v>
      </c>
      <c r="AM3" s="35">
        <f>IF(Eingabe[[#This Row],[MP]]="","",MOD(ROW(Eingabe[[#This Row],[Position]])-3,6)+1)</f>
        <v>1</v>
      </c>
      <c r="AN3" s="35">
        <f>STANDARDIZE(Eingabe[[#This Row],[GES]],Eingabe[[#This Row],[Schnitt]],VLOOKUP(Eingabe[[#This Row],[Name]],AuswertungG[],21,FALSE))</f>
        <v>0.34285714285714286</v>
      </c>
      <c r="AO3" s="35">
        <f>VLOOKUP(Eingabe[[#This Row],[ID]],Chronologie[[ID]:[KW]],12,FALSE)</f>
        <v>3</v>
      </c>
      <c r="AP3" s="58" t="str">
        <f>IF(Eingabe[[#This Row],[Wo]]="H",Eingabe[[#This Row],[Gegner]]&amp;" ["&amp;Eingabe[[#This Row],[Wo]]&amp;"]",Eingabe[[#This Row],[Ort]])</f>
        <v>TSV 90 Zwickau II [H]</v>
      </c>
      <c r="AQ3" s="35">
        <f>IFERROR(IF(Eingabe[[#This Row],[Wo]]="H",IF(MOD(Eingabe[[#This Row],[Position]],2)=1,Eingabe[[#This Row],[S1]],Eingabe[[#This Row],[S4]]),""),"")</f>
        <v>139</v>
      </c>
      <c r="AR3" s="35">
        <f>IFERROR(IF(Eingabe[[#This Row],[Wo]]="H",IF(Eingabe[[#This Row],[S1]]&gt;0,IF(MOD(Eingabe[[#This Row],[Position]],2)=1,Eingabe[[#This Row],[S2]],Eingabe[[#This Row],[S3]]),""),""),"")</f>
        <v>137</v>
      </c>
      <c r="AS3" s="35">
        <f>IFERROR(IF(Eingabe[[#This Row],[Wo]]="H",IF(Eingabe[[#This Row],[S1]]&gt;0,IF(MOD(ROW(Eingabe[[#This Row],[Heimbahn 3]]),2)=1,Eingabe[[#This Row],[S4]],Eingabe[[#This Row],[S1]]),""),""),"")</f>
        <v>128</v>
      </c>
      <c r="AT3" s="35">
        <f>IFERROR(IF(Eingabe[[#This Row],[Wo]]="H",IF(Eingabe[[#This Row],[S1]]&gt;0,IF(MOD(ROW(Eingabe[[#This Row],[Heimbahn 4]]),2)=1,Eingabe[[#This Row],[S3]],Eingabe[[#This Row],[S2]]),""),""),"")</f>
        <v>158</v>
      </c>
      <c r="AU3" s="88">
        <f>IF(Eingabe[[#This Row],[GES]]="","",IF(Eingabe[[#This Row],[Modus]]="L",_xlfn.RANK.EQ(Eingabe[[#This Row],[GES]],AF3:AF8),IF(Eingabe[[#This Row],[Modus]]="P",_xlfn.RANK.EQ(Eingabe[[#This Row],[GES]],AF3:AF8),"")))</f>
        <v>2</v>
      </c>
      <c r="AV3" s="6">
        <f>VLOOKUP(Eingabe[[#This Row],[Name]],AuswertungG[],8,FALSE)</f>
        <v>550</v>
      </c>
      <c r="AZ3" s="6">
        <f>IFERROR(ABS(Eingabe[[#This Row],[GES]]-Eingabe[[#This Row],[GEGGES]]),"")</f>
        <v>45</v>
      </c>
    </row>
    <row r="4" spans="1:52" ht="16.2" hidden="1" thickBot="1" x14ac:dyDescent="0.35">
      <c r="A4" s="441"/>
      <c r="B4" s="21">
        <f t="shared" ref="B4:B67" si="0">ROUNDUP((ROW(B4)-2)/6,0)</f>
        <v>1</v>
      </c>
      <c r="C4" s="6" t="str">
        <f>VLOOKUP($B4,Chronologie[],7,TRUE)</f>
        <v>TSV 90 Zwickau II</v>
      </c>
      <c r="D4" s="6" t="str">
        <f>VLOOKUP($B4,Chronologie[],8,TRUE)</f>
        <v>Hirschfeld</v>
      </c>
      <c r="E4" s="240" t="str">
        <f>VLOOKUP($B4,Chronologie[],9,TRUE)</f>
        <v>H</v>
      </c>
      <c r="F4" s="6" t="str">
        <f>VLOOKUP($B4,Chronologie[],COLUMN(F5)-2,TRUE)</f>
        <v>E</v>
      </c>
      <c r="G4" s="6" t="str">
        <f>VLOOKUP($B4,Chronologie[],COLUMN(G5)-2,TRUE)</f>
        <v>L</v>
      </c>
      <c r="H4" s="6">
        <f>VLOOKUP($B4,Chronologie[],COLUMN(H5)-2,TRUE)</f>
        <v>1</v>
      </c>
      <c r="I4" s="10" t="str">
        <f>VLOOKUP($B4,Chronologie[],2,TRUE)</f>
        <v>E-L-1</v>
      </c>
      <c r="J4" s="243">
        <f>VLOOKUP($B4,Chronologie[],3,TRUE)</f>
        <v>45913</v>
      </c>
      <c r="K4" s="237" t="s">
        <v>489</v>
      </c>
      <c r="L4" s="237">
        <v>99</v>
      </c>
      <c r="M4" s="237">
        <v>92</v>
      </c>
      <c r="N4" s="237">
        <v>77</v>
      </c>
      <c r="O4" s="237">
        <v>85</v>
      </c>
      <c r="P4" s="237">
        <v>41</v>
      </c>
      <c r="Q4" s="237">
        <v>44</v>
      </c>
      <c r="R4" s="237">
        <v>53</v>
      </c>
      <c r="S4" s="237">
        <v>31</v>
      </c>
      <c r="T4" s="237">
        <v>1</v>
      </c>
      <c r="U4" s="237">
        <v>0</v>
      </c>
      <c r="V4" s="237">
        <v>0</v>
      </c>
      <c r="W4" s="237">
        <v>4</v>
      </c>
      <c r="X4" s="38">
        <v>0</v>
      </c>
      <c r="Y4" s="38">
        <v>1</v>
      </c>
      <c r="Z4" s="38">
        <v>0</v>
      </c>
      <c r="AA4" s="38">
        <v>0</v>
      </c>
      <c r="AB4" s="91">
        <v>554</v>
      </c>
      <c r="AC4" s="94">
        <f>IF(Eingabe[[#This Row],[V1]]="",IF(Eingabe[[#This Row],[Volle alternativ]]="","",Eingabe[[#This Row],[Volle alternativ]]),SUM(Eingabe[[#This Row],[V1]:[V4]]))</f>
        <v>353</v>
      </c>
      <c r="AD4" s="6">
        <f>IF(Eingabe[[#This Row],[R1]]="",IF(Eingabe[[#This Row],[Räumer alternativ]]="","",Eingabe[[#This Row],[Räumer alternativ]]),SUM(Eingabe[[#This Row],[R1]:[R4]]))</f>
        <v>169</v>
      </c>
      <c r="AE4" s="6">
        <f>IF(Eingabe[[#This Row],[F1]]="",IF(Eingabe[[#This Row],[Fehler alternativ]]="","",Eingabe[[#This Row],[Fehler alternativ]]),SUM(Eingabe[[#This Row],[F1]:[F4]]))</f>
        <v>5</v>
      </c>
      <c r="AF4" s="6">
        <f>IF(Eingabe[[#This Row],[Volle]]="","",IF(Eingabe[[#This Row],[S1]]="",Eingabe[[#This Row],[Volle]]+Eingabe[[#This Row],[Räumer]],IF(Eingabe[[#This Row],[Volle]]+Eingabe[[#This Row],[Räumer]]=Eingabe[[#This Row],[S1]]+Eingabe[[#This Row],[S2]]+Eingabe[[#This Row],[S3]]+Eingabe[[#This Row],[S4]],Eingabe[[#This Row],[Volle]]+Eingabe[[#This Row],[Räumer]],"FEHLER")))</f>
        <v>522</v>
      </c>
      <c r="AG4" s="6">
        <f>IF(Eingabe[[#This Row],[V1]]="","",Eingabe[[#This Row],[V1]]+Eingabe[[#This Row],[R1]])</f>
        <v>140</v>
      </c>
      <c r="AH4" s="6">
        <f>IF(Eingabe[[#This Row],[V2]]="","",Eingabe[[#This Row],[V2]]+Eingabe[[#This Row],[R2]])</f>
        <v>136</v>
      </c>
      <c r="AI4" s="6">
        <f>IF(Eingabe[[#This Row],[V3]]="","",Eingabe[[#This Row],[V3]]+Eingabe[[#This Row],[R3]])</f>
        <v>130</v>
      </c>
      <c r="AJ4" s="6">
        <f>IF(Eingabe[[#This Row],[V4]]="","",Eingabe[[#This Row],[V4]]+Eingabe[[#This Row],[R4]])</f>
        <v>116</v>
      </c>
      <c r="AK4" s="6">
        <f>IF(Eingabe[[#This Row],[S1P]]="","",Eingabe[[#This Row],[S1P]]+Eingabe[[#This Row],[S2P]]+Eingabe[[#This Row],[S3P]]+Eingabe[[#This Row],[S4P]])</f>
        <v>1</v>
      </c>
      <c r="AL4" s="6">
        <f>IF(Eingabe[[#This Row],[S1P]]="","",IF(Eingabe[[#This Row],[SP]]&gt;2,1,IF(Eingabe[[#This Row],[SP]]&lt;2,0,IF(Eingabe[[#This Row],[GES]]&gt;Eingabe[[#This Row],[GEGGES]],1,IF(Eingabe[[#This Row],[GES]]=Eingabe[[#This Row],[GEGGES]],0.5,0)))))</f>
        <v>0</v>
      </c>
      <c r="AM4" s="6">
        <f>IF(Eingabe[[#This Row],[MP]]="","",MOD(ROW(Eingabe[[#This Row],[Position]])-3,6)+1)</f>
        <v>2</v>
      </c>
      <c r="AN4" s="6">
        <f>STANDARDIZE(Eingabe[[#This Row],[GES]],Eingabe[[#This Row],[Schnitt]],VLOOKUP(Eingabe[[#This Row],[Name]],AuswertungG[],21,FALSE))</f>
        <v>-0.16666666666666666</v>
      </c>
      <c r="AO4" s="6">
        <f>VLOOKUP(Eingabe[[#This Row],[ID]],Chronologie[[ID]:[KW]],12,FALSE)</f>
        <v>3</v>
      </c>
      <c r="AP4" s="95" t="str">
        <f>IF(Eingabe[[#This Row],[Wo]]="H",Eingabe[[#This Row],[Gegner]]&amp;" ["&amp;Eingabe[[#This Row],[Wo]]&amp;"]",Eingabe[[#This Row],[Ort]])</f>
        <v>TSV 90 Zwickau II [H]</v>
      </c>
      <c r="AQ4" s="6">
        <f>IFERROR(IF(Eingabe[[#This Row],[Wo]]="H",IF(MOD(Eingabe[[#This Row],[Position]],2)=1,Eingabe[[#This Row],[S1]],Eingabe[[#This Row],[S4]]),""),"")</f>
        <v>116</v>
      </c>
      <c r="AR4" s="6">
        <f>IFERROR(IF(Eingabe[[#This Row],[Wo]]="H",IF(Eingabe[[#This Row],[S1]]&gt;0,IF(MOD(Eingabe[[#This Row],[Position]],2)=1,Eingabe[[#This Row],[S2]],Eingabe[[#This Row],[S3]]),""),""),"")</f>
        <v>130</v>
      </c>
      <c r="AS4" s="6">
        <f>IFERROR(IF(Eingabe[[#This Row],[Wo]]="H",IF(Eingabe[[#This Row],[S1]]&gt;0,IF(MOD(ROW(Eingabe[[#This Row],[Heimbahn 3]]),2)=1,Eingabe[[#This Row],[S4]],Eingabe[[#This Row],[S1]]),""),""),"")</f>
        <v>140</v>
      </c>
      <c r="AT4" s="6">
        <f>IFERROR(IF(Eingabe[[#This Row],[Wo]]="H",IF(Eingabe[[#This Row],[S1]]&gt;0,IF(MOD(ROW(Eingabe[[#This Row],[Heimbahn 4]]),2)=1,Eingabe[[#This Row],[S3]],Eingabe[[#This Row],[S2]]),""),""),"")</f>
        <v>136</v>
      </c>
      <c r="AU4" s="22">
        <f>IF(Eingabe[[#This Row],[GES]]="","",IF(Eingabe[[#This Row],[Modus]]="L",_xlfn.RANK.EQ(Eingabe[[#This Row],[GES]],AF3:AF8),IF(Eingabe[[#This Row],[Modus]]="P",_xlfn.RANK.EQ(Eingabe[[#This Row],[GES]],AF3:AF8),"")))</f>
        <v>4</v>
      </c>
      <c r="AV4" s="6">
        <f>VLOOKUP(Eingabe[[#This Row],[Name]],AuswertungG[],8,FALSE)</f>
        <v>526</v>
      </c>
      <c r="AZ4" s="6">
        <f>IFERROR(ABS(Eingabe[[#This Row],[GES]]-Eingabe[[#This Row],[GEGGES]]),"")</f>
        <v>32</v>
      </c>
    </row>
    <row r="5" spans="1:52" ht="16.2" hidden="1" thickBot="1" x14ac:dyDescent="0.35">
      <c r="A5" s="441"/>
      <c r="B5" s="21">
        <f t="shared" si="0"/>
        <v>1</v>
      </c>
      <c r="C5" s="6" t="str">
        <f>VLOOKUP($B5,Chronologie[],7,TRUE)</f>
        <v>TSV 90 Zwickau II</v>
      </c>
      <c r="D5" s="6" t="str">
        <f>VLOOKUP($B5,Chronologie[],8,TRUE)</f>
        <v>Hirschfeld</v>
      </c>
      <c r="E5" s="240" t="str">
        <f>VLOOKUP($B5,Chronologie[],9,TRUE)</f>
        <v>H</v>
      </c>
      <c r="F5" s="6" t="str">
        <f>VLOOKUP($B5,Chronologie[],COLUMN(F6)-2,TRUE)</f>
        <v>E</v>
      </c>
      <c r="G5" s="6" t="str">
        <f>VLOOKUP($B5,Chronologie[],COLUMN(G6)-2,TRUE)</f>
        <v>L</v>
      </c>
      <c r="H5" s="6">
        <f>VLOOKUP($B5,Chronologie[],COLUMN(H6)-2,TRUE)</f>
        <v>1</v>
      </c>
      <c r="I5" s="10" t="str">
        <f>VLOOKUP($B5,Chronologie[],2,TRUE)</f>
        <v>E-L-1</v>
      </c>
      <c r="J5" s="243">
        <f>VLOOKUP($B5,Chronologie[],3,TRUE)</f>
        <v>45913</v>
      </c>
      <c r="K5" s="237" t="s">
        <v>469</v>
      </c>
      <c r="L5" s="237">
        <v>97</v>
      </c>
      <c r="M5" s="237">
        <v>88</v>
      </c>
      <c r="N5" s="237">
        <v>89</v>
      </c>
      <c r="O5" s="237">
        <v>97</v>
      </c>
      <c r="P5" s="237">
        <v>34</v>
      </c>
      <c r="Q5" s="237">
        <v>36</v>
      </c>
      <c r="R5" s="237">
        <v>27</v>
      </c>
      <c r="S5" s="237">
        <v>30</v>
      </c>
      <c r="T5" s="237">
        <v>1</v>
      </c>
      <c r="U5" s="237">
        <v>1</v>
      </c>
      <c r="V5" s="237">
        <v>2</v>
      </c>
      <c r="W5" s="237">
        <v>5</v>
      </c>
      <c r="X5" s="38">
        <v>1</v>
      </c>
      <c r="Y5" s="38">
        <v>1</v>
      </c>
      <c r="Z5" s="38">
        <v>0</v>
      </c>
      <c r="AA5" s="38">
        <v>0</v>
      </c>
      <c r="AB5" s="91">
        <v>497</v>
      </c>
      <c r="AC5" s="94">
        <f>IF(Eingabe[[#This Row],[V1]]="",IF(Eingabe[[#This Row],[Volle alternativ]]="","",Eingabe[[#This Row],[Volle alternativ]]),SUM(Eingabe[[#This Row],[V1]:[V4]]))</f>
        <v>371</v>
      </c>
      <c r="AD5" s="6">
        <f>IF(Eingabe[[#This Row],[R1]]="",IF(Eingabe[[#This Row],[Räumer alternativ]]="","",Eingabe[[#This Row],[Räumer alternativ]]),SUM(Eingabe[[#This Row],[R1]:[R4]]))</f>
        <v>127</v>
      </c>
      <c r="AE5" s="6">
        <f>IF(Eingabe[[#This Row],[F1]]="",IF(Eingabe[[#This Row],[Fehler alternativ]]="","",Eingabe[[#This Row],[Fehler alternativ]]),SUM(Eingabe[[#This Row],[F1]:[F4]]))</f>
        <v>9</v>
      </c>
      <c r="AF5" s="6">
        <f>IF(Eingabe[[#This Row],[Volle]]="","",IF(Eingabe[[#This Row],[S1]]="",Eingabe[[#This Row],[Volle]]+Eingabe[[#This Row],[Räumer]],IF(Eingabe[[#This Row],[Volle]]+Eingabe[[#This Row],[Räumer]]=Eingabe[[#This Row],[S1]]+Eingabe[[#This Row],[S2]]+Eingabe[[#This Row],[S3]]+Eingabe[[#This Row],[S4]],Eingabe[[#This Row],[Volle]]+Eingabe[[#This Row],[Räumer]],"FEHLER")))</f>
        <v>498</v>
      </c>
      <c r="AG5" s="6">
        <f>IF(Eingabe[[#This Row],[V1]]="","",Eingabe[[#This Row],[V1]]+Eingabe[[#This Row],[R1]])</f>
        <v>131</v>
      </c>
      <c r="AH5" s="6">
        <f>IF(Eingabe[[#This Row],[V2]]="","",Eingabe[[#This Row],[V2]]+Eingabe[[#This Row],[R2]])</f>
        <v>124</v>
      </c>
      <c r="AI5" s="6">
        <f>IF(Eingabe[[#This Row],[V3]]="","",Eingabe[[#This Row],[V3]]+Eingabe[[#This Row],[R3]])</f>
        <v>116</v>
      </c>
      <c r="AJ5" s="6">
        <f>IF(Eingabe[[#This Row],[V4]]="","",Eingabe[[#This Row],[V4]]+Eingabe[[#This Row],[R4]])</f>
        <v>127</v>
      </c>
      <c r="AK5" s="6">
        <f>IF(Eingabe[[#This Row],[S1P]]="","",Eingabe[[#This Row],[S1P]]+Eingabe[[#This Row],[S2P]]+Eingabe[[#This Row],[S3P]]+Eingabe[[#This Row],[S4P]])</f>
        <v>2</v>
      </c>
      <c r="AL5" s="6">
        <f>IF(Eingabe[[#This Row],[S1P]]="","",IF(Eingabe[[#This Row],[SP]]&gt;2,1,IF(Eingabe[[#This Row],[SP]]&lt;2,0,IF(Eingabe[[#This Row],[GES]]&gt;Eingabe[[#This Row],[GEGGES]],1,IF(Eingabe[[#This Row],[GES]]=Eingabe[[#This Row],[GEGGES]],0.5,0)))))</f>
        <v>1</v>
      </c>
      <c r="AM5" s="6">
        <f>IF(Eingabe[[#This Row],[MP]]="","",MOD(ROW(Eingabe[[#This Row],[Position]])-3,6)+1)</f>
        <v>3</v>
      </c>
      <c r="AN5" s="6">
        <f>STANDARDIZE(Eingabe[[#This Row],[GES]],Eingabe[[#This Row],[Schnitt]],VLOOKUP(Eingabe[[#This Row],[Name]],AuswertungG[],21,FALSE))</f>
        <v>-1.3636363636363635</v>
      </c>
      <c r="AO5" s="6">
        <f>VLOOKUP(Eingabe[[#This Row],[ID]],Chronologie[[ID]:[KW]],12,FALSE)</f>
        <v>3</v>
      </c>
      <c r="AP5" s="95" t="str">
        <f>IF(Eingabe[[#This Row],[Wo]]="H",Eingabe[[#This Row],[Gegner]]&amp;" ["&amp;Eingabe[[#This Row],[Wo]]&amp;"]",Eingabe[[#This Row],[Ort]])</f>
        <v>TSV 90 Zwickau II [H]</v>
      </c>
      <c r="AQ5" s="6">
        <f>IFERROR(IF(Eingabe[[#This Row],[Wo]]="H",IF(MOD(Eingabe[[#This Row],[Position]],2)=1,Eingabe[[#This Row],[S1]],Eingabe[[#This Row],[S4]]),""),"")</f>
        <v>131</v>
      </c>
      <c r="AR5" s="6">
        <f>IFERROR(IF(Eingabe[[#This Row],[Wo]]="H",IF(Eingabe[[#This Row],[S1]]&gt;0,IF(MOD(Eingabe[[#This Row],[Position]],2)=1,Eingabe[[#This Row],[S2]],Eingabe[[#This Row],[S3]]),""),""),"")</f>
        <v>124</v>
      </c>
      <c r="AS5" s="6">
        <f>IFERROR(IF(Eingabe[[#This Row],[Wo]]="H",IF(Eingabe[[#This Row],[S1]]&gt;0,IF(MOD(ROW(Eingabe[[#This Row],[Heimbahn 3]]),2)=1,Eingabe[[#This Row],[S4]],Eingabe[[#This Row],[S1]]),""),""),"")</f>
        <v>127</v>
      </c>
      <c r="AT5" s="6">
        <f>IFERROR(IF(Eingabe[[#This Row],[Wo]]="H",IF(Eingabe[[#This Row],[S1]]&gt;0,IF(MOD(ROW(Eingabe[[#This Row],[Heimbahn 4]]),2)=1,Eingabe[[#This Row],[S3]],Eingabe[[#This Row],[S2]]),""),""),"")</f>
        <v>116</v>
      </c>
      <c r="AU5" s="22">
        <f>IF(Eingabe[[#This Row],[GES]]="","",IF(Eingabe[[#This Row],[Modus]]="L",_xlfn.RANK.EQ(Eingabe[[#This Row],[GES]],AF3:AF8),IF(Eingabe[[#This Row],[Modus]]="P",_xlfn.RANK.EQ(Eingabe[[#This Row],[GES]],AF3:AF8),"")))</f>
        <v>6</v>
      </c>
      <c r="AV5" s="6">
        <f>VLOOKUP(Eingabe[[#This Row],[Name]],AuswertungG[],8,FALSE)</f>
        <v>528</v>
      </c>
      <c r="AZ5" s="6">
        <f>IFERROR(ABS(Eingabe[[#This Row],[GES]]-Eingabe[[#This Row],[GEGGES]]),"")</f>
        <v>1</v>
      </c>
    </row>
    <row r="6" spans="1:52" ht="16.2" hidden="1" thickBot="1" x14ac:dyDescent="0.35">
      <c r="A6" s="441"/>
      <c r="B6" s="21">
        <f t="shared" si="0"/>
        <v>1</v>
      </c>
      <c r="C6" s="6" t="str">
        <f>VLOOKUP($B6,Chronologie[],7,TRUE)</f>
        <v>TSV 90 Zwickau II</v>
      </c>
      <c r="D6" s="6" t="str">
        <f>VLOOKUP($B6,Chronologie[],8,TRUE)</f>
        <v>Hirschfeld</v>
      </c>
      <c r="E6" s="240" t="str">
        <f>VLOOKUP($B6,Chronologie[],9,TRUE)</f>
        <v>H</v>
      </c>
      <c r="F6" s="6" t="str">
        <f>VLOOKUP($B6,Chronologie[],COLUMN(F7)-2,TRUE)</f>
        <v>E</v>
      </c>
      <c r="G6" s="6" t="str">
        <f>VLOOKUP($B6,Chronologie[],COLUMN(G7)-2,TRUE)</f>
        <v>L</v>
      </c>
      <c r="H6" s="6">
        <f>VLOOKUP($B6,Chronologie[],COLUMN(H7)-2,TRUE)</f>
        <v>1</v>
      </c>
      <c r="I6" s="10" t="str">
        <f>VLOOKUP($B6,Chronologie[],2,TRUE)</f>
        <v>E-L-1</v>
      </c>
      <c r="J6" s="243">
        <f>VLOOKUP($B6,Chronologie[],3,TRUE)</f>
        <v>45913</v>
      </c>
      <c r="K6" s="238" t="s">
        <v>6</v>
      </c>
      <c r="L6" s="237">
        <v>88</v>
      </c>
      <c r="M6" s="237">
        <v>83</v>
      </c>
      <c r="N6" s="237">
        <v>86</v>
      </c>
      <c r="O6" s="237">
        <v>90</v>
      </c>
      <c r="P6" s="237">
        <v>54</v>
      </c>
      <c r="Q6" s="237">
        <v>36</v>
      </c>
      <c r="R6" s="237">
        <v>34</v>
      </c>
      <c r="S6" s="237">
        <v>44</v>
      </c>
      <c r="T6" s="237">
        <v>1</v>
      </c>
      <c r="U6" s="237">
        <v>1</v>
      </c>
      <c r="V6" s="237">
        <v>1</v>
      </c>
      <c r="W6" s="237">
        <v>0</v>
      </c>
      <c r="X6" s="38">
        <v>1</v>
      </c>
      <c r="Y6" s="38">
        <v>1</v>
      </c>
      <c r="Z6" s="38">
        <v>1</v>
      </c>
      <c r="AA6" s="38">
        <v>1</v>
      </c>
      <c r="AB6" s="91">
        <v>484</v>
      </c>
      <c r="AC6" s="94">
        <f>IF(Eingabe[[#This Row],[V1]]="",IF(Eingabe[[#This Row],[Volle alternativ]]="","",Eingabe[[#This Row],[Volle alternativ]]),SUM(Eingabe[[#This Row],[V1]:[V4]]))</f>
        <v>347</v>
      </c>
      <c r="AD6" s="6">
        <f>IF(Eingabe[[#This Row],[R1]]="",IF(Eingabe[[#This Row],[Räumer alternativ]]="","",Eingabe[[#This Row],[Räumer alternativ]]),SUM(Eingabe[[#This Row],[R1]:[R4]]))</f>
        <v>168</v>
      </c>
      <c r="AE6" s="6">
        <f>IF(Eingabe[[#This Row],[F1]]="",IF(Eingabe[[#This Row],[Fehler alternativ]]="","",Eingabe[[#This Row],[Fehler alternativ]]),SUM(Eingabe[[#This Row],[F1]:[F4]]))</f>
        <v>3</v>
      </c>
      <c r="AF6" s="6">
        <f>IF(Eingabe[[#This Row],[Volle]]="","",IF(Eingabe[[#This Row],[S1]]="",Eingabe[[#This Row],[Volle]]+Eingabe[[#This Row],[Räumer]],IF(Eingabe[[#This Row],[Volle]]+Eingabe[[#This Row],[Räumer]]=Eingabe[[#This Row],[S1]]+Eingabe[[#This Row],[S2]]+Eingabe[[#This Row],[S3]]+Eingabe[[#This Row],[S4]],Eingabe[[#This Row],[Volle]]+Eingabe[[#This Row],[Räumer]],"FEHLER")))</f>
        <v>515</v>
      </c>
      <c r="AG6" s="6">
        <f>IF(Eingabe[[#This Row],[V1]]="","",Eingabe[[#This Row],[V1]]+Eingabe[[#This Row],[R1]])</f>
        <v>142</v>
      </c>
      <c r="AH6" s="6">
        <f>IF(Eingabe[[#This Row],[V2]]="","",Eingabe[[#This Row],[V2]]+Eingabe[[#This Row],[R2]])</f>
        <v>119</v>
      </c>
      <c r="AI6" s="6">
        <f>IF(Eingabe[[#This Row],[V3]]="","",Eingabe[[#This Row],[V3]]+Eingabe[[#This Row],[R3]])</f>
        <v>120</v>
      </c>
      <c r="AJ6" s="6">
        <f>IF(Eingabe[[#This Row],[V4]]="","",Eingabe[[#This Row],[V4]]+Eingabe[[#This Row],[R4]])</f>
        <v>134</v>
      </c>
      <c r="AK6" s="6">
        <f>IF(Eingabe[[#This Row],[S1P]]="","",Eingabe[[#This Row],[S1P]]+Eingabe[[#This Row],[S2P]]+Eingabe[[#This Row],[S3P]]+Eingabe[[#This Row],[S4P]])</f>
        <v>4</v>
      </c>
      <c r="AL6" s="6">
        <f>IF(Eingabe[[#This Row],[S1P]]="","",IF(Eingabe[[#This Row],[SP]]&gt;2,1,IF(Eingabe[[#This Row],[SP]]&lt;2,0,IF(Eingabe[[#This Row],[GES]]&gt;Eingabe[[#This Row],[GEGGES]],1,IF(Eingabe[[#This Row],[GES]]=Eingabe[[#This Row],[GEGGES]],0.5,0)))))</f>
        <v>1</v>
      </c>
      <c r="AM6" s="6">
        <f>IF(Eingabe[[#This Row],[MP]]="","",MOD(ROW(Eingabe[[#This Row],[Position]])-3,6)+1)</f>
        <v>4</v>
      </c>
      <c r="AN6" s="6">
        <f>STANDARDIZE(Eingabe[[#This Row],[GES]],Eingabe[[#This Row],[Schnitt]],VLOOKUP(Eingabe[[#This Row],[Name]],AuswertungG[],21,FALSE))</f>
        <v>-0.77777777777777779</v>
      </c>
      <c r="AO6" s="6">
        <f>VLOOKUP(Eingabe[[#This Row],[ID]],Chronologie[[ID]:[KW]],12,FALSE)</f>
        <v>3</v>
      </c>
      <c r="AP6" s="95" t="str">
        <f>IF(Eingabe[[#This Row],[Wo]]="H",Eingabe[[#This Row],[Gegner]]&amp;" ["&amp;Eingabe[[#This Row],[Wo]]&amp;"]",Eingabe[[#This Row],[Ort]])</f>
        <v>TSV 90 Zwickau II [H]</v>
      </c>
      <c r="AQ6" s="6">
        <f>IFERROR(IF(Eingabe[[#This Row],[Wo]]="H",IF(MOD(Eingabe[[#This Row],[Position]],2)=1,Eingabe[[#This Row],[S1]],Eingabe[[#This Row],[S4]]),""),"")</f>
        <v>134</v>
      </c>
      <c r="AR6" s="6">
        <f>IFERROR(IF(Eingabe[[#This Row],[Wo]]="H",IF(Eingabe[[#This Row],[S1]]&gt;0,IF(MOD(Eingabe[[#This Row],[Position]],2)=1,Eingabe[[#This Row],[S2]],Eingabe[[#This Row],[S3]]),""),""),"")</f>
        <v>120</v>
      </c>
      <c r="AS6" s="6">
        <f>IFERROR(IF(Eingabe[[#This Row],[Wo]]="H",IF(Eingabe[[#This Row],[S1]]&gt;0,IF(MOD(ROW(Eingabe[[#This Row],[Heimbahn 3]]),2)=1,Eingabe[[#This Row],[S4]],Eingabe[[#This Row],[S1]]),""),""),"")</f>
        <v>142</v>
      </c>
      <c r="AT6" s="6">
        <f>IFERROR(IF(Eingabe[[#This Row],[Wo]]="H",IF(Eingabe[[#This Row],[S1]]&gt;0,IF(MOD(ROW(Eingabe[[#This Row],[Heimbahn 4]]),2)=1,Eingabe[[#This Row],[S3]],Eingabe[[#This Row],[S2]]),""),""),"")</f>
        <v>119</v>
      </c>
      <c r="AU6" s="22">
        <f>IF(Eingabe[[#This Row],[GES]]="","",IF(Eingabe[[#This Row],[Modus]]="L",_xlfn.RANK.EQ(Eingabe[[#This Row],[GES]],AF3:AF8),IF(Eingabe[[#This Row],[Modus]]="P",_xlfn.RANK.EQ(Eingabe[[#This Row],[GES]],AF3:AF8),"")))</f>
        <v>5</v>
      </c>
      <c r="AV6" s="6">
        <f>VLOOKUP(Eingabe[[#This Row],[Name]],AuswertungG[],8,FALSE)</f>
        <v>529</v>
      </c>
      <c r="AZ6" s="6">
        <f>IFERROR(ABS(Eingabe[[#This Row],[GES]]-Eingabe[[#This Row],[GEGGES]]),"")</f>
        <v>31</v>
      </c>
    </row>
    <row r="7" spans="1:52" ht="16.2" hidden="1" thickBot="1" x14ac:dyDescent="0.35">
      <c r="A7" s="441"/>
      <c r="B7" s="21">
        <f t="shared" si="0"/>
        <v>1</v>
      </c>
      <c r="C7" s="6" t="str">
        <f>VLOOKUP($B7,Chronologie[],7,TRUE)</f>
        <v>TSV 90 Zwickau II</v>
      </c>
      <c r="D7" s="6" t="str">
        <f>VLOOKUP($B7,Chronologie[],8,TRUE)</f>
        <v>Hirschfeld</v>
      </c>
      <c r="E7" s="240" t="str">
        <f>VLOOKUP($B7,Chronologie[],9,TRUE)</f>
        <v>H</v>
      </c>
      <c r="F7" s="6" t="str">
        <f>VLOOKUP($B7,Chronologie[],COLUMN(F8)-2,TRUE)</f>
        <v>E</v>
      </c>
      <c r="G7" s="6" t="str">
        <f>VLOOKUP($B7,Chronologie[],COLUMN(G8)-2,TRUE)</f>
        <v>L</v>
      </c>
      <c r="H7" s="6">
        <f>VLOOKUP($B7,Chronologie[],COLUMN(H8)-2,TRUE)</f>
        <v>1</v>
      </c>
      <c r="I7" s="10" t="str">
        <f>VLOOKUP($B7,Chronologie[],2,TRUE)</f>
        <v>E-L-1</v>
      </c>
      <c r="J7" s="243">
        <f>VLOOKUP($B7,Chronologie[],3,TRUE)</f>
        <v>45913</v>
      </c>
      <c r="K7" s="237" t="s">
        <v>455</v>
      </c>
      <c r="L7" s="237">
        <v>95</v>
      </c>
      <c r="M7" s="237">
        <v>85</v>
      </c>
      <c r="N7" s="237">
        <v>96</v>
      </c>
      <c r="O7" s="237">
        <v>102</v>
      </c>
      <c r="P7" s="237">
        <v>63</v>
      </c>
      <c r="Q7" s="237">
        <v>63</v>
      </c>
      <c r="R7" s="237">
        <v>52</v>
      </c>
      <c r="S7" s="237">
        <v>54</v>
      </c>
      <c r="T7" s="237">
        <v>0</v>
      </c>
      <c r="U7" s="237">
        <v>0</v>
      </c>
      <c r="V7" s="237">
        <v>2</v>
      </c>
      <c r="W7" s="237">
        <v>0</v>
      </c>
      <c r="X7" s="38">
        <v>1</v>
      </c>
      <c r="Y7" s="38">
        <v>1</v>
      </c>
      <c r="Z7" s="38">
        <v>0</v>
      </c>
      <c r="AA7" s="38">
        <v>1</v>
      </c>
      <c r="AB7" s="91">
        <v>571</v>
      </c>
      <c r="AC7" s="94">
        <f>IF(Eingabe[[#This Row],[V1]]="",IF(Eingabe[[#This Row],[Volle alternativ]]="","",Eingabe[[#This Row],[Volle alternativ]]),SUM(Eingabe[[#This Row],[V1]:[V4]]))</f>
        <v>378</v>
      </c>
      <c r="AD7" s="6">
        <f>IF(Eingabe[[#This Row],[R1]]="",IF(Eingabe[[#This Row],[Räumer alternativ]]="","",Eingabe[[#This Row],[Räumer alternativ]]),SUM(Eingabe[[#This Row],[R1]:[R4]]))</f>
        <v>232</v>
      </c>
      <c r="AE7" s="6">
        <f>IF(Eingabe[[#This Row],[F1]]="",IF(Eingabe[[#This Row],[Fehler alternativ]]="","",Eingabe[[#This Row],[Fehler alternativ]]),SUM(Eingabe[[#This Row],[F1]:[F4]]))</f>
        <v>2</v>
      </c>
      <c r="AF7" s="6">
        <f>IF(Eingabe[[#This Row],[Volle]]="","",IF(Eingabe[[#This Row],[S1]]="",Eingabe[[#This Row],[Volle]]+Eingabe[[#This Row],[Räumer]],IF(Eingabe[[#This Row],[Volle]]+Eingabe[[#This Row],[Räumer]]=Eingabe[[#This Row],[S1]]+Eingabe[[#This Row],[S2]]+Eingabe[[#This Row],[S3]]+Eingabe[[#This Row],[S4]],Eingabe[[#This Row],[Volle]]+Eingabe[[#This Row],[Räumer]],"FEHLER")))</f>
        <v>610</v>
      </c>
      <c r="AG7" s="6">
        <f>IF(Eingabe[[#This Row],[V1]]="","",Eingabe[[#This Row],[V1]]+Eingabe[[#This Row],[R1]])</f>
        <v>158</v>
      </c>
      <c r="AH7" s="6">
        <f>IF(Eingabe[[#This Row],[V2]]="","",Eingabe[[#This Row],[V2]]+Eingabe[[#This Row],[R2]])</f>
        <v>148</v>
      </c>
      <c r="AI7" s="6">
        <f>IF(Eingabe[[#This Row],[V3]]="","",Eingabe[[#This Row],[V3]]+Eingabe[[#This Row],[R3]])</f>
        <v>148</v>
      </c>
      <c r="AJ7" s="6">
        <f>IF(Eingabe[[#This Row],[V4]]="","",Eingabe[[#This Row],[V4]]+Eingabe[[#This Row],[R4]])</f>
        <v>156</v>
      </c>
      <c r="AK7" s="6">
        <f>IF(Eingabe[[#This Row],[S1P]]="","",Eingabe[[#This Row],[S1P]]+Eingabe[[#This Row],[S2P]]+Eingabe[[#This Row],[S3P]]+Eingabe[[#This Row],[S4P]])</f>
        <v>3</v>
      </c>
      <c r="AL7" s="6">
        <f>IF(Eingabe[[#This Row],[S1P]]="","",IF(Eingabe[[#This Row],[SP]]&gt;2,1,IF(Eingabe[[#This Row],[SP]]&lt;2,0,IF(Eingabe[[#This Row],[GES]]&gt;Eingabe[[#This Row],[GEGGES]],1,IF(Eingabe[[#This Row],[GES]]=Eingabe[[#This Row],[GEGGES]],0.5,0)))))</f>
        <v>1</v>
      </c>
      <c r="AM7" s="6">
        <f>IF(Eingabe[[#This Row],[MP]]="","",MOD(ROW(Eingabe[[#This Row],[Position]])-3,6)+1)</f>
        <v>5</v>
      </c>
      <c r="AN7" s="6">
        <f>STANDARDIZE(Eingabe[[#This Row],[GES]],Eingabe[[#This Row],[Schnitt]],VLOOKUP(Eingabe[[#This Row],[Name]],AuswertungG[],21,FALSE))</f>
        <v>1.0769230769230769</v>
      </c>
      <c r="AO7" s="6">
        <f>VLOOKUP(Eingabe[[#This Row],[ID]],Chronologie[[ID]:[KW]],12,FALSE)</f>
        <v>3</v>
      </c>
      <c r="AP7" s="95" t="str">
        <f>IF(Eingabe[[#This Row],[Wo]]="H",Eingabe[[#This Row],[Gegner]]&amp;" ["&amp;Eingabe[[#This Row],[Wo]]&amp;"]",Eingabe[[#This Row],[Ort]])</f>
        <v>TSV 90 Zwickau II [H]</v>
      </c>
      <c r="AQ7" s="6">
        <f>IFERROR(IF(Eingabe[[#This Row],[Wo]]="H",IF(MOD(Eingabe[[#This Row],[Position]],2)=1,Eingabe[[#This Row],[S1]],Eingabe[[#This Row],[S4]]),""),"")</f>
        <v>158</v>
      </c>
      <c r="AR7" s="6">
        <f>IFERROR(IF(Eingabe[[#This Row],[Wo]]="H",IF(Eingabe[[#This Row],[S1]]&gt;0,IF(MOD(Eingabe[[#This Row],[Position]],2)=1,Eingabe[[#This Row],[S2]],Eingabe[[#This Row],[S3]]),""),""),"")</f>
        <v>148</v>
      </c>
      <c r="AS7" s="6">
        <f>IFERROR(IF(Eingabe[[#This Row],[Wo]]="H",IF(Eingabe[[#This Row],[S1]]&gt;0,IF(MOD(ROW(Eingabe[[#This Row],[Heimbahn 3]]),2)=1,Eingabe[[#This Row],[S4]],Eingabe[[#This Row],[S1]]),""),""),"")</f>
        <v>156</v>
      </c>
      <c r="AT7" s="6">
        <f>IFERROR(IF(Eingabe[[#This Row],[Wo]]="H",IF(Eingabe[[#This Row],[S1]]&gt;0,IF(MOD(ROW(Eingabe[[#This Row],[Heimbahn 4]]),2)=1,Eingabe[[#This Row],[S3]],Eingabe[[#This Row],[S2]]),""),""),"")</f>
        <v>148</v>
      </c>
      <c r="AU7" s="22">
        <f>IF(Eingabe[[#This Row],[GES]]="","",IF(Eingabe[[#This Row],[Modus]]="L",_xlfn.RANK.EQ(Eingabe[[#This Row],[GES]],AF3:AF8),IF(Eingabe[[#This Row],[Modus]]="P",_xlfn.RANK.EQ(Eingabe[[#This Row],[GES]],AF3:AF8),"")))</f>
        <v>1</v>
      </c>
      <c r="AV7" s="6">
        <f>VLOOKUP(Eingabe[[#This Row],[Name]],AuswertungG[],8,FALSE)</f>
        <v>568</v>
      </c>
      <c r="AZ7" s="6">
        <f>IFERROR(ABS(Eingabe[[#This Row],[GES]]-Eingabe[[#This Row],[GEGGES]]),"")</f>
        <v>39</v>
      </c>
    </row>
    <row r="8" spans="1:52" ht="16.2" hidden="1" thickBot="1" x14ac:dyDescent="0.35">
      <c r="A8" s="442"/>
      <c r="B8" s="56">
        <f t="shared" si="0"/>
        <v>1</v>
      </c>
      <c r="C8" s="23" t="str">
        <f>VLOOKUP($B8,Chronologie[],7,TRUE)</f>
        <v>TSV 90 Zwickau II</v>
      </c>
      <c r="D8" s="23" t="str">
        <f>VLOOKUP($B8,Chronologie[],8,TRUE)</f>
        <v>Hirschfeld</v>
      </c>
      <c r="E8" s="39" t="str">
        <f>VLOOKUP($B8,Chronologie[],9,TRUE)</f>
        <v>H</v>
      </c>
      <c r="F8" s="23" t="str">
        <f>VLOOKUP($B8,Chronologie[],COLUMN(F9)-2,TRUE)</f>
        <v>E</v>
      </c>
      <c r="G8" s="23" t="str">
        <f>VLOOKUP($B8,Chronologie[],COLUMN(G9)-2,TRUE)</f>
        <v>L</v>
      </c>
      <c r="H8" s="23">
        <f>VLOOKUP($B8,Chronologie[],COLUMN(H9)-2,TRUE)</f>
        <v>1</v>
      </c>
      <c r="I8" s="13" t="str">
        <f>VLOOKUP($B8,Chronologie[],2,TRUE)</f>
        <v>E-L-1</v>
      </c>
      <c r="J8" s="244">
        <f>VLOOKUP($B8,Chronologie[],3,TRUE)</f>
        <v>45913</v>
      </c>
      <c r="K8" s="239" t="s">
        <v>659</v>
      </c>
      <c r="L8" s="239">
        <v>95</v>
      </c>
      <c r="M8" s="239">
        <v>75</v>
      </c>
      <c r="N8" s="239">
        <v>96</v>
      </c>
      <c r="O8" s="239">
        <v>89</v>
      </c>
      <c r="P8" s="239">
        <v>41</v>
      </c>
      <c r="Q8" s="239">
        <v>61</v>
      </c>
      <c r="R8" s="239">
        <v>35</v>
      </c>
      <c r="S8" s="239">
        <v>36</v>
      </c>
      <c r="T8" s="239">
        <v>1</v>
      </c>
      <c r="U8" s="239">
        <v>0</v>
      </c>
      <c r="V8" s="239">
        <v>2</v>
      </c>
      <c r="W8" s="239">
        <v>1</v>
      </c>
      <c r="X8" s="40">
        <v>1</v>
      </c>
      <c r="Y8" s="40">
        <v>0</v>
      </c>
      <c r="Z8" s="40">
        <v>0</v>
      </c>
      <c r="AA8" s="40">
        <v>0</v>
      </c>
      <c r="AB8" s="92">
        <v>533</v>
      </c>
      <c r="AC8" s="96">
        <f>IF(Eingabe[[#This Row],[V1]]="",IF(Eingabe[[#This Row],[Volle alternativ]]="","",Eingabe[[#This Row],[Volle alternativ]]),SUM(Eingabe[[#This Row],[V1]:[V4]]))</f>
        <v>355</v>
      </c>
      <c r="AD8" s="23">
        <f>IF(Eingabe[[#This Row],[R1]]="",IF(Eingabe[[#This Row],[Räumer alternativ]]="","",Eingabe[[#This Row],[Räumer alternativ]]),SUM(Eingabe[[#This Row],[R1]:[R4]]))</f>
        <v>173</v>
      </c>
      <c r="AE8" s="23">
        <f>IF(Eingabe[[#This Row],[F1]]="",IF(Eingabe[[#This Row],[Fehler alternativ]]="","",Eingabe[[#This Row],[Fehler alternativ]]),SUM(Eingabe[[#This Row],[F1]:[F4]]))</f>
        <v>4</v>
      </c>
      <c r="AF8" s="23">
        <f>IF(Eingabe[[#This Row],[Volle]]="","",IF(Eingabe[[#This Row],[S1]]="",Eingabe[[#This Row],[Volle]]+Eingabe[[#This Row],[Räumer]],IF(Eingabe[[#This Row],[Volle]]+Eingabe[[#This Row],[Räumer]]=Eingabe[[#This Row],[S1]]+Eingabe[[#This Row],[S2]]+Eingabe[[#This Row],[S3]]+Eingabe[[#This Row],[S4]],Eingabe[[#This Row],[Volle]]+Eingabe[[#This Row],[Räumer]],"FEHLER")))</f>
        <v>528</v>
      </c>
      <c r="AG8" s="23">
        <f>IF(Eingabe[[#This Row],[V1]]="","",Eingabe[[#This Row],[V1]]+Eingabe[[#This Row],[R1]])</f>
        <v>136</v>
      </c>
      <c r="AH8" s="23">
        <f>IF(Eingabe[[#This Row],[V2]]="","",Eingabe[[#This Row],[V2]]+Eingabe[[#This Row],[R2]])</f>
        <v>136</v>
      </c>
      <c r="AI8" s="23">
        <f>IF(Eingabe[[#This Row],[V3]]="","",Eingabe[[#This Row],[V3]]+Eingabe[[#This Row],[R3]])</f>
        <v>131</v>
      </c>
      <c r="AJ8" s="23">
        <f>IF(Eingabe[[#This Row],[V4]]="","",Eingabe[[#This Row],[V4]]+Eingabe[[#This Row],[R4]])</f>
        <v>125</v>
      </c>
      <c r="AK8" s="23">
        <f>IF(Eingabe[[#This Row],[S1P]]="","",Eingabe[[#This Row],[S1P]]+Eingabe[[#This Row],[S2P]]+Eingabe[[#This Row],[S3P]]+Eingabe[[#This Row],[S4P]])</f>
        <v>1</v>
      </c>
      <c r="AL8" s="23">
        <f>IF(Eingabe[[#This Row],[S1P]]="","",IF(Eingabe[[#This Row],[SP]]&gt;2,1,IF(Eingabe[[#This Row],[SP]]&lt;2,0,IF(Eingabe[[#This Row],[GES]]&gt;Eingabe[[#This Row],[GEGGES]],1,IF(Eingabe[[#This Row],[GES]]=Eingabe[[#This Row],[GEGGES]],0.5,0)))))</f>
        <v>0</v>
      </c>
      <c r="AM8" s="23">
        <f>IF(Eingabe[[#This Row],[MP]]="","",MOD(ROW(Eingabe[[#This Row],[Position]])-3,6)+1)</f>
        <v>6</v>
      </c>
      <c r="AN8" s="23">
        <f>STANDARDIZE(Eingabe[[#This Row],[GES]],Eingabe[[#This Row],[Schnitt]],VLOOKUP(Eingabe[[#This Row],[Name]],AuswertungG[],21,FALSE))</f>
        <v>-0.16666666666666666</v>
      </c>
      <c r="AO8" s="23">
        <f>VLOOKUP(Eingabe[[#This Row],[ID]],Chronologie[[ID]:[KW]],12,FALSE)</f>
        <v>3</v>
      </c>
      <c r="AP8" s="59" t="str">
        <f>IF(Eingabe[[#This Row],[Wo]]="H",Eingabe[[#This Row],[Gegner]]&amp;" ["&amp;Eingabe[[#This Row],[Wo]]&amp;"]",Eingabe[[#This Row],[Ort]])</f>
        <v>TSV 90 Zwickau II [H]</v>
      </c>
      <c r="AQ8" s="23">
        <f>IFERROR(IF(Eingabe[[#This Row],[Wo]]="H",IF(MOD(Eingabe[[#This Row],[Position]],2)=1,Eingabe[[#This Row],[S1]],Eingabe[[#This Row],[S4]]),""),"")</f>
        <v>125</v>
      </c>
      <c r="AR8" s="23">
        <f>IFERROR(IF(Eingabe[[#This Row],[Wo]]="H",IF(Eingabe[[#This Row],[S1]]&gt;0,IF(MOD(Eingabe[[#This Row],[Position]],2)=1,Eingabe[[#This Row],[S2]],Eingabe[[#This Row],[S3]]),""),""),"")</f>
        <v>131</v>
      </c>
      <c r="AS8" s="23">
        <f>IFERROR(IF(Eingabe[[#This Row],[Wo]]="H",IF(Eingabe[[#This Row],[S1]]&gt;0,IF(MOD(ROW(Eingabe[[#This Row],[Heimbahn 3]]),2)=1,Eingabe[[#This Row],[S4]],Eingabe[[#This Row],[S1]]),""),""),"")</f>
        <v>136</v>
      </c>
      <c r="AT8" s="23">
        <f>IFERROR(IF(Eingabe[[#This Row],[Wo]]="H",IF(Eingabe[[#This Row],[S1]]&gt;0,IF(MOD(ROW(Eingabe[[#This Row],[Heimbahn 4]]),2)=1,Eingabe[[#This Row],[S3]],Eingabe[[#This Row],[S2]]),""),""),"")</f>
        <v>136</v>
      </c>
      <c r="AU8" s="89">
        <f>IF(Eingabe[[#This Row],[GES]]="","",IF(Eingabe[[#This Row],[Modus]]="L",_xlfn.RANK.EQ(Eingabe[[#This Row],[GES]],AF3:AF8),IF(Eingabe[[#This Row],[Modus]]="P",_xlfn.RANK.EQ(Eingabe[[#This Row],[GES]],AF3:AF8),"")))</f>
        <v>3</v>
      </c>
      <c r="AV8" s="6">
        <f>VLOOKUP(Eingabe[[#This Row],[Name]],AuswertungG[],8,FALSE)</f>
        <v>532</v>
      </c>
      <c r="AZ8" s="6">
        <f>IFERROR(ABS(Eingabe[[#This Row],[GES]]-Eingabe[[#This Row],[GEGGES]]),"")</f>
        <v>5</v>
      </c>
    </row>
    <row r="9" spans="1:52" ht="16.2" hidden="1" thickBot="1" x14ac:dyDescent="0.35">
      <c r="A9" s="440">
        <f>B9</f>
        <v>2</v>
      </c>
      <c r="B9" s="55">
        <f t="shared" si="0"/>
        <v>2</v>
      </c>
      <c r="C9" s="35" t="str">
        <f>VLOOKUP($B9,Chronologie[],7,TRUE)</f>
        <v>SpG Großschirma/Brand-Erbisdorf</v>
      </c>
      <c r="D9" s="35" t="str">
        <f>VLOOKUP($B9,Chronologie[],8,TRUE)</f>
        <v>Brand-Erbisdorf</v>
      </c>
      <c r="E9" s="36" t="str">
        <f>VLOOKUP($B9,Chronologie[],9,TRUE)</f>
        <v>A</v>
      </c>
      <c r="F9" s="35" t="str">
        <f>VLOOKUP($B9,Chronologie[],COLUMN(F10)-2,TRUE)</f>
        <v>E</v>
      </c>
      <c r="G9" s="35" t="str">
        <f>VLOOKUP($B9,Chronologie[],COLUMN(G10)-2,TRUE)</f>
        <v>L</v>
      </c>
      <c r="H9" s="35">
        <f>VLOOKUP($B9,Chronologie[],COLUMN(H10)-2,TRUE)</f>
        <v>2</v>
      </c>
      <c r="I9" s="9" t="str">
        <f>VLOOKUP($B9,Chronologie[],2,TRUE)</f>
        <v>E-L-2</v>
      </c>
      <c r="J9" s="242">
        <f>VLOOKUP($B9,Chronologie[],3,TRUE)</f>
        <v>45920</v>
      </c>
      <c r="K9" s="236" t="s">
        <v>469</v>
      </c>
      <c r="L9" s="334">
        <v>96</v>
      </c>
      <c r="M9" s="334">
        <v>92</v>
      </c>
      <c r="N9" s="334">
        <v>93</v>
      </c>
      <c r="O9" s="334">
        <v>85</v>
      </c>
      <c r="P9" s="334">
        <v>41</v>
      </c>
      <c r="Q9" s="334">
        <v>34</v>
      </c>
      <c r="R9" s="334">
        <v>44</v>
      </c>
      <c r="S9" s="334">
        <v>35</v>
      </c>
      <c r="T9" s="334">
        <v>0</v>
      </c>
      <c r="U9" s="334">
        <v>1</v>
      </c>
      <c r="V9" s="334">
        <v>0</v>
      </c>
      <c r="W9" s="334">
        <v>1</v>
      </c>
      <c r="X9" s="37">
        <v>1</v>
      </c>
      <c r="Y9" s="37">
        <v>0</v>
      </c>
      <c r="Z9" s="37">
        <v>1</v>
      </c>
      <c r="AA9" s="37">
        <v>0</v>
      </c>
      <c r="AB9" s="90">
        <v>520</v>
      </c>
      <c r="AC9" s="93">
        <f>IF(Eingabe[[#This Row],[V1]]="",IF(Eingabe[[#This Row],[Volle alternativ]]="","",Eingabe[[#This Row],[Volle alternativ]]),SUM(Eingabe[[#This Row],[V1]:[V4]]))</f>
        <v>366</v>
      </c>
      <c r="AD9" s="35">
        <f>IF(Eingabe[[#This Row],[R1]]="",IF(Eingabe[[#This Row],[Räumer alternativ]]="","",Eingabe[[#This Row],[Räumer alternativ]]),SUM(Eingabe[[#This Row],[R1]:[R4]]))</f>
        <v>154</v>
      </c>
      <c r="AE9" s="35">
        <f>IF(Eingabe[[#This Row],[F1]]="",IF(Eingabe[[#This Row],[Fehler alternativ]]="","",Eingabe[[#This Row],[Fehler alternativ]]),SUM(Eingabe[[#This Row],[F1]:[F4]]))</f>
        <v>2</v>
      </c>
      <c r="AF9" s="35">
        <f>IF(Eingabe[[#This Row],[Volle]]="","",IF(Eingabe[[#This Row],[S1]]="",Eingabe[[#This Row],[Volle]]+Eingabe[[#This Row],[Räumer]],IF(Eingabe[[#This Row],[Volle]]+Eingabe[[#This Row],[Räumer]]=Eingabe[[#This Row],[S1]]+Eingabe[[#This Row],[S2]]+Eingabe[[#This Row],[S3]]+Eingabe[[#This Row],[S4]],Eingabe[[#This Row],[Volle]]+Eingabe[[#This Row],[Räumer]],"FEHLER")))</f>
        <v>520</v>
      </c>
      <c r="AG9" s="35">
        <f>IF(Eingabe[[#This Row],[V1]]="","",Eingabe[[#This Row],[V1]]+Eingabe[[#This Row],[R1]])</f>
        <v>137</v>
      </c>
      <c r="AH9" s="35">
        <f>IF(Eingabe[[#This Row],[V2]]="","",Eingabe[[#This Row],[V2]]+Eingabe[[#This Row],[R2]])</f>
        <v>126</v>
      </c>
      <c r="AI9" s="35">
        <f>IF(Eingabe[[#This Row],[V3]]="","",Eingabe[[#This Row],[V3]]+Eingabe[[#This Row],[R3]])</f>
        <v>137</v>
      </c>
      <c r="AJ9" s="35">
        <f>IF(Eingabe[[#This Row],[V4]]="","",Eingabe[[#This Row],[V4]]+Eingabe[[#This Row],[R4]])</f>
        <v>120</v>
      </c>
      <c r="AK9" s="35">
        <f>IF(Eingabe[[#This Row],[S1P]]="","",Eingabe[[#This Row],[S1P]]+Eingabe[[#This Row],[S2P]]+Eingabe[[#This Row],[S3P]]+Eingabe[[#This Row],[S4P]])</f>
        <v>2</v>
      </c>
      <c r="AL9" s="35">
        <f>IF(Eingabe[[#This Row],[S1P]]="","",IF(Eingabe[[#This Row],[SP]]&gt;2,1,IF(Eingabe[[#This Row],[SP]]&lt;2,0,IF(Eingabe[[#This Row],[GES]]&gt;Eingabe[[#This Row],[GEGGES]],1,IF(Eingabe[[#This Row],[GES]]=Eingabe[[#This Row],[GEGGES]],0.5,0)))))</f>
        <v>0.5</v>
      </c>
      <c r="AM9" s="35">
        <f>IF(Eingabe[[#This Row],[MP]]="","",MOD(ROW(Eingabe[[#This Row],[Position]])-3,6)+1)</f>
        <v>1</v>
      </c>
      <c r="AN9" s="35">
        <f>STANDARDIZE(Eingabe[[#This Row],[GES]],Eingabe[[#This Row],[Schnitt]],VLOOKUP(Eingabe[[#This Row],[Name]],AuswertungG[],21,FALSE))</f>
        <v>-0.36363636363636365</v>
      </c>
      <c r="AO9" s="35">
        <f>VLOOKUP(Eingabe[[#This Row],[ID]],Chronologie[[ID]:[KW]],12,FALSE)</f>
        <v>4</v>
      </c>
      <c r="AP9" s="58" t="str">
        <f>IF(Eingabe[[#This Row],[Wo]]="H",Eingabe[[#This Row],[Gegner]]&amp;" ["&amp;Eingabe[[#This Row],[Wo]]&amp;"]",Eingabe[[#This Row],[Ort]])</f>
        <v>Brand-Erbisdorf</v>
      </c>
      <c r="AQ9" s="35" t="str">
        <f>IFERROR(IF(Eingabe[[#This Row],[Wo]]="H",IF(MOD(Eingabe[[#This Row],[Position]],2)=1,Eingabe[[#This Row],[S1]],Eingabe[[#This Row],[S4]]),""),"")</f>
        <v/>
      </c>
      <c r="AR9" s="35" t="str">
        <f>IFERROR(IF(Eingabe[[#This Row],[Wo]]="H",IF(Eingabe[[#This Row],[S1]]&gt;0,IF(MOD(Eingabe[[#This Row],[Position]],2)=1,Eingabe[[#This Row],[S2]],Eingabe[[#This Row],[S3]]),""),""),"")</f>
        <v/>
      </c>
      <c r="AS9" s="35" t="str">
        <f>IFERROR(IF(Eingabe[[#This Row],[Wo]]="H",IF(Eingabe[[#This Row],[S1]]&gt;0,IF(MOD(ROW(Eingabe[[#This Row],[Heimbahn 3]]),2)=1,Eingabe[[#This Row],[S4]],Eingabe[[#This Row],[S1]]),""),""),"")</f>
        <v/>
      </c>
      <c r="AT9" s="35" t="str">
        <f>IFERROR(IF(Eingabe[[#This Row],[Wo]]="H",IF(Eingabe[[#This Row],[S1]]&gt;0,IF(MOD(ROW(Eingabe[[#This Row],[Heimbahn 4]]),2)=1,Eingabe[[#This Row],[S3]],Eingabe[[#This Row],[S2]]),""),""),"")</f>
        <v/>
      </c>
      <c r="AU9" s="88">
        <f>IF(Eingabe[[#This Row],[GES]]="","",IF(Eingabe[[#This Row],[Modus]]="L",_xlfn.RANK.EQ(Eingabe[[#This Row],[GES]],AF9:AF14),IF(Eingabe[[#This Row],[Modus]]="P",_xlfn.RANK.EQ(Eingabe[[#This Row],[GES]],AF9:AF14),"")))</f>
        <v>4</v>
      </c>
      <c r="AV9" s="6">
        <f>VLOOKUP(Eingabe[[#This Row],[Name]],AuswertungG[],8,FALSE)</f>
        <v>528</v>
      </c>
      <c r="AZ9" s="6">
        <f>IFERROR(ABS(Eingabe[[#This Row],[GES]]-Eingabe[[#This Row],[GEGGES]]),"")</f>
        <v>0</v>
      </c>
    </row>
    <row r="10" spans="1:52" ht="16.2" hidden="1" thickBot="1" x14ac:dyDescent="0.35">
      <c r="A10" s="441"/>
      <c r="B10" s="21">
        <f t="shared" si="0"/>
        <v>2</v>
      </c>
      <c r="C10" s="6" t="str">
        <f>VLOOKUP($B10,Chronologie[],7,TRUE)</f>
        <v>SpG Großschirma/Brand-Erbisdorf</v>
      </c>
      <c r="D10" s="6" t="str">
        <f>VLOOKUP($B10,Chronologie[],8,TRUE)</f>
        <v>Brand-Erbisdorf</v>
      </c>
      <c r="E10" s="240" t="str">
        <f>VLOOKUP($B10,Chronologie[],9,TRUE)</f>
        <v>A</v>
      </c>
      <c r="F10" s="6" t="str">
        <f>VLOOKUP($B10,Chronologie[],COLUMN(F11)-2,TRUE)</f>
        <v>E</v>
      </c>
      <c r="G10" s="6" t="str">
        <f>VLOOKUP($B10,Chronologie[],COLUMN(G11)-2,TRUE)</f>
        <v>L</v>
      </c>
      <c r="H10" s="6">
        <f>VLOOKUP($B10,Chronologie[],COLUMN(H11)-2,TRUE)</f>
        <v>2</v>
      </c>
      <c r="I10" s="10" t="str">
        <f>VLOOKUP($B10,Chronologie[],2,TRUE)</f>
        <v>E-L-2</v>
      </c>
      <c r="J10" s="243">
        <f>VLOOKUP($B10,Chronologie[],3,TRUE)</f>
        <v>45920</v>
      </c>
      <c r="K10" s="237" t="s">
        <v>660</v>
      </c>
      <c r="L10" s="237">
        <v>76</v>
      </c>
      <c r="M10" s="237">
        <v>74</v>
      </c>
      <c r="N10" s="237">
        <v>83</v>
      </c>
      <c r="O10" s="237">
        <v>84</v>
      </c>
      <c r="P10" s="237">
        <v>20</v>
      </c>
      <c r="Q10" s="237">
        <v>44</v>
      </c>
      <c r="R10" s="237">
        <v>42</v>
      </c>
      <c r="S10" s="237">
        <v>35</v>
      </c>
      <c r="T10" s="237">
        <v>7</v>
      </c>
      <c r="U10" s="237">
        <v>2</v>
      </c>
      <c r="V10" s="237">
        <v>2</v>
      </c>
      <c r="W10" s="237">
        <v>4</v>
      </c>
      <c r="X10" s="38">
        <v>0</v>
      </c>
      <c r="Y10" s="38">
        <v>0</v>
      </c>
      <c r="Z10" s="38">
        <v>0</v>
      </c>
      <c r="AA10" s="38">
        <v>0</v>
      </c>
      <c r="AB10" s="91">
        <v>563</v>
      </c>
      <c r="AC10" s="94">
        <f>IF(Eingabe[[#This Row],[V1]]="",IF(Eingabe[[#This Row],[Volle alternativ]]="","",Eingabe[[#This Row],[Volle alternativ]]),SUM(Eingabe[[#This Row],[V1]:[V4]]))</f>
        <v>317</v>
      </c>
      <c r="AD10" s="6">
        <f>IF(Eingabe[[#This Row],[R1]]="",IF(Eingabe[[#This Row],[Räumer alternativ]]="","",Eingabe[[#This Row],[Räumer alternativ]]),SUM(Eingabe[[#This Row],[R1]:[R4]]))</f>
        <v>141</v>
      </c>
      <c r="AE10" s="6">
        <f>IF(Eingabe[[#This Row],[F1]]="",IF(Eingabe[[#This Row],[Fehler alternativ]]="","",Eingabe[[#This Row],[Fehler alternativ]]),SUM(Eingabe[[#This Row],[F1]:[F4]]))</f>
        <v>15</v>
      </c>
      <c r="AF10" s="6">
        <f>IF(Eingabe[[#This Row],[Volle]]="","",IF(Eingabe[[#This Row],[S1]]="",Eingabe[[#This Row],[Volle]]+Eingabe[[#This Row],[Räumer]],IF(Eingabe[[#This Row],[Volle]]+Eingabe[[#This Row],[Räumer]]=Eingabe[[#This Row],[S1]]+Eingabe[[#This Row],[S2]]+Eingabe[[#This Row],[S3]]+Eingabe[[#This Row],[S4]],Eingabe[[#This Row],[Volle]]+Eingabe[[#This Row],[Räumer]],"FEHLER")))</f>
        <v>458</v>
      </c>
      <c r="AG10" s="6">
        <f>IF(Eingabe[[#This Row],[V1]]="","",Eingabe[[#This Row],[V1]]+Eingabe[[#This Row],[R1]])</f>
        <v>96</v>
      </c>
      <c r="AH10" s="6">
        <f>IF(Eingabe[[#This Row],[V2]]="","",Eingabe[[#This Row],[V2]]+Eingabe[[#This Row],[R2]])</f>
        <v>118</v>
      </c>
      <c r="AI10" s="6">
        <f>IF(Eingabe[[#This Row],[V3]]="","",Eingabe[[#This Row],[V3]]+Eingabe[[#This Row],[R3]])</f>
        <v>125</v>
      </c>
      <c r="AJ10" s="6">
        <f>IF(Eingabe[[#This Row],[V4]]="","",Eingabe[[#This Row],[V4]]+Eingabe[[#This Row],[R4]])</f>
        <v>119</v>
      </c>
      <c r="AK10" s="6">
        <f>IF(Eingabe[[#This Row],[S1P]]="","",Eingabe[[#This Row],[S1P]]+Eingabe[[#This Row],[S2P]]+Eingabe[[#This Row],[S3P]]+Eingabe[[#This Row],[S4P]])</f>
        <v>0</v>
      </c>
      <c r="AL10" s="6">
        <f>IF(Eingabe[[#This Row],[S1P]]="","",IF(Eingabe[[#This Row],[SP]]&gt;2,1,IF(Eingabe[[#This Row],[SP]]&lt;2,0,IF(Eingabe[[#This Row],[GES]]&gt;Eingabe[[#This Row],[GEGGES]],1,IF(Eingabe[[#This Row],[GES]]=Eingabe[[#This Row],[GEGGES]],0.5,0)))))</f>
        <v>0</v>
      </c>
      <c r="AM10" s="6">
        <f>IF(Eingabe[[#This Row],[MP]]="","",MOD(ROW(Eingabe[[#This Row],[Position]])-3,6)+1)</f>
        <v>2</v>
      </c>
      <c r="AN10" s="6">
        <f>STANDARDIZE(Eingabe[[#This Row],[GES]],Eingabe[[#This Row],[Schnitt]],VLOOKUP(Eingabe[[#This Row],[Name]],AuswertungG[],21,FALSE))</f>
        <v>-1.6129032258064515</v>
      </c>
      <c r="AO10" s="6">
        <f>VLOOKUP(Eingabe[[#This Row],[ID]],Chronologie[[ID]:[KW]],12,FALSE)</f>
        <v>4</v>
      </c>
      <c r="AP10" s="95" t="str">
        <f>IF(Eingabe[[#This Row],[Wo]]="H",Eingabe[[#This Row],[Gegner]]&amp;" ["&amp;Eingabe[[#This Row],[Wo]]&amp;"]",Eingabe[[#This Row],[Ort]])</f>
        <v>Brand-Erbisdorf</v>
      </c>
      <c r="AQ10" s="6" t="str">
        <f>IFERROR(IF(Eingabe[[#This Row],[Wo]]="H",IF(MOD(Eingabe[[#This Row],[Position]],2)=1,Eingabe[[#This Row],[S1]],Eingabe[[#This Row],[S4]]),""),"")</f>
        <v/>
      </c>
      <c r="AR10" s="6" t="str">
        <f>IFERROR(IF(Eingabe[[#This Row],[Wo]]="H",IF(Eingabe[[#This Row],[S1]]&gt;0,IF(MOD(Eingabe[[#This Row],[Position]],2)=1,Eingabe[[#This Row],[S2]],Eingabe[[#This Row],[S3]]),""),""),"")</f>
        <v/>
      </c>
      <c r="AS10" s="6" t="str">
        <f>IFERROR(IF(Eingabe[[#This Row],[Wo]]="H",IF(Eingabe[[#This Row],[S1]]&gt;0,IF(MOD(ROW(Eingabe[[#This Row],[Heimbahn 3]]),2)=1,Eingabe[[#This Row],[S4]],Eingabe[[#This Row],[S1]]),""),""),"")</f>
        <v/>
      </c>
      <c r="AT10" s="6" t="str">
        <f>IFERROR(IF(Eingabe[[#This Row],[Wo]]="H",IF(Eingabe[[#This Row],[S1]]&gt;0,IF(MOD(ROW(Eingabe[[#This Row],[Heimbahn 4]]),2)=1,Eingabe[[#This Row],[S3]],Eingabe[[#This Row],[S2]]),""),""),"")</f>
        <v/>
      </c>
      <c r="AU10" s="22">
        <f>IF(Eingabe[[#This Row],[GES]]="","",IF(Eingabe[[#This Row],[Modus]]="L",_xlfn.RANK.EQ(Eingabe[[#This Row],[GES]],AF9:AF14),IF(Eingabe[[#This Row],[Modus]]="P",_xlfn.RANK.EQ(Eingabe[[#This Row],[GES]],AF9:AF14),"")))</f>
        <v>6</v>
      </c>
      <c r="AV10" s="6">
        <f>VLOOKUP(Eingabe[[#This Row],[Name]],AuswertungG[],8,FALSE)</f>
        <v>508</v>
      </c>
      <c r="AZ10" s="6">
        <f>IFERROR(ABS(Eingabe[[#This Row],[GES]]-Eingabe[[#This Row],[GEGGES]]),"")</f>
        <v>105</v>
      </c>
    </row>
    <row r="11" spans="1:52" ht="16.2" hidden="1" thickBot="1" x14ac:dyDescent="0.35">
      <c r="A11" s="441"/>
      <c r="B11" s="21">
        <f t="shared" si="0"/>
        <v>2</v>
      </c>
      <c r="C11" s="6" t="str">
        <f>VLOOKUP($B11,Chronologie[],7,TRUE)</f>
        <v>SpG Großschirma/Brand-Erbisdorf</v>
      </c>
      <c r="D11" s="6" t="str">
        <f>VLOOKUP($B11,Chronologie[],8,TRUE)</f>
        <v>Brand-Erbisdorf</v>
      </c>
      <c r="E11" s="240" t="str">
        <f>VLOOKUP($B11,Chronologie[],9,TRUE)</f>
        <v>A</v>
      </c>
      <c r="F11" s="6" t="str">
        <f>VLOOKUP($B11,Chronologie[],COLUMN(F12)-2,TRUE)</f>
        <v>E</v>
      </c>
      <c r="G11" s="6" t="str">
        <f>VLOOKUP($B11,Chronologie[],COLUMN(G12)-2,TRUE)</f>
        <v>L</v>
      </c>
      <c r="H11" s="6">
        <f>VLOOKUP($B11,Chronologie[],COLUMN(H12)-2,TRUE)</f>
        <v>2</v>
      </c>
      <c r="I11" s="10" t="str">
        <f>VLOOKUP($B11,Chronologie[],2,TRUE)</f>
        <v>E-L-2</v>
      </c>
      <c r="J11" s="243">
        <f>VLOOKUP($B11,Chronologie[],3,TRUE)</f>
        <v>45920</v>
      </c>
      <c r="K11" s="237" t="s">
        <v>6</v>
      </c>
      <c r="L11" s="237">
        <v>78</v>
      </c>
      <c r="M11" s="237">
        <v>93</v>
      </c>
      <c r="N11" s="237">
        <v>89</v>
      </c>
      <c r="O11" s="237">
        <v>96</v>
      </c>
      <c r="P11" s="237">
        <v>26</v>
      </c>
      <c r="Q11" s="237">
        <v>35</v>
      </c>
      <c r="R11" s="237">
        <v>36</v>
      </c>
      <c r="S11" s="237">
        <v>43</v>
      </c>
      <c r="T11" s="237">
        <v>5</v>
      </c>
      <c r="U11" s="237">
        <v>2</v>
      </c>
      <c r="V11" s="237">
        <v>3</v>
      </c>
      <c r="W11" s="237">
        <v>0</v>
      </c>
      <c r="X11" s="38">
        <v>0</v>
      </c>
      <c r="Y11" s="38">
        <v>1</v>
      </c>
      <c r="Z11" s="38">
        <v>0</v>
      </c>
      <c r="AA11" s="38">
        <v>1</v>
      </c>
      <c r="AB11" s="91">
        <v>500</v>
      </c>
      <c r="AC11" s="94">
        <f>IF(Eingabe[[#This Row],[V1]]="",IF(Eingabe[[#This Row],[Volle alternativ]]="","",Eingabe[[#This Row],[Volle alternativ]]),SUM(Eingabe[[#This Row],[V1]:[V4]]))</f>
        <v>356</v>
      </c>
      <c r="AD11" s="6">
        <f>IF(Eingabe[[#This Row],[R1]]="",IF(Eingabe[[#This Row],[Räumer alternativ]]="","",Eingabe[[#This Row],[Räumer alternativ]]),SUM(Eingabe[[#This Row],[R1]:[R4]]))</f>
        <v>140</v>
      </c>
      <c r="AE11" s="6">
        <f>IF(Eingabe[[#This Row],[F1]]="",IF(Eingabe[[#This Row],[Fehler alternativ]]="","",Eingabe[[#This Row],[Fehler alternativ]]),SUM(Eingabe[[#This Row],[F1]:[F4]]))</f>
        <v>10</v>
      </c>
      <c r="AF11" s="6">
        <f>IF(Eingabe[[#This Row],[Volle]]="","",IF(Eingabe[[#This Row],[S1]]="",Eingabe[[#This Row],[Volle]]+Eingabe[[#This Row],[Räumer]],IF(Eingabe[[#This Row],[Volle]]+Eingabe[[#This Row],[Räumer]]=Eingabe[[#This Row],[S1]]+Eingabe[[#This Row],[S2]]+Eingabe[[#This Row],[S3]]+Eingabe[[#This Row],[S4]],Eingabe[[#This Row],[Volle]]+Eingabe[[#This Row],[Räumer]],"FEHLER")))</f>
        <v>496</v>
      </c>
      <c r="AG11" s="6">
        <f>IF(Eingabe[[#This Row],[V1]]="","",Eingabe[[#This Row],[V1]]+Eingabe[[#This Row],[R1]])</f>
        <v>104</v>
      </c>
      <c r="AH11" s="6">
        <f>IF(Eingabe[[#This Row],[V2]]="","",Eingabe[[#This Row],[V2]]+Eingabe[[#This Row],[R2]])</f>
        <v>128</v>
      </c>
      <c r="AI11" s="6">
        <f>IF(Eingabe[[#This Row],[V3]]="","",Eingabe[[#This Row],[V3]]+Eingabe[[#This Row],[R3]])</f>
        <v>125</v>
      </c>
      <c r="AJ11" s="6">
        <f>IF(Eingabe[[#This Row],[V4]]="","",Eingabe[[#This Row],[V4]]+Eingabe[[#This Row],[R4]])</f>
        <v>139</v>
      </c>
      <c r="AK11" s="6">
        <f>IF(Eingabe[[#This Row],[S1P]]="","",Eingabe[[#This Row],[S1P]]+Eingabe[[#This Row],[S2P]]+Eingabe[[#This Row],[S3P]]+Eingabe[[#This Row],[S4P]])</f>
        <v>2</v>
      </c>
      <c r="AL11" s="6">
        <f>IF(Eingabe[[#This Row],[S1P]]="","",IF(Eingabe[[#This Row],[SP]]&gt;2,1,IF(Eingabe[[#This Row],[SP]]&lt;2,0,IF(Eingabe[[#This Row],[GES]]&gt;Eingabe[[#This Row],[GEGGES]],1,IF(Eingabe[[#This Row],[GES]]=Eingabe[[#This Row],[GEGGES]],0.5,0)))))</f>
        <v>0</v>
      </c>
      <c r="AM11" s="6">
        <f>IF(Eingabe[[#This Row],[MP]]="","",MOD(ROW(Eingabe[[#This Row],[Position]])-3,6)+1)</f>
        <v>3</v>
      </c>
      <c r="AN11" s="6">
        <f>STANDARDIZE(Eingabe[[#This Row],[GES]],Eingabe[[#This Row],[Schnitt]],VLOOKUP(Eingabe[[#This Row],[Name]],AuswertungG[],21,FALSE))</f>
        <v>-1.8333333333333333</v>
      </c>
      <c r="AO11" s="6">
        <f>VLOOKUP(Eingabe[[#This Row],[ID]],Chronologie[[ID]:[KW]],12,FALSE)</f>
        <v>4</v>
      </c>
      <c r="AP11" s="95" t="str">
        <f>IF(Eingabe[[#This Row],[Wo]]="H",Eingabe[[#This Row],[Gegner]]&amp;" ["&amp;Eingabe[[#This Row],[Wo]]&amp;"]",Eingabe[[#This Row],[Ort]])</f>
        <v>Brand-Erbisdorf</v>
      </c>
      <c r="AQ11" s="6" t="str">
        <f>IFERROR(IF(Eingabe[[#This Row],[Wo]]="H",IF(MOD(Eingabe[[#This Row],[Position]],2)=1,Eingabe[[#This Row],[S1]],Eingabe[[#This Row],[S4]]),""),"")</f>
        <v/>
      </c>
      <c r="AR11" s="6" t="str">
        <f>IFERROR(IF(Eingabe[[#This Row],[Wo]]="H",IF(Eingabe[[#This Row],[S1]]&gt;0,IF(MOD(Eingabe[[#This Row],[Position]],2)=1,Eingabe[[#This Row],[S2]],Eingabe[[#This Row],[S3]]),""),""),"")</f>
        <v/>
      </c>
      <c r="AS11" s="6" t="str">
        <f>IFERROR(IF(Eingabe[[#This Row],[Wo]]="H",IF(Eingabe[[#This Row],[S1]]&gt;0,IF(MOD(ROW(Eingabe[[#This Row],[Heimbahn 3]]),2)=1,Eingabe[[#This Row],[S4]],Eingabe[[#This Row],[S1]]),""),""),"")</f>
        <v/>
      </c>
      <c r="AT11" s="6" t="str">
        <f>IFERROR(IF(Eingabe[[#This Row],[Wo]]="H",IF(Eingabe[[#This Row],[S1]]&gt;0,IF(MOD(ROW(Eingabe[[#This Row],[Heimbahn 4]]),2)=1,Eingabe[[#This Row],[S3]],Eingabe[[#This Row],[S2]]),""),""),"")</f>
        <v/>
      </c>
      <c r="AU11" s="22">
        <f>IF(Eingabe[[#This Row],[GES]]="","",IF(Eingabe[[#This Row],[Modus]]="L",_xlfn.RANK.EQ(Eingabe[[#This Row],[GES]],AF9:AF14),IF(Eingabe[[#This Row],[Modus]]="P",_xlfn.RANK.EQ(Eingabe[[#This Row],[GES]],AF9:AF14),"")))</f>
        <v>5</v>
      </c>
      <c r="AV11" s="6">
        <f>VLOOKUP(Eingabe[[#This Row],[Name]],AuswertungG[],8,FALSE)</f>
        <v>529</v>
      </c>
      <c r="AZ11" s="6">
        <f>IFERROR(ABS(Eingabe[[#This Row],[GES]]-Eingabe[[#This Row],[GEGGES]]),"")</f>
        <v>4</v>
      </c>
    </row>
    <row r="12" spans="1:52" ht="16.2" hidden="1" thickBot="1" x14ac:dyDescent="0.35">
      <c r="A12" s="441"/>
      <c r="B12" s="21">
        <f t="shared" si="0"/>
        <v>2</v>
      </c>
      <c r="C12" s="6" t="str">
        <f>VLOOKUP($B12,Chronologie[],7,TRUE)</f>
        <v>SpG Großschirma/Brand-Erbisdorf</v>
      </c>
      <c r="D12" s="6" t="str">
        <f>VLOOKUP($B12,Chronologie[],8,TRUE)</f>
        <v>Brand-Erbisdorf</v>
      </c>
      <c r="E12" s="240" t="str">
        <f>VLOOKUP($B12,Chronologie[],9,TRUE)</f>
        <v>A</v>
      </c>
      <c r="F12" s="6" t="str">
        <f>VLOOKUP($B12,Chronologie[],COLUMN(F13)-2,TRUE)</f>
        <v>E</v>
      </c>
      <c r="G12" s="6" t="str">
        <f>VLOOKUP($B12,Chronologie[],COLUMN(G13)-2,TRUE)</f>
        <v>L</v>
      </c>
      <c r="H12" s="6">
        <f>VLOOKUP($B12,Chronologie[],COLUMN(H13)-2,TRUE)</f>
        <v>2</v>
      </c>
      <c r="I12" s="10" t="str">
        <f>VLOOKUP($B12,Chronologie[],2,TRUE)</f>
        <v>E-L-2</v>
      </c>
      <c r="J12" s="243">
        <f>VLOOKUP($B12,Chronologie[],3,TRUE)</f>
        <v>45920</v>
      </c>
      <c r="K12" s="238" t="s">
        <v>658</v>
      </c>
      <c r="L12" s="237">
        <v>94</v>
      </c>
      <c r="M12" s="237">
        <v>89</v>
      </c>
      <c r="N12" s="237">
        <v>80</v>
      </c>
      <c r="O12" s="237">
        <v>74</v>
      </c>
      <c r="P12" s="237">
        <v>44</v>
      </c>
      <c r="Q12" s="237">
        <v>53</v>
      </c>
      <c r="R12" s="237">
        <v>45</v>
      </c>
      <c r="S12" s="237">
        <v>48</v>
      </c>
      <c r="T12" s="237">
        <v>0</v>
      </c>
      <c r="U12" s="237">
        <v>0</v>
      </c>
      <c r="V12" s="237">
        <v>1</v>
      </c>
      <c r="W12" s="237">
        <v>1</v>
      </c>
      <c r="X12" s="38">
        <v>1</v>
      </c>
      <c r="Y12" s="38">
        <v>1</v>
      </c>
      <c r="Z12" s="38">
        <v>1</v>
      </c>
      <c r="AA12" s="38">
        <v>0</v>
      </c>
      <c r="AB12" s="91">
        <v>491</v>
      </c>
      <c r="AC12" s="94">
        <f>IF(Eingabe[[#This Row],[V1]]="",IF(Eingabe[[#This Row],[Volle alternativ]]="","",Eingabe[[#This Row],[Volle alternativ]]),SUM(Eingabe[[#This Row],[V1]:[V4]]))</f>
        <v>337</v>
      </c>
      <c r="AD12" s="6">
        <f>IF(Eingabe[[#This Row],[R1]]="",IF(Eingabe[[#This Row],[Räumer alternativ]]="","",Eingabe[[#This Row],[Räumer alternativ]]),SUM(Eingabe[[#This Row],[R1]:[R4]]))</f>
        <v>190</v>
      </c>
      <c r="AE12" s="6">
        <f>IF(Eingabe[[#This Row],[F1]]="",IF(Eingabe[[#This Row],[Fehler alternativ]]="","",Eingabe[[#This Row],[Fehler alternativ]]),SUM(Eingabe[[#This Row],[F1]:[F4]]))</f>
        <v>2</v>
      </c>
      <c r="AF12" s="6">
        <f>IF(Eingabe[[#This Row],[Volle]]="","",IF(Eingabe[[#This Row],[S1]]="",Eingabe[[#This Row],[Volle]]+Eingabe[[#This Row],[Räumer]],IF(Eingabe[[#This Row],[Volle]]+Eingabe[[#This Row],[Räumer]]=Eingabe[[#This Row],[S1]]+Eingabe[[#This Row],[S2]]+Eingabe[[#This Row],[S3]]+Eingabe[[#This Row],[S4]],Eingabe[[#This Row],[Volle]]+Eingabe[[#This Row],[Räumer]],"FEHLER")))</f>
        <v>527</v>
      </c>
      <c r="AG12" s="6">
        <f>IF(Eingabe[[#This Row],[V1]]="","",Eingabe[[#This Row],[V1]]+Eingabe[[#This Row],[R1]])</f>
        <v>138</v>
      </c>
      <c r="AH12" s="6">
        <f>IF(Eingabe[[#This Row],[V2]]="","",Eingabe[[#This Row],[V2]]+Eingabe[[#This Row],[R2]])</f>
        <v>142</v>
      </c>
      <c r="AI12" s="6">
        <f>IF(Eingabe[[#This Row],[V3]]="","",Eingabe[[#This Row],[V3]]+Eingabe[[#This Row],[R3]])</f>
        <v>125</v>
      </c>
      <c r="AJ12" s="6">
        <f>IF(Eingabe[[#This Row],[V4]]="","",Eingabe[[#This Row],[V4]]+Eingabe[[#This Row],[R4]])</f>
        <v>122</v>
      </c>
      <c r="AK12" s="6">
        <f>IF(Eingabe[[#This Row],[S1P]]="","",Eingabe[[#This Row],[S1P]]+Eingabe[[#This Row],[S2P]]+Eingabe[[#This Row],[S3P]]+Eingabe[[#This Row],[S4P]])</f>
        <v>3</v>
      </c>
      <c r="AL12" s="6">
        <f>IF(Eingabe[[#This Row],[S1P]]="","",IF(Eingabe[[#This Row],[SP]]&gt;2,1,IF(Eingabe[[#This Row],[SP]]&lt;2,0,IF(Eingabe[[#This Row],[GES]]&gt;Eingabe[[#This Row],[GEGGES]],1,IF(Eingabe[[#This Row],[GES]]=Eingabe[[#This Row],[GEGGES]],0.5,0)))))</f>
        <v>1</v>
      </c>
      <c r="AM12" s="6">
        <f>IF(Eingabe[[#This Row],[MP]]="","",MOD(ROW(Eingabe[[#This Row],[Position]])-3,6)+1)</f>
        <v>4</v>
      </c>
      <c r="AN12" s="6">
        <f>STANDARDIZE(Eingabe[[#This Row],[GES]],Eingabe[[#This Row],[Schnitt]],VLOOKUP(Eingabe[[#This Row],[Name]],AuswertungG[],21,FALSE))</f>
        <v>-0.65714285714285714</v>
      </c>
      <c r="AO12" s="6">
        <f>VLOOKUP(Eingabe[[#This Row],[ID]],Chronologie[[ID]:[KW]],12,FALSE)</f>
        <v>4</v>
      </c>
      <c r="AP12" s="95" t="str">
        <f>IF(Eingabe[[#This Row],[Wo]]="H",Eingabe[[#This Row],[Gegner]]&amp;" ["&amp;Eingabe[[#This Row],[Wo]]&amp;"]",Eingabe[[#This Row],[Ort]])</f>
        <v>Brand-Erbisdorf</v>
      </c>
      <c r="AQ12" s="6" t="str">
        <f>IFERROR(IF(Eingabe[[#This Row],[Wo]]="H",IF(MOD(Eingabe[[#This Row],[Position]],2)=1,Eingabe[[#This Row],[S1]],Eingabe[[#This Row],[S4]]),""),"")</f>
        <v/>
      </c>
      <c r="AR12" s="6" t="str">
        <f>IFERROR(IF(Eingabe[[#This Row],[Wo]]="H",IF(Eingabe[[#This Row],[S1]]&gt;0,IF(MOD(Eingabe[[#This Row],[Position]],2)=1,Eingabe[[#This Row],[S2]],Eingabe[[#This Row],[S3]]),""),""),"")</f>
        <v/>
      </c>
      <c r="AS12" s="6" t="str">
        <f>IFERROR(IF(Eingabe[[#This Row],[Wo]]="H",IF(Eingabe[[#This Row],[S1]]&gt;0,IF(MOD(ROW(Eingabe[[#This Row],[Heimbahn 3]]),2)=1,Eingabe[[#This Row],[S4]],Eingabe[[#This Row],[S1]]),""),""),"")</f>
        <v/>
      </c>
      <c r="AT12" s="6" t="str">
        <f>IFERROR(IF(Eingabe[[#This Row],[Wo]]="H",IF(Eingabe[[#This Row],[S1]]&gt;0,IF(MOD(ROW(Eingabe[[#This Row],[Heimbahn 4]]),2)=1,Eingabe[[#This Row],[S3]],Eingabe[[#This Row],[S2]]),""),""),"")</f>
        <v/>
      </c>
      <c r="AU12" s="22">
        <f>IF(Eingabe[[#This Row],[GES]]="","",IF(Eingabe[[#This Row],[Modus]]="L",_xlfn.RANK.EQ(Eingabe[[#This Row],[GES]],AF9:AF14),IF(Eingabe[[#This Row],[Modus]]="P",_xlfn.RANK.EQ(Eingabe[[#This Row],[GES]],AF9:AF14),"")))</f>
        <v>3</v>
      </c>
      <c r="AV12" s="6">
        <f>VLOOKUP(Eingabe[[#This Row],[Name]],AuswertungG[],8,FALSE)</f>
        <v>550</v>
      </c>
      <c r="AZ12" s="6">
        <f>IFERROR(ABS(Eingabe[[#This Row],[GES]]-Eingabe[[#This Row],[GEGGES]]),"")</f>
        <v>36</v>
      </c>
    </row>
    <row r="13" spans="1:52" ht="16.2" hidden="1" thickBot="1" x14ac:dyDescent="0.35">
      <c r="A13" s="441"/>
      <c r="B13" s="21">
        <f t="shared" si="0"/>
        <v>2</v>
      </c>
      <c r="C13" s="6" t="str">
        <f>VLOOKUP($B13,Chronologie[],7,TRUE)</f>
        <v>SpG Großschirma/Brand-Erbisdorf</v>
      </c>
      <c r="D13" s="6" t="str">
        <f>VLOOKUP($B13,Chronologie[],8,TRUE)</f>
        <v>Brand-Erbisdorf</v>
      </c>
      <c r="E13" s="240" t="str">
        <f>VLOOKUP($B13,Chronologie[],9,TRUE)</f>
        <v>A</v>
      </c>
      <c r="F13" s="6" t="str">
        <f>VLOOKUP($B13,Chronologie[],COLUMN(F14)-2,TRUE)</f>
        <v>E</v>
      </c>
      <c r="G13" s="6" t="str">
        <f>VLOOKUP($B13,Chronologie[],COLUMN(G14)-2,TRUE)</f>
        <v>L</v>
      </c>
      <c r="H13" s="6">
        <f>VLOOKUP($B13,Chronologie[],COLUMN(H14)-2,TRUE)</f>
        <v>2</v>
      </c>
      <c r="I13" s="10" t="str">
        <f>VLOOKUP($B13,Chronologie[],2,TRUE)</f>
        <v>E-L-2</v>
      </c>
      <c r="J13" s="243">
        <f>VLOOKUP($B13,Chronologie[],3,TRUE)</f>
        <v>45920</v>
      </c>
      <c r="K13" s="237" t="s">
        <v>455</v>
      </c>
      <c r="L13" s="237">
        <v>89</v>
      </c>
      <c r="M13" s="237">
        <v>90</v>
      </c>
      <c r="N13" s="237">
        <v>93</v>
      </c>
      <c r="O13" s="237">
        <v>95</v>
      </c>
      <c r="P13" s="237">
        <v>61</v>
      </c>
      <c r="Q13" s="237">
        <v>45</v>
      </c>
      <c r="R13" s="237">
        <v>43</v>
      </c>
      <c r="S13" s="237">
        <v>34</v>
      </c>
      <c r="T13" s="237">
        <v>0</v>
      </c>
      <c r="U13" s="237">
        <v>0</v>
      </c>
      <c r="V13" s="237">
        <v>3</v>
      </c>
      <c r="W13" s="237">
        <v>1</v>
      </c>
      <c r="X13" s="38">
        <v>1</v>
      </c>
      <c r="Y13" s="38">
        <v>0</v>
      </c>
      <c r="Z13" s="38">
        <v>0</v>
      </c>
      <c r="AA13" s="38">
        <v>0</v>
      </c>
      <c r="AB13" s="91">
        <v>598</v>
      </c>
      <c r="AC13" s="94">
        <f>IF(Eingabe[[#This Row],[V1]]="",IF(Eingabe[[#This Row],[Volle alternativ]]="","",Eingabe[[#This Row],[Volle alternativ]]),SUM(Eingabe[[#This Row],[V1]:[V4]]))</f>
        <v>367</v>
      </c>
      <c r="AD13" s="6">
        <f>IF(Eingabe[[#This Row],[R1]]="",IF(Eingabe[[#This Row],[Räumer alternativ]]="","",Eingabe[[#This Row],[Räumer alternativ]]),SUM(Eingabe[[#This Row],[R1]:[R4]]))</f>
        <v>183</v>
      </c>
      <c r="AE13" s="6">
        <f>IF(Eingabe[[#This Row],[F1]]="",IF(Eingabe[[#This Row],[Fehler alternativ]]="","",Eingabe[[#This Row],[Fehler alternativ]]),SUM(Eingabe[[#This Row],[F1]:[F4]]))</f>
        <v>4</v>
      </c>
      <c r="AF13" s="6">
        <f>IF(Eingabe[[#This Row],[Volle]]="","",IF(Eingabe[[#This Row],[S1]]="",Eingabe[[#This Row],[Volle]]+Eingabe[[#This Row],[Räumer]],IF(Eingabe[[#This Row],[Volle]]+Eingabe[[#This Row],[Räumer]]=Eingabe[[#This Row],[S1]]+Eingabe[[#This Row],[S2]]+Eingabe[[#This Row],[S3]]+Eingabe[[#This Row],[S4]],Eingabe[[#This Row],[Volle]]+Eingabe[[#This Row],[Räumer]],"FEHLER")))</f>
        <v>550</v>
      </c>
      <c r="AG13" s="6">
        <f>IF(Eingabe[[#This Row],[V1]]="","",Eingabe[[#This Row],[V1]]+Eingabe[[#This Row],[R1]])</f>
        <v>150</v>
      </c>
      <c r="AH13" s="6">
        <f>IF(Eingabe[[#This Row],[V2]]="","",Eingabe[[#This Row],[V2]]+Eingabe[[#This Row],[R2]])</f>
        <v>135</v>
      </c>
      <c r="AI13" s="6">
        <f>IF(Eingabe[[#This Row],[V3]]="","",Eingabe[[#This Row],[V3]]+Eingabe[[#This Row],[R3]])</f>
        <v>136</v>
      </c>
      <c r="AJ13" s="6">
        <f>IF(Eingabe[[#This Row],[V4]]="","",Eingabe[[#This Row],[V4]]+Eingabe[[#This Row],[R4]])</f>
        <v>129</v>
      </c>
      <c r="AK13" s="6">
        <f>IF(Eingabe[[#This Row],[S1P]]="","",Eingabe[[#This Row],[S1P]]+Eingabe[[#This Row],[S2P]]+Eingabe[[#This Row],[S3P]]+Eingabe[[#This Row],[S4P]])</f>
        <v>1</v>
      </c>
      <c r="AL13" s="6">
        <f>IF(Eingabe[[#This Row],[S1P]]="","",IF(Eingabe[[#This Row],[SP]]&gt;2,1,IF(Eingabe[[#This Row],[SP]]&lt;2,0,IF(Eingabe[[#This Row],[GES]]&gt;Eingabe[[#This Row],[GEGGES]],1,IF(Eingabe[[#This Row],[GES]]=Eingabe[[#This Row],[GEGGES]],0.5,0)))))</f>
        <v>0</v>
      </c>
      <c r="AM13" s="6">
        <f>IF(Eingabe[[#This Row],[MP]]="","",MOD(ROW(Eingabe[[#This Row],[Position]])-3,6)+1)</f>
        <v>5</v>
      </c>
      <c r="AN13" s="6">
        <f>STANDARDIZE(Eingabe[[#This Row],[GES]],Eingabe[[#This Row],[Schnitt]],VLOOKUP(Eingabe[[#This Row],[Name]],AuswertungG[],21,FALSE))</f>
        <v>-0.46153846153846156</v>
      </c>
      <c r="AO13" s="6">
        <f>VLOOKUP(Eingabe[[#This Row],[ID]],Chronologie[[ID]:[KW]],12,FALSE)</f>
        <v>4</v>
      </c>
      <c r="AP13" s="95" t="str">
        <f>IF(Eingabe[[#This Row],[Wo]]="H",Eingabe[[#This Row],[Gegner]]&amp;" ["&amp;Eingabe[[#This Row],[Wo]]&amp;"]",Eingabe[[#This Row],[Ort]])</f>
        <v>Brand-Erbisdorf</v>
      </c>
      <c r="AQ13" s="6" t="str">
        <f>IFERROR(IF(Eingabe[[#This Row],[Wo]]="H",IF(MOD(Eingabe[[#This Row],[Position]],2)=1,Eingabe[[#This Row],[S1]],Eingabe[[#This Row],[S4]]),""),"")</f>
        <v/>
      </c>
      <c r="AR13" s="6" t="str">
        <f>IFERROR(IF(Eingabe[[#This Row],[Wo]]="H",IF(Eingabe[[#This Row],[S1]]&gt;0,IF(MOD(Eingabe[[#This Row],[Position]],2)=1,Eingabe[[#This Row],[S2]],Eingabe[[#This Row],[S3]]),""),""),"")</f>
        <v/>
      </c>
      <c r="AS13" s="6" t="str">
        <f>IFERROR(IF(Eingabe[[#This Row],[Wo]]="H",IF(Eingabe[[#This Row],[S1]]&gt;0,IF(MOD(ROW(Eingabe[[#This Row],[Heimbahn 3]]),2)=1,Eingabe[[#This Row],[S4]],Eingabe[[#This Row],[S1]]),""),""),"")</f>
        <v/>
      </c>
      <c r="AT13" s="6" t="str">
        <f>IFERROR(IF(Eingabe[[#This Row],[Wo]]="H",IF(Eingabe[[#This Row],[S1]]&gt;0,IF(MOD(ROW(Eingabe[[#This Row],[Heimbahn 4]]),2)=1,Eingabe[[#This Row],[S3]],Eingabe[[#This Row],[S2]]),""),""),"")</f>
        <v/>
      </c>
      <c r="AU13" s="22">
        <f>IF(Eingabe[[#This Row],[GES]]="","",IF(Eingabe[[#This Row],[Modus]]="L",_xlfn.RANK.EQ(Eingabe[[#This Row],[GES]],AF9:AF14),IF(Eingabe[[#This Row],[Modus]]="P",_xlfn.RANK.EQ(Eingabe[[#This Row],[GES]],AF9:AF14),"")))</f>
        <v>1</v>
      </c>
      <c r="AV13" s="6">
        <f>VLOOKUP(Eingabe[[#This Row],[Name]],AuswertungG[],8,FALSE)</f>
        <v>568</v>
      </c>
      <c r="AZ13" s="6">
        <f>IFERROR(ABS(Eingabe[[#This Row],[GES]]-Eingabe[[#This Row],[GEGGES]]),"")</f>
        <v>48</v>
      </c>
    </row>
    <row r="14" spans="1:52" ht="16.2" hidden="1" thickBot="1" x14ac:dyDescent="0.35">
      <c r="A14" s="442"/>
      <c r="B14" s="56">
        <f t="shared" si="0"/>
        <v>2</v>
      </c>
      <c r="C14" s="23" t="str">
        <f>VLOOKUP($B14,Chronologie[],7,TRUE)</f>
        <v>SpG Großschirma/Brand-Erbisdorf</v>
      </c>
      <c r="D14" s="23" t="str">
        <f>VLOOKUP($B14,Chronologie[],8,TRUE)</f>
        <v>Brand-Erbisdorf</v>
      </c>
      <c r="E14" s="39" t="str">
        <f>VLOOKUP($B14,Chronologie[],9,TRUE)</f>
        <v>A</v>
      </c>
      <c r="F14" s="23" t="str">
        <f>VLOOKUP($B14,Chronologie[],COLUMN(F15)-2,TRUE)</f>
        <v>E</v>
      </c>
      <c r="G14" s="23" t="str">
        <f>VLOOKUP($B14,Chronologie[],COLUMN(G15)-2,TRUE)</f>
        <v>L</v>
      </c>
      <c r="H14" s="23">
        <f>VLOOKUP($B14,Chronologie[],COLUMN(H15)-2,TRUE)</f>
        <v>2</v>
      </c>
      <c r="I14" s="13" t="str">
        <f>VLOOKUP($B14,Chronologie[],2,TRUE)</f>
        <v>E-L-2</v>
      </c>
      <c r="J14" s="244">
        <f>VLOOKUP($B14,Chronologie[],3,TRUE)</f>
        <v>45920</v>
      </c>
      <c r="K14" s="239" t="s">
        <v>659</v>
      </c>
      <c r="L14" s="239">
        <v>103</v>
      </c>
      <c r="M14" s="239">
        <v>93</v>
      </c>
      <c r="N14" s="239">
        <v>74</v>
      </c>
      <c r="O14" s="239">
        <v>89</v>
      </c>
      <c r="P14" s="239">
        <v>53</v>
      </c>
      <c r="Q14" s="239">
        <v>45</v>
      </c>
      <c r="R14" s="239">
        <v>42</v>
      </c>
      <c r="S14" s="239">
        <v>34</v>
      </c>
      <c r="T14" s="239">
        <v>1</v>
      </c>
      <c r="U14" s="239">
        <v>1</v>
      </c>
      <c r="V14" s="239">
        <v>1</v>
      </c>
      <c r="W14" s="239">
        <v>5</v>
      </c>
      <c r="X14" s="40">
        <v>1</v>
      </c>
      <c r="Y14" s="40">
        <v>1</v>
      </c>
      <c r="Z14" s="40">
        <v>0</v>
      </c>
      <c r="AA14" s="40">
        <v>0</v>
      </c>
      <c r="AB14" s="92">
        <v>548</v>
      </c>
      <c r="AC14" s="96">
        <f>IF(Eingabe[[#This Row],[V1]]="",IF(Eingabe[[#This Row],[Volle alternativ]]="","",Eingabe[[#This Row],[Volle alternativ]]),SUM(Eingabe[[#This Row],[V1]:[V4]]))</f>
        <v>359</v>
      </c>
      <c r="AD14" s="23">
        <f>IF(Eingabe[[#This Row],[R1]]="",IF(Eingabe[[#This Row],[Räumer alternativ]]="","",Eingabe[[#This Row],[Räumer alternativ]]),SUM(Eingabe[[#This Row],[R1]:[R4]]))</f>
        <v>174</v>
      </c>
      <c r="AE14" s="23">
        <f>IF(Eingabe[[#This Row],[F1]]="",IF(Eingabe[[#This Row],[Fehler alternativ]]="","",Eingabe[[#This Row],[Fehler alternativ]]),SUM(Eingabe[[#This Row],[F1]:[F4]]))</f>
        <v>8</v>
      </c>
      <c r="AF14" s="23">
        <f>IF(Eingabe[[#This Row],[Volle]]="","",IF(Eingabe[[#This Row],[S1]]="",Eingabe[[#This Row],[Volle]]+Eingabe[[#This Row],[Räumer]],IF(Eingabe[[#This Row],[Volle]]+Eingabe[[#This Row],[Räumer]]=Eingabe[[#This Row],[S1]]+Eingabe[[#This Row],[S2]]+Eingabe[[#This Row],[S3]]+Eingabe[[#This Row],[S4]],Eingabe[[#This Row],[Volle]]+Eingabe[[#This Row],[Räumer]],"FEHLER")))</f>
        <v>533</v>
      </c>
      <c r="AG14" s="23">
        <f>IF(Eingabe[[#This Row],[V1]]="","",Eingabe[[#This Row],[V1]]+Eingabe[[#This Row],[R1]])</f>
        <v>156</v>
      </c>
      <c r="AH14" s="23">
        <f>IF(Eingabe[[#This Row],[V2]]="","",Eingabe[[#This Row],[V2]]+Eingabe[[#This Row],[R2]])</f>
        <v>138</v>
      </c>
      <c r="AI14" s="23">
        <f>IF(Eingabe[[#This Row],[V3]]="","",Eingabe[[#This Row],[V3]]+Eingabe[[#This Row],[R3]])</f>
        <v>116</v>
      </c>
      <c r="AJ14" s="23">
        <f>IF(Eingabe[[#This Row],[V4]]="","",Eingabe[[#This Row],[V4]]+Eingabe[[#This Row],[R4]])</f>
        <v>123</v>
      </c>
      <c r="AK14" s="23">
        <f>IF(Eingabe[[#This Row],[S1P]]="","",Eingabe[[#This Row],[S1P]]+Eingabe[[#This Row],[S2P]]+Eingabe[[#This Row],[S3P]]+Eingabe[[#This Row],[S4P]])</f>
        <v>2</v>
      </c>
      <c r="AL14" s="23">
        <f>IF(Eingabe[[#This Row],[S1P]]="","",IF(Eingabe[[#This Row],[SP]]&gt;2,1,IF(Eingabe[[#This Row],[SP]]&lt;2,0,IF(Eingabe[[#This Row],[GES]]&gt;Eingabe[[#This Row],[GEGGES]],1,IF(Eingabe[[#This Row],[GES]]=Eingabe[[#This Row],[GEGGES]],0.5,0)))))</f>
        <v>0</v>
      </c>
      <c r="AM14" s="23">
        <f>IF(Eingabe[[#This Row],[MP]]="","",MOD(ROW(Eingabe[[#This Row],[Position]])-3,6)+1)</f>
        <v>6</v>
      </c>
      <c r="AN14" s="23">
        <f>STANDARDIZE(Eingabe[[#This Row],[GES]],Eingabe[[#This Row],[Schnitt]],VLOOKUP(Eingabe[[#This Row],[Name]],AuswertungG[],21,FALSE))</f>
        <v>4.1666666666666664E-2</v>
      </c>
      <c r="AO14" s="23">
        <f>VLOOKUP(Eingabe[[#This Row],[ID]],Chronologie[[ID]:[KW]],12,FALSE)</f>
        <v>4</v>
      </c>
      <c r="AP14" s="59" t="str">
        <f>IF(Eingabe[[#This Row],[Wo]]="H",Eingabe[[#This Row],[Gegner]]&amp;" ["&amp;Eingabe[[#This Row],[Wo]]&amp;"]",Eingabe[[#This Row],[Ort]])</f>
        <v>Brand-Erbisdorf</v>
      </c>
      <c r="AQ14" s="23" t="str">
        <f>IFERROR(IF(Eingabe[[#This Row],[Wo]]="H",IF(MOD(Eingabe[[#This Row],[Position]],2)=1,Eingabe[[#This Row],[S1]],Eingabe[[#This Row],[S4]]),""),"")</f>
        <v/>
      </c>
      <c r="AR14" s="23" t="str">
        <f>IFERROR(IF(Eingabe[[#This Row],[Wo]]="H",IF(Eingabe[[#This Row],[S1]]&gt;0,IF(MOD(Eingabe[[#This Row],[Position]],2)=1,Eingabe[[#This Row],[S2]],Eingabe[[#This Row],[S3]]),""),""),"")</f>
        <v/>
      </c>
      <c r="AS14" s="23" t="str">
        <f>IFERROR(IF(Eingabe[[#This Row],[Wo]]="H",IF(Eingabe[[#This Row],[S1]]&gt;0,IF(MOD(ROW(Eingabe[[#This Row],[Heimbahn 3]]),2)=1,Eingabe[[#This Row],[S4]],Eingabe[[#This Row],[S1]]),""),""),"")</f>
        <v/>
      </c>
      <c r="AT14" s="23" t="str">
        <f>IFERROR(IF(Eingabe[[#This Row],[Wo]]="H",IF(Eingabe[[#This Row],[S1]]&gt;0,IF(MOD(ROW(Eingabe[[#This Row],[Heimbahn 4]]),2)=1,Eingabe[[#This Row],[S3]],Eingabe[[#This Row],[S2]]),""),""),"")</f>
        <v/>
      </c>
      <c r="AU14" s="89">
        <f>IF(Eingabe[[#This Row],[GES]]="","",IF(Eingabe[[#This Row],[Modus]]="L",_xlfn.RANK.EQ(Eingabe[[#This Row],[GES]],AF9:AF14),IF(Eingabe[[#This Row],[Modus]]="P",_xlfn.RANK.EQ(Eingabe[[#This Row],[GES]],AF9:AF14),"")))</f>
        <v>2</v>
      </c>
      <c r="AV14" s="6">
        <f>VLOOKUP(Eingabe[[#This Row],[Name]],AuswertungG[],8,FALSE)</f>
        <v>532</v>
      </c>
      <c r="AZ14" s="6">
        <f>IFERROR(ABS(Eingabe[[#This Row],[GES]]-Eingabe[[#This Row],[GEGGES]]),"")</f>
        <v>15</v>
      </c>
    </row>
    <row r="15" spans="1:52" ht="16.2" hidden="1" thickBot="1" x14ac:dyDescent="0.35">
      <c r="A15" s="440">
        <f t="shared" ref="A15" si="1">B15</f>
        <v>3</v>
      </c>
      <c r="B15" s="55">
        <f t="shared" si="0"/>
        <v>3</v>
      </c>
      <c r="C15" s="35" t="str">
        <f>VLOOKUP($B15,Chronologie[],7,TRUE)</f>
        <v>SG Grün-Weiß Mehltheuer II</v>
      </c>
      <c r="D15" s="35" t="str">
        <f>VLOOKUP($B15,Chronologie[],8,TRUE)</f>
        <v>Hirschfeld</v>
      </c>
      <c r="E15" s="36" t="str">
        <f>VLOOKUP($B15,Chronologie[],9,TRUE)</f>
        <v>H</v>
      </c>
      <c r="F15" s="35" t="str">
        <f>VLOOKUP($B15,Chronologie[],COLUMN(F16)-2,TRUE)</f>
        <v>E</v>
      </c>
      <c r="G15" s="35" t="str">
        <f>VLOOKUP($B15,Chronologie[],COLUMN(G16)-2,TRUE)</f>
        <v>L</v>
      </c>
      <c r="H15" s="35">
        <f>VLOOKUP($B15,Chronologie[],COLUMN(H16)-2,TRUE)</f>
        <v>3</v>
      </c>
      <c r="I15" s="9" t="str">
        <f>VLOOKUP($B15,Chronologie[],2,TRUE)</f>
        <v>E-L-3</v>
      </c>
      <c r="J15" s="242">
        <f>VLOOKUP($B15,Chronologie[],3,TRUE)</f>
        <v>45927</v>
      </c>
      <c r="K15" s="236" t="s">
        <v>658</v>
      </c>
      <c r="L15" s="334">
        <v>95</v>
      </c>
      <c r="M15" s="334">
        <v>92</v>
      </c>
      <c r="N15" s="334">
        <v>90</v>
      </c>
      <c r="O15" s="334">
        <v>92</v>
      </c>
      <c r="P15" s="334">
        <v>68</v>
      </c>
      <c r="Q15" s="334">
        <v>50</v>
      </c>
      <c r="R15" s="334">
        <v>44</v>
      </c>
      <c r="S15" s="334">
        <v>44</v>
      </c>
      <c r="T15" s="334">
        <v>0</v>
      </c>
      <c r="U15" s="334">
        <v>0</v>
      </c>
      <c r="V15" s="334">
        <v>0</v>
      </c>
      <c r="W15" s="334">
        <v>1</v>
      </c>
      <c r="X15" s="37">
        <v>1</v>
      </c>
      <c r="Y15" s="37">
        <v>1</v>
      </c>
      <c r="Z15" s="37">
        <v>0</v>
      </c>
      <c r="AA15" s="37">
        <v>0.5</v>
      </c>
      <c r="AB15" s="90">
        <v>515</v>
      </c>
      <c r="AC15" s="93">
        <f>IF(Eingabe[[#This Row],[V1]]="",IF(Eingabe[[#This Row],[Volle alternativ]]="","",Eingabe[[#This Row],[Volle alternativ]]),SUM(Eingabe[[#This Row],[V1]:[V4]]))</f>
        <v>369</v>
      </c>
      <c r="AD15" s="35">
        <f>IF(Eingabe[[#This Row],[R1]]="",IF(Eingabe[[#This Row],[Räumer alternativ]]="","",Eingabe[[#This Row],[Räumer alternativ]]),SUM(Eingabe[[#This Row],[R1]:[R4]]))</f>
        <v>206</v>
      </c>
      <c r="AE15" s="35">
        <f>IF(Eingabe[[#This Row],[F1]]="",IF(Eingabe[[#This Row],[Fehler alternativ]]="","",Eingabe[[#This Row],[Fehler alternativ]]),SUM(Eingabe[[#This Row],[F1]:[F4]]))</f>
        <v>1</v>
      </c>
      <c r="AF15" s="35">
        <f>IF(Eingabe[[#This Row],[Volle]]="","",IF(Eingabe[[#This Row],[S1]]="",Eingabe[[#This Row],[Volle]]+Eingabe[[#This Row],[Räumer]],IF(Eingabe[[#This Row],[Volle]]+Eingabe[[#This Row],[Räumer]]=Eingabe[[#This Row],[S1]]+Eingabe[[#This Row],[S2]]+Eingabe[[#This Row],[S3]]+Eingabe[[#This Row],[S4]],Eingabe[[#This Row],[Volle]]+Eingabe[[#This Row],[Räumer]],"FEHLER")))</f>
        <v>575</v>
      </c>
      <c r="AG15" s="35">
        <f>IF(Eingabe[[#This Row],[V1]]="","",Eingabe[[#This Row],[V1]]+Eingabe[[#This Row],[R1]])</f>
        <v>163</v>
      </c>
      <c r="AH15" s="35">
        <f>IF(Eingabe[[#This Row],[V2]]="","",Eingabe[[#This Row],[V2]]+Eingabe[[#This Row],[R2]])</f>
        <v>142</v>
      </c>
      <c r="AI15" s="35">
        <f>IF(Eingabe[[#This Row],[V3]]="","",Eingabe[[#This Row],[V3]]+Eingabe[[#This Row],[R3]])</f>
        <v>134</v>
      </c>
      <c r="AJ15" s="35">
        <f>IF(Eingabe[[#This Row],[V4]]="","",Eingabe[[#This Row],[V4]]+Eingabe[[#This Row],[R4]])</f>
        <v>136</v>
      </c>
      <c r="AK15" s="35">
        <f>IF(Eingabe[[#This Row],[S1P]]="","",Eingabe[[#This Row],[S1P]]+Eingabe[[#This Row],[S2P]]+Eingabe[[#This Row],[S3P]]+Eingabe[[#This Row],[S4P]])</f>
        <v>2.5</v>
      </c>
      <c r="AL15" s="35">
        <f>IF(Eingabe[[#This Row],[S1P]]="","",IF(Eingabe[[#This Row],[SP]]&gt;2,1,IF(Eingabe[[#This Row],[SP]]&lt;2,0,IF(Eingabe[[#This Row],[GES]]&gt;Eingabe[[#This Row],[GEGGES]],1,IF(Eingabe[[#This Row],[GES]]=Eingabe[[#This Row],[GEGGES]],0.5,0)))))</f>
        <v>1</v>
      </c>
      <c r="AM15" s="35">
        <f>IF(Eingabe[[#This Row],[MP]]="","",MOD(ROW(Eingabe[[#This Row],[Position]])-3,6)+1)</f>
        <v>1</v>
      </c>
      <c r="AN15" s="35">
        <f>STANDARDIZE(Eingabe[[#This Row],[GES]],Eingabe[[#This Row],[Schnitt]],VLOOKUP(Eingabe[[#This Row],[Name]],AuswertungG[],21,FALSE))</f>
        <v>0.7142857142857143</v>
      </c>
      <c r="AO15" s="35">
        <f>VLOOKUP(Eingabe[[#This Row],[ID]],Chronologie[[ID]:[KW]],12,FALSE)</f>
        <v>5</v>
      </c>
      <c r="AP15" s="58" t="str">
        <f>IF(Eingabe[[#This Row],[Wo]]="H",Eingabe[[#This Row],[Gegner]]&amp;" ["&amp;Eingabe[[#This Row],[Wo]]&amp;"]",Eingabe[[#This Row],[Ort]])</f>
        <v>SG Grün-Weiß Mehltheuer II [H]</v>
      </c>
      <c r="AQ15" s="35">
        <f>IFERROR(IF(Eingabe[[#This Row],[Wo]]="H",IF(MOD(Eingabe[[#This Row],[Position]],2)=1,Eingabe[[#This Row],[S1]],Eingabe[[#This Row],[S4]]),""),"")</f>
        <v>163</v>
      </c>
      <c r="AR15" s="35">
        <f>IFERROR(IF(Eingabe[[#This Row],[Wo]]="H",IF(Eingabe[[#This Row],[S1]]&gt;0,IF(MOD(Eingabe[[#This Row],[Position]],2)=1,Eingabe[[#This Row],[S2]],Eingabe[[#This Row],[S3]]),""),""),"")</f>
        <v>142</v>
      </c>
      <c r="AS15" s="35">
        <f>IFERROR(IF(Eingabe[[#This Row],[Wo]]="H",IF(Eingabe[[#This Row],[S1]]&gt;0,IF(MOD(ROW(Eingabe[[#This Row],[Heimbahn 3]]),2)=1,Eingabe[[#This Row],[S4]],Eingabe[[#This Row],[S1]]),""),""),"")</f>
        <v>136</v>
      </c>
      <c r="AT15" s="35">
        <f>IFERROR(IF(Eingabe[[#This Row],[Wo]]="H",IF(Eingabe[[#This Row],[S1]]&gt;0,IF(MOD(ROW(Eingabe[[#This Row],[Heimbahn 4]]),2)=1,Eingabe[[#This Row],[S3]],Eingabe[[#This Row],[S2]]),""),""),"")</f>
        <v>134</v>
      </c>
      <c r="AU15" s="88">
        <f>IF(Eingabe[[#This Row],[GES]]="","",IF(Eingabe[[#This Row],[Modus]]="L",_xlfn.RANK.EQ(Eingabe[[#This Row],[GES]],AF15:AF20),IF(Eingabe[[#This Row],[Modus]]="P",_xlfn.RANK.EQ(Eingabe[[#This Row],[GES]],AF15:AF20),"")))</f>
        <v>2</v>
      </c>
      <c r="AV15" s="6">
        <f>VLOOKUP(Eingabe[[#This Row],[Name]],AuswertungG[],8,FALSE)</f>
        <v>550</v>
      </c>
      <c r="AZ15" s="6">
        <f>IFERROR(ABS(Eingabe[[#This Row],[GES]]-Eingabe[[#This Row],[GEGGES]]),"")</f>
        <v>60</v>
      </c>
    </row>
    <row r="16" spans="1:52" ht="16.2" hidden="1" thickBot="1" x14ac:dyDescent="0.35">
      <c r="A16" s="441"/>
      <c r="B16" s="21">
        <f t="shared" si="0"/>
        <v>3</v>
      </c>
      <c r="C16" s="6" t="str">
        <f>VLOOKUP($B16,Chronologie[],7,TRUE)</f>
        <v>SG Grün-Weiß Mehltheuer II</v>
      </c>
      <c r="D16" s="6" t="str">
        <f>VLOOKUP($B16,Chronologie[],8,TRUE)</f>
        <v>Hirschfeld</v>
      </c>
      <c r="E16" s="240" t="str">
        <f>VLOOKUP($B16,Chronologie[],9,TRUE)</f>
        <v>H</v>
      </c>
      <c r="F16" s="6" t="str">
        <f>VLOOKUP($B16,Chronologie[],COLUMN(F17)-2,TRUE)</f>
        <v>E</v>
      </c>
      <c r="G16" s="6" t="str">
        <f>VLOOKUP($B16,Chronologie[],COLUMN(G17)-2,TRUE)</f>
        <v>L</v>
      </c>
      <c r="H16" s="6">
        <f>VLOOKUP($B16,Chronologie[],COLUMN(H17)-2,TRUE)</f>
        <v>3</v>
      </c>
      <c r="I16" s="10" t="str">
        <f>VLOOKUP($B16,Chronologie[],2,TRUE)</f>
        <v>E-L-3</v>
      </c>
      <c r="J16" s="243">
        <f>VLOOKUP($B16,Chronologie[],3,TRUE)</f>
        <v>45927</v>
      </c>
      <c r="K16" s="237" t="s">
        <v>489</v>
      </c>
      <c r="L16" s="237">
        <v>83</v>
      </c>
      <c r="M16" s="237">
        <v>81</v>
      </c>
      <c r="N16" s="237">
        <v>89</v>
      </c>
      <c r="O16" s="237">
        <v>79</v>
      </c>
      <c r="P16" s="237">
        <v>45</v>
      </c>
      <c r="Q16" s="237">
        <v>45</v>
      </c>
      <c r="R16" s="237">
        <v>35</v>
      </c>
      <c r="S16" s="237">
        <v>36</v>
      </c>
      <c r="T16" s="237">
        <v>2</v>
      </c>
      <c r="U16" s="237">
        <v>2</v>
      </c>
      <c r="V16" s="237">
        <v>1</v>
      </c>
      <c r="W16" s="237">
        <v>2</v>
      </c>
      <c r="X16" s="38">
        <v>0</v>
      </c>
      <c r="Y16" s="38">
        <v>0</v>
      </c>
      <c r="Z16" s="38">
        <v>0</v>
      </c>
      <c r="AA16" s="38">
        <v>1</v>
      </c>
      <c r="AB16" s="91">
        <v>521</v>
      </c>
      <c r="AC16" s="94">
        <f>IF(Eingabe[[#This Row],[V1]]="",IF(Eingabe[[#This Row],[Volle alternativ]]="","",Eingabe[[#This Row],[Volle alternativ]]),SUM(Eingabe[[#This Row],[V1]:[V4]]))</f>
        <v>332</v>
      </c>
      <c r="AD16" s="6">
        <f>IF(Eingabe[[#This Row],[R1]]="",IF(Eingabe[[#This Row],[Räumer alternativ]]="","",Eingabe[[#This Row],[Räumer alternativ]]),SUM(Eingabe[[#This Row],[R1]:[R4]]))</f>
        <v>161</v>
      </c>
      <c r="AE16" s="6">
        <f>IF(Eingabe[[#This Row],[F1]]="",IF(Eingabe[[#This Row],[Fehler alternativ]]="","",Eingabe[[#This Row],[Fehler alternativ]]),SUM(Eingabe[[#This Row],[F1]:[F4]]))</f>
        <v>7</v>
      </c>
      <c r="AF16" s="6">
        <f>IF(Eingabe[[#This Row],[Volle]]="","",IF(Eingabe[[#This Row],[S1]]="",Eingabe[[#This Row],[Volle]]+Eingabe[[#This Row],[Räumer]],IF(Eingabe[[#This Row],[Volle]]+Eingabe[[#This Row],[Räumer]]=Eingabe[[#This Row],[S1]]+Eingabe[[#This Row],[S2]]+Eingabe[[#This Row],[S3]]+Eingabe[[#This Row],[S4]],Eingabe[[#This Row],[Volle]]+Eingabe[[#This Row],[Räumer]],"FEHLER")))</f>
        <v>493</v>
      </c>
      <c r="AG16" s="6">
        <f>IF(Eingabe[[#This Row],[V1]]="","",Eingabe[[#This Row],[V1]]+Eingabe[[#This Row],[R1]])</f>
        <v>128</v>
      </c>
      <c r="AH16" s="6">
        <f>IF(Eingabe[[#This Row],[V2]]="","",Eingabe[[#This Row],[V2]]+Eingabe[[#This Row],[R2]])</f>
        <v>126</v>
      </c>
      <c r="AI16" s="6">
        <f>IF(Eingabe[[#This Row],[V3]]="","",Eingabe[[#This Row],[V3]]+Eingabe[[#This Row],[R3]])</f>
        <v>124</v>
      </c>
      <c r="AJ16" s="6">
        <f>IF(Eingabe[[#This Row],[V4]]="","",Eingabe[[#This Row],[V4]]+Eingabe[[#This Row],[R4]])</f>
        <v>115</v>
      </c>
      <c r="AK16" s="6">
        <f>IF(Eingabe[[#This Row],[S1P]]="","",Eingabe[[#This Row],[S1P]]+Eingabe[[#This Row],[S2P]]+Eingabe[[#This Row],[S3P]]+Eingabe[[#This Row],[S4P]])</f>
        <v>1</v>
      </c>
      <c r="AL16" s="6">
        <f>IF(Eingabe[[#This Row],[S1P]]="","",IF(Eingabe[[#This Row],[SP]]&gt;2,1,IF(Eingabe[[#This Row],[SP]]&lt;2,0,IF(Eingabe[[#This Row],[GES]]&gt;Eingabe[[#This Row],[GEGGES]],1,IF(Eingabe[[#This Row],[GES]]=Eingabe[[#This Row],[GEGGES]],0.5,0)))))</f>
        <v>0</v>
      </c>
      <c r="AM16" s="6">
        <f>IF(Eingabe[[#This Row],[MP]]="","",MOD(ROW(Eingabe[[#This Row],[Position]])-3,6)+1)</f>
        <v>2</v>
      </c>
      <c r="AN16" s="6">
        <f>STANDARDIZE(Eingabe[[#This Row],[GES]],Eingabe[[#This Row],[Schnitt]],VLOOKUP(Eingabe[[#This Row],[Name]],AuswertungG[],21,FALSE))</f>
        <v>-1.375</v>
      </c>
      <c r="AO16" s="6">
        <f>VLOOKUP(Eingabe[[#This Row],[ID]],Chronologie[[ID]:[KW]],12,FALSE)</f>
        <v>5</v>
      </c>
      <c r="AP16" s="95" t="str">
        <f>IF(Eingabe[[#This Row],[Wo]]="H",Eingabe[[#This Row],[Gegner]]&amp;" ["&amp;Eingabe[[#This Row],[Wo]]&amp;"]",Eingabe[[#This Row],[Ort]])</f>
        <v>SG Grün-Weiß Mehltheuer II [H]</v>
      </c>
      <c r="AQ16" s="6">
        <f>IFERROR(IF(Eingabe[[#This Row],[Wo]]="H",IF(MOD(Eingabe[[#This Row],[Position]],2)=1,Eingabe[[#This Row],[S1]],Eingabe[[#This Row],[S4]]),""),"")</f>
        <v>115</v>
      </c>
      <c r="AR16" s="6">
        <f>IFERROR(IF(Eingabe[[#This Row],[Wo]]="H",IF(Eingabe[[#This Row],[S1]]&gt;0,IF(MOD(Eingabe[[#This Row],[Position]],2)=1,Eingabe[[#This Row],[S2]],Eingabe[[#This Row],[S3]]),""),""),"")</f>
        <v>124</v>
      </c>
      <c r="AS16" s="6">
        <f>IFERROR(IF(Eingabe[[#This Row],[Wo]]="H",IF(Eingabe[[#This Row],[S1]]&gt;0,IF(MOD(ROW(Eingabe[[#This Row],[Heimbahn 3]]),2)=1,Eingabe[[#This Row],[S4]],Eingabe[[#This Row],[S1]]),""),""),"")</f>
        <v>128</v>
      </c>
      <c r="AT16" s="6">
        <f>IFERROR(IF(Eingabe[[#This Row],[Wo]]="H",IF(Eingabe[[#This Row],[S1]]&gt;0,IF(MOD(ROW(Eingabe[[#This Row],[Heimbahn 4]]),2)=1,Eingabe[[#This Row],[S3]],Eingabe[[#This Row],[S2]]),""),""),"")</f>
        <v>126</v>
      </c>
      <c r="AU16" s="22">
        <f>IF(Eingabe[[#This Row],[GES]]="","",IF(Eingabe[[#This Row],[Modus]]="L",_xlfn.RANK.EQ(Eingabe[[#This Row],[GES]],AF15:AF20),IF(Eingabe[[#This Row],[Modus]]="P",_xlfn.RANK.EQ(Eingabe[[#This Row],[GES]],AF15:AF20),"")))</f>
        <v>6</v>
      </c>
      <c r="AV16" s="6">
        <f>VLOOKUP(Eingabe[[#This Row],[Name]],AuswertungG[],8,FALSE)</f>
        <v>526</v>
      </c>
      <c r="AZ16" s="6">
        <f>IFERROR(ABS(Eingabe[[#This Row],[GES]]-Eingabe[[#This Row],[GEGGES]]),"")</f>
        <v>28</v>
      </c>
    </row>
    <row r="17" spans="1:52" ht="16.2" hidden="1" thickBot="1" x14ac:dyDescent="0.35">
      <c r="A17" s="441"/>
      <c r="B17" s="21">
        <f t="shared" si="0"/>
        <v>3</v>
      </c>
      <c r="C17" s="6" t="str">
        <f>VLOOKUP($B17,Chronologie[],7,TRUE)</f>
        <v>SG Grün-Weiß Mehltheuer II</v>
      </c>
      <c r="D17" s="6" t="str">
        <f>VLOOKUP($B17,Chronologie[],8,TRUE)</f>
        <v>Hirschfeld</v>
      </c>
      <c r="E17" s="240" t="str">
        <f>VLOOKUP($B17,Chronologie[],9,TRUE)</f>
        <v>H</v>
      </c>
      <c r="F17" s="6" t="str">
        <f>VLOOKUP($B17,Chronologie[],COLUMN(F18)-2,TRUE)</f>
        <v>E</v>
      </c>
      <c r="G17" s="6" t="str">
        <f>VLOOKUP($B17,Chronologie[],COLUMN(G18)-2,TRUE)</f>
        <v>L</v>
      </c>
      <c r="H17" s="6">
        <f>VLOOKUP($B17,Chronologie[],COLUMN(H18)-2,TRUE)</f>
        <v>3</v>
      </c>
      <c r="I17" s="10" t="str">
        <f>VLOOKUP($B17,Chronologie[],2,TRUE)</f>
        <v>E-L-3</v>
      </c>
      <c r="J17" s="243">
        <f>VLOOKUP($B17,Chronologie[],3,TRUE)</f>
        <v>45927</v>
      </c>
      <c r="K17" s="237" t="s">
        <v>469</v>
      </c>
      <c r="L17" s="237">
        <v>91</v>
      </c>
      <c r="M17" s="237">
        <v>93</v>
      </c>
      <c r="N17" s="237">
        <v>103</v>
      </c>
      <c r="O17" s="237">
        <v>100</v>
      </c>
      <c r="P17" s="237">
        <v>54</v>
      </c>
      <c r="Q17" s="237">
        <v>44</v>
      </c>
      <c r="R17" s="237">
        <v>45</v>
      </c>
      <c r="S17" s="237">
        <v>44</v>
      </c>
      <c r="T17" s="237">
        <v>1</v>
      </c>
      <c r="U17" s="237">
        <v>0</v>
      </c>
      <c r="V17" s="237">
        <v>4</v>
      </c>
      <c r="W17" s="237">
        <v>1</v>
      </c>
      <c r="X17" s="38">
        <v>1</v>
      </c>
      <c r="Y17" s="38">
        <v>0</v>
      </c>
      <c r="Z17" s="38">
        <v>1</v>
      </c>
      <c r="AA17" s="38">
        <v>1</v>
      </c>
      <c r="AB17" s="91">
        <v>531</v>
      </c>
      <c r="AC17" s="94">
        <f>IF(Eingabe[[#This Row],[V1]]="",IF(Eingabe[[#This Row],[Volle alternativ]]="","",Eingabe[[#This Row],[Volle alternativ]]),SUM(Eingabe[[#This Row],[V1]:[V4]]))</f>
        <v>387</v>
      </c>
      <c r="AD17" s="6">
        <f>IF(Eingabe[[#This Row],[R1]]="",IF(Eingabe[[#This Row],[Räumer alternativ]]="","",Eingabe[[#This Row],[Räumer alternativ]]),SUM(Eingabe[[#This Row],[R1]:[R4]]))</f>
        <v>187</v>
      </c>
      <c r="AE17" s="6">
        <f>IF(Eingabe[[#This Row],[F1]]="",IF(Eingabe[[#This Row],[Fehler alternativ]]="","",Eingabe[[#This Row],[Fehler alternativ]]),SUM(Eingabe[[#This Row],[F1]:[F4]]))</f>
        <v>6</v>
      </c>
      <c r="AF17" s="6">
        <f>IF(Eingabe[[#This Row],[Volle]]="","",IF(Eingabe[[#This Row],[S1]]="",Eingabe[[#This Row],[Volle]]+Eingabe[[#This Row],[Räumer]],IF(Eingabe[[#This Row],[Volle]]+Eingabe[[#This Row],[Räumer]]=Eingabe[[#This Row],[S1]]+Eingabe[[#This Row],[S2]]+Eingabe[[#This Row],[S3]]+Eingabe[[#This Row],[S4]],Eingabe[[#This Row],[Volle]]+Eingabe[[#This Row],[Räumer]],"FEHLER")))</f>
        <v>574</v>
      </c>
      <c r="AG17" s="6">
        <f>IF(Eingabe[[#This Row],[V1]]="","",Eingabe[[#This Row],[V1]]+Eingabe[[#This Row],[R1]])</f>
        <v>145</v>
      </c>
      <c r="AH17" s="6">
        <f>IF(Eingabe[[#This Row],[V2]]="","",Eingabe[[#This Row],[V2]]+Eingabe[[#This Row],[R2]])</f>
        <v>137</v>
      </c>
      <c r="AI17" s="6">
        <f>IF(Eingabe[[#This Row],[V3]]="","",Eingabe[[#This Row],[V3]]+Eingabe[[#This Row],[R3]])</f>
        <v>148</v>
      </c>
      <c r="AJ17" s="6">
        <f>IF(Eingabe[[#This Row],[V4]]="","",Eingabe[[#This Row],[V4]]+Eingabe[[#This Row],[R4]])</f>
        <v>144</v>
      </c>
      <c r="AK17" s="6">
        <f>IF(Eingabe[[#This Row],[S1P]]="","",Eingabe[[#This Row],[S1P]]+Eingabe[[#This Row],[S2P]]+Eingabe[[#This Row],[S3P]]+Eingabe[[#This Row],[S4P]])</f>
        <v>3</v>
      </c>
      <c r="AL17" s="6">
        <f>IF(Eingabe[[#This Row],[S1P]]="","",IF(Eingabe[[#This Row],[SP]]&gt;2,1,IF(Eingabe[[#This Row],[SP]]&lt;2,0,IF(Eingabe[[#This Row],[GES]]&gt;Eingabe[[#This Row],[GEGGES]],1,IF(Eingabe[[#This Row],[GES]]=Eingabe[[#This Row],[GEGGES]],0.5,0)))))</f>
        <v>1</v>
      </c>
      <c r="AM17" s="6">
        <f>IF(Eingabe[[#This Row],[MP]]="","",MOD(ROW(Eingabe[[#This Row],[Position]])-3,6)+1)</f>
        <v>3</v>
      </c>
      <c r="AN17" s="6">
        <f>STANDARDIZE(Eingabe[[#This Row],[GES]],Eingabe[[#This Row],[Schnitt]],VLOOKUP(Eingabe[[#This Row],[Name]],AuswertungG[],21,FALSE))</f>
        <v>2.0909090909090908</v>
      </c>
      <c r="AO17" s="6">
        <f>VLOOKUP(Eingabe[[#This Row],[ID]],Chronologie[[ID]:[KW]],12,FALSE)</f>
        <v>5</v>
      </c>
      <c r="AP17" s="95" t="str">
        <f>IF(Eingabe[[#This Row],[Wo]]="H",Eingabe[[#This Row],[Gegner]]&amp;" ["&amp;Eingabe[[#This Row],[Wo]]&amp;"]",Eingabe[[#This Row],[Ort]])</f>
        <v>SG Grün-Weiß Mehltheuer II [H]</v>
      </c>
      <c r="AQ17" s="6">
        <f>IFERROR(IF(Eingabe[[#This Row],[Wo]]="H",IF(MOD(Eingabe[[#This Row],[Position]],2)=1,Eingabe[[#This Row],[S1]],Eingabe[[#This Row],[S4]]),""),"")</f>
        <v>145</v>
      </c>
      <c r="AR17" s="6">
        <f>IFERROR(IF(Eingabe[[#This Row],[Wo]]="H",IF(Eingabe[[#This Row],[S1]]&gt;0,IF(MOD(Eingabe[[#This Row],[Position]],2)=1,Eingabe[[#This Row],[S2]],Eingabe[[#This Row],[S3]]),""),""),"")</f>
        <v>137</v>
      </c>
      <c r="AS17" s="6">
        <f>IFERROR(IF(Eingabe[[#This Row],[Wo]]="H",IF(Eingabe[[#This Row],[S1]]&gt;0,IF(MOD(ROW(Eingabe[[#This Row],[Heimbahn 3]]),2)=1,Eingabe[[#This Row],[S4]],Eingabe[[#This Row],[S1]]),""),""),"")</f>
        <v>144</v>
      </c>
      <c r="AT17" s="6">
        <f>IFERROR(IF(Eingabe[[#This Row],[Wo]]="H",IF(Eingabe[[#This Row],[S1]]&gt;0,IF(MOD(ROW(Eingabe[[#This Row],[Heimbahn 4]]),2)=1,Eingabe[[#This Row],[S3]],Eingabe[[#This Row],[S2]]),""),""),"")</f>
        <v>148</v>
      </c>
      <c r="AU17" s="22">
        <f>IF(Eingabe[[#This Row],[GES]]="","",IF(Eingabe[[#This Row],[Modus]]="L",_xlfn.RANK.EQ(Eingabe[[#This Row],[GES]],AF15:AF20),IF(Eingabe[[#This Row],[Modus]]="P",_xlfn.RANK.EQ(Eingabe[[#This Row],[GES]],AF15:AF20),"")))</f>
        <v>3</v>
      </c>
      <c r="AV17" s="6">
        <f>VLOOKUP(Eingabe[[#This Row],[Name]],AuswertungG[],8,FALSE)</f>
        <v>528</v>
      </c>
      <c r="AZ17" s="6">
        <f>IFERROR(ABS(Eingabe[[#This Row],[GES]]-Eingabe[[#This Row],[GEGGES]]),"")</f>
        <v>43</v>
      </c>
    </row>
    <row r="18" spans="1:52" ht="16.2" hidden="1" thickBot="1" x14ac:dyDescent="0.35">
      <c r="A18" s="441"/>
      <c r="B18" s="21">
        <f t="shared" si="0"/>
        <v>3</v>
      </c>
      <c r="C18" s="6" t="str">
        <f>VLOOKUP($B18,Chronologie[],7,TRUE)</f>
        <v>SG Grün-Weiß Mehltheuer II</v>
      </c>
      <c r="D18" s="6" t="str">
        <f>VLOOKUP($B18,Chronologie[],8,TRUE)</f>
        <v>Hirschfeld</v>
      </c>
      <c r="E18" s="240" t="str">
        <f>VLOOKUP($B18,Chronologie[],9,TRUE)</f>
        <v>H</v>
      </c>
      <c r="F18" s="6" t="str">
        <f>VLOOKUP($B18,Chronologie[],COLUMN(F19)-2,TRUE)</f>
        <v>E</v>
      </c>
      <c r="G18" s="6" t="str">
        <f>VLOOKUP($B18,Chronologie[],COLUMN(G19)-2,TRUE)</f>
        <v>L</v>
      </c>
      <c r="H18" s="6">
        <f>VLOOKUP($B18,Chronologie[],COLUMN(H19)-2,TRUE)</f>
        <v>3</v>
      </c>
      <c r="I18" s="10" t="str">
        <f>VLOOKUP($B18,Chronologie[],2,TRUE)</f>
        <v>E-L-3</v>
      </c>
      <c r="J18" s="243">
        <f>VLOOKUP($B18,Chronologie[],3,TRUE)</f>
        <v>45927</v>
      </c>
      <c r="K18" s="238" t="s">
        <v>6</v>
      </c>
      <c r="L18" s="237">
        <v>96</v>
      </c>
      <c r="M18" s="237">
        <v>86</v>
      </c>
      <c r="N18" s="237">
        <v>97</v>
      </c>
      <c r="O18" s="237">
        <v>91</v>
      </c>
      <c r="P18" s="237">
        <v>34</v>
      </c>
      <c r="Q18" s="237">
        <v>53</v>
      </c>
      <c r="R18" s="237">
        <v>27</v>
      </c>
      <c r="S18" s="237">
        <v>70</v>
      </c>
      <c r="T18" s="237">
        <v>2</v>
      </c>
      <c r="U18" s="237">
        <v>1</v>
      </c>
      <c r="V18" s="237">
        <v>3</v>
      </c>
      <c r="W18" s="237">
        <v>0</v>
      </c>
      <c r="X18" s="38">
        <v>0</v>
      </c>
      <c r="Y18" s="38">
        <v>1</v>
      </c>
      <c r="Z18" s="38">
        <v>1</v>
      </c>
      <c r="AA18" s="38">
        <v>1</v>
      </c>
      <c r="AB18" s="91">
        <v>522</v>
      </c>
      <c r="AC18" s="94">
        <f>IF(Eingabe[[#This Row],[V1]]="",IF(Eingabe[[#This Row],[Volle alternativ]]="","",Eingabe[[#This Row],[Volle alternativ]]),SUM(Eingabe[[#This Row],[V1]:[V4]]))</f>
        <v>370</v>
      </c>
      <c r="AD18" s="6">
        <f>IF(Eingabe[[#This Row],[R1]]="",IF(Eingabe[[#This Row],[Räumer alternativ]]="","",Eingabe[[#This Row],[Räumer alternativ]]),SUM(Eingabe[[#This Row],[R1]:[R4]]))</f>
        <v>184</v>
      </c>
      <c r="AE18" s="6">
        <f>IF(Eingabe[[#This Row],[F1]]="",IF(Eingabe[[#This Row],[Fehler alternativ]]="","",Eingabe[[#This Row],[Fehler alternativ]]),SUM(Eingabe[[#This Row],[F1]:[F4]]))</f>
        <v>6</v>
      </c>
      <c r="AF18" s="6">
        <f>IF(Eingabe[[#This Row],[Volle]]="","",IF(Eingabe[[#This Row],[S1]]="",Eingabe[[#This Row],[Volle]]+Eingabe[[#This Row],[Räumer]],IF(Eingabe[[#This Row],[Volle]]+Eingabe[[#This Row],[Räumer]]=Eingabe[[#This Row],[S1]]+Eingabe[[#This Row],[S2]]+Eingabe[[#This Row],[S3]]+Eingabe[[#This Row],[S4]],Eingabe[[#This Row],[Volle]]+Eingabe[[#This Row],[Räumer]],"FEHLER")))</f>
        <v>554</v>
      </c>
      <c r="AG18" s="6">
        <f>IF(Eingabe[[#This Row],[V1]]="","",Eingabe[[#This Row],[V1]]+Eingabe[[#This Row],[R1]])</f>
        <v>130</v>
      </c>
      <c r="AH18" s="6">
        <f>IF(Eingabe[[#This Row],[V2]]="","",Eingabe[[#This Row],[V2]]+Eingabe[[#This Row],[R2]])</f>
        <v>139</v>
      </c>
      <c r="AI18" s="6">
        <f>IF(Eingabe[[#This Row],[V3]]="","",Eingabe[[#This Row],[V3]]+Eingabe[[#This Row],[R3]])</f>
        <v>124</v>
      </c>
      <c r="AJ18" s="6">
        <f>IF(Eingabe[[#This Row],[V4]]="","",Eingabe[[#This Row],[V4]]+Eingabe[[#This Row],[R4]])</f>
        <v>161</v>
      </c>
      <c r="AK18" s="6">
        <f>IF(Eingabe[[#This Row],[S1P]]="","",Eingabe[[#This Row],[S1P]]+Eingabe[[#This Row],[S2P]]+Eingabe[[#This Row],[S3P]]+Eingabe[[#This Row],[S4P]])</f>
        <v>3</v>
      </c>
      <c r="AL18" s="6">
        <f>IF(Eingabe[[#This Row],[S1P]]="","",IF(Eingabe[[#This Row],[SP]]&gt;2,1,IF(Eingabe[[#This Row],[SP]]&lt;2,0,IF(Eingabe[[#This Row],[GES]]&gt;Eingabe[[#This Row],[GEGGES]],1,IF(Eingabe[[#This Row],[GES]]=Eingabe[[#This Row],[GEGGES]],0.5,0)))))</f>
        <v>1</v>
      </c>
      <c r="AM18" s="6">
        <f>IF(Eingabe[[#This Row],[MP]]="","",MOD(ROW(Eingabe[[#This Row],[Position]])-3,6)+1)</f>
        <v>4</v>
      </c>
      <c r="AN18" s="6">
        <f>STANDARDIZE(Eingabe[[#This Row],[GES]],Eingabe[[#This Row],[Schnitt]],VLOOKUP(Eingabe[[#This Row],[Name]],AuswertungG[],21,FALSE))</f>
        <v>1.3888888888888888</v>
      </c>
      <c r="AO18" s="6">
        <f>VLOOKUP(Eingabe[[#This Row],[ID]],Chronologie[[ID]:[KW]],12,FALSE)</f>
        <v>5</v>
      </c>
      <c r="AP18" s="95" t="str">
        <f>IF(Eingabe[[#This Row],[Wo]]="H",Eingabe[[#This Row],[Gegner]]&amp;" ["&amp;Eingabe[[#This Row],[Wo]]&amp;"]",Eingabe[[#This Row],[Ort]])</f>
        <v>SG Grün-Weiß Mehltheuer II [H]</v>
      </c>
      <c r="AQ18" s="6">
        <f>IFERROR(IF(Eingabe[[#This Row],[Wo]]="H",IF(MOD(Eingabe[[#This Row],[Position]],2)=1,Eingabe[[#This Row],[S1]],Eingabe[[#This Row],[S4]]),""),"")</f>
        <v>161</v>
      </c>
      <c r="AR18" s="6">
        <f>IFERROR(IF(Eingabe[[#This Row],[Wo]]="H",IF(Eingabe[[#This Row],[S1]]&gt;0,IF(MOD(Eingabe[[#This Row],[Position]],2)=1,Eingabe[[#This Row],[S2]],Eingabe[[#This Row],[S3]]),""),""),"")</f>
        <v>124</v>
      </c>
      <c r="AS18" s="6">
        <f>IFERROR(IF(Eingabe[[#This Row],[Wo]]="H",IF(Eingabe[[#This Row],[S1]]&gt;0,IF(MOD(ROW(Eingabe[[#This Row],[Heimbahn 3]]),2)=1,Eingabe[[#This Row],[S4]],Eingabe[[#This Row],[S1]]),""),""),"")</f>
        <v>130</v>
      </c>
      <c r="AT18" s="6">
        <f>IFERROR(IF(Eingabe[[#This Row],[Wo]]="H",IF(Eingabe[[#This Row],[S1]]&gt;0,IF(MOD(ROW(Eingabe[[#This Row],[Heimbahn 4]]),2)=1,Eingabe[[#This Row],[S3]],Eingabe[[#This Row],[S2]]),""),""),"")</f>
        <v>139</v>
      </c>
      <c r="AU18" s="22">
        <f>IF(Eingabe[[#This Row],[GES]]="","",IF(Eingabe[[#This Row],[Modus]]="L",_xlfn.RANK.EQ(Eingabe[[#This Row],[GES]],AF15:AF20),IF(Eingabe[[#This Row],[Modus]]="P",_xlfn.RANK.EQ(Eingabe[[#This Row],[GES]],AF15:AF20),"")))</f>
        <v>4</v>
      </c>
      <c r="AV18" s="6">
        <f>VLOOKUP(Eingabe[[#This Row],[Name]],AuswertungG[],8,FALSE)</f>
        <v>529</v>
      </c>
      <c r="AZ18" s="6">
        <f>IFERROR(ABS(Eingabe[[#This Row],[GES]]-Eingabe[[#This Row],[GEGGES]]),"")</f>
        <v>32</v>
      </c>
    </row>
    <row r="19" spans="1:52" ht="16.2" hidden="1" thickBot="1" x14ac:dyDescent="0.35">
      <c r="A19" s="441"/>
      <c r="B19" s="21">
        <f t="shared" si="0"/>
        <v>3</v>
      </c>
      <c r="C19" s="6" t="str">
        <f>VLOOKUP($B19,Chronologie[],7,TRUE)</f>
        <v>SG Grün-Weiß Mehltheuer II</v>
      </c>
      <c r="D19" s="6" t="str">
        <f>VLOOKUP($B19,Chronologie[],8,TRUE)</f>
        <v>Hirschfeld</v>
      </c>
      <c r="E19" s="240" t="str">
        <f>VLOOKUP($B19,Chronologie[],9,TRUE)</f>
        <v>H</v>
      </c>
      <c r="F19" s="6" t="str">
        <f>VLOOKUP($B19,Chronologie[],COLUMN(F20)-2,TRUE)</f>
        <v>E</v>
      </c>
      <c r="G19" s="6" t="str">
        <f>VLOOKUP($B19,Chronologie[],COLUMN(G20)-2,TRUE)</f>
        <v>L</v>
      </c>
      <c r="H19" s="6">
        <f>VLOOKUP($B19,Chronologie[],COLUMN(H20)-2,TRUE)</f>
        <v>3</v>
      </c>
      <c r="I19" s="10" t="str">
        <f>VLOOKUP($B19,Chronologie[],2,TRUE)</f>
        <v>E-L-3</v>
      </c>
      <c r="J19" s="243">
        <f>VLOOKUP($B19,Chronologie[],3,TRUE)</f>
        <v>45927</v>
      </c>
      <c r="K19" s="237" t="s">
        <v>455</v>
      </c>
      <c r="L19" s="237">
        <v>101</v>
      </c>
      <c r="M19" s="237">
        <v>99</v>
      </c>
      <c r="N19" s="237">
        <v>95</v>
      </c>
      <c r="O19" s="237">
        <v>84</v>
      </c>
      <c r="P19" s="237">
        <v>45</v>
      </c>
      <c r="Q19" s="237">
        <v>54</v>
      </c>
      <c r="R19" s="237">
        <v>60</v>
      </c>
      <c r="S19" s="237">
        <v>61</v>
      </c>
      <c r="T19" s="237">
        <v>0</v>
      </c>
      <c r="U19" s="237">
        <v>1</v>
      </c>
      <c r="V19" s="237">
        <v>0</v>
      </c>
      <c r="W19" s="237">
        <v>0</v>
      </c>
      <c r="X19" s="38">
        <v>1</v>
      </c>
      <c r="Y19" s="38">
        <v>1</v>
      </c>
      <c r="Z19" s="38">
        <v>1</v>
      </c>
      <c r="AA19" s="38">
        <v>0</v>
      </c>
      <c r="AB19" s="91">
        <v>539</v>
      </c>
      <c r="AC19" s="94">
        <f>IF(Eingabe[[#This Row],[V1]]="",IF(Eingabe[[#This Row],[Volle alternativ]]="","",Eingabe[[#This Row],[Volle alternativ]]),SUM(Eingabe[[#This Row],[V1]:[V4]]))</f>
        <v>379</v>
      </c>
      <c r="AD19" s="6">
        <f>IF(Eingabe[[#This Row],[R1]]="",IF(Eingabe[[#This Row],[Räumer alternativ]]="","",Eingabe[[#This Row],[Räumer alternativ]]),SUM(Eingabe[[#This Row],[R1]:[R4]]))</f>
        <v>220</v>
      </c>
      <c r="AE19" s="6">
        <f>IF(Eingabe[[#This Row],[F1]]="",IF(Eingabe[[#This Row],[Fehler alternativ]]="","",Eingabe[[#This Row],[Fehler alternativ]]),SUM(Eingabe[[#This Row],[F1]:[F4]]))</f>
        <v>1</v>
      </c>
      <c r="AF19" s="6">
        <f>IF(Eingabe[[#This Row],[Volle]]="","",IF(Eingabe[[#This Row],[S1]]="",Eingabe[[#This Row],[Volle]]+Eingabe[[#This Row],[Räumer]],IF(Eingabe[[#This Row],[Volle]]+Eingabe[[#This Row],[Räumer]]=Eingabe[[#This Row],[S1]]+Eingabe[[#This Row],[S2]]+Eingabe[[#This Row],[S3]]+Eingabe[[#This Row],[S4]],Eingabe[[#This Row],[Volle]]+Eingabe[[#This Row],[Räumer]],"FEHLER")))</f>
        <v>599</v>
      </c>
      <c r="AG19" s="6">
        <f>IF(Eingabe[[#This Row],[V1]]="","",Eingabe[[#This Row],[V1]]+Eingabe[[#This Row],[R1]])</f>
        <v>146</v>
      </c>
      <c r="AH19" s="6">
        <f>IF(Eingabe[[#This Row],[V2]]="","",Eingabe[[#This Row],[V2]]+Eingabe[[#This Row],[R2]])</f>
        <v>153</v>
      </c>
      <c r="AI19" s="6">
        <f>IF(Eingabe[[#This Row],[V3]]="","",Eingabe[[#This Row],[V3]]+Eingabe[[#This Row],[R3]])</f>
        <v>155</v>
      </c>
      <c r="AJ19" s="6">
        <f>IF(Eingabe[[#This Row],[V4]]="","",Eingabe[[#This Row],[V4]]+Eingabe[[#This Row],[R4]])</f>
        <v>145</v>
      </c>
      <c r="AK19" s="6">
        <f>IF(Eingabe[[#This Row],[S1P]]="","",Eingabe[[#This Row],[S1P]]+Eingabe[[#This Row],[S2P]]+Eingabe[[#This Row],[S3P]]+Eingabe[[#This Row],[S4P]])</f>
        <v>3</v>
      </c>
      <c r="AL19" s="6">
        <f>IF(Eingabe[[#This Row],[S1P]]="","",IF(Eingabe[[#This Row],[SP]]&gt;2,1,IF(Eingabe[[#This Row],[SP]]&lt;2,0,IF(Eingabe[[#This Row],[GES]]&gt;Eingabe[[#This Row],[GEGGES]],1,IF(Eingabe[[#This Row],[GES]]=Eingabe[[#This Row],[GEGGES]],0.5,0)))))</f>
        <v>1</v>
      </c>
      <c r="AM19" s="6">
        <f>IF(Eingabe[[#This Row],[MP]]="","",MOD(ROW(Eingabe[[#This Row],[Position]])-3,6)+1)</f>
        <v>5</v>
      </c>
      <c r="AN19" s="6">
        <f>STANDARDIZE(Eingabe[[#This Row],[GES]],Eingabe[[#This Row],[Schnitt]],VLOOKUP(Eingabe[[#This Row],[Name]],AuswertungG[],21,FALSE))</f>
        <v>0.79487179487179482</v>
      </c>
      <c r="AO19" s="6">
        <f>VLOOKUP(Eingabe[[#This Row],[ID]],Chronologie[[ID]:[KW]],12,FALSE)</f>
        <v>5</v>
      </c>
      <c r="AP19" s="95" t="str">
        <f>IF(Eingabe[[#This Row],[Wo]]="H",Eingabe[[#This Row],[Gegner]]&amp;" ["&amp;Eingabe[[#This Row],[Wo]]&amp;"]",Eingabe[[#This Row],[Ort]])</f>
        <v>SG Grün-Weiß Mehltheuer II [H]</v>
      </c>
      <c r="AQ19" s="6">
        <f>IFERROR(IF(Eingabe[[#This Row],[Wo]]="H",IF(MOD(Eingabe[[#This Row],[Position]],2)=1,Eingabe[[#This Row],[S1]],Eingabe[[#This Row],[S4]]),""),"")</f>
        <v>146</v>
      </c>
      <c r="AR19" s="6">
        <f>IFERROR(IF(Eingabe[[#This Row],[Wo]]="H",IF(Eingabe[[#This Row],[S1]]&gt;0,IF(MOD(Eingabe[[#This Row],[Position]],2)=1,Eingabe[[#This Row],[S2]],Eingabe[[#This Row],[S3]]),""),""),"")</f>
        <v>153</v>
      </c>
      <c r="AS19" s="6">
        <f>IFERROR(IF(Eingabe[[#This Row],[Wo]]="H",IF(Eingabe[[#This Row],[S1]]&gt;0,IF(MOD(ROW(Eingabe[[#This Row],[Heimbahn 3]]),2)=1,Eingabe[[#This Row],[S4]],Eingabe[[#This Row],[S1]]),""),""),"")</f>
        <v>145</v>
      </c>
      <c r="AT19" s="6">
        <f>IFERROR(IF(Eingabe[[#This Row],[Wo]]="H",IF(Eingabe[[#This Row],[S1]]&gt;0,IF(MOD(ROW(Eingabe[[#This Row],[Heimbahn 4]]),2)=1,Eingabe[[#This Row],[S3]],Eingabe[[#This Row],[S2]]),""),""),"")</f>
        <v>155</v>
      </c>
      <c r="AU19" s="22">
        <f>IF(Eingabe[[#This Row],[GES]]="","",IF(Eingabe[[#This Row],[Modus]]="L",_xlfn.RANK.EQ(Eingabe[[#This Row],[GES]],AF15:AF20),IF(Eingabe[[#This Row],[Modus]]="P",_xlfn.RANK.EQ(Eingabe[[#This Row],[GES]],AF15:AF20),"")))</f>
        <v>1</v>
      </c>
      <c r="AV19" s="6">
        <f>VLOOKUP(Eingabe[[#This Row],[Name]],AuswertungG[],8,FALSE)</f>
        <v>568</v>
      </c>
      <c r="AZ19" s="6">
        <f>IFERROR(ABS(Eingabe[[#This Row],[GES]]-Eingabe[[#This Row],[GEGGES]]),"")</f>
        <v>60</v>
      </c>
    </row>
    <row r="20" spans="1:52" ht="16.2" hidden="1" thickBot="1" x14ac:dyDescent="0.35">
      <c r="A20" s="442"/>
      <c r="B20" s="56">
        <f t="shared" si="0"/>
        <v>3</v>
      </c>
      <c r="C20" s="23" t="str">
        <f>VLOOKUP($B20,Chronologie[],7,TRUE)</f>
        <v>SG Grün-Weiß Mehltheuer II</v>
      </c>
      <c r="D20" s="23" t="str">
        <f>VLOOKUP($B20,Chronologie[],8,TRUE)</f>
        <v>Hirschfeld</v>
      </c>
      <c r="E20" s="39" t="str">
        <f>VLOOKUP($B20,Chronologie[],9,TRUE)</f>
        <v>H</v>
      </c>
      <c r="F20" s="23" t="str">
        <f>VLOOKUP($B20,Chronologie[],COLUMN(F21)-2,TRUE)</f>
        <v>E</v>
      </c>
      <c r="G20" s="23" t="str">
        <f>VLOOKUP($B20,Chronologie[],COLUMN(G21)-2,TRUE)</f>
        <v>L</v>
      </c>
      <c r="H20" s="23">
        <f>VLOOKUP($B20,Chronologie[],COLUMN(H21)-2,TRUE)</f>
        <v>3</v>
      </c>
      <c r="I20" s="13" t="str">
        <f>VLOOKUP($B20,Chronologie[],2,TRUE)</f>
        <v>E-L-3</v>
      </c>
      <c r="J20" s="244">
        <f>VLOOKUP($B20,Chronologie[],3,TRUE)</f>
        <v>45927</v>
      </c>
      <c r="K20" s="239" t="s">
        <v>659</v>
      </c>
      <c r="L20" s="239">
        <v>88</v>
      </c>
      <c r="M20" s="239">
        <v>87</v>
      </c>
      <c r="N20" s="239">
        <v>87</v>
      </c>
      <c r="O20" s="239">
        <v>87</v>
      </c>
      <c r="P20" s="239">
        <v>41</v>
      </c>
      <c r="Q20" s="239">
        <v>45</v>
      </c>
      <c r="R20" s="239">
        <v>43</v>
      </c>
      <c r="S20" s="239">
        <v>25</v>
      </c>
      <c r="T20" s="239">
        <v>1</v>
      </c>
      <c r="U20" s="239">
        <v>0</v>
      </c>
      <c r="V20" s="239">
        <v>0</v>
      </c>
      <c r="W20" s="239">
        <v>3</v>
      </c>
      <c r="X20" s="40">
        <v>1</v>
      </c>
      <c r="Y20" s="40">
        <v>0</v>
      </c>
      <c r="Z20" s="40">
        <v>0</v>
      </c>
      <c r="AA20" s="40">
        <v>0</v>
      </c>
      <c r="AB20" s="92">
        <v>549</v>
      </c>
      <c r="AC20" s="96">
        <f>IF(Eingabe[[#This Row],[V1]]="",IF(Eingabe[[#This Row],[Volle alternativ]]="","",Eingabe[[#This Row],[Volle alternativ]]),SUM(Eingabe[[#This Row],[V1]:[V4]]))</f>
        <v>349</v>
      </c>
      <c r="AD20" s="23">
        <f>IF(Eingabe[[#This Row],[R1]]="",IF(Eingabe[[#This Row],[Räumer alternativ]]="","",Eingabe[[#This Row],[Räumer alternativ]]),SUM(Eingabe[[#This Row],[R1]:[R4]]))</f>
        <v>154</v>
      </c>
      <c r="AE20" s="23">
        <f>IF(Eingabe[[#This Row],[F1]]="",IF(Eingabe[[#This Row],[Fehler alternativ]]="","",Eingabe[[#This Row],[Fehler alternativ]]),SUM(Eingabe[[#This Row],[F1]:[F4]]))</f>
        <v>4</v>
      </c>
      <c r="AF20" s="23">
        <f>IF(Eingabe[[#This Row],[Volle]]="","",IF(Eingabe[[#This Row],[S1]]="",Eingabe[[#This Row],[Volle]]+Eingabe[[#This Row],[Räumer]],IF(Eingabe[[#This Row],[Volle]]+Eingabe[[#This Row],[Räumer]]=Eingabe[[#This Row],[S1]]+Eingabe[[#This Row],[S2]]+Eingabe[[#This Row],[S3]]+Eingabe[[#This Row],[S4]],Eingabe[[#This Row],[Volle]]+Eingabe[[#This Row],[Räumer]],"FEHLER")))</f>
        <v>503</v>
      </c>
      <c r="AG20" s="23">
        <f>IF(Eingabe[[#This Row],[V1]]="","",Eingabe[[#This Row],[V1]]+Eingabe[[#This Row],[R1]])</f>
        <v>129</v>
      </c>
      <c r="AH20" s="23">
        <f>IF(Eingabe[[#This Row],[V2]]="","",Eingabe[[#This Row],[V2]]+Eingabe[[#This Row],[R2]])</f>
        <v>132</v>
      </c>
      <c r="AI20" s="23">
        <f>IF(Eingabe[[#This Row],[V3]]="","",Eingabe[[#This Row],[V3]]+Eingabe[[#This Row],[R3]])</f>
        <v>130</v>
      </c>
      <c r="AJ20" s="23">
        <f>IF(Eingabe[[#This Row],[V4]]="","",Eingabe[[#This Row],[V4]]+Eingabe[[#This Row],[R4]])</f>
        <v>112</v>
      </c>
      <c r="AK20" s="23">
        <f>IF(Eingabe[[#This Row],[S1P]]="","",Eingabe[[#This Row],[S1P]]+Eingabe[[#This Row],[S2P]]+Eingabe[[#This Row],[S3P]]+Eingabe[[#This Row],[S4P]])</f>
        <v>1</v>
      </c>
      <c r="AL20" s="23">
        <f>IF(Eingabe[[#This Row],[S1P]]="","",IF(Eingabe[[#This Row],[SP]]&gt;2,1,IF(Eingabe[[#This Row],[SP]]&lt;2,0,IF(Eingabe[[#This Row],[GES]]&gt;Eingabe[[#This Row],[GEGGES]],1,IF(Eingabe[[#This Row],[GES]]=Eingabe[[#This Row],[GEGGES]],0.5,0)))))</f>
        <v>0</v>
      </c>
      <c r="AM20" s="23">
        <f>IF(Eingabe[[#This Row],[MP]]="","",MOD(ROW(Eingabe[[#This Row],[Position]])-3,6)+1)</f>
        <v>6</v>
      </c>
      <c r="AN20" s="23">
        <f>STANDARDIZE(Eingabe[[#This Row],[GES]],Eingabe[[#This Row],[Schnitt]],VLOOKUP(Eingabe[[#This Row],[Name]],AuswertungG[],21,FALSE))</f>
        <v>-1.2083333333333333</v>
      </c>
      <c r="AO20" s="23">
        <f>VLOOKUP(Eingabe[[#This Row],[ID]],Chronologie[[ID]:[KW]],12,FALSE)</f>
        <v>5</v>
      </c>
      <c r="AP20" s="59" t="str">
        <f>IF(Eingabe[[#This Row],[Wo]]="H",Eingabe[[#This Row],[Gegner]]&amp;" ["&amp;Eingabe[[#This Row],[Wo]]&amp;"]",Eingabe[[#This Row],[Ort]])</f>
        <v>SG Grün-Weiß Mehltheuer II [H]</v>
      </c>
      <c r="AQ20" s="23">
        <f>IFERROR(IF(Eingabe[[#This Row],[Wo]]="H",IF(MOD(Eingabe[[#This Row],[Position]],2)=1,Eingabe[[#This Row],[S1]],Eingabe[[#This Row],[S4]]),""),"")</f>
        <v>112</v>
      </c>
      <c r="AR20" s="23">
        <f>IFERROR(IF(Eingabe[[#This Row],[Wo]]="H",IF(Eingabe[[#This Row],[S1]]&gt;0,IF(MOD(Eingabe[[#This Row],[Position]],2)=1,Eingabe[[#This Row],[S2]],Eingabe[[#This Row],[S3]]),""),""),"")</f>
        <v>130</v>
      </c>
      <c r="AS20" s="23">
        <f>IFERROR(IF(Eingabe[[#This Row],[Wo]]="H",IF(Eingabe[[#This Row],[S1]]&gt;0,IF(MOD(ROW(Eingabe[[#This Row],[Heimbahn 3]]),2)=1,Eingabe[[#This Row],[S4]],Eingabe[[#This Row],[S1]]),""),""),"")</f>
        <v>129</v>
      </c>
      <c r="AT20" s="23">
        <f>IFERROR(IF(Eingabe[[#This Row],[Wo]]="H",IF(Eingabe[[#This Row],[S1]]&gt;0,IF(MOD(ROW(Eingabe[[#This Row],[Heimbahn 4]]),2)=1,Eingabe[[#This Row],[S3]],Eingabe[[#This Row],[S2]]),""),""),"")</f>
        <v>132</v>
      </c>
      <c r="AU20" s="89">
        <f>IF(Eingabe[[#This Row],[GES]]="","",IF(Eingabe[[#This Row],[Modus]]="L",_xlfn.RANK.EQ(Eingabe[[#This Row],[GES]],AF15:AF20),IF(Eingabe[[#This Row],[Modus]]="P",_xlfn.RANK.EQ(Eingabe[[#This Row],[GES]],AF15:AF20),"")))</f>
        <v>5</v>
      </c>
      <c r="AV20" s="6">
        <f>VLOOKUP(Eingabe[[#This Row],[Name]],AuswertungG[],8,FALSE)</f>
        <v>532</v>
      </c>
      <c r="AZ20" s="6">
        <f>IFERROR(ABS(Eingabe[[#This Row],[GES]]-Eingabe[[#This Row],[GEGGES]]),"")</f>
        <v>46</v>
      </c>
    </row>
    <row r="21" spans="1:52" ht="16.2" hidden="1" thickBot="1" x14ac:dyDescent="0.35">
      <c r="A21" s="440">
        <f t="shared" ref="A21" si="2">B21</f>
        <v>4</v>
      </c>
      <c r="B21" s="55">
        <f t="shared" si="0"/>
        <v>4</v>
      </c>
      <c r="C21" s="35" t="str">
        <f>VLOOKUP($B21,Chronologie[],7,TRUE)</f>
        <v>VfB Lengenfeld</v>
      </c>
      <c r="D21" s="35" t="str">
        <f>VLOOKUP($B21,Chronologie[],8,TRUE)</f>
        <v>Hirschfeld</v>
      </c>
      <c r="E21" s="36" t="str">
        <f>VLOOKUP($B21,Chronologie[],9,TRUE)</f>
        <v>H</v>
      </c>
      <c r="F21" s="35" t="str">
        <f>VLOOKUP($B21,Chronologie[],COLUMN(F22)-2,TRUE)</f>
        <v>E</v>
      </c>
      <c r="G21" s="35" t="str">
        <f>VLOOKUP($B21,Chronologie[],COLUMN(G22)-2,TRUE)</f>
        <v>L</v>
      </c>
      <c r="H21" s="35">
        <f>VLOOKUP($B21,Chronologie[],COLUMN(H22)-2,TRUE)</f>
        <v>4</v>
      </c>
      <c r="I21" s="9" t="str">
        <f>VLOOKUP($B21,Chronologie[],2,TRUE)</f>
        <v>E-L-4</v>
      </c>
      <c r="J21" s="242">
        <f>VLOOKUP($B21,Chronologie[],3,TRUE)</f>
        <v>45948</v>
      </c>
      <c r="K21" s="236" t="s">
        <v>658</v>
      </c>
      <c r="L21" s="334">
        <v>90</v>
      </c>
      <c r="M21" s="334">
        <v>81</v>
      </c>
      <c r="N21" s="334">
        <v>86</v>
      </c>
      <c r="O21" s="334">
        <v>78</v>
      </c>
      <c r="P21" s="334">
        <v>42</v>
      </c>
      <c r="Q21" s="334">
        <v>54</v>
      </c>
      <c r="R21" s="334">
        <v>42</v>
      </c>
      <c r="S21" s="334">
        <v>45</v>
      </c>
      <c r="T21" s="334">
        <v>1</v>
      </c>
      <c r="U21" s="334">
        <v>1</v>
      </c>
      <c r="V21" s="334">
        <v>0</v>
      </c>
      <c r="W21" s="334">
        <v>2</v>
      </c>
      <c r="X21" s="37">
        <v>0</v>
      </c>
      <c r="Y21" s="37">
        <v>1</v>
      </c>
      <c r="Z21" s="37">
        <v>0</v>
      </c>
      <c r="AA21" s="37">
        <v>0</v>
      </c>
      <c r="AB21" s="90">
        <v>549</v>
      </c>
      <c r="AC21" s="93">
        <f>IF(Eingabe[[#This Row],[V1]]="",IF(Eingabe[[#This Row],[Volle alternativ]]="","",Eingabe[[#This Row],[Volle alternativ]]),SUM(Eingabe[[#This Row],[V1]:[V4]]))</f>
        <v>335</v>
      </c>
      <c r="AD21" s="35">
        <f>IF(Eingabe[[#This Row],[R1]]="",IF(Eingabe[[#This Row],[Räumer alternativ]]="","",Eingabe[[#This Row],[Räumer alternativ]]),SUM(Eingabe[[#This Row],[R1]:[R4]]))</f>
        <v>183</v>
      </c>
      <c r="AE21" s="35">
        <f>IF(Eingabe[[#This Row],[F1]]="",IF(Eingabe[[#This Row],[Fehler alternativ]]="","",Eingabe[[#This Row],[Fehler alternativ]]),SUM(Eingabe[[#This Row],[F1]:[F4]]))</f>
        <v>4</v>
      </c>
      <c r="AF21" s="35">
        <f>IF(Eingabe[[#This Row],[Volle]]="","",IF(Eingabe[[#This Row],[S1]]="",Eingabe[[#This Row],[Volle]]+Eingabe[[#This Row],[Räumer]],IF(Eingabe[[#This Row],[Volle]]+Eingabe[[#This Row],[Räumer]]=Eingabe[[#This Row],[S1]]+Eingabe[[#This Row],[S2]]+Eingabe[[#This Row],[S3]]+Eingabe[[#This Row],[S4]],Eingabe[[#This Row],[Volle]]+Eingabe[[#This Row],[Räumer]],"FEHLER")))</f>
        <v>518</v>
      </c>
      <c r="AG21" s="35">
        <f>IF(Eingabe[[#This Row],[V1]]="","",Eingabe[[#This Row],[V1]]+Eingabe[[#This Row],[R1]])</f>
        <v>132</v>
      </c>
      <c r="AH21" s="35">
        <f>IF(Eingabe[[#This Row],[V2]]="","",Eingabe[[#This Row],[V2]]+Eingabe[[#This Row],[R2]])</f>
        <v>135</v>
      </c>
      <c r="AI21" s="35">
        <f>IF(Eingabe[[#This Row],[V3]]="","",Eingabe[[#This Row],[V3]]+Eingabe[[#This Row],[R3]])</f>
        <v>128</v>
      </c>
      <c r="AJ21" s="35">
        <f>IF(Eingabe[[#This Row],[V4]]="","",Eingabe[[#This Row],[V4]]+Eingabe[[#This Row],[R4]])</f>
        <v>123</v>
      </c>
      <c r="AK21" s="35">
        <f>IF(Eingabe[[#This Row],[S1P]]="","",Eingabe[[#This Row],[S1P]]+Eingabe[[#This Row],[S2P]]+Eingabe[[#This Row],[S3P]]+Eingabe[[#This Row],[S4P]])</f>
        <v>1</v>
      </c>
      <c r="AL21" s="35">
        <f>IF(Eingabe[[#This Row],[S1P]]="","",IF(Eingabe[[#This Row],[SP]]&gt;2,1,IF(Eingabe[[#This Row],[SP]]&lt;2,0,IF(Eingabe[[#This Row],[GES]]&gt;Eingabe[[#This Row],[GEGGES]],1,IF(Eingabe[[#This Row],[GES]]=Eingabe[[#This Row],[GEGGES]],0.5,0)))))</f>
        <v>0</v>
      </c>
      <c r="AM21" s="35">
        <f>IF(Eingabe[[#This Row],[MP]]="","",MOD(ROW(Eingabe[[#This Row],[Position]])-3,6)+1)</f>
        <v>1</v>
      </c>
      <c r="AN21" s="35">
        <f>STANDARDIZE(Eingabe[[#This Row],[GES]],Eingabe[[#This Row],[Schnitt]],VLOOKUP(Eingabe[[#This Row],[Name]],AuswertungG[],21,FALSE))</f>
        <v>-0.91428571428571426</v>
      </c>
      <c r="AO21" s="35">
        <f>VLOOKUP(Eingabe[[#This Row],[ID]],Chronologie[[ID]:[KW]],12,FALSE)</f>
        <v>8</v>
      </c>
      <c r="AP21" s="58" t="str">
        <f>IF(Eingabe[[#This Row],[Wo]]="H",Eingabe[[#This Row],[Gegner]]&amp;" ["&amp;Eingabe[[#This Row],[Wo]]&amp;"]",Eingabe[[#This Row],[Ort]])</f>
        <v>VfB Lengenfeld [H]</v>
      </c>
      <c r="AQ21" s="35">
        <f>IFERROR(IF(Eingabe[[#This Row],[Wo]]="H",IF(MOD(Eingabe[[#This Row],[Position]],2)=1,Eingabe[[#This Row],[S1]],Eingabe[[#This Row],[S4]]),""),"")</f>
        <v>132</v>
      </c>
      <c r="AR21" s="35">
        <f>IFERROR(IF(Eingabe[[#This Row],[Wo]]="H",IF(Eingabe[[#This Row],[S1]]&gt;0,IF(MOD(Eingabe[[#This Row],[Position]],2)=1,Eingabe[[#This Row],[S2]],Eingabe[[#This Row],[S3]]),""),""),"")</f>
        <v>135</v>
      </c>
      <c r="AS21" s="35">
        <f>IFERROR(IF(Eingabe[[#This Row],[Wo]]="H",IF(Eingabe[[#This Row],[S1]]&gt;0,IF(MOD(ROW(Eingabe[[#This Row],[Heimbahn 3]]),2)=1,Eingabe[[#This Row],[S4]],Eingabe[[#This Row],[S1]]),""),""),"")</f>
        <v>123</v>
      </c>
      <c r="AT21" s="35">
        <f>IFERROR(IF(Eingabe[[#This Row],[Wo]]="H",IF(Eingabe[[#This Row],[S1]]&gt;0,IF(MOD(ROW(Eingabe[[#This Row],[Heimbahn 4]]),2)=1,Eingabe[[#This Row],[S3]],Eingabe[[#This Row],[S2]]),""),""),"")</f>
        <v>128</v>
      </c>
      <c r="AU21" s="88">
        <f>IF(Eingabe[[#This Row],[GES]]="","",IF(Eingabe[[#This Row],[Modus]]="L",_xlfn.RANK.EQ(Eingabe[[#This Row],[GES]],AF21:AF26),IF(Eingabe[[#This Row],[Modus]]="P",_xlfn.RANK.EQ(Eingabe[[#This Row],[GES]],AF21:AF26),"")))</f>
        <v>5</v>
      </c>
      <c r="AV21" s="6">
        <f>VLOOKUP(Eingabe[[#This Row],[Name]],AuswertungG[],8,FALSE)</f>
        <v>550</v>
      </c>
      <c r="AZ21" s="6">
        <f>IFERROR(ABS(Eingabe[[#This Row],[GES]]-Eingabe[[#This Row],[GEGGES]]),"")</f>
        <v>31</v>
      </c>
    </row>
    <row r="22" spans="1:52" ht="16.2" hidden="1" thickBot="1" x14ac:dyDescent="0.35">
      <c r="A22" s="441"/>
      <c r="B22" s="21">
        <f t="shared" si="0"/>
        <v>4</v>
      </c>
      <c r="C22" s="6" t="str">
        <f>VLOOKUP($B22,Chronologie[],7,TRUE)</f>
        <v>VfB Lengenfeld</v>
      </c>
      <c r="D22" s="6" t="str">
        <f>VLOOKUP($B22,Chronologie[],8,TRUE)</f>
        <v>Hirschfeld</v>
      </c>
      <c r="E22" s="240" t="str">
        <f>VLOOKUP($B22,Chronologie[],9,TRUE)</f>
        <v>H</v>
      </c>
      <c r="F22" s="6" t="str">
        <f>VLOOKUP($B22,Chronologie[],COLUMN(F23)-2,TRUE)</f>
        <v>E</v>
      </c>
      <c r="G22" s="6" t="str">
        <f>VLOOKUP($B22,Chronologie[],COLUMN(G23)-2,TRUE)</f>
        <v>L</v>
      </c>
      <c r="H22" s="6">
        <f>VLOOKUP($B22,Chronologie[],COLUMN(H23)-2,TRUE)</f>
        <v>4</v>
      </c>
      <c r="I22" s="10" t="str">
        <f>VLOOKUP($B22,Chronologie[],2,TRUE)</f>
        <v>E-L-4</v>
      </c>
      <c r="J22" s="243">
        <f>VLOOKUP($B22,Chronologie[],3,TRUE)</f>
        <v>45948</v>
      </c>
      <c r="K22" s="237" t="s">
        <v>659</v>
      </c>
      <c r="L22" s="237">
        <v>95</v>
      </c>
      <c r="M22" s="237">
        <v>89</v>
      </c>
      <c r="N22" s="237">
        <v>88</v>
      </c>
      <c r="O22" s="237">
        <v>89</v>
      </c>
      <c r="P22" s="237">
        <v>53</v>
      </c>
      <c r="Q22" s="237">
        <v>44</v>
      </c>
      <c r="R22" s="237">
        <v>33</v>
      </c>
      <c r="S22" s="237">
        <v>35</v>
      </c>
      <c r="T22" s="237">
        <v>0</v>
      </c>
      <c r="U22" s="237">
        <v>0</v>
      </c>
      <c r="V22" s="237">
        <v>2</v>
      </c>
      <c r="W22" s="237">
        <v>2</v>
      </c>
      <c r="X22" s="38">
        <v>1</v>
      </c>
      <c r="Y22" s="38">
        <v>1</v>
      </c>
      <c r="Z22" s="38">
        <v>1</v>
      </c>
      <c r="AA22" s="38">
        <v>0</v>
      </c>
      <c r="AB22" s="91">
        <v>492</v>
      </c>
      <c r="AC22" s="94">
        <f>IF(Eingabe[[#This Row],[V1]]="",IF(Eingabe[[#This Row],[Volle alternativ]]="","",Eingabe[[#This Row],[Volle alternativ]]),SUM(Eingabe[[#This Row],[V1]:[V4]]))</f>
        <v>361</v>
      </c>
      <c r="AD22" s="6">
        <f>IF(Eingabe[[#This Row],[R1]]="",IF(Eingabe[[#This Row],[Räumer alternativ]]="","",Eingabe[[#This Row],[Räumer alternativ]]),SUM(Eingabe[[#This Row],[R1]:[R4]]))</f>
        <v>165</v>
      </c>
      <c r="AE22" s="6">
        <f>IF(Eingabe[[#This Row],[F1]]="",IF(Eingabe[[#This Row],[Fehler alternativ]]="","",Eingabe[[#This Row],[Fehler alternativ]]),SUM(Eingabe[[#This Row],[F1]:[F4]]))</f>
        <v>4</v>
      </c>
      <c r="AF22" s="6">
        <f>IF(Eingabe[[#This Row],[Volle]]="","",IF(Eingabe[[#This Row],[S1]]="",Eingabe[[#This Row],[Volle]]+Eingabe[[#This Row],[Räumer]],IF(Eingabe[[#This Row],[Volle]]+Eingabe[[#This Row],[Räumer]]=Eingabe[[#This Row],[S1]]+Eingabe[[#This Row],[S2]]+Eingabe[[#This Row],[S3]]+Eingabe[[#This Row],[S4]],Eingabe[[#This Row],[Volle]]+Eingabe[[#This Row],[Räumer]],"FEHLER")))</f>
        <v>526</v>
      </c>
      <c r="AG22" s="6">
        <f>IF(Eingabe[[#This Row],[V1]]="","",Eingabe[[#This Row],[V1]]+Eingabe[[#This Row],[R1]])</f>
        <v>148</v>
      </c>
      <c r="AH22" s="6">
        <f>IF(Eingabe[[#This Row],[V2]]="","",Eingabe[[#This Row],[V2]]+Eingabe[[#This Row],[R2]])</f>
        <v>133</v>
      </c>
      <c r="AI22" s="6">
        <f>IF(Eingabe[[#This Row],[V3]]="","",Eingabe[[#This Row],[V3]]+Eingabe[[#This Row],[R3]])</f>
        <v>121</v>
      </c>
      <c r="AJ22" s="6">
        <f>IF(Eingabe[[#This Row],[V4]]="","",Eingabe[[#This Row],[V4]]+Eingabe[[#This Row],[R4]])</f>
        <v>124</v>
      </c>
      <c r="AK22" s="6">
        <f>IF(Eingabe[[#This Row],[S1P]]="","",Eingabe[[#This Row],[S1P]]+Eingabe[[#This Row],[S2P]]+Eingabe[[#This Row],[S3P]]+Eingabe[[#This Row],[S4P]])</f>
        <v>3</v>
      </c>
      <c r="AL22" s="6">
        <f>IF(Eingabe[[#This Row],[S1P]]="","",IF(Eingabe[[#This Row],[SP]]&gt;2,1,IF(Eingabe[[#This Row],[SP]]&lt;2,0,IF(Eingabe[[#This Row],[GES]]&gt;Eingabe[[#This Row],[GEGGES]],1,IF(Eingabe[[#This Row],[GES]]=Eingabe[[#This Row],[GEGGES]],0.5,0)))))</f>
        <v>1</v>
      </c>
      <c r="AM22" s="6">
        <f>IF(Eingabe[[#This Row],[MP]]="","",MOD(ROW(Eingabe[[#This Row],[Position]])-3,6)+1)</f>
        <v>2</v>
      </c>
      <c r="AN22" s="6">
        <f>STANDARDIZE(Eingabe[[#This Row],[GES]],Eingabe[[#This Row],[Schnitt]],VLOOKUP(Eingabe[[#This Row],[Name]],AuswertungG[],21,FALSE))</f>
        <v>-0.25</v>
      </c>
      <c r="AO22" s="6">
        <f>VLOOKUP(Eingabe[[#This Row],[ID]],Chronologie[[ID]:[KW]],12,FALSE)</f>
        <v>8</v>
      </c>
      <c r="AP22" s="95" t="str">
        <f>IF(Eingabe[[#This Row],[Wo]]="H",Eingabe[[#This Row],[Gegner]]&amp;" ["&amp;Eingabe[[#This Row],[Wo]]&amp;"]",Eingabe[[#This Row],[Ort]])</f>
        <v>VfB Lengenfeld [H]</v>
      </c>
      <c r="AQ22" s="6">
        <f>IFERROR(IF(Eingabe[[#This Row],[Wo]]="H",IF(MOD(Eingabe[[#This Row],[Position]],2)=1,Eingabe[[#This Row],[S1]],Eingabe[[#This Row],[S4]]),""),"")</f>
        <v>124</v>
      </c>
      <c r="AR22" s="6">
        <f>IFERROR(IF(Eingabe[[#This Row],[Wo]]="H",IF(Eingabe[[#This Row],[S1]]&gt;0,IF(MOD(Eingabe[[#This Row],[Position]],2)=1,Eingabe[[#This Row],[S2]],Eingabe[[#This Row],[S3]]),""),""),"")</f>
        <v>121</v>
      </c>
      <c r="AS22" s="6">
        <f>IFERROR(IF(Eingabe[[#This Row],[Wo]]="H",IF(Eingabe[[#This Row],[S1]]&gt;0,IF(MOD(ROW(Eingabe[[#This Row],[Heimbahn 3]]),2)=1,Eingabe[[#This Row],[S4]],Eingabe[[#This Row],[S1]]),""),""),"")</f>
        <v>148</v>
      </c>
      <c r="AT22" s="6">
        <f>IFERROR(IF(Eingabe[[#This Row],[Wo]]="H",IF(Eingabe[[#This Row],[S1]]&gt;0,IF(MOD(ROW(Eingabe[[#This Row],[Heimbahn 4]]),2)=1,Eingabe[[#This Row],[S3]],Eingabe[[#This Row],[S2]]),""),""),"")</f>
        <v>133</v>
      </c>
      <c r="AU22" s="22">
        <f>IF(Eingabe[[#This Row],[GES]]="","",IF(Eingabe[[#This Row],[Modus]]="L",_xlfn.RANK.EQ(Eingabe[[#This Row],[GES]],AF21:AF26),IF(Eingabe[[#This Row],[Modus]]="P",_xlfn.RANK.EQ(Eingabe[[#This Row],[GES]],AF21:AF26),"")))</f>
        <v>4</v>
      </c>
      <c r="AV22" s="6">
        <f>VLOOKUP(Eingabe[[#This Row],[Name]],AuswertungG[],8,FALSE)</f>
        <v>532</v>
      </c>
      <c r="AZ22" s="6">
        <f>IFERROR(ABS(Eingabe[[#This Row],[GES]]-Eingabe[[#This Row],[GEGGES]]),"")</f>
        <v>34</v>
      </c>
    </row>
    <row r="23" spans="1:52" ht="16.2" hidden="1" thickBot="1" x14ac:dyDescent="0.35">
      <c r="A23" s="441"/>
      <c r="B23" s="21">
        <f t="shared" si="0"/>
        <v>4</v>
      </c>
      <c r="C23" s="6" t="str">
        <f>VLOOKUP($B23,Chronologie[],7,TRUE)</f>
        <v>VfB Lengenfeld</v>
      </c>
      <c r="D23" s="6" t="str">
        <f>VLOOKUP($B23,Chronologie[],8,TRUE)</f>
        <v>Hirschfeld</v>
      </c>
      <c r="E23" s="240" t="str">
        <f>VLOOKUP($B23,Chronologie[],9,TRUE)</f>
        <v>H</v>
      </c>
      <c r="F23" s="6" t="str">
        <f>VLOOKUP($B23,Chronologie[],COLUMN(F24)-2,TRUE)</f>
        <v>E</v>
      </c>
      <c r="G23" s="6" t="str">
        <f>VLOOKUP($B23,Chronologie[],COLUMN(G24)-2,TRUE)</f>
        <v>L</v>
      </c>
      <c r="H23" s="6">
        <f>VLOOKUP($B23,Chronologie[],COLUMN(H24)-2,TRUE)</f>
        <v>4</v>
      </c>
      <c r="I23" s="10" t="str">
        <f>VLOOKUP($B23,Chronologie[],2,TRUE)</f>
        <v>E-L-4</v>
      </c>
      <c r="J23" s="243">
        <f>VLOOKUP($B23,Chronologie[],3,TRUE)</f>
        <v>45948</v>
      </c>
      <c r="K23" s="237" t="s">
        <v>660</v>
      </c>
      <c r="L23" s="237">
        <v>88</v>
      </c>
      <c r="M23" s="237">
        <v>99</v>
      </c>
      <c r="N23" s="237">
        <v>76</v>
      </c>
      <c r="O23" s="237">
        <v>107</v>
      </c>
      <c r="P23" s="237">
        <v>35</v>
      </c>
      <c r="Q23" s="237">
        <v>39</v>
      </c>
      <c r="R23" s="237">
        <v>36</v>
      </c>
      <c r="S23" s="237">
        <v>27</v>
      </c>
      <c r="T23" s="237">
        <v>3</v>
      </c>
      <c r="U23" s="237">
        <v>2</v>
      </c>
      <c r="V23" s="237">
        <v>4</v>
      </c>
      <c r="W23" s="237">
        <v>3</v>
      </c>
      <c r="X23" s="38">
        <v>1</v>
      </c>
      <c r="Y23" s="38">
        <v>0.5</v>
      </c>
      <c r="Z23" s="38">
        <v>0</v>
      </c>
      <c r="AA23" s="38">
        <v>0</v>
      </c>
      <c r="AB23" s="91">
        <v>541</v>
      </c>
      <c r="AC23" s="94">
        <f>IF(Eingabe[[#This Row],[V1]]="",IF(Eingabe[[#This Row],[Volle alternativ]]="","",Eingabe[[#This Row],[Volle alternativ]]),SUM(Eingabe[[#This Row],[V1]:[V4]]))</f>
        <v>370</v>
      </c>
      <c r="AD23" s="6">
        <f>IF(Eingabe[[#This Row],[R1]]="",IF(Eingabe[[#This Row],[Räumer alternativ]]="","",Eingabe[[#This Row],[Räumer alternativ]]),SUM(Eingabe[[#This Row],[R1]:[R4]]))</f>
        <v>137</v>
      </c>
      <c r="AE23" s="6">
        <f>IF(Eingabe[[#This Row],[F1]]="",IF(Eingabe[[#This Row],[Fehler alternativ]]="","",Eingabe[[#This Row],[Fehler alternativ]]),SUM(Eingabe[[#This Row],[F1]:[F4]]))</f>
        <v>12</v>
      </c>
      <c r="AF23" s="6">
        <f>IF(Eingabe[[#This Row],[Volle]]="","",IF(Eingabe[[#This Row],[S1]]="",Eingabe[[#This Row],[Volle]]+Eingabe[[#This Row],[Räumer]],IF(Eingabe[[#This Row],[Volle]]+Eingabe[[#This Row],[Räumer]]=Eingabe[[#This Row],[S1]]+Eingabe[[#This Row],[S2]]+Eingabe[[#This Row],[S3]]+Eingabe[[#This Row],[S4]],Eingabe[[#This Row],[Volle]]+Eingabe[[#This Row],[Räumer]],"FEHLER")))</f>
        <v>507</v>
      </c>
      <c r="AG23" s="6">
        <f>IF(Eingabe[[#This Row],[V1]]="","",Eingabe[[#This Row],[V1]]+Eingabe[[#This Row],[R1]])</f>
        <v>123</v>
      </c>
      <c r="AH23" s="6">
        <f>IF(Eingabe[[#This Row],[V2]]="","",Eingabe[[#This Row],[V2]]+Eingabe[[#This Row],[R2]])</f>
        <v>138</v>
      </c>
      <c r="AI23" s="6">
        <f>IF(Eingabe[[#This Row],[V3]]="","",Eingabe[[#This Row],[V3]]+Eingabe[[#This Row],[R3]])</f>
        <v>112</v>
      </c>
      <c r="AJ23" s="6">
        <f>IF(Eingabe[[#This Row],[V4]]="","",Eingabe[[#This Row],[V4]]+Eingabe[[#This Row],[R4]])</f>
        <v>134</v>
      </c>
      <c r="AK23" s="6">
        <f>IF(Eingabe[[#This Row],[S1P]]="","",Eingabe[[#This Row],[S1P]]+Eingabe[[#This Row],[S2P]]+Eingabe[[#This Row],[S3P]]+Eingabe[[#This Row],[S4P]])</f>
        <v>1.5</v>
      </c>
      <c r="AL23" s="6">
        <f>IF(Eingabe[[#This Row],[S1P]]="","",IF(Eingabe[[#This Row],[SP]]&gt;2,1,IF(Eingabe[[#This Row],[SP]]&lt;2,0,IF(Eingabe[[#This Row],[GES]]&gt;Eingabe[[#This Row],[GEGGES]],1,IF(Eingabe[[#This Row],[GES]]=Eingabe[[#This Row],[GEGGES]],0.5,0)))))</f>
        <v>0</v>
      </c>
      <c r="AM23" s="6">
        <f>IF(Eingabe[[#This Row],[MP]]="","",MOD(ROW(Eingabe[[#This Row],[Position]])-3,6)+1)</f>
        <v>3</v>
      </c>
      <c r="AN23" s="6">
        <f>STANDARDIZE(Eingabe[[#This Row],[GES]],Eingabe[[#This Row],[Schnitt]],VLOOKUP(Eingabe[[#This Row],[Name]],AuswertungG[],21,FALSE))</f>
        <v>-3.2258064516129031E-2</v>
      </c>
      <c r="AO23" s="6">
        <f>VLOOKUP(Eingabe[[#This Row],[ID]],Chronologie[[ID]:[KW]],12,FALSE)</f>
        <v>8</v>
      </c>
      <c r="AP23" s="95" t="str">
        <f>IF(Eingabe[[#This Row],[Wo]]="H",Eingabe[[#This Row],[Gegner]]&amp;" ["&amp;Eingabe[[#This Row],[Wo]]&amp;"]",Eingabe[[#This Row],[Ort]])</f>
        <v>VfB Lengenfeld [H]</v>
      </c>
      <c r="AQ23" s="6">
        <f>IFERROR(IF(Eingabe[[#This Row],[Wo]]="H",IF(MOD(Eingabe[[#This Row],[Position]],2)=1,Eingabe[[#This Row],[S1]],Eingabe[[#This Row],[S4]]),""),"")</f>
        <v>123</v>
      </c>
      <c r="AR23" s="6">
        <f>IFERROR(IF(Eingabe[[#This Row],[Wo]]="H",IF(Eingabe[[#This Row],[S1]]&gt;0,IF(MOD(Eingabe[[#This Row],[Position]],2)=1,Eingabe[[#This Row],[S2]],Eingabe[[#This Row],[S3]]),""),""),"")</f>
        <v>138</v>
      </c>
      <c r="AS23" s="6">
        <f>IFERROR(IF(Eingabe[[#This Row],[Wo]]="H",IF(Eingabe[[#This Row],[S1]]&gt;0,IF(MOD(ROW(Eingabe[[#This Row],[Heimbahn 3]]),2)=1,Eingabe[[#This Row],[S4]],Eingabe[[#This Row],[S1]]),""),""),"")</f>
        <v>134</v>
      </c>
      <c r="AT23" s="6">
        <f>IFERROR(IF(Eingabe[[#This Row],[Wo]]="H",IF(Eingabe[[#This Row],[S1]]&gt;0,IF(MOD(ROW(Eingabe[[#This Row],[Heimbahn 4]]),2)=1,Eingabe[[#This Row],[S3]],Eingabe[[#This Row],[S2]]),""),""),"")</f>
        <v>112</v>
      </c>
      <c r="AU23" s="22">
        <f>IF(Eingabe[[#This Row],[GES]]="","",IF(Eingabe[[#This Row],[Modus]]="L",_xlfn.RANK.EQ(Eingabe[[#This Row],[GES]],AF21:AF26),IF(Eingabe[[#This Row],[Modus]]="P",_xlfn.RANK.EQ(Eingabe[[#This Row],[GES]],AF21:AF26),"")))</f>
        <v>6</v>
      </c>
      <c r="AV23" s="6">
        <f>VLOOKUP(Eingabe[[#This Row],[Name]],AuswertungG[],8,FALSE)</f>
        <v>508</v>
      </c>
      <c r="AZ23" s="6">
        <f>IFERROR(ABS(Eingabe[[#This Row],[GES]]-Eingabe[[#This Row],[GEGGES]]),"")</f>
        <v>34</v>
      </c>
    </row>
    <row r="24" spans="1:52" ht="16.2" hidden="1" thickBot="1" x14ac:dyDescent="0.35">
      <c r="A24" s="441"/>
      <c r="B24" s="21">
        <f t="shared" si="0"/>
        <v>4</v>
      </c>
      <c r="C24" s="6" t="str">
        <f>VLOOKUP($B24,Chronologie[],7,TRUE)</f>
        <v>VfB Lengenfeld</v>
      </c>
      <c r="D24" s="6" t="str">
        <f>VLOOKUP($B24,Chronologie[],8,TRUE)</f>
        <v>Hirschfeld</v>
      </c>
      <c r="E24" s="240" t="str">
        <f>VLOOKUP($B24,Chronologie[],9,TRUE)</f>
        <v>H</v>
      </c>
      <c r="F24" s="6" t="str">
        <f>VLOOKUP($B24,Chronologie[],COLUMN(F25)-2,TRUE)</f>
        <v>E</v>
      </c>
      <c r="G24" s="6" t="str">
        <f>VLOOKUP($B24,Chronologie[],COLUMN(G25)-2,TRUE)</f>
        <v>L</v>
      </c>
      <c r="H24" s="6">
        <f>VLOOKUP($B24,Chronologie[],COLUMN(H25)-2,TRUE)</f>
        <v>4</v>
      </c>
      <c r="I24" s="10" t="str">
        <f>VLOOKUP($B24,Chronologie[],2,TRUE)</f>
        <v>E-L-4</v>
      </c>
      <c r="J24" s="243">
        <f>VLOOKUP($B24,Chronologie[],3,TRUE)</f>
        <v>45948</v>
      </c>
      <c r="K24" s="238" t="s">
        <v>489</v>
      </c>
      <c r="L24" s="237">
        <v>84</v>
      </c>
      <c r="M24" s="237">
        <v>100</v>
      </c>
      <c r="N24" s="237">
        <v>87</v>
      </c>
      <c r="O24" s="237">
        <v>92</v>
      </c>
      <c r="P24" s="237">
        <v>30</v>
      </c>
      <c r="Q24" s="237">
        <v>45</v>
      </c>
      <c r="R24" s="237">
        <v>54</v>
      </c>
      <c r="S24" s="237">
        <v>54</v>
      </c>
      <c r="T24" s="237">
        <v>3</v>
      </c>
      <c r="U24" s="237">
        <v>2</v>
      </c>
      <c r="V24" s="237">
        <v>3</v>
      </c>
      <c r="W24" s="237">
        <v>0</v>
      </c>
      <c r="X24" s="38">
        <v>0</v>
      </c>
      <c r="Y24" s="38">
        <v>1</v>
      </c>
      <c r="Z24" s="38">
        <v>0</v>
      </c>
      <c r="AA24" s="38">
        <v>1</v>
      </c>
      <c r="AB24" s="91">
        <v>523</v>
      </c>
      <c r="AC24" s="94">
        <f>IF(Eingabe[[#This Row],[V1]]="",IF(Eingabe[[#This Row],[Volle alternativ]]="","",Eingabe[[#This Row],[Volle alternativ]]),SUM(Eingabe[[#This Row],[V1]:[V4]]))</f>
        <v>363</v>
      </c>
      <c r="AD24" s="6">
        <f>IF(Eingabe[[#This Row],[R1]]="",IF(Eingabe[[#This Row],[Räumer alternativ]]="","",Eingabe[[#This Row],[Räumer alternativ]]),SUM(Eingabe[[#This Row],[R1]:[R4]]))</f>
        <v>183</v>
      </c>
      <c r="AE24" s="6">
        <f>IF(Eingabe[[#This Row],[F1]]="",IF(Eingabe[[#This Row],[Fehler alternativ]]="","",Eingabe[[#This Row],[Fehler alternativ]]),SUM(Eingabe[[#This Row],[F1]:[F4]]))</f>
        <v>8</v>
      </c>
      <c r="AF24" s="6">
        <f>IF(Eingabe[[#This Row],[Volle]]="","",IF(Eingabe[[#This Row],[S1]]="",Eingabe[[#This Row],[Volle]]+Eingabe[[#This Row],[Räumer]],IF(Eingabe[[#This Row],[Volle]]+Eingabe[[#This Row],[Räumer]]=Eingabe[[#This Row],[S1]]+Eingabe[[#This Row],[S2]]+Eingabe[[#This Row],[S3]]+Eingabe[[#This Row],[S4]],Eingabe[[#This Row],[Volle]]+Eingabe[[#This Row],[Räumer]],"FEHLER")))</f>
        <v>546</v>
      </c>
      <c r="AG24" s="6">
        <f>IF(Eingabe[[#This Row],[V1]]="","",Eingabe[[#This Row],[V1]]+Eingabe[[#This Row],[R1]])</f>
        <v>114</v>
      </c>
      <c r="AH24" s="6">
        <f>IF(Eingabe[[#This Row],[V2]]="","",Eingabe[[#This Row],[V2]]+Eingabe[[#This Row],[R2]])</f>
        <v>145</v>
      </c>
      <c r="AI24" s="6">
        <f>IF(Eingabe[[#This Row],[V3]]="","",Eingabe[[#This Row],[V3]]+Eingabe[[#This Row],[R3]])</f>
        <v>141</v>
      </c>
      <c r="AJ24" s="6">
        <f>IF(Eingabe[[#This Row],[V4]]="","",Eingabe[[#This Row],[V4]]+Eingabe[[#This Row],[R4]])</f>
        <v>146</v>
      </c>
      <c r="AK24" s="6">
        <f>IF(Eingabe[[#This Row],[S1P]]="","",Eingabe[[#This Row],[S1P]]+Eingabe[[#This Row],[S2P]]+Eingabe[[#This Row],[S3P]]+Eingabe[[#This Row],[S4P]])</f>
        <v>2</v>
      </c>
      <c r="AL24" s="6">
        <f>IF(Eingabe[[#This Row],[S1P]]="","",IF(Eingabe[[#This Row],[SP]]&gt;2,1,IF(Eingabe[[#This Row],[SP]]&lt;2,0,IF(Eingabe[[#This Row],[GES]]&gt;Eingabe[[#This Row],[GEGGES]],1,IF(Eingabe[[#This Row],[GES]]=Eingabe[[#This Row],[GEGGES]],0.5,0)))))</f>
        <v>1</v>
      </c>
      <c r="AM24" s="6">
        <f>IF(Eingabe[[#This Row],[MP]]="","",MOD(ROW(Eingabe[[#This Row],[Position]])-3,6)+1)</f>
        <v>4</v>
      </c>
      <c r="AN24" s="6">
        <f>STANDARDIZE(Eingabe[[#This Row],[GES]],Eingabe[[#This Row],[Schnitt]],VLOOKUP(Eingabe[[#This Row],[Name]],AuswertungG[],21,FALSE))</f>
        <v>0.83333333333333337</v>
      </c>
      <c r="AO24" s="6">
        <f>VLOOKUP(Eingabe[[#This Row],[ID]],Chronologie[[ID]:[KW]],12,FALSE)</f>
        <v>8</v>
      </c>
      <c r="AP24" s="95" t="str">
        <f>IF(Eingabe[[#This Row],[Wo]]="H",Eingabe[[#This Row],[Gegner]]&amp;" ["&amp;Eingabe[[#This Row],[Wo]]&amp;"]",Eingabe[[#This Row],[Ort]])</f>
        <v>VfB Lengenfeld [H]</v>
      </c>
      <c r="AQ24" s="6">
        <f>IFERROR(IF(Eingabe[[#This Row],[Wo]]="H",IF(MOD(Eingabe[[#This Row],[Position]],2)=1,Eingabe[[#This Row],[S1]],Eingabe[[#This Row],[S4]]),""),"")</f>
        <v>146</v>
      </c>
      <c r="AR24" s="6">
        <f>IFERROR(IF(Eingabe[[#This Row],[Wo]]="H",IF(Eingabe[[#This Row],[S1]]&gt;0,IF(MOD(Eingabe[[#This Row],[Position]],2)=1,Eingabe[[#This Row],[S2]],Eingabe[[#This Row],[S3]]),""),""),"")</f>
        <v>141</v>
      </c>
      <c r="AS24" s="6">
        <f>IFERROR(IF(Eingabe[[#This Row],[Wo]]="H",IF(Eingabe[[#This Row],[S1]]&gt;0,IF(MOD(ROW(Eingabe[[#This Row],[Heimbahn 3]]),2)=1,Eingabe[[#This Row],[S4]],Eingabe[[#This Row],[S1]]),""),""),"")</f>
        <v>114</v>
      </c>
      <c r="AT24" s="6">
        <f>IFERROR(IF(Eingabe[[#This Row],[Wo]]="H",IF(Eingabe[[#This Row],[S1]]&gt;0,IF(MOD(ROW(Eingabe[[#This Row],[Heimbahn 4]]),2)=1,Eingabe[[#This Row],[S3]],Eingabe[[#This Row],[S2]]),""),""),"")</f>
        <v>145</v>
      </c>
      <c r="AU24" s="22">
        <f>IF(Eingabe[[#This Row],[GES]]="","",IF(Eingabe[[#This Row],[Modus]]="L",_xlfn.RANK.EQ(Eingabe[[#This Row],[GES]],AF21:AF26),IF(Eingabe[[#This Row],[Modus]]="P",_xlfn.RANK.EQ(Eingabe[[#This Row],[GES]],AF21:AF26),"")))</f>
        <v>3</v>
      </c>
      <c r="AV24" s="6">
        <f>VLOOKUP(Eingabe[[#This Row],[Name]],AuswertungG[],8,FALSE)</f>
        <v>526</v>
      </c>
      <c r="AZ24" s="6">
        <f>IFERROR(ABS(Eingabe[[#This Row],[GES]]-Eingabe[[#This Row],[GEGGES]]),"")</f>
        <v>23</v>
      </c>
    </row>
    <row r="25" spans="1:52" ht="16.2" hidden="1" thickBot="1" x14ac:dyDescent="0.35">
      <c r="A25" s="441"/>
      <c r="B25" s="21">
        <f t="shared" si="0"/>
        <v>4</v>
      </c>
      <c r="C25" s="6" t="str">
        <f>VLOOKUP($B25,Chronologie[],7,TRUE)</f>
        <v>VfB Lengenfeld</v>
      </c>
      <c r="D25" s="6" t="str">
        <f>VLOOKUP($B25,Chronologie[],8,TRUE)</f>
        <v>Hirschfeld</v>
      </c>
      <c r="E25" s="240" t="str">
        <f>VLOOKUP($B25,Chronologie[],9,TRUE)</f>
        <v>H</v>
      </c>
      <c r="F25" s="6" t="str">
        <f>VLOOKUP($B25,Chronologie[],COLUMN(F26)-2,TRUE)</f>
        <v>E</v>
      </c>
      <c r="G25" s="6" t="str">
        <f>VLOOKUP($B25,Chronologie[],COLUMN(G26)-2,TRUE)</f>
        <v>L</v>
      </c>
      <c r="H25" s="6">
        <f>VLOOKUP($B25,Chronologie[],COLUMN(H26)-2,TRUE)</f>
        <v>4</v>
      </c>
      <c r="I25" s="10" t="str">
        <f>VLOOKUP($B25,Chronologie[],2,TRUE)</f>
        <v>E-L-4</v>
      </c>
      <c r="J25" s="243">
        <f>VLOOKUP($B25,Chronologie[],3,TRUE)</f>
        <v>45948</v>
      </c>
      <c r="K25" s="237" t="s">
        <v>469</v>
      </c>
      <c r="L25" s="237">
        <v>86</v>
      </c>
      <c r="M25" s="237">
        <v>87</v>
      </c>
      <c r="N25" s="237">
        <v>100</v>
      </c>
      <c r="O25" s="237">
        <v>88</v>
      </c>
      <c r="P25" s="237">
        <v>53</v>
      </c>
      <c r="Q25" s="237">
        <v>36</v>
      </c>
      <c r="R25" s="237">
        <v>54</v>
      </c>
      <c r="S25" s="237">
        <v>43</v>
      </c>
      <c r="T25" s="237">
        <v>0</v>
      </c>
      <c r="U25" s="237">
        <v>1</v>
      </c>
      <c r="V25" s="237">
        <v>0</v>
      </c>
      <c r="W25" s="237">
        <v>1</v>
      </c>
      <c r="X25" s="38">
        <v>1</v>
      </c>
      <c r="Y25" s="38">
        <v>0</v>
      </c>
      <c r="Z25" s="38">
        <v>1</v>
      </c>
      <c r="AA25" s="38">
        <v>1</v>
      </c>
      <c r="AB25" s="91">
        <v>515</v>
      </c>
      <c r="AC25" s="94">
        <f>IF(Eingabe[[#This Row],[V1]]="",IF(Eingabe[[#This Row],[Volle alternativ]]="","",Eingabe[[#This Row],[Volle alternativ]]),SUM(Eingabe[[#This Row],[V1]:[V4]]))</f>
        <v>361</v>
      </c>
      <c r="AD25" s="6">
        <f>IF(Eingabe[[#This Row],[R1]]="",IF(Eingabe[[#This Row],[Räumer alternativ]]="","",Eingabe[[#This Row],[Räumer alternativ]]),SUM(Eingabe[[#This Row],[R1]:[R4]]))</f>
        <v>186</v>
      </c>
      <c r="AE25" s="6">
        <f>IF(Eingabe[[#This Row],[F1]]="",IF(Eingabe[[#This Row],[Fehler alternativ]]="","",Eingabe[[#This Row],[Fehler alternativ]]),SUM(Eingabe[[#This Row],[F1]:[F4]]))</f>
        <v>2</v>
      </c>
      <c r="AF25" s="6">
        <f>IF(Eingabe[[#This Row],[Volle]]="","",IF(Eingabe[[#This Row],[S1]]="",Eingabe[[#This Row],[Volle]]+Eingabe[[#This Row],[Räumer]],IF(Eingabe[[#This Row],[Volle]]+Eingabe[[#This Row],[Räumer]]=Eingabe[[#This Row],[S1]]+Eingabe[[#This Row],[S2]]+Eingabe[[#This Row],[S3]]+Eingabe[[#This Row],[S4]],Eingabe[[#This Row],[Volle]]+Eingabe[[#This Row],[Räumer]],"FEHLER")))</f>
        <v>547</v>
      </c>
      <c r="AG25" s="6">
        <f>IF(Eingabe[[#This Row],[V1]]="","",Eingabe[[#This Row],[V1]]+Eingabe[[#This Row],[R1]])</f>
        <v>139</v>
      </c>
      <c r="AH25" s="6">
        <f>IF(Eingabe[[#This Row],[V2]]="","",Eingabe[[#This Row],[V2]]+Eingabe[[#This Row],[R2]])</f>
        <v>123</v>
      </c>
      <c r="AI25" s="6">
        <f>IF(Eingabe[[#This Row],[V3]]="","",Eingabe[[#This Row],[V3]]+Eingabe[[#This Row],[R3]])</f>
        <v>154</v>
      </c>
      <c r="AJ25" s="6">
        <f>IF(Eingabe[[#This Row],[V4]]="","",Eingabe[[#This Row],[V4]]+Eingabe[[#This Row],[R4]])</f>
        <v>131</v>
      </c>
      <c r="AK25" s="6">
        <f>IF(Eingabe[[#This Row],[S1P]]="","",Eingabe[[#This Row],[S1P]]+Eingabe[[#This Row],[S2P]]+Eingabe[[#This Row],[S3P]]+Eingabe[[#This Row],[S4P]])</f>
        <v>3</v>
      </c>
      <c r="AL25" s="6">
        <f>IF(Eingabe[[#This Row],[S1P]]="","",IF(Eingabe[[#This Row],[SP]]&gt;2,1,IF(Eingabe[[#This Row],[SP]]&lt;2,0,IF(Eingabe[[#This Row],[GES]]&gt;Eingabe[[#This Row],[GEGGES]],1,IF(Eingabe[[#This Row],[GES]]=Eingabe[[#This Row],[GEGGES]],0.5,0)))))</f>
        <v>1</v>
      </c>
      <c r="AM25" s="6">
        <f>IF(Eingabe[[#This Row],[MP]]="","",MOD(ROW(Eingabe[[#This Row],[Position]])-3,6)+1)</f>
        <v>5</v>
      </c>
      <c r="AN25" s="6">
        <f>STANDARDIZE(Eingabe[[#This Row],[GES]],Eingabe[[#This Row],[Schnitt]],VLOOKUP(Eingabe[[#This Row],[Name]],AuswertungG[],21,FALSE))</f>
        <v>0.86363636363636365</v>
      </c>
      <c r="AO25" s="6">
        <f>VLOOKUP(Eingabe[[#This Row],[ID]],Chronologie[[ID]:[KW]],12,FALSE)</f>
        <v>8</v>
      </c>
      <c r="AP25" s="95" t="str">
        <f>IF(Eingabe[[#This Row],[Wo]]="H",Eingabe[[#This Row],[Gegner]]&amp;" ["&amp;Eingabe[[#This Row],[Wo]]&amp;"]",Eingabe[[#This Row],[Ort]])</f>
        <v>VfB Lengenfeld [H]</v>
      </c>
      <c r="AQ25" s="6">
        <f>IFERROR(IF(Eingabe[[#This Row],[Wo]]="H",IF(MOD(Eingabe[[#This Row],[Position]],2)=1,Eingabe[[#This Row],[S1]],Eingabe[[#This Row],[S4]]),""),"")</f>
        <v>139</v>
      </c>
      <c r="AR25" s="6">
        <f>IFERROR(IF(Eingabe[[#This Row],[Wo]]="H",IF(Eingabe[[#This Row],[S1]]&gt;0,IF(MOD(Eingabe[[#This Row],[Position]],2)=1,Eingabe[[#This Row],[S2]],Eingabe[[#This Row],[S3]]),""),""),"")</f>
        <v>123</v>
      </c>
      <c r="AS25" s="6">
        <f>IFERROR(IF(Eingabe[[#This Row],[Wo]]="H",IF(Eingabe[[#This Row],[S1]]&gt;0,IF(MOD(ROW(Eingabe[[#This Row],[Heimbahn 3]]),2)=1,Eingabe[[#This Row],[S4]],Eingabe[[#This Row],[S1]]),""),""),"")</f>
        <v>131</v>
      </c>
      <c r="AT25" s="6">
        <f>IFERROR(IF(Eingabe[[#This Row],[Wo]]="H",IF(Eingabe[[#This Row],[S1]]&gt;0,IF(MOD(ROW(Eingabe[[#This Row],[Heimbahn 4]]),2)=1,Eingabe[[#This Row],[S3]],Eingabe[[#This Row],[S2]]),""),""),"")</f>
        <v>154</v>
      </c>
      <c r="AU25" s="22">
        <f>IF(Eingabe[[#This Row],[GES]]="","",IF(Eingabe[[#This Row],[Modus]]="L",_xlfn.RANK.EQ(Eingabe[[#This Row],[GES]],AF21:AF26),IF(Eingabe[[#This Row],[Modus]]="P",_xlfn.RANK.EQ(Eingabe[[#This Row],[GES]],AF21:AF26),"")))</f>
        <v>2</v>
      </c>
      <c r="AV25" s="6">
        <f>VLOOKUP(Eingabe[[#This Row],[Name]],AuswertungG[],8,FALSE)</f>
        <v>528</v>
      </c>
      <c r="AZ25" s="6">
        <f>IFERROR(ABS(Eingabe[[#This Row],[GES]]-Eingabe[[#This Row],[GEGGES]]),"")</f>
        <v>32</v>
      </c>
    </row>
    <row r="26" spans="1:52" ht="16.2" hidden="1" thickBot="1" x14ac:dyDescent="0.35">
      <c r="A26" s="442"/>
      <c r="B26" s="56">
        <f t="shared" si="0"/>
        <v>4</v>
      </c>
      <c r="C26" s="23" t="str">
        <f>VLOOKUP($B26,Chronologie[],7,TRUE)</f>
        <v>VfB Lengenfeld</v>
      </c>
      <c r="D26" s="23" t="str">
        <f>VLOOKUP($B26,Chronologie[],8,TRUE)</f>
        <v>Hirschfeld</v>
      </c>
      <c r="E26" s="39" t="str">
        <f>VLOOKUP($B26,Chronologie[],9,TRUE)</f>
        <v>H</v>
      </c>
      <c r="F26" s="23" t="str">
        <f>VLOOKUP($B26,Chronologie[],COLUMN(F27)-2,TRUE)</f>
        <v>E</v>
      </c>
      <c r="G26" s="23" t="str">
        <f>VLOOKUP($B26,Chronologie[],COLUMN(G27)-2,TRUE)</f>
        <v>L</v>
      </c>
      <c r="H26" s="23">
        <f>VLOOKUP($B26,Chronologie[],COLUMN(H27)-2,TRUE)</f>
        <v>4</v>
      </c>
      <c r="I26" s="13" t="str">
        <f>VLOOKUP($B26,Chronologie[],2,TRUE)</f>
        <v>E-L-4</v>
      </c>
      <c r="J26" s="244">
        <f>VLOOKUP($B26,Chronologie[],3,TRUE)</f>
        <v>45948</v>
      </c>
      <c r="K26" s="239" t="s">
        <v>6</v>
      </c>
      <c r="L26" s="239">
        <v>88</v>
      </c>
      <c r="M26" s="239">
        <v>90</v>
      </c>
      <c r="N26" s="239">
        <v>99</v>
      </c>
      <c r="O26" s="239">
        <v>102</v>
      </c>
      <c r="P26" s="239">
        <v>44</v>
      </c>
      <c r="Q26" s="239">
        <v>42</v>
      </c>
      <c r="R26" s="239">
        <v>45</v>
      </c>
      <c r="S26" s="239">
        <v>43</v>
      </c>
      <c r="T26" s="239">
        <v>2</v>
      </c>
      <c r="U26" s="239">
        <v>0</v>
      </c>
      <c r="V26" s="239">
        <v>1</v>
      </c>
      <c r="W26" s="239">
        <v>2</v>
      </c>
      <c r="X26" s="40">
        <v>0</v>
      </c>
      <c r="Y26" s="40">
        <v>1</v>
      </c>
      <c r="Z26" s="40">
        <v>1</v>
      </c>
      <c r="AA26" s="40">
        <v>1</v>
      </c>
      <c r="AB26" s="92">
        <v>515</v>
      </c>
      <c r="AC26" s="96">
        <f>IF(Eingabe[[#This Row],[V1]]="",IF(Eingabe[[#This Row],[Volle alternativ]]="","",Eingabe[[#This Row],[Volle alternativ]]),SUM(Eingabe[[#This Row],[V1]:[V4]]))</f>
        <v>379</v>
      </c>
      <c r="AD26" s="23">
        <f>IF(Eingabe[[#This Row],[R1]]="",IF(Eingabe[[#This Row],[Räumer alternativ]]="","",Eingabe[[#This Row],[Räumer alternativ]]),SUM(Eingabe[[#This Row],[R1]:[R4]]))</f>
        <v>174</v>
      </c>
      <c r="AE26" s="23">
        <f>IF(Eingabe[[#This Row],[F1]]="",IF(Eingabe[[#This Row],[Fehler alternativ]]="","",Eingabe[[#This Row],[Fehler alternativ]]),SUM(Eingabe[[#This Row],[F1]:[F4]]))</f>
        <v>5</v>
      </c>
      <c r="AF26" s="23">
        <f>IF(Eingabe[[#This Row],[Volle]]="","",IF(Eingabe[[#This Row],[S1]]="",Eingabe[[#This Row],[Volle]]+Eingabe[[#This Row],[Räumer]],IF(Eingabe[[#This Row],[Volle]]+Eingabe[[#This Row],[Räumer]]=Eingabe[[#This Row],[S1]]+Eingabe[[#This Row],[S2]]+Eingabe[[#This Row],[S3]]+Eingabe[[#This Row],[S4]],Eingabe[[#This Row],[Volle]]+Eingabe[[#This Row],[Räumer]],"FEHLER")))</f>
        <v>553</v>
      </c>
      <c r="AG26" s="23">
        <f>IF(Eingabe[[#This Row],[V1]]="","",Eingabe[[#This Row],[V1]]+Eingabe[[#This Row],[R1]])</f>
        <v>132</v>
      </c>
      <c r="AH26" s="23">
        <f>IF(Eingabe[[#This Row],[V2]]="","",Eingabe[[#This Row],[V2]]+Eingabe[[#This Row],[R2]])</f>
        <v>132</v>
      </c>
      <c r="AI26" s="23">
        <f>IF(Eingabe[[#This Row],[V3]]="","",Eingabe[[#This Row],[V3]]+Eingabe[[#This Row],[R3]])</f>
        <v>144</v>
      </c>
      <c r="AJ26" s="23">
        <f>IF(Eingabe[[#This Row],[V4]]="","",Eingabe[[#This Row],[V4]]+Eingabe[[#This Row],[R4]])</f>
        <v>145</v>
      </c>
      <c r="AK26" s="23">
        <f>IF(Eingabe[[#This Row],[S1P]]="","",Eingabe[[#This Row],[S1P]]+Eingabe[[#This Row],[S2P]]+Eingabe[[#This Row],[S3P]]+Eingabe[[#This Row],[S4P]])</f>
        <v>3</v>
      </c>
      <c r="AL26" s="23">
        <f>IF(Eingabe[[#This Row],[S1P]]="","",IF(Eingabe[[#This Row],[SP]]&gt;2,1,IF(Eingabe[[#This Row],[SP]]&lt;2,0,IF(Eingabe[[#This Row],[GES]]&gt;Eingabe[[#This Row],[GEGGES]],1,IF(Eingabe[[#This Row],[GES]]=Eingabe[[#This Row],[GEGGES]],0.5,0)))))</f>
        <v>1</v>
      </c>
      <c r="AM26" s="23">
        <f>IF(Eingabe[[#This Row],[MP]]="","",MOD(ROW(Eingabe[[#This Row],[Position]])-3,6)+1)</f>
        <v>6</v>
      </c>
      <c r="AN26" s="23">
        <f>STANDARDIZE(Eingabe[[#This Row],[GES]],Eingabe[[#This Row],[Schnitt]],VLOOKUP(Eingabe[[#This Row],[Name]],AuswertungG[],21,FALSE))</f>
        <v>1.3333333333333333</v>
      </c>
      <c r="AO26" s="23">
        <f>VLOOKUP(Eingabe[[#This Row],[ID]],Chronologie[[ID]:[KW]],12,FALSE)</f>
        <v>8</v>
      </c>
      <c r="AP26" s="59" t="str">
        <f>IF(Eingabe[[#This Row],[Wo]]="H",Eingabe[[#This Row],[Gegner]]&amp;" ["&amp;Eingabe[[#This Row],[Wo]]&amp;"]",Eingabe[[#This Row],[Ort]])</f>
        <v>VfB Lengenfeld [H]</v>
      </c>
      <c r="AQ26" s="23">
        <f>IFERROR(IF(Eingabe[[#This Row],[Wo]]="H",IF(MOD(Eingabe[[#This Row],[Position]],2)=1,Eingabe[[#This Row],[S1]],Eingabe[[#This Row],[S4]]),""),"")</f>
        <v>145</v>
      </c>
      <c r="AR26" s="23">
        <f>IFERROR(IF(Eingabe[[#This Row],[Wo]]="H",IF(Eingabe[[#This Row],[S1]]&gt;0,IF(MOD(Eingabe[[#This Row],[Position]],2)=1,Eingabe[[#This Row],[S2]],Eingabe[[#This Row],[S3]]),""),""),"")</f>
        <v>144</v>
      </c>
      <c r="AS26" s="23">
        <f>IFERROR(IF(Eingabe[[#This Row],[Wo]]="H",IF(Eingabe[[#This Row],[S1]]&gt;0,IF(MOD(ROW(Eingabe[[#This Row],[Heimbahn 3]]),2)=1,Eingabe[[#This Row],[S4]],Eingabe[[#This Row],[S1]]),""),""),"")</f>
        <v>132</v>
      </c>
      <c r="AT26" s="23">
        <f>IFERROR(IF(Eingabe[[#This Row],[Wo]]="H",IF(Eingabe[[#This Row],[S1]]&gt;0,IF(MOD(ROW(Eingabe[[#This Row],[Heimbahn 4]]),2)=1,Eingabe[[#This Row],[S3]],Eingabe[[#This Row],[S2]]),""),""),"")</f>
        <v>132</v>
      </c>
      <c r="AU26" s="89">
        <f>IF(Eingabe[[#This Row],[GES]]="","",IF(Eingabe[[#This Row],[Modus]]="L",_xlfn.RANK.EQ(Eingabe[[#This Row],[GES]],AF21:AF26),IF(Eingabe[[#This Row],[Modus]]="P",_xlfn.RANK.EQ(Eingabe[[#This Row],[GES]],AF21:AF26),"")))</f>
        <v>1</v>
      </c>
      <c r="AV26" s="6">
        <f>VLOOKUP(Eingabe[[#This Row],[Name]],AuswertungG[],8,FALSE)</f>
        <v>529</v>
      </c>
      <c r="AZ26" s="6">
        <f>IFERROR(ABS(Eingabe[[#This Row],[GES]]-Eingabe[[#This Row],[GEGGES]]),"")</f>
        <v>38</v>
      </c>
    </row>
    <row r="27" spans="1:52" ht="16.2" hidden="1" thickBot="1" x14ac:dyDescent="0.35">
      <c r="A27" s="440">
        <f t="shared" ref="A27" si="3">B27</f>
        <v>5</v>
      </c>
      <c r="B27" s="55">
        <f t="shared" si="0"/>
        <v>5</v>
      </c>
      <c r="C27" s="35" t="str">
        <f>VLOOKUP($B27,Chronologie[],7,TRUE)</f>
        <v>SV Schönberg</v>
      </c>
      <c r="D27" s="35" t="str">
        <f>VLOOKUP($B27,Chronologie[],8,TRUE)</f>
        <v>Glauchau</v>
      </c>
      <c r="E27" s="36" t="str">
        <f>VLOOKUP($B27,Chronologie[],9,TRUE)</f>
        <v>A</v>
      </c>
      <c r="F27" s="35" t="str">
        <f>VLOOKUP($B27,Chronologie[],COLUMN(F28)-2,TRUE)</f>
        <v>E</v>
      </c>
      <c r="G27" s="35" t="str">
        <f>VLOOKUP($B27,Chronologie[],COLUMN(G28)-2,TRUE)</f>
        <v>L</v>
      </c>
      <c r="H27" s="35">
        <f>VLOOKUP($B27,Chronologie[],COLUMN(H28)-2,TRUE)</f>
        <v>5</v>
      </c>
      <c r="I27" s="9" t="str">
        <f>VLOOKUP($B27,Chronologie[],2,TRUE)</f>
        <v>E-L-5</v>
      </c>
      <c r="J27" s="242">
        <f>VLOOKUP($B27,Chronologie[],3,TRUE)</f>
        <v>45955</v>
      </c>
      <c r="K27" s="236" t="s">
        <v>658</v>
      </c>
      <c r="L27" s="334">
        <v>98</v>
      </c>
      <c r="M27" s="334">
        <v>90</v>
      </c>
      <c r="N27" s="334">
        <v>86</v>
      </c>
      <c r="O27" s="334">
        <v>86</v>
      </c>
      <c r="P27" s="334">
        <v>32</v>
      </c>
      <c r="Q27" s="334">
        <v>41</v>
      </c>
      <c r="R27" s="334">
        <v>44</v>
      </c>
      <c r="S27" s="334">
        <v>53</v>
      </c>
      <c r="T27" s="334">
        <v>4</v>
      </c>
      <c r="U27" s="334">
        <v>0</v>
      </c>
      <c r="V27" s="334">
        <v>2</v>
      </c>
      <c r="W27" s="334">
        <v>0</v>
      </c>
      <c r="X27" s="37">
        <v>0.5</v>
      </c>
      <c r="Y27" s="37">
        <v>1</v>
      </c>
      <c r="Z27" s="37">
        <v>1</v>
      </c>
      <c r="AA27" s="37">
        <v>1</v>
      </c>
      <c r="AB27" s="90">
        <v>490</v>
      </c>
      <c r="AC27" s="93">
        <f>IF(Eingabe[[#This Row],[V1]]="",IF(Eingabe[[#This Row],[Volle alternativ]]="","",Eingabe[[#This Row],[Volle alternativ]]),SUM(Eingabe[[#This Row],[V1]:[V4]]))</f>
        <v>360</v>
      </c>
      <c r="AD27" s="35">
        <f>IF(Eingabe[[#This Row],[R1]]="",IF(Eingabe[[#This Row],[Räumer alternativ]]="","",Eingabe[[#This Row],[Räumer alternativ]]),SUM(Eingabe[[#This Row],[R1]:[R4]]))</f>
        <v>170</v>
      </c>
      <c r="AE27" s="35">
        <f>IF(Eingabe[[#This Row],[F1]]="",IF(Eingabe[[#This Row],[Fehler alternativ]]="","",Eingabe[[#This Row],[Fehler alternativ]]),SUM(Eingabe[[#This Row],[F1]:[F4]]))</f>
        <v>6</v>
      </c>
      <c r="AF27" s="35">
        <f>IF(Eingabe[[#This Row],[Volle]]="","",IF(Eingabe[[#This Row],[S1]]="",Eingabe[[#This Row],[Volle]]+Eingabe[[#This Row],[Räumer]],IF(Eingabe[[#This Row],[Volle]]+Eingabe[[#This Row],[Räumer]]=Eingabe[[#This Row],[S1]]+Eingabe[[#This Row],[S2]]+Eingabe[[#This Row],[S3]]+Eingabe[[#This Row],[S4]],Eingabe[[#This Row],[Volle]]+Eingabe[[#This Row],[Räumer]],"FEHLER")))</f>
        <v>530</v>
      </c>
      <c r="AG27" s="35">
        <f>IF(Eingabe[[#This Row],[V1]]="","",Eingabe[[#This Row],[V1]]+Eingabe[[#This Row],[R1]])</f>
        <v>130</v>
      </c>
      <c r="AH27" s="35">
        <f>IF(Eingabe[[#This Row],[V2]]="","",Eingabe[[#This Row],[V2]]+Eingabe[[#This Row],[R2]])</f>
        <v>131</v>
      </c>
      <c r="AI27" s="35">
        <f>IF(Eingabe[[#This Row],[V3]]="","",Eingabe[[#This Row],[V3]]+Eingabe[[#This Row],[R3]])</f>
        <v>130</v>
      </c>
      <c r="AJ27" s="35">
        <f>IF(Eingabe[[#This Row],[V4]]="","",Eingabe[[#This Row],[V4]]+Eingabe[[#This Row],[R4]])</f>
        <v>139</v>
      </c>
      <c r="AK27" s="35">
        <f>IF(Eingabe[[#This Row],[S1P]]="","",Eingabe[[#This Row],[S1P]]+Eingabe[[#This Row],[S2P]]+Eingabe[[#This Row],[S3P]]+Eingabe[[#This Row],[S4P]])</f>
        <v>3.5</v>
      </c>
      <c r="AL27" s="35">
        <f>IF(Eingabe[[#This Row],[S1P]]="","",IF(Eingabe[[#This Row],[SP]]&gt;2,1,IF(Eingabe[[#This Row],[SP]]&lt;2,0,IF(Eingabe[[#This Row],[GES]]&gt;Eingabe[[#This Row],[GEGGES]],1,IF(Eingabe[[#This Row],[GES]]=Eingabe[[#This Row],[GEGGES]],0.5,0)))))</f>
        <v>1</v>
      </c>
      <c r="AM27" s="35">
        <f>IF(Eingabe[[#This Row],[MP]]="","",MOD(ROW(Eingabe[[#This Row],[Position]])-3,6)+1)</f>
        <v>1</v>
      </c>
      <c r="AN27" s="35">
        <f>STANDARDIZE(Eingabe[[#This Row],[GES]],Eingabe[[#This Row],[Schnitt]],VLOOKUP(Eingabe[[#This Row],[Name]],AuswertungG[],21,FALSE))</f>
        <v>-0.5714285714285714</v>
      </c>
      <c r="AO27" s="35">
        <f>VLOOKUP(Eingabe[[#This Row],[ID]],Chronologie[[ID]:[KW]],12,FALSE)</f>
        <v>9</v>
      </c>
      <c r="AP27" s="58" t="str">
        <f>IF(Eingabe[[#This Row],[Wo]]="H",Eingabe[[#This Row],[Gegner]]&amp;" ["&amp;Eingabe[[#This Row],[Wo]]&amp;"]",Eingabe[[#This Row],[Ort]])</f>
        <v>Glauchau</v>
      </c>
      <c r="AQ27" s="35" t="str">
        <f>IFERROR(IF(Eingabe[[#This Row],[Wo]]="H",IF(MOD(Eingabe[[#This Row],[Position]],2)=1,Eingabe[[#This Row],[S1]],Eingabe[[#This Row],[S4]]),""),"")</f>
        <v/>
      </c>
      <c r="AR27" s="35" t="str">
        <f>IFERROR(IF(Eingabe[[#This Row],[Wo]]="H",IF(Eingabe[[#This Row],[S1]]&gt;0,IF(MOD(Eingabe[[#This Row],[Position]],2)=1,Eingabe[[#This Row],[S2]],Eingabe[[#This Row],[S3]]),""),""),"")</f>
        <v/>
      </c>
      <c r="AS27" s="35" t="str">
        <f>IFERROR(IF(Eingabe[[#This Row],[Wo]]="H",IF(Eingabe[[#This Row],[S1]]&gt;0,IF(MOD(ROW(Eingabe[[#This Row],[Heimbahn 3]]),2)=1,Eingabe[[#This Row],[S4]],Eingabe[[#This Row],[S1]]),""),""),"")</f>
        <v/>
      </c>
      <c r="AT27" s="35" t="str">
        <f>IFERROR(IF(Eingabe[[#This Row],[Wo]]="H",IF(Eingabe[[#This Row],[S1]]&gt;0,IF(MOD(ROW(Eingabe[[#This Row],[Heimbahn 4]]),2)=1,Eingabe[[#This Row],[S3]],Eingabe[[#This Row],[S2]]),""),""),"")</f>
        <v/>
      </c>
      <c r="AU27" s="88">
        <f>IF(Eingabe[[#This Row],[GES]]="","",IF(Eingabe[[#This Row],[Modus]]="L",_xlfn.RANK.EQ(Eingabe[[#This Row],[GES]],AF27:AF32),IF(Eingabe[[#This Row],[Modus]]="P",_xlfn.RANK.EQ(Eingabe[[#This Row],[GES]],AF27:AF32),"")))</f>
        <v>3</v>
      </c>
      <c r="AV27" s="6">
        <f>VLOOKUP(Eingabe[[#This Row],[Name]],AuswertungG[],8,FALSE)</f>
        <v>550</v>
      </c>
      <c r="AZ27" s="6">
        <f>IFERROR(ABS(Eingabe[[#This Row],[GES]]-Eingabe[[#This Row],[GEGGES]]),"")</f>
        <v>40</v>
      </c>
    </row>
    <row r="28" spans="1:52" ht="16.2" hidden="1" thickBot="1" x14ac:dyDescent="0.35">
      <c r="A28" s="441"/>
      <c r="B28" s="21">
        <f t="shared" si="0"/>
        <v>5</v>
      </c>
      <c r="C28" s="6" t="str">
        <f>VLOOKUP($B28,Chronologie[],7,TRUE)</f>
        <v>SV Schönberg</v>
      </c>
      <c r="D28" s="6" t="str">
        <f>VLOOKUP($B28,Chronologie[],8,TRUE)</f>
        <v>Glauchau</v>
      </c>
      <c r="E28" s="240" t="str">
        <f>VLOOKUP($B28,Chronologie[],9,TRUE)</f>
        <v>A</v>
      </c>
      <c r="F28" s="6" t="str">
        <f>VLOOKUP($B28,Chronologie[],COLUMN(F29)-2,TRUE)</f>
        <v>E</v>
      </c>
      <c r="G28" s="6" t="str">
        <f>VLOOKUP($B28,Chronologie[],COLUMN(G29)-2,TRUE)</f>
        <v>L</v>
      </c>
      <c r="H28" s="6">
        <f>VLOOKUP($B28,Chronologie[],COLUMN(H29)-2,TRUE)</f>
        <v>5</v>
      </c>
      <c r="I28" s="10" t="str">
        <f>VLOOKUP($B28,Chronologie[],2,TRUE)</f>
        <v>E-L-5</v>
      </c>
      <c r="J28" s="243">
        <f>VLOOKUP($B28,Chronologie[],3,TRUE)</f>
        <v>45955</v>
      </c>
      <c r="K28" s="237" t="s">
        <v>489</v>
      </c>
      <c r="L28" s="237">
        <v>83</v>
      </c>
      <c r="M28" s="237">
        <v>90</v>
      </c>
      <c r="N28" s="237">
        <v>89</v>
      </c>
      <c r="O28" s="237">
        <v>92</v>
      </c>
      <c r="P28" s="237">
        <v>52</v>
      </c>
      <c r="Q28" s="237">
        <v>45</v>
      </c>
      <c r="R28" s="237">
        <v>53</v>
      </c>
      <c r="S28" s="237">
        <v>33</v>
      </c>
      <c r="T28" s="237">
        <v>0</v>
      </c>
      <c r="U28" s="237">
        <v>2</v>
      </c>
      <c r="V28" s="237">
        <v>0</v>
      </c>
      <c r="W28" s="237">
        <v>1</v>
      </c>
      <c r="X28" s="38">
        <v>1</v>
      </c>
      <c r="Y28" s="38">
        <v>1</v>
      </c>
      <c r="Z28" s="38">
        <v>0</v>
      </c>
      <c r="AA28" s="38">
        <v>0</v>
      </c>
      <c r="AB28" s="91">
        <v>546</v>
      </c>
      <c r="AC28" s="94">
        <f>IF(Eingabe[[#This Row],[V1]]="",IF(Eingabe[[#This Row],[Volle alternativ]]="","",Eingabe[[#This Row],[Volle alternativ]]),SUM(Eingabe[[#This Row],[V1]:[V4]]))</f>
        <v>354</v>
      </c>
      <c r="AD28" s="6">
        <f>IF(Eingabe[[#This Row],[R1]]="",IF(Eingabe[[#This Row],[Räumer alternativ]]="","",Eingabe[[#This Row],[Räumer alternativ]]),SUM(Eingabe[[#This Row],[R1]:[R4]]))</f>
        <v>183</v>
      </c>
      <c r="AE28" s="6">
        <f>IF(Eingabe[[#This Row],[F1]]="",IF(Eingabe[[#This Row],[Fehler alternativ]]="","",Eingabe[[#This Row],[Fehler alternativ]]),SUM(Eingabe[[#This Row],[F1]:[F4]]))</f>
        <v>3</v>
      </c>
      <c r="AF28" s="6">
        <f>IF(Eingabe[[#This Row],[Volle]]="","",IF(Eingabe[[#This Row],[S1]]="",Eingabe[[#This Row],[Volle]]+Eingabe[[#This Row],[Räumer]],IF(Eingabe[[#This Row],[Volle]]+Eingabe[[#This Row],[Räumer]]=Eingabe[[#This Row],[S1]]+Eingabe[[#This Row],[S2]]+Eingabe[[#This Row],[S3]]+Eingabe[[#This Row],[S4]],Eingabe[[#This Row],[Volle]]+Eingabe[[#This Row],[Räumer]],"FEHLER")))</f>
        <v>537</v>
      </c>
      <c r="AG28" s="6">
        <f>IF(Eingabe[[#This Row],[V1]]="","",Eingabe[[#This Row],[V1]]+Eingabe[[#This Row],[R1]])</f>
        <v>135</v>
      </c>
      <c r="AH28" s="6">
        <f>IF(Eingabe[[#This Row],[V2]]="","",Eingabe[[#This Row],[V2]]+Eingabe[[#This Row],[R2]])</f>
        <v>135</v>
      </c>
      <c r="AI28" s="6">
        <f>IF(Eingabe[[#This Row],[V3]]="","",Eingabe[[#This Row],[V3]]+Eingabe[[#This Row],[R3]])</f>
        <v>142</v>
      </c>
      <c r="AJ28" s="6">
        <f>IF(Eingabe[[#This Row],[V4]]="","",Eingabe[[#This Row],[V4]]+Eingabe[[#This Row],[R4]])</f>
        <v>125</v>
      </c>
      <c r="AK28" s="6">
        <f>IF(Eingabe[[#This Row],[S1P]]="","",Eingabe[[#This Row],[S1P]]+Eingabe[[#This Row],[S2P]]+Eingabe[[#This Row],[S3P]]+Eingabe[[#This Row],[S4P]])</f>
        <v>2</v>
      </c>
      <c r="AL28" s="6">
        <f>IF(Eingabe[[#This Row],[S1P]]="","",IF(Eingabe[[#This Row],[SP]]&gt;2,1,IF(Eingabe[[#This Row],[SP]]&lt;2,0,IF(Eingabe[[#This Row],[GES]]&gt;Eingabe[[#This Row],[GEGGES]],1,IF(Eingabe[[#This Row],[GES]]=Eingabe[[#This Row],[GEGGES]],0.5,0)))))</f>
        <v>0</v>
      </c>
      <c r="AM28" s="6">
        <f>IF(Eingabe[[#This Row],[MP]]="","",MOD(ROW(Eingabe[[#This Row],[Position]])-3,6)+1)</f>
        <v>2</v>
      </c>
      <c r="AN28" s="6">
        <f>STANDARDIZE(Eingabe[[#This Row],[GES]],Eingabe[[#This Row],[Schnitt]],VLOOKUP(Eingabe[[#This Row],[Name]],AuswertungG[],21,FALSE))</f>
        <v>0.45833333333333331</v>
      </c>
      <c r="AO28" s="6">
        <f>VLOOKUP(Eingabe[[#This Row],[ID]],Chronologie[[ID]:[KW]],12,FALSE)</f>
        <v>9</v>
      </c>
      <c r="AP28" s="95" t="str">
        <f>IF(Eingabe[[#This Row],[Wo]]="H",Eingabe[[#This Row],[Gegner]]&amp;" ["&amp;Eingabe[[#This Row],[Wo]]&amp;"]",Eingabe[[#This Row],[Ort]])</f>
        <v>Glauchau</v>
      </c>
      <c r="AQ28" s="6" t="str">
        <f>IFERROR(IF(Eingabe[[#This Row],[Wo]]="H",IF(MOD(Eingabe[[#This Row],[Position]],2)=1,Eingabe[[#This Row],[S1]],Eingabe[[#This Row],[S4]]),""),"")</f>
        <v/>
      </c>
      <c r="AR28" s="6" t="str">
        <f>IFERROR(IF(Eingabe[[#This Row],[Wo]]="H",IF(Eingabe[[#This Row],[S1]]&gt;0,IF(MOD(Eingabe[[#This Row],[Position]],2)=1,Eingabe[[#This Row],[S2]],Eingabe[[#This Row],[S3]]),""),""),"")</f>
        <v/>
      </c>
      <c r="AS28" s="6" t="str">
        <f>IFERROR(IF(Eingabe[[#This Row],[Wo]]="H",IF(Eingabe[[#This Row],[S1]]&gt;0,IF(MOD(ROW(Eingabe[[#This Row],[Heimbahn 3]]),2)=1,Eingabe[[#This Row],[S4]],Eingabe[[#This Row],[S1]]),""),""),"")</f>
        <v/>
      </c>
      <c r="AT28" s="6" t="str">
        <f>IFERROR(IF(Eingabe[[#This Row],[Wo]]="H",IF(Eingabe[[#This Row],[S1]]&gt;0,IF(MOD(ROW(Eingabe[[#This Row],[Heimbahn 4]]),2)=1,Eingabe[[#This Row],[S3]],Eingabe[[#This Row],[S2]]),""),""),"")</f>
        <v/>
      </c>
      <c r="AU28" s="22">
        <f>IF(Eingabe[[#This Row],[GES]]="","",IF(Eingabe[[#This Row],[Modus]]="L",_xlfn.RANK.EQ(Eingabe[[#This Row],[GES]],AF27:AF32),IF(Eingabe[[#This Row],[Modus]]="P",_xlfn.RANK.EQ(Eingabe[[#This Row],[GES]],AF27:AF32),"")))</f>
        <v>2</v>
      </c>
      <c r="AV28" s="6">
        <f>VLOOKUP(Eingabe[[#This Row],[Name]],AuswertungG[],8,FALSE)</f>
        <v>526</v>
      </c>
      <c r="AZ28" s="6">
        <f>IFERROR(ABS(Eingabe[[#This Row],[GES]]-Eingabe[[#This Row],[GEGGES]]),"")</f>
        <v>9</v>
      </c>
    </row>
    <row r="29" spans="1:52" ht="16.2" hidden="1" thickBot="1" x14ac:dyDescent="0.35">
      <c r="A29" s="441"/>
      <c r="B29" s="21">
        <f t="shared" si="0"/>
        <v>5</v>
      </c>
      <c r="C29" s="6" t="str">
        <f>VLOOKUP($B29,Chronologie[],7,TRUE)</f>
        <v>SV Schönberg</v>
      </c>
      <c r="D29" s="6" t="str">
        <f>VLOOKUP($B29,Chronologie[],8,TRUE)</f>
        <v>Glauchau</v>
      </c>
      <c r="E29" s="240" t="str">
        <f>VLOOKUP($B29,Chronologie[],9,TRUE)</f>
        <v>A</v>
      </c>
      <c r="F29" s="6" t="str">
        <f>VLOOKUP($B29,Chronologie[],COLUMN(F30)-2,TRUE)</f>
        <v>E</v>
      </c>
      <c r="G29" s="6" t="str">
        <f>VLOOKUP($B29,Chronologie[],COLUMN(G30)-2,TRUE)</f>
        <v>L</v>
      </c>
      <c r="H29" s="6">
        <f>VLOOKUP($B29,Chronologie[],COLUMN(H30)-2,TRUE)</f>
        <v>5</v>
      </c>
      <c r="I29" s="10" t="str">
        <f>VLOOKUP($B29,Chronologie[],2,TRUE)</f>
        <v>E-L-5</v>
      </c>
      <c r="J29" s="243">
        <f>VLOOKUP($B29,Chronologie[],3,TRUE)</f>
        <v>45955</v>
      </c>
      <c r="K29" s="237" t="s">
        <v>6</v>
      </c>
      <c r="L29" s="237">
        <v>87</v>
      </c>
      <c r="M29" s="237">
        <v>99</v>
      </c>
      <c r="N29" s="237">
        <v>94</v>
      </c>
      <c r="O29" s="237">
        <v>89</v>
      </c>
      <c r="P29" s="237">
        <v>45</v>
      </c>
      <c r="Q29" s="237">
        <v>53</v>
      </c>
      <c r="R29" s="237">
        <v>43</v>
      </c>
      <c r="S29" s="237">
        <v>43</v>
      </c>
      <c r="T29" s="237">
        <v>2</v>
      </c>
      <c r="U29" s="237">
        <v>0</v>
      </c>
      <c r="V29" s="237">
        <v>2</v>
      </c>
      <c r="W29" s="237">
        <v>0</v>
      </c>
      <c r="X29" s="38">
        <v>0.5</v>
      </c>
      <c r="Y29" s="38">
        <v>1</v>
      </c>
      <c r="Z29" s="38">
        <v>0</v>
      </c>
      <c r="AA29" s="38">
        <v>1</v>
      </c>
      <c r="AB29" s="91">
        <v>541</v>
      </c>
      <c r="AC29" s="94">
        <f>IF(Eingabe[[#This Row],[V1]]="",IF(Eingabe[[#This Row],[Volle alternativ]]="","",Eingabe[[#This Row],[Volle alternativ]]),SUM(Eingabe[[#This Row],[V1]:[V4]]))</f>
        <v>369</v>
      </c>
      <c r="AD29" s="6">
        <f>IF(Eingabe[[#This Row],[R1]]="",IF(Eingabe[[#This Row],[Räumer alternativ]]="","",Eingabe[[#This Row],[Räumer alternativ]]),SUM(Eingabe[[#This Row],[R1]:[R4]]))</f>
        <v>184</v>
      </c>
      <c r="AE29" s="6">
        <f>IF(Eingabe[[#This Row],[F1]]="",IF(Eingabe[[#This Row],[Fehler alternativ]]="","",Eingabe[[#This Row],[Fehler alternativ]]),SUM(Eingabe[[#This Row],[F1]:[F4]]))</f>
        <v>4</v>
      </c>
      <c r="AF29" s="6">
        <f>IF(Eingabe[[#This Row],[Volle]]="","",IF(Eingabe[[#This Row],[S1]]="",Eingabe[[#This Row],[Volle]]+Eingabe[[#This Row],[Räumer]],IF(Eingabe[[#This Row],[Volle]]+Eingabe[[#This Row],[Räumer]]=Eingabe[[#This Row],[S1]]+Eingabe[[#This Row],[S2]]+Eingabe[[#This Row],[S3]]+Eingabe[[#This Row],[S4]],Eingabe[[#This Row],[Volle]]+Eingabe[[#This Row],[Räumer]],"FEHLER")))</f>
        <v>553</v>
      </c>
      <c r="AG29" s="6">
        <f>IF(Eingabe[[#This Row],[V1]]="","",Eingabe[[#This Row],[V1]]+Eingabe[[#This Row],[R1]])</f>
        <v>132</v>
      </c>
      <c r="AH29" s="6">
        <f>IF(Eingabe[[#This Row],[V2]]="","",Eingabe[[#This Row],[V2]]+Eingabe[[#This Row],[R2]])</f>
        <v>152</v>
      </c>
      <c r="AI29" s="6">
        <f>IF(Eingabe[[#This Row],[V3]]="","",Eingabe[[#This Row],[V3]]+Eingabe[[#This Row],[R3]])</f>
        <v>137</v>
      </c>
      <c r="AJ29" s="6">
        <f>IF(Eingabe[[#This Row],[V4]]="","",Eingabe[[#This Row],[V4]]+Eingabe[[#This Row],[R4]])</f>
        <v>132</v>
      </c>
      <c r="AK29" s="6">
        <f>IF(Eingabe[[#This Row],[S1P]]="","",Eingabe[[#This Row],[S1P]]+Eingabe[[#This Row],[S2P]]+Eingabe[[#This Row],[S3P]]+Eingabe[[#This Row],[S4P]])</f>
        <v>2.5</v>
      </c>
      <c r="AL29" s="6">
        <f>IF(Eingabe[[#This Row],[S1P]]="","",IF(Eingabe[[#This Row],[SP]]&gt;2,1,IF(Eingabe[[#This Row],[SP]]&lt;2,0,IF(Eingabe[[#This Row],[GES]]&gt;Eingabe[[#This Row],[GEGGES]],1,IF(Eingabe[[#This Row],[GES]]=Eingabe[[#This Row],[GEGGES]],0.5,0)))))</f>
        <v>1</v>
      </c>
      <c r="AM29" s="6">
        <f>IF(Eingabe[[#This Row],[MP]]="","",MOD(ROW(Eingabe[[#This Row],[Position]])-3,6)+1)</f>
        <v>3</v>
      </c>
      <c r="AN29" s="6">
        <f>STANDARDIZE(Eingabe[[#This Row],[GES]],Eingabe[[#This Row],[Schnitt]],VLOOKUP(Eingabe[[#This Row],[Name]],AuswertungG[],21,FALSE))</f>
        <v>1.3333333333333333</v>
      </c>
      <c r="AO29" s="6">
        <f>VLOOKUP(Eingabe[[#This Row],[ID]],Chronologie[[ID]:[KW]],12,FALSE)</f>
        <v>9</v>
      </c>
      <c r="AP29" s="95" t="str">
        <f>IF(Eingabe[[#This Row],[Wo]]="H",Eingabe[[#This Row],[Gegner]]&amp;" ["&amp;Eingabe[[#This Row],[Wo]]&amp;"]",Eingabe[[#This Row],[Ort]])</f>
        <v>Glauchau</v>
      </c>
      <c r="AQ29" s="6" t="str">
        <f>IFERROR(IF(Eingabe[[#This Row],[Wo]]="H",IF(MOD(Eingabe[[#This Row],[Position]],2)=1,Eingabe[[#This Row],[S1]],Eingabe[[#This Row],[S4]]),""),"")</f>
        <v/>
      </c>
      <c r="AR29" s="6" t="str">
        <f>IFERROR(IF(Eingabe[[#This Row],[Wo]]="H",IF(Eingabe[[#This Row],[S1]]&gt;0,IF(MOD(Eingabe[[#This Row],[Position]],2)=1,Eingabe[[#This Row],[S2]],Eingabe[[#This Row],[S3]]),""),""),"")</f>
        <v/>
      </c>
      <c r="AS29" s="6" t="str">
        <f>IFERROR(IF(Eingabe[[#This Row],[Wo]]="H",IF(Eingabe[[#This Row],[S1]]&gt;0,IF(MOD(ROW(Eingabe[[#This Row],[Heimbahn 3]]),2)=1,Eingabe[[#This Row],[S4]],Eingabe[[#This Row],[S1]]),""),""),"")</f>
        <v/>
      </c>
      <c r="AT29" s="6" t="str">
        <f>IFERROR(IF(Eingabe[[#This Row],[Wo]]="H",IF(Eingabe[[#This Row],[S1]]&gt;0,IF(MOD(ROW(Eingabe[[#This Row],[Heimbahn 4]]),2)=1,Eingabe[[#This Row],[S3]],Eingabe[[#This Row],[S2]]),""),""),"")</f>
        <v/>
      </c>
      <c r="AU29" s="22">
        <f>IF(Eingabe[[#This Row],[GES]]="","",IF(Eingabe[[#This Row],[Modus]]="L",_xlfn.RANK.EQ(Eingabe[[#This Row],[GES]],AF27:AF32),IF(Eingabe[[#This Row],[Modus]]="P",_xlfn.RANK.EQ(Eingabe[[#This Row],[GES]],AF27:AF32),"")))</f>
        <v>1</v>
      </c>
      <c r="AV29" s="6">
        <f>VLOOKUP(Eingabe[[#This Row],[Name]],AuswertungG[],8,FALSE)</f>
        <v>529</v>
      </c>
      <c r="AZ29" s="6">
        <f>IFERROR(ABS(Eingabe[[#This Row],[GES]]-Eingabe[[#This Row],[GEGGES]]),"")</f>
        <v>12</v>
      </c>
    </row>
    <row r="30" spans="1:52" ht="16.2" hidden="1" thickBot="1" x14ac:dyDescent="0.35">
      <c r="A30" s="441"/>
      <c r="B30" s="21">
        <f t="shared" si="0"/>
        <v>5</v>
      </c>
      <c r="C30" s="6" t="str">
        <f>VLOOKUP($B30,Chronologie[],7,TRUE)</f>
        <v>SV Schönberg</v>
      </c>
      <c r="D30" s="6" t="str">
        <f>VLOOKUP($B30,Chronologie[],8,TRUE)</f>
        <v>Glauchau</v>
      </c>
      <c r="E30" s="240" t="str">
        <f>VLOOKUP($B30,Chronologie[],9,TRUE)</f>
        <v>A</v>
      </c>
      <c r="F30" s="6" t="str">
        <f>VLOOKUP($B30,Chronologie[],COLUMN(F31)-2,TRUE)</f>
        <v>E</v>
      </c>
      <c r="G30" s="6" t="str">
        <f>VLOOKUP($B30,Chronologie[],COLUMN(G31)-2,TRUE)</f>
        <v>L</v>
      </c>
      <c r="H30" s="6">
        <f>VLOOKUP($B30,Chronologie[],COLUMN(H31)-2,TRUE)</f>
        <v>5</v>
      </c>
      <c r="I30" s="10" t="str">
        <f>VLOOKUP($B30,Chronologie[],2,TRUE)</f>
        <v>E-L-5</v>
      </c>
      <c r="J30" s="243">
        <f>VLOOKUP($B30,Chronologie[],3,TRUE)</f>
        <v>45955</v>
      </c>
      <c r="K30" s="238" t="s">
        <v>659</v>
      </c>
      <c r="L30" s="237">
        <v>98</v>
      </c>
      <c r="M30" s="237">
        <v>76</v>
      </c>
      <c r="N30" s="237">
        <v>84</v>
      </c>
      <c r="O30" s="237">
        <v>100</v>
      </c>
      <c r="P30" s="237">
        <v>43</v>
      </c>
      <c r="Q30" s="237">
        <v>36</v>
      </c>
      <c r="R30" s="237">
        <v>45</v>
      </c>
      <c r="S30" s="237">
        <v>32</v>
      </c>
      <c r="T30" s="237">
        <v>1</v>
      </c>
      <c r="U30" s="237">
        <v>0</v>
      </c>
      <c r="V30" s="237">
        <v>3</v>
      </c>
      <c r="W30" s="237">
        <v>2</v>
      </c>
      <c r="X30" s="38">
        <v>1</v>
      </c>
      <c r="Y30" s="38">
        <v>0</v>
      </c>
      <c r="Z30" s="38">
        <v>0</v>
      </c>
      <c r="AA30" s="38">
        <v>1</v>
      </c>
      <c r="AB30" s="91">
        <v>532</v>
      </c>
      <c r="AC30" s="94">
        <f>IF(Eingabe[[#This Row],[V1]]="",IF(Eingabe[[#This Row],[Volle alternativ]]="","",Eingabe[[#This Row],[Volle alternativ]]),SUM(Eingabe[[#This Row],[V1]:[V4]]))</f>
        <v>358</v>
      </c>
      <c r="AD30" s="6">
        <f>IF(Eingabe[[#This Row],[R1]]="",IF(Eingabe[[#This Row],[Räumer alternativ]]="","",Eingabe[[#This Row],[Räumer alternativ]]),SUM(Eingabe[[#This Row],[R1]:[R4]]))</f>
        <v>156</v>
      </c>
      <c r="AE30" s="6">
        <f>IF(Eingabe[[#This Row],[F1]]="",IF(Eingabe[[#This Row],[Fehler alternativ]]="","",Eingabe[[#This Row],[Fehler alternativ]]),SUM(Eingabe[[#This Row],[F1]:[F4]]))</f>
        <v>6</v>
      </c>
      <c r="AF30" s="6">
        <f>IF(Eingabe[[#This Row],[Volle]]="","",IF(Eingabe[[#This Row],[S1]]="",Eingabe[[#This Row],[Volle]]+Eingabe[[#This Row],[Räumer]],IF(Eingabe[[#This Row],[Volle]]+Eingabe[[#This Row],[Räumer]]=Eingabe[[#This Row],[S1]]+Eingabe[[#This Row],[S2]]+Eingabe[[#This Row],[S3]]+Eingabe[[#This Row],[S4]],Eingabe[[#This Row],[Volle]]+Eingabe[[#This Row],[Räumer]],"FEHLER")))</f>
        <v>514</v>
      </c>
      <c r="AG30" s="6">
        <f>IF(Eingabe[[#This Row],[V1]]="","",Eingabe[[#This Row],[V1]]+Eingabe[[#This Row],[R1]])</f>
        <v>141</v>
      </c>
      <c r="AH30" s="6">
        <f>IF(Eingabe[[#This Row],[V2]]="","",Eingabe[[#This Row],[V2]]+Eingabe[[#This Row],[R2]])</f>
        <v>112</v>
      </c>
      <c r="AI30" s="6">
        <f>IF(Eingabe[[#This Row],[V3]]="","",Eingabe[[#This Row],[V3]]+Eingabe[[#This Row],[R3]])</f>
        <v>129</v>
      </c>
      <c r="AJ30" s="6">
        <f>IF(Eingabe[[#This Row],[V4]]="","",Eingabe[[#This Row],[V4]]+Eingabe[[#This Row],[R4]])</f>
        <v>132</v>
      </c>
      <c r="AK30" s="6">
        <f>IF(Eingabe[[#This Row],[S1P]]="","",Eingabe[[#This Row],[S1P]]+Eingabe[[#This Row],[S2P]]+Eingabe[[#This Row],[S3P]]+Eingabe[[#This Row],[S4P]])</f>
        <v>2</v>
      </c>
      <c r="AL30" s="6">
        <f>IF(Eingabe[[#This Row],[S1P]]="","",IF(Eingabe[[#This Row],[SP]]&gt;2,1,IF(Eingabe[[#This Row],[SP]]&lt;2,0,IF(Eingabe[[#This Row],[GES]]&gt;Eingabe[[#This Row],[GEGGES]],1,IF(Eingabe[[#This Row],[GES]]=Eingabe[[#This Row],[GEGGES]],0.5,0)))))</f>
        <v>0</v>
      </c>
      <c r="AM30" s="6">
        <f>IF(Eingabe[[#This Row],[MP]]="","",MOD(ROW(Eingabe[[#This Row],[Position]])-3,6)+1)</f>
        <v>4</v>
      </c>
      <c r="AN30" s="6">
        <f>STANDARDIZE(Eingabe[[#This Row],[GES]],Eingabe[[#This Row],[Schnitt]],VLOOKUP(Eingabe[[#This Row],[Name]],AuswertungG[],21,FALSE))</f>
        <v>-0.75</v>
      </c>
      <c r="AO30" s="6">
        <f>VLOOKUP(Eingabe[[#This Row],[ID]],Chronologie[[ID]:[KW]],12,FALSE)</f>
        <v>9</v>
      </c>
      <c r="AP30" s="95" t="str">
        <f>IF(Eingabe[[#This Row],[Wo]]="H",Eingabe[[#This Row],[Gegner]]&amp;" ["&amp;Eingabe[[#This Row],[Wo]]&amp;"]",Eingabe[[#This Row],[Ort]])</f>
        <v>Glauchau</v>
      </c>
      <c r="AQ30" s="6" t="str">
        <f>IFERROR(IF(Eingabe[[#This Row],[Wo]]="H",IF(MOD(Eingabe[[#This Row],[Position]],2)=1,Eingabe[[#This Row],[S1]],Eingabe[[#This Row],[S4]]),""),"")</f>
        <v/>
      </c>
      <c r="AR30" s="6" t="str">
        <f>IFERROR(IF(Eingabe[[#This Row],[Wo]]="H",IF(Eingabe[[#This Row],[S1]]&gt;0,IF(MOD(Eingabe[[#This Row],[Position]],2)=1,Eingabe[[#This Row],[S2]],Eingabe[[#This Row],[S3]]),""),""),"")</f>
        <v/>
      </c>
      <c r="AS30" s="6" t="str">
        <f>IFERROR(IF(Eingabe[[#This Row],[Wo]]="H",IF(Eingabe[[#This Row],[S1]]&gt;0,IF(MOD(ROW(Eingabe[[#This Row],[Heimbahn 3]]),2)=1,Eingabe[[#This Row],[S4]],Eingabe[[#This Row],[S1]]),""),""),"")</f>
        <v/>
      </c>
      <c r="AT30" s="6" t="str">
        <f>IFERROR(IF(Eingabe[[#This Row],[Wo]]="H",IF(Eingabe[[#This Row],[S1]]&gt;0,IF(MOD(ROW(Eingabe[[#This Row],[Heimbahn 4]]),2)=1,Eingabe[[#This Row],[S3]],Eingabe[[#This Row],[S2]]),""),""),"")</f>
        <v/>
      </c>
      <c r="AU30" s="22">
        <f>IF(Eingabe[[#This Row],[GES]]="","",IF(Eingabe[[#This Row],[Modus]]="L",_xlfn.RANK.EQ(Eingabe[[#This Row],[GES]],AF27:AF32),IF(Eingabe[[#This Row],[Modus]]="P",_xlfn.RANK.EQ(Eingabe[[#This Row],[GES]],AF27:AF32),"")))</f>
        <v>5</v>
      </c>
      <c r="AV30" s="6">
        <f>VLOOKUP(Eingabe[[#This Row],[Name]],AuswertungG[],8,FALSE)</f>
        <v>532</v>
      </c>
      <c r="AZ30" s="6">
        <f>IFERROR(ABS(Eingabe[[#This Row],[GES]]-Eingabe[[#This Row],[GEGGES]]),"")</f>
        <v>18</v>
      </c>
    </row>
    <row r="31" spans="1:52" ht="16.2" hidden="1" thickBot="1" x14ac:dyDescent="0.35">
      <c r="A31" s="441"/>
      <c r="B31" s="21">
        <f t="shared" si="0"/>
        <v>5</v>
      </c>
      <c r="C31" s="6" t="str">
        <f>VLOOKUP($B31,Chronologie[],7,TRUE)</f>
        <v>SV Schönberg</v>
      </c>
      <c r="D31" s="6" t="str">
        <f>VLOOKUP($B31,Chronologie[],8,TRUE)</f>
        <v>Glauchau</v>
      </c>
      <c r="E31" s="240" t="str">
        <f>VLOOKUP($B31,Chronologie[],9,TRUE)</f>
        <v>A</v>
      </c>
      <c r="F31" s="6" t="str">
        <f>VLOOKUP($B31,Chronologie[],COLUMN(F32)-2,TRUE)</f>
        <v>E</v>
      </c>
      <c r="G31" s="6" t="str">
        <f>VLOOKUP($B31,Chronologie[],COLUMN(G32)-2,TRUE)</f>
        <v>L</v>
      </c>
      <c r="H31" s="6">
        <f>VLOOKUP($B31,Chronologie[],COLUMN(H32)-2,TRUE)</f>
        <v>5</v>
      </c>
      <c r="I31" s="10" t="str">
        <f>VLOOKUP($B31,Chronologie[],2,TRUE)</f>
        <v>E-L-5</v>
      </c>
      <c r="J31" s="243">
        <f>VLOOKUP($B31,Chronologie[],3,TRUE)</f>
        <v>45955</v>
      </c>
      <c r="K31" s="237" t="s">
        <v>660</v>
      </c>
      <c r="L31" s="237">
        <v>86</v>
      </c>
      <c r="M31" s="237">
        <v>77</v>
      </c>
      <c r="N31" s="237">
        <v>100</v>
      </c>
      <c r="O31" s="237">
        <v>81</v>
      </c>
      <c r="P31" s="237">
        <v>33</v>
      </c>
      <c r="Q31" s="237">
        <v>36</v>
      </c>
      <c r="R31" s="237">
        <v>42</v>
      </c>
      <c r="S31" s="237">
        <v>24</v>
      </c>
      <c r="T31" s="237">
        <v>3</v>
      </c>
      <c r="U31" s="237">
        <v>4</v>
      </c>
      <c r="V31" s="237">
        <v>4</v>
      </c>
      <c r="W31" s="237">
        <v>7</v>
      </c>
      <c r="X31" s="38">
        <v>0</v>
      </c>
      <c r="Y31" s="38">
        <v>0</v>
      </c>
      <c r="Z31" s="38">
        <v>1</v>
      </c>
      <c r="AA31" s="38">
        <v>0</v>
      </c>
      <c r="AB31" s="91">
        <v>540</v>
      </c>
      <c r="AC31" s="94">
        <f>IF(Eingabe[[#This Row],[V1]]="",IF(Eingabe[[#This Row],[Volle alternativ]]="","",Eingabe[[#This Row],[Volle alternativ]]),SUM(Eingabe[[#This Row],[V1]:[V4]]))</f>
        <v>344</v>
      </c>
      <c r="AD31" s="6">
        <f>IF(Eingabe[[#This Row],[R1]]="",IF(Eingabe[[#This Row],[Räumer alternativ]]="","",Eingabe[[#This Row],[Räumer alternativ]]),SUM(Eingabe[[#This Row],[R1]:[R4]]))</f>
        <v>135</v>
      </c>
      <c r="AE31" s="6">
        <f>IF(Eingabe[[#This Row],[F1]]="",IF(Eingabe[[#This Row],[Fehler alternativ]]="","",Eingabe[[#This Row],[Fehler alternativ]]),SUM(Eingabe[[#This Row],[F1]:[F4]]))</f>
        <v>18</v>
      </c>
      <c r="AF31" s="6">
        <f>IF(Eingabe[[#This Row],[Volle]]="","",IF(Eingabe[[#This Row],[S1]]="",Eingabe[[#This Row],[Volle]]+Eingabe[[#This Row],[Räumer]],IF(Eingabe[[#This Row],[Volle]]+Eingabe[[#This Row],[Räumer]]=Eingabe[[#This Row],[S1]]+Eingabe[[#This Row],[S2]]+Eingabe[[#This Row],[S3]]+Eingabe[[#This Row],[S4]],Eingabe[[#This Row],[Volle]]+Eingabe[[#This Row],[Räumer]],"FEHLER")))</f>
        <v>479</v>
      </c>
      <c r="AG31" s="6">
        <f>IF(Eingabe[[#This Row],[V1]]="","",Eingabe[[#This Row],[V1]]+Eingabe[[#This Row],[R1]])</f>
        <v>119</v>
      </c>
      <c r="AH31" s="6">
        <f>IF(Eingabe[[#This Row],[V2]]="","",Eingabe[[#This Row],[V2]]+Eingabe[[#This Row],[R2]])</f>
        <v>113</v>
      </c>
      <c r="AI31" s="6">
        <f>IF(Eingabe[[#This Row],[V3]]="","",Eingabe[[#This Row],[V3]]+Eingabe[[#This Row],[R3]])</f>
        <v>142</v>
      </c>
      <c r="AJ31" s="6">
        <f>IF(Eingabe[[#This Row],[V4]]="","",Eingabe[[#This Row],[V4]]+Eingabe[[#This Row],[R4]])</f>
        <v>105</v>
      </c>
      <c r="AK31" s="6">
        <f>IF(Eingabe[[#This Row],[S1P]]="","",Eingabe[[#This Row],[S1P]]+Eingabe[[#This Row],[S2P]]+Eingabe[[#This Row],[S3P]]+Eingabe[[#This Row],[S4P]])</f>
        <v>1</v>
      </c>
      <c r="AL31" s="6">
        <f>IF(Eingabe[[#This Row],[S1P]]="","",IF(Eingabe[[#This Row],[SP]]&gt;2,1,IF(Eingabe[[#This Row],[SP]]&lt;2,0,IF(Eingabe[[#This Row],[GES]]&gt;Eingabe[[#This Row],[GEGGES]],1,IF(Eingabe[[#This Row],[GES]]=Eingabe[[#This Row],[GEGGES]],0.5,0)))))</f>
        <v>0</v>
      </c>
      <c r="AM31" s="6">
        <f>IF(Eingabe[[#This Row],[MP]]="","",MOD(ROW(Eingabe[[#This Row],[Position]])-3,6)+1)</f>
        <v>5</v>
      </c>
      <c r="AN31" s="6">
        <f>STANDARDIZE(Eingabe[[#This Row],[GES]],Eingabe[[#This Row],[Schnitt]],VLOOKUP(Eingabe[[#This Row],[Name]],AuswertungG[],21,FALSE))</f>
        <v>-0.93548387096774188</v>
      </c>
      <c r="AO31" s="6">
        <f>VLOOKUP(Eingabe[[#This Row],[ID]],Chronologie[[ID]:[KW]],12,FALSE)</f>
        <v>9</v>
      </c>
      <c r="AP31" s="95" t="str">
        <f>IF(Eingabe[[#This Row],[Wo]]="H",Eingabe[[#This Row],[Gegner]]&amp;" ["&amp;Eingabe[[#This Row],[Wo]]&amp;"]",Eingabe[[#This Row],[Ort]])</f>
        <v>Glauchau</v>
      </c>
      <c r="AQ31" s="6" t="str">
        <f>IFERROR(IF(Eingabe[[#This Row],[Wo]]="H",IF(MOD(Eingabe[[#This Row],[Position]],2)=1,Eingabe[[#This Row],[S1]],Eingabe[[#This Row],[S4]]),""),"")</f>
        <v/>
      </c>
      <c r="AR31" s="6" t="str">
        <f>IFERROR(IF(Eingabe[[#This Row],[Wo]]="H",IF(Eingabe[[#This Row],[S1]]&gt;0,IF(MOD(Eingabe[[#This Row],[Position]],2)=1,Eingabe[[#This Row],[S2]],Eingabe[[#This Row],[S3]]),""),""),"")</f>
        <v/>
      </c>
      <c r="AS31" s="6" t="str">
        <f>IFERROR(IF(Eingabe[[#This Row],[Wo]]="H",IF(Eingabe[[#This Row],[S1]]&gt;0,IF(MOD(ROW(Eingabe[[#This Row],[Heimbahn 3]]),2)=1,Eingabe[[#This Row],[S4]],Eingabe[[#This Row],[S1]]),""),""),"")</f>
        <v/>
      </c>
      <c r="AT31" s="6" t="str">
        <f>IFERROR(IF(Eingabe[[#This Row],[Wo]]="H",IF(Eingabe[[#This Row],[S1]]&gt;0,IF(MOD(ROW(Eingabe[[#This Row],[Heimbahn 4]]),2)=1,Eingabe[[#This Row],[S3]],Eingabe[[#This Row],[S2]]),""),""),"")</f>
        <v/>
      </c>
      <c r="AU31" s="22">
        <f>IF(Eingabe[[#This Row],[GES]]="","",IF(Eingabe[[#This Row],[Modus]]="L",_xlfn.RANK.EQ(Eingabe[[#This Row],[GES]],AF27:AF32),IF(Eingabe[[#This Row],[Modus]]="P",_xlfn.RANK.EQ(Eingabe[[#This Row],[GES]],AF27:AF32),"")))</f>
        <v>6</v>
      </c>
      <c r="AV31" s="6">
        <f>VLOOKUP(Eingabe[[#This Row],[Name]],AuswertungG[],8,FALSE)</f>
        <v>508</v>
      </c>
      <c r="AZ31" s="6">
        <f>IFERROR(ABS(Eingabe[[#This Row],[GES]]-Eingabe[[#This Row],[GEGGES]]),"")</f>
        <v>61</v>
      </c>
    </row>
    <row r="32" spans="1:52" ht="16.2" hidden="1" thickBot="1" x14ac:dyDescent="0.35">
      <c r="A32" s="442"/>
      <c r="B32" s="56">
        <f t="shared" si="0"/>
        <v>5</v>
      </c>
      <c r="C32" s="23" t="str">
        <f>VLOOKUP($B32,Chronologie[],7,TRUE)</f>
        <v>SV Schönberg</v>
      </c>
      <c r="D32" s="23" t="str">
        <f>VLOOKUP($B32,Chronologie[],8,TRUE)</f>
        <v>Glauchau</v>
      </c>
      <c r="E32" s="39" t="str">
        <f>VLOOKUP($B32,Chronologie[],9,TRUE)</f>
        <v>A</v>
      </c>
      <c r="F32" s="23" t="str">
        <f>VLOOKUP($B32,Chronologie[],COLUMN(F33)-2,TRUE)</f>
        <v>E</v>
      </c>
      <c r="G32" s="23" t="str">
        <f>VLOOKUP($B32,Chronologie[],COLUMN(G33)-2,TRUE)</f>
        <v>L</v>
      </c>
      <c r="H32" s="23">
        <f>VLOOKUP($B32,Chronologie[],COLUMN(H33)-2,TRUE)</f>
        <v>5</v>
      </c>
      <c r="I32" s="13" t="str">
        <f>VLOOKUP($B32,Chronologie[],2,TRUE)</f>
        <v>E-L-5</v>
      </c>
      <c r="J32" s="244">
        <f>VLOOKUP($B32,Chronologie[],3,TRUE)</f>
        <v>45955</v>
      </c>
      <c r="K32" s="239" t="s">
        <v>469</v>
      </c>
      <c r="L32" s="239">
        <v>87</v>
      </c>
      <c r="M32" s="239">
        <v>94</v>
      </c>
      <c r="N32" s="239">
        <v>90</v>
      </c>
      <c r="O32" s="239">
        <v>88</v>
      </c>
      <c r="P32" s="239">
        <v>53</v>
      </c>
      <c r="Q32" s="239">
        <v>43</v>
      </c>
      <c r="R32" s="239">
        <v>39</v>
      </c>
      <c r="S32" s="239">
        <v>34</v>
      </c>
      <c r="T32" s="239">
        <v>1</v>
      </c>
      <c r="U32" s="239">
        <v>0</v>
      </c>
      <c r="V32" s="239">
        <v>3</v>
      </c>
      <c r="W32" s="239">
        <v>3</v>
      </c>
      <c r="X32" s="40">
        <v>1</v>
      </c>
      <c r="Y32" s="40">
        <v>0</v>
      </c>
      <c r="Z32" s="40">
        <v>0</v>
      </c>
      <c r="AA32" s="40">
        <v>0</v>
      </c>
      <c r="AB32" s="92">
        <v>555</v>
      </c>
      <c r="AC32" s="96">
        <f>IF(Eingabe[[#This Row],[V1]]="",IF(Eingabe[[#This Row],[Volle alternativ]]="","",Eingabe[[#This Row],[Volle alternativ]]),SUM(Eingabe[[#This Row],[V1]:[V4]]))</f>
        <v>359</v>
      </c>
      <c r="AD32" s="23">
        <f>IF(Eingabe[[#This Row],[R1]]="",IF(Eingabe[[#This Row],[Räumer alternativ]]="","",Eingabe[[#This Row],[Räumer alternativ]]),SUM(Eingabe[[#This Row],[R1]:[R4]]))</f>
        <v>169</v>
      </c>
      <c r="AE32" s="23">
        <f>IF(Eingabe[[#This Row],[F1]]="",IF(Eingabe[[#This Row],[Fehler alternativ]]="","",Eingabe[[#This Row],[Fehler alternativ]]),SUM(Eingabe[[#This Row],[F1]:[F4]]))</f>
        <v>7</v>
      </c>
      <c r="AF32" s="23">
        <f>IF(Eingabe[[#This Row],[Volle]]="","",IF(Eingabe[[#This Row],[S1]]="",Eingabe[[#This Row],[Volle]]+Eingabe[[#This Row],[Räumer]],IF(Eingabe[[#This Row],[Volle]]+Eingabe[[#This Row],[Räumer]]=Eingabe[[#This Row],[S1]]+Eingabe[[#This Row],[S2]]+Eingabe[[#This Row],[S3]]+Eingabe[[#This Row],[S4]],Eingabe[[#This Row],[Volle]]+Eingabe[[#This Row],[Räumer]],"FEHLER")))</f>
        <v>528</v>
      </c>
      <c r="AG32" s="23">
        <f>IF(Eingabe[[#This Row],[V1]]="","",Eingabe[[#This Row],[V1]]+Eingabe[[#This Row],[R1]])</f>
        <v>140</v>
      </c>
      <c r="AH32" s="23">
        <f>IF(Eingabe[[#This Row],[V2]]="","",Eingabe[[#This Row],[V2]]+Eingabe[[#This Row],[R2]])</f>
        <v>137</v>
      </c>
      <c r="AI32" s="23">
        <f>IF(Eingabe[[#This Row],[V3]]="","",Eingabe[[#This Row],[V3]]+Eingabe[[#This Row],[R3]])</f>
        <v>129</v>
      </c>
      <c r="AJ32" s="23">
        <f>IF(Eingabe[[#This Row],[V4]]="","",Eingabe[[#This Row],[V4]]+Eingabe[[#This Row],[R4]])</f>
        <v>122</v>
      </c>
      <c r="AK32" s="23">
        <f>IF(Eingabe[[#This Row],[S1P]]="","",Eingabe[[#This Row],[S1P]]+Eingabe[[#This Row],[S2P]]+Eingabe[[#This Row],[S3P]]+Eingabe[[#This Row],[S4P]])</f>
        <v>1</v>
      </c>
      <c r="AL32" s="23">
        <f>IF(Eingabe[[#This Row],[S1P]]="","",IF(Eingabe[[#This Row],[SP]]&gt;2,1,IF(Eingabe[[#This Row],[SP]]&lt;2,0,IF(Eingabe[[#This Row],[GES]]&gt;Eingabe[[#This Row],[GEGGES]],1,IF(Eingabe[[#This Row],[GES]]=Eingabe[[#This Row],[GEGGES]],0.5,0)))))</f>
        <v>0</v>
      </c>
      <c r="AM32" s="23">
        <f>IF(Eingabe[[#This Row],[MP]]="","",MOD(ROW(Eingabe[[#This Row],[Position]])-3,6)+1)</f>
        <v>6</v>
      </c>
      <c r="AN32" s="23">
        <f>STANDARDIZE(Eingabe[[#This Row],[GES]],Eingabe[[#This Row],[Schnitt]],VLOOKUP(Eingabe[[#This Row],[Name]],AuswertungG[],21,FALSE))</f>
        <v>0</v>
      </c>
      <c r="AO32" s="23">
        <f>VLOOKUP(Eingabe[[#This Row],[ID]],Chronologie[[ID]:[KW]],12,FALSE)</f>
        <v>9</v>
      </c>
      <c r="AP32" s="59" t="str">
        <f>IF(Eingabe[[#This Row],[Wo]]="H",Eingabe[[#This Row],[Gegner]]&amp;" ["&amp;Eingabe[[#This Row],[Wo]]&amp;"]",Eingabe[[#This Row],[Ort]])</f>
        <v>Glauchau</v>
      </c>
      <c r="AQ32" s="23" t="str">
        <f>IFERROR(IF(Eingabe[[#This Row],[Wo]]="H",IF(MOD(Eingabe[[#This Row],[Position]],2)=1,Eingabe[[#This Row],[S1]],Eingabe[[#This Row],[S4]]),""),"")</f>
        <v/>
      </c>
      <c r="AR32" s="23" t="str">
        <f>IFERROR(IF(Eingabe[[#This Row],[Wo]]="H",IF(Eingabe[[#This Row],[S1]]&gt;0,IF(MOD(Eingabe[[#This Row],[Position]],2)=1,Eingabe[[#This Row],[S2]],Eingabe[[#This Row],[S3]]),""),""),"")</f>
        <v/>
      </c>
      <c r="AS32" s="23" t="str">
        <f>IFERROR(IF(Eingabe[[#This Row],[Wo]]="H",IF(Eingabe[[#This Row],[S1]]&gt;0,IF(MOD(ROW(Eingabe[[#This Row],[Heimbahn 3]]),2)=1,Eingabe[[#This Row],[S4]],Eingabe[[#This Row],[S1]]),""),""),"")</f>
        <v/>
      </c>
      <c r="AT32" s="23" t="str">
        <f>IFERROR(IF(Eingabe[[#This Row],[Wo]]="H",IF(Eingabe[[#This Row],[S1]]&gt;0,IF(MOD(ROW(Eingabe[[#This Row],[Heimbahn 4]]),2)=1,Eingabe[[#This Row],[S3]],Eingabe[[#This Row],[S2]]),""),""),"")</f>
        <v/>
      </c>
      <c r="AU32" s="89">
        <f>IF(Eingabe[[#This Row],[GES]]="","",IF(Eingabe[[#This Row],[Modus]]="L",_xlfn.RANK.EQ(Eingabe[[#This Row],[GES]],AF27:AF32),IF(Eingabe[[#This Row],[Modus]]="P",_xlfn.RANK.EQ(Eingabe[[#This Row],[GES]],AF27:AF32),"")))</f>
        <v>4</v>
      </c>
      <c r="AV32" s="6">
        <f>VLOOKUP(Eingabe[[#This Row],[Name]],AuswertungG[],8,FALSE)</f>
        <v>528</v>
      </c>
      <c r="AZ32" s="6">
        <f>IFERROR(ABS(Eingabe[[#This Row],[GES]]-Eingabe[[#This Row],[GEGGES]]),"")</f>
        <v>27</v>
      </c>
    </row>
    <row r="33" spans="1:52" ht="16.2" hidden="1" thickBot="1" x14ac:dyDescent="0.35">
      <c r="A33" s="440">
        <f t="shared" ref="A33" si="4">B33</f>
        <v>6</v>
      </c>
      <c r="B33" s="55">
        <f t="shared" si="0"/>
        <v>6</v>
      </c>
      <c r="C33" s="35" t="str">
        <f>VLOOKUP($B33,Chronologie[],7,TRUE)</f>
        <v>KSV Blau-Gelb Taucha II</v>
      </c>
      <c r="D33" s="35" t="str">
        <f>VLOOKUP($B33,Chronologie[],8,TRUE)</f>
        <v>Hirschfeld</v>
      </c>
      <c r="E33" s="36" t="str">
        <f>VLOOKUP($B33,Chronologie[],9,TRUE)</f>
        <v>H</v>
      </c>
      <c r="F33" s="35" t="str">
        <f>VLOOKUP($B33,Chronologie[],COLUMN(F34)-2,TRUE)</f>
        <v>E</v>
      </c>
      <c r="G33" s="35" t="str">
        <f>VLOOKUP($B33,Chronologie[],COLUMN(G34)-2,TRUE)</f>
        <v>L</v>
      </c>
      <c r="H33" s="35">
        <f>VLOOKUP($B33,Chronologie[],COLUMN(H34)-2,TRUE)</f>
        <v>6</v>
      </c>
      <c r="I33" s="9" t="str">
        <f>VLOOKUP($B33,Chronologie[],2,TRUE)</f>
        <v>E-L-6</v>
      </c>
      <c r="J33" s="242">
        <f>VLOOKUP($B33,Chronologie[],3,TRUE)</f>
        <v>45969</v>
      </c>
      <c r="K33" s="236" t="s">
        <v>469</v>
      </c>
      <c r="L33" s="334">
        <v>90</v>
      </c>
      <c r="M33" s="334">
        <v>89</v>
      </c>
      <c r="N33" s="334">
        <v>88</v>
      </c>
      <c r="O33" s="334">
        <v>102</v>
      </c>
      <c r="P33" s="334">
        <v>51</v>
      </c>
      <c r="Q33" s="334">
        <v>35</v>
      </c>
      <c r="R33" s="334">
        <v>51</v>
      </c>
      <c r="S33" s="334">
        <v>35</v>
      </c>
      <c r="T33" s="334">
        <v>0</v>
      </c>
      <c r="U33" s="334">
        <v>1</v>
      </c>
      <c r="V33" s="334">
        <v>1</v>
      </c>
      <c r="W33" s="334">
        <v>0</v>
      </c>
      <c r="X33" s="37">
        <v>1</v>
      </c>
      <c r="Y33" s="37">
        <v>0</v>
      </c>
      <c r="Z33" s="37">
        <v>0</v>
      </c>
      <c r="AA33" s="37">
        <v>1</v>
      </c>
      <c r="AB33" s="90">
        <v>533</v>
      </c>
      <c r="AC33" s="93">
        <f>IF(Eingabe[[#This Row],[V1]]="",IF(Eingabe[[#This Row],[Volle alternativ]]="","",Eingabe[[#This Row],[Volle alternativ]]),SUM(Eingabe[[#This Row],[V1]:[V4]]))</f>
        <v>369</v>
      </c>
      <c r="AD33" s="35">
        <f>IF(Eingabe[[#This Row],[R1]]="",IF(Eingabe[[#This Row],[Räumer alternativ]]="","",Eingabe[[#This Row],[Räumer alternativ]]),SUM(Eingabe[[#This Row],[R1]:[R4]]))</f>
        <v>172</v>
      </c>
      <c r="AE33" s="35">
        <f>IF(Eingabe[[#This Row],[F1]]="",IF(Eingabe[[#This Row],[Fehler alternativ]]="","",Eingabe[[#This Row],[Fehler alternativ]]),SUM(Eingabe[[#This Row],[F1]:[F4]]))</f>
        <v>2</v>
      </c>
      <c r="AF33" s="35">
        <f>IF(Eingabe[[#This Row],[Volle]]="","",IF(Eingabe[[#This Row],[S1]]="",Eingabe[[#This Row],[Volle]]+Eingabe[[#This Row],[Räumer]],IF(Eingabe[[#This Row],[Volle]]+Eingabe[[#This Row],[Räumer]]=Eingabe[[#This Row],[S1]]+Eingabe[[#This Row],[S2]]+Eingabe[[#This Row],[S3]]+Eingabe[[#This Row],[S4]],Eingabe[[#This Row],[Volle]]+Eingabe[[#This Row],[Räumer]],"FEHLER")))</f>
        <v>541</v>
      </c>
      <c r="AG33" s="35">
        <f>IF(Eingabe[[#This Row],[V1]]="","",Eingabe[[#This Row],[V1]]+Eingabe[[#This Row],[R1]])</f>
        <v>141</v>
      </c>
      <c r="AH33" s="35">
        <f>IF(Eingabe[[#This Row],[V2]]="","",Eingabe[[#This Row],[V2]]+Eingabe[[#This Row],[R2]])</f>
        <v>124</v>
      </c>
      <c r="AI33" s="35">
        <f>IF(Eingabe[[#This Row],[V3]]="","",Eingabe[[#This Row],[V3]]+Eingabe[[#This Row],[R3]])</f>
        <v>139</v>
      </c>
      <c r="AJ33" s="35">
        <f>IF(Eingabe[[#This Row],[V4]]="","",Eingabe[[#This Row],[V4]]+Eingabe[[#This Row],[R4]])</f>
        <v>137</v>
      </c>
      <c r="AK33" s="35">
        <f>IF(Eingabe[[#This Row],[S1P]]="","",Eingabe[[#This Row],[S1P]]+Eingabe[[#This Row],[S2P]]+Eingabe[[#This Row],[S3P]]+Eingabe[[#This Row],[S4P]])</f>
        <v>2</v>
      </c>
      <c r="AL33" s="35">
        <f>IF(Eingabe[[#This Row],[S1P]]="","",IF(Eingabe[[#This Row],[SP]]&gt;2,1,IF(Eingabe[[#This Row],[SP]]&lt;2,0,IF(Eingabe[[#This Row],[GES]]&gt;Eingabe[[#This Row],[GEGGES]],1,IF(Eingabe[[#This Row],[GES]]=Eingabe[[#This Row],[GEGGES]],0.5,0)))))</f>
        <v>1</v>
      </c>
      <c r="AM33" s="35">
        <f>IF(Eingabe[[#This Row],[MP]]="","",MOD(ROW(Eingabe[[#This Row],[Position]])-3,6)+1)</f>
        <v>1</v>
      </c>
      <c r="AN33" s="35">
        <f>STANDARDIZE(Eingabe[[#This Row],[GES]],Eingabe[[#This Row],[Schnitt]],VLOOKUP(Eingabe[[#This Row],[Name]],AuswertungG[],21,FALSE))</f>
        <v>0.59090909090909094</v>
      </c>
      <c r="AO33" s="35">
        <f>VLOOKUP(Eingabe[[#This Row],[ID]],Chronologie[[ID]:[KW]],12,FALSE)</f>
        <v>11</v>
      </c>
      <c r="AP33" s="58" t="str">
        <f>IF(Eingabe[[#This Row],[Wo]]="H",Eingabe[[#This Row],[Gegner]]&amp;" ["&amp;Eingabe[[#This Row],[Wo]]&amp;"]",Eingabe[[#This Row],[Ort]])</f>
        <v>KSV Blau-Gelb Taucha II [H]</v>
      </c>
      <c r="AQ33" s="35">
        <f>IFERROR(IF(Eingabe[[#This Row],[Wo]]="H",IF(MOD(Eingabe[[#This Row],[Position]],2)=1,Eingabe[[#This Row],[S1]],Eingabe[[#This Row],[S4]]),""),"")</f>
        <v>141</v>
      </c>
      <c r="AR33" s="35">
        <f>IFERROR(IF(Eingabe[[#This Row],[Wo]]="H",IF(Eingabe[[#This Row],[S1]]&gt;0,IF(MOD(Eingabe[[#This Row],[Position]],2)=1,Eingabe[[#This Row],[S2]],Eingabe[[#This Row],[S3]]),""),""),"")</f>
        <v>124</v>
      </c>
      <c r="AS33" s="35">
        <f>IFERROR(IF(Eingabe[[#This Row],[Wo]]="H",IF(Eingabe[[#This Row],[S1]]&gt;0,IF(MOD(ROW(Eingabe[[#This Row],[Heimbahn 3]]),2)=1,Eingabe[[#This Row],[S4]],Eingabe[[#This Row],[S1]]),""),""),"")</f>
        <v>137</v>
      </c>
      <c r="AT33" s="35">
        <f>IFERROR(IF(Eingabe[[#This Row],[Wo]]="H",IF(Eingabe[[#This Row],[S1]]&gt;0,IF(MOD(ROW(Eingabe[[#This Row],[Heimbahn 4]]),2)=1,Eingabe[[#This Row],[S3]],Eingabe[[#This Row],[S2]]),""),""),"")</f>
        <v>139</v>
      </c>
      <c r="AU33" s="88">
        <f>IF(Eingabe[[#This Row],[GES]]="","",IF(Eingabe[[#This Row],[Modus]]="L",_xlfn.RANK.EQ(Eingabe[[#This Row],[GES]],AF33:AF38),IF(Eingabe[[#This Row],[Modus]]="P",_xlfn.RANK.EQ(Eingabe[[#This Row],[GES]],AF33:AF38),"")))</f>
        <v>2</v>
      </c>
      <c r="AV33" s="6">
        <f>VLOOKUP(Eingabe[[#This Row],[Name]],AuswertungG[],8,FALSE)</f>
        <v>528</v>
      </c>
      <c r="AZ33" s="6">
        <f>IFERROR(ABS(Eingabe[[#This Row],[GES]]-Eingabe[[#This Row],[GEGGES]]),"")</f>
        <v>8</v>
      </c>
    </row>
    <row r="34" spans="1:52" ht="16.2" hidden="1" thickBot="1" x14ac:dyDescent="0.35">
      <c r="A34" s="441"/>
      <c r="B34" s="21">
        <f t="shared" si="0"/>
        <v>6</v>
      </c>
      <c r="C34" s="6" t="str">
        <f>VLOOKUP($B34,Chronologie[],7,TRUE)</f>
        <v>KSV Blau-Gelb Taucha II</v>
      </c>
      <c r="D34" s="6" t="str">
        <f>VLOOKUP($B34,Chronologie[],8,TRUE)</f>
        <v>Hirschfeld</v>
      </c>
      <c r="E34" s="240" t="str">
        <f>VLOOKUP($B34,Chronologie[],9,TRUE)</f>
        <v>H</v>
      </c>
      <c r="F34" s="6" t="str">
        <f>VLOOKUP($B34,Chronologie[],COLUMN(F35)-2,TRUE)</f>
        <v>E</v>
      </c>
      <c r="G34" s="6" t="str">
        <f>VLOOKUP($B34,Chronologie[],COLUMN(G35)-2,TRUE)</f>
        <v>L</v>
      </c>
      <c r="H34" s="6">
        <f>VLOOKUP($B34,Chronologie[],COLUMN(H35)-2,TRUE)</f>
        <v>6</v>
      </c>
      <c r="I34" s="10" t="str">
        <f>VLOOKUP($B34,Chronologie[],2,TRUE)</f>
        <v>E-L-6</v>
      </c>
      <c r="J34" s="243">
        <f>VLOOKUP($B34,Chronologie[],3,TRUE)</f>
        <v>45969</v>
      </c>
      <c r="K34" s="237" t="s">
        <v>6</v>
      </c>
      <c r="L34" s="237">
        <v>80</v>
      </c>
      <c r="M34" s="237">
        <v>95</v>
      </c>
      <c r="N34" s="237">
        <v>85</v>
      </c>
      <c r="O34" s="237">
        <v>90</v>
      </c>
      <c r="P34" s="237">
        <v>42</v>
      </c>
      <c r="Q34" s="237">
        <v>43</v>
      </c>
      <c r="R34" s="237">
        <v>54</v>
      </c>
      <c r="S34" s="237">
        <v>34</v>
      </c>
      <c r="T34" s="237">
        <v>0</v>
      </c>
      <c r="U34" s="237">
        <v>1</v>
      </c>
      <c r="V34" s="237">
        <v>0</v>
      </c>
      <c r="W34" s="237">
        <v>2</v>
      </c>
      <c r="X34" s="38">
        <v>0</v>
      </c>
      <c r="Y34" s="38">
        <v>1</v>
      </c>
      <c r="Z34" s="38">
        <v>1</v>
      </c>
      <c r="AA34" s="38">
        <v>0</v>
      </c>
      <c r="AB34" s="91">
        <v>504</v>
      </c>
      <c r="AC34" s="94">
        <f>IF(Eingabe[[#This Row],[V1]]="",IF(Eingabe[[#This Row],[Volle alternativ]]="","",Eingabe[[#This Row],[Volle alternativ]]),SUM(Eingabe[[#This Row],[V1]:[V4]]))</f>
        <v>350</v>
      </c>
      <c r="AD34" s="6">
        <f>IF(Eingabe[[#This Row],[R1]]="",IF(Eingabe[[#This Row],[Räumer alternativ]]="","",Eingabe[[#This Row],[Räumer alternativ]]),SUM(Eingabe[[#This Row],[R1]:[R4]]))</f>
        <v>173</v>
      </c>
      <c r="AE34" s="6">
        <f>IF(Eingabe[[#This Row],[F1]]="",IF(Eingabe[[#This Row],[Fehler alternativ]]="","",Eingabe[[#This Row],[Fehler alternativ]]),SUM(Eingabe[[#This Row],[F1]:[F4]]))</f>
        <v>3</v>
      </c>
      <c r="AF34" s="6">
        <f>IF(Eingabe[[#This Row],[Volle]]="","",IF(Eingabe[[#This Row],[S1]]="",Eingabe[[#This Row],[Volle]]+Eingabe[[#This Row],[Räumer]],IF(Eingabe[[#This Row],[Volle]]+Eingabe[[#This Row],[Räumer]]=Eingabe[[#This Row],[S1]]+Eingabe[[#This Row],[S2]]+Eingabe[[#This Row],[S3]]+Eingabe[[#This Row],[S4]],Eingabe[[#This Row],[Volle]]+Eingabe[[#This Row],[Räumer]],"FEHLER")))</f>
        <v>523</v>
      </c>
      <c r="AG34" s="6">
        <f>IF(Eingabe[[#This Row],[V1]]="","",Eingabe[[#This Row],[V1]]+Eingabe[[#This Row],[R1]])</f>
        <v>122</v>
      </c>
      <c r="AH34" s="6">
        <f>IF(Eingabe[[#This Row],[V2]]="","",Eingabe[[#This Row],[V2]]+Eingabe[[#This Row],[R2]])</f>
        <v>138</v>
      </c>
      <c r="AI34" s="6">
        <f>IF(Eingabe[[#This Row],[V3]]="","",Eingabe[[#This Row],[V3]]+Eingabe[[#This Row],[R3]])</f>
        <v>139</v>
      </c>
      <c r="AJ34" s="6">
        <f>IF(Eingabe[[#This Row],[V4]]="","",Eingabe[[#This Row],[V4]]+Eingabe[[#This Row],[R4]])</f>
        <v>124</v>
      </c>
      <c r="AK34" s="6">
        <f>IF(Eingabe[[#This Row],[S1P]]="","",Eingabe[[#This Row],[S1P]]+Eingabe[[#This Row],[S2P]]+Eingabe[[#This Row],[S3P]]+Eingabe[[#This Row],[S4P]])</f>
        <v>2</v>
      </c>
      <c r="AL34" s="6">
        <f>IF(Eingabe[[#This Row],[S1P]]="","",IF(Eingabe[[#This Row],[SP]]&gt;2,1,IF(Eingabe[[#This Row],[SP]]&lt;2,0,IF(Eingabe[[#This Row],[GES]]&gt;Eingabe[[#This Row],[GEGGES]],1,IF(Eingabe[[#This Row],[GES]]=Eingabe[[#This Row],[GEGGES]],0.5,0)))))</f>
        <v>1</v>
      </c>
      <c r="AM34" s="6">
        <f>IF(Eingabe[[#This Row],[MP]]="","",MOD(ROW(Eingabe[[#This Row],[Position]])-3,6)+1)</f>
        <v>2</v>
      </c>
      <c r="AN34" s="6">
        <f>STANDARDIZE(Eingabe[[#This Row],[GES]],Eingabe[[#This Row],[Schnitt]],VLOOKUP(Eingabe[[#This Row],[Name]],AuswertungG[],21,FALSE))</f>
        <v>-0.33333333333333331</v>
      </c>
      <c r="AO34" s="6">
        <f>VLOOKUP(Eingabe[[#This Row],[ID]],Chronologie[[ID]:[KW]],12,FALSE)</f>
        <v>11</v>
      </c>
      <c r="AP34" s="95" t="str">
        <f>IF(Eingabe[[#This Row],[Wo]]="H",Eingabe[[#This Row],[Gegner]]&amp;" ["&amp;Eingabe[[#This Row],[Wo]]&amp;"]",Eingabe[[#This Row],[Ort]])</f>
        <v>KSV Blau-Gelb Taucha II [H]</v>
      </c>
      <c r="AQ34" s="6">
        <f>IFERROR(IF(Eingabe[[#This Row],[Wo]]="H",IF(MOD(Eingabe[[#This Row],[Position]],2)=1,Eingabe[[#This Row],[S1]],Eingabe[[#This Row],[S4]]),""),"")</f>
        <v>124</v>
      </c>
      <c r="AR34" s="6">
        <f>IFERROR(IF(Eingabe[[#This Row],[Wo]]="H",IF(Eingabe[[#This Row],[S1]]&gt;0,IF(MOD(Eingabe[[#This Row],[Position]],2)=1,Eingabe[[#This Row],[S2]],Eingabe[[#This Row],[S3]]),""),""),"")</f>
        <v>139</v>
      </c>
      <c r="AS34" s="6">
        <f>IFERROR(IF(Eingabe[[#This Row],[Wo]]="H",IF(Eingabe[[#This Row],[S1]]&gt;0,IF(MOD(ROW(Eingabe[[#This Row],[Heimbahn 3]]),2)=1,Eingabe[[#This Row],[S4]],Eingabe[[#This Row],[S1]]),""),""),"")</f>
        <v>122</v>
      </c>
      <c r="AT34" s="6">
        <f>IFERROR(IF(Eingabe[[#This Row],[Wo]]="H",IF(Eingabe[[#This Row],[S1]]&gt;0,IF(MOD(ROW(Eingabe[[#This Row],[Heimbahn 4]]),2)=1,Eingabe[[#This Row],[S3]],Eingabe[[#This Row],[S2]]),""),""),"")</f>
        <v>138</v>
      </c>
      <c r="AU34" s="22">
        <f>IF(Eingabe[[#This Row],[GES]]="","",IF(Eingabe[[#This Row],[Modus]]="L",_xlfn.RANK.EQ(Eingabe[[#This Row],[GES]],AF33:AF38),IF(Eingabe[[#This Row],[Modus]]="P",_xlfn.RANK.EQ(Eingabe[[#This Row],[GES]],AF33:AF38),"")))</f>
        <v>4</v>
      </c>
      <c r="AV34" s="6">
        <f>VLOOKUP(Eingabe[[#This Row],[Name]],AuswertungG[],8,FALSE)</f>
        <v>529</v>
      </c>
      <c r="AZ34" s="6">
        <f>IFERROR(ABS(Eingabe[[#This Row],[GES]]-Eingabe[[#This Row],[GEGGES]]),"")</f>
        <v>19</v>
      </c>
    </row>
    <row r="35" spans="1:52" ht="16.2" hidden="1" thickBot="1" x14ac:dyDescent="0.35">
      <c r="A35" s="441"/>
      <c r="B35" s="21">
        <f t="shared" si="0"/>
        <v>6</v>
      </c>
      <c r="C35" s="6" t="str">
        <f>VLOOKUP($B35,Chronologie[],7,TRUE)</f>
        <v>KSV Blau-Gelb Taucha II</v>
      </c>
      <c r="D35" s="6" t="str">
        <f>VLOOKUP($B35,Chronologie[],8,TRUE)</f>
        <v>Hirschfeld</v>
      </c>
      <c r="E35" s="240" t="str">
        <f>VLOOKUP($B35,Chronologie[],9,TRUE)</f>
        <v>H</v>
      </c>
      <c r="F35" s="6" t="str">
        <f>VLOOKUP($B35,Chronologie[],COLUMN(F36)-2,TRUE)</f>
        <v>E</v>
      </c>
      <c r="G35" s="6" t="str">
        <f>VLOOKUP($B35,Chronologie[],COLUMN(G36)-2,TRUE)</f>
        <v>L</v>
      </c>
      <c r="H35" s="6">
        <f>VLOOKUP($B35,Chronologie[],COLUMN(H36)-2,TRUE)</f>
        <v>6</v>
      </c>
      <c r="I35" s="10" t="str">
        <f>VLOOKUP($B35,Chronologie[],2,TRUE)</f>
        <v>E-L-6</v>
      </c>
      <c r="J35" s="243">
        <f>VLOOKUP($B35,Chronologie[],3,TRUE)</f>
        <v>45969</v>
      </c>
      <c r="K35" s="237" t="s">
        <v>689</v>
      </c>
      <c r="L35" s="237">
        <v>90</v>
      </c>
      <c r="M35" s="237">
        <v>85</v>
      </c>
      <c r="N35" s="237">
        <v>85</v>
      </c>
      <c r="O35" s="237">
        <v>79</v>
      </c>
      <c r="P35" s="237">
        <v>42</v>
      </c>
      <c r="Q35" s="237">
        <v>34</v>
      </c>
      <c r="R35" s="237">
        <v>32</v>
      </c>
      <c r="S35" s="237">
        <v>60</v>
      </c>
      <c r="T35" s="237">
        <v>1</v>
      </c>
      <c r="U35" s="237">
        <v>1</v>
      </c>
      <c r="V35" s="237">
        <v>2</v>
      </c>
      <c r="W35" s="237">
        <v>0</v>
      </c>
      <c r="X35" s="38">
        <v>1</v>
      </c>
      <c r="Y35" s="38">
        <v>0</v>
      </c>
      <c r="Z35" s="38">
        <v>0</v>
      </c>
      <c r="AA35" s="38">
        <v>1</v>
      </c>
      <c r="AB35" s="91">
        <v>522</v>
      </c>
      <c r="AC35" s="94">
        <f>IF(Eingabe[[#This Row],[V1]]="",IF(Eingabe[[#This Row],[Volle alternativ]]="","",Eingabe[[#This Row],[Volle alternativ]]),SUM(Eingabe[[#This Row],[V1]:[V4]]))</f>
        <v>339</v>
      </c>
      <c r="AD35" s="6">
        <f>IF(Eingabe[[#This Row],[R1]]="",IF(Eingabe[[#This Row],[Räumer alternativ]]="","",Eingabe[[#This Row],[Räumer alternativ]]),SUM(Eingabe[[#This Row],[R1]:[R4]]))</f>
        <v>168</v>
      </c>
      <c r="AE35" s="6">
        <f>IF(Eingabe[[#This Row],[F1]]="",IF(Eingabe[[#This Row],[Fehler alternativ]]="","",Eingabe[[#This Row],[Fehler alternativ]]),SUM(Eingabe[[#This Row],[F1]:[F4]]))</f>
        <v>4</v>
      </c>
      <c r="AF35" s="6">
        <f>IF(Eingabe[[#This Row],[Volle]]="","",IF(Eingabe[[#This Row],[S1]]="",Eingabe[[#This Row],[Volle]]+Eingabe[[#This Row],[Räumer]],IF(Eingabe[[#This Row],[Volle]]+Eingabe[[#This Row],[Räumer]]=Eingabe[[#This Row],[S1]]+Eingabe[[#This Row],[S2]]+Eingabe[[#This Row],[S3]]+Eingabe[[#This Row],[S4]],Eingabe[[#This Row],[Volle]]+Eingabe[[#This Row],[Räumer]],"FEHLER")))</f>
        <v>507</v>
      </c>
      <c r="AG35" s="6">
        <f>IF(Eingabe[[#This Row],[V1]]="","",Eingabe[[#This Row],[V1]]+Eingabe[[#This Row],[R1]])</f>
        <v>132</v>
      </c>
      <c r="AH35" s="6">
        <f>IF(Eingabe[[#This Row],[V2]]="","",Eingabe[[#This Row],[V2]]+Eingabe[[#This Row],[R2]])</f>
        <v>119</v>
      </c>
      <c r="AI35" s="6">
        <f>IF(Eingabe[[#This Row],[V3]]="","",Eingabe[[#This Row],[V3]]+Eingabe[[#This Row],[R3]])</f>
        <v>117</v>
      </c>
      <c r="AJ35" s="6">
        <f>IF(Eingabe[[#This Row],[V4]]="","",Eingabe[[#This Row],[V4]]+Eingabe[[#This Row],[R4]])</f>
        <v>139</v>
      </c>
      <c r="AK35" s="6">
        <f>IF(Eingabe[[#This Row],[S1P]]="","",Eingabe[[#This Row],[S1P]]+Eingabe[[#This Row],[S2P]]+Eingabe[[#This Row],[S3P]]+Eingabe[[#This Row],[S4P]])</f>
        <v>2</v>
      </c>
      <c r="AL35" s="6">
        <f>IF(Eingabe[[#This Row],[S1P]]="","",IF(Eingabe[[#This Row],[SP]]&gt;2,1,IF(Eingabe[[#This Row],[SP]]&lt;2,0,IF(Eingabe[[#This Row],[GES]]&gt;Eingabe[[#This Row],[GEGGES]],1,IF(Eingabe[[#This Row],[GES]]=Eingabe[[#This Row],[GEGGES]],0.5,0)))))</f>
        <v>0</v>
      </c>
      <c r="AM35" s="6">
        <f>IF(Eingabe[[#This Row],[MP]]="","",MOD(ROW(Eingabe[[#This Row],[Position]])-3,6)+1)</f>
        <v>3</v>
      </c>
      <c r="AN35" s="6">
        <f>STANDARDIZE(Eingabe[[#This Row],[GES]],Eingabe[[#This Row],[Schnitt]],VLOOKUP(Eingabe[[#This Row],[Name]],AuswertungG[],21,FALSE))</f>
        <v>-0.6428571428571429</v>
      </c>
      <c r="AO35" s="6">
        <f>VLOOKUP(Eingabe[[#This Row],[ID]],Chronologie[[ID]:[KW]],12,FALSE)</f>
        <v>11</v>
      </c>
      <c r="AP35" s="95" t="str">
        <f>IF(Eingabe[[#This Row],[Wo]]="H",Eingabe[[#This Row],[Gegner]]&amp;" ["&amp;Eingabe[[#This Row],[Wo]]&amp;"]",Eingabe[[#This Row],[Ort]])</f>
        <v>KSV Blau-Gelb Taucha II [H]</v>
      </c>
      <c r="AQ35" s="6">
        <f>IFERROR(IF(Eingabe[[#This Row],[Wo]]="H",IF(MOD(Eingabe[[#This Row],[Position]],2)=1,Eingabe[[#This Row],[S1]],Eingabe[[#This Row],[S4]]),""),"")</f>
        <v>132</v>
      </c>
      <c r="AR35" s="6">
        <f>IFERROR(IF(Eingabe[[#This Row],[Wo]]="H",IF(Eingabe[[#This Row],[S1]]&gt;0,IF(MOD(Eingabe[[#This Row],[Position]],2)=1,Eingabe[[#This Row],[S2]],Eingabe[[#This Row],[S3]]),""),""),"")</f>
        <v>119</v>
      </c>
      <c r="AS35" s="6">
        <f>IFERROR(IF(Eingabe[[#This Row],[Wo]]="H",IF(Eingabe[[#This Row],[S1]]&gt;0,IF(MOD(ROW(Eingabe[[#This Row],[Heimbahn 3]]),2)=1,Eingabe[[#This Row],[S4]],Eingabe[[#This Row],[S1]]),""),""),"")</f>
        <v>139</v>
      </c>
      <c r="AT35" s="6">
        <f>IFERROR(IF(Eingabe[[#This Row],[Wo]]="H",IF(Eingabe[[#This Row],[S1]]&gt;0,IF(MOD(ROW(Eingabe[[#This Row],[Heimbahn 4]]),2)=1,Eingabe[[#This Row],[S3]],Eingabe[[#This Row],[S2]]),""),""),"")</f>
        <v>117</v>
      </c>
      <c r="AU35" s="22">
        <f>IF(Eingabe[[#This Row],[GES]]="","",IF(Eingabe[[#This Row],[Modus]]="L",_xlfn.RANK.EQ(Eingabe[[#This Row],[GES]],AF33:AF38),IF(Eingabe[[#This Row],[Modus]]="P",_xlfn.RANK.EQ(Eingabe[[#This Row],[GES]],AF33:AF38),"")))</f>
        <v>6</v>
      </c>
      <c r="AV35" s="6">
        <f>VLOOKUP(Eingabe[[#This Row],[Name]],AuswertungG[],8,FALSE)</f>
        <v>525</v>
      </c>
      <c r="AZ35" s="6">
        <f>IFERROR(ABS(Eingabe[[#This Row],[GES]]-Eingabe[[#This Row],[GEGGES]]),"")</f>
        <v>15</v>
      </c>
    </row>
    <row r="36" spans="1:52" ht="16.2" hidden="1" thickBot="1" x14ac:dyDescent="0.35">
      <c r="A36" s="441"/>
      <c r="B36" s="21">
        <f t="shared" si="0"/>
        <v>6</v>
      </c>
      <c r="C36" s="6" t="str">
        <f>VLOOKUP($B36,Chronologie[],7,TRUE)</f>
        <v>KSV Blau-Gelb Taucha II</v>
      </c>
      <c r="D36" s="6" t="str">
        <f>VLOOKUP($B36,Chronologie[],8,TRUE)</f>
        <v>Hirschfeld</v>
      </c>
      <c r="E36" s="240" t="str">
        <f>VLOOKUP($B36,Chronologie[],9,TRUE)</f>
        <v>H</v>
      </c>
      <c r="F36" s="6" t="str">
        <f>VLOOKUP($B36,Chronologie[],COLUMN(F37)-2,TRUE)</f>
        <v>E</v>
      </c>
      <c r="G36" s="6" t="str">
        <f>VLOOKUP($B36,Chronologie[],COLUMN(G37)-2,TRUE)</f>
        <v>L</v>
      </c>
      <c r="H36" s="6">
        <f>VLOOKUP($B36,Chronologie[],COLUMN(H37)-2,TRUE)</f>
        <v>6</v>
      </c>
      <c r="I36" s="10" t="str">
        <f>VLOOKUP($B36,Chronologie[],2,TRUE)</f>
        <v>E-L-6</v>
      </c>
      <c r="J36" s="243">
        <f>VLOOKUP($B36,Chronologie[],3,TRUE)</f>
        <v>45969</v>
      </c>
      <c r="K36" s="238" t="s">
        <v>489</v>
      </c>
      <c r="L36" s="237">
        <v>84</v>
      </c>
      <c r="M36" s="237">
        <v>82</v>
      </c>
      <c r="N36" s="237">
        <v>91</v>
      </c>
      <c r="O36" s="237">
        <v>88</v>
      </c>
      <c r="P36" s="237">
        <v>45</v>
      </c>
      <c r="Q36" s="237">
        <v>44</v>
      </c>
      <c r="R36" s="237">
        <v>43</v>
      </c>
      <c r="S36" s="237">
        <v>44</v>
      </c>
      <c r="T36" s="237">
        <v>1</v>
      </c>
      <c r="U36" s="237">
        <v>3</v>
      </c>
      <c r="V36" s="237">
        <v>1</v>
      </c>
      <c r="W36" s="237">
        <v>2</v>
      </c>
      <c r="X36" s="38">
        <v>1</v>
      </c>
      <c r="Y36" s="38">
        <v>0</v>
      </c>
      <c r="Z36" s="38">
        <v>1</v>
      </c>
      <c r="AA36" s="38">
        <v>1</v>
      </c>
      <c r="AB36" s="91">
        <v>491</v>
      </c>
      <c r="AC36" s="94">
        <f>IF(Eingabe[[#This Row],[V1]]="",IF(Eingabe[[#This Row],[Volle alternativ]]="","",Eingabe[[#This Row],[Volle alternativ]]),SUM(Eingabe[[#This Row],[V1]:[V4]]))</f>
        <v>345</v>
      </c>
      <c r="AD36" s="6">
        <f>IF(Eingabe[[#This Row],[R1]]="",IF(Eingabe[[#This Row],[Räumer alternativ]]="","",Eingabe[[#This Row],[Räumer alternativ]]),SUM(Eingabe[[#This Row],[R1]:[R4]]))</f>
        <v>176</v>
      </c>
      <c r="AE36" s="6">
        <f>IF(Eingabe[[#This Row],[F1]]="",IF(Eingabe[[#This Row],[Fehler alternativ]]="","",Eingabe[[#This Row],[Fehler alternativ]]),SUM(Eingabe[[#This Row],[F1]:[F4]]))</f>
        <v>7</v>
      </c>
      <c r="AF36" s="6">
        <f>IF(Eingabe[[#This Row],[Volle]]="","",IF(Eingabe[[#This Row],[S1]]="",Eingabe[[#This Row],[Volle]]+Eingabe[[#This Row],[Räumer]],IF(Eingabe[[#This Row],[Volle]]+Eingabe[[#This Row],[Räumer]]=Eingabe[[#This Row],[S1]]+Eingabe[[#This Row],[S2]]+Eingabe[[#This Row],[S3]]+Eingabe[[#This Row],[S4]],Eingabe[[#This Row],[Volle]]+Eingabe[[#This Row],[Räumer]],"FEHLER")))</f>
        <v>521</v>
      </c>
      <c r="AG36" s="6">
        <f>IF(Eingabe[[#This Row],[V1]]="","",Eingabe[[#This Row],[V1]]+Eingabe[[#This Row],[R1]])</f>
        <v>129</v>
      </c>
      <c r="AH36" s="6">
        <f>IF(Eingabe[[#This Row],[V2]]="","",Eingabe[[#This Row],[V2]]+Eingabe[[#This Row],[R2]])</f>
        <v>126</v>
      </c>
      <c r="AI36" s="6">
        <f>IF(Eingabe[[#This Row],[V3]]="","",Eingabe[[#This Row],[V3]]+Eingabe[[#This Row],[R3]])</f>
        <v>134</v>
      </c>
      <c r="AJ36" s="6">
        <f>IF(Eingabe[[#This Row],[V4]]="","",Eingabe[[#This Row],[V4]]+Eingabe[[#This Row],[R4]])</f>
        <v>132</v>
      </c>
      <c r="AK36" s="6">
        <f>IF(Eingabe[[#This Row],[S1P]]="","",Eingabe[[#This Row],[S1P]]+Eingabe[[#This Row],[S2P]]+Eingabe[[#This Row],[S3P]]+Eingabe[[#This Row],[S4P]])</f>
        <v>3</v>
      </c>
      <c r="AL36" s="6">
        <f>IF(Eingabe[[#This Row],[S1P]]="","",IF(Eingabe[[#This Row],[SP]]&gt;2,1,IF(Eingabe[[#This Row],[SP]]&lt;2,0,IF(Eingabe[[#This Row],[GES]]&gt;Eingabe[[#This Row],[GEGGES]],1,IF(Eingabe[[#This Row],[GES]]=Eingabe[[#This Row],[GEGGES]],0.5,0)))))</f>
        <v>1</v>
      </c>
      <c r="AM36" s="6">
        <f>IF(Eingabe[[#This Row],[MP]]="","",MOD(ROW(Eingabe[[#This Row],[Position]])-3,6)+1)</f>
        <v>4</v>
      </c>
      <c r="AN36" s="6">
        <f>STANDARDIZE(Eingabe[[#This Row],[GES]],Eingabe[[#This Row],[Schnitt]],VLOOKUP(Eingabe[[#This Row],[Name]],AuswertungG[],21,FALSE))</f>
        <v>-0.20833333333333334</v>
      </c>
      <c r="AO36" s="6">
        <f>VLOOKUP(Eingabe[[#This Row],[ID]],Chronologie[[ID]:[KW]],12,FALSE)</f>
        <v>11</v>
      </c>
      <c r="AP36" s="95" t="str">
        <f>IF(Eingabe[[#This Row],[Wo]]="H",Eingabe[[#This Row],[Gegner]]&amp;" ["&amp;Eingabe[[#This Row],[Wo]]&amp;"]",Eingabe[[#This Row],[Ort]])</f>
        <v>KSV Blau-Gelb Taucha II [H]</v>
      </c>
      <c r="AQ36" s="6">
        <f>IFERROR(IF(Eingabe[[#This Row],[Wo]]="H",IF(MOD(Eingabe[[#This Row],[Position]],2)=1,Eingabe[[#This Row],[S1]],Eingabe[[#This Row],[S4]]),""),"")</f>
        <v>132</v>
      </c>
      <c r="AR36" s="6">
        <f>IFERROR(IF(Eingabe[[#This Row],[Wo]]="H",IF(Eingabe[[#This Row],[S1]]&gt;0,IF(MOD(Eingabe[[#This Row],[Position]],2)=1,Eingabe[[#This Row],[S2]],Eingabe[[#This Row],[S3]]),""),""),"")</f>
        <v>134</v>
      </c>
      <c r="AS36" s="6">
        <f>IFERROR(IF(Eingabe[[#This Row],[Wo]]="H",IF(Eingabe[[#This Row],[S1]]&gt;0,IF(MOD(ROW(Eingabe[[#This Row],[Heimbahn 3]]),2)=1,Eingabe[[#This Row],[S4]],Eingabe[[#This Row],[S1]]),""),""),"")</f>
        <v>129</v>
      </c>
      <c r="AT36" s="6">
        <f>IFERROR(IF(Eingabe[[#This Row],[Wo]]="H",IF(Eingabe[[#This Row],[S1]]&gt;0,IF(MOD(ROW(Eingabe[[#This Row],[Heimbahn 4]]),2)=1,Eingabe[[#This Row],[S3]],Eingabe[[#This Row],[S2]]),""),""),"")</f>
        <v>126</v>
      </c>
      <c r="AU36" s="22">
        <f>IF(Eingabe[[#This Row],[GES]]="","",IF(Eingabe[[#This Row],[Modus]]="L",_xlfn.RANK.EQ(Eingabe[[#This Row],[GES]],AF33:AF38),IF(Eingabe[[#This Row],[Modus]]="P",_xlfn.RANK.EQ(Eingabe[[#This Row],[GES]],AF33:AF38),"")))</f>
        <v>5</v>
      </c>
      <c r="AV36" s="6">
        <f>VLOOKUP(Eingabe[[#This Row],[Name]],AuswertungG[],8,FALSE)</f>
        <v>526</v>
      </c>
      <c r="AZ36" s="6">
        <f>IFERROR(ABS(Eingabe[[#This Row],[GES]]-Eingabe[[#This Row],[GEGGES]]),"")</f>
        <v>30</v>
      </c>
    </row>
    <row r="37" spans="1:52" ht="16.2" hidden="1" thickBot="1" x14ac:dyDescent="0.35">
      <c r="A37" s="441"/>
      <c r="B37" s="21">
        <f t="shared" si="0"/>
        <v>6</v>
      </c>
      <c r="C37" s="6" t="str">
        <f>VLOOKUP($B37,Chronologie[],7,TRUE)</f>
        <v>KSV Blau-Gelb Taucha II</v>
      </c>
      <c r="D37" s="6" t="str">
        <f>VLOOKUP($B37,Chronologie[],8,TRUE)</f>
        <v>Hirschfeld</v>
      </c>
      <c r="E37" s="240" t="str">
        <f>VLOOKUP($B37,Chronologie[],9,TRUE)</f>
        <v>H</v>
      </c>
      <c r="F37" s="6" t="str">
        <f>VLOOKUP($B37,Chronologie[],COLUMN(F38)-2,TRUE)</f>
        <v>E</v>
      </c>
      <c r="G37" s="6" t="str">
        <f>VLOOKUP($B37,Chronologie[],COLUMN(G38)-2,TRUE)</f>
        <v>L</v>
      </c>
      <c r="H37" s="6">
        <f>VLOOKUP($B37,Chronologie[],COLUMN(H38)-2,TRUE)</f>
        <v>6</v>
      </c>
      <c r="I37" s="10" t="str">
        <f>VLOOKUP($B37,Chronologie[],2,TRUE)</f>
        <v>E-L-6</v>
      </c>
      <c r="J37" s="243">
        <f>VLOOKUP($B37,Chronologie[],3,TRUE)</f>
        <v>45969</v>
      </c>
      <c r="K37" s="237" t="s">
        <v>455</v>
      </c>
      <c r="L37" s="237">
        <v>80</v>
      </c>
      <c r="M37" s="237">
        <v>104</v>
      </c>
      <c r="N37" s="237">
        <v>98</v>
      </c>
      <c r="O37" s="237">
        <v>100</v>
      </c>
      <c r="P37" s="237">
        <v>58</v>
      </c>
      <c r="Q37" s="237">
        <v>59</v>
      </c>
      <c r="R37" s="237">
        <v>54</v>
      </c>
      <c r="S37" s="237">
        <v>52</v>
      </c>
      <c r="T37" s="237">
        <v>1</v>
      </c>
      <c r="U37" s="237">
        <v>0</v>
      </c>
      <c r="V37" s="237">
        <v>0</v>
      </c>
      <c r="W37" s="237">
        <v>0</v>
      </c>
      <c r="X37" s="38">
        <v>1</v>
      </c>
      <c r="Y37" s="38">
        <v>1</v>
      </c>
      <c r="Z37" s="38">
        <v>1</v>
      </c>
      <c r="AA37" s="38">
        <v>1</v>
      </c>
      <c r="AB37" s="91">
        <v>466</v>
      </c>
      <c r="AC37" s="94">
        <f>IF(Eingabe[[#This Row],[V1]]="",IF(Eingabe[[#This Row],[Volle alternativ]]="","",Eingabe[[#This Row],[Volle alternativ]]),SUM(Eingabe[[#This Row],[V1]:[V4]]))</f>
        <v>382</v>
      </c>
      <c r="AD37" s="6">
        <f>IF(Eingabe[[#This Row],[R1]]="",IF(Eingabe[[#This Row],[Räumer alternativ]]="","",Eingabe[[#This Row],[Räumer alternativ]]),SUM(Eingabe[[#This Row],[R1]:[R4]]))</f>
        <v>223</v>
      </c>
      <c r="AE37" s="6">
        <f>IF(Eingabe[[#This Row],[F1]]="",IF(Eingabe[[#This Row],[Fehler alternativ]]="","",Eingabe[[#This Row],[Fehler alternativ]]),SUM(Eingabe[[#This Row],[F1]:[F4]]))</f>
        <v>1</v>
      </c>
      <c r="AF37" s="6">
        <f>IF(Eingabe[[#This Row],[Volle]]="","",IF(Eingabe[[#This Row],[S1]]="",Eingabe[[#This Row],[Volle]]+Eingabe[[#This Row],[Räumer]],IF(Eingabe[[#This Row],[Volle]]+Eingabe[[#This Row],[Räumer]]=Eingabe[[#This Row],[S1]]+Eingabe[[#This Row],[S2]]+Eingabe[[#This Row],[S3]]+Eingabe[[#This Row],[S4]],Eingabe[[#This Row],[Volle]]+Eingabe[[#This Row],[Räumer]],"FEHLER")))</f>
        <v>605</v>
      </c>
      <c r="AG37" s="6">
        <f>IF(Eingabe[[#This Row],[V1]]="","",Eingabe[[#This Row],[V1]]+Eingabe[[#This Row],[R1]])</f>
        <v>138</v>
      </c>
      <c r="AH37" s="6">
        <f>IF(Eingabe[[#This Row],[V2]]="","",Eingabe[[#This Row],[V2]]+Eingabe[[#This Row],[R2]])</f>
        <v>163</v>
      </c>
      <c r="AI37" s="6">
        <f>IF(Eingabe[[#This Row],[V3]]="","",Eingabe[[#This Row],[V3]]+Eingabe[[#This Row],[R3]])</f>
        <v>152</v>
      </c>
      <c r="AJ37" s="6">
        <f>IF(Eingabe[[#This Row],[V4]]="","",Eingabe[[#This Row],[V4]]+Eingabe[[#This Row],[R4]])</f>
        <v>152</v>
      </c>
      <c r="AK37" s="6">
        <f>IF(Eingabe[[#This Row],[S1P]]="","",Eingabe[[#This Row],[S1P]]+Eingabe[[#This Row],[S2P]]+Eingabe[[#This Row],[S3P]]+Eingabe[[#This Row],[S4P]])</f>
        <v>4</v>
      </c>
      <c r="AL37" s="6">
        <f>IF(Eingabe[[#This Row],[S1P]]="","",IF(Eingabe[[#This Row],[SP]]&gt;2,1,IF(Eingabe[[#This Row],[SP]]&lt;2,0,IF(Eingabe[[#This Row],[GES]]&gt;Eingabe[[#This Row],[GEGGES]],1,IF(Eingabe[[#This Row],[GES]]=Eingabe[[#This Row],[GEGGES]],0.5,0)))))</f>
        <v>1</v>
      </c>
      <c r="AM37" s="6">
        <f>IF(Eingabe[[#This Row],[MP]]="","",MOD(ROW(Eingabe[[#This Row],[Position]])-3,6)+1)</f>
        <v>5</v>
      </c>
      <c r="AN37" s="6">
        <f>STANDARDIZE(Eingabe[[#This Row],[GES]],Eingabe[[#This Row],[Schnitt]],VLOOKUP(Eingabe[[#This Row],[Name]],AuswertungG[],21,FALSE))</f>
        <v>0.94871794871794868</v>
      </c>
      <c r="AO37" s="6">
        <f>VLOOKUP(Eingabe[[#This Row],[ID]],Chronologie[[ID]:[KW]],12,FALSE)</f>
        <v>11</v>
      </c>
      <c r="AP37" s="95" t="str">
        <f>IF(Eingabe[[#This Row],[Wo]]="H",Eingabe[[#This Row],[Gegner]]&amp;" ["&amp;Eingabe[[#This Row],[Wo]]&amp;"]",Eingabe[[#This Row],[Ort]])</f>
        <v>KSV Blau-Gelb Taucha II [H]</v>
      </c>
      <c r="AQ37" s="6">
        <f>IFERROR(IF(Eingabe[[#This Row],[Wo]]="H",IF(MOD(Eingabe[[#This Row],[Position]],2)=1,Eingabe[[#This Row],[S1]],Eingabe[[#This Row],[S4]]),""),"")</f>
        <v>138</v>
      </c>
      <c r="AR37" s="6">
        <f>IFERROR(IF(Eingabe[[#This Row],[Wo]]="H",IF(Eingabe[[#This Row],[S1]]&gt;0,IF(MOD(Eingabe[[#This Row],[Position]],2)=1,Eingabe[[#This Row],[S2]],Eingabe[[#This Row],[S3]]),""),""),"")</f>
        <v>163</v>
      </c>
      <c r="AS37" s="6">
        <f>IFERROR(IF(Eingabe[[#This Row],[Wo]]="H",IF(Eingabe[[#This Row],[S1]]&gt;0,IF(MOD(ROW(Eingabe[[#This Row],[Heimbahn 3]]),2)=1,Eingabe[[#This Row],[S4]],Eingabe[[#This Row],[S1]]),""),""),"")</f>
        <v>152</v>
      </c>
      <c r="AT37" s="6">
        <f>IFERROR(IF(Eingabe[[#This Row],[Wo]]="H",IF(Eingabe[[#This Row],[S1]]&gt;0,IF(MOD(ROW(Eingabe[[#This Row],[Heimbahn 4]]),2)=1,Eingabe[[#This Row],[S3]],Eingabe[[#This Row],[S2]]),""),""),"")</f>
        <v>152</v>
      </c>
      <c r="AU37" s="22">
        <f>IF(Eingabe[[#This Row],[GES]]="","",IF(Eingabe[[#This Row],[Modus]]="L",_xlfn.RANK.EQ(Eingabe[[#This Row],[GES]],AF33:AF38),IF(Eingabe[[#This Row],[Modus]]="P",_xlfn.RANK.EQ(Eingabe[[#This Row],[GES]],AF33:AF38),"")))</f>
        <v>1</v>
      </c>
      <c r="AV37" s="6">
        <f>VLOOKUP(Eingabe[[#This Row],[Name]],AuswertungG[],8,FALSE)</f>
        <v>568</v>
      </c>
      <c r="AZ37" s="6">
        <f>IFERROR(ABS(Eingabe[[#This Row],[GES]]-Eingabe[[#This Row],[GEGGES]]),"")</f>
        <v>139</v>
      </c>
    </row>
    <row r="38" spans="1:52" ht="16.2" hidden="1" thickBot="1" x14ac:dyDescent="0.35">
      <c r="A38" s="442"/>
      <c r="B38" s="56">
        <f t="shared" si="0"/>
        <v>6</v>
      </c>
      <c r="C38" s="23" t="str">
        <f>VLOOKUP($B38,Chronologie[],7,TRUE)</f>
        <v>KSV Blau-Gelb Taucha II</v>
      </c>
      <c r="D38" s="23" t="str">
        <f>VLOOKUP($B38,Chronologie[],8,TRUE)</f>
        <v>Hirschfeld</v>
      </c>
      <c r="E38" s="39" t="str">
        <f>VLOOKUP($B38,Chronologie[],9,TRUE)</f>
        <v>H</v>
      </c>
      <c r="F38" s="23" t="str">
        <f>VLOOKUP($B38,Chronologie[],COLUMN(F39)-2,TRUE)</f>
        <v>E</v>
      </c>
      <c r="G38" s="23" t="str">
        <f>VLOOKUP($B38,Chronologie[],COLUMN(G39)-2,TRUE)</f>
        <v>L</v>
      </c>
      <c r="H38" s="23">
        <f>VLOOKUP($B38,Chronologie[],COLUMN(H39)-2,TRUE)</f>
        <v>6</v>
      </c>
      <c r="I38" s="13" t="str">
        <f>VLOOKUP($B38,Chronologie[],2,TRUE)</f>
        <v>E-L-6</v>
      </c>
      <c r="J38" s="244">
        <f>VLOOKUP($B38,Chronologie[],3,TRUE)</f>
        <v>45969</v>
      </c>
      <c r="K38" s="239" t="s">
        <v>659</v>
      </c>
      <c r="L38" s="239">
        <v>91</v>
      </c>
      <c r="M38" s="239">
        <v>90</v>
      </c>
      <c r="N38" s="239">
        <v>96</v>
      </c>
      <c r="O38" s="239">
        <v>91</v>
      </c>
      <c r="P38" s="239">
        <v>35</v>
      </c>
      <c r="Q38" s="239">
        <v>36</v>
      </c>
      <c r="R38" s="239">
        <v>35</v>
      </c>
      <c r="S38" s="239">
        <v>52</v>
      </c>
      <c r="T38" s="239">
        <v>1</v>
      </c>
      <c r="U38" s="239">
        <v>2</v>
      </c>
      <c r="V38" s="239">
        <v>3</v>
      </c>
      <c r="W38" s="239">
        <v>1</v>
      </c>
      <c r="X38" s="40">
        <v>1</v>
      </c>
      <c r="Y38" s="40">
        <v>0</v>
      </c>
      <c r="Z38" s="40">
        <v>1</v>
      </c>
      <c r="AA38" s="40">
        <v>0</v>
      </c>
      <c r="AB38" s="92">
        <v>517</v>
      </c>
      <c r="AC38" s="96">
        <f>IF(Eingabe[[#This Row],[V1]]="",IF(Eingabe[[#This Row],[Volle alternativ]]="","",Eingabe[[#This Row],[Volle alternativ]]),SUM(Eingabe[[#This Row],[V1]:[V4]]))</f>
        <v>368</v>
      </c>
      <c r="AD38" s="23">
        <f>IF(Eingabe[[#This Row],[R1]]="",IF(Eingabe[[#This Row],[Räumer alternativ]]="","",Eingabe[[#This Row],[Räumer alternativ]]),SUM(Eingabe[[#This Row],[R1]:[R4]]))</f>
        <v>158</v>
      </c>
      <c r="AE38" s="23">
        <f>IF(Eingabe[[#This Row],[F1]]="",IF(Eingabe[[#This Row],[Fehler alternativ]]="","",Eingabe[[#This Row],[Fehler alternativ]]),SUM(Eingabe[[#This Row],[F1]:[F4]]))</f>
        <v>7</v>
      </c>
      <c r="AF38" s="23">
        <f>IF(Eingabe[[#This Row],[Volle]]="","",IF(Eingabe[[#This Row],[S1]]="",Eingabe[[#This Row],[Volle]]+Eingabe[[#This Row],[Räumer]],IF(Eingabe[[#This Row],[Volle]]+Eingabe[[#This Row],[Räumer]]=Eingabe[[#This Row],[S1]]+Eingabe[[#This Row],[S2]]+Eingabe[[#This Row],[S3]]+Eingabe[[#This Row],[S4]],Eingabe[[#This Row],[Volle]]+Eingabe[[#This Row],[Räumer]],"FEHLER")))</f>
        <v>526</v>
      </c>
      <c r="AG38" s="23">
        <f>IF(Eingabe[[#This Row],[V1]]="","",Eingabe[[#This Row],[V1]]+Eingabe[[#This Row],[R1]])</f>
        <v>126</v>
      </c>
      <c r="AH38" s="23">
        <f>IF(Eingabe[[#This Row],[V2]]="","",Eingabe[[#This Row],[V2]]+Eingabe[[#This Row],[R2]])</f>
        <v>126</v>
      </c>
      <c r="AI38" s="23">
        <f>IF(Eingabe[[#This Row],[V3]]="","",Eingabe[[#This Row],[V3]]+Eingabe[[#This Row],[R3]])</f>
        <v>131</v>
      </c>
      <c r="AJ38" s="23">
        <f>IF(Eingabe[[#This Row],[V4]]="","",Eingabe[[#This Row],[V4]]+Eingabe[[#This Row],[R4]])</f>
        <v>143</v>
      </c>
      <c r="AK38" s="23">
        <f>IF(Eingabe[[#This Row],[S1P]]="","",Eingabe[[#This Row],[S1P]]+Eingabe[[#This Row],[S2P]]+Eingabe[[#This Row],[S3P]]+Eingabe[[#This Row],[S4P]])</f>
        <v>2</v>
      </c>
      <c r="AL38" s="23">
        <f>IF(Eingabe[[#This Row],[S1P]]="","",IF(Eingabe[[#This Row],[SP]]&gt;2,1,IF(Eingabe[[#This Row],[SP]]&lt;2,0,IF(Eingabe[[#This Row],[GES]]&gt;Eingabe[[#This Row],[GEGGES]],1,IF(Eingabe[[#This Row],[GES]]=Eingabe[[#This Row],[GEGGES]],0.5,0)))))</f>
        <v>1</v>
      </c>
      <c r="AM38" s="23">
        <f>IF(Eingabe[[#This Row],[MP]]="","",MOD(ROW(Eingabe[[#This Row],[Position]])-3,6)+1)</f>
        <v>6</v>
      </c>
      <c r="AN38" s="23">
        <f>STANDARDIZE(Eingabe[[#This Row],[GES]],Eingabe[[#This Row],[Schnitt]],VLOOKUP(Eingabe[[#This Row],[Name]],AuswertungG[],21,FALSE))</f>
        <v>-0.25</v>
      </c>
      <c r="AO38" s="23">
        <f>VLOOKUP(Eingabe[[#This Row],[ID]],Chronologie[[ID]:[KW]],12,FALSE)</f>
        <v>11</v>
      </c>
      <c r="AP38" s="59" t="str">
        <f>IF(Eingabe[[#This Row],[Wo]]="H",Eingabe[[#This Row],[Gegner]]&amp;" ["&amp;Eingabe[[#This Row],[Wo]]&amp;"]",Eingabe[[#This Row],[Ort]])</f>
        <v>KSV Blau-Gelb Taucha II [H]</v>
      </c>
      <c r="AQ38" s="23">
        <f>IFERROR(IF(Eingabe[[#This Row],[Wo]]="H",IF(MOD(Eingabe[[#This Row],[Position]],2)=1,Eingabe[[#This Row],[S1]],Eingabe[[#This Row],[S4]]),""),"")</f>
        <v>143</v>
      </c>
      <c r="AR38" s="23">
        <f>IFERROR(IF(Eingabe[[#This Row],[Wo]]="H",IF(Eingabe[[#This Row],[S1]]&gt;0,IF(MOD(Eingabe[[#This Row],[Position]],2)=1,Eingabe[[#This Row],[S2]],Eingabe[[#This Row],[S3]]),""),""),"")</f>
        <v>131</v>
      </c>
      <c r="AS38" s="23">
        <f>IFERROR(IF(Eingabe[[#This Row],[Wo]]="H",IF(Eingabe[[#This Row],[S1]]&gt;0,IF(MOD(ROW(Eingabe[[#This Row],[Heimbahn 3]]),2)=1,Eingabe[[#This Row],[S4]],Eingabe[[#This Row],[S1]]),""),""),"")</f>
        <v>126</v>
      </c>
      <c r="AT38" s="23">
        <f>IFERROR(IF(Eingabe[[#This Row],[Wo]]="H",IF(Eingabe[[#This Row],[S1]]&gt;0,IF(MOD(ROW(Eingabe[[#This Row],[Heimbahn 4]]),2)=1,Eingabe[[#This Row],[S3]],Eingabe[[#This Row],[S2]]),""),""),"")</f>
        <v>126</v>
      </c>
      <c r="AU38" s="89">
        <f>IF(Eingabe[[#This Row],[GES]]="","",IF(Eingabe[[#This Row],[Modus]]="L",_xlfn.RANK.EQ(Eingabe[[#This Row],[GES]],AF33:AF38),IF(Eingabe[[#This Row],[Modus]]="P",_xlfn.RANK.EQ(Eingabe[[#This Row],[GES]],AF33:AF38),"")))</f>
        <v>3</v>
      </c>
      <c r="AV38" s="6">
        <f>VLOOKUP(Eingabe[[#This Row],[Name]],AuswertungG[],8,FALSE)</f>
        <v>532</v>
      </c>
      <c r="AZ38" s="6">
        <f>IFERROR(ABS(Eingabe[[#This Row],[GES]]-Eingabe[[#This Row],[GEGGES]]),"")</f>
        <v>9</v>
      </c>
    </row>
    <row r="39" spans="1:52" ht="16.2" hidden="1" thickBot="1" x14ac:dyDescent="0.35">
      <c r="A39" s="440">
        <f t="shared" ref="A39" si="5">B39</f>
        <v>7</v>
      </c>
      <c r="B39" s="55">
        <f t="shared" si="0"/>
        <v>7</v>
      </c>
      <c r="C39" s="35" t="str">
        <f>VLOOKUP($B39,Chronologie[],7,TRUE)</f>
        <v>SG Hohentanne</v>
      </c>
      <c r="D39" s="35" t="str">
        <f>VLOOKUP($B39,Chronologie[],8,TRUE)</f>
        <v>Hirschfeld</v>
      </c>
      <c r="E39" s="36" t="str">
        <f>VLOOKUP($B39,Chronologie[],9,TRUE)</f>
        <v>H</v>
      </c>
      <c r="F39" s="35" t="str">
        <f>VLOOKUP($B39,Chronologie[],COLUMN(F40)-2,TRUE)</f>
        <v>E</v>
      </c>
      <c r="G39" s="35" t="str">
        <f>VLOOKUP($B39,Chronologie[],COLUMN(G40)-2,TRUE)</f>
        <v>L</v>
      </c>
      <c r="H39" s="35">
        <f>VLOOKUP($B39,Chronologie[],COLUMN(H40)-2,TRUE)</f>
        <v>7</v>
      </c>
      <c r="I39" s="9" t="str">
        <f>VLOOKUP($B39,Chronologie[],2,TRUE)</f>
        <v>E-L-7</v>
      </c>
      <c r="J39" s="242">
        <f>VLOOKUP($B39,Chronologie[],3,TRUE)</f>
        <v>45976</v>
      </c>
      <c r="K39" s="236" t="s">
        <v>660</v>
      </c>
      <c r="L39" s="334">
        <v>83</v>
      </c>
      <c r="M39" s="334">
        <v>84</v>
      </c>
      <c r="N39" s="334">
        <v>81</v>
      </c>
      <c r="O39" s="334">
        <v>85</v>
      </c>
      <c r="P39" s="334">
        <v>44</v>
      </c>
      <c r="Q39" s="334">
        <v>43</v>
      </c>
      <c r="R39" s="334">
        <v>35</v>
      </c>
      <c r="S39" s="334">
        <v>44</v>
      </c>
      <c r="T39" s="334">
        <v>0</v>
      </c>
      <c r="U39" s="334">
        <v>1</v>
      </c>
      <c r="V39" s="334">
        <v>3</v>
      </c>
      <c r="W39" s="334">
        <v>3</v>
      </c>
      <c r="X39" s="37">
        <v>1</v>
      </c>
      <c r="Y39" s="37">
        <v>0</v>
      </c>
      <c r="Z39" s="37">
        <v>1</v>
      </c>
      <c r="AA39" s="37">
        <v>0</v>
      </c>
      <c r="AB39" s="90">
        <v>497</v>
      </c>
      <c r="AC39" s="93">
        <f>IF(Eingabe[[#This Row],[V1]]="",IF(Eingabe[[#This Row],[Volle alternativ]]="","",Eingabe[[#This Row],[Volle alternativ]]),SUM(Eingabe[[#This Row],[V1]:[V4]]))</f>
        <v>333</v>
      </c>
      <c r="AD39" s="35">
        <f>IF(Eingabe[[#This Row],[R1]]="",IF(Eingabe[[#This Row],[Räumer alternativ]]="","",Eingabe[[#This Row],[Räumer alternativ]]),SUM(Eingabe[[#This Row],[R1]:[R4]]))</f>
        <v>166</v>
      </c>
      <c r="AE39" s="35">
        <f>IF(Eingabe[[#This Row],[F1]]="",IF(Eingabe[[#This Row],[Fehler alternativ]]="","",Eingabe[[#This Row],[Fehler alternativ]]),SUM(Eingabe[[#This Row],[F1]:[F4]]))</f>
        <v>7</v>
      </c>
      <c r="AF39" s="35">
        <f>IF(Eingabe[[#This Row],[Volle]]="","",IF(Eingabe[[#This Row],[S1]]="",Eingabe[[#This Row],[Volle]]+Eingabe[[#This Row],[Räumer]],IF(Eingabe[[#This Row],[Volle]]+Eingabe[[#This Row],[Räumer]]=Eingabe[[#This Row],[S1]]+Eingabe[[#This Row],[S2]]+Eingabe[[#This Row],[S3]]+Eingabe[[#This Row],[S4]],Eingabe[[#This Row],[Volle]]+Eingabe[[#This Row],[Räumer]],"FEHLER")))</f>
        <v>499</v>
      </c>
      <c r="AG39" s="35">
        <f>IF(Eingabe[[#This Row],[V1]]="","",Eingabe[[#This Row],[V1]]+Eingabe[[#This Row],[R1]])</f>
        <v>127</v>
      </c>
      <c r="AH39" s="35">
        <f>IF(Eingabe[[#This Row],[V2]]="","",Eingabe[[#This Row],[V2]]+Eingabe[[#This Row],[R2]])</f>
        <v>127</v>
      </c>
      <c r="AI39" s="35">
        <f>IF(Eingabe[[#This Row],[V3]]="","",Eingabe[[#This Row],[V3]]+Eingabe[[#This Row],[R3]])</f>
        <v>116</v>
      </c>
      <c r="AJ39" s="35">
        <f>IF(Eingabe[[#This Row],[V4]]="","",Eingabe[[#This Row],[V4]]+Eingabe[[#This Row],[R4]])</f>
        <v>129</v>
      </c>
      <c r="AK39" s="35">
        <f>IF(Eingabe[[#This Row],[S1P]]="","",Eingabe[[#This Row],[S1P]]+Eingabe[[#This Row],[S2P]]+Eingabe[[#This Row],[S3P]]+Eingabe[[#This Row],[S4P]])</f>
        <v>2</v>
      </c>
      <c r="AL39" s="35">
        <f>IF(Eingabe[[#This Row],[S1P]]="","",IF(Eingabe[[#This Row],[SP]]&gt;2,1,IF(Eingabe[[#This Row],[SP]]&lt;2,0,IF(Eingabe[[#This Row],[GES]]&gt;Eingabe[[#This Row],[GEGGES]],1,IF(Eingabe[[#This Row],[GES]]=Eingabe[[#This Row],[GEGGES]],0.5,0)))))</f>
        <v>1</v>
      </c>
      <c r="AM39" s="35">
        <f>IF(Eingabe[[#This Row],[MP]]="","",MOD(ROW(Eingabe[[#This Row],[Position]])-3,6)+1)</f>
        <v>1</v>
      </c>
      <c r="AN39" s="35">
        <f>STANDARDIZE(Eingabe[[#This Row],[GES]],Eingabe[[#This Row],[Schnitt]],VLOOKUP(Eingabe[[#This Row],[Name]],AuswertungG[],21,FALSE))</f>
        <v>-0.29032258064516131</v>
      </c>
      <c r="AO39" s="35">
        <f>VLOOKUP(Eingabe[[#This Row],[ID]],Chronologie[[ID]:[KW]],12,FALSE)</f>
        <v>12</v>
      </c>
      <c r="AP39" s="58" t="str">
        <f>IF(Eingabe[[#This Row],[Wo]]="H",Eingabe[[#This Row],[Gegner]]&amp;" ["&amp;Eingabe[[#This Row],[Wo]]&amp;"]",Eingabe[[#This Row],[Ort]])</f>
        <v>SG Hohentanne [H]</v>
      </c>
      <c r="AQ39" s="35">
        <f>IFERROR(IF(Eingabe[[#This Row],[Wo]]="H",IF(MOD(Eingabe[[#This Row],[Position]],2)=1,Eingabe[[#This Row],[S1]],Eingabe[[#This Row],[S4]]),""),"")</f>
        <v>127</v>
      </c>
      <c r="AR39" s="35">
        <f>IFERROR(IF(Eingabe[[#This Row],[Wo]]="H",IF(Eingabe[[#This Row],[S1]]&gt;0,IF(MOD(Eingabe[[#This Row],[Position]],2)=1,Eingabe[[#This Row],[S2]],Eingabe[[#This Row],[S3]]),""),""),"")</f>
        <v>127</v>
      </c>
      <c r="AS39" s="35">
        <f>IFERROR(IF(Eingabe[[#This Row],[Wo]]="H",IF(Eingabe[[#This Row],[S1]]&gt;0,IF(MOD(ROW(Eingabe[[#This Row],[Heimbahn 3]]),2)=1,Eingabe[[#This Row],[S4]],Eingabe[[#This Row],[S1]]),""),""),"")</f>
        <v>129</v>
      </c>
      <c r="AT39" s="35">
        <f>IFERROR(IF(Eingabe[[#This Row],[Wo]]="H",IF(Eingabe[[#This Row],[S1]]&gt;0,IF(MOD(ROW(Eingabe[[#This Row],[Heimbahn 4]]),2)=1,Eingabe[[#This Row],[S3]],Eingabe[[#This Row],[S2]]),""),""),"")</f>
        <v>116</v>
      </c>
      <c r="AU39" s="88">
        <f>IF(Eingabe[[#This Row],[GES]]="","",IF(Eingabe[[#This Row],[Modus]]="L",_xlfn.RANK.EQ(Eingabe[[#This Row],[GES]],AF39:AF44),IF(Eingabe[[#This Row],[Modus]]="P",_xlfn.RANK.EQ(Eingabe[[#This Row],[GES]],AF39:AF44),"")))</f>
        <v>5</v>
      </c>
      <c r="AV39" s="6">
        <f>VLOOKUP(Eingabe[[#This Row],[Name]],AuswertungG[],8,FALSE)</f>
        <v>508</v>
      </c>
      <c r="AZ39" s="6">
        <f>IFERROR(ABS(Eingabe[[#This Row],[GES]]-Eingabe[[#This Row],[GEGGES]]),"")</f>
        <v>2</v>
      </c>
    </row>
    <row r="40" spans="1:52" ht="16.2" hidden="1" thickBot="1" x14ac:dyDescent="0.35">
      <c r="A40" s="441"/>
      <c r="B40" s="21">
        <f t="shared" si="0"/>
        <v>7</v>
      </c>
      <c r="C40" s="6" t="str">
        <f>VLOOKUP($B40,Chronologie[],7,TRUE)</f>
        <v>SG Hohentanne</v>
      </c>
      <c r="D40" s="6" t="str">
        <f>VLOOKUP($B40,Chronologie[],8,TRUE)</f>
        <v>Hirschfeld</v>
      </c>
      <c r="E40" s="240" t="str">
        <f>VLOOKUP($B40,Chronologie[],9,TRUE)</f>
        <v>H</v>
      </c>
      <c r="F40" s="6" t="str">
        <f>VLOOKUP($B40,Chronologie[],COLUMN(F41)-2,TRUE)</f>
        <v>E</v>
      </c>
      <c r="G40" s="6" t="str">
        <f>VLOOKUP($B40,Chronologie[],COLUMN(G41)-2,TRUE)</f>
        <v>L</v>
      </c>
      <c r="H40" s="6">
        <f>VLOOKUP($B40,Chronologie[],COLUMN(H41)-2,TRUE)</f>
        <v>7</v>
      </c>
      <c r="I40" s="10" t="str">
        <f>VLOOKUP($B40,Chronologie[],2,TRUE)</f>
        <v>E-L-7</v>
      </c>
      <c r="J40" s="243">
        <f>VLOOKUP($B40,Chronologie[],3,TRUE)</f>
        <v>45976</v>
      </c>
      <c r="K40" s="237" t="s">
        <v>489</v>
      </c>
      <c r="L40" s="237">
        <v>92</v>
      </c>
      <c r="M40" s="237">
        <v>85</v>
      </c>
      <c r="N40" s="237">
        <v>90</v>
      </c>
      <c r="O40" s="237">
        <v>90</v>
      </c>
      <c r="P40" s="237">
        <v>44</v>
      </c>
      <c r="Q40" s="237">
        <v>36</v>
      </c>
      <c r="R40" s="237">
        <v>53</v>
      </c>
      <c r="S40" s="237">
        <v>44</v>
      </c>
      <c r="T40" s="237">
        <v>1</v>
      </c>
      <c r="U40" s="237">
        <v>4</v>
      </c>
      <c r="V40" s="237">
        <v>0</v>
      </c>
      <c r="W40" s="237">
        <v>1</v>
      </c>
      <c r="X40" s="38">
        <v>1</v>
      </c>
      <c r="Y40" s="38">
        <v>0</v>
      </c>
      <c r="Z40" s="38">
        <v>0</v>
      </c>
      <c r="AA40" s="38">
        <v>1</v>
      </c>
      <c r="AB40" s="91">
        <v>546</v>
      </c>
      <c r="AC40" s="94">
        <f>IF(Eingabe[[#This Row],[V1]]="",IF(Eingabe[[#This Row],[Volle alternativ]]="","",Eingabe[[#This Row],[Volle alternativ]]),SUM(Eingabe[[#This Row],[V1]:[V4]]))</f>
        <v>357</v>
      </c>
      <c r="AD40" s="6">
        <f>IF(Eingabe[[#This Row],[R1]]="",IF(Eingabe[[#This Row],[Räumer alternativ]]="","",Eingabe[[#This Row],[Räumer alternativ]]),SUM(Eingabe[[#This Row],[R1]:[R4]]))</f>
        <v>177</v>
      </c>
      <c r="AE40" s="6">
        <f>IF(Eingabe[[#This Row],[F1]]="",IF(Eingabe[[#This Row],[Fehler alternativ]]="","",Eingabe[[#This Row],[Fehler alternativ]]),SUM(Eingabe[[#This Row],[F1]:[F4]]))</f>
        <v>6</v>
      </c>
      <c r="AF40" s="6">
        <f>IF(Eingabe[[#This Row],[Volle]]="","",IF(Eingabe[[#This Row],[S1]]="",Eingabe[[#This Row],[Volle]]+Eingabe[[#This Row],[Räumer]],IF(Eingabe[[#This Row],[Volle]]+Eingabe[[#This Row],[Räumer]]=Eingabe[[#This Row],[S1]]+Eingabe[[#This Row],[S2]]+Eingabe[[#This Row],[S3]]+Eingabe[[#This Row],[S4]],Eingabe[[#This Row],[Volle]]+Eingabe[[#This Row],[Räumer]],"FEHLER")))</f>
        <v>534</v>
      </c>
      <c r="AG40" s="6">
        <f>IF(Eingabe[[#This Row],[V1]]="","",Eingabe[[#This Row],[V1]]+Eingabe[[#This Row],[R1]])</f>
        <v>136</v>
      </c>
      <c r="AH40" s="6">
        <f>IF(Eingabe[[#This Row],[V2]]="","",Eingabe[[#This Row],[V2]]+Eingabe[[#This Row],[R2]])</f>
        <v>121</v>
      </c>
      <c r="AI40" s="6">
        <f>IF(Eingabe[[#This Row],[V3]]="","",Eingabe[[#This Row],[V3]]+Eingabe[[#This Row],[R3]])</f>
        <v>143</v>
      </c>
      <c r="AJ40" s="6">
        <f>IF(Eingabe[[#This Row],[V4]]="","",Eingabe[[#This Row],[V4]]+Eingabe[[#This Row],[R4]])</f>
        <v>134</v>
      </c>
      <c r="AK40" s="6">
        <f>IF(Eingabe[[#This Row],[S1P]]="","",Eingabe[[#This Row],[S1P]]+Eingabe[[#This Row],[S2P]]+Eingabe[[#This Row],[S3P]]+Eingabe[[#This Row],[S4P]])</f>
        <v>2</v>
      </c>
      <c r="AL40" s="6">
        <f>IF(Eingabe[[#This Row],[S1P]]="","",IF(Eingabe[[#This Row],[SP]]&gt;2,1,IF(Eingabe[[#This Row],[SP]]&lt;2,0,IF(Eingabe[[#This Row],[GES]]&gt;Eingabe[[#This Row],[GEGGES]],1,IF(Eingabe[[#This Row],[GES]]=Eingabe[[#This Row],[GEGGES]],0.5,0)))))</f>
        <v>0</v>
      </c>
      <c r="AM40" s="6">
        <f>IF(Eingabe[[#This Row],[MP]]="","",MOD(ROW(Eingabe[[#This Row],[Position]])-3,6)+1)</f>
        <v>2</v>
      </c>
      <c r="AN40" s="6">
        <f>STANDARDIZE(Eingabe[[#This Row],[GES]],Eingabe[[#This Row],[Schnitt]],VLOOKUP(Eingabe[[#This Row],[Name]],AuswertungG[],21,FALSE))</f>
        <v>0.33333333333333331</v>
      </c>
      <c r="AO40" s="6">
        <f>VLOOKUP(Eingabe[[#This Row],[ID]],Chronologie[[ID]:[KW]],12,FALSE)</f>
        <v>12</v>
      </c>
      <c r="AP40" s="95" t="str">
        <f>IF(Eingabe[[#This Row],[Wo]]="H",Eingabe[[#This Row],[Gegner]]&amp;" ["&amp;Eingabe[[#This Row],[Wo]]&amp;"]",Eingabe[[#This Row],[Ort]])</f>
        <v>SG Hohentanne [H]</v>
      </c>
      <c r="AQ40" s="6">
        <f>IFERROR(IF(Eingabe[[#This Row],[Wo]]="H",IF(MOD(Eingabe[[#This Row],[Position]],2)=1,Eingabe[[#This Row],[S1]],Eingabe[[#This Row],[S4]]),""),"")</f>
        <v>134</v>
      </c>
      <c r="AR40" s="6">
        <f>IFERROR(IF(Eingabe[[#This Row],[Wo]]="H",IF(Eingabe[[#This Row],[S1]]&gt;0,IF(MOD(Eingabe[[#This Row],[Position]],2)=1,Eingabe[[#This Row],[S2]],Eingabe[[#This Row],[S3]]),""),""),"")</f>
        <v>143</v>
      </c>
      <c r="AS40" s="6">
        <f>IFERROR(IF(Eingabe[[#This Row],[Wo]]="H",IF(Eingabe[[#This Row],[S1]]&gt;0,IF(MOD(ROW(Eingabe[[#This Row],[Heimbahn 3]]),2)=1,Eingabe[[#This Row],[S4]],Eingabe[[#This Row],[S1]]),""),""),"")</f>
        <v>136</v>
      </c>
      <c r="AT40" s="6">
        <f>IFERROR(IF(Eingabe[[#This Row],[Wo]]="H",IF(Eingabe[[#This Row],[S1]]&gt;0,IF(MOD(ROW(Eingabe[[#This Row],[Heimbahn 4]]),2)=1,Eingabe[[#This Row],[S3]],Eingabe[[#This Row],[S2]]),""),""),"")</f>
        <v>121</v>
      </c>
      <c r="AU40" s="22">
        <f>IF(Eingabe[[#This Row],[GES]]="","",IF(Eingabe[[#This Row],[Modus]]="L",_xlfn.RANK.EQ(Eingabe[[#This Row],[GES]],AF39:AF44),IF(Eingabe[[#This Row],[Modus]]="P",_xlfn.RANK.EQ(Eingabe[[#This Row],[GES]],AF39:AF44),"")))</f>
        <v>2</v>
      </c>
      <c r="AV40" s="6">
        <f>VLOOKUP(Eingabe[[#This Row],[Name]],AuswertungG[],8,FALSE)</f>
        <v>526</v>
      </c>
      <c r="AZ40" s="6">
        <f>IFERROR(ABS(Eingabe[[#This Row],[GES]]-Eingabe[[#This Row],[GEGGES]]),"")</f>
        <v>12</v>
      </c>
    </row>
    <row r="41" spans="1:52" ht="16.2" hidden="1" thickBot="1" x14ac:dyDescent="0.35">
      <c r="A41" s="441"/>
      <c r="B41" s="21">
        <f t="shared" si="0"/>
        <v>7</v>
      </c>
      <c r="C41" s="6" t="str">
        <f>VLOOKUP($B41,Chronologie[],7,TRUE)</f>
        <v>SG Hohentanne</v>
      </c>
      <c r="D41" s="6" t="str">
        <f>VLOOKUP($B41,Chronologie[],8,TRUE)</f>
        <v>Hirschfeld</v>
      </c>
      <c r="E41" s="240" t="str">
        <f>VLOOKUP($B41,Chronologie[],9,TRUE)</f>
        <v>H</v>
      </c>
      <c r="F41" s="6" t="str">
        <f>VLOOKUP($B41,Chronologie[],COLUMN(F42)-2,TRUE)</f>
        <v>E</v>
      </c>
      <c r="G41" s="6" t="str">
        <f>VLOOKUP($B41,Chronologie[],COLUMN(G42)-2,TRUE)</f>
        <v>L</v>
      </c>
      <c r="H41" s="6">
        <f>VLOOKUP($B41,Chronologie[],COLUMN(H42)-2,TRUE)</f>
        <v>7</v>
      </c>
      <c r="I41" s="10" t="str">
        <f>VLOOKUP($B41,Chronologie[],2,TRUE)</f>
        <v>E-L-7</v>
      </c>
      <c r="J41" s="243">
        <f>VLOOKUP($B41,Chronologie[],3,TRUE)</f>
        <v>45976</v>
      </c>
      <c r="K41" s="237" t="s">
        <v>469</v>
      </c>
      <c r="L41" s="237">
        <v>88</v>
      </c>
      <c r="M41" s="237">
        <v>91</v>
      </c>
      <c r="N41" s="237">
        <v>96</v>
      </c>
      <c r="O41" s="237">
        <v>94</v>
      </c>
      <c r="P41" s="237">
        <v>44</v>
      </c>
      <c r="Q41" s="237">
        <v>27</v>
      </c>
      <c r="R41" s="237">
        <v>43</v>
      </c>
      <c r="S41" s="237">
        <v>45</v>
      </c>
      <c r="T41" s="237">
        <v>0</v>
      </c>
      <c r="U41" s="237">
        <v>4</v>
      </c>
      <c r="V41" s="237">
        <v>1</v>
      </c>
      <c r="W41" s="237">
        <v>1</v>
      </c>
      <c r="X41" s="38">
        <v>1</v>
      </c>
      <c r="Y41" s="38">
        <v>0</v>
      </c>
      <c r="Z41" s="38">
        <v>0</v>
      </c>
      <c r="AA41" s="38">
        <v>1</v>
      </c>
      <c r="AB41" s="91">
        <v>518</v>
      </c>
      <c r="AC41" s="94">
        <f>IF(Eingabe[[#This Row],[V1]]="",IF(Eingabe[[#This Row],[Volle alternativ]]="","",Eingabe[[#This Row],[Volle alternativ]]),SUM(Eingabe[[#This Row],[V1]:[V4]]))</f>
        <v>369</v>
      </c>
      <c r="AD41" s="6">
        <f>IF(Eingabe[[#This Row],[R1]]="",IF(Eingabe[[#This Row],[Räumer alternativ]]="","",Eingabe[[#This Row],[Räumer alternativ]]),SUM(Eingabe[[#This Row],[R1]:[R4]]))</f>
        <v>159</v>
      </c>
      <c r="AE41" s="6">
        <f>IF(Eingabe[[#This Row],[F1]]="",IF(Eingabe[[#This Row],[Fehler alternativ]]="","",Eingabe[[#This Row],[Fehler alternativ]]),SUM(Eingabe[[#This Row],[F1]:[F4]]))</f>
        <v>6</v>
      </c>
      <c r="AF41" s="6">
        <f>IF(Eingabe[[#This Row],[Volle]]="","",IF(Eingabe[[#This Row],[S1]]="",Eingabe[[#This Row],[Volle]]+Eingabe[[#This Row],[Räumer]],IF(Eingabe[[#This Row],[Volle]]+Eingabe[[#This Row],[Räumer]]=Eingabe[[#This Row],[S1]]+Eingabe[[#This Row],[S2]]+Eingabe[[#This Row],[S3]]+Eingabe[[#This Row],[S4]],Eingabe[[#This Row],[Volle]]+Eingabe[[#This Row],[Räumer]],"FEHLER")))</f>
        <v>528</v>
      </c>
      <c r="AG41" s="6">
        <f>IF(Eingabe[[#This Row],[V1]]="","",Eingabe[[#This Row],[V1]]+Eingabe[[#This Row],[R1]])</f>
        <v>132</v>
      </c>
      <c r="AH41" s="6">
        <f>IF(Eingabe[[#This Row],[V2]]="","",Eingabe[[#This Row],[V2]]+Eingabe[[#This Row],[R2]])</f>
        <v>118</v>
      </c>
      <c r="AI41" s="6">
        <f>IF(Eingabe[[#This Row],[V3]]="","",Eingabe[[#This Row],[V3]]+Eingabe[[#This Row],[R3]])</f>
        <v>139</v>
      </c>
      <c r="AJ41" s="6">
        <f>IF(Eingabe[[#This Row],[V4]]="","",Eingabe[[#This Row],[V4]]+Eingabe[[#This Row],[R4]])</f>
        <v>139</v>
      </c>
      <c r="AK41" s="6">
        <f>IF(Eingabe[[#This Row],[S1P]]="","",Eingabe[[#This Row],[S1P]]+Eingabe[[#This Row],[S2P]]+Eingabe[[#This Row],[S3P]]+Eingabe[[#This Row],[S4P]])</f>
        <v>2</v>
      </c>
      <c r="AL41" s="6">
        <f>IF(Eingabe[[#This Row],[S1P]]="","",IF(Eingabe[[#This Row],[SP]]&gt;2,1,IF(Eingabe[[#This Row],[SP]]&lt;2,0,IF(Eingabe[[#This Row],[GES]]&gt;Eingabe[[#This Row],[GEGGES]],1,IF(Eingabe[[#This Row],[GES]]=Eingabe[[#This Row],[GEGGES]],0.5,0)))))</f>
        <v>1</v>
      </c>
      <c r="AM41" s="6">
        <f>IF(Eingabe[[#This Row],[MP]]="","",MOD(ROW(Eingabe[[#This Row],[Position]])-3,6)+1)</f>
        <v>3</v>
      </c>
      <c r="AN41" s="6">
        <f>STANDARDIZE(Eingabe[[#This Row],[GES]],Eingabe[[#This Row],[Schnitt]],VLOOKUP(Eingabe[[#This Row],[Name]],AuswertungG[],21,FALSE))</f>
        <v>0</v>
      </c>
      <c r="AO41" s="6">
        <f>VLOOKUP(Eingabe[[#This Row],[ID]],Chronologie[[ID]:[KW]],12,FALSE)</f>
        <v>12</v>
      </c>
      <c r="AP41" s="95" t="str">
        <f>IF(Eingabe[[#This Row],[Wo]]="H",Eingabe[[#This Row],[Gegner]]&amp;" ["&amp;Eingabe[[#This Row],[Wo]]&amp;"]",Eingabe[[#This Row],[Ort]])</f>
        <v>SG Hohentanne [H]</v>
      </c>
      <c r="AQ41" s="6">
        <f>IFERROR(IF(Eingabe[[#This Row],[Wo]]="H",IF(MOD(Eingabe[[#This Row],[Position]],2)=1,Eingabe[[#This Row],[S1]],Eingabe[[#This Row],[S4]]),""),"")</f>
        <v>132</v>
      </c>
      <c r="AR41" s="6">
        <f>IFERROR(IF(Eingabe[[#This Row],[Wo]]="H",IF(Eingabe[[#This Row],[S1]]&gt;0,IF(MOD(Eingabe[[#This Row],[Position]],2)=1,Eingabe[[#This Row],[S2]],Eingabe[[#This Row],[S3]]),""),""),"")</f>
        <v>118</v>
      </c>
      <c r="AS41" s="6">
        <f>IFERROR(IF(Eingabe[[#This Row],[Wo]]="H",IF(Eingabe[[#This Row],[S1]]&gt;0,IF(MOD(ROW(Eingabe[[#This Row],[Heimbahn 3]]),2)=1,Eingabe[[#This Row],[S4]],Eingabe[[#This Row],[S1]]),""),""),"")</f>
        <v>139</v>
      </c>
      <c r="AT41" s="6">
        <f>IFERROR(IF(Eingabe[[#This Row],[Wo]]="H",IF(Eingabe[[#This Row],[S1]]&gt;0,IF(MOD(ROW(Eingabe[[#This Row],[Heimbahn 4]]),2)=1,Eingabe[[#This Row],[S3]],Eingabe[[#This Row],[S2]]),""),""),"")</f>
        <v>139</v>
      </c>
      <c r="AU41" s="22">
        <f>IF(Eingabe[[#This Row],[GES]]="","",IF(Eingabe[[#This Row],[Modus]]="L",_xlfn.RANK.EQ(Eingabe[[#This Row],[GES]],AF39:AF44),IF(Eingabe[[#This Row],[Modus]]="P",_xlfn.RANK.EQ(Eingabe[[#This Row],[GES]],AF39:AF44),"")))</f>
        <v>3</v>
      </c>
      <c r="AV41" s="6">
        <f>VLOOKUP(Eingabe[[#This Row],[Name]],AuswertungG[],8,FALSE)</f>
        <v>528</v>
      </c>
      <c r="AZ41" s="6">
        <f>IFERROR(ABS(Eingabe[[#This Row],[GES]]-Eingabe[[#This Row],[GEGGES]]),"")</f>
        <v>10</v>
      </c>
    </row>
    <row r="42" spans="1:52" ht="16.2" hidden="1" thickBot="1" x14ac:dyDescent="0.35">
      <c r="A42" s="441"/>
      <c r="B42" s="21">
        <f t="shared" si="0"/>
        <v>7</v>
      </c>
      <c r="C42" s="6" t="str">
        <f>VLOOKUP($B42,Chronologie[],7,TRUE)</f>
        <v>SG Hohentanne</v>
      </c>
      <c r="D42" s="6" t="str">
        <f>VLOOKUP($B42,Chronologie[],8,TRUE)</f>
        <v>Hirschfeld</v>
      </c>
      <c r="E42" s="240" t="str">
        <f>VLOOKUP($B42,Chronologie[],9,TRUE)</f>
        <v>H</v>
      </c>
      <c r="F42" s="6" t="str">
        <f>VLOOKUP($B42,Chronologie[],COLUMN(F43)-2,TRUE)</f>
        <v>E</v>
      </c>
      <c r="G42" s="6" t="str">
        <f>VLOOKUP($B42,Chronologie[],COLUMN(G43)-2,TRUE)</f>
        <v>L</v>
      </c>
      <c r="H42" s="6">
        <f>VLOOKUP($B42,Chronologie[],COLUMN(H43)-2,TRUE)</f>
        <v>7</v>
      </c>
      <c r="I42" s="10" t="str">
        <f>VLOOKUP($B42,Chronologie[],2,TRUE)</f>
        <v>E-L-7</v>
      </c>
      <c r="J42" s="243">
        <f>VLOOKUP($B42,Chronologie[],3,TRUE)</f>
        <v>45976</v>
      </c>
      <c r="K42" s="238" t="s">
        <v>6</v>
      </c>
      <c r="L42" s="237">
        <v>88</v>
      </c>
      <c r="M42" s="237">
        <v>91</v>
      </c>
      <c r="N42" s="237">
        <v>91</v>
      </c>
      <c r="O42" s="237">
        <v>96</v>
      </c>
      <c r="P42" s="237">
        <v>43</v>
      </c>
      <c r="Q42" s="237">
        <v>36</v>
      </c>
      <c r="R42" s="237">
        <v>36</v>
      </c>
      <c r="S42" s="237">
        <v>42</v>
      </c>
      <c r="T42" s="237">
        <v>1</v>
      </c>
      <c r="U42" s="237">
        <v>1</v>
      </c>
      <c r="V42" s="237">
        <v>0</v>
      </c>
      <c r="W42" s="237">
        <v>0</v>
      </c>
      <c r="X42" s="38">
        <v>0</v>
      </c>
      <c r="Y42" s="38">
        <v>1</v>
      </c>
      <c r="Z42" s="38">
        <v>1</v>
      </c>
      <c r="AA42" s="38">
        <v>1</v>
      </c>
      <c r="AB42" s="91">
        <v>529</v>
      </c>
      <c r="AC42" s="94">
        <f>IF(Eingabe[[#This Row],[V1]]="",IF(Eingabe[[#This Row],[Volle alternativ]]="","",Eingabe[[#This Row],[Volle alternativ]]),SUM(Eingabe[[#This Row],[V1]:[V4]]))</f>
        <v>366</v>
      </c>
      <c r="AD42" s="6">
        <f>IF(Eingabe[[#This Row],[R1]]="",IF(Eingabe[[#This Row],[Räumer alternativ]]="","",Eingabe[[#This Row],[Räumer alternativ]]),SUM(Eingabe[[#This Row],[R1]:[R4]]))</f>
        <v>157</v>
      </c>
      <c r="AE42" s="6">
        <f>IF(Eingabe[[#This Row],[F1]]="",IF(Eingabe[[#This Row],[Fehler alternativ]]="","",Eingabe[[#This Row],[Fehler alternativ]]),SUM(Eingabe[[#This Row],[F1]:[F4]]))</f>
        <v>2</v>
      </c>
      <c r="AF42" s="6">
        <f>IF(Eingabe[[#This Row],[Volle]]="","",IF(Eingabe[[#This Row],[S1]]="",Eingabe[[#This Row],[Volle]]+Eingabe[[#This Row],[Räumer]],IF(Eingabe[[#This Row],[Volle]]+Eingabe[[#This Row],[Räumer]]=Eingabe[[#This Row],[S1]]+Eingabe[[#This Row],[S2]]+Eingabe[[#This Row],[S3]]+Eingabe[[#This Row],[S4]],Eingabe[[#This Row],[Volle]]+Eingabe[[#This Row],[Räumer]],"FEHLER")))</f>
        <v>523</v>
      </c>
      <c r="AG42" s="6">
        <f>IF(Eingabe[[#This Row],[V1]]="","",Eingabe[[#This Row],[V1]]+Eingabe[[#This Row],[R1]])</f>
        <v>131</v>
      </c>
      <c r="AH42" s="6">
        <f>IF(Eingabe[[#This Row],[V2]]="","",Eingabe[[#This Row],[V2]]+Eingabe[[#This Row],[R2]])</f>
        <v>127</v>
      </c>
      <c r="AI42" s="6">
        <f>IF(Eingabe[[#This Row],[V3]]="","",Eingabe[[#This Row],[V3]]+Eingabe[[#This Row],[R3]])</f>
        <v>127</v>
      </c>
      <c r="AJ42" s="6">
        <f>IF(Eingabe[[#This Row],[V4]]="","",Eingabe[[#This Row],[V4]]+Eingabe[[#This Row],[R4]])</f>
        <v>138</v>
      </c>
      <c r="AK42" s="6">
        <f>IF(Eingabe[[#This Row],[S1P]]="","",Eingabe[[#This Row],[S1P]]+Eingabe[[#This Row],[S2P]]+Eingabe[[#This Row],[S3P]]+Eingabe[[#This Row],[S4P]])</f>
        <v>3</v>
      </c>
      <c r="AL42" s="6">
        <f>IF(Eingabe[[#This Row],[S1P]]="","",IF(Eingabe[[#This Row],[SP]]&gt;2,1,IF(Eingabe[[#This Row],[SP]]&lt;2,0,IF(Eingabe[[#This Row],[GES]]&gt;Eingabe[[#This Row],[GEGGES]],1,IF(Eingabe[[#This Row],[GES]]=Eingabe[[#This Row],[GEGGES]],0.5,0)))))</f>
        <v>1</v>
      </c>
      <c r="AM42" s="6">
        <f>IF(Eingabe[[#This Row],[MP]]="","",MOD(ROW(Eingabe[[#This Row],[Position]])-3,6)+1)</f>
        <v>4</v>
      </c>
      <c r="AN42" s="6">
        <f>STANDARDIZE(Eingabe[[#This Row],[GES]],Eingabe[[#This Row],[Schnitt]],VLOOKUP(Eingabe[[#This Row],[Name]],AuswertungG[],21,FALSE))</f>
        <v>-0.33333333333333331</v>
      </c>
      <c r="AO42" s="6">
        <f>VLOOKUP(Eingabe[[#This Row],[ID]],Chronologie[[ID]:[KW]],12,FALSE)</f>
        <v>12</v>
      </c>
      <c r="AP42" s="95" t="str">
        <f>IF(Eingabe[[#This Row],[Wo]]="H",Eingabe[[#This Row],[Gegner]]&amp;" ["&amp;Eingabe[[#This Row],[Wo]]&amp;"]",Eingabe[[#This Row],[Ort]])</f>
        <v>SG Hohentanne [H]</v>
      </c>
      <c r="AQ42" s="6">
        <f>IFERROR(IF(Eingabe[[#This Row],[Wo]]="H",IF(MOD(Eingabe[[#This Row],[Position]],2)=1,Eingabe[[#This Row],[S1]],Eingabe[[#This Row],[S4]]),""),"")</f>
        <v>138</v>
      </c>
      <c r="AR42" s="6">
        <f>IFERROR(IF(Eingabe[[#This Row],[Wo]]="H",IF(Eingabe[[#This Row],[S1]]&gt;0,IF(MOD(Eingabe[[#This Row],[Position]],2)=1,Eingabe[[#This Row],[S2]],Eingabe[[#This Row],[S3]]),""),""),"")</f>
        <v>127</v>
      </c>
      <c r="AS42" s="6">
        <f>IFERROR(IF(Eingabe[[#This Row],[Wo]]="H",IF(Eingabe[[#This Row],[S1]]&gt;0,IF(MOD(ROW(Eingabe[[#This Row],[Heimbahn 3]]),2)=1,Eingabe[[#This Row],[S4]],Eingabe[[#This Row],[S1]]),""),""),"")</f>
        <v>131</v>
      </c>
      <c r="AT42" s="6">
        <f>IFERROR(IF(Eingabe[[#This Row],[Wo]]="H",IF(Eingabe[[#This Row],[S1]]&gt;0,IF(MOD(ROW(Eingabe[[#This Row],[Heimbahn 4]]),2)=1,Eingabe[[#This Row],[S3]],Eingabe[[#This Row],[S2]]),""),""),"")</f>
        <v>127</v>
      </c>
      <c r="AU42" s="22">
        <f>IF(Eingabe[[#This Row],[GES]]="","",IF(Eingabe[[#This Row],[Modus]]="L",_xlfn.RANK.EQ(Eingabe[[#This Row],[GES]],AF39:AF44),IF(Eingabe[[#This Row],[Modus]]="P",_xlfn.RANK.EQ(Eingabe[[#This Row],[GES]],AF39:AF44),"")))</f>
        <v>4</v>
      </c>
      <c r="AV42" s="6">
        <f>VLOOKUP(Eingabe[[#This Row],[Name]],AuswertungG[],8,FALSE)</f>
        <v>529</v>
      </c>
      <c r="AZ42" s="6">
        <f>IFERROR(ABS(Eingabe[[#This Row],[GES]]-Eingabe[[#This Row],[GEGGES]]),"")</f>
        <v>6</v>
      </c>
    </row>
    <row r="43" spans="1:52" ht="16.2" hidden="1" thickBot="1" x14ac:dyDescent="0.35">
      <c r="A43" s="441"/>
      <c r="B43" s="21">
        <f t="shared" si="0"/>
        <v>7</v>
      </c>
      <c r="C43" s="6" t="str">
        <f>VLOOKUP($B43,Chronologie[],7,TRUE)</f>
        <v>SG Hohentanne</v>
      </c>
      <c r="D43" s="6" t="str">
        <f>VLOOKUP($B43,Chronologie[],8,TRUE)</f>
        <v>Hirschfeld</v>
      </c>
      <c r="E43" s="240" t="str">
        <f>VLOOKUP($B43,Chronologie[],9,TRUE)</f>
        <v>H</v>
      </c>
      <c r="F43" s="6" t="str">
        <f>VLOOKUP($B43,Chronologie[],COLUMN(F44)-2,TRUE)</f>
        <v>E</v>
      </c>
      <c r="G43" s="6" t="str">
        <f>VLOOKUP($B43,Chronologie[],COLUMN(G44)-2,TRUE)</f>
        <v>L</v>
      </c>
      <c r="H43" s="6">
        <f>VLOOKUP($B43,Chronologie[],COLUMN(H44)-2,TRUE)</f>
        <v>7</v>
      </c>
      <c r="I43" s="10" t="str">
        <f>VLOOKUP($B43,Chronologie[],2,TRUE)</f>
        <v>E-L-7</v>
      </c>
      <c r="J43" s="243">
        <f>VLOOKUP($B43,Chronologie[],3,TRUE)</f>
        <v>45976</v>
      </c>
      <c r="K43" s="237" t="s">
        <v>455</v>
      </c>
      <c r="L43" s="237">
        <v>95</v>
      </c>
      <c r="M43" s="237">
        <v>88</v>
      </c>
      <c r="N43" s="237">
        <v>104</v>
      </c>
      <c r="O43" s="237">
        <v>98</v>
      </c>
      <c r="P43" s="237">
        <v>50</v>
      </c>
      <c r="Q43" s="237">
        <v>44</v>
      </c>
      <c r="R43" s="237">
        <v>62</v>
      </c>
      <c r="S43" s="237">
        <v>52</v>
      </c>
      <c r="T43" s="237">
        <v>0</v>
      </c>
      <c r="U43" s="237">
        <v>0</v>
      </c>
      <c r="V43" s="237">
        <v>0</v>
      </c>
      <c r="W43" s="237">
        <v>0</v>
      </c>
      <c r="X43" s="38">
        <v>1</v>
      </c>
      <c r="Y43" s="38">
        <v>0.5</v>
      </c>
      <c r="Z43" s="38">
        <v>1</v>
      </c>
      <c r="AA43" s="38">
        <v>1</v>
      </c>
      <c r="AB43" s="91">
        <v>521</v>
      </c>
      <c r="AC43" s="94">
        <f>IF(Eingabe[[#This Row],[V1]]="",IF(Eingabe[[#This Row],[Volle alternativ]]="","",Eingabe[[#This Row],[Volle alternativ]]),SUM(Eingabe[[#This Row],[V1]:[V4]]))</f>
        <v>385</v>
      </c>
      <c r="AD43" s="6">
        <f>IF(Eingabe[[#This Row],[R1]]="",IF(Eingabe[[#This Row],[Räumer alternativ]]="","",Eingabe[[#This Row],[Räumer alternativ]]),SUM(Eingabe[[#This Row],[R1]:[R4]]))</f>
        <v>208</v>
      </c>
      <c r="AE43" s="6">
        <f>IF(Eingabe[[#This Row],[F1]]="",IF(Eingabe[[#This Row],[Fehler alternativ]]="","",Eingabe[[#This Row],[Fehler alternativ]]),SUM(Eingabe[[#This Row],[F1]:[F4]]))</f>
        <v>0</v>
      </c>
      <c r="AF43" s="6">
        <f>IF(Eingabe[[#This Row],[Volle]]="","",IF(Eingabe[[#This Row],[S1]]="",Eingabe[[#This Row],[Volle]]+Eingabe[[#This Row],[Räumer]],IF(Eingabe[[#This Row],[Volle]]+Eingabe[[#This Row],[Räumer]]=Eingabe[[#This Row],[S1]]+Eingabe[[#This Row],[S2]]+Eingabe[[#This Row],[S3]]+Eingabe[[#This Row],[S4]],Eingabe[[#This Row],[Volle]]+Eingabe[[#This Row],[Räumer]],"FEHLER")))</f>
        <v>593</v>
      </c>
      <c r="AG43" s="6">
        <f>IF(Eingabe[[#This Row],[V1]]="","",Eingabe[[#This Row],[V1]]+Eingabe[[#This Row],[R1]])</f>
        <v>145</v>
      </c>
      <c r="AH43" s="6">
        <f>IF(Eingabe[[#This Row],[V2]]="","",Eingabe[[#This Row],[V2]]+Eingabe[[#This Row],[R2]])</f>
        <v>132</v>
      </c>
      <c r="AI43" s="6">
        <f>IF(Eingabe[[#This Row],[V3]]="","",Eingabe[[#This Row],[V3]]+Eingabe[[#This Row],[R3]])</f>
        <v>166</v>
      </c>
      <c r="AJ43" s="6">
        <f>IF(Eingabe[[#This Row],[V4]]="","",Eingabe[[#This Row],[V4]]+Eingabe[[#This Row],[R4]])</f>
        <v>150</v>
      </c>
      <c r="AK43" s="6">
        <f>IF(Eingabe[[#This Row],[S1P]]="","",Eingabe[[#This Row],[S1P]]+Eingabe[[#This Row],[S2P]]+Eingabe[[#This Row],[S3P]]+Eingabe[[#This Row],[S4P]])</f>
        <v>3.5</v>
      </c>
      <c r="AL43" s="6">
        <f>IF(Eingabe[[#This Row],[S1P]]="","",IF(Eingabe[[#This Row],[SP]]&gt;2,1,IF(Eingabe[[#This Row],[SP]]&lt;2,0,IF(Eingabe[[#This Row],[GES]]&gt;Eingabe[[#This Row],[GEGGES]],1,IF(Eingabe[[#This Row],[GES]]=Eingabe[[#This Row],[GEGGES]],0.5,0)))))</f>
        <v>1</v>
      </c>
      <c r="AM43" s="6">
        <f>IF(Eingabe[[#This Row],[MP]]="","",MOD(ROW(Eingabe[[#This Row],[Position]])-3,6)+1)</f>
        <v>5</v>
      </c>
      <c r="AN43" s="6">
        <f>STANDARDIZE(Eingabe[[#This Row],[GES]],Eingabe[[#This Row],[Schnitt]],VLOOKUP(Eingabe[[#This Row],[Name]],AuswertungG[],21,FALSE))</f>
        <v>0.64102564102564108</v>
      </c>
      <c r="AO43" s="6">
        <f>VLOOKUP(Eingabe[[#This Row],[ID]],Chronologie[[ID]:[KW]],12,FALSE)</f>
        <v>12</v>
      </c>
      <c r="AP43" s="95" t="str">
        <f>IF(Eingabe[[#This Row],[Wo]]="H",Eingabe[[#This Row],[Gegner]]&amp;" ["&amp;Eingabe[[#This Row],[Wo]]&amp;"]",Eingabe[[#This Row],[Ort]])</f>
        <v>SG Hohentanne [H]</v>
      </c>
      <c r="AQ43" s="6">
        <f>IFERROR(IF(Eingabe[[#This Row],[Wo]]="H",IF(MOD(Eingabe[[#This Row],[Position]],2)=1,Eingabe[[#This Row],[S1]],Eingabe[[#This Row],[S4]]),""),"")</f>
        <v>145</v>
      </c>
      <c r="AR43" s="6">
        <f>IFERROR(IF(Eingabe[[#This Row],[Wo]]="H",IF(Eingabe[[#This Row],[S1]]&gt;0,IF(MOD(Eingabe[[#This Row],[Position]],2)=1,Eingabe[[#This Row],[S2]],Eingabe[[#This Row],[S3]]),""),""),"")</f>
        <v>132</v>
      </c>
      <c r="AS43" s="6">
        <f>IFERROR(IF(Eingabe[[#This Row],[Wo]]="H",IF(Eingabe[[#This Row],[S1]]&gt;0,IF(MOD(ROW(Eingabe[[#This Row],[Heimbahn 3]]),2)=1,Eingabe[[#This Row],[S4]],Eingabe[[#This Row],[S1]]),""),""),"")</f>
        <v>150</v>
      </c>
      <c r="AT43" s="6">
        <f>IFERROR(IF(Eingabe[[#This Row],[Wo]]="H",IF(Eingabe[[#This Row],[S1]]&gt;0,IF(MOD(ROW(Eingabe[[#This Row],[Heimbahn 4]]),2)=1,Eingabe[[#This Row],[S3]],Eingabe[[#This Row],[S2]]),""),""),"")</f>
        <v>166</v>
      </c>
      <c r="AU43" s="22">
        <f>IF(Eingabe[[#This Row],[GES]]="","",IF(Eingabe[[#This Row],[Modus]]="L",_xlfn.RANK.EQ(Eingabe[[#This Row],[GES]],AF39:AF44),IF(Eingabe[[#This Row],[Modus]]="P",_xlfn.RANK.EQ(Eingabe[[#This Row],[GES]],AF39:AF44),"")))</f>
        <v>1</v>
      </c>
      <c r="AV43" s="6">
        <f>VLOOKUP(Eingabe[[#This Row],[Name]],AuswertungG[],8,FALSE)</f>
        <v>568</v>
      </c>
      <c r="AZ43" s="6">
        <f>IFERROR(ABS(Eingabe[[#This Row],[GES]]-Eingabe[[#This Row],[GEGGES]]),"")</f>
        <v>72</v>
      </c>
    </row>
    <row r="44" spans="1:52" ht="16.2" hidden="1" thickBot="1" x14ac:dyDescent="0.35">
      <c r="A44" s="442"/>
      <c r="B44" s="56">
        <f t="shared" si="0"/>
        <v>7</v>
      </c>
      <c r="C44" s="23" t="str">
        <f>VLOOKUP($B44,Chronologie[],7,TRUE)</f>
        <v>SG Hohentanne</v>
      </c>
      <c r="D44" s="23" t="str">
        <f>VLOOKUP($B44,Chronologie[],8,TRUE)</f>
        <v>Hirschfeld</v>
      </c>
      <c r="E44" s="39" t="str">
        <f>VLOOKUP($B44,Chronologie[],9,TRUE)</f>
        <v>H</v>
      </c>
      <c r="F44" s="23" t="str">
        <f>VLOOKUP($B44,Chronologie[],COLUMN(F45)-2,TRUE)</f>
        <v>E</v>
      </c>
      <c r="G44" s="23" t="str">
        <f>VLOOKUP($B44,Chronologie[],COLUMN(G45)-2,TRUE)</f>
        <v>L</v>
      </c>
      <c r="H44" s="23">
        <f>VLOOKUP($B44,Chronologie[],COLUMN(H45)-2,TRUE)</f>
        <v>7</v>
      </c>
      <c r="I44" s="13" t="str">
        <f>VLOOKUP($B44,Chronologie[],2,TRUE)</f>
        <v>E-L-7</v>
      </c>
      <c r="J44" s="244">
        <f>VLOOKUP($B44,Chronologie[],3,TRUE)</f>
        <v>45976</v>
      </c>
      <c r="K44" s="239" t="s">
        <v>659</v>
      </c>
      <c r="L44" s="239">
        <v>81</v>
      </c>
      <c r="M44" s="239">
        <v>83</v>
      </c>
      <c r="N44" s="239">
        <v>87</v>
      </c>
      <c r="O44" s="239">
        <v>83</v>
      </c>
      <c r="P44" s="239">
        <v>35</v>
      </c>
      <c r="Q44" s="239">
        <v>51</v>
      </c>
      <c r="R44" s="239">
        <v>44</v>
      </c>
      <c r="S44" s="239">
        <v>35</v>
      </c>
      <c r="T44" s="239">
        <v>1</v>
      </c>
      <c r="U44" s="239">
        <v>0</v>
      </c>
      <c r="V44" s="239">
        <v>0</v>
      </c>
      <c r="W44" s="239">
        <v>2</v>
      </c>
      <c r="X44" s="40">
        <v>0</v>
      </c>
      <c r="Y44" s="40">
        <v>0</v>
      </c>
      <c r="Z44" s="40">
        <v>1</v>
      </c>
      <c r="AA44" s="40">
        <v>0</v>
      </c>
      <c r="AB44" s="92">
        <v>513</v>
      </c>
      <c r="AC44" s="96">
        <f>IF(Eingabe[[#This Row],[V1]]="",IF(Eingabe[[#This Row],[Volle alternativ]]="","",Eingabe[[#This Row],[Volle alternativ]]),SUM(Eingabe[[#This Row],[V1]:[V4]]))</f>
        <v>334</v>
      </c>
      <c r="AD44" s="23">
        <f>IF(Eingabe[[#This Row],[R1]]="",IF(Eingabe[[#This Row],[Räumer alternativ]]="","",Eingabe[[#This Row],[Räumer alternativ]]),SUM(Eingabe[[#This Row],[R1]:[R4]]))</f>
        <v>165</v>
      </c>
      <c r="AE44" s="23">
        <f>IF(Eingabe[[#This Row],[F1]]="",IF(Eingabe[[#This Row],[Fehler alternativ]]="","",Eingabe[[#This Row],[Fehler alternativ]]),SUM(Eingabe[[#This Row],[F1]:[F4]]))</f>
        <v>3</v>
      </c>
      <c r="AF44" s="23">
        <f>IF(Eingabe[[#This Row],[Volle]]="","",IF(Eingabe[[#This Row],[S1]]="",Eingabe[[#This Row],[Volle]]+Eingabe[[#This Row],[Räumer]],IF(Eingabe[[#This Row],[Volle]]+Eingabe[[#This Row],[Räumer]]=Eingabe[[#This Row],[S1]]+Eingabe[[#This Row],[S2]]+Eingabe[[#This Row],[S3]]+Eingabe[[#This Row],[S4]],Eingabe[[#This Row],[Volle]]+Eingabe[[#This Row],[Räumer]],"FEHLER")))</f>
        <v>499</v>
      </c>
      <c r="AG44" s="23">
        <f>IF(Eingabe[[#This Row],[V1]]="","",Eingabe[[#This Row],[V1]]+Eingabe[[#This Row],[R1]])</f>
        <v>116</v>
      </c>
      <c r="AH44" s="23">
        <f>IF(Eingabe[[#This Row],[V2]]="","",Eingabe[[#This Row],[V2]]+Eingabe[[#This Row],[R2]])</f>
        <v>134</v>
      </c>
      <c r="AI44" s="23">
        <f>IF(Eingabe[[#This Row],[V3]]="","",Eingabe[[#This Row],[V3]]+Eingabe[[#This Row],[R3]])</f>
        <v>131</v>
      </c>
      <c r="AJ44" s="23">
        <f>IF(Eingabe[[#This Row],[V4]]="","",Eingabe[[#This Row],[V4]]+Eingabe[[#This Row],[R4]])</f>
        <v>118</v>
      </c>
      <c r="AK44" s="23">
        <f>IF(Eingabe[[#This Row],[S1P]]="","",Eingabe[[#This Row],[S1P]]+Eingabe[[#This Row],[S2P]]+Eingabe[[#This Row],[S3P]]+Eingabe[[#This Row],[S4P]])</f>
        <v>1</v>
      </c>
      <c r="AL44" s="23">
        <f>IF(Eingabe[[#This Row],[S1P]]="","",IF(Eingabe[[#This Row],[SP]]&gt;2,1,IF(Eingabe[[#This Row],[SP]]&lt;2,0,IF(Eingabe[[#This Row],[GES]]&gt;Eingabe[[#This Row],[GEGGES]],1,IF(Eingabe[[#This Row],[GES]]=Eingabe[[#This Row],[GEGGES]],0.5,0)))))</f>
        <v>0</v>
      </c>
      <c r="AM44" s="23">
        <f>IF(Eingabe[[#This Row],[MP]]="","",MOD(ROW(Eingabe[[#This Row],[Position]])-3,6)+1)</f>
        <v>6</v>
      </c>
      <c r="AN44" s="23">
        <f>STANDARDIZE(Eingabe[[#This Row],[GES]],Eingabe[[#This Row],[Schnitt]],VLOOKUP(Eingabe[[#This Row],[Name]],AuswertungG[],21,FALSE))</f>
        <v>-1.375</v>
      </c>
      <c r="AO44" s="23">
        <f>VLOOKUP(Eingabe[[#This Row],[ID]],Chronologie[[ID]:[KW]],12,FALSE)</f>
        <v>12</v>
      </c>
      <c r="AP44" s="59" t="str">
        <f>IF(Eingabe[[#This Row],[Wo]]="H",Eingabe[[#This Row],[Gegner]]&amp;" ["&amp;Eingabe[[#This Row],[Wo]]&amp;"]",Eingabe[[#This Row],[Ort]])</f>
        <v>SG Hohentanne [H]</v>
      </c>
      <c r="AQ44" s="23">
        <f>IFERROR(IF(Eingabe[[#This Row],[Wo]]="H",IF(MOD(Eingabe[[#This Row],[Position]],2)=1,Eingabe[[#This Row],[S1]],Eingabe[[#This Row],[S4]]),""),"")</f>
        <v>118</v>
      </c>
      <c r="AR44" s="23">
        <f>IFERROR(IF(Eingabe[[#This Row],[Wo]]="H",IF(Eingabe[[#This Row],[S1]]&gt;0,IF(MOD(Eingabe[[#This Row],[Position]],2)=1,Eingabe[[#This Row],[S2]],Eingabe[[#This Row],[S3]]),""),""),"")</f>
        <v>131</v>
      </c>
      <c r="AS44" s="23">
        <f>IFERROR(IF(Eingabe[[#This Row],[Wo]]="H",IF(Eingabe[[#This Row],[S1]]&gt;0,IF(MOD(ROW(Eingabe[[#This Row],[Heimbahn 3]]),2)=1,Eingabe[[#This Row],[S4]],Eingabe[[#This Row],[S1]]),""),""),"")</f>
        <v>116</v>
      </c>
      <c r="AT44" s="23">
        <f>IFERROR(IF(Eingabe[[#This Row],[Wo]]="H",IF(Eingabe[[#This Row],[S1]]&gt;0,IF(MOD(ROW(Eingabe[[#This Row],[Heimbahn 4]]),2)=1,Eingabe[[#This Row],[S3]],Eingabe[[#This Row],[S2]]),""),""),"")</f>
        <v>134</v>
      </c>
      <c r="AU44" s="89">
        <f>IF(Eingabe[[#This Row],[GES]]="","",IF(Eingabe[[#This Row],[Modus]]="L",_xlfn.RANK.EQ(Eingabe[[#This Row],[GES]],AF39:AF44),IF(Eingabe[[#This Row],[Modus]]="P",_xlfn.RANK.EQ(Eingabe[[#This Row],[GES]],AF39:AF44),"")))</f>
        <v>5</v>
      </c>
      <c r="AV44" s="6">
        <f>VLOOKUP(Eingabe[[#This Row],[Name]],AuswertungG[],8,FALSE)</f>
        <v>532</v>
      </c>
      <c r="AZ44" s="6">
        <f>IFERROR(ABS(Eingabe[[#This Row],[GES]]-Eingabe[[#This Row],[GEGGES]]),"")</f>
        <v>14</v>
      </c>
    </row>
    <row r="45" spans="1:52" ht="16.2" hidden="1" thickBot="1" x14ac:dyDescent="0.35">
      <c r="A45" s="440">
        <f t="shared" ref="A45" si="6">B45</f>
        <v>8</v>
      </c>
      <c r="B45" s="55">
        <f t="shared" si="0"/>
        <v>8</v>
      </c>
      <c r="C45" s="35" t="str">
        <f>VLOOKUP($B45,Chronologie[],7,TRUE)</f>
        <v>SKV 9-Pins Stollberg II</v>
      </c>
      <c r="D45" s="35" t="str">
        <f>VLOOKUP($B45,Chronologie[],8,TRUE)</f>
        <v>Hirschfeld</v>
      </c>
      <c r="E45" s="36" t="str">
        <f>VLOOKUP($B45,Chronologie[],9,TRUE)</f>
        <v>H</v>
      </c>
      <c r="F45" s="35" t="str">
        <f>VLOOKUP($B45,Chronologie[],COLUMN(F46)-2,TRUE)</f>
        <v>E</v>
      </c>
      <c r="G45" s="35" t="str">
        <f>VLOOKUP($B45,Chronologie[],COLUMN(G46)-2,TRUE)</f>
        <v>L</v>
      </c>
      <c r="H45" s="35">
        <f>VLOOKUP($B45,Chronologie[],COLUMN(H46)-2,TRUE)</f>
        <v>8</v>
      </c>
      <c r="I45" s="9" t="str">
        <f>VLOOKUP($B45,Chronologie[],2,TRUE)</f>
        <v>E-L-8</v>
      </c>
      <c r="J45" s="242">
        <f>VLOOKUP($B45,Chronologie[],3,TRUE)</f>
        <v>45990</v>
      </c>
      <c r="K45" s="236" t="s">
        <v>489</v>
      </c>
      <c r="L45" s="334">
        <v>81</v>
      </c>
      <c r="M45" s="334">
        <v>91</v>
      </c>
      <c r="N45" s="334">
        <v>81</v>
      </c>
      <c r="O45" s="334">
        <v>97</v>
      </c>
      <c r="P45" s="334">
        <v>30</v>
      </c>
      <c r="Q45" s="334">
        <v>43</v>
      </c>
      <c r="R45" s="334">
        <v>40</v>
      </c>
      <c r="S45" s="334">
        <v>27</v>
      </c>
      <c r="T45" s="334">
        <v>1</v>
      </c>
      <c r="U45" s="334">
        <v>0</v>
      </c>
      <c r="V45" s="334">
        <v>1</v>
      </c>
      <c r="W45" s="334">
        <v>3</v>
      </c>
      <c r="X45" s="37">
        <v>0</v>
      </c>
      <c r="Y45" s="37">
        <v>1</v>
      </c>
      <c r="Z45" s="37">
        <v>1</v>
      </c>
      <c r="AA45" s="37">
        <v>0</v>
      </c>
      <c r="AB45" s="90">
        <v>507</v>
      </c>
      <c r="AC45" s="93">
        <f>IF(Eingabe[[#This Row],[V1]]="",IF(Eingabe[[#This Row],[Volle alternativ]]="","",Eingabe[[#This Row],[Volle alternativ]]),SUM(Eingabe[[#This Row],[V1]:[V4]]))</f>
        <v>350</v>
      </c>
      <c r="AD45" s="35">
        <f>IF(Eingabe[[#This Row],[R1]]="",IF(Eingabe[[#This Row],[Räumer alternativ]]="","",Eingabe[[#This Row],[Räumer alternativ]]),SUM(Eingabe[[#This Row],[R1]:[R4]]))</f>
        <v>140</v>
      </c>
      <c r="AE45" s="35">
        <f>IF(Eingabe[[#This Row],[F1]]="",IF(Eingabe[[#This Row],[Fehler alternativ]]="","",Eingabe[[#This Row],[Fehler alternativ]]),SUM(Eingabe[[#This Row],[F1]:[F4]]))</f>
        <v>5</v>
      </c>
      <c r="AF45" s="35">
        <f>IF(Eingabe[[#This Row],[Volle]]="","",IF(Eingabe[[#This Row],[S1]]="",Eingabe[[#This Row],[Volle]]+Eingabe[[#This Row],[Räumer]],IF(Eingabe[[#This Row],[Volle]]+Eingabe[[#This Row],[Räumer]]=Eingabe[[#This Row],[S1]]+Eingabe[[#This Row],[S2]]+Eingabe[[#This Row],[S3]]+Eingabe[[#This Row],[S4]],Eingabe[[#This Row],[Volle]]+Eingabe[[#This Row],[Räumer]],"FEHLER")))</f>
        <v>490</v>
      </c>
      <c r="AG45" s="35">
        <f>IF(Eingabe[[#This Row],[V1]]="","",Eingabe[[#This Row],[V1]]+Eingabe[[#This Row],[R1]])</f>
        <v>111</v>
      </c>
      <c r="AH45" s="35">
        <f>IF(Eingabe[[#This Row],[V2]]="","",Eingabe[[#This Row],[V2]]+Eingabe[[#This Row],[R2]])</f>
        <v>134</v>
      </c>
      <c r="AI45" s="35">
        <f>IF(Eingabe[[#This Row],[V3]]="","",Eingabe[[#This Row],[V3]]+Eingabe[[#This Row],[R3]])</f>
        <v>121</v>
      </c>
      <c r="AJ45" s="35">
        <f>IF(Eingabe[[#This Row],[V4]]="","",Eingabe[[#This Row],[V4]]+Eingabe[[#This Row],[R4]])</f>
        <v>124</v>
      </c>
      <c r="AK45" s="35">
        <f>IF(Eingabe[[#This Row],[S1P]]="","",Eingabe[[#This Row],[S1P]]+Eingabe[[#This Row],[S2P]]+Eingabe[[#This Row],[S3P]]+Eingabe[[#This Row],[S4P]])</f>
        <v>2</v>
      </c>
      <c r="AL45" s="35">
        <f>IF(Eingabe[[#This Row],[S1P]]="","",IF(Eingabe[[#This Row],[SP]]&gt;2,1,IF(Eingabe[[#This Row],[SP]]&lt;2,0,IF(Eingabe[[#This Row],[GES]]&gt;Eingabe[[#This Row],[GEGGES]],1,IF(Eingabe[[#This Row],[GES]]=Eingabe[[#This Row],[GEGGES]],0.5,0)))))</f>
        <v>0</v>
      </c>
      <c r="AM45" s="35">
        <f>IF(Eingabe[[#This Row],[MP]]="","",MOD(ROW(Eingabe[[#This Row],[Position]])-3,6)+1)</f>
        <v>1</v>
      </c>
      <c r="AN45" s="35">
        <f>STANDARDIZE(Eingabe[[#This Row],[GES]],Eingabe[[#This Row],[Schnitt]],VLOOKUP(Eingabe[[#This Row],[Name]],AuswertungG[],21,FALSE))</f>
        <v>-1.5</v>
      </c>
      <c r="AO45" s="35">
        <f>VLOOKUP(Eingabe[[#This Row],[ID]],Chronologie[[ID]:[KW]],12,FALSE)</f>
        <v>14</v>
      </c>
      <c r="AP45" s="58" t="str">
        <f>IF(Eingabe[[#This Row],[Wo]]="H",Eingabe[[#This Row],[Gegner]]&amp;" ["&amp;Eingabe[[#This Row],[Wo]]&amp;"]",Eingabe[[#This Row],[Ort]])</f>
        <v>SKV 9-Pins Stollberg II [H]</v>
      </c>
      <c r="AQ45" s="35">
        <f>IFERROR(IF(Eingabe[[#This Row],[Wo]]="H",IF(MOD(Eingabe[[#This Row],[Position]],2)=1,Eingabe[[#This Row],[S1]],Eingabe[[#This Row],[S4]]),""),"")</f>
        <v>111</v>
      </c>
      <c r="AR45" s="35">
        <f>IFERROR(IF(Eingabe[[#This Row],[Wo]]="H",IF(Eingabe[[#This Row],[S1]]&gt;0,IF(MOD(Eingabe[[#This Row],[Position]],2)=1,Eingabe[[#This Row],[S2]],Eingabe[[#This Row],[S3]]),""),""),"")</f>
        <v>134</v>
      </c>
      <c r="AS45" s="35">
        <f>IFERROR(IF(Eingabe[[#This Row],[Wo]]="H",IF(Eingabe[[#This Row],[S1]]&gt;0,IF(MOD(ROW(Eingabe[[#This Row],[Heimbahn 3]]),2)=1,Eingabe[[#This Row],[S4]],Eingabe[[#This Row],[S1]]),""),""),"")</f>
        <v>124</v>
      </c>
      <c r="AT45" s="35">
        <f>IFERROR(IF(Eingabe[[#This Row],[Wo]]="H",IF(Eingabe[[#This Row],[S1]]&gt;0,IF(MOD(ROW(Eingabe[[#This Row],[Heimbahn 4]]),2)=1,Eingabe[[#This Row],[S3]],Eingabe[[#This Row],[S2]]),""),""),"")</f>
        <v>121</v>
      </c>
      <c r="AU45" s="88">
        <f>IF(Eingabe[[#This Row],[GES]]="","",IF(Eingabe[[#This Row],[Modus]]="L",_xlfn.RANK.EQ(Eingabe[[#This Row],[GES]],AF45:AF50),IF(Eingabe[[#This Row],[Modus]]="P",_xlfn.RANK.EQ(Eingabe[[#This Row],[GES]],AF45:AF50),"")))</f>
        <v>6</v>
      </c>
      <c r="AV45" s="6">
        <f>VLOOKUP(Eingabe[[#This Row],[Name]],AuswertungG[],8,FALSE)</f>
        <v>526</v>
      </c>
      <c r="AZ45" s="6">
        <f>IFERROR(ABS(Eingabe[[#This Row],[GES]]-Eingabe[[#This Row],[GEGGES]]),"")</f>
        <v>17</v>
      </c>
    </row>
    <row r="46" spans="1:52" ht="16.2" hidden="1" thickBot="1" x14ac:dyDescent="0.35">
      <c r="A46" s="441"/>
      <c r="B46" s="21">
        <f t="shared" si="0"/>
        <v>8</v>
      </c>
      <c r="C46" s="6" t="str">
        <f>VLOOKUP($B46,Chronologie[],7,TRUE)</f>
        <v>SKV 9-Pins Stollberg II</v>
      </c>
      <c r="D46" s="6" t="str">
        <f>VLOOKUP($B46,Chronologie[],8,TRUE)</f>
        <v>Hirschfeld</v>
      </c>
      <c r="E46" s="240" t="str">
        <f>VLOOKUP($B46,Chronologie[],9,TRUE)</f>
        <v>H</v>
      </c>
      <c r="F46" s="6" t="str">
        <f>VLOOKUP($B46,Chronologie[],COLUMN(F47)-2,TRUE)</f>
        <v>E</v>
      </c>
      <c r="G46" s="6" t="str">
        <f>VLOOKUP($B46,Chronologie[],COLUMN(G47)-2,TRUE)</f>
        <v>L</v>
      </c>
      <c r="H46" s="6">
        <f>VLOOKUP($B46,Chronologie[],COLUMN(H47)-2,TRUE)</f>
        <v>8</v>
      </c>
      <c r="I46" s="10" t="str">
        <f>VLOOKUP($B46,Chronologie[],2,TRUE)</f>
        <v>E-L-8</v>
      </c>
      <c r="J46" s="243">
        <f>VLOOKUP($B46,Chronologie[],3,TRUE)</f>
        <v>45990</v>
      </c>
      <c r="K46" s="237" t="s">
        <v>658</v>
      </c>
      <c r="L46" s="237">
        <v>77</v>
      </c>
      <c r="M46" s="237">
        <v>89</v>
      </c>
      <c r="N46" s="237">
        <v>103</v>
      </c>
      <c r="O46" s="237">
        <v>84</v>
      </c>
      <c r="P46" s="237">
        <v>43</v>
      </c>
      <c r="Q46" s="237">
        <v>36</v>
      </c>
      <c r="R46" s="237">
        <v>51</v>
      </c>
      <c r="S46" s="237">
        <v>45</v>
      </c>
      <c r="T46" s="237">
        <v>0</v>
      </c>
      <c r="U46" s="237">
        <v>2</v>
      </c>
      <c r="V46" s="237">
        <v>0</v>
      </c>
      <c r="W46" s="237">
        <v>1</v>
      </c>
      <c r="X46" s="38">
        <v>0</v>
      </c>
      <c r="Y46" s="38">
        <v>0</v>
      </c>
      <c r="Z46" s="38">
        <v>1</v>
      </c>
      <c r="AA46" s="38">
        <v>0</v>
      </c>
      <c r="AB46" s="91">
        <v>533</v>
      </c>
      <c r="AC46" s="94">
        <f>IF(Eingabe[[#This Row],[V1]]="",IF(Eingabe[[#This Row],[Volle alternativ]]="","",Eingabe[[#This Row],[Volle alternativ]]),SUM(Eingabe[[#This Row],[V1]:[V4]]))</f>
        <v>353</v>
      </c>
      <c r="AD46" s="6">
        <f>IF(Eingabe[[#This Row],[R1]]="",IF(Eingabe[[#This Row],[Räumer alternativ]]="","",Eingabe[[#This Row],[Räumer alternativ]]),SUM(Eingabe[[#This Row],[R1]:[R4]]))</f>
        <v>175</v>
      </c>
      <c r="AE46" s="6">
        <f>IF(Eingabe[[#This Row],[F1]]="",IF(Eingabe[[#This Row],[Fehler alternativ]]="","",Eingabe[[#This Row],[Fehler alternativ]]),SUM(Eingabe[[#This Row],[F1]:[F4]]))</f>
        <v>3</v>
      </c>
      <c r="AF46" s="6">
        <f>IF(Eingabe[[#This Row],[Volle]]="","",IF(Eingabe[[#This Row],[S1]]="",Eingabe[[#This Row],[Volle]]+Eingabe[[#This Row],[Räumer]],IF(Eingabe[[#This Row],[Volle]]+Eingabe[[#This Row],[Räumer]]=Eingabe[[#This Row],[S1]]+Eingabe[[#This Row],[S2]]+Eingabe[[#This Row],[S3]]+Eingabe[[#This Row],[S4]],Eingabe[[#This Row],[Volle]]+Eingabe[[#This Row],[Räumer]],"FEHLER")))</f>
        <v>528</v>
      </c>
      <c r="AG46" s="6">
        <f>IF(Eingabe[[#This Row],[V1]]="","",Eingabe[[#This Row],[V1]]+Eingabe[[#This Row],[R1]])</f>
        <v>120</v>
      </c>
      <c r="AH46" s="6">
        <f>IF(Eingabe[[#This Row],[V2]]="","",Eingabe[[#This Row],[V2]]+Eingabe[[#This Row],[R2]])</f>
        <v>125</v>
      </c>
      <c r="AI46" s="6">
        <f>IF(Eingabe[[#This Row],[V3]]="","",Eingabe[[#This Row],[V3]]+Eingabe[[#This Row],[R3]])</f>
        <v>154</v>
      </c>
      <c r="AJ46" s="6">
        <f>IF(Eingabe[[#This Row],[V4]]="","",Eingabe[[#This Row],[V4]]+Eingabe[[#This Row],[R4]])</f>
        <v>129</v>
      </c>
      <c r="AK46" s="6">
        <f>IF(Eingabe[[#This Row],[S1P]]="","",Eingabe[[#This Row],[S1P]]+Eingabe[[#This Row],[S2P]]+Eingabe[[#This Row],[S3P]]+Eingabe[[#This Row],[S4P]])</f>
        <v>1</v>
      </c>
      <c r="AL46" s="6">
        <f>IF(Eingabe[[#This Row],[S1P]]="","",IF(Eingabe[[#This Row],[SP]]&gt;2,1,IF(Eingabe[[#This Row],[SP]]&lt;2,0,IF(Eingabe[[#This Row],[GES]]&gt;Eingabe[[#This Row],[GEGGES]],1,IF(Eingabe[[#This Row],[GES]]=Eingabe[[#This Row],[GEGGES]],0.5,0)))))</f>
        <v>0</v>
      </c>
      <c r="AM46" s="6">
        <f>IF(Eingabe[[#This Row],[MP]]="","",MOD(ROW(Eingabe[[#This Row],[Position]])-3,6)+1)</f>
        <v>2</v>
      </c>
      <c r="AN46" s="6">
        <f>STANDARDIZE(Eingabe[[#This Row],[GES]],Eingabe[[#This Row],[Schnitt]],VLOOKUP(Eingabe[[#This Row],[Name]],AuswertungG[],21,FALSE))</f>
        <v>-0.62857142857142856</v>
      </c>
      <c r="AO46" s="6">
        <f>VLOOKUP(Eingabe[[#This Row],[ID]],Chronologie[[ID]:[KW]],12,FALSE)</f>
        <v>14</v>
      </c>
      <c r="AP46" s="95" t="str">
        <f>IF(Eingabe[[#This Row],[Wo]]="H",Eingabe[[#This Row],[Gegner]]&amp;" ["&amp;Eingabe[[#This Row],[Wo]]&amp;"]",Eingabe[[#This Row],[Ort]])</f>
        <v>SKV 9-Pins Stollberg II [H]</v>
      </c>
      <c r="AQ46" s="6">
        <f>IFERROR(IF(Eingabe[[#This Row],[Wo]]="H",IF(MOD(Eingabe[[#This Row],[Position]],2)=1,Eingabe[[#This Row],[S1]],Eingabe[[#This Row],[S4]]),""),"")</f>
        <v>129</v>
      </c>
      <c r="AR46" s="6">
        <f>IFERROR(IF(Eingabe[[#This Row],[Wo]]="H",IF(Eingabe[[#This Row],[S1]]&gt;0,IF(MOD(Eingabe[[#This Row],[Position]],2)=1,Eingabe[[#This Row],[S2]],Eingabe[[#This Row],[S3]]),""),""),"")</f>
        <v>154</v>
      </c>
      <c r="AS46" s="6">
        <f>IFERROR(IF(Eingabe[[#This Row],[Wo]]="H",IF(Eingabe[[#This Row],[S1]]&gt;0,IF(MOD(ROW(Eingabe[[#This Row],[Heimbahn 3]]),2)=1,Eingabe[[#This Row],[S4]],Eingabe[[#This Row],[S1]]),""),""),"")</f>
        <v>120</v>
      </c>
      <c r="AT46" s="6">
        <f>IFERROR(IF(Eingabe[[#This Row],[Wo]]="H",IF(Eingabe[[#This Row],[S1]]&gt;0,IF(MOD(ROW(Eingabe[[#This Row],[Heimbahn 4]]),2)=1,Eingabe[[#This Row],[S3]],Eingabe[[#This Row],[S2]]),""),""),"")</f>
        <v>125</v>
      </c>
      <c r="AU46" s="22">
        <f>IF(Eingabe[[#This Row],[GES]]="","",IF(Eingabe[[#This Row],[Modus]]="L",_xlfn.RANK.EQ(Eingabe[[#This Row],[GES]],AF45:AF50),IF(Eingabe[[#This Row],[Modus]]="P",_xlfn.RANK.EQ(Eingabe[[#This Row],[GES]],AF45:AF50),"")))</f>
        <v>4</v>
      </c>
      <c r="AV46" s="6">
        <f>VLOOKUP(Eingabe[[#This Row],[Name]],AuswertungG[],8,FALSE)</f>
        <v>550</v>
      </c>
      <c r="AZ46" s="6">
        <f>IFERROR(ABS(Eingabe[[#This Row],[GES]]-Eingabe[[#This Row],[GEGGES]]),"")</f>
        <v>5</v>
      </c>
    </row>
    <row r="47" spans="1:52" ht="16.2" hidden="1" thickBot="1" x14ac:dyDescent="0.35">
      <c r="A47" s="441"/>
      <c r="B47" s="21">
        <f t="shared" si="0"/>
        <v>8</v>
      </c>
      <c r="C47" s="6" t="str">
        <f>VLOOKUP($B47,Chronologie[],7,TRUE)</f>
        <v>SKV 9-Pins Stollberg II</v>
      </c>
      <c r="D47" s="6" t="str">
        <f>VLOOKUP($B47,Chronologie[],8,TRUE)</f>
        <v>Hirschfeld</v>
      </c>
      <c r="E47" s="240" t="str">
        <f>VLOOKUP($B47,Chronologie[],9,TRUE)</f>
        <v>H</v>
      </c>
      <c r="F47" s="6" t="str">
        <f>VLOOKUP($B47,Chronologie[],COLUMN(F48)-2,TRUE)</f>
        <v>E</v>
      </c>
      <c r="G47" s="6" t="str">
        <f>VLOOKUP($B47,Chronologie[],COLUMN(G48)-2,TRUE)</f>
        <v>L</v>
      </c>
      <c r="H47" s="6">
        <f>VLOOKUP($B47,Chronologie[],COLUMN(H48)-2,TRUE)</f>
        <v>8</v>
      </c>
      <c r="I47" s="10" t="str">
        <f>VLOOKUP($B47,Chronologie[],2,TRUE)</f>
        <v>E-L-8</v>
      </c>
      <c r="J47" s="243">
        <f>VLOOKUP($B47,Chronologie[],3,TRUE)</f>
        <v>45990</v>
      </c>
      <c r="K47" s="237" t="s">
        <v>469</v>
      </c>
      <c r="L47" s="237">
        <v>81</v>
      </c>
      <c r="M47" s="237">
        <v>92</v>
      </c>
      <c r="N47" s="237">
        <v>85</v>
      </c>
      <c r="O47" s="237">
        <v>85</v>
      </c>
      <c r="P47" s="237">
        <v>44</v>
      </c>
      <c r="Q47" s="237">
        <v>36</v>
      </c>
      <c r="R47" s="237">
        <v>63</v>
      </c>
      <c r="S47" s="237">
        <v>26</v>
      </c>
      <c r="T47" s="237">
        <v>2</v>
      </c>
      <c r="U47" s="237">
        <v>1</v>
      </c>
      <c r="V47" s="237">
        <v>0</v>
      </c>
      <c r="W47" s="237">
        <v>3</v>
      </c>
      <c r="X47" s="38">
        <v>0</v>
      </c>
      <c r="Y47" s="38">
        <v>0</v>
      </c>
      <c r="Z47" s="38">
        <v>1</v>
      </c>
      <c r="AA47" s="38">
        <v>0</v>
      </c>
      <c r="AB47" s="91">
        <v>523</v>
      </c>
      <c r="AC47" s="94">
        <f>IF(Eingabe[[#This Row],[V1]]="",IF(Eingabe[[#This Row],[Volle alternativ]]="","",Eingabe[[#This Row],[Volle alternativ]]),SUM(Eingabe[[#This Row],[V1]:[V4]]))</f>
        <v>343</v>
      </c>
      <c r="AD47" s="6">
        <f>IF(Eingabe[[#This Row],[R1]]="",IF(Eingabe[[#This Row],[Räumer alternativ]]="","",Eingabe[[#This Row],[Räumer alternativ]]),SUM(Eingabe[[#This Row],[R1]:[R4]]))</f>
        <v>169</v>
      </c>
      <c r="AE47" s="6">
        <f>IF(Eingabe[[#This Row],[F1]]="",IF(Eingabe[[#This Row],[Fehler alternativ]]="","",Eingabe[[#This Row],[Fehler alternativ]]),SUM(Eingabe[[#This Row],[F1]:[F4]]))</f>
        <v>6</v>
      </c>
      <c r="AF47" s="6">
        <f>IF(Eingabe[[#This Row],[Volle]]="","",IF(Eingabe[[#This Row],[S1]]="",Eingabe[[#This Row],[Volle]]+Eingabe[[#This Row],[Räumer]],IF(Eingabe[[#This Row],[Volle]]+Eingabe[[#This Row],[Räumer]]=Eingabe[[#This Row],[S1]]+Eingabe[[#This Row],[S2]]+Eingabe[[#This Row],[S3]]+Eingabe[[#This Row],[S4]],Eingabe[[#This Row],[Volle]]+Eingabe[[#This Row],[Räumer]],"FEHLER")))</f>
        <v>512</v>
      </c>
      <c r="AG47" s="6">
        <f>IF(Eingabe[[#This Row],[V1]]="","",Eingabe[[#This Row],[V1]]+Eingabe[[#This Row],[R1]])</f>
        <v>125</v>
      </c>
      <c r="AH47" s="6">
        <f>IF(Eingabe[[#This Row],[V2]]="","",Eingabe[[#This Row],[V2]]+Eingabe[[#This Row],[R2]])</f>
        <v>128</v>
      </c>
      <c r="AI47" s="6">
        <f>IF(Eingabe[[#This Row],[V3]]="","",Eingabe[[#This Row],[V3]]+Eingabe[[#This Row],[R3]])</f>
        <v>148</v>
      </c>
      <c r="AJ47" s="6">
        <f>IF(Eingabe[[#This Row],[V4]]="","",Eingabe[[#This Row],[V4]]+Eingabe[[#This Row],[R4]])</f>
        <v>111</v>
      </c>
      <c r="AK47" s="6">
        <f>IF(Eingabe[[#This Row],[S1P]]="","",Eingabe[[#This Row],[S1P]]+Eingabe[[#This Row],[S2P]]+Eingabe[[#This Row],[S3P]]+Eingabe[[#This Row],[S4P]])</f>
        <v>1</v>
      </c>
      <c r="AL47" s="6">
        <f>IF(Eingabe[[#This Row],[S1P]]="","",IF(Eingabe[[#This Row],[SP]]&gt;2,1,IF(Eingabe[[#This Row],[SP]]&lt;2,0,IF(Eingabe[[#This Row],[GES]]&gt;Eingabe[[#This Row],[GEGGES]],1,IF(Eingabe[[#This Row],[GES]]=Eingabe[[#This Row],[GEGGES]],0.5,0)))))</f>
        <v>0</v>
      </c>
      <c r="AM47" s="6">
        <f>IF(Eingabe[[#This Row],[MP]]="","",MOD(ROW(Eingabe[[#This Row],[Position]])-3,6)+1)</f>
        <v>3</v>
      </c>
      <c r="AN47" s="6">
        <f>STANDARDIZE(Eingabe[[#This Row],[GES]],Eingabe[[#This Row],[Schnitt]],VLOOKUP(Eingabe[[#This Row],[Name]],AuswertungG[],21,FALSE))</f>
        <v>-0.72727272727272729</v>
      </c>
      <c r="AO47" s="6">
        <f>VLOOKUP(Eingabe[[#This Row],[ID]],Chronologie[[ID]:[KW]],12,FALSE)</f>
        <v>14</v>
      </c>
      <c r="AP47" s="95" t="str">
        <f>IF(Eingabe[[#This Row],[Wo]]="H",Eingabe[[#This Row],[Gegner]]&amp;" ["&amp;Eingabe[[#This Row],[Wo]]&amp;"]",Eingabe[[#This Row],[Ort]])</f>
        <v>SKV 9-Pins Stollberg II [H]</v>
      </c>
      <c r="AQ47" s="6">
        <f>IFERROR(IF(Eingabe[[#This Row],[Wo]]="H",IF(MOD(Eingabe[[#This Row],[Position]],2)=1,Eingabe[[#This Row],[S1]],Eingabe[[#This Row],[S4]]),""),"")</f>
        <v>125</v>
      </c>
      <c r="AR47" s="6">
        <f>IFERROR(IF(Eingabe[[#This Row],[Wo]]="H",IF(Eingabe[[#This Row],[S1]]&gt;0,IF(MOD(Eingabe[[#This Row],[Position]],2)=1,Eingabe[[#This Row],[S2]],Eingabe[[#This Row],[S3]]),""),""),"")</f>
        <v>128</v>
      </c>
      <c r="AS47" s="6">
        <f>IFERROR(IF(Eingabe[[#This Row],[Wo]]="H",IF(Eingabe[[#This Row],[S1]]&gt;0,IF(MOD(ROW(Eingabe[[#This Row],[Heimbahn 3]]),2)=1,Eingabe[[#This Row],[S4]],Eingabe[[#This Row],[S1]]),""),""),"")</f>
        <v>111</v>
      </c>
      <c r="AT47" s="6">
        <f>IFERROR(IF(Eingabe[[#This Row],[Wo]]="H",IF(Eingabe[[#This Row],[S1]]&gt;0,IF(MOD(ROW(Eingabe[[#This Row],[Heimbahn 4]]),2)=1,Eingabe[[#This Row],[S3]],Eingabe[[#This Row],[S2]]),""),""),"")</f>
        <v>148</v>
      </c>
      <c r="AU47" s="22">
        <f>IF(Eingabe[[#This Row],[GES]]="","",IF(Eingabe[[#This Row],[Modus]]="L",_xlfn.RANK.EQ(Eingabe[[#This Row],[GES]],AF45:AF50),IF(Eingabe[[#This Row],[Modus]]="P",_xlfn.RANK.EQ(Eingabe[[#This Row],[GES]],AF45:AF50),"")))</f>
        <v>5</v>
      </c>
      <c r="AV47" s="6">
        <f>VLOOKUP(Eingabe[[#This Row],[Name]],AuswertungG[],8,FALSE)</f>
        <v>528</v>
      </c>
      <c r="AZ47" s="6">
        <f>IFERROR(ABS(Eingabe[[#This Row],[GES]]-Eingabe[[#This Row],[GEGGES]]),"")</f>
        <v>11</v>
      </c>
    </row>
    <row r="48" spans="1:52" ht="16.2" hidden="1" thickBot="1" x14ac:dyDescent="0.35">
      <c r="A48" s="441"/>
      <c r="B48" s="21">
        <f t="shared" si="0"/>
        <v>8</v>
      </c>
      <c r="C48" s="6" t="str">
        <f>VLOOKUP($B48,Chronologie[],7,TRUE)</f>
        <v>SKV 9-Pins Stollberg II</v>
      </c>
      <c r="D48" s="6" t="str">
        <f>VLOOKUP($B48,Chronologie[],8,TRUE)</f>
        <v>Hirschfeld</v>
      </c>
      <c r="E48" s="240" t="str">
        <f>VLOOKUP($B48,Chronologie[],9,TRUE)</f>
        <v>H</v>
      </c>
      <c r="F48" s="6" t="str">
        <f>VLOOKUP($B48,Chronologie[],COLUMN(F49)-2,TRUE)</f>
        <v>E</v>
      </c>
      <c r="G48" s="6" t="str">
        <f>VLOOKUP($B48,Chronologie[],COLUMN(G49)-2,TRUE)</f>
        <v>L</v>
      </c>
      <c r="H48" s="6">
        <f>VLOOKUP($B48,Chronologie[],COLUMN(H49)-2,TRUE)</f>
        <v>8</v>
      </c>
      <c r="I48" s="10" t="str">
        <f>VLOOKUP($B48,Chronologie[],2,TRUE)</f>
        <v>E-L-8</v>
      </c>
      <c r="J48" s="243">
        <f>VLOOKUP($B48,Chronologie[],3,TRUE)</f>
        <v>45990</v>
      </c>
      <c r="K48" s="238" t="s">
        <v>6</v>
      </c>
      <c r="L48" s="237">
        <v>90</v>
      </c>
      <c r="M48" s="237">
        <v>81</v>
      </c>
      <c r="N48" s="237">
        <v>91</v>
      </c>
      <c r="O48" s="237">
        <v>92</v>
      </c>
      <c r="P48" s="237">
        <v>51</v>
      </c>
      <c r="Q48" s="237">
        <v>54</v>
      </c>
      <c r="R48" s="237">
        <v>35</v>
      </c>
      <c r="S48" s="237">
        <v>48</v>
      </c>
      <c r="T48" s="237">
        <v>0</v>
      </c>
      <c r="U48" s="237">
        <v>0</v>
      </c>
      <c r="V48" s="237">
        <v>2</v>
      </c>
      <c r="W48" s="237">
        <v>0</v>
      </c>
      <c r="X48" s="38">
        <v>1</v>
      </c>
      <c r="Y48" s="38">
        <v>1</v>
      </c>
      <c r="Z48" s="38">
        <v>0</v>
      </c>
      <c r="AA48" s="38">
        <v>1</v>
      </c>
      <c r="AB48" s="91">
        <v>521</v>
      </c>
      <c r="AC48" s="94">
        <f>IF(Eingabe[[#This Row],[V1]]="",IF(Eingabe[[#This Row],[Volle alternativ]]="","",Eingabe[[#This Row],[Volle alternativ]]),SUM(Eingabe[[#This Row],[V1]:[V4]]))</f>
        <v>354</v>
      </c>
      <c r="AD48" s="6">
        <f>IF(Eingabe[[#This Row],[R1]]="",IF(Eingabe[[#This Row],[Räumer alternativ]]="","",Eingabe[[#This Row],[Räumer alternativ]]),SUM(Eingabe[[#This Row],[R1]:[R4]]))</f>
        <v>188</v>
      </c>
      <c r="AE48" s="6">
        <f>IF(Eingabe[[#This Row],[F1]]="",IF(Eingabe[[#This Row],[Fehler alternativ]]="","",Eingabe[[#This Row],[Fehler alternativ]]),SUM(Eingabe[[#This Row],[F1]:[F4]]))</f>
        <v>2</v>
      </c>
      <c r="AF48" s="6">
        <f>IF(Eingabe[[#This Row],[Volle]]="","",IF(Eingabe[[#This Row],[S1]]="",Eingabe[[#This Row],[Volle]]+Eingabe[[#This Row],[Räumer]],IF(Eingabe[[#This Row],[Volle]]+Eingabe[[#This Row],[Räumer]]=Eingabe[[#This Row],[S1]]+Eingabe[[#This Row],[S2]]+Eingabe[[#This Row],[S3]]+Eingabe[[#This Row],[S4]],Eingabe[[#This Row],[Volle]]+Eingabe[[#This Row],[Räumer]],"FEHLER")))</f>
        <v>542</v>
      </c>
      <c r="AG48" s="6">
        <f>IF(Eingabe[[#This Row],[V1]]="","",Eingabe[[#This Row],[V1]]+Eingabe[[#This Row],[R1]])</f>
        <v>141</v>
      </c>
      <c r="AH48" s="6">
        <f>IF(Eingabe[[#This Row],[V2]]="","",Eingabe[[#This Row],[V2]]+Eingabe[[#This Row],[R2]])</f>
        <v>135</v>
      </c>
      <c r="AI48" s="6">
        <f>IF(Eingabe[[#This Row],[V3]]="","",Eingabe[[#This Row],[V3]]+Eingabe[[#This Row],[R3]])</f>
        <v>126</v>
      </c>
      <c r="AJ48" s="6">
        <f>IF(Eingabe[[#This Row],[V4]]="","",Eingabe[[#This Row],[V4]]+Eingabe[[#This Row],[R4]])</f>
        <v>140</v>
      </c>
      <c r="AK48" s="6">
        <f>IF(Eingabe[[#This Row],[S1P]]="","",Eingabe[[#This Row],[S1P]]+Eingabe[[#This Row],[S2P]]+Eingabe[[#This Row],[S3P]]+Eingabe[[#This Row],[S4P]])</f>
        <v>3</v>
      </c>
      <c r="AL48" s="6">
        <f>IF(Eingabe[[#This Row],[S1P]]="","",IF(Eingabe[[#This Row],[SP]]&gt;2,1,IF(Eingabe[[#This Row],[SP]]&lt;2,0,IF(Eingabe[[#This Row],[GES]]&gt;Eingabe[[#This Row],[GEGGES]],1,IF(Eingabe[[#This Row],[GES]]=Eingabe[[#This Row],[GEGGES]],0.5,0)))))</f>
        <v>1</v>
      </c>
      <c r="AM48" s="6">
        <f>IF(Eingabe[[#This Row],[MP]]="","",MOD(ROW(Eingabe[[#This Row],[Position]])-3,6)+1)</f>
        <v>4</v>
      </c>
      <c r="AN48" s="6">
        <f>STANDARDIZE(Eingabe[[#This Row],[GES]],Eingabe[[#This Row],[Schnitt]],VLOOKUP(Eingabe[[#This Row],[Name]],AuswertungG[],21,FALSE))</f>
        <v>0.72222222222222221</v>
      </c>
      <c r="AO48" s="6">
        <f>VLOOKUP(Eingabe[[#This Row],[ID]],Chronologie[[ID]:[KW]],12,FALSE)</f>
        <v>14</v>
      </c>
      <c r="AP48" s="95" t="str">
        <f>IF(Eingabe[[#This Row],[Wo]]="H",Eingabe[[#This Row],[Gegner]]&amp;" ["&amp;Eingabe[[#This Row],[Wo]]&amp;"]",Eingabe[[#This Row],[Ort]])</f>
        <v>SKV 9-Pins Stollberg II [H]</v>
      </c>
      <c r="AQ48" s="6">
        <f>IFERROR(IF(Eingabe[[#This Row],[Wo]]="H",IF(MOD(Eingabe[[#This Row],[Position]],2)=1,Eingabe[[#This Row],[S1]],Eingabe[[#This Row],[S4]]),""),"")</f>
        <v>140</v>
      </c>
      <c r="AR48" s="6">
        <f>IFERROR(IF(Eingabe[[#This Row],[Wo]]="H",IF(Eingabe[[#This Row],[S1]]&gt;0,IF(MOD(Eingabe[[#This Row],[Position]],2)=1,Eingabe[[#This Row],[S2]],Eingabe[[#This Row],[S3]]),""),""),"")</f>
        <v>126</v>
      </c>
      <c r="AS48" s="6">
        <f>IFERROR(IF(Eingabe[[#This Row],[Wo]]="H",IF(Eingabe[[#This Row],[S1]]&gt;0,IF(MOD(ROW(Eingabe[[#This Row],[Heimbahn 3]]),2)=1,Eingabe[[#This Row],[S4]],Eingabe[[#This Row],[S1]]),""),""),"")</f>
        <v>141</v>
      </c>
      <c r="AT48" s="6">
        <f>IFERROR(IF(Eingabe[[#This Row],[Wo]]="H",IF(Eingabe[[#This Row],[S1]]&gt;0,IF(MOD(ROW(Eingabe[[#This Row],[Heimbahn 4]]),2)=1,Eingabe[[#This Row],[S3]],Eingabe[[#This Row],[S2]]),""),""),"")</f>
        <v>135</v>
      </c>
      <c r="AU48" s="22">
        <f>IF(Eingabe[[#This Row],[GES]]="","",IF(Eingabe[[#This Row],[Modus]]="L",_xlfn.RANK.EQ(Eingabe[[#This Row],[GES]],AF45:AF50),IF(Eingabe[[#This Row],[Modus]]="P",_xlfn.RANK.EQ(Eingabe[[#This Row],[GES]],AF45:AF50),"")))</f>
        <v>2</v>
      </c>
      <c r="AV48" s="6">
        <f>VLOOKUP(Eingabe[[#This Row],[Name]],AuswertungG[],8,FALSE)</f>
        <v>529</v>
      </c>
      <c r="AZ48" s="6">
        <f>IFERROR(ABS(Eingabe[[#This Row],[GES]]-Eingabe[[#This Row],[GEGGES]]),"")</f>
        <v>21</v>
      </c>
    </row>
    <row r="49" spans="1:52" ht="16.2" hidden="1" thickBot="1" x14ac:dyDescent="0.35">
      <c r="A49" s="441"/>
      <c r="B49" s="21">
        <f t="shared" si="0"/>
        <v>8</v>
      </c>
      <c r="C49" s="6" t="str">
        <f>VLOOKUP($B49,Chronologie[],7,TRUE)</f>
        <v>SKV 9-Pins Stollberg II</v>
      </c>
      <c r="D49" s="6" t="str">
        <f>VLOOKUP($B49,Chronologie[],8,TRUE)</f>
        <v>Hirschfeld</v>
      </c>
      <c r="E49" s="240" t="str">
        <f>VLOOKUP($B49,Chronologie[],9,TRUE)</f>
        <v>H</v>
      </c>
      <c r="F49" s="6" t="str">
        <f>VLOOKUP($B49,Chronologie[],COLUMN(F50)-2,TRUE)</f>
        <v>E</v>
      </c>
      <c r="G49" s="6" t="str">
        <f>VLOOKUP($B49,Chronologie[],COLUMN(G50)-2,TRUE)</f>
        <v>L</v>
      </c>
      <c r="H49" s="6">
        <f>VLOOKUP($B49,Chronologie[],COLUMN(H50)-2,TRUE)</f>
        <v>8</v>
      </c>
      <c r="I49" s="10" t="str">
        <f>VLOOKUP($B49,Chronologie[],2,TRUE)</f>
        <v>E-L-8</v>
      </c>
      <c r="J49" s="243">
        <f>VLOOKUP($B49,Chronologie[],3,TRUE)</f>
        <v>45990</v>
      </c>
      <c r="K49" s="237" t="s">
        <v>455</v>
      </c>
      <c r="L49" s="237">
        <v>97</v>
      </c>
      <c r="M49" s="237">
        <v>84</v>
      </c>
      <c r="N49" s="237">
        <v>90</v>
      </c>
      <c r="O49" s="237">
        <v>85</v>
      </c>
      <c r="P49" s="237">
        <v>39</v>
      </c>
      <c r="Q49" s="237">
        <v>34</v>
      </c>
      <c r="R49" s="237">
        <v>53</v>
      </c>
      <c r="S49" s="237">
        <v>54</v>
      </c>
      <c r="T49" s="237">
        <v>1</v>
      </c>
      <c r="U49" s="237">
        <v>2</v>
      </c>
      <c r="V49" s="237">
        <v>1</v>
      </c>
      <c r="W49" s="237">
        <v>1</v>
      </c>
      <c r="X49" s="38">
        <v>0</v>
      </c>
      <c r="Y49" s="38">
        <v>0</v>
      </c>
      <c r="Z49" s="38">
        <v>1</v>
      </c>
      <c r="AA49" s="38">
        <v>1</v>
      </c>
      <c r="AB49" s="91">
        <v>519</v>
      </c>
      <c r="AC49" s="94">
        <f>IF(Eingabe[[#This Row],[V1]]="",IF(Eingabe[[#This Row],[Volle alternativ]]="","",Eingabe[[#This Row],[Volle alternativ]]),SUM(Eingabe[[#This Row],[V1]:[V4]]))</f>
        <v>356</v>
      </c>
      <c r="AD49" s="6">
        <f>IF(Eingabe[[#This Row],[R1]]="",IF(Eingabe[[#This Row],[Räumer alternativ]]="","",Eingabe[[#This Row],[Räumer alternativ]]),SUM(Eingabe[[#This Row],[R1]:[R4]]))</f>
        <v>180</v>
      </c>
      <c r="AE49" s="6">
        <f>IF(Eingabe[[#This Row],[F1]]="",IF(Eingabe[[#This Row],[Fehler alternativ]]="","",Eingabe[[#This Row],[Fehler alternativ]]),SUM(Eingabe[[#This Row],[F1]:[F4]]))</f>
        <v>5</v>
      </c>
      <c r="AF49" s="6">
        <f>IF(Eingabe[[#This Row],[Volle]]="","",IF(Eingabe[[#This Row],[S1]]="",Eingabe[[#This Row],[Volle]]+Eingabe[[#This Row],[Räumer]],IF(Eingabe[[#This Row],[Volle]]+Eingabe[[#This Row],[Räumer]]=Eingabe[[#This Row],[S1]]+Eingabe[[#This Row],[S2]]+Eingabe[[#This Row],[S3]]+Eingabe[[#This Row],[S4]],Eingabe[[#This Row],[Volle]]+Eingabe[[#This Row],[Räumer]],"FEHLER")))</f>
        <v>536</v>
      </c>
      <c r="AG49" s="6">
        <f>IF(Eingabe[[#This Row],[V1]]="","",Eingabe[[#This Row],[V1]]+Eingabe[[#This Row],[R1]])</f>
        <v>136</v>
      </c>
      <c r="AH49" s="6">
        <f>IF(Eingabe[[#This Row],[V2]]="","",Eingabe[[#This Row],[V2]]+Eingabe[[#This Row],[R2]])</f>
        <v>118</v>
      </c>
      <c r="AI49" s="6">
        <f>IF(Eingabe[[#This Row],[V3]]="","",Eingabe[[#This Row],[V3]]+Eingabe[[#This Row],[R3]])</f>
        <v>143</v>
      </c>
      <c r="AJ49" s="6">
        <f>IF(Eingabe[[#This Row],[V4]]="","",Eingabe[[#This Row],[V4]]+Eingabe[[#This Row],[R4]])</f>
        <v>139</v>
      </c>
      <c r="AK49" s="6">
        <f>IF(Eingabe[[#This Row],[S1P]]="","",Eingabe[[#This Row],[S1P]]+Eingabe[[#This Row],[S2P]]+Eingabe[[#This Row],[S3P]]+Eingabe[[#This Row],[S4P]])</f>
        <v>2</v>
      </c>
      <c r="AL49" s="6">
        <f>IF(Eingabe[[#This Row],[S1P]]="","",IF(Eingabe[[#This Row],[SP]]&gt;2,1,IF(Eingabe[[#This Row],[SP]]&lt;2,0,IF(Eingabe[[#This Row],[GES]]&gt;Eingabe[[#This Row],[GEGGES]],1,IF(Eingabe[[#This Row],[GES]]=Eingabe[[#This Row],[GEGGES]],0.5,0)))))</f>
        <v>1</v>
      </c>
      <c r="AM49" s="6">
        <f>IF(Eingabe[[#This Row],[MP]]="","",MOD(ROW(Eingabe[[#This Row],[Position]])-3,6)+1)</f>
        <v>5</v>
      </c>
      <c r="AN49" s="6">
        <f>STANDARDIZE(Eingabe[[#This Row],[GES]],Eingabe[[#This Row],[Schnitt]],VLOOKUP(Eingabe[[#This Row],[Name]],AuswertungG[],21,FALSE))</f>
        <v>-0.82051282051282048</v>
      </c>
      <c r="AO49" s="6">
        <f>VLOOKUP(Eingabe[[#This Row],[ID]],Chronologie[[ID]:[KW]],12,FALSE)</f>
        <v>14</v>
      </c>
      <c r="AP49" s="95" t="str">
        <f>IF(Eingabe[[#This Row],[Wo]]="H",Eingabe[[#This Row],[Gegner]]&amp;" ["&amp;Eingabe[[#This Row],[Wo]]&amp;"]",Eingabe[[#This Row],[Ort]])</f>
        <v>SKV 9-Pins Stollberg II [H]</v>
      </c>
      <c r="AQ49" s="6">
        <f>IFERROR(IF(Eingabe[[#This Row],[Wo]]="H",IF(MOD(Eingabe[[#This Row],[Position]],2)=1,Eingabe[[#This Row],[S1]],Eingabe[[#This Row],[S4]]),""),"")</f>
        <v>136</v>
      </c>
      <c r="AR49" s="6">
        <f>IFERROR(IF(Eingabe[[#This Row],[Wo]]="H",IF(Eingabe[[#This Row],[S1]]&gt;0,IF(MOD(Eingabe[[#This Row],[Position]],2)=1,Eingabe[[#This Row],[S2]],Eingabe[[#This Row],[S3]]),""),""),"")</f>
        <v>118</v>
      </c>
      <c r="AS49" s="6">
        <f>IFERROR(IF(Eingabe[[#This Row],[Wo]]="H",IF(Eingabe[[#This Row],[S1]]&gt;0,IF(MOD(ROW(Eingabe[[#This Row],[Heimbahn 3]]),2)=1,Eingabe[[#This Row],[S4]],Eingabe[[#This Row],[S1]]),""),""),"")</f>
        <v>139</v>
      </c>
      <c r="AT49" s="6">
        <f>IFERROR(IF(Eingabe[[#This Row],[Wo]]="H",IF(Eingabe[[#This Row],[S1]]&gt;0,IF(MOD(ROW(Eingabe[[#This Row],[Heimbahn 4]]),2)=1,Eingabe[[#This Row],[S3]],Eingabe[[#This Row],[S2]]),""),""),"")</f>
        <v>143</v>
      </c>
      <c r="AU49" s="22">
        <f>IF(Eingabe[[#This Row],[GES]]="","",IF(Eingabe[[#This Row],[Modus]]="L",_xlfn.RANK.EQ(Eingabe[[#This Row],[GES]],AF45:AF50),IF(Eingabe[[#This Row],[Modus]]="P",_xlfn.RANK.EQ(Eingabe[[#This Row],[GES]],AF45:AF50),"")))</f>
        <v>3</v>
      </c>
      <c r="AV49" s="6">
        <f>VLOOKUP(Eingabe[[#This Row],[Name]],AuswertungG[],8,FALSE)</f>
        <v>568</v>
      </c>
      <c r="AZ49" s="6">
        <f>IFERROR(ABS(Eingabe[[#This Row],[GES]]-Eingabe[[#This Row],[GEGGES]]),"")</f>
        <v>17</v>
      </c>
    </row>
    <row r="50" spans="1:52" ht="16.2" hidden="1" thickBot="1" x14ac:dyDescent="0.35">
      <c r="A50" s="442"/>
      <c r="B50" s="56">
        <f t="shared" si="0"/>
        <v>8</v>
      </c>
      <c r="C50" s="23" t="str">
        <f>VLOOKUP($B50,Chronologie[],7,TRUE)</f>
        <v>SKV 9-Pins Stollberg II</v>
      </c>
      <c r="D50" s="23" t="str">
        <f>VLOOKUP($B50,Chronologie[],8,TRUE)</f>
        <v>Hirschfeld</v>
      </c>
      <c r="E50" s="39" t="str">
        <f>VLOOKUP($B50,Chronologie[],9,TRUE)</f>
        <v>H</v>
      </c>
      <c r="F50" s="23" t="str">
        <f>VLOOKUP($B50,Chronologie[],COLUMN(F51)-2,TRUE)</f>
        <v>E</v>
      </c>
      <c r="G50" s="23" t="str">
        <f>VLOOKUP($B50,Chronologie[],COLUMN(G51)-2,TRUE)</f>
        <v>L</v>
      </c>
      <c r="H50" s="23">
        <f>VLOOKUP($B50,Chronologie[],COLUMN(H51)-2,TRUE)</f>
        <v>8</v>
      </c>
      <c r="I50" s="13" t="str">
        <f>VLOOKUP($B50,Chronologie[],2,TRUE)</f>
        <v>E-L-8</v>
      </c>
      <c r="J50" s="244">
        <f>VLOOKUP($B50,Chronologie[],3,TRUE)</f>
        <v>45990</v>
      </c>
      <c r="K50" s="239" t="s">
        <v>659</v>
      </c>
      <c r="L50" s="239">
        <v>87</v>
      </c>
      <c r="M50" s="239">
        <v>92</v>
      </c>
      <c r="N50" s="239">
        <v>102</v>
      </c>
      <c r="O50" s="239">
        <v>91</v>
      </c>
      <c r="P50" s="239">
        <v>52</v>
      </c>
      <c r="Q50" s="239">
        <v>50</v>
      </c>
      <c r="R50" s="239">
        <v>44</v>
      </c>
      <c r="S50" s="239">
        <v>34</v>
      </c>
      <c r="T50" s="239">
        <v>0</v>
      </c>
      <c r="U50" s="239">
        <v>0</v>
      </c>
      <c r="V50" s="239">
        <v>2</v>
      </c>
      <c r="W50" s="239">
        <v>2</v>
      </c>
      <c r="X50" s="40">
        <v>1</v>
      </c>
      <c r="Y50" s="40">
        <v>1</v>
      </c>
      <c r="Z50" s="40">
        <v>1</v>
      </c>
      <c r="AA50" s="40">
        <v>0</v>
      </c>
      <c r="AB50" s="92">
        <v>138</v>
      </c>
      <c r="AC50" s="96">
        <f>IF(Eingabe[[#This Row],[V1]]="",IF(Eingabe[[#This Row],[Volle alternativ]]="","",Eingabe[[#This Row],[Volle alternativ]]),SUM(Eingabe[[#This Row],[V1]:[V4]]))</f>
        <v>372</v>
      </c>
      <c r="AD50" s="23">
        <f>IF(Eingabe[[#This Row],[R1]]="",IF(Eingabe[[#This Row],[Räumer alternativ]]="","",Eingabe[[#This Row],[Räumer alternativ]]),SUM(Eingabe[[#This Row],[R1]:[R4]]))</f>
        <v>180</v>
      </c>
      <c r="AE50" s="23">
        <f>IF(Eingabe[[#This Row],[F1]]="",IF(Eingabe[[#This Row],[Fehler alternativ]]="","",Eingabe[[#This Row],[Fehler alternativ]]),SUM(Eingabe[[#This Row],[F1]:[F4]]))</f>
        <v>4</v>
      </c>
      <c r="AF50" s="23">
        <f>IF(Eingabe[[#This Row],[Volle]]="","",IF(Eingabe[[#This Row],[S1]]="",Eingabe[[#This Row],[Volle]]+Eingabe[[#This Row],[Räumer]],IF(Eingabe[[#This Row],[Volle]]+Eingabe[[#This Row],[Räumer]]=Eingabe[[#This Row],[S1]]+Eingabe[[#This Row],[S2]]+Eingabe[[#This Row],[S3]]+Eingabe[[#This Row],[S4]],Eingabe[[#This Row],[Volle]]+Eingabe[[#This Row],[Räumer]],"FEHLER")))</f>
        <v>552</v>
      </c>
      <c r="AG50" s="23">
        <f>IF(Eingabe[[#This Row],[V1]]="","",Eingabe[[#This Row],[V1]]+Eingabe[[#This Row],[R1]])</f>
        <v>139</v>
      </c>
      <c r="AH50" s="23">
        <f>IF(Eingabe[[#This Row],[V2]]="","",Eingabe[[#This Row],[V2]]+Eingabe[[#This Row],[R2]])</f>
        <v>142</v>
      </c>
      <c r="AI50" s="23">
        <f>IF(Eingabe[[#This Row],[V3]]="","",Eingabe[[#This Row],[V3]]+Eingabe[[#This Row],[R3]])</f>
        <v>146</v>
      </c>
      <c r="AJ50" s="23">
        <f>IF(Eingabe[[#This Row],[V4]]="","",Eingabe[[#This Row],[V4]]+Eingabe[[#This Row],[R4]])</f>
        <v>125</v>
      </c>
      <c r="AK50" s="23">
        <f>IF(Eingabe[[#This Row],[S1P]]="","",Eingabe[[#This Row],[S1P]]+Eingabe[[#This Row],[S2P]]+Eingabe[[#This Row],[S3P]]+Eingabe[[#This Row],[S4P]])</f>
        <v>3</v>
      </c>
      <c r="AL50" s="23">
        <f>IF(Eingabe[[#This Row],[S1P]]="","",IF(Eingabe[[#This Row],[SP]]&gt;2,1,IF(Eingabe[[#This Row],[SP]]&lt;2,0,IF(Eingabe[[#This Row],[GES]]&gt;Eingabe[[#This Row],[GEGGES]],1,IF(Eingabe[[#This Row],[GES]]=Eingabe[[#This Row],[GEGGES]],0.5,0)))))</f>
        <v>1</v>
      </c>
      <c r="AM50" s="23">
        <f>IF(Eingabe[[#This Row],[MP]]="","",MOD(ROW(Eingabe[[#This Row],[Position]])-3,6)+1)</f>
        <v>6</v>
      </c>
      <c r="AN50" s="23">
        <f>STANDARDIZE(Eingabe[[#This Row],[GES]],Eingabe[[#This Row],[Schnitt]],VLOOKUP(Eingabe[[#This Row],[Name]],AuswertungG[],21,FALSE))</f>
        <v>0.83333333333333337</v>
      </c>
      <c r="AO50" s="23">
        <f>VLOOKUP(Eingabe[[#This Row],[ID]],Chronologie[[ID]:[KW]],12,FALSE)</f>
        <v>14</v>
      </c>
      <c r="AP50" s="59" t="str">
        <f>IF(Eingabe[[#This Row],[Wo]]="H",Eingabe[[#This Row],[Gegner]]&amp;" ["&amp;Eingabe[[#This Row],[Wo]]&amp;"]",Eingabe[[#This Row],[Ort]])</f>
        <v>SKV 9-Pins Stollberg II [H]</v>
      </c>
      <c r="AQ50" s="23">
        <f>IFERROR(IF(Eingabe[[#This Row],[Wo]]="H",IF(MOD(Eingabe[[#This Row],[Position]],2)=1,Eingabe[[#This Row],[S1]],Eingabe[[#This Row],[S4]]),""),"")</f>
        <v>125</v>
      </c>
      <c r="AR50" s="23">
        <f>IFERROR(IF(Eingabe[[#This Row],[Wo]]="H",IF(Eingabe[[#This Row],[S1]]&gt;0,IF(MOD(Eingabe[[#This Row],[Position]],2)=1,Eingabe[[#This Row],[S2]],Eingabe[[#This Row],[S3]]),""),""),"")</f>
        <v>146</v>
      </c>
      <c r="AS50" s="23">
        <f>IFERROR(IF(Eingabe[[#This Row],[Wo]]="H",IF(Eingabe[[#This Row],[S1]]&gt;0,IF(MOD(ROW(Eingabe[[#This Row],[Heimbahn 3]]),2)=1,Eingabe[[#This Row],[S4]],Eingabe[[#This Row],[S1]]),""),""),"")</f>
        <v>139</v>
      </c>
      <c r="AT50" s="23">
        <f>IFERROR(IF(Eingabe[[#This Row],[Wo]]="H",IF(Eingabe[[#This Row],[S1]]&gt;0,IF(MOD(ROW(Eingabe[[#This Row],[Heimbahn 4]]),2)=1,Eingabe[[#This Row],[S3]],Eingabe[[#This Row],[S2]]),""),""),"")</f>
        <v>142</v>
      </c>
      <c r="AU50" s="89">
        <f>IF(Eingabe[[#This Row],[GES]]="","",IF(Eingabe[[#This Row],[Modus]]="L",_xlfn.RANK.EQ(Eingabe[[#This Row],[GES]],AF45:AF50),IF(Eingabe[[#This Row],[Modus]]="P",_xlfn.RANK.EQ(Eingabe[[#This Row],[GES]],AF45:AF50),"")))</f>
        <v>1</v>
      </c>
      <c r="AV50" s="6">
        <f>VLOOKUP(Eingabe[[#This Row],[Name]],AuswertungG[],8,FALSE)</f>
        <v>532</v>
      </c>
      <c r="AZ50" s="6">
        <f>IFERROR(ABS(Eingabe[[#This Row],[GES]]-Eingabe[[#This Row],[GEGGES]]),"")</f>
        <v>414</v>
      </c>
    </row>
    <row r="51" spans="1:52" ht="16.2" hidden="1" thickBot="1" x14ac:dyDescent="0.35">
      <c r="A51" s="440">
        <f t="shared" ref="A51" si="7">B51</f>
        <v>9</v>
      </c>
      <c r="B51" s="55">
        <f t="shared" si="0"/>
        <v>9</v>
      </c>
      <c r="C51" s="35" t="str">
        <f>VLOOKUP($B51,Chronologie[],7,TRUE)</f>
        <v>SV Rot-Weiß Treuen</v>
      </c>
      <c r="D51" s="35" t="str">
        <f>VLOOKUP($B51,Chronologie[],8,TRUE)</f>
        <v>Treuen</v>
      </c>
      <c r="E51" s="36" t="str">
        <f>VLOOKUP($B51,Chronologie[],9,TRUE)</f>
        <v>A</v>
      </c>
      <c r="F51" s="35" t="str">
        <f>VLOOKUP($B51,Chronologie[],COLUMN(F52)-2,TRUE)</f>
        <v>E</v>
      </c>
      <c r="G51" s="35" t="str">
        <f>VLOOKUP($B51,Chronologie[],COLUMN(G52)-2,TRUE)</f>
        <v>L</v>
      </c>
      <c r="H51" s="35">
        <f>VLOOKUP($B51,Chronologie[],COLUMN(H52)-2,TRUE)</f>
        <v>9</v>
      </c>
      <c r="I51" s="9" t="str">
        <f>VLOOKUP($B51,Chronologie[],2,TRUE)</f>
        <v>E-L-9</v>
      </c>
      <c r="J51" s="242">
        <f>VLOOKUP($B51,Chronologie[],3,TRUE)</f>
        <v>46004</v>
      </c>
      <c r="K51" s="236" t="s">
        <v>660</v>
      </c>
      <c r="L51" s="334">
        <v>95</v>
      </c>
      <c r="M51" s="334">
        <v>88</v>
      </c>
      <c r="N51" s="334">
        <v>90</v>
      </c>
      <c r="O51" s="334">
        <v>99</v>
      </c>
      <c r="P51" s="334">
        <v>34</v>
      </c>
      <c r="Q51" s="334">
        <v>54</v>
      </c>
      <c r="R51" s="334">
        <v>42</v>
      </c>
      <c r="S51" s="334">
        <v>44</v>
      </c>
      <c r="T51" s="334">
        <v>2</v>
      </c>
      <c r="U51" s="334">
        <v>0</v>
      </c>
      <c r="V51" s="334">
        <v>3</v>
      </c>
      <c r="W51" s="334">
        <v>2</v>
      </c>
      <c r="X51" s="37">
        <v>1</v>
      </c>
      <c r="Y51" s="37">
        <v>0</v>
      </c>
      <c r="Z51" s="37">
        <v>0</v>
      </c>
      <c r="AA51" s="37">
        <v>0</v>
      </c>
      <c r="AB51" s="90">
        <v>595</v>
      </c>
      <c r="AC51" s="93">
        <f>IF(Eingabe[[#This Row],[V1]]="",IF(Eingabe[[#This Row],[Volle alternativ]]="","",Eingabe[[#This Row],[Volle alternativ]]),SUM(Eingabe[[#This Row],[V1]:[V4]]))</f>
        <v>372</v>
      </c>
      <c r="AD51" s="35">
        <f>IF(Eingabe[[#This Row],[R1]]="",IF(Eingabe[[#This Row],[Räumer alternativ]]="","",Eingabe[[#This Row],[Räumer alternativ]]),SUM(Eingabe[[#This Row],[R1]:[R4]]))</f>
        <v>174</v>
      </c>
      <c r="AE51" s="35">
        <f>IF(Eingabe[[#This Row],[F1]]="",IF(Eingabe[[#This Row],[Fehler alternativ]]="","",Eingabe[[#This Row],[Fehler alternativ]]),SUM(Eingabe[[#This Row],[F1]:[F4]]))</f>
        <v>7</v>
      </c>
      <c r="AF51" s="35">
        <f>IF(Eingabe[[#This Row],[Volle]]="","",IF(Eingabe[[#This Row],[S1]]="",Eingabe[[#This Row],[Volle]]+Eingabe[[#This Row],[Räumer]],IF(Eingabe[[#This Row],[Volle]]+Eingabe[[#This Row],[Räumer]]=Eingabe[[#This Row],[S1]]+Eingabe[[#This Row],[S2]]+Eingabe[[#This Row],[S3]]+Eingabe[[#This Row],[S4]],Eingabe[[#This Row],[Volle]]+Eingabe[[#This Row],[Räumer]],"FEHLER")))</f>
        <v>546</v>
      </c>
      <c r="AG51" s="35">
        <f>IF(Eingabe[[#This Row],[V1]]="","",Eingabe[[#This Row],[V1]]+Eingabe[[#This Row],[R1]])</f>
        <v>129</v>
      </c>
      <c r="AH51" s="35">
        <f>IF(Eingabe[[#This Row],[V2]]="","",Eingabe[[#This Row],[V2]]+Eingabe[[#This Row],[R2]])</f>
        <v>142</v>
      </c>
      <c r="AI51" s="35">
        <f>IF(Eingabe[[#This Row],[V3]]="","",Eingabe[[#This Row],[V3]]+Eingabe[[#This Row],[R3]])</f>
        <v>132</v>
      </c>
      <c r="AJ51" s="35">
        <f>IF(Eingabe[[#This Row],[V4]]="","",Eingabe[[#This Row],[V4]]+Eingabe[[#This Row],[R4]])</f>
        <v>143</v>
      </c>
      <c r="AK51" s="35">
        <f>IF(Eingabe[[#This Row],[S1P]]="","",Eingabe[[#This Row],[S1P]]+Eingabe[[#This Row],[S2P]]+Eingabe[[#This Row],[S3P]]+Eingabe[[#This Row],[S4P]])</f>
        <v>1</v>
      </c>
      <c r="AL51" s="35">
        <f>IF(Eingabe[[#This Row],[S1P]]="","",IF(Eingabe[[#This Row],[SP]]&gt;2,1,IF(Eingabe[[#This Row],[SP]]&lt;2,0,IF(Eingabe[[#This Row],[GES]]&gt;Eingabe[[#This Row],[GEGGES]],1,IF(Eingabe[[#This Row],[GES]]=Eingabe[[#This Row],[GEGGES]],0.5,0)))))</f>
        <v>0</v>
      </c>
      <c r="AM51" s="35">
        <f>IF(Eingabe[[#This Row],[MP]]="","",MOD(ROW(Eingabe[[#This Row],[Position]])-3,6)+1)</f>
        <v>1</v>
      </c>
      <c r="AN51" s="35">
        <f>STANDARDIZE(Eingabe[[#This Row],[GES]],Eingabe[[#This Row],[Schnitt]],VLOOKUP(Eingabe[[#This Row],[Name]],AuswertungG[],21,FALSE))</f>
        <v>1.2258064516129032</v>
      </c>
      <c r="AO51" s="35">
        <f>VLOOKUP(Eingabe[[#This Row],[ID]],Chronologie[[ID]:[KW]],12,FALSE)</f>
        <v>16</v>
      </c>
      <c r="AP51" s="58" t="str">
        <f>IF(Eingabe[[#This Row],[Wo]]="H",Eingabe[[#This Row],[Gegner]]&amp;" ["&amp;Eingabe[[#This Row],[Wo]]&amp;"]",Eingabe[[#This Row],[Ort]])</f>
        <v>Treuen</v>
      </c>
      <c r="AQ51" s="35" t="str">
        <f>IFERROR(IF(Eingabe[[#This Row],[Wo]]="H",IF(MOD(Eingabe[[#This Row],[Position]],2)=1,Eingabe[[#This Row],[S1]],Eingabe[[#This Row],[S4]]),""),"")</f>
        <v/>
      </c>
      <c r="AR51" s="35" t="str">
        <f>IFERROR(IF(Eingabe[[#This Row],[Wo]]="H",IF(Eingabe[[#This Row],[S1]]&gt;0,IF(MOD(Eingabe[[#This Row],[Position]],2)=1,Eingabe[[#This Row],[S2]],Eingabe[[#This Row],[S3]]),""),""),"")</f>
        <v/>
      </c>
      <c r="AS51" s="35" t="str">
        <f>IFERROR(IF(Eingabe[[#This Row],[Wo]]="H",IF(Eingabe[[#This Row],[S1]]&gt;0,IF(MOD(ROW(Eingabe[[#This Row],[Heimbahn 3]]),2)=1,Eingabe[[#This Row],[S4]],Eingabe[[#This Row],[S1]]),""),""),"")</f>
        <v/>
      </c>
      <c r="AT51" s="35" t="str">
        <f>IFERROR(IF(Eingabe[[#This Row],[Wo]]="H",IF(Eingabe[[#This Row],[S1]]&gt;0,IF(MOD(ROW(Eingabe[[#This Row],[Heimbahn 4]]),2)=1,Eingabe[[#This Row],[S3]],Eingabe[[#This Row],[S2]]),""),""),"")</f>
        <v/>
      </c>
      <c r="AU51" s="88">
        <f>IF(Eingabe[[#This Row],[GES]]="","",IF(Eingabe[[#This Row],[Modus]]="L",_xlfn.RANK.EQ(Eingabe[[#This Row],[GES]],AF51:AF56),IF(Eingabe[[#This Row],[Modus]]="P",_xlfn.RANK.EQ(Eingabe[[#This Row],[GES]],AF51:AF56),"")))</f>
        <v>4</v>
      </c>
      <c r="AV51" s="6">
        <f>VLOOKUP(Eingabe[[#This Row],[Name]],AuswertungG[],8,FALSE)</f>
        <v>508</v>
      </c>
      <c r="AZ51" s="6">
        <f>IFERROR(ABS(Eingabe[[#This Row],[GES]]-Eingabe[[#This Row],[GEGGES]]),"")</f>
        <v>49</v>
      </c>
    </row>
    <row r="52" spans="1:52" ht="16.2" hidden="1" thickBot="1" x14ac:dyDescent="0.35">
      <c r="A52" s="441"/>
      <c r="B52" s="21">
        <f t="shared" si="0"/>
        <v>9</v>
      </c>
      <c r="C52" s="6" t="str">
        <f>VLOOKUP($B52,Chronologie[],7,TRUE)</f>
        <v>SV Rot-Weiß Treuen</v>
      </c>
      <c r="D52" s="6" t="str">
        <f>VLOOKUP($B52,Chronologie[],8,TRUE)</f>
        <v>Treuen</v>
      </c>
      <c r="E52" s="240" t="str">
        <f>VLOOKUP($B52,Chronologie[],9,TRUE)</f>
        <v>A</v>
      </c>
      <c r="F52" s="6" t="str">
        <f>VLOOKUP($B52,Chronologie[],COLUMN(F53)-2,TRUE)</f>
        <v>E</v>
      </c>
      <c r="G52" s="6" t="str">
        <f>VLOOKUP($B52,Chronologie[],COLUMN(G53)-2,TRUE)</f>
        <v>L</v>
      </c>
      <c r="H52" s="6">
        <f>VLOOKUP($B52,Chronologie[],COLUMN(H53)-2,TRUE)</f>
        <v>9</v>
      </c>
      <c r="I52" s="10" t="str">
        <f>VLOOKUP($B52,Chronologie[],2,TRUE)</f>
        <v>E-L-9</v>
      </c>
      <c r="J52" s="243">
        <f>VLOOKUP($B52,Chronologie[],3,TRUE)</f>
        <v>46004</v>
      </c>
      <c r="K52" s="237" t="s">
        <v>658</v>
      </c>
      <c r="L52" s="237">
        <v>107</v>
      </c>
      <c r="M52" s="237">
        <v>92</v>
      </c>
      <c r="N52" s="237">
        <v>96</v>
      </c>
      <c r="O52" s="237">
        <v>110</v>
      </c>
      <c r="P52" s="237">
        <v>54</v>
      </c>
      <c r="Q52" s="237">
        <v>52</v>
      </c>
      <c r="R52" s="237">
        <v>54</v>
      </c>
      <c r="S52" s="237">
        <v>63</v>
      </c>
      <c r="T52" s="237">
        <v>1</v>
      </c>
      <c r="U52" s="237">
        <v>2</v>
      </c>
      <c r="V52" s="237">
        <v>0</v>
      </c>
      <c r="W52" s="237">
        <v>0</v>
      </c>
      <c r="X52" s="38">
        <v>1</v>
      </c>
      <c r="Y52" s="38">
        <v>0</v>
      </c>
      <c r="Z52" s="38">
        <v>1</v>
      </c>
      <c r="AA52" s="38">
        <v>1</v>
      </c>
      <c r="AB52" s="91">
        <v>569</v>
      </c>
      <c r="AC52" s="94">
        <f>IF(Eingabe[[#This Row],[V1]]="",IF(Eingabe[[#This Row],[Volle alternativ]]="","",Eingabe[[#This Row],[Volle alternativ]]),SUM(Eingabe[[#This Row],[V1]:[V4]]))</f>
        <v>405</v>
      </c>
      <c r="AD52" s="6">
        <f>IF(Eingabe[[#This Row],[R1]]="",IF(Eingabe[[#This Row],[Räumer alternativ]]="","",Eingabe[[#This Row],[Räumer alternativ]]),SUM(Eingabe[[#This Row],[R1]:[R4]]))</f>
        <v>223</v>
      </c>
      <c r="AE52" s="6">
        <f>IF(Eingabe[[#This Row],[F1]]="",IF(Eingabe[[#This Row],[Fehler alternativ]]="","",Eingabe[[#This Row],[Fehler alternativ]]),SUM(Eingabe[[#This Row],[F1]:[F4]]))</f>
        <v>3</v>
      </c>
      <c r="AF52" s="6">
        <f>IF(Eingabe[[#This Row],[Volle]]="","",IF(Eingabe[[#This Row],[S1]]="",Eingabe[[#This Row],[Volle]]+Eingabe[[#This Row],[Räumer]],IF(Eingabe[[#This Row],[Volle]]+Eingabe[[#This Row],[Räumer]]=Eingabe[[#This Row],[S1]]+Eingabe[[#This Row],[S2]]+Eingabe[[#This Row],[S3]]+Eingabe[[#This Row],[S4]],Eingabe[[#This Row],[Volle]]+Eingabe[[#This Row],[Räumer]],"FEHLER")))</f>
        <v>628</v>
      </c>
      <c r="AG52" s="6">
        <f>IF(Eingabe[[#This Row],[V1]]="","",Eingabe[[#This Row],[V1]]+Eingabe[[#This Row],[R1]])</f>
        <v>161</v>
      </c>
      <c r="AH52" s="6">
        <f>IF(Eingabe[[#This Row],[V2]]="","",Eingabe[[#This Row],[V2]]+Eingabe[[#This Row],[R2]])</f>
        <v>144</v>
      </c>
      <c r="AI52" s="6">
        <f>IF(Eingabe[[#This Row],[V3]]="","",Eingabe[[#This Row],[V3]]+Eingabe[[#This Row],[R3]])</f>
        <v>150</v>
      </c>
      <c r="AJ52" s="6">
        <f>IF(Eingabe[[#This Row],[V4]]="","",Eingabe[[#This Row],[V4]]+Eingabe[[#This Row],[R4]])</f>
        <v>173</v>
      </c>
      <c r="AK52" s="6">
        <f>IF(Eingabe[[#This Row],[S1P]]="","",Eingabe[[#This Row],[S1P]]+Eingabe[[#This Row],[S2P]]+Eingabe[[#This Row],[S3P]]+Eingabe[[#This Row],[S4P]])</f>
        <v>3</v>
      </c>
      <c r="AL52" s="6">
        <f>IF(Eingabe[[#This Row],[S1P]]="","",IF(Eingabe[[#This Row],[SP]]&gt;2,1,IF(Eingabe[[#This Row],[SP]]&lt;2,0,IF(Eingabe[[#This Row],[GES]]&gt;Eingabe[[#This Row],[GEGGES]],1,IF(Eingabe[[#This Row],[GES]]=Eingabe[[#This Row],[GEGGES]],0.5,0)))))</f>
        <v>1</v>
      </c>
      <c r="AM52" s="6">
        <f>IF(Eingabe[[#This Row],[MP]]="","",MOD(ROW(Eingabe[[#This Row],[Position]])-3,6)+1)</f>
        <v>2</v>
      </c>
      <c r="AN52" s="6">
        <f>STANDARDIZE(Eingabe[[#This Row],[GES]],Eingabe[[#This Row],[Schnitt]],VLOOKUP(Eingabe[[#This Row],[Name]],AuswertungG[],21,FALSE))</f>
        <v>2.2285714285714286</v>
      </c>
      <c r="AO52" s="6">
        <f>VLOOKUP(Eingabe[[#This Row],[ID]],Chronologie[[ID]:[KW]],12,FALSE)</f>
        <v>16</v>
      </c>
      <c r="AP52" s="95" t="str">
        <f>IF(Eingabe[[#This Row],[Wo]]="H",Eingabe[[#This Row],[Gegner]]&amp;" ["&amp;Eingabe[[#This Row],[Wo]]&amp;"]",Eingabe[[#This Row],[Ort]])</f>
        <v>Treuen</v>
      </c>
      <c r="AQ52" s="6" t="str">
        <f>IFERROR(IF(Eingabe[[#This Row],[Wo]]="H",IF(MOD(Eingabe[[#This Row],[Position]],2)=1,Eingabe[[#This Row],[S1]],Eingabe[[#This Row],[S4]]),""),"")</f>
        <v/>
      </c>
      <c r="AR52" s="6" t="str">
        <f>IFERROR(IF(Eingabe[[#This Row],[Wo]]="H",IF(Eingabe[[#This Row],[S1]]&gt;0,IF(MOD(Eingabe[[#This Row],[Position]],2)=1,Eingabe[[#This Row],[S2]],Eingabe[[#This Row],[S3]]),""),""),"")</f>
        <v/>
      </c>
      <c r="AS52" s="6" t="str">
        <f>IFERROR(IF(Eingabe[[#This Row],[Wo]]="H",IF(Eingabe[[#This Row],[S1]]&gt;0,IF(MOD(ROW(Eingabe[[#This Row],[Heimbahn 3]]),2)=1,Eingabe[[#This Row],[S4]],Eingabe[[#This Row],[S1]]),""),""),"")</f>
        <v/>
      </c>
      <c r="AT52" s="6" t="str">
        <f>IFERROR(IF(Eingabe[[#This Row],[Wo]]="H",IF(Eingabe[[#This Row],[S1]]&gt;0,IF(MOD(ROW(Eingabe[[#This Row],[Heimbahn 4]]),2)=1,Eingabe[[#This Row],[S3]],Eingabe[[#This Row],[S2]]),""),""),"")</f>
        <v/>
      </c>
      <c r="AU52" s="22">
        <f>IF(Eingabe[[#This Row],[GES]]="","",IF(Eingabe[[#This Row],[Modus]]="L",_xlfn.RANK.EQ(Eingabe[[#This Row],[GES]],AF51:AF56),IF(Eingabe[[#This Row],[Modus]]="P",_xlfn.RANK.EQ(Eingabe[[#This Row],[GES]],AF51:AF56),"")))</f>
        <v>1</v>
      </c>
      <c r="AV52" s="6">
        <f>VLOOKUP(Eingabe[[#This Row],[Name]],AuswertungG[],8,FALSE)</f>
        <v>550</v>
      </c>
      <c r="AZ52" s="6">
        <f>IFERROR(ABS(Eingabe[[#This Row],[GES]]-Eingabe[[#This Row],[GEGGES]]),"")</f>
        <v>59</v>
      </c>
    </row>
    <row r="53" spans="1:52" ht="16.2" hidden="1" thickBot="1" x14ac:dyDescent="0.35">
      <c r="A53" s="441"/>
      <c r="B53" s="21">
        <f t="shared" si="0"/>
        <v>9</v>
      </c>
      <c r="C53" s="6" t="str">
        <f>VLOOKUP($B53,Chronologie[],7,TRUE)</f>
        <v>SV Rot-Weiß Treuen</v>
      </c>
      <c r="D53" s="6" t="str">
        <f>VLOOKUP($B53,Chronologie[],8,TRUE)</f>
        <v>Treuen</v>
      </c>
      <c r="E53" s="240" t="str">
        <f>VLOOKUP($B53,Chronologie[],9,TRUE)</f>
        <v>A</v>
      </c>
      <c r="F53" s="6" t="str">
        <f>VLOOKUP($B53,Chronologie[],COLUMN(F54)-2,TRUE)</f>
        <v>E</v>
      </c>
      <c r="G53" s="6" t="str">
        <f>VLOOKUP($B53,Chronologie[],COLUMN(G54)-2,TRUE)</f>
        <v>L</v>
      </c>
      <c r="H53" s="6">
        <f>VLOOKUP($B53,Chronologie[],COLUMN(H54)-2,TRUE)</f>
        <v>9</v>
      </c>
      <c r="I53" s="10" t="str">
        <f>VLOOKUP($B53,Chronologie[],2,TRUE)</f>
        <v>E-L-9</v>
      </c>
      <c r="J53" s="243">
        <f>VLOOKUP($B53,Chronologie[],3,TRUE)</f>
        <v>46004</v>
      </c>
      <c r="K53" s="237" t="s">
        <v>6</v>
      </c>
      <c r="L53" s="237">
        <v>94</v>
      </c>
      <c r="M53" s="237">
        <v>97</v>
      </c>
      <c r="N53" s="237">
        <v>96</v>
      </c>
      <c r="O53" s="237">
        <v>82</v>
      </c>
      <c r="P53" s="237">
        <v>36</v>
      </c>
      <c r="Q53" s="237">
        <v>36</v>
      </c>
      <c r="R53" s="237">
        <v>45</v>
      </c>
      <c r="S53" s="237">
        <v>45</v>
      </c>
      <c r="T53" s="237">
        <v>1</v>
      </c>
      <c r="U53" s="237">
        <v>3</v>
      </c>
      <c r="V53" s="237">
        <v>0</v>
      </c>
      <c r="W53" s="237">
        <v>1</v>
      </c>
      <c r="X53" s="38">
        <v>0</v>
      </c>
      <c r="Y53" s="38">
        <v>0</v>
      </c>
      <c r="Z53" s="38">
        <v>1</v>
      </c>
      <c r="AA53" s="38">
        <v>0</v>
      </c>
      <c r="AB53" s="91">
        <v>597</v>
      </c>
      <c r="AC53" s="94">
        <f>IF(Eingabe[[#This Row],[V1]]="",IF(Eingabe[[#This Row],[Volle alternativ]]="","",Eingabe[[#This Row],[Volle alternativ]]),SUM(Eingabe[[#This Row],[V1]:[V4]]))</f>
        <v>369</v>
      </c>
      <c r="AD53" s="6">
        <f>IF(Eingabe[[#This Row],[R1]]="",IF(Eingabe[[#This Row],[Räumer alternativ]]="","",Eingabe[[#This Row],[Räumer alternativ]]),SUM(Eingabe[[#This Row],[R1]:[R4]]))</f>
        <v>162</v>
      </c>
      <c r="AE53" s="6">
        <f>IF(Eingabe[[#This Row],[F1]]="",IF(Eingabe[[#This Row],[Fehler alternativ]]="","",Eingabe[[#This Row],[Fehler alternativ]]),SUM(Eingabe[[#This Row],[F1]:[F4]]))</f>
        <v>5</v>
      </c>
      <c r="AF53" s="6">
        <f>IF(Eingabe[[#This Row],[Volle]]="","",IF(Eingabe[[#This Row],[S1]]="",Eingabe[[#This Row],[Volle]]+Eingabe[[#This Row],[Räumer]],IF(Eingabe[[#This Row],[Volle]]+Eingabe[[#This Row],[Räumer]]=Eingabe[[#This Row],[S1]]+Eingabe[[#This Row],[S2]]+Eingabe[[#This Row],[S3]]+Eingabe[[#This Row],[S4]],Eingabe[[#This Row],[Volle]]+Eingabe[[#This Row],[Räumer]],"FEHLER")))</f>
        <v>531</v>
      </c>
      <c r="AG53" s="6">
        <f>IF(Eingabe[[#This Row],[V1]]="","",Eingabe[[#This Row],[V1]]+Eingabe[[#This Row],[R1]])</f>
        <v>130</v>
      </c>
      <c r="AH53" s="6">
        <f>IF(Eingabe[[#This Row],[V2]]="","",Eingabe[[#This Row],[V2]]+Eingabe[[#This Row],[R2]])</f>
        <v>133</v>
      </c>
      <c r="AI53" s="6">
        <f>IF(Eingabe[[#This Row],[V3]]="","",Eingabe[[#This Row],[V3]]+Eingabe[[#This Row],[R3]])</f>
        <v>141</v>
      </c>
      <c r="AJ53" s="6">
        <f>IF(Eingabe[[#This Row],[V4]]="","",Eingabe[[#This Row],[V4]]+Eingabe[[#This Row],[R4]])</f>
        <v>127</v>
      </c>
      <c r="AK53" s="6">
        <f>IF(Eingabe[[#This Row],[S1P]]="","",Eingabe[[#This Row],[S1P]]+Eingabe[[#This Row],[S2P]]+Eingabe[[#This Row],[S3P]]+Eingabe[[#This Row],[S4P]])</f>
        <v>1</v>
      </c>
      <c r="AL53" s="6">
        <f>IF(Eingabe[[#This Row],[S1P]]="","",IF(Eingabe[[#This Row],[SP]]&gt;2,1,IF(Eingabe[[#This Row],[SP]]&lt;2,0,IF(Eingabe[[#This Row],[GES]]&gt;Eingabe[[#This Row],[GEGGES]],1,IF(Eingabe[[#This Row],[GES]]=Eingabe[[#This Row],[GEGGES]],0.5,0)))))</f>
        <v>0</v>
      </c>
      <c r="AM53" s="6">
        <f>IF(Eingabe[[#This Row],[MP]]="","",MOD(ROW(Eingabe[[#This Row],[Position]])-3,6)+1)</f>
        <v>3</v>
      </c>
      <c r="AN53" s="6">
        <f>STANDARDIZE(Eingabe[[#This Row],[GES]],Eingabe[[#This Row],[Schnitt]],VLOOKUP(Eingabe[[#This Row],[Name]],AuswertungG[],21,FALSE))</f>
        <v>0.1111111111111111</v>
      </c>
      <c r="AO53" s="6">
        <f>VLOOKUP(Eingabe[[#This Row],[ID]],Chronologie[[ID]:[KW]],12,FALSE)</f>
        <v>16</v>
      </c>
      <c r="AP53" s="95" t="str">
        <f>IF(Eingabe[[#This Row],[Wo]]="H",Eingabe[[#This Row],[Gegner]]&amp;" ["&amp;Eingabe[[#This Row],[Wo]]&amp;"]",Eingabe[[#This Row],[Ort]])</f>
        <v>Treuen</v>
      </c>
      <c r="AQ53" s="6" t="str">
        <f>IFERROR(IF(Eingabe[[#This Row],[Wo]]="H",IF(MOD(Eingabe[[#This Row],[Position]],2)=1,Eingabe[[#This Row],[S1]],Eingabe[[#This Row],[S4]]),""),"")</f>
        <v/>
      </c>
      <c r="AR53" s="6" t="str">
        <f>IFERROR(IF(Eingabe[[#This Row],[Wo]]="H",IF(Eingabe[[#This Row],[S1]]&gt;0,IF(MOD(Eingabe[[#This Row],[Position]],2)=1,Eingabe[[#This Row],[S2]],Eingabe[[#This Row],[S3]]),""),""),"")</f>
        <v/>
      </c>
      <c r="AS53" s="6" t="str">
        <f>IFERROR(IF(Eingabe[[#This Row],[Wo]]="H",IF(Eingabe[[#This Row],[S1]]&gt;0,IF(MOD(ROW(Eingabe[[#This Row],[Heimbahn 3]]),2)=1,Eingabe[[#This Row],[S4]],Eingabe[[#This Row],[S1]]),""),""),"")</f>
        <v/>
      </c>
      <c r="AT53" s="6" t="str">
        <f>IFERROR(IF(Eingabe[[#This Row],[Wo]]="H",IF(Eingabe[[#This Row],[S1]]&gt;0,IF(MOD(ROW(Eingabe[[#This Row],[Heimbahn 4]]),2)=1,Eingabe[[#This Row],[S3]],Eingabe[[#This Row],[S2]]),""),""),"")</f>
        <v/>
      </c>
      <c r="AU53" s="22">
        <f>IF(Eingabe[[#This Row],[GES]]="","",IF(Eingabe[[#This Row],[Modus]]="L",_xlfn.RANK.EQ(Eingabe[[#This Row],[GES]],AF51:AF56),IF(Eingabe[[#This Row],[Modus]]="P",_xlfn.RANK.EQ(Eingabe[[#This Row],[GES]],AF51:AF56),"")))</f>
        <v>6</v>
      </c>
      <c r="AV53" s="6">
        <f>VLOOKUP(Eingabe[[#This Row],[Name]],AuswertungG[],8,FALSE)</f>
        <v>529</v>
      </c>
      <c r="AZ53" s="6">
        <f>IFERROR(ABS(Eingabe[[#This Row],[GES]]-Eingabe[[#This Row],[GEGGES]]),"")</f>
        <v>66</v>
      </c>
    </row>
    <row r="54" spans="1:52" ht="16.2" hidden="1" thickBot="1" x14ac:dyDescent="0.35">
      <c r="A54" s="441"/>
      <c r="B54" s="21">
        <f t="shared" si="0"/>
        <v>9</v>
      </c>
      <c r="C54" s="6" t="str">
        <f>VLOOKUP($B54,Chronologie[],7,TRUE)</f>
        <v>SV Rot-Weiß Treuen</v>
      </c>
      <c r="D54" s="6" t="str">
        <f>VLOOKUP($B54,Chronologie[],8,TRUE)</f>
        <v>Treuen</v>
      </c>
      <c r="E54" s="240" t="str">
        <f>VLOOKUP($B54,Chronologie[],9,TRUE)</f>
        <v>A</v>
      </c>
      <c r="F54" s="6" t="str">
        <f>VLOOKUP($B54,Chronologie[],COLUMN(F55)-2,TRUE)</f>
        <v>E</v>
      </c>
      <c r="G54" s="6" t="str">
        <f>VLOOKUP($B54,Chronologie[],COLUMN(G55)-2,TRUE)</f>
        <v>L</v>
      </c>
      <c r="H54" s="6">
        <f>VLOOKUP($B54,Chronologie[],COLUMN(H55)-2,TRUE)</f>
        <v>9</v>
      </c>
      <c r="I54" s="10" t="str">
        <f>VLOOKUP($B54,Chronologie[],2,TRUE)</f>
        <v>E-L-9</v>
      </c>
      <c r="J54" s="243">
        <f>VLOOKUP($B54,Chronologie[],3,TRUE)</f>
        <v>46004</v>
      </c>
      <c r="K54" s="238" t="s">
        <v>489</v>
      </c>
      <c r="L54" s="237">
        <v>99</v>
      </c>
      <c r="M54" s="237">
        <v>99</v>
      </c>
      <c r="N54" s="237">
        <v>103</v>
      </c>
      <c r="O54" s="237">
        <v>86</v>
      </c>
      <c r="P54" s="237">
        <v>52</v>
      </c>
      <c r="Q54" s="237">
        <v>53</v>
      </c>
      <c r="R54" s="237">
        <v>27</v>
      </c>
      <c r="S54" s="237">
        <v>60</v>
      </c>
      <c r="T54" s="237">
        <v>1</v>
      </c>
      <c r="U54" s="237">
        <v>3</v>
      </c>
      <c r="V54" s="237">
        <v>1</v>
      </c>
      <c r="W54" s="237">
        <v>0</v>
      </c>
      <c r="X54" s="38">
        <v>1</v>
      </c>
      <c r="Y54" s="38">
        <v>1</v>
      </c>
      <c r="Z54" s="38">
        <v>1</v>
      </c>
      <c r="AA54" s="38">
        <v>0</v>
      </c>
      <c r="AB54" s="91">
        <v>525</v>
      </c>
      <c r="AC54" s="94">
        <f>IF(Eingabe[[#This Row],[V1]]="",IF(Eingabe[[#This Row],[Volle alternativ]]="","",Eingabe[[#This Row],[Volle alternativ]]),SUM(Eingabe[[#This Row],[V1]:[V4]]))</f>
        <v>387</v>
      </c>
      <c r="AD54" s="6">
        <f>IF(Eingabe[[#This Row],[R1]]="",IF(Eingabe[[#This Row],[Räumer alternativ]]="","",Eingabe[[#This Row],[Räumer alternativ]]),SUM(Eingabe[[#This Row],[R1]:[R4]]))</f>
        <v>192</v>
      </c>
      <c r="AE54" s="6">
        <f>IF(Eingabe[[#This Row],[F1]]="",IF(Eingabe[[#This Row],[Fehler alternativ]]="","",Eingabe[[#This Row],[Fehler alternativ]]),SUM(Eingabe[[#This Row],[F1]:[F4]]))</f>
        <v>5</v>
      </c>
      <c r="AF54" s="6">
        <f>IF(Eingabe[[#This Row],[Volle]]="","",IF(Eingabe[[#This Row],[S1]]="",Eingabe[[#This Row],[Volle]]+Eingabe[[#This Row],[Räumer]],IF(Eingabe[[#This Row],[Volle]]+Eingabe[[#This Row],[Räumer]]=Eingabe[[#This Row],[S1]]+Eingabe[[#This Row],[S2]]+Eingabe[[#This Row],[S3]]+Eingabe[[#This Row],[S4]],Eingabe[[#This Row],[Volle]]+Eingabe[[#This Row],[Räumer]],"FEHLER")))</f>
        <v>579</v>
      </c>
      <c r="AG54" s="6">
        <f>IF(Eingabe[[#This Row],[V1]]="","",Eingabe[[#This Row],[V1]]+Eingabe[[#This Row],[R1]])</f>
        <v>151</v>
      </c>
      <c r="AH54" s="6">
        <f>IF(Eingabe[[#This Row],[V2]]="","",Eingabe[[#This Row],[V2]]+Eingabe[[#This Row],[R2]])</f>
        <v>152</v>
      </c>
      <c r="AI54" s="6">
        <f>IF(Eingabe[[#This Row],[V3]]="","",Eingabe[[#This Row],[V3]]+Eingabe[[#This Row],[R3]])</f>
        <v>130</v>
      </c>
      <c r="AJ54" s="6">
        <f>IF(Eingabe[[#This Row],[V4]]="","",Eingabe[[#This Row],[V4]]+Eingabe[[#This Row],[R4]])</f>
        <v>146</v>
      </c>
      <c r="AK54" s="6">
        <f>IF(Eingabe[[#This Row],[S1P]]="","",Eingabe[[#This Row],[S1P]]+Eingabe[[#This Row],[S2P]]+Eingabe[[#This Row],[S3P]]+Eingabe[[#This Row],[S4P]])</f>
        <v>3</v>
      </c>
      <c r="AL54" s="6">
        <f>IF(Eingabe[[#This Row],[S1P]]="","",IF(Eingabe[[#This Row],[SP]]&gt;2,1,IF(Eingabe[[#This Row],[SP]]&lt;2,0,IF(Eingabe[[#This Row],[GES]]&gt;Eingabe[[#This Row],[GEGGES]],1,IF(Eingabe[[#This Row],[GES]]=Eingabe[[#This Row],[GEGGES]],0.5,0)))))</f>
        <v>1</v>
      </c>
      <c r="AM54" s="6">
        <f>IF(Eingabe[[#This Row],[MP]]="","",MOD(ROW(Eingabe[[#This Row],[Position]])-3,6)+1)</f>
        <v>4</v>
      </c>
      <c r="AN54" s="6">
        <f>STANDARDIZE(Eingabe[[#This Row],[GES]],Eingabe[[#This Row],[Schnitt]],VLOOKUP(Eingabe[[#This Row],[Name]],AuswertungG[],21,FALSE))</f>
        <v>2.2083333333333335</v>
      </c>
      <c r="AO54" s="6">
        <f>VLOOKUP(Eingabe[[#This Row],[ID]],Chronologie[[ID]:[KW]],12,FALSE)</f>
        <v>16</v>
      </c>
      <c r="AP54" s="95" t="str">
        <f>IF(Eingabe[[#This Row],[Wo]]="H",Eingabe[[#This Row],[Gegner]]&amp;" ["&amp;Eingabe[[#This Row],[Wo]]&amp;"]",Eingabe[[#This Row],[Ort]])</f>
        <v>Treuen</v>
      </c>
      <c r="AQ54" s="6" t="str">
        <f>IFERROR(IF(Eingabe[[#This Row],[Wo]]="H",IF(MOD(Eingabe[[#This Row],[Position]],2)=1,Eingabe[[#This Row],[S1]],Eingabe[[#This Row],[S4]]),""),"")</f>
        <v/>
      </c>
      <c r="AR54" s="6" t="str">
        <f>IFERROR(IF(Eingabe[[#This Row],[Wo]]="H",IF(Eingabe[[#This Row],[S1]]&gt;0,IF(MOD(Eingabe[[#This Row],[Position]],2)=1,Eingabe[[#This Row],[S2]],Eingabe[[#This Row],[S3]]),""),""),"")</f>
        <v/>
      </c>
      <c r="AS54" s="6" t="str">
        <f>IFERROR(IF(Eingabe[[#This Row],[Wo]]="H",IF(Eingabe[[#This Row],[S1]]&gt;0,IF(MOD(ROW(Eingabe[[#This Row],[Heimbahn 3]]),2)=1,Eingabe[[#This Row],[S4]],Eingabe[[#This Row],[S1]]),""),""),"")</f>
        <v/>
      </c>
      <c r="AT54" s="6" t="str">
        <f>IFERROR(IF(Eingabe[[#This Row],[Wo]]="H",IF(Eingabe[[#This Row],[S1]]&gt;0,IF(MOD(ROW(Eingabe[[#This Row],[Heimbahn 4]]),2)=1,Eingabe[[#This Row],[S3]],Eingabe[[#This Row],[S2]]),""),""),"")</f>
        <v/>
      </c>
      <c r="AU54" s="22">
        <f>IF(Eingabe[[#This Row],[GES]]="","",IF(Eingabe[[#This Row],[Modus]]="L",_xlfn.RANK.EQ(Eingabe[[#This Row],[GES]],AF51:AF56),IF(Eingabe[[#This Row],[Modus]]="P",_xlfn.RANK.EQ(Eingabe[[#This Row],[GES]],AF51:AF56),"")))</f>
        <v>2</v>
      </c>
      <c r="AV54" s="6">
        <f>VLOOKUP(Eingabe[[#This Row],[Name]],AuswertungG[],8,FALSE)</f>
        <v>526</v>
      </c>
      <c r="AZ54" s="6">
        <f>IFERROR(ABS(Eingabe[[#This Row],[GES]]-Eingabe[[#This Row],[GEGGES]]),"")</f>
        <v>54</v>
      </c>
    </row>
    <row r="55" spans="1:52" ht="16.2" hidden="1" thickBot="1" x14ac:dyDescent="0.35">
      <c r="A55" s="441"/>
      <c r="B55" s="21">
        <f t="shared" si="0"/>
        <v>9</v>
      </c>
      <c r="C55" s="6" t="str">
        <f>VLOOKUP($B55,Chronologie[],7,TRUE)</f>
        <v>SV Rot-Weiß Treuen</v>
      </c>
      <c r="D55" s="6" t="str">
        <f>VLOOKUP($B55,Chronologie[],8,TRUE)</f>
        <v>Treuen</v>
      </c>
      <c r="E55" s="240" t="str">
        <f>VLOOKUP($B55,Chronologie[],9,TRUE)</f>
        <v>A</v>
      </c>
      <c r="F55" s="6" t="str">
        <f>VLOOKUP($B55,Chronologie[],COLUMN(F56)-2,TRUE)</f>
        <v>E</v>
      </c>
      <c r="G55" s="6" t="str">
        <f>VLOOKUP($B55,Chronologie[],COLUMN(G56)-2,TRUE)</f>
        <v>L</v>
      </c>
      <c r="H55" s="6">
        <f>VLOOKUP($B55,Chronologie[],COLUMN(H56)-2,TRUE)</f>
        <v>9</v>
      </c>
      <c r="I55" s="10" t="str">
        <f>VLOOKUP($B55,Chronologie[],2,TRUE)</f>
        <v>E-L-9</v>
      </c>
      <c r="J55" s="243">
        <f>VLOOKUP($B55,Chronologie[],3,TRUE)</f>
        <v>46004</v>
      </c>
      <c r="K55" s="237" t="s">
        <v>455</v>
      </c>
      <c r="L55" s="237">
        <v>90</v>
      </c>
      <c r="M55" s="237">
        <v>101</v>
      </c>
      <c r="N55" s="237">
        <v>86</v>
      </c>
      <c r="O55" s="237">
        <v>90</v>
      </c>
      <c r="P55" s="237">
        <v>61</v>
      </c>
      <c r="Q55" s="237">
        <v>53</v>
      </c>
      <c r="R55" s="237">
        <v>45</v>
      </c>
      <c r="S55" s="237">
        <v>52</v>
      </c>
      <c r="T55" s="237">
        <v>1</v>
      </c>
      <c r="U55" s="237">
        <v>0</v>
      </c>
      <c r="V55" s="237">
        <v>1</v>
      </c>
      <c r="W55" s="237">
        <v>1</v>
      </c>
      <c r="X55" s="38">
        <v>1</v>
      </c>
      <c r="Y55" s="38">
        <v>1</v>
      </c>
      <c r="Z55" s="38">
        <v>0</v>
      </c>
      <c r="AA55" s="38">
        <v>0</v>
      </c>
      <c r="AB55" s="91">
        <v>535</v>
      </c>
      <c r="AC55" s="94">
        <f>IF(Eingabe[[#This Row],[V1]]="",IF(Eingabe[[#This Row],[Volle alternativ]]="","",Eingabe[[#This Row],[Volle alternativ]]),SUM(Eingabe[[#This Row],[V1]:[V4]]))</f>
        <v>367</v>
      </c>
      <c r="AD55" s="6">
        <f>IF(Eingabe[[#This Row],[R1]]="",IF(Eingabe[[#This Row],[Räumer alternativ]]="","",Eingabe[[#This Row],[Räumer alternativ]]),SUM(Eingabe[[#This Row],[R1]:[R4]]))</f>
        <v>211</v>
      </c>
      <c r="AE55" s="6">
        <f>IF(Eingabe[[#This Row],[F1]]="",IF(Eingabe[[#This Row],[Fehler alternativ]]="","",Eingabe[[#This Row],[Fehler alternativ]]),SUM(Eingabe[[#This Row],[F1]:[F4]]))</f>
        <v>3</v>
      </c>
      <c r="AF55" s="6">
        <f>IF(Eingabe[[#This Row],[Volle]]="","",IF(Eingabe[[#This Row],[S1]]="",Eingabe[[#This Row],[Volle]]+Eingabe[[#This Row],[Räumer]],IF(Eingabe[[#This Row],[Volle]]+Eingabe[[#This Row],[Räumer]]=Eingabe[[#This Row],[S1]]+Eingabe[[#This Row],[S2]]+Eingabe[[#This Row],[S3]]+Eingabe[[#This Row],[S4]],Eingabe[[#This Row],[Volle]]+Eingabe[[#This Row],[Räumer]],"FEHLER")))</f>
        <v>578</v>
      </c>
      <c r="AG55" s="6">
        <f>IF(Eingabe[[#This Row],[V1]]="","",Eingabe[[#This Row],[V1]]+Eingabe[[#This Row],[R1]])</f>
        <v>151</v>
      </c>
      <c r="AH55" s="6">
        <f>IF(Eingabe[[#This Row],[V2]]="","",Eingabe[[#This Row],[V2]]+Eingabe[[#This Row],[R2]])</f>
        <v>154</v>
      </c>
      <c r="AI55" s="6">
        <f>IF(Eingabe[[#This Row],[V3]]="","",Eingabe[[#This Row],[V3]]+Eingabe[[#This Row],[R3]])</f>
        <v>131</v>
      </c>
      <c r="AJ55" s="6">
        <f>IF(Eingabe[[#This Row],[V4]]="","",Eingabe[[#This Row],[V4]]+Eingabe[[#This Row],[R4]])</f>
        <v>142</v>
      </c>
      <c r="AK55" s="6">
        <f>IF(Eingabe[[#This Row],[S1P]]="","",Eingabe[[#This Row],[S1P]]+Eingabe[[#This Row],[S2P]]+Eingabe[[#This Row],[S3P]]+Eingabe[[#This Row],[S4P]])</f>
        <v>2</v>
      </c>
      <c r="AL55" s="6">
        <f>IF(Eingabe[[#This Row],[S1P]]="","",IF(Eingabe[[#This Row],[SP]]&gt;2,1,IF(Eingabe[[#This Row],[SP]]&lt;2,0,IF(Eingabe[[#This Row],[GES]]&gt;Eingabe[[#This Row],[GEGGES]],1,IF(Eingabe[[#This Row],[GES]]=Eingabe[[#This Row],[GEGGES]],0.5,0)))))</f>
        <v>1</v>
      </c>
      <c r="AM55" s="6">
        <f>IF(Eingabe[[#This Row],[MP]]="","",MOD(ROW(Eingabe[[#This Row],[Position]])-3,6)+1)</f>
        <v>5</v>
      </c>
      <c r="AN55" s="6">
        <f>STANDARDIZE(Eingabe[[#This Row],[GES]],Eingabe[[#This Row],[Schnitt]],VLOOKUP(Eingabe[[#This Row],[Name]],AuswertungG[],21,FALSE))</f>
        <v>0.25641025641025639</v>
      </c>
      <c r="AO55" s="6">
        <f>VLOOKUP(Eingabe[[#This Row],[ID]],Chronologie[[ID]:[KW]],12,FALSE)</f>
        <v>16</v>
      </c>
      <c r="AP55" s="95" t="str">
        <f>IF(Eingabe[[#This Row],[Wo]]="H",Eingabe[[#This Row],[Gegner]]&amp;" ["&amp;Eingabe[[#This Row],[Wo]]&amp;"]",Eingabe[[#This Row],[Ort]])</f>
        <v>Treuen</v>
      </c>
      <c r="AQ55" s="6" t="str">
        <f>IFERROR(IF(Eingabe[[#This Row],[Wo]]="H",IF(MOD(Eingabe[[#This Row],[Position]],2)=1,Eingabe[[#This Row],[S1]],Eingabe[[#This Row],[S4]]),""),"")</f>
        <v/>
      </c>
      <c r="AR55" s="6" t="str">
        <f>IFERROR(IF(Eingabe[[#This Row],[Wo]]="H",IF(Eingabe[[#This Row],[S1]]&gt;0,IF(MOD(Eingabe[[#This Row],[Position]],2)=1,Eingabe[[#This Row],[S2]],Eingabe[[#This Row],[S3]]),""),""),"")</f>
        <v/>
      </c>
      <c r="AS55" s="6" t="str">
        <f>IFERROR(IF(Eingabe[[#This Row],[Wo]]="H",IF(Eingabe[[#This Row],[S1]]&gt;0,IF(MOD(ROW(Eingabe[[#This Row],[Heimbahn 3]]),2)=1,Eingabe[[#This Row],[S4]],Eingabe[[#This Row],[S1]]),""),""),"")</f>
        <v/>
      </c>
      <c r="AT55" s="6" t="str">
        <f>IFERROR(IF(Eingabe[[#This Row],[Wo]]="H",IF(Eingabe[[#This Row],[S1]]&gt;0,IF(MOD(ROW(Eingabe[[#This Row],[Heimbahn 4]]),2)=1,Eingabe[[#This Row],[S3]],Eingabe[[#This Row],[S2]]),""),""),"")</f>
        <v/>
      </c>
      <c r="AU55" s="22">
        <f>IF(Eingabe[[#This Row],[GES]]="","",IF(Eingabe[[#This Row],[Modus]]="L",_xlfn.RANK.EQ(Eingabe[[#This Row],[GES]],AF51:AF56),IF(Eingabe[[#This Row],[Modus]]="P",_xlfn.RANK.EQ(Eingabe[[#This Row],[GES]],AF51:AF56),"")))</f>
        <v>3</v>
      </c>
      <c r="AV55" s="6">
        <f>VLOOKUP(Eingabe[[#This Row],[Name]],AuswertungG[],8,FALSE)</f>
        <v>568</v>
      </c>
      <c r="AZ55" s="6">
        <f>IFERROR(ABS(Eingabe[[#This Row],[GES]]-Eingabe[[#This Row],[GEGGES]]),"")</f>
        <v>43</v>
      </c>
    </row>
    <row r="56" spans="1:52" ht="16.2" hidden="1" thickBot="1" x14ac:dyDescent="0.35">
      <c r="A56" s="442"/>
      <c r="B56" s="56">
        <f t="shared" si="0"/>
        <v>9</v>
      </c>
      <c r="C56" s="23" t="str">
        <f>VLOOKUP($B56,Chronologie[],7,TRUE)</f>
        <v>SV Rot-Weiß Treuen</v>
      </c>
      <c r="D56" s="23" t="str">
        <f>VLOOKUP($B56,Chronologie[],8,TRUE)</f>
        <v>Treuen</v>
      </c>
      <c r="E56" s="39" t="str">
        <f>VLOOKUP($B56,Chronologie[],9,TRUE)</f>
        <v>A</v>
      </c>
      <c r="F56" s="23" t="str">
        <f>VLOOKUP($B56,Chronologie[],COLUMN(F57)-2,TRUE)</f>
        <v>E</v>
      </c>
      <c r="G56" s="23" t="str">
        <f>VLOOKUP($B56,Chronologie[],COLUMN(G57)-2,TRUE)</f>
        <v>L</v>
      </c>
      <c r="H56" s="23">
        <f>VLOOKUP($B56,Chronologie[],COLUMN(H57)-2,TRUE)</f>
        <v>9</v>
      </c>
      <c r="I56" s="13" t="str">
        <f>VLOOKUP($B56,Chronologie[],2,TRUE)</f>
        <v>E-L-9</v>
      </c>
      <c r="J56" s="244">
        <f>VLOOKUP($B56,Chronologie[],3,TRUE)</f>
        <v>46004</v>
      </c>
      <c r="K56" s="239" t="s">
        <v>659</v>
      </c>
      <c r="L56" s="239">
        <v>91</v>
      </c>
      <c r="M56" s="239">
        <v>89</v>
      </c>
      <c r="N56" s="239">
        <v>101</v>
      </c>
      <c r="O56" s="239">
        <v>94</v>
      </c>
      <c r="P56" s="239">
        <v>61</v>
      </c>
      <c r="Q56" s="239">
        <v>27</v>
      </c>
      <c r="R56" s="239">
        <v>34</v>
      </c>
      <c r="S56" s="239">
        <v>45</v>
      </c>
      <c r="T56" s="239">
        <v>1</v>
      </c>
      <c r="U56" s="239">
        <v>3</v>
      </c>
      <c r="V56" s="239">
        <v>6</v>
      </c>
      <c r="W56" s="239">
        <v>2</v>
      </c>
      <c r="X56" s="40">
        <v>1</v>
      </c>
      <c r="Y56" s="40">
        <v>0</v>
      </c>
      <c r="Z56" s="40">
        <v>0</v>
      </c>
      <c r="AA56" s="40">
        <v>0</v>
      </c>
      <c r="AB56" s="92">
        <v>584</v>
      </c>
      <c r="AC56" s="96">
        <f>IF(Eingabe[[#This Row],[V1]]="",IF(Eingabe[[#This Row],[Volle alternativ]]="","",Eingabe[[#This Row],[Volle alternativ]]),SUM(Eingabe[[#This Row],[V1]:[V4]]))</f>
        <v>375</v>
      </c>
      <c r="AD56" s="23">
        <f>IF(Eingabe[[#This Row],[R1]]="",IF(Eingabe[[#This Row],[Räumer alternativ]]="","",Eingabe[[#This Row],[Räumer alternativ]]),SUM(Eingabe[[#This Row],[R1]:[R4]]))</f>
        <v>167</v>
      </c>
      <c r="AE56" s="23">
        <f>IF(Eingabe[[#This Row],[F1]]="",IF(Eingabe[[#This Row],[Fehler alternativ]]="","",Eingabe[[#This Row],[Fehler alternativ]]),SUM(Eingabe[[#This Row],[F1]:[F4]]))</f>
        <v>12</v>
      </c>
      <c r="AF56" s="23">
        <f>IF(Eingabe[[#This Row],[Volle]]="","",IF(Eingabe[[#This Row],[S1]]="",Eingabe[[#This Row],[Volle]]+Eingabe[[#This Row],[Räumer]],IF(Eingabe[[#This Row],[Volle]]+Eingabe[[#This Row],[Räumer]]=Eingabe[[#This Row],[S1]]+Eingabe[[#This Row],[S2]]+Eingabe[[#This Row],[S3]]+Eingabe[[#This Row],[S4]],Eingabe[[#This Row],[Volle]]+Eingabe[[#This Row],[Räumer]],"FEHLER")))</f>
        <v>542</v>
      </c>
      <c r="AG56" s="23">
        <f>IF(Eingabe[[#This Row],[V1]]="","",Eingabe[[#This Row],[V1]]+Eingabe[[#This Row],[R1]])</f>
        <v>152</v>
      </c>
      <c r="AH56" s="23">
        <f>IF(Eingabe[[#This Row],[V2]]="","",Eingabe[[#This Row],[V2]]+Eingabe[[#This Row],[R2]])</f>
        <v>116</v>
      </c>
      <c r="AI56" s="23">
        <f>IF(Eingabe[[#This Row],[V3]]="","",Eingabe[[#This Row],[V3]]+Eingabe[[#This Row],[R3]])</f>
        <v>135</v>
      </c>
      <c r="AJ56" s="23">
        <f>IF(Eingabe[[#This Row],[V4]]="","",Eingabe[[#This Row],[V4]]+Eingabe[[#This Row],[R4]])</f>
        <v>139</v>
      </c>
      <c r="AK56" s="23">
        <f>IF(Eingabe[[#This Row],[S1P]]="","",Eingabe[[#This Row],[S1P]]+Eingabe[[#This Row],[S2P]]+Eingabe[[#This Row],[S3P]]+Eingabe[[#This Row],[S4P]])</f>
        <v>1</v>
      </c>
      <c r="AL56" s="23">
        <f>IF(Eingabe[[#This Row],[S1P]]="","",IF(Eingabe[[#This Row],[SP]]&gt;2,1,IF(Eingabe[[#This Row],[SP]]&lt;2,0,IF(Eingabe[[#This Row],[GES]]&gt;Eingabe[[#This Row],[GEGGES]],1,IF(Eingabe[[#This Row],[GES]]=Eingabe[[#This Row],[GEGGES]],0.5,0)))))</f>
        <v>0</v>
      </c>
      <c r="AM56" s="23">
        <f>IF(Eingabe[[#This Row],[MP]]="","",MOD(ROW(Eingabe[[#This Row],[Position]])-3,6)+1)</f>
        <v>6</v>
      </c>
      <c r="AN56" s="23">
        <f>STANDARDIZE(Eingabe[[#This Row],[GES]],Eingabe[[#This Row],[Schnitt]],VLOOKUP(Eingabe[[#This Row],[Name]],AuswertungG[],21,FALSE))</f>
        <v>0.41666666666666669</v>
      </c>
      <c r="AO56" s="23">
        <f>VLOOKUP(Eingabe[[#This Row],[ID]],Chronologie[[ID]:[KW]],12,FALSE)</f>
        <v>16</v>
      </c>
      <c r="AP56" s="59" t="str">
        <f>IF(Eingabe[[#This Row],[Wo]]="H",Eingabe[[#This Row],[Gegner]]&amp;" ["&amp;Eingabe[[#This Row],[Wo]]&amp;"]",Eingabe[[#This Row],[Ort]])</f>
        <v>Treuen</v>
      </c>
      <c r="AQ56" s="23" t="str">
        <f>IFERROR(IF(Eingabe[[#This Row],[Wo]]="H",IF(MOD(Eingabe[[#This Row],[Position]],2)=1,Eingabe[[#This Row],[S1]],Eingabe[[#This Row],[S4]]),""),"")</f>
        <v/>
      </c>
      <c r="AR56" s="23" t="str">
        <f>IFERROR(IF(Eingabe[[#This Row],[Wo]]="H",IF(Eingabe[[#This Row],[S1]]&gt;0,IF(MOD(Eingabe[[#This Row],[Position]],2)=1,Eingabe[[#This Row],[S2]],Eingabe[[#This Row],[S3]]),""),""),"")</f>
        <v/>
      </c>
      <c r="AS56" s="23" t="str">
        <f>IFERROR(IF(Eingabe[[#This Row],[Wo]]="H",IF(Eingabe[[#This Row],[S1]]&gt;0,IF(MOD(ROW(Eingabe[[#This Row],[Heimbahn 3]]),2)=1,Eingabe[[#This Row],[S4]],Eingabe[[#This Row],[S1]]),""),""),"")</f>
        <v/>
      </c>
      <c r="AT56" s="23" t="str">
        <f>IFERROR(IF(Eingabe[[#This Row],[Wo]]="H",IF(Eingabe[[#This Row],[S1]]&gt;0,IF(MOD(ROW(Eingabe[[#This Row],[Heimbahn 4]]),2)=1,Eingabe[[#This Row],[S3]],Eingabe[[#This Row],[S2]]),""),""),"")</f>
        <v/>
      </c>
      <c r="AU56" s="89">
        <f>IF(Eingabe[[#This Row],[GES]]="","",IF(Eingabe[[#This Row],[Modus]]="L",_xlfn.RANK.EQ(Eingabe[[#This Row],[GES]],AF51:AF56),IF(Eingabe[[#This Row],[Modus]]="P",_xlfn.RANK.EQ(Eingabe[[#This Row],[GES]],AF51:AF56),"")))</f>
        <v>5</v>
      </c>
      <c r="AV56" s="6">
        <f>VLOOKUP(Eingabe[[#This Row],[Name]],AuswertungG[],8,FALSE)</f>
        <v>532</v>
      </c>
      <c r="AZ56" s="6">
        <f>IFERROR(ABS(Eingabe[[#This Row],[GES]]-Eingabe[[#This Row],[GEGGES]]),"")</f>
        <v>42</v>
      </c>
    </row>
    <row r="57" spans="1:52" ht="16.2" hidden="1" thickBot="1" x14ac:dyDescent="0.35">
      <c r="A57" s="440">
        <f t="shared" ref="A57" si="8">B57</f>
        <v>10</v>
      </c>
      <c r="B57" s="55">
        <f t="shared" si="0"/>
        <v>10</v>
      </c>
      <c r="C57" s="35" t="str">
        <f>VLOOKUP($B57,Chronologie[],7,TRUE)</f>
        <v>TSV 90 Zwickau II</v>
      </c>
      <c r="D57" s="35" t="str">
        <f>VLOOKUP($B57,Chronologie[],8,TRUE)</f>
        <v>Zwickau</v>
      </c>
      <c r="E57" s="36" t="str">
        <f>VLOOKUP($B57,Chronologie[],9,TRUE)</f>
        <v>A</v>
      </c>
      <c r="F57" s="35" t="str">
        <f>VLOOKUP($B57,Chronologie[],COLUMN(F58)-2,TRUE)</f>
        <v>E</v>
      </c>
      <c r="G57" s="35" t="str">
        <f>VLOOKUP($B57,Chronologie[],COLUMN(G58)-2,TRUE)</f>
        <v>L</v>
      </c>
      <c r="H57" s="35">
        <f>VLOOKUP($B57,Chronologie[],COLUMN(H58)-2,TRUE)</f>
        <v>10</v>
      </c>
      <c r="I57" s="9" t="str">
        <f>VLOOKUP($B57,Chronologie[],2,TRUE)</f>
        <v>E-L-10</v>
      </c>
      <c r="J57" s="242">
        <f>VLOOKUP($B57,Chronologie[],3,TRUE)</f>
        <v>46039</v>
      </c>
      <c r="K57" s="236" t="s">
        <v>658</v>
      </c>
      <c r="L57" s="334">
        <v>101</v>
      </c>
      <c r="M57" s="334">
        <v>102</v>
      </c>
      <c r="N57" s="334">
        <v>92</v>
      </c>
      <c r="O57" s="334">
        <v>83</v>
      </c>
      <c r="P57" s="334">
        <v>54</v>
      </c>
      <c r="Q57" s="334">
        <v>44</v>
      </c>
      <c r="R57" s="334">
        <v>53</v>
      </c>
      <c r="S57" s="334">
        <v>71</v>
      </c>
      <c r="T57" s="334">
        <v>0</v>
      </c>
      <c r="U57" s="334">
        <v>1</v>
      </c>
      <c r="V57" s="334">
        <v>1</v>
      </c>
      <c r="W57" s="334">
        <v>1</v>
      </c>
      <c r="X57" s="37">
        <v>1</v>
      </c>
      <c r="Y57" s="37">
        <v>1</v>
      </c>
      <c r="Z57" s="37">
        <v>0</v>
      </c>
      <c r="AA57" s="37">
        <v>1</v>
      </c>
      <c r="AB57" s="90">
        <v>531</v>
      </c>
      <c r="AC57" s="93">
        <f>IF(Eingabe[[#This Row],[V1]]="",IF(Eingabe[[#This Row],[Volle alternativ]]="","",Eingabe[[#This Row],[Volle alternativ]]),SUM(Eingabe[[#This Row],[V1]:[V4]]))</f>
        <v>378</v>
      </c>
      <c r="AD57" s="35">
        <f>IF(Eingabe[[#This Row],[R1]]="",IF(Eingabe[[#This Row],[Räumer alternativ]]="","",Eingabe[[#This Row],[Räumer alternativ]]),SUM(Eingabe[[#This Row],[R1]:[R4]]))</f>
        <v>222</v>
      </c>
      <c r="AE57" s="35">
        <f>IF(Eingabe[[#This Row],[F1]]="",IF(Eingabe[[#This Row],[Fehler alternativ]]="","",Eingabe[[#This Row],[Fehler alternativ]]),SUM(Eingabe[[#This Row],[F1]:[F4]]))</f>
        <v>3</v>
      </c>
      <c r="AF57" s="35">
        <f>IF(Eingabe[[#This Row],[Volle]]="","",IF(Eingabe[[#This Row],[S1]]="",Eingabe[[#This Row],[Volle]]+Eingabe[[#This Row],[Räumer]],IF(Eingabe[[#This Row],[Volle]]+Eingabe[[#This Row],[Räumer]]=Eingabe[[#This Row],[S1]]+Eingabe[[#This Row],[S2]]+Eingabe[[#This Row],[S3]]+Eingabe[[#This Row],[S4]],Eingabe[[#This Row],[Volle]]+Eingabe[[#This Row],[Räumer]],"FEHLER")))</f>
        <v>600</v>
      </c>
      <c r="AG57" s="35">
        <f>IF(Eingabe[[#This Row],[V1]]="","",Eingabe[[#This Row],[V1]]+Eingabe[[#This Row],[R1]])</f>
        <v>155</v>
      </c>
      <c r="AH57" s="35">
        <f>IF(Eingabe[[#This Row],[V2]]="","",Eingabe[[#This Row],[V2]]+Eingabe[[#This Row],[R2]])</f>
        <v>146</v>
      </c>
      <c r="AI57" s="35">
        <f>IF(Eingabe[[#This Row],[V3]]="","",Eingabe[[#This Row],[V3]]+Eingabe[[#This Row],[R3]])</f>
        <v>145</v>
      </c>
      <c r="AJ57" s="35">
        <f>IF(Eingabe[[#This Row],[V4]]="","",Eingabe[[#This Row],[V4]]+Eingabe[[#This Row],[R4]])</f>
        <v>154</v>
      </c>
      <c r="AK57" s="35">
        <f>IF(Eingabe[[#This Row],[S1P]]="","",Eingabe[[#This Row],[S1P]]+Eingabe[[#This Row],[S2P]]+Eingabe[[#This Row],[S3P]]+Eingabe[[#This Row],[S4P]])</f>
        <v>3</v>
      </c>
      <c r="AL57" s="35">
        <f>IF(Eingabe[[#This Row],[S1P]]="","",IF(Eingabe[[#This Row],[SP]]&gt;2,1,IF(Eingabe[[#This Row],[SP]]&lt;2,0,IF(Eingabe[[#This Row],[GES]]&gt;Eingabe[[#This Row],[GEGGES]],1,IF(Eingabe[[#This Row],[GES]]=Eingabe[[#This Row],[GEGGES]],0.5,0)))))</f>
        <v>1</v>
      </c>
      <c r="AM57" s="35">
        <f>IF(Eingabe[[#This Row],[MP]]="","",MOD(ROW(Eingabe[[#This Row],[Position]])-3,6)+1)</f>
        <v>1</v>
      </c>
      <c r="AN57" s="35">
        <f>STANDARDIZE(Eingabe[[#This Row],[GES]],Eingabe[[#This Row],[Schnitt]],VLOOKUP(Eingabe[[#This Row],[Name]],AuswertungG[],21,FALSE))</f>
        <v>1.4285714285714286</v>
      </c>
      <c r="AO57" s="35">
        <f>VLOOKUP(Eingabe[[#This Row],[ID]],Chronologie[[ID]:[KW]],12,FALSE)</f>
        <v>21</v>
      </c>
      <c r="AP57" s="58" t="str">
        <f>IF(Eingabe[[#This Row],[Wo]]="H",Eingabe[[#This Row],[Gegner]]&amp;" ["&amp;Eingabe[[#This Row],[Wo]]&amp;"]",Eingabe[[#This Row],[Ort]])</f>
        <v>Zwickau</v>
      </c>
      <c r="AQ57" s="35" t="str">
        <f>IFERROR(IF(Eingabe[[#This Row],[Wo]]="H",IF(MOD(Eingabe[[#This Row],[Position]],2)=1,Eingabe[[#This Row],[S1]],Eingabe[[#This Row],[S4]]),""),"")</f>
        <v/>
      </c>
      <c r="AR57" s="35" t="str">
        <f>IFERROR(IF(Eingabe[[#This Row],[Wo]]="H",IF(Eingabe[[#This Row],[S1]]&gt;0,IF(MOD(Eingabe[[#This Row],[Position]],2)=1,Eingabe[[#This Row],[S2]],Eingabe[[#This Row],[S3]]),""),""),"")</f>
        <v/>
      </c>
      <c r="AS57" s="35" t="str">
        <f>IFERROR(IF(Eingabe[[#This Row],[Wo]]="H",IF(Eingabe[[#This Row],[S1]]&gt;0,IF(MOD(ROW(Eingabe[[#This Row],[Heimbahn 3]]),2)=1,Eingabe[[#This Row],[S4]],Eingabe[[#This Row],[S1]]),""),""),"")</f>
        <v/>
      </c>
      <c r="AT57" s="35" t="str">
        <f>IFERROR(IF(Eingabe[[#This Row],[Wo]]="H",IF(Eingabe[[#This Row],[S1]]&gt;0,IF(MOD(ROW(Eingabe[[#This Row],[Heimbahn 4]]),2)=1,Eingabe[[#This Row],[S3]],Eingabe[[#This Row],[S2]]),""),""),"")</f>
        <v/>
      </c>
      <c r="AU57" s="88">
        <f>IF(Eingabe[[#This Row],[GES]]="","",IF(Eingabe[[#This Row],[Modus]]="L",_xlfn.RANK.EQ(Eingabe[[#This Row],[GES]],AF57:AF62),IF(Eingabe[[#This Row],[Modus]]="P",_xlfn.RANK.EQ(Eingabe[[#This Row],[GES]],AF57:AF62),"")))</f>
        <v>1</v>
      </c>
      <c r="AV57" s="6">
        <f>VLOOKUP(Eingabe[[#This Row],[Name]],AuswertungG[],8,FALSE)</f>
        <v>550</v>
      </c>
      <c r="AZ57" s="6">
        <f>IFERROR(ABS(Eingabe[[#This Row],[GES]]-Eingabe[[#This Row],[GEGGES]]),"")</f>
        <v>69</v>
      </c>
    </row>
    <row r="58" spans="1:52" ht="16.2" hidden="1" thickBot="1" x14ac:dyDescent="0.35">
      <c r="A58" s="441"/>
      <c r="B58" s="21">
        <f t="shared" si="0"/>
        <v>10</v>
      </c>
      <c r="C58" s="6" t="str">
        <f>VLOOKUP($B58,Chronologie[],7,TRUE)</f>
        <v>TSV 90 Zwickau II</v>
      </c>
      <c r="D58" s="6" t="str">
        <f>VLOOKUP($B58,Chronologie[],8,TRUE)</f>
        <v>Zwickau</v>
      </c>
      <c r="E58" s="240" t="str">
        <f>VLOOKUP($B58,Chronologie[],9,TRUE)</f>
        <v>A</v>
      </c>
      <c r="F58" s="6" t="str">
        <f>VLOOKUP($B58,Chronologie[],COLUMN(F59)-2,TRUE)</f>
        <v>E</v>
      </c>
      <c r="G58" s="6" t="str">
        <f>VLOOKUP($B58,Chronologie[],COLUMN(G59)-2,TRUE)</f>
        <v>L</v>
      </c>
      <c r="H58" s="6">
        <f>VLOOKUP($B58,Chronologie[],COLUMN(H59)-2,TRUE)</f>
        <v>10</v>
      </c>
      <c r="I58" s="10" t="str">
        <f>VLOOKUP($B58,Chronologie[],2,TRUE)</f>
        <v>E-L-10</v>
      </c>
      <c r="J58" s="243">
        <f>VLOOKUP($B58,Chronologie[],3,TRUE)</f>
        <v>46039</v>
      </c>
      <c r="K58" s="237" t="s">
        <v>660</v>
      </c>
      <c r="L58" s="237">
        <v>88</v>
      </c>
      <c r="M58" s="237">
        <v>95</v>
      </c>
      <c r="N58" s="237">
        <v>90</v>
      </c>
      <c r="O58" s="237">
        <v>94</v>
      </c>
      <c r="P58" s="237">
        <v>52</v>
      </c>
      <c r="Q58" s="237">
        <v>50</v>
      </c>
      <c r="R58" s="237">
        <v>42</v>
      </c>
      <c r="S58" s="237">
        <v>42</v>
      </c>
      <c r="T58" s="237">
        <v>0</v>
      </c>
      <c r="U58" s="237">
        <v>2</v>
      </c>
      <c r="V58" s="237">
        <v>2</v>
      </c>
      <c r="W58" s="237">
        <v>2</v>
      </c>
      <c r="X58" s="38">
        <v>0</v>
      </c>
      <c r="Y58" s="38">
        <v>1</v>
      </c>
      <c r="Z58" s="38">
        <v>0</v>
      </c>
      <c r="AA58" s="38">
        <v>0</v>
      </c>
      <c r="AB58" s="91">
        <v>591</v>
      </c>
      <c r="AC58" s="94">
        <f>IF(Eingabe[[#This Row],[V1]]="",IF(Eingabe[[#This Row],[Volle alternativ]]="","",Eingabe[[#This Row],[Volle alternativ]]),SUM(Eingabe[[#This Row],[V1]:[V4]]))</f>
        <v>367</v>
      </c>
      <c r="AD58" s="6">
        <f>IF(Eingabe[[#This Row],[R1]]="",IF(Eingabe[[#This Row],[Räumer alternativ]]="","",Eingabe[[#This Row],[Räumer alternativ]]),SUM(Eingabe[[#This Row],[R1]:[R4]]))</f>
        <v>186</v>
      </c>
      <c r="AE58" s="6">
        <f>IF(Eingabe[[#This Row],[F1]]="",IF(Eingabe[[#This Row],[Fehler alternativ]]="","",Eingabe[[#This Row],[Fehler alternativ]]),SUM(Eingabe[[#This Row],[F1]:[F4]]))</f>
        <v>6</v>
      </c>
      <c r="AF58" s="6">
        <f>IF(Eingabe[[#This Row],[Volle]]="","",IF(Eingabe[[#This Row],[S1]]="",Eingabe[[#This Row],[Volle]]+Eingabe[[#This Row],[Räumer]],IF(Eingabe[[#This Row],[Volle]]+Eingabe[[#This Row],[Räumer]]=Eingabe[[#This Row],[S1]]+Eingabe[[#This Row],[S2]]+Eingabe[[#This Row],[S3]]+Eingabe[[#This Row],[S4]],Eingabe[[#This Row],[Volle]]+Eingabe[[#This Row],[Räumer]],"FEHLER")))</f>
        <v>553</v>
      </c>
      <c r="AG58" s="6">
        <f>IF(Eingabe[[#This Row],[V1]]="","",Eingabe[[#This Row],[V1]]+Eingabe[[#This Row],[R1]])</f>
        <v>140</v>
      </c>
      <c r="AH58" s="6">
        <f>IF(Eingabe[[#This Row],[V2]]="","",Eingabe[[#This Row],[V2]]+Eingabe[[#This Row],[R2]])</f>
        <v>145</v>
      </c>
      <c r="AI58" s="6">
        <f>IF(Eingabe[[#This Row],[V3]]="","",Eingabe[[#This Row],[V3]]+Eingabe[[#This Row],[R3]])</f>
        <v>132</v>
      </c>
      <c r="AJ58" s="6">
        <f>IF(Eingabe[[#This Row],[V4]]="","",Eingabe[[#This Row],[V4]]+Eingabe[[#This Row],[R4]])</f>
        <v>136</v>
      </c>
      <c r="AK58" s="6">
        <f>IF(Eingabe[[#This Row],[S1P]]="","",Eingabe[[#This Row],[S1P]]+Eingabe[[#This Row],[S2P]]+Eingabe[[#This Row],[S3P]]+Eingabe[[#This Row],[S4P]])</f>
        <v>1</v>
      </c>
      <c r="AL58" s="6">
        <f>IF(Eingabe[[#This Row],[S1P]]="","",IF(Eingabe[[#This Row],[SP]]&gt;2,1,IF(Eingabe[[#This Row],[SP]]&lt;2,0,IF(Eingabe[[#This Row],[GES]]&gt;Eingabe[[#This Row],[GEGGES]],1,IF(Eingabe[[#This Row],[GES]]=Eingabe[[#This Row],[GEGGES]],0.5,0)))))</f>
        <v>0</v>
      </c>
      <c r="AM58" s="6">
        <f>IF(Eingabe[[#This Row],[MP]]="","",MOD(ROW(Eingabe[[#This Row],[Position]])-3,6)+1)</f>
        <v>2</v>
      </c>
      <c r="AN58" s="6">
        <f>STANDARDIZE(Eingabe[[#This Row],[GES]],Eingabe[[#This Row],[Schnitt]],VLOOKUP(Eingabe[[#This Row],[Name]],AuswertungG[],21,FALSE))</f>
        <v>1.4516129032258065</v>
      </c>
      <c r="AO58" s="6">
        <f>VLOOKUP(Eingabe[[#This Row],[ID]],Chronologie[[ID]:[KW]],12,FALSE)</f>
        <v>21</v>
      </c>
      <c r="AP58" s="95" t="str">
        <f>IF(Eingabe[[#This Row],[Wo]]="H",Eingabe[[#This Row],[Gegner]]&amp;" ["&amp;Eingabe[[#This Row],[Wo]]&amp;"]",Eingabe[[#This Row],[Ort]])</f>
        <v>Zwickau</v>
      </c>
      <c r="AQ58" s="6" t="str">
        <f>IFERROR(IF(Eingabe[[#This Row],[Wo]]="H",IF(MOD(Eingabe[[#This Row],[Position]],2)=1,Eingabe[[#This Row],[S1]],Eingabe[[#This Row],[S4]]),""),"")</f>
        <v/>
      </c>
      <c r="AR58" s="6" t="str">
        <f>IFERROR(IF(Eingabe[[#This Row],[Wo]]="H",IF(Eingabe[[#This Row],[S1]]&gt;0,IF(MOD(Eingabe[[#This Row],[Position]],2)=1,Eingabe[[#This Row],[S2]],Eingabe[[#This Row],[S3]]),""),""),"")</f>
        <v/>
      </c>
      <c r="AS58" s="6" t="str">
        <f>IFERROR(IF(Eingabe[[#This Row],[Wo]]="H",IF(Eingabe[[#This Row],[S1]]&gt;0,IF(MOD(ROW(Eingabe[[#This Row],[Heimbahn 3]]),2)=1,Eingabe[[#This Row],[S4]],Eingabe[[#This Row],[S1]]),""),""),"")</f>
        <v/>
      </c>
      <c r="AT58" s="6" t="str">
        <f>IFERROR(IF(Eingabe[[#This Row],[Wo]]="H",IF(Eingabe[[#This Row],[S1]]&gt;0,IF(MOD(ROW(Eingabe[[#This Row],[Heimbahn 4]]),2)=1,Eingabe[[#This Row],[S3]],Eingabe[[#This Row],[S2]]),""),""),"")</f>
        <v/>
      </c>
      <c r="AU58" s="22">
        <f>IF(Eingabe[[#This Row],[GES]]="","",IF(Eingabe[[#This Row],[Modus]]="L",_xlfn.RANK.EQ(Eingabe[[#This Row],[GES]],AF57:AF62),IF(Eingabe[[#This Row],[Modus]]="P",_xlfn.RANK.EQ(Eingabe[[#This Row],[GES]],AF57:AF62),"")))</f>
        <v>5</v>
      </c>
      <c r="AV58" s="6">
        <f>VLOOKUP(Eingabe[[#This Row],[Name]],AuswertungG[],8,FALSE)</f>
        <v>508</v>
      </c>
      <c r="AZ58" s="6">
        <f>IFERROR(ABS(Eingabe[[#This Row],[GES]]-Eingabe[[#This Row],[GEGGES]]),"")</f>
        <v>38</v>
      </c>
    </row>
    <row r="59" spans="1:52" ht="16.2" hidden="1" thickBot="1" x14ac:dyDescent="0.35">
      <c r="A59" s="441"/>
      <c r="B59" s="21">
        <f t="shared" si="0"/>
        <v>10</v>
      </c>
      <c r="C59" s="6" t="str">
        <f>VLOOKUP($B59,Chronologie[],7,TRUE)</f>
        <v>TSV 90 Zwickau II</v>
      </c>
      <c r="D59" s="6" t="str">
        <f>VLOOKUP($B59,Chronologie[],8,TRUE)</f>
        <v>Zwickau</v>
      </c>
      <c r="E59" s="240" t="str">
        <f>VLOOKUP($B59,Chronologie[],9,TRUE)</f>
        <v>A</v>
      </c>
      <c r="F59" s="6" t="str">
        <f>VLOOKUP($B59,Chronologie[],COLUMN(F60)-2,TRUE)</f>
        <v>E</v>
      </c>
      <c r="G59" s="6" t="str">
        <f>VLOOKUP($B59,Chronologie[],COLUMN(G60)-2,TRUE)</f>
        <v>L</v>
      </c>
      <c r="H59" s="6">
        <f>VLOOKUP($B59,Chronologie[],COLUMN(H60)-2,TRUE)</f>
        <v>10</v>
      </c>
      <c r="I59" s="10" t="str">
        <f>VLOOKUP($B59,Chronologie[],2,TRUE)</f>
        <v>E-L-10</v>
      </c>
      <c r="J59" s="243">
        <f>VLOOKUP($B59,Chronologie[],3,TRUE)</f>
        <v>46039</v>
      </c>
      <c r="K59" s="237" t="s">
        <v>469</v>
      </c>
      <c r="L59" s="237">
        <v>92</v>
      </c>
      <c r="M59" s="237">
        <v>84</v>
      </c>
      <c r="N59" s="237">
        <v>81</v>
      </c>
      <c r="O59" s="237">
        <v>97</v>
      </c>
      <c r="P59" s="237">
        <v>24</v>
      </c>
      <c r="Q59" s="237">
        <v>63</v>
      </c>
      <c r="R59" s="237">
        <v>49</v>
      </c>
      <c r="S59" s="237">
        <v>70</v>
      </c>
      <c r="T59" s="237">
        <v>5</v>
      </c>
      <c r="U59" s="237">
        <v>1</v>
      </c>
      <c r="V59" s="237">
        <v>2</v>
      </c>
      <c r="W59" s="237">
        <v>0</v>
      </c>
      <c r="X59" s="38">
        <v>0</v>
      </c>
      <c r="Y59" s="38">
        <v>1</v>
      </c>
      <c r="Z59" s="38">
        <v>0</v>
      </c>
      <c r="AA59" s="38">
        <v>1</v>
      </c>
      <c r="AB59" s="91">
        <v>575</v>
      </c>
      <c r="AC59" s="94">
        <f>IF(Eingabe[[#This Row],[V1]]="",IF(Eingabe[[#This Row],[Volle alternativ]]="","",Eingabe[[#This Row],[Volle alternativ]]),SUM(Eingabe[[#This Row],[V1]:[V4]]))</f>
        <v>354</v>
      </c>
      <c r="AD59" s="6">
        <f>IF(Eingabe[[#This Row],[R1]]="",IF(Eingabe[[#This Row],[Räumer alternativ]]="","",Eingabe[[#This Row],[Räumer alternativ]]),SUM(Eingabe[[#This Row],[R1]:[R4]]))</f>
        <v>206</v>
      </c>
      <c r="AE59" s="6">
        <f>IF(Eingabe[[#This Row],[F1]]="",IF(Eingabe[[#This Row],[Fehler alternativ]]="","",Eingabe[[#This Row],[Fehler alternativ]]),SUM(Eingabe[[#This Row],[F1]:[F4]]))</f>
        <v>8</v>
      </c>
      <c r="AF59" s="6">
        <f>IF(Eingabe[[#This Row],[Volle]]="","",IF(Eingabe[[#This Row],[S1]]="",Eingabe[[#This Row],[Volle]]+Eingabe[[#This Row],[Räumer]],IF(Eingabe[[#This Row],[Volle]]+Eingabe[[#This Row],[Räumer]]=Eingabe[[#This Row],[S1]]+Eingabe[[#This Row],[S2]]+Eingabe[[#This Row],[S3]]+Eingabe[[#This Row],[S4]],Eingabe[[#This Row],[Volle]]+Eingabe[[#This Row],[Räumer]],"FEHLER")))</f>
        <v>560</v>
      </c>
      <c r="AG59" s="6">
        <f>IF(Eingabe[[#This Row],[V1]]="","",Eingabe[[#This Row],[V1]]+Eingabe[[#This Row],[R1]])</f>
        <v>116</v>
      </c>
      <c r="AH59" s="6">
        <f>IF(Eingabe[[#This Row],[V2]]="","",Eingabe[[#This Row],[V2]]+Eingabe[[#This Row],[R2]])</f>
        <v>147</v>
      </c>
      <c r="AI59" s="6">
        <f>IF(Eingabe[[#This Row],[V3]]="","",Eingabe[[#This Row],[V3]]+Eingabe[[#This Row],[R3]])</f>
        <v>130</v>
      </c>
      <c r="AJ59" s="6">
        <f>IF(Eingabe[[#This Row],[V4]]="","",Eingabe[[#This Row],[V4]]+Eingabe[[#This Row],[R4]])</f>
        <v>167</v>
      </c>
      <c r="AK59" s="6">
        <f>IF(Eingabe[[#This Row],[S1P]]="","",Eingabe[[#This Row],[S1P]]+Eingabe[[#This Row],[S2P]]+Eingabe[[#This Row],[S3P]]+Eingabe[[#This Row],[S4P]])</f>
        <v>2</v>
      </c>
      <c r="AL59" s="6">
        <f>IF(Eingabe[[#This Row],[S1P]]="","",IF(Eingabe[[#This Row],[SP]]&gt;2,1,IF(Eingabe[[#This Row],[SP]]&lt;2,0,IF(Eingabe[[#This Row],[GES]]&gt;Eingabe[[#This Row],[GEGGES]],1,IF(Eingabe[[#This Row],[GES]]=Eingabe[[#This Row],[GEGGES]],0.5,0)))))</f>
        <v>0</v>
      </c>
      <c r="AM59" s="6">
        <f>IF(Eingabe[[#This Row],[MP]]="","",MOD(ROW(Eingabe[[#This Row],[Position]])-3,6)+1)</f>
        <v>3</v>
      </c>
      <c r="AN59" s="6">
        <f>STANDARDIZE(Eingabe[[#This Row],[GES]],Eingabe[[#This Row],[Schnitt]],VLOOKUP(Eingabe[[#This Row],[Name]],AuswertungG[],21,FALSE))</f>
        <v>1.4545454545454546</v>
      </c>
      <c r="AO59" s="6">
        <f>VLOOKUP(Eingabe[[#This Row],[ID]],Chronologie[[ID]:[KW]],12,FALSE)</f>
        <v>21</v>
      </c>
      <c r="AP59" s="95" t="str">
        <f>IF(Eingabe[[#This Row],[Wo]]="H",Eingabe[[#This Row],[Gegner]]&amp;" ["&amp;Eingabe[[#This Row],[Wo]]&amp;"]",Eingabe[[#This Row],[Ort]])</f>
        <v>Zwickau</v>
      </c>
      <c r="AQ59" s="6" t="str">
        <f>IFERROR(IF(Eingabe[[#This Row],[Wo]]="H",IF(MOD(Eingabe[[#This Row],[Position]],2)=1,Eingabe[[#This Row],[S1]],Eingabe[[#This Row],[S4]]),""),"")</f>
        <v/>
      </c>
      <c r="AR59" s="6" t="str">
        <f>IFERROR(IF(Eingabe[[#This Row],[Wo]]="H",IF(Eingabe[[#This Row],[S1]]&gt;0,IF(MOD(Eingabe[[#This Row],[Position]],2)=1,Eingabe[[#This Row],[S2]],Eingabe[[#This Row],[S3]]),""),""),"")</f>
        <v/>
      </c>
      <c r="AS59" s="6" t="str">
        <f>IFERROR(IF(Eingabe[[#This Row],[Wo]]="H",IF(Eingabe[[#This Row],[S1]]&gt;0,IF(MOD(ROW(Eingabe[[#This Row],[Heimbahn 3]]),2)=1,Eingabe[[#This Row],[S4]],Eingabe[[#This Row],[S1]]),""),""),"")</f>
        <v/>
      </c>
      <c r="AT59" s="6" t="str">
        <f>IFERROR(IF(Eingabe[[#This Row],[Wo]]="H",IF(Eingabe[[#This Row],[S1]]&gt;0,IF(MOD(ROW(Eingabe[[#This Row],[Heimbahn 4]]),2)=1,Eingabe[[#This Row],[S3]],Eingabe[[#This Row],[S2]]),""),""),"")</f>
        <v/>
      </c>
      <c r="AU59" s="22">
        <f>IF(Eingabe[[#This Row],[GES]]="","",IF(Eingabe[[#This Row],[Modus]]="L",_xlfn.RANK.EQ(Eingabe[[#This Row],[GES]],AF57:AF62),IF(Eingabe[[#This Row],[Modus]]="P",_xlfn.RANK.EQ(Eingabe[[#This Row],[GES]],AF57:AF62),"")))</f>
        <v>3</v>
      </c>
      <c r="AV59" s="6">
        <f>VLOOKUP(Eingabe[[#This Row],[Name]],AuswertungG[],8,FALSE)</f>
        <v>528</v>
      </c>
      <c r="AZ59" s="6">
        <f>IFERROR(ABS(Eingabe[[#This Row],[GES]]-Eingabe[[#This Row],[GEGGES]]),"")</f>
        <v>15</v>
      </c>
    </row>
    <row r="60" spans="1:52" ht="16.2" hidden="1" thickBot="1" x14ac:dyDescent="0.35">
      <c r="A60" s="441"/>
      <c r="B60" s="21">
        <f t="shared" si="0"/>
        <v>10</v>
      </c>
      <c r="C60" s="6" t="str">
        <f>VLOOKUP($B60,Chronologie[],7,TRUE)</f>
        <v>TSV 90 Zwickau II</v>
      </c>
      <c r="D60" s="6" t="str">
        <f>VLOOKUP($B60,Chronologie[],8,TRUE)</f>
        <v>Zwickau</v>
      </c>
      <c r="E60" s="240" t="str">
        <f>VLOOKUP($B60,Chronologie[],9,TRUE)</f>
        <v>A</v>
      </c>
      <c r="F60" s="6" t="str">
        <f>VLOOKUP($B60,Chronologie[],COLUMN(F61)-2,TRUE)</f>
        <v>E</v>
      </c>
      <c r="G60" s="6" t="str">
        <f>VLOOKUP($B60,Chronologie[],COLUMN(G61)-2,TRUE)</f>
        <v>L</v>
      </c>
      <c r="H60" s="6">
        <f>VLOOKUP($B60,Chronologie[],COLUMN(H61)-2,TRUE)</f>
        <v>10</v>
      </c>
      <c r="I60" s="10" t="str">
        <f>VLOOKUP($B60,Chronologie[],2,TRUE)</f>
        <v>E-L-10</v>
      </c>
      <c r="J60" s="243">
        <f>VLOOKUP($B60,Chronologie[],3,TRUE)</f>
        <v>46039</v>
      </c>
      <c r="K60" s="238" t="s">
        <v>489</v>
      </c>
      <c r="L60" s="237">
        <v>96</v>
      </c>
      <c r="M60" s="237">
        <v>96</v>
      </c>
      <c r="N60" s="237">
        <v>89</v>
      </c>
      <c r="O60" s="237">
        <v>97</v>
      </c>
      <c r="P60" s="237">
        <v>35</v>
      </c>
      <c r="Q60" s="237">
        <v>49</v>
      </c>
      <c r="R60" s="237">
        <v>53</v>
      </c>
      <c r="S60" s="237">
        <v>43</v>
      </c>
      <c r="T60" s="237">
        <v>2</v>
      </c>
      <c r="U60" s="237">
        <v>3</v>
      </c>
      <c r="V60" s="237">
        <v>1</v>
      </c>
      <c r="W60" s="237">
        <v>2</v>
      </c>
      <c r="X60" s="38">
        <v>0</v>
      </c>
      <c r="Y60" s="38">
        <v>1</v>
      </c>
      <c r="Z60" s="38">
        <v>0</v>
      </c>
      <c r="AA60" s="38">
        <v>1</v>
      </c>
      <c r="AB60" s="91">
        <v>559</v>
      </c>
      <c r="AC60" s="94">
        <f>IF(Eingabe[[#This Row],[V1]]="",IF(Eingabe[[#This Row],[Volle alternativ]]="","",Eingabe[[#This Row],[Volle alternativ]]),SUM(Eingabe[[#This Row],[V1]:[V4]]))</f>
        <v>378</v>
      </c>
      <c r="AD60" s="6">
        <f>IF(Eingabe[[#This Row],[R1]]="",IF(Eingabe[[#This Row],[Räumer alternativ]]="","",Eingabe[[#This Row],[Räumer alternativ]]),SUM(Eingabe[[#This Row],[R1]:[R4]]))</f>
        <v>180</v>
      </c>
      <c r="AE60" s="6">
        <f>IF(Eingabe[[#This Row],[F1]]="",IF(Eingabe[[#This Row],[Fehler alternativ]]="","",Eingabe[[#This Row],[Fehler alternativ]]),SUM(Eingabe[[#This Row],[F1]:[F4]]))</f>
        <v>8</v>
      </c>
      <c r="AF60" s="6">
        <f>IF(Eingabe[[#This Row],[Volle]]="","",IF(Eingabe[[#This Row],[S1]]="",Eingabe[[#This Row],[Volle]]+Eingabe[[#This Row],[Räumer]],IF(Eingabe[[#This Row],[Volle]]+Eingabe[[#This Row],[Räumer]]=Eingabe[[#This Row],[S1]]+Eingabe[[#This Row],[S2]]+Eingabe[[#This Row],[S3]]+Eingabe[[#This Row],[S4]],Eingabe[[#This Row],[Volle]]+Eingabe[[#This Row],[Räumer]],"FEHLER")))</f>
        <v>558</v>
      </c>
      <c r="AG60" s="6">
        <f>IF(Eingabe[[#This Row],[V1]]="","",Eingabe[[#This Row],[V1]]+Eingabe[[#This Row],[R1]])</f>
        <v>131</v>
      </c>
      <c r="AH60" s="6">
        <f>IF(Eingabe[[#This Row],[V2]]="","",Eingabe[[#This Row],[V2]]+Eingabe[[#This Row],[R2]])</f>
        <v>145</v>
      </c>
      <c r="AI60" s="6">
        <f>IF(Eingabe[[#This Row],[V3]]="","",Eingabe[[#This Row],[V3]]+Eingabe[[#This Row],[R3]])</f>
        <v>142</v>
      </c>
      <c r="AJ60" s="6">
        <f>IF(Eingabe[[#This Row],[V4]]="","",Eingabe[[#This Row],[V4]]+Eingabe[[#This Row],[R4]])</f>
        <v>140</v>
      </c>
      <c r="AK60" s="6">
        <f>IF(Eingabe[[#This Row],[S1P]]="","",Eingabe[[#This Row],[S1P]]+Eingabe[[#This Row],[S2P]]+Eingabe[[#This Row],[S3P]]+Eingabe[[#This Row],[S4P]])</f>
        <v>2</v>
      </c>
      <c r="AL60" s="6">
        <f>IF(Eingabe[[#This Row],[S1P]]="","",IF(Eingabe[[#This Row],[SP]]&gt;2,1,IF(Eingabe[[#This Row],[SP]]&lt;2,0,IF(Eingabe[[#This Row],[GES]]&gt;Eingabe[[#This Row],[GEGGES]],1,IF(Eingabe[[#This Row],[GES]]=Eingabe[[#This Row],[GEGGES]],0.5,0)))))</f>
        <v>0</v>
      </c>
      <c r="AM60" s="6">
        <f>IF(Eingabe[[#This Row],[MP]]="","",MOD(ROW(Eingabe[[#This Row],[Position]])-3,6)+1)</f>
        <v>4</v>
      </c>
      <c r="AN60" s="6">
        <f>STANDARDIZE(Eingabe[[#This Row],[GES]],Eingabe[[#This Row],[Schnitt]],VLOOKUP(Eingabe[[#This Row],[Name]],AuswertungG[],21,FALSE))</f>
        <v>1.3333333333333333</v>
      </c>
      <c r="AO60" s="6">
        <f>VLOOKUP(Eingabe[[#This Row],[ID]],Chronologie[[ID]:[KW]],12,FALSE)</f>
        <v>21</v>
      </c>
      <c r="AP60" s="95" t="str">
        <f>IF(Eingabe[[#This Row],[Wo]]="H",Eingabe[[#This Row],[Gegner]]&amp;" ["&amp;Eingabe[[#This Row],[Wo]]&amp;"]",Eingabe[[#This Row],[Ort]])</f>
        <v>Zwickau</v>
      </c>
      <c r="AQ60" s="6" t="str">
        <f>IFERROR(IF(Eingabe[[#This Row],[Wo]]="H",IF(MOD(Eingabe[[#This Row],[Position]],2)=1,Eingabe[[#This Row],[S1]],Eingabe[[#This Row],[S4]]),""),"")</f>
        <v/>
      </c>
      <c r="AR60" s="6" t="str">
        <f>IFERROR(IF(Eingabe[[#This Row],[Wo]]="H",IF(Eingabe[[#This Row],[S1]]&gt;0,IF(MOD(Eingabe[[#This Row],[Position]],2)=1,Eingabe[[#This Row],[S2]],Eingabe[[#This Row],[S3]]),""),""),"")</f>
        <v/>
      </c>
      <c r="AS60" s="6" t="str">
        <f>IFERROR(IF(Eingabe[[#This Row],[Wo]]="H",IF(Eingabe[[#This Row],[S1]]&gt;0,IF(MOD(ROW(Eingabe[[#This Row],[Heimbahn 3]]),2)=1,Eingabe[[#This Row],[S4]],Eingabe[[#This Row],[S1]]),""),""),"")</f>
        <v/>
      </c>
      <c r="AT60" s="6" t="str">
        <f>IFERROR(IF(Eingabe[[#This Row],[Wo]]="H",IF(Eingabe[[#This Row],[S1]]&gt;0,IF(MOD(ROW(Eingabe[[#This Row],[Heimbahn 4]]),2)=1,Eingabe[[#This Row],[S3]],Eingabe[[#This Row],[S2]]),""),""),"")</f>
        <v/>
      </c>
      <c r="AU60" s="22">
        <f>IF(Eingabe[[#This Row],[GES]]="","",IF(Eingabe[[#This Row],[Modus]]="L",_xlfn.RANK.EQ(Eingabe[[#This Row],[GES]],AF57:AF62),IF(Eingabe[[#This Row],[Modus]]="P",_xlfn.RANK.EQ(Eingabe[[#This Row],[GES]],AF57:AF62),"")))</f>
        <v>4</v>
      </c>
      <c r="AV60" s="6">
        <f>VLOOKUP(Eingabe[[#This Row],[Name]],AuswertungG[],8,FALSE)</f>
        <v>526</v>
      </c>
      <c r="AZ60" s="6">
        <f>IFERROR(ABS(Eingabe[[#This Row],[GES]]-Eingabe[[#This Row],[GEGGES]]),"")</f>
        <v>1</v>
      </c>
    </row>
    <row r="61" spans="1:52" ht="16.2" hidden="1" thickBot="1" x14ac:dyDescent="0.35">
      <c r="A61" s="441"/>
      <c r="B61" s="21">
        <f t="shared" si="0"/>
        <v>10</v>
      </c>
      <c r="C61" s="6" t="str">
        <f>VLOOKUP($B61,Chronologie[],7,TRUE)</f>
        <v>TSV 90 Zwickau II</v>
      </c>
      <c r="D61" s="6" t="str">
        <f>VLOOKUP($B61,Chronologie[],8,TRUE)</f>
        <v>Zwickau</v>
      </c>
      <c r="E61" s="240" t="str">
        <f>VLOOKUP($B61,Chronologie[],9,TRUE)</f>
        <v>A</v>
      </c>
      <c r="F61" s="6" t="str">
        <f>VLOOKUP($B61,Chronologie[],COLUMN(F62)-2,TRUE)</f>
        <v>E</v>
      </c>
      <c r="G61" s="6" t="str">
        <f>VLOOKUP($B61,Chronologie[],COLUMN(G62)-2,TRUE)</f>
        <v>L</v>
      </c>
      <c r="H61" s="6">
        <f>VLOOKUP($B61,Chronologie[],COLUMN(H62)-2,TRUE)</f>
        <v>10</v>
      </c>
      <c r="I61" s="10" t="str">
        <f>VLOOKUP($B61,Chronologie[],2,TRUE)</f>
        <v>E-L-10</v>
      </c>
      <c r="J61" s="243">
        <f>VLOOKUP($B61,Chronologie[],3,TRUE)</f>
        <v>46039</v>
      </c>
      <c r="K61" s="237" t="s">
        <v>659</v>
      </c>
      <c r="L61" s="237">
        <v>97</v>
      </c>
      <c r="M61" s="237">
        <v>107</v>
      </c>
      <c r="N61" s="237">
        <v>108</v>
      </c>
      <c r="O61" s="237">
        <v>78</v>
      </c>
      <c r="P61" s="237">
        <v>53</v>
      </c>
      <c r="Q61" s="237">
        <v>45</v>
      </c>
      <c r="R61" s="237">
        <v>60</v>
      </c>
      <c r="S61" s="237">
        <v>36</v>
      </c>
      <c r="T61" s="237">
        <v>0</v>
      </c>
      <c r="U61" s="237">
        <v>1</v>
      </c>
      <c r="V61" s="237">
        <v>0</v>
      </c>
      <c r="W61" s="237">
        <v>2</v>
      </c>
      <c r="X61" s="38">
        <v>1</v>
      </c>
      <c r="Y61" s="38">
        <v>1</v>
      </c>
      <c r="Z61" s="38">
        <v>1</v>
      </c>
      <c r="AA61" s="38">
        <v>0</v>
      </c>
      <c r="AB61" s="91">
        <v>546</v>
      </c>
      <c r="AC61" s="94">
        <f>IF(Eingabe[[#This Row],[V1]]="",IF(Eingabe[[#This Row],[Volle alternativ]]="","",Eingabe[[#This Row],[Volle alternativ]]),SUM(Eingabe[[#This Row],[V1]:[V4]]))</f>
        <v>390</v>
      </c>
      <c r="AD61" s="6">
        <f>IF(Eingabe[[#This Row],[R1]]="",IF(Eingabe[[#This Row],[Räumer alternativ]]="","",Eingabe[[#This Row],[Räumer alternativ]]),SUM(Eingabe[[#This Row],[R1]:[R4]]))</f>
        <v>194</v>
      </c>
      <c r="AE61" s="6">
        <f>IF(Eingabe[[#This Row],[F1]]="",IF(Eingabe[[#This Row],[Fehler alternativ]]="","",Eingabe[[#This Row],[Fehler alternativ]]),SUM(Eingabe[[#This Row],[F1]:[F4]]))</f>
        <v>3</v>
      </c>
      <c r="AF61" s="6">
        <f>IF(Eingabe[[#This Row],[Volle]]="","",IF(Eingabe[[#This Row],[S1]]="",Eingabe[[#This Row],[Volle]]+Eingabe[[#This Row],[Räumer]],IF(Eingabe[[#This Row],[Volle]]+Eingabe[[#This Row],[Räumer]]=Eingabe[[#This Row],[S1]]+Eingabe[[#This Row],[S2]]+Eingabe[[#This Row],[S3]]+Eingabe[[#This Row],[S4]],Eingabe[[#This Row],[Volle]]+Eingabe[[#This Row],[Räumer]],"FEHLER")))</f>
        <v>584</v>
      </c>
      <c r="AG61" s="6">
        <f>IF(Eingabe[[#This Row],[V1]]="","",Eingabe[[#This Row],[V1]]+Eingabe[[#This Row],[R1]])</f>
        <v>150</v>
      </c>
      <c r="AH61" s="6">
        <f>IF(Eingabe[[#This Row],[V2]]="","",Eingabe[[#This Row],[V2]]+Eingabe[[#This Row],[R2]])</f>
        <v>152</v>
      </c>
      <c r="AI61" s="6">
        <f>IF(Eingabe[[#This Row],[V3]]="","",Eingabe[[#This Row],[V3]]+Eingabe[[#This Row],[R3]])</f>
        <v>168</v>
      </c>
      <c r="AJ61" s="6">
        <f>IF(Eingabe[[#This Row],[V4]]="","",Eingabe[[#This Row],[V4]]+Eingabe[[#This Row],[R4]])</f>
        <v>114</v>
      </c>
      <c r="AK61" s="6">
        <f>IF(Eingabe[[#This Row],[S1P]]="","",Eingabe[[#This Row],[S1P]]+Eingabe[[#This Row],[S2P]]+Eingabe[[#This Row],[S3P]]+Eingabe[[#This Row],[S4P]])</f>
        <v>3</v>
      </c>
      <c r="AL61" s="6">
        <f>IF(Eingabe[[#This Row],[S1P]]="","",IF(Eingabe[[#This Row],[SP]]&gt;2,1,IF(Eingabe[[#This Row],[SP]]&lt;2,0,IF(Eingabe[[#This Row],[GES]]&gt;Eingabe[[#This Row],[GEGGES]],1,IF(Eingabe[[#This Row],[GES]]=Eingabe[[#This Row],[GEGGES]],0.5,0)))))</f>
        <v>1</v>
      </c>
      <c r="AM61" s="6">
        <f>IF(Eingabe[[#This Row],[MP]]="","",MOD(ROW(Eingabe[[#This Row],[Position]])-3,6)+1)</f>
        <v>5</v>
      </c>
      <c r="AN61" s="6">
        <f>STANDARDIZE(Eingabe[[#This Row],[GES]],Eingabe[[#This Row],[Schnitt]],VLOOKUP(Eingabe[[#This Row],[Name]],AuswertungG[],21,FALSE))</f>
        <v>2.1666666666666665</v>
      </c>
      <c r="AO61" s="6">
        <f>VLOOKUP(Eingabe[[#This Row],[ID]],Chronologie[[ID]:[KW]],12,FALSE)</f>
        <v>21</v>
      </c>
      <c r="AP61" s="95" t="str">
        <f>IF(Eingabe[[#This Row],[Wo]]="H",Eingabe[[#This Row],[Gegner]]&amp;" ["&amp;Eingabe[[#This Row],[Wo]]&amp;"]",Eingabe[[#This Row],[Ort]])</f>
        <v>Zwickau</v>
      </c>
      <c r="AQ61" s="6" t="str">
        <f>IFERROR(IF(Eingabe[[#This Row],[Wo]]="H",IF(MOD(Eingabe[[#This Row],[Position]],2)=1,Eingabe[[#This Row],[S1]],Eingabe[[#This Row],[S4]]),""),"")</f>
        <v/>
      </c>
      <c r="AR61" s="6" t="str">
        <f>IFERROR(IF(Eingabe[[#This Row],[Wo]]="H",IF(Eingabe[[#This Row],[S1]]&gt;0,IF(MOD(Eingabe[[#This Row],[Position]],2)=1,Eingabe[[#This Row],[S2]],Eingabe[[#This Row],[S3]]),""),""),"")</f>
        <v/>
      </c>
      <c r="AS61" s="6" t="str">
        <f>IFERROR(IF(Eingabe[[#This Row],[Wo]]="H",IF(Eingabe[[#This Row],[S1]]&gt;0,IF(MOD(ROW(Eingabe[[#This Row],[Heimbahn 3]]),2)=1,Eingabe[[#This Row],[S4]],Eingabe[[#This Row],[S1]]),""),""),"")</f>
        <v/>
      </c>
      <c r="AT61" s="6" t="str">
        <f>IFERROR(IF(Eingabe[[#This Row],[Wo]]="H",IF(Eingabe[[#This Row],[S1]]&gt;0,IF(MOD(ROW(Eingabe[[#This Row],[Heimbahn 4]]),2)=1,Eingabe[[#This Row],[S3]],Eingabe[[#This Row],[S2]]),""),""),"")</f>
        <v/>
      </c>
      <c r="AU61" s="22">
        <f>IF(Eingabe[[#This Row],[GES]]="","",IF(Eingabe[[#This Row],[Modus]]="L",_xlfn.RANK.EQ(Eingabe[[#This Row],[GES]],AF57:AF62),IF(Eingabe[[#This Row],[Modus]]="P",_xlfn.RANK.EQ(Eingabe[[#This Row],[GES]],AF57:AF62),"")))</f>
        <v>2</v>
      </c>
      <c r="AV61" s="6">
        <f>VLOOKUP(Eingabe[[#This Row],[Name]],AuswertungG[],8,FALSE)</f>
        <v>532</v>
      </c>
      <c r="AZ61" s="6">
        <f>IFERROR(ABS(Eingabe[[#This Row],[GES]]-Eingabe[[#This Row],[GEGGES]]),"")</f>
        <v>38</v>
      </c>
    </row>
    <row r="62" spans="1:52" ht="16.2" hidden="1" thickBot="1" x14ac:dyDescent="0.35">
      <c r="A62" s="442"/>
      <c r="B62" s="56">
        <f t="shared" si="0"/>
        <v>10</v>
      </c>
      <c r="C62" s="23" t="str">
        <f>VLOOKUP($B62,Chronologie[],7,TRUE)</f>
        <v>TSV 90 Zwickau II</v>
      </c>
      <c r="D62" s="23" t="str">
        <f>VLOOKUP($B62,Chronologie[],8,TRUE)</f>
        <v>Zwickau</v>
      </c>
      <c r="E62" s="39" t="str">
        <f>VLOOKUP($B62,Chronologie[],9,TRUE)</f>
        <v>A</v>
      </c>
      <c r="F62" s="23" t="str">
        <f>VLOOKUP($B62,Chronologie[],COLUMN(F63)-2,TRUE)</f>
        <v>E</v>
      </c>
      <c r="G62" s="23" t="str">
        <f>VLOOKUP($B62,Chronologie[],COLUMN(G63)-2,TRUE)</f>
        <v>L</v>
      </c>
      <c r="H62" s="23">
        <f>VLOOKUP($B62,Chronologie[],COLUMN(H63)-2,TRUE)</f>
        <v>10</v>
      </c>
      <c r="I62" s="13" t="str">
        <f>VLOOKUP($B62,Chronologie[],2,TRUE)</f>
        <v>E-L-10</v>
      </c>
      <c r="J62" s="244">
        <f>VLOOKUP($B62,Chronologie[],3,TRUE)</f>
        <v>46039</v>
      </c>
      <c r="K62" s="239" t="s">
        <v>455</v>
      </c>
      <c r="L62" s="239">
        <v>96</v>
      </c>
      <c r="M62" s="239">
        <v>93</v>
      </c>
      <c r="N62" s="239">
        <v>88</v>
      </c>
      <c r="O62" s="239">
        <v>73</v>
      </c>
      <c r="P62" s="239">
        <v>62</v>
      </c>
      <c r="Q62" s="239">
        <v>43</v>
      </c>
      <c r="R62" s="239">
        <v>40</v>
      </c>
      <c r="S62" s="239">
        <v>44</v>
      </c>
      <c r="T62" s="239">
        <v>0</v>
      </c>
      <c r="U62" s="239">
        <v>2</v>
      </c>
      <c r="V62" s="239">
        <v>3</v>
      </c>
      <c r="W62" s="239">
        <v>1</v>
      </c>
      <c r="X62" s="40">
        <v>0.5</v>
      </c>
      <c r="Y62" s="40">
        <v>1</v>
      </c>
      <c r="Z62" s="40">
        <v>0</v>
      </c>
      <c r="AA62" s="40">
        <v>0</v>
      </c>
      <c r="AB62" s="92">
        <v>589</v>
      </c>
      <c r="AC62" s="96">
        <f>IF(Eingabe[[#This Row],[V1]]="",IF(Eingabe[[#This Row],[Volle alternativ]]="","",Eingabe[[#This Row],[Volle alternativ]]),SUM(Eingabe[[#This Row],[V1]:[V4]]))</f>
        <v>350</v>
      </c>
      <c r="AD62" s="23">
        <f>IF(Eingabe[[#This Row],[R1]]="",IF(Eingabe[[#This Row],[Räumer alternativ]]="","",Eingabe[[#This Row],[Räumer alternativ]]),SUM(Eingabe[[#This Row],[R1]:[R4]]))</f>
        <v>189</v>
      </c>
      <c r="AE62" s="23">
        <f>IF(Eingabe[[#This Row],[F1]]="",IF(Eingabe[[#This Row],[Fehler alternativ]]="","",Eingabe[[#This Row],[Fehler alternativ]]),SUM(Eingabe[[#This Row],[F1]:[F4]]))</f>
        <v>6</v>
      </c>
      <c r="AF62" s="23">
        <f>IF(Eingabe[[#This Row],[Volle]]="","",IF(Eingabe[[#This Row],[S1]]="",Eingabe[[#This Row],[Volle]]+Eingabe[[#This Row],[Räumer]],IF(Eingabe[[#This Row],[Volle]]+Eingabe[[#This Row],[Räumer]]=Eingabe[[#This Row],[S1]]+Eingabe[[#This Row],[S2]]+Eingabe[[#This Row],[S3]]+Eingabe[[#This Row],[S4]],Eingabe[[#This Row],[Volle]]+Eingabe[[#This Row],[Räumer]],"FEHLER")))</f>
        <v>539</v>
      </c>
      <c r="AG62" s="23">
        <f>IF(Eingabe[[#This Row],[V1]]="","",Eingabe[[#This Row],[V1]]+Eingabe[[#This Row],[R1]])</f>
        <v>158</v>
      </c>
      <c r="AH62" s="23">
        <f>IF(Eingabe[[#This Row],[V2]]="","",Eingabe[[#This Row],[V2]]+Eingabe[[#This Row],[R2]])</f>
        <v>136</v>
      </c>
      <c r="AI62" s="23">
        <f>IF(Eingabe[[#This Row],[V3]]="","",Eingabe[[#This Row],[V3]]+Eingabe[[#This Row],[R3]])</f>
        <v>128</v>
      </c>
      <c r="AJ62" s="23">
        <f>IF(Eingabe[[#This Row],[V4]]="","",Eingabe[[#This Row],[V4]]+Eingabe[[#This Row],[R4]])</f>
        <v>117</v>
      </c>
      <c r="AK62" s="23">
        <f>IF(Eingabe[[#This Row],[S1P]]="","",Eingabe[[#This Row],[S1P]]+Eingabe[[#This Row],[S2P]]+Eingabe[[#This Row],[S3P]]+Eingabe[[#This Row],[S4P]])</f>
        <v>1.5</v>
      </c>
      <c r="AL62" s="23">
        <f>IF(Eingabe[[#This Row],[S1P]]="","",IF(Eingabe[[#This Row],[SP]]&gt;2,1,IF(Eingabe[[#This Row],[SP]]&lt;2,0,IF(Eingabe[[#This Row],[GES]]&gt;Eingabe[[#This Row],[GEGGES]],1,IF(Eingabe[[#This Row],[GES]]=Eingabe[[#This Row],[GEGGES]],0.5,0)))))</f>
        <v>0</v>
      </c>
      <c r="AM62" s="23">
        <f>IF(Eingabe[[#This Row],[MP]]="","",MOD(ROW(Eingabe[[#This Row],[Position]])-3,6)+1)</f>
        <v>6</v>
      </c>
      <c r="AN62" s="23">
        <f>STANDARDIZE(Eingabe[[#This Row],[GES]],Eingabe[[#This Row],[Schnitt]],VLOOKUP(Eingabe[[#This Row],[Name]],AuswertungG[],21,FALSE))</f>
        <v>-0.74358974358974361</v>
      </c>
      <c r="AO62" s="23">
        <f>VLOOKUP(Eingabe[[#This Row],[ID]],Chronologie[[ID]:[KW]],12,FALSE)</f>
        <v>21</v>
      </c>
      <c r="AP62" s="59" t="str">
        <f>IF(Eingabe[[#This Row],[Wo]]="H",Eingabe[[#This Row],[Gegner]]&amp;" ["&amp;Eingabe[[#This Row],[Wo]]&amp;"]",Eingabe[[#This Row],[Ort]])</f>
        <v>Zwickau</v>
      </c>
      <c r="AQ62" s="23" t="str">
        <f>IFERROR(IF(Eingabe[[#This Row],[Wo]]="H",IF(MOD(Eingabe[[#This Row],[Position]],2)=1,Eingabe[[#This Row],[S1]],Eingabe[[#This Row],[S4]]),""),"")</f>
        <v/>
      </c>
      <c r="AR62" s="23" t="str">
        <f>IFERROR(IF(Eingabe[[#This Row],[Wo]]="H",IF(Eingabe[[#This Row],[S1]]&gt;0,IF(MOD(Eingabe[[#This Row],[Position]],2)=1,Eingabe[[#This Row],[S2]],Eingabe[[#This Row],[S3]]),""),""),"")</f>
        <v/>
      </c>
      <c r="AS62" s="23" t="str">
        <f>IFERROR(IF(Eingabe[[#This Row],[Wo]]="H",IF(Eingabe[[#This Row],[S1]]&gt;0,IF(MOD(ROW(Eingabe[[#This Row],[Heimbahn 3]]),2)=1,Eingabe[[#This Row],[S4]],Eingabe[[#This Row],[S1]]),""),""),"")</f>
        <v/>
      </c>
      <c r="AT62" s="23" t="str">
        <f>IFERROR(IF(Eingabe[[#This Row],[Wo]]="H",IF(Eingabe[[#This Row],[S1]]&gt;0,IF(MOD(ROW(Eingabe[[#This Row],[Heimbahn 4]]),2)=1,Eingabe[[#This Row],[S3]],Eingabe[[#This Row],[S2]]),""),""),"")</f>
        <v/>
      </c>
      <c r="AU62" s="89">
        <f>IF(Eingabe[[#This Row],[GES]]="","",IF(Eingabe[[#This Row],[Modus]]="L",_xlfn.RANK.EQ(Eingabe[[#This Row],[GES]],AF57:AF62),IF(Eingabe[[#This Row],[Modus]]="P",_xlfn.RANK.EQ(Eingabe[[#This Row],[GES]],AF57:AF62),"")))</f>
        <v>6</v>
      </c>
      <c r="AV62" s="6">
        <f>VLOOKUP(Eingabe[[#This Row],[Name]],AuswertungG[],8,FALSE)</f>
        <v>568</v>
      </c>
      <c r="AZ62" s="6">
        <f>IFERROR(ABS(Eingabe[[#This Row],[GES]]-Eingabe[[#This Row],[GEGGES]]),"")</f>
        <v>50</v>
      </c>
    </row>
    <row r="63" spans="1:52" ht="16.2" hidden="1" thickBot="1" x14ac:dyDescent="0.35">
      <c r="A63" s="440">
        <f t="shared" ref="A63" si="9">B63</f>
        <v>11</v>
      </c>
      <c r="B63" s="55">
        <f t="shared" si="0"/>
        <v>11</v>
      </c>
      <c r="C63" s="35" t="str">
        <f>VLOOKUP($B63,Chronologie[],7,TRUE)</f>
        <v>SpG Großschirma/Brand-Erbisdorf</v>
      </c>
      <c r="D63" s="35" t="str">
        <f>VLOOKUP($B63,Chronologie[],8,TRUE)</f>
        <v>Hirschfeld</v>
      </c>
      <c r="E63" s="36" t="str">
        <f>VLOOKUP($B63,Chronologie[],9,TRUE)</f>
        <v>H</v>
      </c>
      <c r="F63" s="35" t="str">
        <f>VLOOKUP($B63,Chronologie[],COLUMN(F64)-2,TRUE)</f>
        <v>E</v>
      </c>
      <c r="G63" s="35" t="str">
        <f>VLOOKUP($B63,Chronologie[],COLUMN(G64)-2,TRUE)</f>
        <v>L</v>
      </c>
      <c r="H63" s="35">
        <f>VLOOKUP($B63,Chronologie[],COLUMN(H64)-2,TRUE)</f>
        <v>11</v>
      </c>
      <c r="I63" s="9" t="str">
        <f>VLOOKUP($B63,Chronologie[],2,TRUE)</f>
        <v>E-L-11</v>
      </c>
      <c r="J63" s="242">
        <f>VLOOKUP($B63,Chronologie[],3,TRUE)</f>
        <v>46046</v>
      </c>
      <c r="K63" s="236" t="s">
        <v>658</v>
      </c>
      <c r="L63" s="334">
        <v>87</v>
      </c>
      <c r="M63" s="334">
        <v>101</v>
      </c>
      <c r="N63" s="334">
        <v>88</v>
      </c>
      <c r="O63" s="334">
        <v>90</v>
      </c>
      <c r="P63" s="334">
        <v>53</v>
      </c>
      <c r="Q63" s="334">
        <v>54</v>
      </c>
      <c r="R63" s="334">
        <v>41</v>
      </c>
      <c r="S63" s="334">
        <v>36</v>
      </c>
      <c r="T63" s="334">
        <v>0</v>
      </c>
      <c r="U63" s="334">
        <v>1</v>
      </c>
      <c r="V63" s="334">
        <v>0</v>
      </c>
      <c r="W63" s="334">
        <v>0</v>
      </c>
      <c r="X63" s="37">
        <v>1</v>
      </c>
      <c r="Y63" s="37">
        <v>1</v>
      </c>
      <c r="Z63" s="37">
        <v>1</v>
      </c>
      <c r="AA63" s="37">
        <v>0</v>
      </c>
      <c r="AB63" s="90">
        <v>491</v>
      </c>
      <c r="AC63" s="93">
        <f>IF(Eingabe[[#This Row],[V1]]="",IF(Eingabe[[#This Row],[Volle alternativ]]="","",Eingabe[[#This Row],[Volle alternativ]]),SUM(Eingabe[[#This Row],[V1]:[V4]]))</f>
        <v>366</v>
      </c>
      <c r="AD63" s="35">
        <f>IF(Eingabe[[#This Row],[R1]]="",IF(Eingabe[[#This Row],[Räumer alternativ]]="","",Eingabe[[#This Row],[Räumer alternativ]]),SUM(Eingabe[[#This Row],[R1]:[R4]]))</f>
        <v>184</v>
      </c>
      <c r="AE63" s="35">
        <f>IF(Eingabe[[#This Row],[F1]]="",IF(Eingabe[[#This Row],[Fehler alternativ]]="","",Eingabe[[#This Row],[Fehler alternativ]]),SUM(Eingabe[[#This Row],[F1]:[F4]]))</f>
        <v>1</v>
      </c>
      <c r="AF63" s="35">
        <f>IF(Eingabe[[#This Row],[Volle]]="","",IF(Eingabe[[#This Row],[S1]]="",Eingabe[[#This Row],[Volle]]+Eingabe[[#This Row],[Räumer]],IF(Eingabe[[#This Row],[Volle]]+Eingabe[[#This Row],[Räumer]]=Eingabe[[#This Row],[S1]]+Eingabe[[#This Row],[S2]]+Eingabe[[#This Row],[S3]]+Eingabe[[#This Row],[S4]],Eingabe[[#This Row],[Volle]]+Eingabe[[#This Row],[Räumer]],"FEHLER")))</f>
        <v>550</v>
      </c>
      <c r="AG63" s="35">
        <f>IF(Eingabe[[#This Row],[V1]]="","",Eingabe[[#This Row],[V1]]+Eingabe[[#This Row],[R1]])</f>
        <v>140</v>
      </c>
      <c r="AH63" s="35">
        <f>IF(Eingabe[[#This Row],[V2]]="","",Eingabe[[#This Row],[V2]]+Eingabe[[#This Row],[R2]])</f>
        <v>155</v>
      </c>
      <c r="AI63" s="35">
        <f>IF(Eingabe[[#This Row],[V3]]="","",Eingabe[[#This Row],[V3]]+Eingabe[[#This Row],[R3]])</f>
        <v>129</v>
      </c>
      <c r="AJ63" s="35">
        <f>IF(Eingabe[[#This Row],[V4]]="","",Eingabe[[#This Row],[V4]]+Eingabe[[#This Row],[R4]])</f>
        <v>126</v>
      </c>
      <c r="AK63" s="35">
        <f>IF(Eingabe[[#This Row],[S1P]]="","",Eingabe[[#This Row],[S1P]]+Eingabe[[#This Row],[S2P]]+Eingabe[[#This Row],[S3P]]+Eingabe[[#This Row],[S4P]])</f>
        <v>3</v>
      </c>
      <c r="AL63" s="35">
        <f>IF(Eingabe[[#This Row],[S1P]]="","",IF(Eingabe[[#This Row],[SP]]&gt;2,1,IF(Eingabe[[#This Row],[SP]]&lt;2,0,IF(Eingabe[[#This Row],[GES]]&gt;Eingabe[[#This Row],[GEGGES]],1,IF(Eingabe[[#This Row],[GES]]=Eingabe[[#This Row],[GEGGES]],0.5,0)))))</f>
        <v>1</v>
      </c>
      <c r="AM63" s="35">
        <f>IF(Eingabe[[#This Row],[MP]]="","",MOD(ROW(Eingabe[[#This Row],[Position]])-3,6)+1)</f>
        <v>1</v>
      </c>
      <c r="AN63" s="35">
        <f>STANDARDIZE(Eingabe[[#This Row],[GES]],Eingabe[[#This Row],[Schnitt]],VLOOKUP(Eingabe[[#This Row],[Name]],AuswertungG[],21,FALSE))</f>
        <v>0</v>
      </c>
      <c r="AO63" s="35">
        <f>VLOOKUP(Eingabe[[#This Row],[ID]],Chronologie[[ID]:[KW]],12,FALSE)</f>
        <v>22</v>
      </c>
      <c r="AP63" s="58" t="str">
        <f>IF(Eingabe[[#This Row],[Wo]]="H",Eingabe[[#This Row],[Gegner]]&amp;" ["&amp;Eingabe[[#This Row],[Wo]]&amp;"]",Eingabe[[#This Row],[Ort]])</f>
        <v>SpG Großschirma/Brand-Erbisdorf [H]</v>
      </c>
      <c r="AQ63" s="35">
        <f>IFERROR(IF(Eingabe[[#This Row],[Wo]]="H",IF(MOD(Eingabe[[#This Row],[Position]],2)=1,Eingabe[[#This Row],[S1]],Eingabe[[#This Row],[S4]]),""),"")</f>
        <v>140</v>
      </c>
      <c r="AR63" s="35">
        <f>IFERROR(IF(Eingabe[[#This Row],[Wo]]="H",IF(Eingabe[[#This Row],[S1]]&gt;0,IF(MOD(Eingabe[[#This Row],[Position]],2)=1,Eingabe[[#This Row],[S2]],Eingabe[[#This Row],[S3]]),""),""),"")</f>
        <v>155</v>
      </c>
      <c r="AS63" s="35">
        <f>IFERROR(IF(Eingabe[[#This Row],[Wo]]="H",IF(Eingabe[[#This Row],[S1]]&gt;0,IF(MOD(ROW(Eingabe[[#This Row],[Heimbahn 3]]),2)=1,Eingabe[[#This Row],[S4]],Eingabe[[#This Row],[S1]]),""),""),"")</f>
        <v>126</v>
      </c>
      <c r="AT63" s="35">
        <f>IFERROR(IF(Eingabe[[#This Row],[Wo]]="H",IF(Eingabe[[#This Row],[S1]]&gt;0,IF(MOD(ROW(Eingabe[[#This Row],[Heimbahn 4]]),2)=1,Eingabe[[#This Row],[S3]],Eingabe[[#This Row],[S2]]),""),""),"")</f>
        <v>129</v>
      </c>
      <c r="AU63" s="88">
        <f>IF(Eingabe[[#This Row],[GES]]="","",IF(Eingabe[[#This Row],[Modus]]="L",_xlfn.RANK.EQ(Eingabe[[#This Row],[GES]],AF63:AF68),IF(Eingabe[[#This Row],[Modus]]="P",_xlfn.RANK.EQ(Eingabe[[#This Row],[GES]],AF63:AF68),"")))</f>
        <v>1</v>
      </c>
      <c r="AV63" s="6">
        <f>VLOOKUP(Eingabe[[#This Row],[Name]],AuswertungG[],8,FALSE)</f>
        <v>550</v>
      </c>
      <c r="AZ63" s="6">
        <f>IFERROR(ABS(Eingabe[[#This Row],[GES]]-Eingabe[[#This Row],[GEGGES]]),"")</f>
        <v>59</v>
      </c>
    </row>
    <row r="64" spans="1:52" ht="16.2" hidden="1" thickBot="1" x14ac:dyDescent="0.35">
      <c r="A64" s="441"/>
      <c r="B64" s="21">
        <f t="shared" si="0"/>
        <v>11</v>
      </c>
      <c r="C64" s="6" t="str">
        <f>VLOOKUP($B64,Chronologie[],7,TRUE)</f>
        <v>SpG Großschirma/Brand-Erbisdorf</v>
      </c>
      <c r="D64" s="6" t="str">
        <f>VLOOKUP($B64,Chronologie[],8,TRUE)</f>
        <v>Hirschfeld</v>
      </c>
      <c r="E64" s="240" t="str">
        <f>VLOOKUP($B64,Chronologie[],9,TRUE)</f>
        <v>H</v>
      </c>
      <c r="F64" s="6" t="str">
        <f>VLOOKUP($B64,Chronologie[],COLUMN(F65)-2,TRUE)</f>
        <v>E</v>
      </c>
      <c r="G64" s="6" t="str">
        <f>VLOOKUP($B64,Chronologie[],COLUMN(G65)-2,TRUE)</f>
        <v>L</v>
      </c>
      <c r="H64" s="6">
        <f>VLOOKUP($B64,Chronologie[],COLUMN(H65)-2,TRUE)</f>
        <v>11</v>
      </c>
      <c r="I64" s="10" t="str">
        <f>VLOOKUP($B64,Chronologie[],2,TRUE)</f>
        <v>E-L-11</v>
      </c>
      <c r="J64" s="243">
        <f>VLOOKUP($B64,Chronologie[],3,TRUE)</f>
        <v>46046</v>
      </c>
      <c r="K64" s="237" t="s">
        <v>660</v>
      </c>
      <c r="L64" s="237">
        <v>88</v>
      </c>
      <c r="M64" s="237">
        <v>90</v>
      </c>
      <c r="N64" s="237">
        <v>86</v>
      </c>
      <c r="O64" s="237">
        <v>85</v>
      </c>
      <c r="P64" s="237">
        <v>42</v>
      </c>
      <c r="Q64" s="237">
        <v>35</v>
      </c>
      <c r="R64" s="237">
        <v>43</v>
      </c>
      <c r="S64" s="237">
        <v>44</v>
      </c>
      <c r="T64" s="237">
        <v>3</v>
      </c>
      <c r="U64" s="237">
        <v>4</v>
      </c>
      <c r="V64" s="237">
        <v>2</v>
      </c>
      <c r="W64" s="237">
        <v>3</v>
      </c>
      <c r="X64" s="38">
        <v>0</v>
      </c>
      <c r="Y64" s="38">
        <v>1</v>
      </c>
      <c r="Z64" s="38">
        <v>0</v>
      </c>
      <c r="AA64" s="38">
        <v>1</v>
      </c>
      <c r="AB64" s="91">
        <v>512</v>
      </c>
      <c r="AC64" s="94">
        <f>IF(Eingabe[[#This Row],[V1]]="",IF(Eingabe[[#This Row],[Volle alternativ]]="","",Eingabe[[#This Row],[Volle alternativ]]),SUM(Eingabe[[#This Row],[V1]:[V4]]))</f>
        <v>349</v>
      </c>
      <c r="AD64" s="6">
        <f>IF(Eingabe[[#This Row],[R1]]="",IF(Eingabe[[#This Row],[Räumer alternativ]]="","",Eingabe[[#This Row],[Räumer alternativ]]),SUM(Eingabe[[#This Row],[R1]:[R4]]))</f>
        <v>164</v>
      </c>
      <c r="AE64" s="6">
        <f>IF(Eingabe[[#This Row],[F1]]="",IF(Eingabe[[#This Row],[Fehler alternativ]]="","",Eingabe[[#This Row],[Fehler alternativ]]),SUM(Eingabe[[#This Row],[F1]:[F4]]))</f>
        <v>12</v>
      </c>
      <c r="AF64" s="6">
        <f>IF(Eingabe[[#This Row],[Volle]]="","",IF(Eingabe[[#This Row],[S1]]="",Eingabe[[#This Row],[Volle]]+Eingabe[[#This Row],[Räumer]],IF(Eingabe[[#This Row],[Volle]]+Eingabe[[#This Row],[Räumer]]=Eingabe[[#This Row],[S1]]+Eingabe[[#This Row],[S2]]+Eingabe[[#This Row],[S3]]+Eingabe[[#This Row],[S4]],Eingabe[[#This Row],[Volle]]+Eingabe[[#This Row],[Räumer]],"FEHLER")))</f>
        <v>513</v>
      </c>
      <c r="AG64" s="6">
        <f>IF(Eingabe[[#This Row],[V1]]="","",Eingabe[[#This Row],[V1]]+Eingabe[[#This Row],[R1]])</f>
        <v>130</v>
      </c>
      <c r="AH64" s="6">
        <f>IF(Eingabe[[#This Row],[V2]]="","",Eingabe[[#This Row],[V2]]+Eingabe[[#This Row],[R2]])</f>
        <v>125</v>
      </c>
      <c r="AI64" s="6">
        <f>IF(Eingabe[[#This Row],[V3]]="","",Eingabe[[#This Row],[V3]]+Eingabe[[#This Row],[R3]])</f>
        <v>129</v>
      </c>
      <c r="AJ64" s="6">
        <f>IF(Eingabe[[#This Row],[V4]]="","",Eingabe[[#This Row],[V4]]+Eingabe[[#This Row],[R4]])</f>
        <v>129</v>
      </c>
      <c r="AK64" s="6">
        <f>IF(Eingabe[[#This Row],[S1P]]="","",Eingabe[[#This Row],[S1P]]+Eingabe[[#This Row],[S2P]]+Eingabe[[#This Row],[S3P]]+Eingabe[[#This Row],[S4P]])</f>
        <v>2</v>
      </c>
      <c r="AL64" s="6">
        <f>IF(Eingabe[[#This Row],[S1P]]="","",IF(Eingabe[[#This Row],[SP]]&gt;2,1,IF(Eingabe[[#This Row],[SP]]&lt;2,0,IF(Eingabe[[#This Row],[GES]]&gt;Eingabe[[#This Row],[GEGGES]],1,IF(Eingabe[[#This Row],[GES]]=Eingabe[[#This Row],[GEGGES]],0.5,0)))))</f>
        <v>1</v>
      </c>
      <c r="AM64" s="6">
        <f>IF(Eingabe[[#This Row],[MP]]="","",MOD(ROW(Eingabe[[#This Row],[Position]])-3,6)+1)</f>
        <v>2</v>
      </c>
      <c r="AN64" s="6">
        <f>STANDARDIZE(Eingabe[[#This Row],[GES]],Eingabe[[#This Row],[Schnitt]],VLOOKUP(Eingabe[[#This Row],[Name]],AuswertungG[],21,FALSE))</f>
        <v>0.16129032258064516</v>
      </c>
      <c r="AO64" s="6">
        <f>VLOOKUP(Eingabe[[#This Row],[ID]],Chronologie[[ID]:[KW]],12,FALSE)</f>
        <v>22</v>
      </c>
      <c r="AP64" s="95" t="str">
        <f>IF(Eingabe[[#This Row],[Wo]]="H",Eingabe[[#This Row],[Gegner]]&amp;" ["&amp;Eingabe[[#This Row],[Wo]]&amp;"]",Eingabe[[#This Row],[Ort]])</f>
        <v>SpG Großschirma/Brand-Erbisdorf [H]</v>
      </c>
      <c r="AQ64" s="6">
        <f>IFERROR(IF(Eingabe[[#This Row],[Wo]]="H",IF(MOD(Eingabe[[#This Row],[Position]],2)=1,Eingabe[[#This Row],[S1]],Eingabe[[#This Row],[S4]]),""),"")</f>
        <v>129</v>
      </c>
      <c r="AR64" s="6">
        <f>IFERROR(IF(Eingabe[[#This Row],[Wo]]="H",IF(Eingabe[[#This Row],[S1]]&gt;0,IF(MOD(Eingabe[[#This Row],[Position]],2)=1,Eingabe[[#This Row],[S2]],Eingabe[[#This Row],[S3]]),""),""),"")</f>
        <v>129</v>
      </c>
      <c r="AS64" s="6">
        <f>IFERROR(IF(Eingabe[[#This Row],[Wo]]="H",IF(Eingabe[[#This Row],[S1]]&gt;0,IF(MOD(ROW(Eingabe[[#This Row],[Heimbahn 3]]),2)=1,Eingabe[[#This Row],[S4]],Eingabe[[#This Row],[S1]]),""),""),"")</f>
        <v>130</v>
      </c>
      <c r="AT64" s="6">
        <f>IFERROR(IF(Eingabe[[#This Row],[Wo]]="H",IF(Eingabe[[#This Row],[S1]]&gt;0,IF(MOD(ROW(Eingabe[[#This Row],[Heimbahn 4]]),2)=1,Eingabe[[#This Row],[S3]],Eingabe[[#This Row],[S2]]),""),""),"")</f>
        <v>125</v>
      </c>
      <c r="AU64" s="22">
        <f>IF(Eingabe[[#This Row],[GES]]="","",IF(Eingabe[[#This Row],[Modus]]="L",_xlfn.RANK.EQ(Eingabe[[#This Row],[GES]],AF63:AF68),IF(Eingabe[[#This Row],[Modus]]="P",_xlfn.RANK.EQ(Eingabe[[#This Row],[GES]],AF63:AF68),"")))</f>
        <v>5</v>
      </c>
      <c r="AV64" s="6">
        <f>VLOOKUP(Eingabe[[#This Row],[Name]],AuswertungG[],8,FALSE)</f>
        <v>508</v>
      </c>
      <c r="AZ64" s="6">
        <f>IFERROR(ABS(Eingabe[[#This Row],[GES]]-Eingabe[[#This Row],[GEGGES]]),"")</f>
        <v>1</v>
      </c>
    </row>
    <row r="65" spans="1:52" ht="16.2" hidden="1" thickBot="1" x14ac:dyDescent="0.35">
      <c r="A65" s="441"/>
      <c r="B65" s="21">
        <f t="shared" si="0"/>
        <v>11</v>
      </c>
      <c r="C65" s="6" t="str">
        <f>VLOOKUP($B65,Chronologie[],7,TRUE)</f>
        <v>SpG Großschirma/Brand-Erbisdorf</v>
      </c>
      <c r="D65" s="6" t="str">
        <f>VLOOKUP($B65,Chronologie[],8,TRUE)</f>
        <v>Hirschfeld</v>
      </c>
      <c r="E65" s="240" t="str">
        <f>VLOOKUP($B65,Chronologie[],9,TRUE)</f>
        <v>H</v>
      </c>
      <c r="F65" s="6" t="str">
        <f>VLOOKUP($B65,Chronologie[],COLUMN(F66)-2,TRUE)</f>
        <v>E</v>
      </c>
      <c r="G65" s="6" t="str">
        <f>VLOOKUP($B65,Chronologie[],COLUMN(G66)-2,TRUE)</f>
        <v>L</v>
      </c>
      <c r="H65" s="6">
        <f>VLOOKUP($B65,Chronologie[],COLUMN(H66)-2,TRUE)</f>
        <v>11</v>
      </c>
      <c r="I65" s="10" t="str">
        <f>VLOOKUP($B65,Chronologie[],2,TRUE)</f>
        <v>E-L-11</v>
      </c>
      <c r="J65" s="243">
        <f>VLOOKUP($B65,Chronologie[],3,TRUE)</f>
        <v>46046</v>
      </c>
      <c r="K65" s="237" t="s">
        <v>455</v>
      </c>
      <c r="L65" s="237">
        <v>95</v>
      </c>
      <c r="M65" s="237">
        <v>88</v>
      </c>
      <c r="N65" s="237">
        <v>92</v>
      </c>
      <c r="O65" s="237">
        <v>86</v>
      </c>
      <c r="P65" s="237">
        <v>41</v>
      </c>
      <c r="Q65" s="237">
        <v>24</v>
      </c>
      <c r="R65" s="237">
        <v>49</v>
      </c>
      <c r="S65" s="237">
        <v>44</v>
      </c>
      <c r="T65" s="237">
        <v>0</v>
      </c>
      <c r="U65" s="237">
        <v>2</v>
      </c>
      <c r="V65" s="237">
        <v>1</v>
      </c>
      <c r="W65" s="237">
        <v>0</v>
      </c>
      <c r="X65" s="38">
        <v>1</v>
      </c>
      <c r="Y65" s="38">
        <v>0</v>
      </c>
      <c r="Z65" s="38">
        <v>1</v>
      </c>
      <c r="AA65" s="38">
        <v>1</v>
      </c>
      <c r="AB65" s="91">
        <v>521</v>
      </c>
      <c r="AC65" s="94">
        <f>IF(Eingabe[[#This Row],[V1]]="",IF(Eingabe[[#This Row],[Volle alternativ]]="","",Eingabe[[#This Row],[Volle alternativ]]),SUM(Eingabe[[#This Row],[V1]:[V4]]))</f>
        <v>361</v>
      </c>
      <c r="AD65" s="6">
        <f>IF(Eingabe[[#This Row],[R1]]="",IF(Eingabe[[#This Row],[Räumer alternativ]]="","",Eingabe[[#This Row],[Räumer alternativ]]),SUM(Eingabe[[#This Row],[R1]:[R4]]))</f>
        <v>158</v>
      </c>
      <c r="AE65" s="6">
        <f>IF(Eingabe[[#This Row],[F1]]="",IF(Eingabe[[#This Row],[Fehler alternativ]]="","",Eingabe[[#This Row],[Fehler alternativ]]),SUM(Eingabe[[#This Row],[F1]:[F4]]))</f>
        <v>3</v>
      </c>
      <c r="AF65" s="6">
        <f>IF(Eingabe[[#This Row],[Volle]]="","",IF(Eingabe[[#This Row],[S1]]="",Eingabe[[#This Row],[Volle]]+Eingabe[[#This Row],[Räumer]],IF(Eingabe[[#This Row],[Volle]]+Eingabe[[#This Row],[Räumer]]=Eingabe[[#This Row],[S1]]+Eingabe[[#This Row],[S2]]+Eingabe[[#This Row],[S3]]+Eingabe[[#This Row],[S4]],Eingabe[[#This Row],[Volle]]+Eingabe[[#This Row],[Räumer]],"FEHLER")))</f>
        <v>519</v>
      </c>
      <c r="AG65" s="6">
        <f>IF(Eingabe[[#This Row],[V1]]="","",Eingabe[[#This Row],[V1]]+Eingabe[[#This Row],[R1]])</f>
        <v>136</v>
      </c>
      <c r="AH65" s="6">
        <f>IF(Eingabe[[#This Row],[V2]]="","",Eingabe[[#This Row],[V2]]+Eingabe[[#This Row],[R2]])</f>
        <v>112</v>
      </c>
      <c r="AI65" s="6">
        <f>IF(Eingabe[[#This Row],[V3]]="","",Eingabe[[#This Row],[V3]]+Eingabe[[#This Row],[R3]])</f>
        <v>141</v>
      </c>
      <c r="AJ65" s="6">
        <f>IF(Eingabe[[#This Row],[V4]]="","",Eingabe[[#This Row],[V4]]+Eingabe[[#This Row],[R4]])</f>
        <v>130</v>
      </c>
      <c r="AK65" s="6">
        <f>IF(Eingabe[[#This Row],[S1P]]="","",Eingabe[[#This Row],[S1P]]+Eingabe[[#This Row],[S2P]]+Eingabe[[#This Row],[S3P]]+Eingabe[[#This Row],[S4P]])</f>
        <v>3</v>
      </c>
      <c r="AL65" s="6">
        <f>IF(Eingabe[[#This Row],[S1P]]="","",IF(Eingabe[[#This Row],[SP]]&gt;2,1,IF(Eingabe[[#This Row],[SP]]&lt;2,0,IF(Eingabe[[#This Row],[GES]]&gt;Eingabe[[#This Row],[GEGGES]],1,IF(Eingabe[[#This Row],[GES]]=Eingabe[[#This Row],[GEGGES]],0.5,0)))))</f>
        <v>1</v>
      </c>
      <c r="AM65" s="6">
        <f>IF(Eingabe[[#This Row],[MP]]="","",MOD(ROW(Eingabe[[#This Row],[Position]])-3,6)+1)</f>
        <v>3</v>
      </c>
      <c r="AN65" s="6">
        <f>STANDARDIZE(Eingabe[[#This Row],[GES]],Eingabe[[#This Row],[Schnitt]],VLOOKUP(Eingabe[[#This Row],[Name]],AuswertungG[],21,FALSE))</f>
        <v>-1.2564102564102564</v>
      </c>
      <c r="AO65" s="6">
        <f>VLOOKUP(Eingabe[[#This Row],[ID]],Chronologie[[ID]:[KW]],12,FALSE)</f>
        <v>22</v>
      </c>
      <c r="AP65" s="95" t="str">
        <f>IF(Eingabe[[#This Row],[Wo]]="H",Eingabe[[#This Row],[Gegner]]&amp;" ["&amp;Eingabe[[#This Row],[Wo]]&amp;"]",Eingabe[[#This Row],[Ort]])</f>
        <v>SpG Großschirma/Brand-Erbisdorf [H]</v>
      </c>
      <c r="AQ65" s="6">
        <f>IFERROR(IF(Eingabe[[#This Row],[Wo]]="H",IF(MOD(Eingabe[[#This Row],[Position]],2)=1,Eingabe[[#This Row],[S1]],Eingabe[[#This Row],[S4]]),""),"")</f>
        <v>136</v>
      </c>
      <c r="AR65" s="6">
        <f>IFERROR(IF(Eingabe[[#This Row],[Wo]]="H",IF(Eingabe[[#This Row],[S1]]&gt;0,IF(MOD(Eingabe[[#This Row],[Position]],2)=1,Eingabe[[#This Row],[S2]],Eingabe[[#This Row],[S3]]),""),""),"")</f>
        <v>112</v>
      </c>
      <c r="AS65" s="6">
        <f>IFERROR(IF(Eingabe[[#This Row],[Wo]]="H",IF(Eingabe[[#This Row],[S1]]&gt;0,IF(MOD(ROW(Eingabe[[#This Row],[Heimbahn 3]]),2)=1,Eingabe[[#This Row],[S4]],Eingabe[[#This Row],[S1]]),""),""),"")</f>
        <v>130</v>
      </c>
      <c r="AT65" s="6">
        <f>IFERROR(IF(Eingabe[[#This Row],[Wo]]="H",IF(Eingabe[[#This Row],[S1]]&gt;0,IF(MOD(ROW(Eingabe[[#This Row],[Heimbahn 4]]),2)=1,Eingabe[[#This Row],[S3]],Eingabe[[#This Row],[S2]]),""),""),"")</f>
        <v>141</v>
      </c>
      <c r="AU65" s="22">
        <f>IF(Eingabe[[#This Row],[GES]]="","",IF(Eingabe[[#This Row],[Modus]]="L",_xlfn.RANK.EQ(Eingabe[[#This Row],[GES]],AF63:AF68),IF(Eingabe[[#This Row],[Modus]]="P",_xlfn.RANK.EQ(Eingabe[[#This Row],[GES]],AF63:AF68),"")))</f>
        <v>3</v>
      </c>
      <c r="AV65" s="6">
        <f>VLOOKUP(Eingabe[[#This Row],[Name]],AuswertungG[],8,FALSE)</f>
        <v>568</v>
      </c>
      <c r="AZ65" s="6">
        <f>IFERROR(ABS(Eingabe[[#This Row],[GES]]-Eingabe[[#This Row],[GEGGES]]),"")</f>
        <v>2</v>
      </c>
    </row>
    <row r="66" spans="1:52" ht="16.2" hidden="1" thickBot="1" x14ac:dyDescent="0.35">
      <c r="A66" s="441"/>
      <c r="B66" s="21">
        <f t="shared" si="0"/>
        <v>11</v>
      </c>
      <c r="C66" s="6" t="str">
        <f>VLOOKUP($B66,Chronologie[],7,TRUE)</f>
        <v>SpG Großschirma/Brand-Erbisdorf</v>
      </c>
      <c r="D66" s="6" t="str">
        <f>VLOOKUP($B66,Chronologie[],8,TRUE)</f>
        <v>Hirschfeld</v>
      </c>
      <c r="E66" s="240" t="str">
        <f>VLOOKUP($B66,Chronologie[],9,TRUE)</f>
        <v>H</v>
      </c>
      <c r="F66" s="6" t="str">
        <f>VLOOKUP($B66,Chronologie[],COLUMN(F67)-2,TRUE)</f>
        <v>E</v>
      </c>
      <c r="G66" s="6" t="str">
        <f>VLOOKUP($B66,Chronologie[],COLUMN(G67)-2,TRUE)</f>
        <v>L</v>
      </c>
      <c r="H66" s="6">
        <f>VLOOKUP($B66,Chronologie[],COLUMN(H67)-2,TRUE)</f>
        <v>11</v>
      </c>
      <c r="I66" s="10" t="str">
        <f>VLOOKUP($B66,Chronologie[],2,TRUE)</f>
        <v>E-L-11</v>
      </c>
      <c r="J66" s="243">
        <f>VLOOKUP($B66,Chronologie[],3,TRUE)</f>
        <v>46046</v>
      </c>
      <c r="K66" s="238" t="s">
        <v>489</v>
      </c>
      <c r="L66" s="237">
        <v>103</v>
      </c>
      <c r="M66" s="237">
        <v>87</v>
      </c>
      <c r="N66" s="237">
        <v>89</v>
      </c>
      <c r="O66" s="237">
        <v>80</v>
      </c>
      <c r="P66" s="237">
        <v>42</v>
      </c>
      <c r="Q66" s="237">
        <v>50</v>
      </c>
      <c r="R66" s="237">
        <v>36</v>
      </c>
      <c r="S66" s="237">
        <v>45</v>
      </c>
      <c r="T66" s="237">
        <v>4</v>
      </c>
      <c r="U66" s="237">
        <v>0</v>
      </c>
      <c r="V66" s="237">
        <v>2</v>
      </c>
      <c r="W66" s="237">
        <v>0</v>
      </c>
      <c r="X66" s="38">
        <v>0</v>
      </c>
      <c r="Y66" s="38">
        <v>1</v>
      </c>
      <c r="Z66" s="38">
        <v>0</v>
      </c>
      <c r="AA66" s="38">
        <v>0.5</v>
      </c>
      <c r="AB66" s="91">
        <v>542</v>
      </c>
      <c r="AC66" s="94">
        <f>IF(Eingabe[[#This Row],[V1]]="",IF(Eingabe[[#This Row],[Volle alternativ]]="","",Eingabe[[#This Row],[Volle alternativ]]),SUM(Eingabe[[#This Row],[V1]:[V4]]))</f>
        <v>359</v>
      </c>
      <c r="AD66" s="6">
        <f>IF(Eingabe[[#This Row],[R1]]="",IF(Eingabe[[#This Row],[Räumer alternativ]]="","",Eingabe[[#This Row],[Räumer alternativ]]),SUM(Eingabe[[#This Row],[R1]:[R4]]))</f>
        <v>173</v>
      </c>
      <c r="AE66" s="6">
        <f>IF(Eingabe[[#This Row],[F1]]="",IF(Eingabe[[#This Row],[Fehler alternativ]]="","",Eingabe[[#This Row],[Fehler alternativ]]),SUM(Eingabe[[#This Row],[F1]:[F4]]))</f>
        <v>6</v>
      </c>
      <c r="AF66" s="6">
        <f>IF(Eingabe[[#This Row],[Volle]]="","",IF(Eingabe[[#This Row],[S1]]="",Eingabe[[#This Row],[Volle]]+Eingabe[[#This Row],[Räumer]],IF(Eingabe[[#This Row],[Volle]]+Eingabe[[#This Row],[Räumer]]=Eingabe[[#This Row],[S1]]+Eingabe[[#This Row],[S2]]+Eingabe[[#This Row],[S3]]+Eingabe[[#This Row],[S4]],Eingabe[[#This Row],[Volle]]+Eingabe[[#This Row],[Räumer]],"FEHLER")))</f>
        <v>532</v>
      </c>
      <c r="AG66" s="6">
        <f>IF(Eingabe[[#This Row],[V1]]="","",Eingabe[[#This Row],[V1]]+Eingabe[[#This Row],[R1]])</f>
        <v>145</v>
      </c>
      <c r="AH66" s="6">
        <f>IF(Eingabe[[#This Row],[V2]]="","",Eingabe[[#This Row],[V2]]+Eingabe[[#This Row],[R2]])</f>
        <v>137</v>
      </c>
      <c r="AI66" s="6">
        <f>IF(Eingabe[[#This Row],[V3]]="","",Eingabe[[#This Row],[V3]]+Eingabe[[#This Row],[R3]])</f>
        <v>125</v>
      </c>
      <c r="AJ66" s="6">
        <f>IF(Eingabe[[#This Row],[V4]]="","",Eingabe[[#This Row],[V4]]+Eingabe[[#This Row],[R4]])</f>
        <v>125</v>
      </c>
      <c r="AK66" s="6">
        <f>IF(Eingabe[[#This Row],[S1P]]="","",Eingabe[[#This Row],[S1P]]+Eingabe[[#This Row],[S2P]]+Eingabe[[#This Row],[S3P]]+Eingabe[[#This Row],[S4P]])</f>
        <v>1.5</v>
      </c>
      <c r="AL66" s="6">
        <f>IF(Eingabe[[#This Row],[S1P]]="","",IF(Eingabe[[#This Row],[SP]]&gt;2,1,IF(Eingabe[[#This Row],[SP]]&lt;2,0,IF(Eingabe[[#This Row],[GES]]&gt;Eingabe[[#This Row],[GEGGES]],1,IF(Eingabe[[#This Row],[GES]]=Eingabe[[#This Row],[GEGGES]],0.5,0)))))</f>
        <v>0</v>
      </c>
      <c r="AM66" s="6">
        <f>IF(Eingabe[[#This Row],[MP]]="","",MOD(ROW(Eingabe[[#This Row],[Position]])-3,6)+1)</f>
        <v>4</v>
      </c>
      <c r="AN66" s="6">
        <f>STANDARDIZE(Eingabe[[#This Row],[GES]],Eingabe[[#This Row],[Schnitt]],VLOOKUP(Eingabe[[#This Row],[Name]],AuswertungG[],21,FALSE))</f>
        <v>0.25</v>
      </c>
      <c r="AO66" s="6">
        <f>VLOOKUP(Eingabe[[#This Row],[ID]],Chronologie[[ID]:[KW]],12,FALSE)</f>
        <v>22</v>
      </c>
      <c r="AP66" s="95" t="str">
        <f>IF(Eingabe[[#This Row],[Wo]]="H",Eingabe[[#This Row],[Gegner]]&amp;" ["&amp;Eingabe[[#This Row],[Wo]]&amp;"]",Eingabe[[#This Row],[Ort]])</f>
        <v>SpG Großschirma/Brand-Erbisdorf [H]</v>
      </c>
      <c r="AQ66" s="6">
        <f>IFERROR(IF(Eingabe[[#This Row],[Wo]]="H",IF(MOD(Eingabe[[#This Row],[Position]],2)=1,Eingabe[[#This Row],[S1]],Eingabe[[#This Row],[S4]]),""),"")</f>
        <v>125</v>
      </c>
      <c r="AR66" s="6">
        <f>IFERROR(IF(Eingabe[[#This Row],[Wo]]="H",IF(Eingabe[[#This Row],[S1]]&gt;0,IF(MOD(Eingabe[[#This Row],[Position]],2)=1,Eingabe[[#This Row],[S2]],Eingabe[[#This Row],[S3]]),""),""),"")</f>
        <v>125</v>
      </c>
      <c r="AS66" s="6">
        <f>IFERROR(IF(Eingabe[[#This Row],[Wo]]="H",IF(Eingabe[[#This Row],[S1]]&gt;0,IF(MOD(ROW(Eingabe[[#This Row],[Heimbahn 3]]),2)=1,Eingabe[[#This Row],[S4]],Eingabe[[#This Row],[S1]]),""),""),"")</f>
        <v>145</v>
      </c>
      <c r="AT66" s="6">
        <f>IFERROR(IF(Eingabe[[#This Row],[Wo]]="H",IF(Eingabe[[#This Row],[S1]]&gt;0,IF(MOD(ROW(Eingabe[[#This Row],[Heimbahn 4]]),2)=1,Eingabe[[#This Row],[S3]],Eingabe[[#This Row],[S2]]),""),""),"")</f>
        <v>137</v>
      </c>
      <c r="AU66" s="22">
        <f>IF(Eingabe[[#This Row],[GES]]="","",IF(Eingabe[[#This Row],[Modus]]="L",_xlfn.RANK.EQ(Eingabe[[#This Row],[GES]],AF63:AF68),IF(Eingabe[[#This Row],[Modus]]="P",_xlfn.RANK.EQ(Eingabe[[#This Row],[GES]],AF63:AF68),"")))</f>
        <v>2</v>
      </c>
      <c r="AV66" s="6">
        <f>VLOOKUP(Eingabe[[#This Row],[Name]],AuswertungG[],8,FALSE)</f>
        <v>526</v>
      </c>
      <c r="AZ66" s="6">
        <f>IFERROR(ABS(Eingabe[[#This Row],[GES]]-Eingabe[[#This Row],[GEGGES]]),"")</f>
        <v>10</v>
      </c>
    </row>
    <row r="67" spans="1:52" ht="16.2" hidden="1" thickBot="1" x14ac:dyDescent="0.35">
      <c r="A67" s="441"/>
      <c r="B67" s="21">
        <f t="shared" si="0"/>
        <v>11</v>
      </c>
      <c r="C67" s="6" t="str">
        <f>VLOOKUP($B67,Chronologie[],7,TRUE)</f>
        <v>SpG Großschirma/Brand-Erbisdorf</v>
      </c>
      <c r="D67" s="6" t="str">
        <f>VLOOKUP($B67,Chronologie[],8,TRUE)</f>
        <v>Hirschfeld</v>
      </c>
      <c r="E67" s="240" t="str">
        <f>VLOOKUP($B67,Chronologie[],9,TRUE)</f>
        <v>H</v>
      </c>
      <c r="F67" s="6" t="str">
        <f>VLOOKUP($B67,Chronologie[],COLUMN(F68)-2,TRUE)</f>
        <v>E</v>
      </c>
      <c r="G67" s="6" t="str">
        <f>VLOOKUP($B67,Chronologie[],COLUMN(G68)-2,TRUE)</f>
        <v>L</v>
      </c>
      <c r="H67" s="6">
        <f>VLOOKUP($B67,Chronologie[],COLUMN(H68)-2,TRUE)</f>
        <v>11</v>
      </c>
      <c r="I67" s="10" t="str">
        <f>VLOOKUP($B67,Chronologie[],2,TRUE)</f>
        <v>E-L-11</v>
      </c>
      <c r="J67" s="243">
        <f>VLOOKUP($B67,Chronologie[],3,TRUE)</f>
        <v>46046</v>
      </c>
      <c r="K67" s="237" t="s">
        <v>469</v>
      </c>
      <c r="L67" s="237">
        <v>98</v>
      </c>
      <c r="M67" s="237">
        <v>94</v>
      </c>
      <c r="N67" s="237">
        <v>83</v>
      </c>
      <c r="O67" s="237">
        <v>82</v>
      </c>
      <c r="P67" s="237">
        <v>24</v>
      </c>
      <c r="Q67" s="237">
        <v>53</v>
      </c>
      <c r="R67" s="237">
        <v>42</v>
      </c>
      <c r="S67" s="237">
        <v>42</v>
      </c>
      <c r="T67" s="237">
        <v>3</v>
      </c>
      <c r="U67" s="237">
        <v>0</v>
      </c>
      <c r="V67" s="237">
        <v>1</v>
      </c>
      <c r="W67" s="237">
        <v>1</v>
      </c>
      <c r="X67" s="38">
        <v>1</v>
      </c>
      <c r="Y67" s="38">
        <v>1</v>
      </c>
      <c r="Z67" s="38">
        <v>0</v>
      </c>
      <c r="AA67" s="38">
        <v>0</v>
      </c>
      <c r="AB67" s="91">
        <v>522</v>
      </c>
      <c r="AC67" s="94">
        <f>IF(Eingabe[[#This Row],[V1]]="",IF(Eingabe[[#This Row],[Volle alternativ]]="","",Eingabe[[#This Row],[Volle alternativ]]),SUM(Eingabe[[#This Row],[V1]:[V4]]))</f>
        <v>357</v>
      </c>
      <c r="AD67" s="6">
        <f>IF(Eingabe[[#This Row],[R1]]="",IF(Eingabe[[#This Row],[Räumer alternativ]]="","",Eingabe[[#This Row],[Räumer alternativ]]),SUM(Eingabe[[#This Row],[R1]:[R4]]))</f>
        <v>161</v>
      </c>
      <c r="AE67" s="6">
        <f>IF(Eingabe[[#This Row],[F1]]="",IF(Eingabe[[#This Row],[Fehler alternativ]]="","",Eingabe[[#This Row],[Fehler alternativ]]),SUM(Eingabe[[#This Row],[F1]:[F4]]))</f>
        <v>5</v>
      </c>
      <c r="AF67" s="6">
        <f>IF(Eingabe[[#This Row],[Volle]]="","",IF(Eingabe[[#This Row],[S1]]="",Eingabe[[#This Row],[Volle]]+Eingabe[[#This Row],[Räumer]],IF(Eingabe[[#This Row],[Volle]]+Eingabe[[#This Row],[Räumer]]=Eingabe[[#This Row],[S1]]+Eingabe[[#This Row],[S2]]+Eingabe[[#This Row],[S3]]+Eingabe[[#This Row],[S4]],Eingabe[[#This Row],[Volle]]+Eingabe[[#This Row],[Räumer]],"FEHLER")))</f>
        <v>518</v>
      </c>
      <c r="AG67" s="6">
        <f>IF(Eingabe[[#This Row],[V1]]="","",Eingabe[[#This Row],[V1]]+Eingabe[[#This Row],[R1]])</f>
        <v>122</v>
      </c>
      <c r="AH67" s="6">
        <f>IF(Eingabe[[#This Row],[V2]]="","",Eingabe[[#This Row],[V2]]+Eingabe[[#This Row],[R2]])</f>
        <v>147</v>
      </c>
      <c r="AI67" s="6">
        <f>IF(Eingabe[[#This Row],[V3]]="","",Eingabe[[#This Row],[V3]]+Eingabe[[#This Row],[R3]])</f>
        <v>125</v>
      </c>
      <c r="AJ67" s="6">
        <f>IF(Eingabe[[#This Row],[V4]]="","",Eingabe[[#This Row],[V4]]+Eingabe[[#This Row],[R4]])</f>
        <v>124</v>
      </c>
      <c r="AK67" s="6">
        <f>IF(Eingabe[[#This Row],[S1P]]="","",Eingabe[[#This Row],[S1P]]+Eingabe[[#This Row],[S2P]]+Eingabe[[#This Row],[S3P]]+Eingabe[[#This Row],[S4P]])</f>
        <v>2</v>
      </c>
      <c r="AL67" s="6">
        <f>IF(Eingabe[[#This Row],[S1P]]="","",IF(Eingabe[[#This Row],[SP]]&gt;2,1,IF(Eingabe[[#This Row],[SP]]&lt;2,0,IF(Eingabe[[#This Row],[GES]]&gt;Eingabe[[#This Row],[GEGGES]],1,IF(Eingabe[[#This Row],[GES]]=Eingabe[[#This Row],[GEGGES]],0.5,0)))))</f>
        <v>0</v>
      </c>
      <c r="AM67" s="6">
        <f>IF(Eingabe[[#This Row],[MP]]="","",MOD(ROW(Eingabe[[#This Row],[Position]])-3,6)+1)</f>
        <v>5</v>
      </c>
      <c r="AN67" s="6">
        <f>STANDARDIZE(Eingabe[[#This Row],[GES]],Eingabe[[#This Row],[Schnitt]],VLOOKUP(Eingabe[[#This Row],[Name]],AuswertungG[],21,FALSE))</f>
        <v>-0.45454545454545453</v>
      </c>
      <c r="AO67" s="6">
        <f>VLOOKUP(Eingabe[[#This Row],[ID]],Chronologie[[ID]:[KW]],12,FALSE)</f>
        <v>22</v>
      </c>
      <c r="AP67" s="95" t="str">
        <f>IF(Eingabe[[#This Row],[Wo]]="H",Eingabe[[#This Row],[Gegner]]&amp;" ["&amp;Eingabe[[#This Row],[Wo]]&amp;"]",Eingabe[[#This Row],[Ort]])</f>
        <v>SpG Großschirma/Brand-Erbisdorf [H]</v>
      </c>
      <c r="AQ67" s="6">
        <f>IFERROR(IF(Eingabe[[#This Row],[Wo]]="H",IF(MOD(Eingabe[[#This Row],[Position]],2)=1,Eingabe[[#This Row],[S1]],Eingabe[[#This Row],[S4]]),""),"")</f>
        <v>122</v>
      </c>
      <c r="AR67" s="6">
        <f>IFERROR(IF(Eingabe[[#This Row],[Wo]]="H",IF(Eingabe[[#This Row],[S1]]&gt;0,IF(MOD(Eingabe[[#This Row],[Position]],2)=1,Eingabe[[#This Row],[S2]],Eingabe[[#This Row],[S3]]),""),""),"")</f>
        <v>147</v>
      </c>
      <c r="AS67" s="6">
        <f>IFERROR(IF(Eingabe[[#This Row],[Wo]]="H",IF(Eingabe[[#This Row],[S1]]&gt;0,IF(MOD(ROW(Eingabe[[#This Row],[Heimbahn 3]]),2)=1,Eingabe[[#This Row],[S4]],Eingabe[[#This Row],[S1]]),""),""),"")</f>
        <v>124</v>
      </c>
      <c r="AT67" s="6">
        <f>IFERROR(IF(Eingabe[[#This Row],[Wo]]="H",IF(Eingabe[[#This Row],[S1]]&gt;0,IF(MOD(ROW(Eingabe[[#This Row],[Heimbahn 4]]),2)=1,Eingabe[[#This Row],[S3]],Eingabe[[#This Row],[S2]]),""),""),"")</f>
        <v>125</v>
      </c>
      <c r="AU67" s="22">
        <f>IF(Eingabe[[#This Row],[GES]]="","",IF(Eingabe[[#This Row],[Modus]]="L",_xlfn.RANK.EQ(Eingabe[[#This Row],[GES]],AF63:AF68),IF(Eingabe[[#This Row],[Modus]]="P",_xlfn.RANK.EQ(Eingabe[[#This Row],[GES]],AF63:AF68),"")))</f>
        <v>4</v>
      </c>
      <c r="AV67" s="6">
        <f>VLOOKUP(Eingabe[[#This Row],[Name]],AuswertungG[],8,FALSE)</f>
        <v>528</v>
      </c>
      <c r="AZ67" s="6">
        <f>IFERROR(ABS(Eingabe[[#This Row],[GES]]-Eingabe[[#This Row],[GEGGES]]),"")</f>
        <v>4</v>
      </c>
    </row>
    <row r="68" spans="1:52" ht="16.2" hidden="1" thickBot="1" x14ac:dyDescent="0.35">
      <c r="A68" s="442"/>
      <c r="B68" s="56">
        <f t="shared" ref="B68:B131" si="10">ROUNDUP((ROW(B68)-2)/6,0)</f>
        <v>11</v>
      </c>
      <c r="C68" s="23" t="str">
        <f>VLOOKUP($B68,Chronologie[],7,TRUE)</f>
        <v>SpG Großschirma/Brand-Erbisdorf</v>
      </c>
      <c r="D68" s="23" t="str">
        <f>VLOOKUP($B68,Chronologie[],8,TRUE)</f>
        <v>Hirschfeld</v>
      </c>
      <c r="E68" s="39" t="str">
        <f>VLOOKUP($B68,Chronologie[],9,TRUE)</f>
        <v>H</v>
      </c>
      <c r="F68" s="23" t="str">
        <f>VLOOKUP($B68,Chronologie[],COLUMN(F69)-2,TRUE)</f>
        <v>E</v>
      </c>
      <c r="G68" s="23" t="str">
        <f>VLOOKUP($B68,Chronologie[],COLUMN(G69)-2,TRUE)</f>
        <v>L</v>
      </c>
      <c r="H68" s="23">
        <f>VLOOKUP($B68,Chronologie[],COLUMN(H69)-2,TRUE)</f>
        <v>11</v>
      </c>
      <c r="I68" s="13" t="str">
        <f>VLOOKUP($B68,Chronologie[],2,TRUE)</f>
        <v>E-L-11</v>
      </c>
      <c r="J68" s="244">
        <f>VLOOKUP($B68,Chronologie[],3,TRUE)</f>
        <v>46046</v>
      </c>
      <c r="K68" s="239" t="s">
        <v>6</v>
      </c>
      <c r="L68" s="239">
        <v>85</v>
      </c>
      <c r="M68" s="239">
        <v>72</v>
      </c>
      <c r="N68" s="239">
        <v>93</v>
      </c>
      <c r="O68" s="239">
        <v>91</v>
      </c>
      <c r="P68" s="239">
        <v>48</v>
      </c>
      <c r="Q68" s="239">
        <v>41</v>
      </c>
      <c r="R68" s="239">
        <v>41</v>
      </c>
      <c r="S68" s="239">
        <v>31</v>
      </c>
      <c r="T68" s="239">
        <v>0</v>
      </c>
      <c r="U68" s="239">
        <v>2</v>
      </c>
      <c r="V68" s="239">
        <v>0</v>
      </c>
      <c r="W68" s="239">
        <v>1</v>
      </c>
      <c r="X68" s="40">
        <v>1</v>
      </c>
      <c r="Y68" s="40">
        <v>0</v>
      </c>
      <c r="Z68" s="40">
        <v>1</v>
      </c>
      <c r="AA68" s="40">
        <v>0</v>
      </c>
      <c r="AB68" s="92">
        <v>498</v>
      </c>
      <c r="AC68" s="96">
        <f>IF(Eingabe[[#This Row],[V1]]="",IF(Eingabe[[#This Row],[Volle alternativ]]="","",Eingabe[[#This Row],[Volle alternativ]]),SUM(Eingabe[[#This Row],[V1]:[V4]]))</f>
        <v>341</v>
      </c>
      <c r="AD68" s="23">
        <f>IF(Eingabe[[#This Row],[R1]]="",IF(Eingabe[[#This Row],[Räumer alternativ]]="","",Eingabe[[#This Row],[Räumer alternativ]]),SUM(Eingabe[[#This Row],[R1]:[R4]]))</f>
        <v>161</v>
      </c>
      <c r="AE68" s="23">
        <f>IF(Eingabe[[#This Row],[F1]]="",IF(Eingabe[[#This Row],[Fehler alternativ]]="","",Eingabe[[#This Row],[Fehler alternativ]]),SUM(Eingabe[[#This Row],[F1]:[F4]]))</f>
        <v>3</v>
      </c>
      <c r="AF68" s="23">
        <f>IF(Eingabe[[#This Row],[Volle]]="","",IF(Eingabe[[#This Row],[S1]]="",Eingabe[[#This Row],[Volle]]+Eingabe[[#This Row],[Räumer]],IF(Eingabe[[#This Row],[Volle]]+Eingabe[[#This Row],[Räumer]]=Eingabe[[#This Row],[S1]]+Eingabe[[#This Row],[S2]]+Eingabe[[#This Row],[S3]]+Eingabe[[#This Row],[S4]],Eingabe[[#This Row],[Volle]]+Eingabe[[#This Row],[Räumer]],"FEHLER")))</f>
        <v>502</v>
      </c>
      <c r="AG68" s="23">
        <f>IF(Eingabe[[#This Row],[V1]]="","",Eingabe[[#This Row],[V1]]+Eingabe[[#This Row],[R1]])</f>
        <v>133</v>
      </c>
      <c r="AH68" s="23">
        <f>IF(Eingabe[[#This Row],[V2]]="","",Eingabe[[#This Row],[V2]]+Eingabe[[#This Row],[R2]])</f>
        <v>113</v>
      </c>
      <c r="AI68" s="23">
        <f>IF(Eingabe[[#This Row],[V3]]="","",Eingabe[[#This Row],[V3]]+Eingabe[[#This Row],[R3]])</f>
        <v>134</v>
      </c>
      <c r="AJ68" s="23">
        <f>IF(Eingabe[[#This Row],[V4]]="","",Eingabe[[#This Row],[V4]]+Eingabe[[#This Row],[R4]])</f>
        <v>122</v>
      </c>
      <c r="AK68" s="23">
        <f>IF(Eingabe[[#This Row],[S1P]]="","",Eingabe[[#This Row],[S1P]]+Eingabe[[#This Row],[S2P]]+Eingabe[[#This Row],[S3P]]+Eingabe[[#This Row],[S4P]])</f>
        <v>2</v>
      </c>
      <c r="AL68" s="23">
        <f>IF(Eingabe[[#This Row],[S1P]]="","",IF(Eingabe[[#This Row],[SP]]&gt;2,1,IF(Eingabe[[#This Row],[SP]]&lt;2,0,IF(Eingabe[[#This Row],[GES]]&gt;Eingabe[[#This Row],[GEGGES]],1,IF(Eingabe[[#This Row],[GES]]=Eingabe[[#This Row],[GEGGES]],0.5,0)))))</f>
        <v>1</v>
      </c>
      <c r="AM68" s="23">
        <f>IF(Eingabe[[#This Row],[MP]]="","",MOD(ROW(Eingabe[[#This Row],[Position]])-3,6)+1)</f>
        <v>6</v>
      </c>
      <c r="AN68" s="23">
        <f>STANDARDIZE(Eingabe[[#This Row],[GES]],Eingabe[[#This Row],[Schnitt]],VLOOKUP(Eingabe[[#This Row],[Name]],AuswertungG[],21,FALSE))</f>
        <v>-1.5</v>
      </c>
      <c r="AO68" s="23">
        <f>VLOOKUP(Eingabe[[#This Row],[ID]],Chronologie[[ID]:[KW]],12,FALSE)</f>
        <v>22</v>
      </c>
      <c r="AP68" s="59" t="str">
        <f>IF(Eingabe[[#This Row],[Wo]]="H",Eingabe[[#This Row],[Gegner]]&amp;" ["&amp;Eingabe[[#This Row],[Wo]]&amp;"]",Eingabe[[#This Row],[Ort]])</f>
        <v>SpG Großschirma/Brand-Erbisdorf [H]</v>
      </c>
      <c r="AQ68" s="23">
        <f>IFERROR(IF(Eingabe[[#This Row],[Wo]]="H",IF(MOD(Eingabe[[#This Row],[Position]],2)=1,Eingabe[[#This Row],[S1]],Eingabe[[#This Row],[S4]]),""),"")</f>
        <v>122</v>
      </c>
      <c r="AR68" s="23">
        <f>IFERROR(IF(Eingabe[[#This Row],[Wo]]="H",IF(Eingabe[[#This Row],[S1]]&gt;0,IF(MOD(Eingabe[[#This Row],[Position]],2)=1,Eingabe[[#This Row],[S2]],Eingabe[[#This Row],[S3]]),""),""),"")</f>
        <v>134</v>
      </c>
      <c r="AS68" s="23">
        <f>IFERROR(IF(Eingabe[[#This Row],[Wo]]="H",IF(Eingabe[[#This Row],[S1]]&gt;0,IF(MOD(ROW(Eingabe[[#This Row],[Heimbahn 3]]),2)=1,Eingabe[[#This Row],[S4]],Eingabe[[#This Row],[S1]]),""),""),"")</f>
        <v>133</v>
      </c>
      <c r="AT68" s="23">
        <f>IFERROR(IF(Eingabe[[#This Row],[Wo]]="H",IF(Eingabe[[#This Row],[S1]]&gt;0,IF(MOD(ROW(Eingabe[[#This Row],[Heimbahn 4]]),2)=1,Eingabe[[#This Row],[S3]],Eingabe[[#This Row],[S2]]),""),""),"")</f>
        <v>113</v>
      </c>
      <c r="AU68" s="89">
        <f>IF(Eingabe[[#This Row],[GES]]="","",IF(Eingabe[[#This Row],[Modus]]="L",_xlfn.RANK.EQ(Eingabe[[#This Row],[GES]],AF63:AF68),IF(Eingabe[[#This Row],[Modus]]="P",_xlfn.RANK.EQ(Eingabe[[#This Row],[GES]],AF63:AF68),"")))</f>
        <v>6</v>
      </c>
      <c r="AV68" s="6">
        <f>VLOOKUP(Eingabe[[#This Row],[Name]],AuswertungG[],8,FALSE)</f>
        <v>529</v>
      </c>
      <c r="AZ68" s="6">
        <f>IFERROR(ABS(Eingabe[[#This Row],[GES]]-Eingabe[[#This Row],[GEGGES]]),"")</f>
        <v>4</v>
      </c>
    </row>
    <row r="69" spans="1:52" ht="16.2" hidden="1" thickBot="1" x14ac:dyDescent="0.35">
      <c r="A69" s="440">
        <f t="shared" ref="A69" si="11">B69</f>
        <v>12</v>
      </c>
      <c r="B69" s="55">
        <f t="shared" si="10"/>
        <v>12</v>
      </c>
      <c r="C69" s="35" t="str">
        <f>VLOOKUP($B69,Chronologie[],7,TRUE)</f>
        <v>SG Grün-Weiß Mehltheuer II</v>
      </c>
      <c r="D69" s="35" t="str">
        <f>VLOOKUP($B69,Chronologie[],8,TRUE)</f>
        <v>Mehltheuer</v>
      </c>
      <c r="E69" s="36" t="str">
        <f>VLOOKUP($B69,Chronologie[],9,TRUE)</f>
        <v>A</v>
      </c>
      <c r="F69" s="35" t="str">
        <f>VLOOKUP($B69,Chronologie[],COLUMN(F70)-2,TRUE)</f>
        <v>E</v>
      </c>
      <c r="G69" s="35" t="str">
        <f>VLOOKUP($B69,Chronologie[],COLUMN(G70)-2,TRUE)</f>
        <v>L</v>
      </c>
      <c r="H69" s="35">
        <f>VLOOKUP($B69,Chronologie[],COLUMN(H70)-2,TRUE)</f>
        <v>12</v>
      </c>
      <c r="I69" s="9" t="str">
        <f>VLOOKUP($B69,Chronologie[],2,TRUE)</f>
        <v>E-L-12</v>
      </c>
      <c r="J69" s="242">
        <f>VLOOKUP($B69,Chronologie[],3,TRUE)</f>
        <v>46060</v>
      </c>
      <c r="K69" s="236"/>
      <c r="L69" s="334"/>
      <c r="M69" s="334"/>
      <c r="N69" s="334"/>
      <c r="O69" s="334"/>
      <c r="P69" s="334"/>
      <c r="Q69" s="334"/>
      <c r="R69" s="334"/>
      <c r="S69" s="334"/>
      <c r="T69" s="334"/>
      <c r="U69" s="334"/>
      <c r="V69" s="334"/>
      <c r="W69" s="334"/>
      <c r="X69" s="37"/>
      <c r="Y69" s="37"/>
      <c r="Z69" s="37"/>
      <c r="AA69" s="37"/>
      <c r="AB69" s="90"/>
      <c r="AC69" s="93" t="str">
        <f>IF(Eingabe[[#This Row],[V1]]="",IF(Eingabe[[#This Row],[Volle alternativ]]="","",Eingabe[[#This Row],[Volle alternativ]]),SUM(Eingabe[[#This Row],[V1]:[V4]]))</f>
        <v/>
      </c>
      <c r="AD69" s="35" t="str">
        <f>IF(Eingabe[[#This Row],[R1]]="",IF(Eingabe[[#This Row],[Räumer alternativ]]="","",Eingabe[[#This Row],[Räumer alternativ]]),SUM(Eingabe[[#This Row],[R1]:[R4]]))</f>
        <v/>
      </c>
      <c r="AE69" s="35" t="str">
        <f>IF(Eingabe[[#This Row],[F1]]="",IF(Eingabe[[#This Row],[Fehler alternativ]]="","",Eingabe[[#This Row],[Fehler alternativ]]),SUM(Eingabe[[#This Row],[F1]:[F4]]))</f>
        <v/>
      </c>
      <c r="AF69" s="35" t="str">
        <f>IF(Eingabe[[#This Row],[Volle]]="","",IF(Eingabe[[#This Row],[S1]]="",Eingabe[[#This Row],[Volle]]+Eingabe[[#This Row],[Räumer]],IF(Eingabe[[#This Row],[Volle]]+Eingabe[[#This Row],[Räumer]]=Eingabe[[#This Row],[S1]]+Eingabe[[#This Row],[S2]]+Eingabe[[#This Row],[S3]]+Eingabe[[#This Row],[S4]],Eingabe[[#This Row],[Volle]]+Eingabe[[#This Row],[Räumer]],"FEHLER")))</f>
        <v/>
      </c>
      <c r="AG69" s="35" t="str">
        <f>IF(Eingabe[[#This Row],[V1]]="","",Eingabe[[#This Row],[V1]]+Eingabe[[#This Row],[R1]])</f>
        <v/>
      </c>
      <c r="AH69" s="35" t="str">
        <f>IF(Eingabe[[#This Row],[V2]]="","",Eingabe[[#This Row],[V2]]+Eingabe[[#This Row],[R2]])</f>
        <v/>
      </c>
      <c r="AI69" s="35" t="str">
        <f>IF(Eingabe[[#This Row],[V3]]="","",Eingabe[[#This Row],[V3]]+Eingabe[[#This Row],[R3]])</f>
        <v/>
      </c>
      <c r="AJ69" s="35" t="str">
        <f>IF(Eingabe[[#This Row],[V4]]="","",Eingabe[[#This Row],[V4]]+Eingabe[[#This Row],[R4]])</f>
        <v/>
      </c>
      <c r="AK69" s="35" t="str">
        <f>IF(Eingabe[[#This Row],[S1P]]="","",Eingabe[[#This Row],[S1P]]+Eingabe[[#This Row],[S2P]]+Eingabe[[#This Row],[S3P]]+Eingabe[[#This Row],[S4P]])</f>
        <v/>
      </c>
      <c r="AL69" s="35" t="str">
        <f>IF(Eingabe[[#This Row],[S1P]]="","",IF(Eingabe[[#This Row],[SP]]&gt;2,1,IF(Eingabe[[#This Row],[SP]]&lt;2,0,IF(Eingabe[[#This Row],[GES]]&gt;Eingabe[[#This Row],[GEGGES]],1,IF(Eingabe[[#This Row],[GES]]=Eingabe[[#This Row],[GEGGES]],0.5,0)))))</f>
        <v/>
      </c>
      <c r="AM69" s="35" t="str">
        <f>IF(Eingabe[[#This Row],[MP]]="","",MOD(ROW(Eingabe[[#This Row],[Position]])-3,6)+1)</f>
        <v/>
      </c>
      <c r="AN69" s="35" t="e">
        <f>STANDARDIZE(Eingabe[[#This Row],[GES]],Eingabe[[#This Row],[Schnitt]],VLOOKUP(Eingabe[[#This Row],[Name]],AuswertungG[],21,FALSE))</f>
        <v>#VALUE!</v>
      </c>
      <c r="AO69" s="35">
        <f>VLOOKUP(Eingabe[[#This Row],[ID]],Chronologie[[ID]:[KW]],12,FALSE)</f>
        <v>24</v>
      </c>
      <c r="AP69" s="58" t="str">
        <f>IF(Eingabe[[#This Row],[Wo]]="H",Eingabe[[#This Row],[Gegner]]&amp;" ["&amp;Eingabe[[#This Row],[Wo]]&amp;"]",Eingabe[[#This Row],[Ort]])</f>
        <v>Mehltheuer</v>
      </c>
      <c r="AQ69" s="35" t="str">
        <f>IFERROR(IF(Eingabe[[#This Row],[Wo]]="H",IF(MOD(Eingabe[[#This Row],[Position]],2)=1,Eingabe[[#This Row],[S1]],Eingabe[[#This Row],[S4]]),""),"")</f>
        <v/>
      </c>
      <c r="AR69" s="35" t="str">
        <f>IFERROR(IF(Eingabe[[#This Row],[Wo]]="H",IF(Eingabe[[#This Row],[S1]]&gt;0,IF(MOD(Eingabe[[#This Row],[Position]],2)=1,Eingabe[[#This Row],[S2]],Eingabe[[#This Row],[S3]]),""),""),"")</f>
        <v/>
      </c>
      <c r="AS69" s="35" t="str">
        <f>IFERROR(IF(Eingabe[[#This Row],[Wo]]="H",IF(Eingabe[[#This Row],[S1]]&gt;0,IF(MOD(ROW(Eingabe[[#This Row],[Heimbahn 3]]),2)=1,Eingabe[[#This Row],[S4]],Eingabe[[#This Row],[S1]]),""),""),"")</f>
        <v/>
      </c>
      <c r="AT69" s="35" t="str">
        <f>IFERROR(IF(Eingabe[[#This Row],[Wo]]="H",IF(Eingabe[[#This Row],[S1]]&gt;0,IF(MOD(ROW(Eingabe[[#This Row],[Heimbahn 4]]),2)=1,Eingabe[[#This Row],[S3]],Eingabe[[#This Row],[S2]]),""),""),"")</f>
        <v/>
      </c>
      <c r="AU69" s="88" t="str">
        <f>IF(Eingabe[[#This Row],[GES]]="","",IF(Eingabe[[#This Row],[Modus]]="L",_xlfn.RANK.EQ(Eingabe[[#This Row],[GES]],AF69:AF74),IF(Eingabe[[#This Row],[Modus]]="P",_xlfn.RANK.EQ(Eingabe[[#This Row],[GES]],AF69:AF74),"")))</f>
        <v/>
      </c>
      <c r="AV69" s="6" t="e">
        <f>VLOOKUP(Eingabe[[#This Row],[Name]],AuswertungG[],8,FALSE)</f>
        <v>#N/A</v>
      </c>
      <c r="AZ69" s="6" t="str">
        <f>IFERROR(ABS(Eingabe[[#This Row],[GES]]-Eingabe[[#This Row],[GEGGES]]),"")</f>
        <v/>
      </c>
    </row>
    <row r="70" spans="1:52" ht="16.2" hidden="1" thickBot="1" x14ac:dyDescent="0.35">
      <c r="A70" s="441"/>
      <c r="B70" s="21">
        <f t="shared" si="10"/>
        <v>12</v>
      </c>
      <c r="C70" s="6" t="str">
        <f>VLOOKUP($B70,Chronologie[],7,TRUE)</f>
        <v>SG Grün-Weiß Mehltheuer II</v>
      </c>
      <c r="D70" s="6" t="str">
        <f>VLOOKUP($B70,Chronologie[],8,TRUE)</f>
        <v>Mehltheuer</v>
      </c>
      <c r="E70" s="240" t="str">
        <f>VLOOKUP($B70,Chronologie[],9,TRUE)</f>
        <v>A</v>
      </c>
      <c r="F70" s="6" t="str">
        <f>VLOOKUP($B70,Chronologie[],COLUMN(F71)-2,TRUE)</f>
        <v>E</v>
      </c>
      <c r="G70" s="6" t="str">
        <f>VLOOKUP($B70,Chronologie[],COLUMN(G71)-2,TRUE)</f>
        <v>L</v>
      </c>
      <c r="H70" s="6">
        <f>VLOOKUP($B70,Chronologie[],COLUMN(H71)-2,TRUE)</f>
        <v>12</v>
      </c>
      <c r="I70" s="10" t="str">
        <f>VLOOKUP($B70,Chronologie[],2,TRUE)</f>
        <v>E-L-12</v>
      </c>
      <c r="J70" s="243">
        <f>VLOOKUP($B70,Chronologie[],3,TRUE)</f>
        <v>46060</v>
      </c>
      <c r="K70" s="237"/>
      <c r="L70" s="237"/>
      <c r="M70" s="237"/>
      <c r="N70" s="237"/>
      <c r="O70" s="237"/>
      <c r="P70" s="237"/>
      <c r="Q70" s="237"/>
      <c r="R70" s="237"/>
      <c r="S70" s="237"/>
      <c r="T70" s="237"/>
      <c r="U70" s="237"/>
      <c r="V70" s="237"/>
      <c r="W70" s="237"/>
      <c r="X70" s="38"/>
      <c r="Y70" s="38"/>
      <c r="Z70" s="38"/>
      <c r="AA70" s="38"/>
      <c r="AB70" s="91"/>
      <c r="AC70" s="94" t="str">
        <f>IF(Eingabe[[#This Row],[V1]]="",IF(Eingabe[[#This Row],[Volle alternativ]]="","",Eingabe[[#This Row],[Volle alternativ]]),SUM(Eingabe[[#This Row],[V1]:[V4]]))</f>
        <v/>
      </c>
      <c r="AD70" s="6" t="str">
        <f>IF(Eingabe[[#This Row],[R1]]="",IF(Eingabe[[#This Row],[Räumer alternativ]]="","",Eingabe[[#This Row],[Räumer alternativ]]),SUM(Eingabe[[#This Row],[R1]:[R4]]))</f>
        <v/>
      </c>
      <c r="AE70" s="6" t="str">
        <f>IF(Eingabe[[#This Row],[F1]]="",IF(Eingabe[[#This Row],[Fehler alternativ]]="","",Eingabe[[#This Row],[Fehler alternativ]]),SUM(Eingabe[[#This Row],[F1]:[F4]]))</f>
        <v/>
      </c>
      <c r="AF70" s="6" t="str">
        <f>IF(Eingabe[[#This Row],[Volle]]="","",IF(Eingabe[[#This Row],[S1]]="",Eingabe[[#This Row],[Volle]]+Eingabe[[#This Row],[Räumer]],IF(Eingabe[[#This Row],[Volle]]+Eingabe[[#This Row],[Räumer]]=Eingabe[[#This Row],[S1]]+Eingabe[[#This Row],[S2]]+Eingabe[[#This Row],[S3]]+Eingabe[[#This Row],[S4]],Eingabe[[#This Row],[Volle]]+Eingabe[[#This Row],[Räumer]],"FEHLER")))</f>
        <v/>
      </c>
      <c r="AG70" s="6" t="str">
        <f>IF(Eingabe[[#This Row],[V1]]="","",Eingabe[[#This Row],[V1]]+Eingabe[[#This Row],[R1]])</f>
        <v/>
      </c>
      <c r="AH70" s="6" t="str">
        <f>IF(Eingabe[[#This Row],[V2]]="","",Eingabe[[#This Row],[V2]]+Eingabe[[#This Row],[R2]])</f>
        <v/>
      </c>
      <c r="AI70" s="6" t="str">
        <f>IF(Eingabe[[#This Row],[V3]]="","",Eingabe[[#This Row],[V3]]+Eingabe[[#This Row],[R3]])</f>
        <v/>
      </c>
      <c r="AJ70" s="6" t="str">
        <f>IF(Eingabe[[#This Row],[V4]]="","",Eingabe[[#This Row],[V4]]+Eingabe[[#This Row],[R4]])</f>
        <v/>
      </c>
      <c r="AK70" s="6" t="str">
        <f>IF(Eingabe[[#This Row],[S1P]]="","",Eingabe[[#This Row],[S1P]]+Eingabe[[#This Row],[S2P]]+Eingabe[[#This Row],[S3P]]+Eingabe[[#This Row],[S4P]])</f>
        <v/>
      </c>
      <c r="AL70" s="6" t="str">
        <f>IF(Eingabe[[#This Row],[S1P]]="","",IF(Eingabe[[#This Row],[SP]]&gt;2,1,IF(Eingabe[[#This Row],[SP]]&lt;2,0,IF(Eingabe[[#This Row],[GES]]&gt;Eingabe[[#This Row],[GEGGES]],1,IF(Eingabe[[#This Row],[GES]]=Eingabe[[#This Row],[GEGGES]],0.5,0)))))</f>
        <v/>
      </c>
      <c r="AM70" s="6" t="str">
        <f>IF(Eingabe[[#This Row],[MP]]="","",MOD(ROW(Eingabe[[#This Row],[Position]])-3,6)+1)</f>
        <v/>
      </c>
      <c r="AN70" s="6" t="e">
        <f>STANDARDIZE(Eingabe[[#This Row],[GES]],Eingabe[[#This Row],[Schnitt]],VLOOKUP(Eingabe[[#This Row],[Name]],AuswertungG[],21,FALSE))</f>
        <v>#VALUE!</v>
      </c>
      <c r="AO70" s="6">
        <f>VLOOKUP(Eingabe[[#This Row],[ID]],Chronologie[[ID]:[KW]],12,FALSE)</f>
        <v>24</v>
      </c>
      <c r="AP70" s="95" t="str">
        <f>IF(Eingabe[[#This Row],[Wo]]="H",Eingabe[[#This Row],[Gegner]]&amp;" ["&amp;Eingabe[[#This Row],[Wo]]&amp;"]",Eingabe[[#This Row],[Ort]])</f>
        <v>Mehltheuer</v>
      </c>
      <c r="AQ70" s="6" t="str">
        <f>IFERROR(IF(Eingabe[[#This Row],[Wo]]="H",IF(MOD(Eingabe[[#This Row],[Position]],2)=1,Eingabe[[#This Row],[S1]],Eingabe[[#This Row],[S4]]),""),"")</f>
        <v/>
      </c>
      <c r="AR70" s="6" t="str">
        <f>IFERROR(IF(Eingabe[[#This Row],[Wo]]="H",IF(Eingabe[[#This Row],[S1]]&gt;0,IF(MOD(Eingabe[[#This Row],[Position]],2)=1,Eingabe[[#This Row],[S2]],Eingabe[[#This Row],[S3]]),""),""),"")</f>
        <v/>
      </c>
      <c r="AS70" s="6" t="str">
        <f>IFERROR(IF(Eingabe[[#This Row],[Wo]]="H",IF(Eingabe[[#This Row],[S1]]&gt;0,IF(MOD(ROW(Eingabe[[#This Row],[Heimbahn 3]]),2)=1,Eingabe[[#This Row],[S4]],Eingabe[[#This Row],[S1]]),""),""),"")</f>
        <v/>
      </c>
      <c r="AT70" s="6" t="str">
        <f>IFERROR(IF(Eingabe[[#This Row],[Wo]]="H",IF(Eingabe[[#This Row],[S1]]&gt;0,IF(MOD(ROW(Eingabe[[#This Row],[Heimbahn 4]]),2)=1,Eingabe[[#This Row],[S3]],Eingabe[[#This Row],[S2]]),""),""),"")</f>
        <v/>
      </c>
      <c r="AU70" s="22" t="str">
        <f>IF(Eingabe[[#This Row],[GES]]="","",IF(Eingabe[[#This Row],[Modus]]="L",_xlfn.RANK.EQ(Eingabe[[#This Row],[GES]],AF69:AF74),IF(Eingabe[[#This Row],[Modus]]="P",_xlfn.RANK.EQ(Eingabe[[#This Row],[GES]],AF69:AF74),"")))</f>
        <v/>
      </c>
      <c r="AV70" s="6" t="e">
        <f>VLOOKUP(Eingabe[[#This Row],[Name]],AuswertungG[],8,FALSE)</f>
        <v>#N/A</v>
      </c>
      <c r="AZ70" s="6" t="str">
        <f>IFERROR(ABS(Eingabe[[#This Row],[GES]]-Eingabe[[#This Row],[GEGGES]]),"")</f>
        <v/>
      </c>
    </row>
    <row r="71" spans="1:52" ht="16.2" hidden="1" thickBot="1" x14ac:dyDescent="0.35">
      <c r="A71" s="441"/>
      <c r="B71" s="21">
        <f t="shared" si="10"/>
        <v>12</v>
      </c>
      <c r="C71" s="6" t="str">
        <f>VLOOKUP($B71,Chronologie[],7,TRUE)</f>
        <v>SG Grün-Weiß Mehltheuer II</v>
      </c>
      <c r="D71" s="6" t="str">
        <f>VLOOKUP($B71,Chronologie[],8,TRUE)</f>
        <v>Mehltheuer</v>
      </c>
      <c r="E71" s="240" t="str">
        <f>VLOOKUP($B71,Chronologie[],9,TRUE)</f>
        <v>A</v>
      </c>
      <c r="F71" s="6" t="str">
        <f>VLOOKUP($B71,Chronologie[],COLUMN(F72)-2,TRUE)</f>
        <v>E</v>
      </c>
      <c r="G71" s="6" t="str">
        <f>VLOOKUP($B71,Chronologie[],COLUMN(G72)-2,TRUE)</f>
        <v>L</v>
      </c>
      <c r="H71" s="6">
        <f>VLOOKUP($B71,Chronologie[],COLUMN(H72)-2,TRUE)</f>
        <v>12</v>
      </c>
      <c r="I71" s="10" t="str">
        <f>VLOOKUP($B71,Chronologie[],2,TRUE)</f>
        <v>E-L-12</v>
      </c>
      <c r="J71" s="243">
        <f>VLOOKUP($B71,Chronologie[],3,TRUE)</f>
        <v>46060</v>
      </c>
      <c r="K71" s="237"/>
      <c r="L71" s="237"/>
      <c r="M71" s="237"/>
      <c r="N71" s="237"/>
      <c r="O71" s="237"/>
      <c r="P71" s="237"/>
      <c r="Q71" s="237"/>
      <c r="R71" s="237"/>
      <c r="S71" s="237"/>
      <c r="T71" s="237"/>
      <c r="U71" s="237"/>
      <c r="V71" s="237"/>
      <c r="W71" s="237"/>
      <c r="X71" s="38"/>
      <c r="Y71" s="38"/>
      <c r="Z71" s="38"/>
      <c r="AA71" s="38"/>
      <c r="AB71" s="91"/>
      <c r="AC71" s="94" t="str">
        <f>IF(Eingabe[[#This Row],[V1]]="",IF(Eingabe[[#This Row],[Volle alternativ]]="","",Eingabe[[#This Row],[Volle alternativ]]),SUM(Eingabe[[#This Row],[V1]:[V4]]))</f>
        <v/>
      </c>
      <c r="AD71" s="6" t="str">
        <f>IF(Eingabe[[#This Row],[R1]]="",IF(Eingabe[[#This Row],[Räumer alternativ]]="","",Eingabe[[#This Row],[Räumer alternativ]]),SUM(Eingabe[[#This Row],[R1]:[R4]]))</f>
        <v/>
      </c>
      <c r="AE71" s="6" t="str">
        <f>IF(Eingabe[[#This Row],[F1]]="",IF(Eingabe[[#This Row],[Fehler alternativ]]="","",Eingabe[[#This Row],[Fehler alternativ]]),SUM(Eingabe[[#This Row],[F1]:[F4]]))</f>
        <v/>
      </c>
      <c r="AF71" s="6" t="str">
        <f>IF(Eingabe[[#This Row],[Volle]]="","",IF(Eingabe[[#This Row],[S1]]="",Eingabe[[#This Row],[Volle]]+Eingabe[[#This Row],[Räumer]],IF(Eingabe[[#This Row],[Volle]]+Eingabe[[#This Row],[Räumer]]=Eingabe[[#This Row],[S1]]+Eingabe[[#This Row],[S2]]+Eingabe[[#This Row],[S3]]+Eingabe[[#This Row],[S4]],Eingabe[[#This Row],[Volle]]+Eingabe[[#This Row],[Räumer]],"FEHLER")))</f>
        <v/>
      </c>
      <c r="AG71" s="6" t="str">
        <f>IF(Eingabe[[#This Row],[V1]]="","",Eingabe[[#This Row],[V1]]+Eingabe[[#This Row],[R1]])</f>
        <v/>
      </c>
      <c r="AH71" s="6" t="str">
        <f>IF(Eingabe[[#This Row],[V2]]="","",Eingabe[[#This Row],[V2]]+Eingabe[[#This Row],[R2]])</f>
        <v/>
      </c>
      <c r="AI71" s="6" t="str">
        <f>IF(Eingabe[[#This Row],[V3]]="","",Eingabe[[#This Row],[V3]]+Eingabe[[#This Row],[R3]])</f>
        <v/>
      </c>
      <c r="AJ71" s="6" t="str">
        <f>IF(Eingabe[[#This Row],[V4]]="","",Eingabe[[#This Row],[V4]]+Eingabe[[#This Row],[R4]])</f>
        <v/>
      </c>
      <c r="AK71" s="6" t="str">
        <f>IF(Eingabe[[#This Row],[S1P]]="","",Eingabe[[#This Row],[S1P]]+Eingabe[[#This Row],[S2P]]+Eingabe[[#This Row],[S3P]]+Eingabe[[#This Row],[S4P]])</f>
        <v/>
      </c>
      <c r="AL71" s="6" t="str">
        <f>IF(Eingabe[[#This Row],[S1P]]="","",IF(Eingabe[[#This Row],[SP]]&gt;2,1,IF(Eingabe[[#This Row],[SP]]&lt;2,0,IF(Eingabe[[#This Row],[GES]]&gt;Eingabe[[#This Row],[GEGGES]],1,IF(Eingabe[[#This Row],[GES]]=Eingabe[[#This Row],[GEGGES]],0.5,0)))))</f>
        <v/>
      </c>
      <c r="AM71" s="6" t="str">
        <f>IF(Eingabe[[#This Row],[MP]]="","",MOD(ROW(Eingabe[[#This Row],[Position]])-3,6)+1)</f>
        <v/>
      </c>
      <c r="AN71" s="6" t="e">
        <f>STANDARDIZE(Eingabe[[#This Row],[GES]],Eingabe[[#This Row],[Schnitt]],VLOOKUP(Eingabe[[#This Row],[Name]],AuswertungG[],21,FALSE))</f>
        <v>#VALUE!</v>
      </c>
      <c r="AO71" s="6">
        <f>VLOOKUP(Eingabe[[#This Row],[ID]],Chronologie[[ID]:[KW]],12,FALSE)</f>
        <v>24</v>
      </c>
      <c r="AP71" s="95" t="str">
        <f>IF(Eingabe[[#This Row],[Wo]]="H",Eingabe[[#This Row],[Gegner]]&amp;" ["&amp;Eingabe[[#This Row],[Wo]]&amp;"]",Eingabe[[#This Row],[Ort]])</f>
        <v>Mehltheuer</v>
      </c>
      <c r="AQ71" s="6" t="str">
        <f>IFERROR(IF(Eingabe[[#This Row],[Wo]]="H",IF(MOD(Eingabe[[#This Row],[Position]],2)=1,Eingabe[[#This Row],[S1]],Eingabe[[#This Row],[S4]]),""),"")</f>
        <v/>
      </c>
      <c r="AR71" s="6" t="str">
        <f>IFERROR(IF(Eingabe[[#This Row],[Wo]]="H",IF(Eingabe[[#This Row],[S1]]&gt;0,IF(MOD(Eingabe[[#This Row],[Position]],2)=1,Eingabe[[#This Row],[S2]],Eingabe[[#This Row],[S3]]),""),""),"")</f>
        <v/>
      </c>
      <c r="AS71" s="6" t="str">
        <f>IFERROR(IF(Eingabe[[#This Row],[Wo]]="H",IF(Eingabe[[#This Row],[S1]]&gt;0,IF(MOD(ROW(Eingabe[[#This Row],[Heimbahn 3]]),2)=1,Eingabe[[#This Row],[S4]],Eingabe[[#This Row],[S1]]),""),""),"")</f>
        <v/>
      </c>
      <c r="AT71" s="6" t="str">
        <f>IFERROR(IF(Eingabe[[#This Row],[Wo]]="H",IF(Eingabe[[#This Row],[S1]]&gt;0,IF(MOD(ROW(Eingabe[[#This Row],[Heimbahn 4]]),2)=1,Eingabe[[#This Row],[S3]],Eingabe[[#This Row],[S2]]),""),""),"")</f>
        <v/>
      </c>
      <c r="AU71" s="22" t="str">
        <f>IF(Eingabe[[#This Row],[GES]]="","",IF(Eingabe[[#This Row],[Modus]]="L",_xlfn.RANK.EQ(Eingabe[[#This Row],[GES]],AF69:AF74),IF(Eingabe[[#This Row],[Modus]]="P",_xlfn.RANK.EQ(Eingabe[[#This Row],[GES]],AF69:AF74),"")))</f>
        <v/>
      </c>
      <c r="AV71" s="6" t="e">
        <f>VLOOKUP(Eingabe[[#This Row],[Name]],AuswertungG[],8,FALSE)</f>
        <v>#N/A</v>
      </c>
      <c r="AZ71" s="6" t="str">
        <f>IFERROR(ABS(Eingabe[[#This Row],[GES]]-Eingabe[[#This Row],[GEGGES]]),"")</f>
        <v/>
      </c>
    </row>
    <row r="72" spans="1:52" ht="16.2" hidden="1" thickBot="1" x14ac:dyDescent="0.35">
      <c r="A72" s="441"/>
      <c r="B72" s="21">
        <f t="shared" si="10"/>
        <v>12</v>
      </c>
      <c r="C72" s="6" t="str">
        <f>VLOOKUP($B72,Chronologie[],7,TRUE)</f>
        <v>SG Grün-Weiß Mehltheuer II</v>
      </c>
      <c r="D72" s="6" t="str">
        <f>VLOOKUP($B72,Chronologie[],8,TRUE)</f>
        <v>Mehltheuer</v>
      </c>
      <c r="E72" s="240" t="str">
        <f>VLOOKUP($B72,Chronologie[],9,TRUE)</f>
        <v>A</v>
      </c>
      <c r="F72" s="6" t="str">
        <f>VLOOKUP($B72,Chronologie[],COLUMN(F73)-2,TRUE)</f>
        <v>E</v>
      </c>
      <c r="G72" s="6" t="str">
        <f>VLOOKUP($B72,Chronologie[],COLUMN(G73)-2,TRUE)</f>
        <v>L</v>
      </c>
      <c r="H72" s="6">
        <f>VLOOKUP($B72,Chronologie[],COLUMN(H73)-2,TRUE)</f>
        <v>12</v>
      </c>
      <c r="I72" s="10" t="str">
        <f>VLOOKUP($B72,Chronologie[],2,TRUE)</f>
        <v>E-L-12</v>
      </c>
      <c r="J72" s="243">
        <f>VLOOKUP($B72,Chronologie[],3,TRUE)</f>
        <v>46060</v>
      </c>
      <c r="K72" s="238"/>
      <c r="L72" s="237"/>
      <c r="M72" s="237"/>
      <c r="N72" s="237"/>
      <c r="O72" s="237"/>
      <c r="P72" s="237"/>
      <c r="Q72" s="237"/>
      <c r="R72" s="237"/>
      <c r="S72" s="237"/>
      <c r="T72" s="237"/>
      <c r="U72" s="237"/>
      <c r="V72" s="237"/>
      <c r="W72" s="237"/>
      <c r="X72" s="38"/>
      <c r="Y72" s="38"/>
      <c r="Z72" s="38"/>
      <c r="AA72" s="38"/>
      <c r="AB72" s="91"/>
      <c r="AC72" s="94" t="str">
        <f>IF(Eingabe[[#This Row],[V1]]="",IF(Eingabe[[#This Row],[Volle alternativ]]="","",Eingabe[[#This Row],[Volle alternativ]]),SUM(Eingabe[[#This Row],[V1]:[V4]]))</f>
        <v/>
      </c>
      <c r="AD72" s="6" t="str">
        <f>IF(Eingabe[[#This Row],[R1]]="",IF(Eingabe[[#This Row],[Räumer alternativ]]="","",Eingabe[[#This Row],[Räumer alternativ]]),SUM(Eingabe[[#This Row],[R1]:[R4]]))</f>
        <v/>
      </c>
      <c r="AE72" s="6" t="str">
        <f>IF(Eingabe[[#This Row],[F1]]="",IF(Eingabe[[#This Row],[Fehler alternativ]]="","",Eingabe[[#This Row],[Fehler alternativ]]),SUM(Eingabe[[#This Row],[F1]:[F4]]))</f>
        <v/>
      </c>
      <c r="AF72" s="6" t="str">
        <f>IF(Eingabe[[#This Row],[Volle]]="","",IF(Eingabe[[#This Row],[S1]]="",Eingabe[[#This Row],[Volle]]+Eingabe[[#This Row],[Räumer]],IF(Eingabe[[#This Row],[Volle]]+Eingabe[[#This Row],[Räumer]]=Eingabe[[#This Row],[S1]]+Eingabe[[#This Row],[S2]]+Eingabe[[#This Row],[S3]]+Eingabe[[#This Row],[S4]],Eingabe[[#This Row],[Volle]]+Eingabe[[#This Row],[Räumer]],"FEHLER")))</f>
        <v/>
      </c>
      <c r="AG72" s="6" t="str">
        <f>IF(Eingabe[[#This Row],[V1]]="","",Eingabe[[#This Row],[V1]]+Eingabe[[#This Row],[R1]])</f>
        <v/>
      </c>
      <c r="AH72" s="6" t="str">
        <f>IF(Eingabe[[#This Row],[V2]]="","",Eingabe[[#This Row],[V2]]+Eingabe[[#This Row],[R2]])</f>
        <v/>
      </c>
      <c r="AI72" s="6" t="str">
        <f>IF(Eingabe[[#This Row],[V3]]="","",Eingabe[[#This Row],[V3]]+Eingabe[[#This Row],[R3]])</f>
        <v/>
      </c>
      <c r="AJ72" s="6" t="str">
        <f>IF(Eingabe[[#This Row],[V4]]="","",Eingabe[[#This Row],[V4]]+Eingabe[[#This Row],[R4]])</f>
        <v/>
      </c>
      <c r="AK72" s="6" t="str">
        <f>IF(Eingabe[[#This Row],[S1P]]="","",Eingabe[[#This Row],[S1P]]+Eingabe[[#This Row],[S2P]]+Eingabe[[#This Row],[S3P]]+Eingabe[[#This Row],[S4P]])</f>
        <v/>
      </c>
      <c r="AL72" s="6" t="str">
        <f>IF(Eingabe[[#This Row],[S1P]]="","",IF(Eingabe[[#This Row],[SP]]&gt;2,1,IF(Eingabe[[#This Row],[SP]]&lt;2,0,IF(Eingabe[[#This Row],[GES]]&gt;Eingabe[[#This Row],[GEGGES]],1,IF(Eingabe[[#This Row],[GES]]=Eingabe[[#This Row],[GEGGES]],0.5,0)))))</f>
        <v/>
      </c>
      <c r="AM72" s="6" t="str">
        <f>IF(Eingabe[[#This Row],[MP]]="","",MOD(ROW(Eingabe[[#This Row],[Position]])-3,6)+1)</f>
        <v/>
      </c>
      <c r="AN72" s="6" t="e">
        <f>STANDARDIZE(Eingabe[[#This Row],[GES]],Eingabe[[#This Row],[Schnitt]],VLOOKUP(Eingabe[[#This Row],[Name]],AuswertungG[],21,FALSE))</f>
        <v>#VALUE!</v>
      </c>
      <c r="AO72" s="6">
        <f>VLOOKUP(Eingabe[[#This Row],[ID]],Chronologie[[ID]:[KW]],12,FALSE)</f>
        <v>24</v>
      </c>
      <c r="AP72" s="95" t="str">
        <f>IF(Eingabe[[#This Row],[Wo]]="H",Eingabe[[#This Row],[Gegner]]&amp;" ["&amp;Eingabe[[#This Row],[Wo]]&amp;"]",Eingabe[[#This Row],[Ort]])</f>
        <v>Mehltheuer</v>
      </c>
      <c r="AQ72" s="6" t="str">
        <f>IFERROR(IF(Eingabe[[#This Row],[Wo]]="H",IF(MOD(Eingabe[[#This Row],[Position]],2)=1,Eingabe[[#This Row],[S1]],Eingabe[[#This Row],[S4]]),""),"")</f>
        <v/>
      </c>
      <c r="AR72" s="6" t="str">
        <f>IFERROR(IF(Eingabe[[#This Row],[Wo]]="H",IF(Eingabe[[#This Row],[S1]]&gt;0,IF(MOD(Eingabe[[#This Row],[Position]],2)=1,Eingabe[[#This Row],[S2]],Eingabe[[#This Row],[S3]]),""),""),"")</f>
        <v/>
      </c>
      <c r="AS72" s="6" t="str">
        <f>IFERROR(IF(Eingabe[[#This Row],[Wo]]="H",IF(Eingabe[[#This Row],[S1]]&gt;0,IF(MOD(ROW(Eingabe[[#This Row],[Heimbahn 3]]),2)=1,Eingabe[[#This Row],[S4]],Eingabe[[#This Row],[S1]]),""),""),"")</f>
        <v/>
      </c>
      <c r="AT72" s="6" t="str">
        <f>IFERROR(IF(Eingabe[[#This Row],[Wo]]="H",IF(Eingabe[[#This Row],[S1]]&gt;0,IF(MOD(ROW(Eingabe[[#This Row],[Heimbahn 4]]),2)=1,Eingabe[[#This Row],[S3]],Eingabe[[#This Row],[S2]]),""),""),"")</f>
        <v/>
      </c>
      <c r="AU72" s="22" t="str">
        <f>IF(Eingabe[[#This Row],[GES]]="","",IF(Eingabe[[#This Row],[Modus]]="L",_xlfn.RANK.EQ(Eingabe[[#This Row],[GES]],AF69:AF74),IF(Eingabe[[#This Row],[Modus]]="P",_xlfn.RANK.EQ(Eingabe[[#This Row],[GES]],AF69:AF74),"")))</f>
        <v/>
      </c>
      <c r="AV72" s="6" t="e">
        <f>VLOOKUP(Eingabe[[#This Row],[Name]],AuswertungG[],8,FALSE)</f>
        <v>#N/A</v>
      </c>
      <c r="AZ72" s="6" t="str">
        <f>IFERROR(ABS(Eingabe[[#This Row],[GES]]-Eingabe[[#This Row],[GEGGES]]),"")</f>
        <v/>
      </c>
    </row>
    <row r="73" spans="1:52" ht="16.2" hidden="1" thickBot="1" x14ac:dyDescent="0.35">
      <c r="A73" s="441"/>
      <c r="B73" s="21">
        <f t="shared" si="10"/>
        <v>12</v>
      </c>
      <c r="C73" s="6" t="str">
        <f>VLOOKUP($B73,Chronologie[],7,TRUE)</f>
        <v>SG Grün-Weiß Mehltheuer II</v>
      </c>
      <c r="D73" s="6" t="str">
        <f>VLOOKUP($B73,Chronologie[],8,TRUE)</f>
        <v>Mehltheuer</v>
      </c>
      <c r="E73" s="240" t="str">
        <f>VLOOKUP($B73,Chronologie[],9,TRUE)</f>
        <v>A</v>
      </c>
      <c r="F73" s="6" t="str">
        <f>VLOOKUP($B73,Chronologie[],COLUMN(F74)-2,TRUE)</f>
        <v>E</v>
      </c>
      <c r="G73" s="6" t="str">
        <f>VLOOKUP($B73,Chronologie[],COLUMN(G74)-2,TRUE)</f>
        <v>L</v>
      </c>
      <c r="H73" s="6">
        <f>VLOOKUP($B73,Chronologie[],COLUMN(H74)-2,TRUE)</f>
        <v>12</v>
      </c>
      <c r="I73" s="10" t="str">
        <f>VLOOKUP($B73,Chronologie[],2,TRUE)</f>
        <v>E-L-12</v>
      </c>
      <c r="J73" s="243">
        <f>VLOOKUP($B73,Chronologie[],3,TRUE)</f>
        <v>46060</v>
      </c>
      <c r="K73" s="237"/>
      <c r="L73" s="237"/>
      <c r="M73" s="237"/>
      <c r="N73" s="237"/>
      <c r="O73" s="237"/>
      <c r="P73" s="237"/>
      <c r="Q73" s="237"/>
      <c r="R73" s="237"/>
      <c r="S73" s="237"/>
      <c r="T73" s="237"/>
      <c r="U73" s="237"/>
      <c r="V73" s="237"/>
      <c r="W73" s="237"/>
      <c r="X73" s="38"/>
      <c r="Y73" s="38"/>
      <c r="Z73" s="38"/>
      <c r="AA73" s="38"/>
      <c r="AB73" s="91"/>
      <c r="AC73" s="94" t="str">
        <f>IF(Eingabe[[#This Row],[V1]]="",IF(Eingabe[[#This Row],[Volle alternativ]]="","",Eingabe[[#This Row],[Volle alternativ]]),SUM(Eingabe[[#This Row],[V1]:[V4]]))</f>
        <v/>
      </c>
      <c r="AD73" s="6" t="str">
        <f>IF(Eingabe[[#This Row],[R1]]="",IF(Eingabe[[#This Row],[Räumer alternativ]]="","",Eingabe[[#This Row],[Räumer alternativ]]),SUM(Eingabe[[#This Row],[R1]:[R4]]))</f>
        <v/>
      </c>
      <c r="AE73" s="6" t="str">
        <f>IF(Eingabe[[#This Row],[F1]]="",IF(Eingabe[[#This Row],[Fehler alternativ]]="","",Eingabe[[#This Row],[Fehler alternativ]]),SUM(Eingabe[[#This Row],[F1]:[F4]]))</f>
        <v/>
      </c>
      <c r="AF73" s="6" t="str">
        <f>IF(Eingabe[[#This Row],[Volle]]="","",IF(Eingabe[[#This Row],[S1]]="",Eingabe[[#This Row],[Volle]]+Eingabe[[#This Row],[Räumer]],IF(Eingabe[[#This Row],[Volle]]+Eingabe[[#This Row],[Räumer]]=Eingabe[[#This Row],[S1]]+Eingabe[[#This Row],[S2]]+Eingabe[[#This Row],[S3]]+Eingabe[[#This Row],[S4]],Eingabe[[#This Row],[Volle]]+Eingabe[[#This Row],[Räumer]],"FEHLER")))</f>
        <v/>
      </c>
      <c r="AG73" s="6" t="str">
        <f>IF(Eingabe[[#This Row],[V1]]="","",Eingabe[[#This Row],[V1]]+Eingabe[[#This Row],[R1]])</f>
        <v/>
      </c>
      <c r="AH73" s="6" t="str">
        <f>IF(Eingabe[[#This Row],[V2]]="","",Eingabe[[#This Row],[V2]]+Eingabe[[#This Row],[R2]])</f>
        <v/>
      </c>
      <c r="AI73" s="6" t="str">
        <f>IF(Eingabe[[#This Row],[V3]]="","",Eingabe[[#This Row],[V3]]+Eingabe[[#This Row],[R3]])</f>
        <v/>
      </c>
      <c r="AJ73" s="6" t="str">
        <f>IF(Eingabe[[#This Row],[V4]]="","",Eingabe[[#This Row],[V4]]+Eingabe[[#This Row],[R4]])</f>
        <v/>
      </c>
      <c r="AK73" s="6" t="str">
        <f>IF(Eingabe[[#This Row],[S1P]]="","",Eingabe[[#This Row],[S1P]]+Eingabe[[#This Row],[S2P]]+Eingabe[[#This Row],[S3P]]+Eingabe[[#This Row],[S4P]])</f>
        <v/>
      </c>
      <c r="AL73" s="6" t="str">
        <f>IF(Eingabe[[#This Row],[S1P]]="","",IF(Eingabe[[#This Row],[SP]]&gt;2,1,IF(Eingabe[[#This Row],[SP]]&lt;2,0,IF(Eingabe[[#This Row],[GES]]&gt;Eingabe[[#This Row],[GEGGES]],1,IF(Eingabe[[#This Row],[GES]]=Eingabe[[#This Row],[GEGGES]],0.5,0)))))</f>
        <v/>
      </c>
      <c r="AM73" s="6" t="str">
        <f>IF(Eingabe[[#This Row],[MP]]="","",MOD(ROW(Eingabe[[#This Row],[Position]])-3,6)+1)</f>
        <v/>
      </c>
      <c r="AN73" s="6" t="e">
        <f>STANDARDIZE(Eingabe[[#This Row],[GES]],Eingabe[[#This Row],[Schnitt]],VLOOKUP(Eingabe[[#This Row],[Name]],AuswertungG[],21,FALSE))</f>
        <v>#VALUE!</v>
      </c>
      <c r="AO73" s="6">
        <f>VLOOKUP(Eingabe[[#This Row],[ID]],Chronologie[[ID]:[KW]],12,FALSE)</f>
        <v>24</v>
      </c>
      <c r="AP73" s="95" t="str">
        <f>IF(Eingabe[[#This Row],[Wo]]="H",Eingabe[[#This Row],[Gegner]]&amp;" ["&amp;Eingabe[[#This Row],[Wo]]&amp;"]",Eingabe[[#This Row],[Ort]])</f>
        <v>Mehltheuer</v>
      </c>
      <c r="AQ73" s="6" t="str">
        <f>IFERROR(IF(Eingabe[[#This Row],[Wo]]="H",IF(MOD(Eingabe[[#This Row],[Position]],2)=1,Eingabe[[#This Row],[S1]],Eingabe[[#This Row],[S4]]),""),"")</f>
        <v/>
      </c>
      <c r="AR73" s="6" t="str">
        <f>IFERROR(IF(Eingabe[[#This Row],[Wo]]="H",IF(Eingabe[[#This Row],[S1]]&gt;0,IF(MOD(Eingabe[[#This Row],[Position]],2)=1,Eingabe[[#This Row],[S2]],Eingabe[[#This Row],[S3]]),""),""),"")</f>
        <v/>
      </c>
      <c r="AS73" s="6" t="str">
        <f>IFERROR(IF(Eingabe[[#This Row],[Wo]]="H",IF(Eingabe[[#This Row],[S1]]&gt;0,IF(MOD(ROW(Eingabe[[#This Row],[Heimbahn 3]]),2)=1,Eingabe[[#This Row],[S4]],Eingabe[[#This Row],[S1]]),""),""),"")</f>
        <v/>
      </c>
      <c r="AT73" s="6" t="str">
        <f>IFERROR(IF(Eingabe[[#This Row],[Wo]]="H",IF(Eingabe[[#This Row],[S1]]&gt;0,IF(MOD(ROW(Eingabe[[#This Row],[Heimbahn 4]]),2)=1,Eingabe[[#This Row],[S3]],Eingabe[[#This Row],[S2]]),""),""),"")</f>
        <v/>
      </c>
      <c r="AU73" s="22" t="str">
        <f>IF(Eingabe[[#This Row],[GES]]="","",IF(Eingabe[[#This Row],[Modus]]="L",_xlfn.RANK.EQ(Eingabe[[#This Row],[GES]],AF69:AF74),IF(Eingabe[[#This Row],[Modus]]="P",_xlfn.RANK.EQ(Eingabe[[#This Row],[GES]],AF69:AF74),"")))</f>
        <v/>
      </c>
      <c r="AV73" s="6" t="e">
        <f>VLOOKUP(Eingabe[[#This Row],[Name]],AuswertungG[],8,FALSE)</f>
        <v>#N/A</v>
      </c>
      <c r="AZ73" s="6" t="str">
        <f>IFERROR(ABS(Eingabe[[#This Row],[GES]]-Eingabe[[#This Row],[GEGGES]]),"")</f>
        <v/>
      </c>
    </row>
    <row r="74" spans="1:52" ht="16.2" hidden="1" thickBot="1" x14ac:dyDescent="0.35">
      <c r="A74" s="442"/>
      <c r="B74" s="56">
        <f t="shared" si="10"/>
        <v>12</v>
      </c>
      <c r="C74" s="23" t="str">
        <f>VLOOKUP($B74,Chronologie[],7,TRUE)</f>
        <v>SG Grün-Weiß Mehltheuer II</v>
      </c>
      <c r="D74" s="23" t="str">
        <f>VLOOKUP($B74,Chronologie[],8,TRUE)</f>
        <v>Mehltheuer</v>
      </c>
      <c r="E74" s="39" t="str">
        <f>VLOOKUP($B74,Chronologie[],9,TRUE)</f>
        <v>A</v>
      </c>
      <c r="F74" s="23" t="str">
        <f>VLOOKUP($B74,Chronologie[],COLUMN(F75)-2,TRUE)</f>
        <v>E</v>
      </c>
      <c r="G74" s="23" t="str">
        <f>VLOOKUP($B74,Chronologie[],COLUMN(G75)-2,TRUE)</f>
        <v>L</v>
      </c>
      <c r="H74" s="23">
        <f>VLOOKUP($B74,Chronologie[],COLUMN(H75)-2,TRUE)</f>
        <v>12</v>
      </c>
      <c r="I74" s="13" t="str">
        <f>VLOOKUP($B74,Chronologie[],2,TRUE)</f>
        <v>E-L-12</v>
      </c>
      <c r="J74" s="244">
        <f>VLOOKUP($B74,Chronologie[],3,TRUE)</f>
        <v>46060</v>
      </c>
      <c r="K74" s="239"/>
      <c r="L74" s="239"/>
      <c r="M74" s="239"/>
      <c r="N74" s="239"/>
      <c r="O74" s="239"/>
      <c r="P74" s="239"/>
      <c r="Q74" s="239"/>
      <c r="R74" s="239"/>
      <c r="S74" s="239"/>
      <c r="T74" s="239"/>
      <c r="U74" s="239"/>
      <c r="V74" s="239"/>
      <c r="W74" s="239"/>
      <c r="X74" s="40"/>
      <c r="Y74" s="40"/>
      <c r="Z74" s="40"/>
      <c r="AA74" s="40"/>
      <c r="AB74" s="92"/>
      <c r="AC74" s="96" t="str">
        <f>IF(Eingabe[[#This Row],[V1]]="",IF(Eingabe[[#This Row],[Volle alternativ]]="","",Eingabe[[#This Row],[Volle alternativ]]),SUM(Eingabe[[#This Row],[V1]:[V4]]))</f>
        <v/>
      </c>
      <c r="AD74" s="23" t="str">
        <f>IF(Eingabe[[#This Row],[R1]]="",IF(Eingabe[[#This Row],[Räumer alternativ]]="","",Eingabe[[#This Row],[Räumer alternativ]]),SUM(Eingabe[[#This Row],[R1]:[R4]]))</f>
        <v/>
      </c>
      <c r="AE74" s="23" t="str">
        <f>IF(Eingabe[[#This Row],[F1]]="",IF(Eingabe[[#This Row],[Fehler alternativ]]="","",Eingabe[[#This Row],[Fehler alternativ]]),SUM(Eingabe[[#This Row],[F1]:[F4]]))</f>
        <v/>
      </c>
      <c r="AF74" s="23" t="str">
        <f>IF(Eingabe[[#This Row],[Volle]]="","",IF(Eingabe[[#This Row],[S1]]="",Eingabe[[#This Row],[Volle]]+Eingabe[[#This Row],[Räumer]],IF(Eingabe[[#This Row],[Volle]]+Eingabe[[#This Row],[Räumer]]=Eingabe[[#This Row],[S1]]+Eingabe[[#This Row],[S2]]+Eingabe[[#This Row],[S3]]+Eingabe[[#This Row],[S4]],Eingabe[[#This Row],[Volle]]+Eingabe[[#This Row],[Räumer]],"FEHLER")))</f>
        <v/>
      </c>
      <c r="AG74" s="23" t="str">
        <f>IF(Eingabe[[#This Row],[V1]]="","",Eingabe[[#This Row],[V1]]+Eingabe[[#This Row],[R1]])</f>
        <v/>
      </c>
      <c r="AH74" s="23" t="str">
        <f>IF(Eingabe[[#This Row],[V2]]="","",Eingabe[[#This Row],[V2]]+Eingabe[[#This Row],[R2]])</f>
        <v/>
      </c>
      <c r="AI74" s="23" t="str">
        <f>IF(Eingabe[[#This Row],[V3]]="","",Eingabe[[#This Row],[V3]]+Eingabe[[#This Row],[R3]])</f>
        <v/>
      </c>
      <c r="AJ74" s="23" t="str">
        <f>IF(Eingabe[[#This Row],[V4]]="","",Eingabe[[#This Row],[V4]]+Eingabe[[#This Row],[R4]])</f>
        <v/>
      </c>
      <c r="AK74" s="23" t="str">
        <f>IF(Eingabe[[#This Row],[S1P]]="","",Eingabe[[#This Row],[S1P]]+Eingabe[[#This Row],[S2P]]+Eingabe[[#This Row],[S3P]]+Eingabe[[#This Row],[S4P]])</f>
        <v/>
      </c>
      <c r="AL74" s="23" t="str">
        <f>IF(Eingabe[[#This Row],[S1P]]="","",IF(Eingabe[[#This Row],[SP]]&gt;2,1,IF(Eingabe[[#This Row],[SP]]&lt;2,0,IF(Eingabe[[#This Row],[GES]]&gt;Eingabe[[#This Row],[GEGGES]],1,IF(Eingabe[[#This Row],[GES]]=Eingabe[[#This Row],[GEGGES]],0.5,0)))))</f>
        <v/>
      </c>
      <c r="AM74" s="23" t="str">
        <f>IF(Eingabe[[#This Row],[MP]]="","",MOD(ROW(Eingabe[[#This Row],[Position]])-3,6)+1)</f>
        <v/>
      </c>
      <c r="AN74" s="23" t="e">
        <f>STANDARDIZE(Eingabe[[#This Row],[GES]],Eingabe[[#This Row],[Schnitt]],VLOOKUP(Eingabe[[#This Row],[Name]],AuswertungG[],21,FALSE))</f>
        <v>#VALUE!</v>
      </c>
      <c r="AO74" s="23">
        <f>VLOOKUP(Eingabe[[#This Row],[ID]],Chronologie[[ID]:[KW]],12,FALSE)</f>
        <v>24</v>
      </c>
      <c r="AP74" s="59" t="str">
        <f>IF(Eingabe[[#This Row],[Wo]]="H",Eingabe[[#This Row],[Gegner]]&amp;" ["&amp;Eingabe[[#This Row],[Wo]]&amp;"]",Eingabe[[#This Row],[Ort]])</f>
        <v>Mehltheuer</v>
      </c>
      <c r="AQ74" s="23" t="str">
        <f>IFERROR(IF(Eingabe[[#This Row],[Wo]]="H",IF(MOD(Eingabe[[#This Row],[Position]],2)=1,Eingabe[[#This Row],[S1]],Eingabe[[#This Row],[S4]]),""),"")</f>
        <v/>
      </c>
      <c r="AR74" s="23" t="str">
        <f>IFERROR(IF(Eingabe[[#This Row],[Wo]]="H",IF(Eingabe[[#This Row],[S1]]&gt;0,IF(MOD(Eingabe[[#This Row],[Position]],2)=1,Eingabe[[#This Row],[S2]],Eingabe[[#This Row],[S3]]),""),""),"")</f>
        <v/>
      </c>
      <c r="AS74" s="23" t="str">
        <f>IFERROR(IF(Eingabe[[#This Row],[Wo]]="H",IF(Eingabe[[#This Row],[S1]]&gt;0,IF(MOD(ROW(Eingabe[[#This Row],[Heimbahn 3]]),2)=1,Eingabe[[#This Row],[S4]],Eingabe[[#This Row],[S1]]),""),""),"")</f>
        <v/>
      </c>
      <c r="AT74" s="23" t="str">
        <f>IFERROR(IF(Eingabe[[#This Row],[Wo]]="H",IF(Eingabe[[#This Row],[S1]]&gt;0,IF(MOD(ROW(Eingabe[[#This Row],[Heimbahn 4]]),2)=1,Eingabe[[#This Row],[S3]],Eingabe[[#This Row],[S2]]),""),""),"")</f>
        <v/>
      </c>
      <c r="AU74" s="89" t="str">
        <f>IF(Eingabe[[#This Row],[GES]]="","",IF(Eingabe[[#This Row],[Modus]]="L",_xlfn.RANK.EQ(Eingabe[[#This Row],[GES]],AF69:AF74),IF(Eingabe[[#This Row],[Modus]]="P",_xlfn.RANK.EQ(Eingabe[[#This Row],[GES]],AF69:AF74),"")))</f>
        <v/>
      </c>
      <c r="AV74" s="6" t="e">
        <f>VLOOKUP(Eingabe[[#This Row],[Name]],AuswertungG[],8,FALSE)</f>
        <v>#N/A</v>
      </c>
      <c r="AZ74" s="6" t="str">
        <f>IFERROR(ABS(Eingabe[[#This Row],[GES]]-Eingabe[[#This Row],[GEGGES]]),"")</f>
        <v/>
      </c>
    </row>
    <row r="75" spans="1:52" ht="16.2" hidden="1" thickBot="1" x14ac:dyDescent="0.35">
      <c r="A75" s="440">
        <f t="shared" ref="A75" si="12">B75</f>
        <v>13</v>
      </c>
      <c r="B75" s="55">
        <f t="shared" si="10"/>
        <v>13</v>
      </c>
      <c r="C75" s="35" t="str">
        <f>VLOOKUP($B75,Chronologie[],7,TRUE)</f>
        <v>VfB Lengenfeld</v>
      </c>
      <c r="D75" s="35" t="str">
        <f>VLOOKUP($B75,Chronologie[],8,TRUE)</f>
        <v>Lengenfeld</v>
      </c>
      <c r="E75" s="36" t="str">
        <f>VLOOKUP($B75,Chronologie[],9,TRUE)</f>
        <v>A</v>
      </c>
      <c r="F75" s="35" t="str">
        <f>VLOOKUP($B75,Chronologie[],COLUMN(F76)-2,TRUE)</f>
        <v>E</v>
      </c>
      <c r="G75" s="35" t="str">
        <f>VLOOKUP($B75,Chronologie[],COLUMN(G76)-2,TRUE)</f>
        <v>L</v>
      </c>
      <c r="H75" s="35">
        <f>VLOOKUP($B75,Chronologie[],COLUMN(H76)-2,TRUE)</f>
        <v>13</v>
      </c>
      <c r="I75" s="9" t="str">
        <f>VLOOKUP($B75,Chronologie[],2,TRUE)</f>
        <v>E-L-13</v>
      </c>
      <c r="J75" s="242">
        <f>VLOOKUP($B75,Chronologie[],3,TRUE)</f>
        <v>46074</v>
      </c>
      <c r="K75" s="236"/>
      <c r="L75" s="334"/>
      <c r="M75" s="334"/>
      <c r="N75" s="334"/>
      <c r="O75" s="334"/>
      <c r="P75" s="334"/>
      <c r="Q75" s="334"/>
      <c r="R75" s="334"/>
      <c r="S75" s="334"/>
      <c r="T75" s="334"/>
      <c r="U75" s="334"/>
      <c r="V75" s="334"/>
      <c r="W75" s="334"/>
      <c r="X75" s="37"/>
      <c r="Y75" s="37"/>
      <c r="Z75" s="37"/>
      <c r="AA75" s="37"/>
      <c r="AB75" s="90"/>
      <c r="AC75" s="93" t="str">
        <f>IF(Eingabe[[#This Row],[V1]]="",IF(Eingabe[[#This Row],[Volle alternativ]]="","",Eingabe[[#This Row],[Volle alternativ]]),SUM(Eingabe[[#This Row],[V1]:[V4]]))</f>
        <v/>
      </c>
      <c r="AD75" s="35" t="str">
        <f>IF(Eingabe[[#This Row],[R1]]="",IF(Eingabe[[#This Row],[Räumer alternativ]]="","",Eingabe[[#This Row],[Räumer alternativ]]),SUM(Eingabe[[#This Row],[R1]:[R4]]))</f>
        <v/>
      </c>
      <c r="AE75" s="35" t="str">
        <f>IF(Eingabe[[#This Row],[F1]]="",IF(Eingabe[[#This Row],[Fehler alternativ]]="","",Eingabe[[#This Row],[Fehler alternativ]]),SUM(Eingabe[[#This Row],[F1]:[F4]]))</f>
        <v/>
      </c>
      <c r="AF75" s="35" t="str">
        <f>IF(Eingabe[[#This Row],[Volle]]="","",IF(Eingabe[[#This Row],[S1]]="",Eingabe[[#This Row],[Volle]]+Eingabe[[#This Row],[Räumer]],IF(Eingabe[[#This Row],[Volle]]+Eingabe[[#This Row],[Räumer]]=Eingabe[[#This Row],[S1]]+Eingabe[[#This Row],[S2]]+Eingabe[[#This Row],[S3]]+Eingabe[[#This Row],[S4]],Eingabe[[#This Row],[Volle]]+Eingabe[[#This Row],[Räumer]],"FEHLER")))</f>
        <v/>
      </c>
      <c r="AG75" s="35" t="str">
        <f>IF(Eingabe[[#This Row],[V1]]="","",Eingabe[[#This Row],[V1]]+Eingabe[[#This Row],[R1]])</f>
        <v/>
      </c>
      <c r="AH75" s="35" t="str">
        <f>IF(Eingabe[[#This Row],[V2]]="","",Eingabe[[#This Row],[V2]]+Eingabe[[#This Row],[R2]])</f>
        <v/>
      </c>
      <c r="AI75" s="35" t="str">
        <f>IF(Eingabe[[#This Row],[V3]]="","",Eingabe[[#This Row],[V3]]+Eingabe[[#This Row],[R3]])</f>
        <v/>
      </c>
      <c r="AJ75" s="35" t="str">
        <f>IF(Eingabe[[#This Row],[V4]]="","",Eingabe[[#This Row],[V4]]+Eingabe[[#This Row],[R4]])</f>
        <v/>
      </c>
      <c r="AK75" s="35" t="str">
        <f>IF(Eingabe[[#This Row],[S1P]]="","",Eingabe[[#This Row],[S1P]]+Eingabe[[#This Row],[S2P]]+Eingabe[[#This Row],[S3P]]+Eingabe[[#This Row],[S4P]])</f>
        <v/>
      </c>
      <c r="AL75" s="35" t="str">
        <f>IF(Eingabe[[#This Row],[S1P]]="","",IF(Eingabe[[#This Row],[SP]]&gt;2,1,IF(Eingabe[[#This Row],[SP]]&lt;2,0,IF(Eingabe[[#This Row],[GES]]&gt;Eingabe[[#This Row],[GEGGES]],1,IF(Eingabe[[#This Row],[GES]]=Eingabe[[#This Row],[GEGGES]],0.5,0)))))</f>
        <v/>
      </c>
      <c r="AM75" s="35" t="str">
        <f>IF(Eingabe[[#This Row],[MP]]="","",MOD(ROW(Eingabe[[#This Row],[Position]])-3,6)+1)</f>
        <v/>
      </c>
      <c r="AN75" s="35" t="e">
        <f>STANDARDIZE(Eingabe[[#This Row],[GES]],Eingabe[[#This Row],[Schnitt]],VLOOKUP(Eingabe[[#This Row],[Name]],AuswertungG[],21,FALSE))</f>
        <v>#VALUE!</v>
      </c>
      <c r="AO75" s="35">
        <f>VLOOKUP(Eingabe[[#This Row],[ID]],Chronologie[[ID]:[KW]],12,FALSE)</f>
        <v>26</v>
      </c>
      <c r="AP75" s="58" t="str">
        <f>IF(Eingabe[[#This Row],[Wo]]="H",Eingabe[[#This Row],[Gegner]]&amp;" ["&amp;Eingabe[[#This Row],[Wo]]&amp;"]",Eingabe[[#This Row],[Ort]])</f>
        <v>Lengenfeld</v>
      </c>
      <c r="AQ75" s="35" t="str">
        <f>IFERROR(IF(Eingabe[[#This Row],[Wo]]="H",IF(MOD(Eingabe[[#This Row],[Position]],2)=1,Eingabe[[#This Row],[S1]],Eingabe[[#This Row],[S4]]),""),"")</f>
        <v/>
      </c>
      <c r="AR75" s="35" t="str">
        <f>IFERROR(IF(Eingabe[[#This Row],[Wo]]="H",IF(Eingabe[[#This Row],[S1]]&gt;0,IF(MOD(Eingabe[[#This Row],[Position]],2)=1,Eingabe[[#This Row],[S2]],Eingabe[[#This Row],[S3]]),""),""),"")</f>
        <v/>
      </c>
      <c r="AS75" s="35" t="str">
        <f>IFERROR(IF(Eingabe[[#This Row],[Wo]]="H",IF(Eingabe[[#This Row],[S1]]&gt;0,IF(MOD(ROW(Eingabe[[#This Row],[Heimbahn 3]]),2)=1,Eingabe[[#This Row],[S4]],Eingabe[[#This Row],[S1]]),""),""),"")</f>
        <v/>
      </c>
      <c r="AT75" s="35" t="str">
        <f>IFERROR(IF(Eingabe[[#This Row],[Wo]]="H",IF(Eingabe[[#This Row],[S1]]&gt;0,IF(MOD(ROW(Eingabe[[#This Row],[Heimbahn 4]]),2)=1,Eingabe[[#This Row],[S3]],Eingabe[[#This Row],[S2]]),""),""),"")</f>
        <v/>
      </c>
      <c r="AU75" s="88" t="str">
        <f>IF(Eingabe[[#This Row],[GES]]="","",IF(Eingabe[[#This Row],[Modus]]="L",_xlfn.RANK.EQ(Eingabe[[#This Row],[GES]],AF75:AF80),IF(Eingabe[[#This Row],[Modus]]="P",_xlfn.RANK.EQ(Eingabe[[#This Row],[GES]],AF75:AF80),"")))</f>
        <v/>
      </c>
      <c r="AV75" s="6" t="e">
        <f>VLOOKUP(Eingabe[[#This Row],[Name]],AuswertungG[],8,FALSE)</f>
        <v>#N/A</v>
      </c>
      <c r="AZ75" s="6" t="str">
        <f>IFERROR(ABS(Eingabe[[#This Row],[GES]]-Eingabe[[#This Row],[GEGGES]]),"")</f>
        <v/>
      </c>
    </row>
    <row r="76" spans="1:52" ht="16.2" hidden="1" thickBot="1" x14ac:dyDescent="0.35">
      <c r="A76" s="441"/>
      <c r="B76" s="21">
        <f t="shared" si="10"/>
        <v>13</v>
      </c>
      <c r="C76" s="6" t="str">
        <f>VLOOKUP($B76,Chronologie[],7,TRUE)</f>
        <v>VfB Lengenfeld</v>
      </c>
      <c r="D76" s="6" t="str">
        <f>VLOOKUP($B76,Chronologie[],8,TRUE)</f>
        <v>Lengenfeld</v>
      </c>
      <c r="E76" s="240" t="str">
        <f>VLOOKUP($B76,Chronologie[],9,TRUE)</f>
        <v>A</v>
      </c>
      <c r="F76" s="6" t="str">
        <f>VLOOKUP($B76,Chronologie[],COLUMN(F77)-2,TRUE)</f>
        <v>E</v>
      </c>
      <c r="G76" s="6" t="str">
        <f>VLOOKUP($B76,Chronologie[],COLUMN(G77)-2,TRUE)</f>
        <v>L</v>
      </c>
      <c r="H76" s="6">
        <f>VLOOKUP($B76,Chronologie[],COLUMN(H77)-2,TRUE)</f>
        <v>13</v>
      </c>
      <c r="I76" s="10" t="str">
        <f>VLOOKUP($B76,Chronologie[],2,TRUE)</f>
        <v>E-L-13</v>
      </c>
      <c r="J76" s="243">
        <f>VLOOKUP($B76,Chronologie[],3,TRUE)</f>
        <v>46074</v>
      </c>
      <c r="K76" s="237"/>
      <c r="L76" s="237"/>
      <c r="M76" s="237"/>
      <c r="N76" s="237"/>
      <c r="O76" s="237"/>
      <c r="P76" s="237"/>
      <c r="Q76" s="237"/>
      <c r="R76" s="237"/>
      <c r="S76" s="237"/>
      <c r="T76" s="237"/>
      <c r="U76" s="237"/>
      <c r="V76" s="237"/>
      <c r="W76" s="237"/>
      <c r="X76" s="38"/>
      <c r="Y76" s="38"/>
      <c r="Z76" s="38"/>
      <c r="AA76" s="38"/>
      <c r="AB76" s="91"/>
      <c r="AC76" s="94" t="str">
        <f>IF(Eingabe[[#This Row],[V1]]="",IF(Eingabe[[#This Row],[Volle alternativ]]="","",Eingabe[[#This Row],[Volle alternativ]]),SUM(Eingabe[[#This Row],[V1]:[V4]]))</f>
        <v/>
      </c>
      <c r="AD76" s="6" t="str">
        <f>IF(Eingabe[[#This Row],[R1]]="",IF(Eingabe[[#This Row],[Räumer alternativ]]="","",Eingabe[[#This Row],[Räumer alternativ]]),SUM(Eingabe[[#This Row],[R1]:[R4]]))</f>
        <v/>
      </c>
      <c r="AE76" s="6" t="str">
        <f>IF(Eingabe[[#This Row],[F1]]="",IF(Eingabe[[#This Row],[Fehler alternativ]]="","",Eingabe[[#This Row],[Fehler alternativ]]),SUM(Eingabe[[#This Row],[F1]:[F4]]))</f>
        <v/>
      </c>
      <c r="AF76" s="6" t="str">
        <f>IF(Eingabe[[#This Row],[Volle]]="","",IF(Eingabe[[#This Row],[S1]]="",Eingabe[[#This Row],[Volle]]+Eingabe[[#This Row],[Räumer]],IF(Eingabe[[#This Row],[Volle]]+Eingabe[[#This Row],[Räumer]]=Eingabe[[#This Row],[S1]]+Eingabe[[#This Row],[S2]]+Eingabe[[#This Row],[S3]]+Eingabe[[#This Row],[S4]],Eingabe[[#This Row],[Volle]]+Eingabe[[#This Row],[Räumer]],"FEHLER")))</f>
        <v/>
      </c>
      <c r="AG76" s="6" t="str">
        <f>IF(Eingabe[[#This Row],[V1]]="","",Eingabe[[#This Row],[V1]]+Eingabe[[#This Row],[R1]])</f>
        <v/>
      </c>
      <c r="AH76" s="6" t="str">
        <f>IF(Eingabe[[#This Row],[V2]]="","",Eingabe[[#This Row],[V2]]+Eingabe[[#This Row],[R2]])</f>
        <v/>
      </c>
      <c r="AI76" s="6" t="str">
        <f>IF(Eingabe[[#This Row],[V3]]="","",Eingabe[[#This Row],[V3]]+Eingabe[[#This Row],[R3]])</f>
        <v/>
      </c>
      <c r="AJ76" s="6" t="str">
        <f>IF(Eingabe[[#This Row],[V4]]="","",Eingabe[[#This Row],[V4]]+Eingabe[[#This Row],[R4]])</f>
        <v/>
      </c>
      <c r="AK76" s="6" t="str">
        <f>IF(Eingabe[[#This Row],[S1P]]="","",Eingabe[[#This Row],[S1P]]+Eingabe[[#This Row],[S2P]]+Eingabe[[#This Row],[S3P]]+Eingabe[[#This Row],[S4P]])</f>
        <v/>
      </c>
      <c r="AL76" s="6" t="str">
        <f>IF(Eingabe[[#This Row],[S1P]]="","",IF(Eingabe[[#This Row],[SP]]&gt;2,1,IF(Eingabe[[#This Row],[SP]]&lt;2,0,IF(Eingabe[[#This Row],[GES]]&gt;Eingabe[[#This Row],[GEGGES]],1,IF(Eingabe[[#This Row],[GES]]=Eingabe[[#This Row],[GEGGES]],0.5,0)))))</f>
        <v/>
      </c>
      <c r="AM76" s="6" t="str">
        <f>IF(Eingabe[[#This Row],[MP]]="","",MOD(ROW(Eingabe[[#This Row],[Position]])-3,6)+1)</f>
        <v/>
      </c>
      <c r="AN76" s="6" t="e">
        <f>STANDARDIZE(Eingabe[[#This Row],[GES]],Eingabe[[#This Row],[Schnitt]],VLOOKUP(Eingabe[[#This Row],[Name]],AuswertungG[],21,FALSE))</f>
        <v>#VALUE!</v>
      </c>
      <c r="AO76" s="6">
        <f>VLOOKUP(Eingabe[[#This Row],[ID]],Chronologie[[ID]:[KW]],12,FALSE)</f>
        <v>26</v>
      </c>
      <c r="AP76" s="95" t="str">
        <f>IF(Eingabe[[#This Row],[Wo]]="H",Eingabe[[#This Row],[Gegner]]&amp;" ["&amp;Eingabe[[#This Row],[Wo]]&amp;"]",Eingabe[[#This Row],[Ort]])</f>
        <v>Lengenfeld</v>
      </c>
      <c r="AQ76" s="6" t="str">
        <f>IFERROR(IF(Eingabe[[#This Row],[Wo]]="H",IF(MOD(Eingabe[[#This Row],[Position]],2)=1,Eingabe[[#This Row],[S1]],Eingabe[[#This Row],[S4]]),""),"")</f>
        <v/>
      </c>
      <c r="AR76" s="6" t="str">
        <f>IFERROR(IF(Eingabe[[#This Row],[Wo]]="H",IF(Eingabe[[#This Row],[S1]]&gt;0,IF(MOD(Eingabe[[#This Row],[Position]],2)=1,Eingabe[[#This Row],[S2]],Eingabe[[#This Row],[S3]]),""),""),"")</f>
        <v/>
      </c>
      <c r="AS76" s="6" t="str">
        <f>IFERROR(IF(Eingabe[[#This Row],[Wo]]="H",IF(Eingabe[[#This Row],[S1]]&gt;0,IF(MOD(ROW(Eingabe[[#This Row],[Heimbahn 3]]),2)=1,Eingabe[[#This Row],[S4]],Eingabe[[#This Row],[S1]]),""),""),"")</f>
        <v/>
      </c>
      <c r="AT76" s="6" t="str">
        <f>IFERROR(IF(Eingabe[[#This Row],[Wo]]="H",IF(Eingabe[[#This Row],[S1]]&gt;0,IF(MOD(ROW(Eingabe[[#This Row],[Heimbahn 4]]),2)=1,Eingabe[[#This Row],[S3]],Eingabe[[#This Row],[S2]]),""),""),"")</f>
        <v/>
      </c>
      <c r="AU76" s="22" t="str">
        <f>IF(Eingabe[[#This Row],[GES]]="","",IF(Eingabe[[#This Row],[Modus]]="L",_xlfn.RANK.EQ(Eingabe[[#This Row],[GES]],AF75:AF80),IF(Eingabe[[#This Row],[Modus]]="P",_xlfn.RANK.EQ(Eingabe[[#This Row],[GES]],AF75:AF80),"")))</f>
        <v/>
      </c>
      <c r="AV76" s="6" t="e">
        <f>VLOOKUP(Eingabe[[#This Row],[Name]],AuswertungG[],8,FALSE)</f>
        <v>#N/A</v>
      </c>
      <c r="AZ76" s="6" t="str">
        <f>IFERROR(ABS(Eingabe[[#This Row],[GES]]-Eingabe[[#This Row],[GEGGES]]),"")</f>
        <v/>
      </c>
    </row>
    <row r="77" spans="1:52" ht="16.2" hidden="1" thickBot="1" x14ac:dyDescent="0.35">
      <c r="A77" s="441"/>
      <c r="B77" s="21">
        <f t="shared" si="10"/>
        <v>13</v>
      </c>
      <c r="C77" s="6" t="str">
        <f>VLOOKUP($B77,Chronologie[],7,TRUE)</f>
        <v>VfB Lengenfeld</v>
      </c>
      <c r="D77" s="6" t="str">
        <f>VLOOKUP($B77,Chronologie[],8,TRUE)</f>
        <v>Lengenfeld</v>
      </c>
      <c r="E77" s="240" t="str">
        <f>VLOOKUP($B77,Chronologie[],9,TRUE)</f>
        <v>A</v>
      </c>
      <c r="F77" s="6" t="str">
        <f>VLOOKUP($B77,Chronologie[],COLUMN(F78)-2,TRUE)</f>
        <v>E</v>
      </c>
      <c r="G77" s="6" t="str">
        <f>VLOOKUP($B77,Chronologie[],COLUMN(G78)-2,TRUE)</f>
        <v>L</v>
      </c>
      <c r="H77" s="6">
        <f>VLOOKUP($B77,Chronologie[],COLUMN(H78)-2,TRUE)</f>
        <v>13</v>
      </c>
      <c r="I77" s="10" t="str">
        <f>VLOOKUP($B77,Chronologie[],2,TRUE)</f>
        <v>E-L-13</v>
      </c>
      <c r="J77" s="243">
        <f>VLOOKUP($B77,Chronologie[],3,TRUE)</f>
        <v>46074</v>
      </c>
      <c r="K77" s="237"/>
      <c r="L77" s="237"/>
      <c r="M77" s="237"/>
      <c r="N77" s="237"/>
      <c r="O77" s="237"/>
      <c r="P77" s="237"/>
      <c r="Q77" s="237"/>
      <c r="R77" s="237"/>
      <c r="S77" s="237"/>
      <c r="T77" s="237"/>
      <c r="U77" s="237"/>
      <c r="V77" s="237"/>
      <c r="W77" s="237"/>
      <c r="X77" s="38"/>
      <c r="Y77" s="38"/>
      <c r="Z77" s="38"/>
      <c r="AA77" s="38"/>
      <c r="AB77" s="91"/>
      <c r="AC77" s="94" t="str">
        <f>IF(Eingabe[[#This Row],[V1]]="",IF(Eingabe[[#This Row],[Volle alternativ]]="","",Eingabe[[#This Row],[Volle alternativ]]),SUM(Eingabe[[#This Row],[V1]:[V4]]))</f>
        <v/>
      </c>
      <c r="AD77" s="6" t="str">
        <f>IF(Eingabe[[#This Row],[R1]]="",IF(Eingabe[[#This Row],[Räumer alternativ]]="","",Eingabe[[#This Row],[Räumer alternativ]]),SUM(Eingabe[[#This Row],[R1]:[R4]]))</f>
        <v/>
      </c>
      <c r="AE77" s="6" t="str">
        <f>IF(Eingabe[[#This Row],[F1]]="",IF(Eingabe[[#This Row],[Fehler alternativ]]="","",Eingabe[[#This Row],[Fehler alternativ]]),SUM(Eingabe[[#This Row],[F1]:[F4]]))</f>
        <v/>
      </c>
      <c r="AF77" s="6" t="str">
        <f>IF(Eingabe[[#This Row],[Volle]]="","",IF(Eingabe[[#This Row],[S1]]="",Eingabe[[#This Row],[Volle]]+Eingabe[[#This Row],[Räumer]],IF(Eingabe[[#This Row],[Volle]]+Eingabe[[#This Row],[Räumer]]=Eingabe[[#This Row],[S1]]+Eingabe[[#This Row],[S2]]+Eingabe[[#This Row],[S3]]+Eingabe[[#This Row],[S4]],Eingabe[[#This Row],[Volle]]+Eingabe[[#This Row],[Räumer]],"FEHLER")))</f>
        <v/>
      </c>
      <c r="AG77" s="6" t="str">
        <f>IF(Eingabe[[#This Row],[V1]]="","",Eingabe[[#This Row],[V1]]+Eingabe[[#This Row],[R1]])</f>
        <v/>
      </c>
      <c r="AH77" s="6" t="str">
        <f>IF(Eingabe[[#This Row],[V2]]="","",Eingabe[[#This Row],[V2]]+Eingabe[[#This Row],[R2]])</f>
        <v/>
      </c>
      <c r="AI77" s="6" t="str">
        <f>IF(Eingabe[[#This Row],[V3]]="","",Eingabe[[#This Row],[V3]]+Eingabe[[#This Row],[R3]])</f>
        <v/>
      </c>
      <c r="AJ77" s="6" t="str">
        <f>IF(Eingabe[[#This Row],[V4]]="","",Eingabe[[#This Row],[V4]]+Eingabe[[#This Row],[R4]])</f>
        <v/>
      </c>
      <c r="AK77" s="6" t="str">
        <f>IF(Eingabe[[#This Row],[S1P]]="","",Eingabe[[#This Row],[S1P]]+Eingabe[[#This Row],[S2P]]+Eingabe[[#This Row],[S3P]]+Eingabe[[#This Row],[S4P]])</f>
        <v/>
      </c>
      <c r="AL77" s="6" t="str">
        <f>IF(Eingabe[[#This Row],[S1P]]="","",IF(Eingabe[[#This Row],[SP]]&gt;2,1,IF(Eingabe[[#This Row],[SP]]&lt;2,0,IF(Eingabe[[#This Row],[GES]]&gt;Eingabe[[#This Row],[GEGGES]],1,IF(Eingabe[[#This Row],[GES]]=Eingabe[[#This Row],[GEGGES]],0.5,0)))))</f>
        <v/>
      </c>
      <c r="AM77" s="6" t="str">
        <f>IF(Eingabe[[#This Row],[MP]]="","",MOD(ROW(Eingabe[[#This Row],[Position]])-3,6)+1)</f>
        <v/>
      </c>
      <c r="AN77" s="6" t="e">
        <f>STANDARDIZE(Eingabe[[#This Row],[GES]],Eingabe[[#This Row],[Schnitt]],VLOOKUP(Eingabe[[#This Row],[Name]],AuswertungG[],21,FALSE))</f>
        <v>#VALUE!</v>
      </c>
      <c r="AO77" s="6">
        <f>VLOOKUP(Eingabe[[#This Row],[ID]],Chronologie[[ID]:[KW]],12,FALSE)</f>
        <v>26</v>
      </c>
      <c r="AP77" s="95" t="str">
        <f>IF(Eingabe[[#This Row],[Wo]]="H",Eingabe[[#This Row],[Gegner]]&amp;" ["&amp;Eingabe[[#This Row],[Wo]]&amp;"]",Eingabe[[#This Row],[Ort]])</f>
        <v>Lengenfeld</v>
      </c>
      <c r="AQ77" s="6" t="str">
        <f>IFERROR(IF(Eingabe[[#This Row],[Wo]]="H",IF(MOD(Eingabe[[#This Row],[Position]],2)=1,Eingabe[[#This Row],[S1]],Eingabe[[#This Row],[S4]]),""),"")</f>
        <v/>
      </c>
      <c r="AR77" s="6" t="str">
        <f>IFERROR(IF(Eingabe[[#This Row],[Wo]]="H",IF(Eingabe[[#This Row],[S1]]&gt;0,IF(MOD(Eingabe[[#This Row],[Position]],2)=1,Eingabe[[#This Row],[S2]],Eingabe[[#This Row],[S3]]),""),""),"")</f>
        <v/>
      </c>
      <c r="AS77" s="6" t="str">
        <f>IFERROR(IF(Eingabe[[#This Row],[Wo]]="H",IF(Eingabe[[#This Row],[S1]]&gt;0,IF(MOD(ROW(Eingabe[[#This Row],[Heimbahn 3]]),2)=1,Eingabe[[#This Row],[S4]],Eingabe[[#This Row],[S1]]),""),""),"")</f>
        <v/>
      </c>
      <c r="AT77" s="6" t="str">
        <f>IFERROR(IF(Eingabe[[#This Row],[Wo]]="H",IF(Eingabe[[#This Row],[S1]]&gt;0,IF(MOD(ROW(Eingabe[[#This Row],[Heimbahn 4]]),2)=1,Eingabe[[#This Row],[S3]],Eingabe[[#This Row],[S2]]),""),""),"")</f>
        <v/>
      </c>
      <c r="AU77" s="22" t="str">
        <f>IF(Eingabe[[#This Row],[GES]]="","",IF(Eingabe[[#This Row],[Modus]]="L",_xlfn.RANK.EQ(Eingabe[[#This Row],[GES]],AF75:AF80),IF(Eingabe[[#This Row],[Modus]]="P",_xlfn.RANK.EQ(Eingabe[[#This Row],[GES]],AF75:AF80),"")))</f>
        <v/>
      </c>
      <c r="AV77" s="6" t="e">
        <f>VLOOKUP(Eingabe[[#This Row],[Name]],AuswertungG[],8,FALSE)</f>
        <v>#N/A</v>
      </c>
      <c r="AZ77" s="6" t="str">
        <f>IFERROR(ABS(Eingabe[[#This Row],[GES]]-Eingabe[[#This Row],[GEGGES]]),"")</f>
        <v/>
      </c>
    </row>
    <row r="78" spans="1:52" ht="16.2" hidden="1" thickBot="1" x14ac:dyDescent="0.35">
      <c r="A78" s="441"/>
      <c r="B78" s="21">
        <f t="shared" si="10"/>
        <v>13</v>
      </c>
      <c r="C78" s="6" t="str">
        <f>VLOOKUP($B78,Chronologie[],7,TRUE)</f>
        <v>VfB Lengenfeld</v>
      </c>
      <c r="D78" s="6" t="str">
        <f>VLOOKUP($B78,Chronologie[],8,TRUE)</f>
        <v>Lengenfeld</v>
      </c>
      <c r="E78" s="240" t="str">
        <f>VLOOKUP($B78,Chronologie[],9,TRUE)</f>
        <v>A</v>
      </c>
      <c r="F78" s="6" t="str">
        <f>VLOOKUP($B78,Chronologie[],COLUMN(F79)-2,TRUE)</f>
        <v>E</v>
      </c>
      <c r="G78" s="6" t="str">
        <f>VLOOKUP($B78,Chronologie[],COLUMN(G79)-2,TRUE)</f>
        <v>L</v>
      </c>
      <c r="H78" s="6">
        <f>VLOOKUP($B78,Chronologie[],COLUMN(H79)-2,TRUE)</f>
        <v>13</v>
      </c>
      <c r="I78" s="10" t="str">
        <f>VLOOKUP($B78,Chronologie[],2,TRUE)</f>
        <v>E-L-13</v>
      </c>
      <c r="J78" s="243">
        <f>VLOOKUP($B78,Chronologie[],3,TRUE)</f>
        <v>46074</v>
      </c>
      <c r="K78" s="238"/>
      <c r="L78" s="237"/>
      <c r="M78" s="237"/>
      <c r="N78" s="237"/>
      <c r="O78" s="237"/>
      <c r="P78" s="237"/>
      <c r="Q78" s="237"/>
      <c r="R78" s="237"/>
      <c r="S78" s="237"/>
      <c r="T78" s="237"/>
      <c r="U78" s="237"/>
      <c r="V78" s="237"/>
      <c r="W78" s="237"/>
      <c r="X78" s="38"/>
      <c r="Y78" s="38"/>
      <c r="Z78" s="38"/>
      <c r="AA78" s="38"/>
      <c r="AB78" s="91"/>
      <c r="AC78" s="94" t="str">
        <f>IF(Eingabe[[#This Row],[V1]]="",IF(Eingabe[[#This Row],[Volle alternativ]]="","",Eingabe[[#This Row],[Volle alternativ]]),SUM(Eingabe[[#This Row],[V1]:[V4]]))</f>
        <v/>
      </c>
      <c r="AD78" s="6" t="str">
        <f>IF(Eingabe[[#This Row],[R1]]="",IF(Eingabe[[#This Row],[Räumer alternativ]]="","",Eingabe[[#This Row],[Räumer alternativ]]),SUM(Eingabe[[#This Row],[R1]:[R4]]))</f>
        <v/>
      </c>
      <c r="AE78" s="6" t="str">
        <f>IF(Eingabe[[#This Row],[F1]]="",IF(Eingabe[[#This Row],[Fehler alternativ]]="","",Eingabe[[#This Row],[Fehler alternativ]]),SUM(Eingabe[[#This Row],[F1]:[F4]]))</f>
        <v/>
      </c>
      <c r="AF78" s="6" t="str">
        <f>IF(Eingabe[[#This Row],[Volle]]="","",IF(Eingabe[[#This Row],[S1]]="",Eingabe[[#This Row],[Volle]]+Eingabe[[#This Row],[Räumer]],IF(Eingabe[[#This Row],[Volle]]+Eingabe[[#This Row],[Räumer]]=Eingabe[[#This Row],[S1]]+Eingabe[[#This Row],[S2]]+Eingabe[[#This Row],[S3]]+Eingabe[[#This Row],[S4]],Eingabe[[#This Row],[Volle]]+Eingabe[[#This Row],[Räumer]],"FEHLER")))</f>
        <v/>
      </c>
      <c r="AG78" s="6" t="str">
        <f>IF(Eingabe[[#This Row],[V1]]="","",Eingabe[[#This Row],[V1]]+Eingabe[[#This Row],[R1]])</f>
        <v/>
      </c>
      <c r="AH78" s="6" t="str">
        <f>IF(Eingabe[[#This Row],[V2]]="","",Eingabe[[#This Row],[V2]]+Eingabe[[#This Row],[R2]])</f>
        <v/>
      </c>
      <c r="AI78" s="6" t="str">
        <f>IF(Eingabe[[#This Row],[V3]]="","",Eingabe[[#This Row],[V3]]+Eingabe[[#This Row],[R3]])</f>
        <v/>
      </c>
      <c r="AJ78" s="6" t="str">
        <f>IF(Eingabe[[#This Row],[V4]]="","",Eingabe[[#This Row],[V4]]+Eingabe[[#This Row],[R4]])</f>
        <v/>
      </c>
      <c r="AK78" s="6" t="str">
        <f>IF(Eingabe[[#This Row],[S1P]]="","",Eingabe[[#This Row],[S1P]]+Eingabe[[#This Row],[S2P]]+Eingabe[[#This Row],[S3P]]+Eingabe[[#This Row],[S4P]])</f>
        <v/>
      </c>
      <c r="AL78" s="6" t="str">
        <f>IF(Eingabe[[#This Row],[S1P]]="","",IF(Eingabe[[#This Row],[SP]]&gt;2,1,IF(Eingabe[[#This Row],[SP]]&lt;2,0,IF(Eingabe[[#This Row],[GES]]&gt;Eingabe[[#This Row],[GEGGES]],1,IF(Eingabe[[#This Row],[GES]]=Eingabe[[#This Row],[GEGGES]],0.5,0)))))</f>
        <v/>
      </c>
      <c r="AM78" s="6" t="str">
        <f>IF(Eingabe[[#This Row],[MP]]="","",MOD(ROW(Eingabe[[#This Row],[Position]])-3,6)+1)</f>
        <v/>
      </c>
      <c r="AN78" s="6" t="e">
        <f>STANDARDIZE(Eingabe[[#This Row],[GES]],Eingabe[[#This Row],[Schnitt]],VLOOKUP(Eingabe[[#This Row],[Name]],AuswertungG[],21,FALSE))</f>
        <v>#VALUE!</v>
      </c>
      <c r="AO78" s="6">
        <f>VLOOKUP(Eingabe[[#This Row],[ID]],Chronologie[[ID]:[KW]],12,FALSE)</f>
        <v>26</v>
      </c>
      <c r="AP78" s="95" t="str">
        <f>IF(Eingabe[[#This Row],[Wo]]="H",Eingabe[[#This Row],[Gegner]]&amp;" ["&amp;Eingabe[[#This Row],[Wo]]&amp;"]",Eingabe[[#This Row],[Ort]])</f>
        <v>Lengenfeld</v>
      </c>
      <c r="AQ78" s="6" t="str">
        <f>IFERROR(IF(Eingabe[[#This Row],[Wo]]="H",IF(MOD(Eingabe[[#This Row],[Position]],2)=1,Eingabe[[#This Row],[S1]],Eingabe[[#This Row],[S4]]),""),"")</f>
        <v/>
      </c>
      <c r="AR78" s="6" t="str">
        <f>IFERROR(IF(Eingabe[[#This Row],[Wo]]="H",IF(Eingabe[[#This Row],[S1]]&gt;0,IF(MOD(Eingabe[[#This Row],[Position]],2)=1,Eingabe[[#This Row],[S2]],Eingabe[[#This Row],[S3]]),""),""),"")</f>
        <v/>
      </c>
      <c r="AS78" s="6" t="str">
        <f>IFERROR(IF(Eingabe[[#This Row],[Wo]]="H",IF(Eingabe[[#This Row],[S1]]&gt;0,IF(MOD(ROW(Eingabe[[#This Row],[Heimbahn 3]]),2)=1,Eingabe[[#This Row],[S4]],Eingabe[[#This Row],[S1]]),""),""),"")</f>
        <v/>
      </c>
      <c r="AT78" s="6" t="str">
        <f>IFERROR(IF(Eingabe[[#This Row],[Wo]]="H",IF(Eingabe[[#This Row],[S1]]&gt;0,IF(MOD(ROW(Eingabe[[#This Row],[Heimbahn 4]]),2)=1,Eingabe[[#This Row],[S3]],Eingabe[[#This Row],[S2]]),""),""),"")</f>
        <v/>
      </c>
      <c r="AU78" s="22" t="str">
        <f>IF(Eingabe[[#This Row],[GES]]="","",IF(Eingabe[[#This Row],[Modus]]="L",_xlfn.RANK.EQ(Eingabe[[#This Row],[GES]],AF75:AF80),IF(Eingabe[[#This Row],[Modus]]="P",_xlfn.RANK.EQ(Eingabe[[#This Row],[GES]],AF75:AF80),"")))</f>
        <v/>
      </c>
      <c r="AV78" s="6" t="e">
        <f>VLOOKUP(Eingabe[[#This Row],[Name]],AuswertungG[],8,FALSE)</f>
        <v>#N/A</v>
      </c>
      <c r="AZ78" s="6" t="str">
        <f>IFERROR(ABS(Eingabe[[#This Row],[GES]]-Eingabe[[#This Row],[GEGGES]]),"")</f>
        <v/>
      </c>
    </row>
    <row r="79" spans="1:52" ht="16.2" hidden="1" thickBot="1" x14ac:dyDescent="0.35">
      <c r="A79" s="441"/>
      <c r="B79" s="21">
        <f t="shared" si="10"/>
        <v>13</v>
      </c>
      <c r="C79" s="6" t="str">
        <f>VLOOKUP($B79,Chronologie[],7,TRUE)</f>
        <v>VfB Lengenfeld</v>
      </c>
      <c r="D79" s="6" t="str">
        <f>VLOOKUP($B79,Chronologie[],8,TRUE)</f>
        <v>Lengenfeld</v>
      </c>
      <c r="E79" s="240" t="str">
        <f>VLOOKUP($B79,Chronologie[],9,TRUE)</f>
        <v>A</v>
      </c>
      <c r="F79" s="6" t="str">
        <f>VLOOKUP($B79,Chronologie[],COLUMN(F80)-2,TRUE)</f>
        <v>E</v>
      </c>
      <c r="G79" s="6" t="str">
        <f>VLOOKUP($B79,Chronologie[],COLUMN(G80)-2,TRUE)</f>
        <v>L</v>
      </c>
      <c r="H79" s="6">
        <f>VLOOKUP($B79,Chronologie[],COLUMN(H80)-2,TRUE)</f>
        <v>13</v>
      </c>
      <c r="I79" s="10" t="str">
        <f>VLOOKUP($B79,Chronologie[],2,TRUE)</f>
        <v>E-L-13</v>
      </c>
      <c r="J79" s="243">
        <f>VLOOKUP($B79,Chronologie[],3,TRUE)</f>
        <v>46074</v>
      </c>
      <c r="K79" s="237"/>
      <c r="L79" s="237"/>
      <c r="M79" s="237"/>
      <c r="N79" s="237"/>
      <c r="O79" s="237"/>
      <c r="P79" s="237"/>
      <c r="Q79" s="237"/>
      <c r="R79" s="237"/>
      <c r="S79" s="237"/>
      <c r="T79" s="237"/>
      <c r="U79" s="237"/>
      <c r="V79" s="237"/>
      <c r="W79" s="237"/>
      <c r="X79" s="38"/>
      <c r="Y79" s="38"/>
      <c r="Z79" s="38"/>
      <c r="AA79" s="38"/>
      <c r="AB79" s="91"/>
      <c r="AC79" s="94" t="str">
        <f>IF(Eingabe[[#This Row],[V1]]="",IF(Eingabe[[#This Row],[Volle alternativ]]="","",Eingabe[[#This Row],[Volle alternativ]]),SUM(Eingabe[[#This Row],[V1]:[V4]]))</f>
        <v/>
      </c>
      <c r="AD79" s="6" t="str">
        <f>IF(Eingabe[[#This Row],[R1]]="",IF(Eingabe[[#This Row],[Räumer alternativ]]="","",Eingabe[[#This Row],[Räumer alternativ]]),SUM(Eingabe[[#This Row],[R1]:[R4]]))</f>
        <v/>
      </c>
      <c r="AE79" s="6" t="str">
        <f>IF(Eingabe[[#This Row],[F1]]="",IF(Eingabe[[#This Row],[Fehler alternativ]]="","",Eingabe[[#This Row],[Fehler alternativ]]),SUM(Eingabe[[#This Row],[F1]:[F4]]))</f>
        <v/>
      </c>
      <c r="AF79" s="6" t="str">
        <f>IF(Eingabe[[#This Row],[Volle]]="","",IF(Eingabe[[#This Row],[S1]]="",Eingabe[[#This Row],[Volle]]+Eingabe[[#This Row],[Räumer]],IF(Eingabe[[#This Row],[Volle]]+Eingabe[[#This Row],[Räumer]]=Eingabe[[#This Row],[S1]]+Eingabe[[#This Row],[S2]]+Eingabe[[#This Row],[S3]]+Eingabe[[#This Row],[S4]],Eingabe[[#This Row],[Volle]]+Eingabe[[#This Row],[Räumer]],"FEHLER")))</f>
        <v/>
      </c>
      <c r="AG79" s="6" t="str">
        <f>IF(Eingabe[[#This Row],[V1]]="","",Eingabe[[#This Row],[V1]]+Eingabe[[#This Row],[R1]])</f>
        <v/>
      </c>
      <c r="AH79" s="6" t="str">
        <f>IF(Eingabe[[#This Row],[V2]]="","",Eingabe[[#This Row],[V2]]+Eingabe[[#This Row],[R2]])</f>
        <v/>
      </c>
      <c r="AI79" s="6" t="str">
        <f>IF(Eingabe[[#This Row],[V3]]="","",Eingabe[[#This Row],[V3]]+Eingabe[[#This Row],[R3]])</f>
        <v/>
      </c>
      <c r="AJ79" s="6" t="str">
        <f>IF(Eingabe[[#This Row],[V4]]="","",Eingabe[[#This Row],[V4]]+Eingabe[[#This Row],[R4]])</f>
        <v/>
      </c>
      <c r="AK79" s="6" t="str">
        <f>IF(Eingabe[[#This Row],[S1P]]="","",Eingabe[[#This Row],[S1P]]+Eingabe[[#This Row],[S2P]]+Eingabe[[#This Row],[S3P]]+Eingabe[[#This Row],[S4P]])</f>
        <v/>
      </c>
      <c r="AL79" s="6" t="str">
        <f>IF(Eingabe[[#This Row],[S1P]]="","",IF(Eingabe[[#This Row],[SP]]&gt;2,1,IF(Eingabe[[#This Row],[SP]]&lt;2,0,IF(Eingabe[[#This Row],[GES]]&gt;Eingabe[[#This Row],[GEGGES]],1,IF(Eingabe[[#This Row],[GES]]=Eingabe[[#This Row],[GEGGES]],0.5,0)))))</f>
        <v/>
      </c>
      <c r="AM79" s="6" t="str">
        <f>IF(Eingabe[[#This Row],[MP]]="","",MOD(ROW(Eingabe[[#This Row],[Position]])-3,6)+1)</f>
        <v/>
      </c>
      <c r="AN79" s="6" t="e">
        <f>STANDARDIZE(Eingabe[[#This Row],[GES]],Eingabe[[#This Row],[Schnitt]],VLOOKUP(Eingabe[[#This Row],[Name]],AuswertungG[],21,FALSE))</f>
        <v>#VALUE!</v>
      </c>
      <c r="AO79" s="6">
        <f>VLOOKUP(Eingabe[[#This Row],[ID]],Chronologie[[ID]:[KW]],12,FALSE)</f>
        <v>26</v>
      </c>
      <c r="AP79" s="95" t="str">
        <f>IF(Eingabe[[#This Row],[Wo]]="H",Eingabe[[#This Row],[Gegner]]&amp;" ["&amp;Eingabe[[#This Row],[Wo]]&amp;"]",Eingabe[[#This Row],[Ort]])</f>
        <v>Lengenfeld</v>
      </c>
      <c r="AQ79" s="6" t="str">
        <f>IFERROR(IF(Eingabe[[#This Row],[Wo]]="H",IF(MOD(Eingabe[[#This Row],[Position]],2)=1,Eingabe[[#This Row],[S1]],Eingabe[[#This Row],[S4]]),""),"")</f>
        <v/>
      </c>
      <c r="AR79" s="6" t="str">
        <f>IFERROR(IF(Eingabe[[#This Row],[Wo]]="H",IF(Eingabe[[#This Row],[S1]]&gt;0,IF(MOD(Eingabe[[#This Row],[Position]],2)=1,Eingabe[[#This Row],[S2]],Eingabe[[#This Row],[S3]]),""),""),"")</f>
        <v/>
      </c>
      <c r="AS79" s="6" t="str">
        <f>IFERROR(IF(Eingabe[[#This Row],[Wo]]="H",IF(Eingabe[[#This Row],[S1]]&gt;0,IF(MOD(ROW(Eingabe[[#This Row],[Heimbahn 3]]),2)=1,Eingabe[[#This Row],[S4]],Eingabe[[#This Row],[S1]]),""),""),"")</f>
        <v/>
      </c>
      <c r="AT79" s="6" t="str">
        <f>IFERROR(IF(Eingabe[[#This Row],[Wo]]="H",IF(Eingabe[[#This Row],[S1]]&gt;0,IF(MOD(ROW(Eingabe[[#This Row],[Heimbahn 4]]),2)=1,Eingabe[[#This Row],[S3]],Eingabe[[#This Row],[S2]]),""),""),"")</f>
        <v/>
      </c>
      <c r="AU79" s="22" t="str">
        <f>IF(Eingabe[[#This Row],[GES]]="","",IF(Eingabe[[#This Row],[Modus]]="L",_xlfn.RANK.EQ(Eingabe[[#This Row],[GES]],AF75:AF80),IF(Eingabe[[#This Row],[Modus]]="P",_xlfn.RANK.EQ(Eingabe[[#This Row],[GES]],AF75:AF80),"")))</f>
        <v/>
      </c>
      <c r="AV79" s="6" t="e">
        <f>VLOOKUP(Eingabe[[#This Row],[Name]],AuswertungG[],8,FALSE)</f>
        <v>#N/A</v>
      </c>
      <c r="AZ79" s="6" t="str">
        <f>IFERROR(ABS(Eingabe[[#This Row],[GES]]-Eingabe[[#This Row],[GEGGES]]),"")</f>
        <v/>
      </c>
    </row>
    <row r="80" spans="1:52" ht="16.2" hidden="1" thickBot="1" x14ac:dyDescent="0.35">
      <c r="A80" s="442"/>
      <c r="B80" s="56">
        <f t="shared" si="10"/>
        <v>13</v>
      </c>
      <c r="C80" s="23" t="str">
        <f>VLOOKUP($B80,Chronologie[],7,TRUE)</f>
        <v>VfB Lengenfeld</v>
      </c>
      <c r="D80" s="23" t="str">
        <f>VLOOKUP($B80,Chronologie[],8,TRUE)</f>
        <v>Lengenfeld</v>
      </c>
      <c r="E80" s="39" t="str">
        <f>VLOOKUP($B80,Chronologie[],9,TRUE)</f>
        <v>A</v>
      </c>
      <c r="F80" s="23" t="str">
        <f>VLOOKUP($B80,Chronologie[],COLUMN(F81)-2,TRUE)</f>
        <v>E</v>
      </c>
      <c r="G80" s="23" t="str">
        <f>VLOOKUP($B80,Chronologie[],COLUMN(G81)-2,TRUE)</f>
        <v>L</v>
      </c>
      <c r="H80" s="23">
        <f>VLOOKUP($B80,Chronologie[],COLUMN(H81)-2,TRUE)</f>
        <v>13</v>
      </c>
      <c r="I80" s="13" t="str">
        <f>VLOOKUP($B80,Chronologie[],2,TRUE)</f>
        <v>E-L-13</v>
      </c>
      <c r="J80" s="244">
        <f>VLOOKUP($B80,Chronologie[],3,TRUE)</f>
        <v>46074</v>
      </c>
      <c r="K80" s="239"/>
      <c r="L80" s="239"/>
      <c r="M80" s="239"/>
      <c r="N80" s="239"/>
      <c r="O80" s="239"/>
      <c r="P80" s="239"/>
      <c r="Q80" s="239"/>
      <c r="R80" s="239"/>
      <c r="S80" s="239"/>
      <c r="T80" s="239"/>
      <c r="U80" s="239"/>
      <c r="V80" s="239"/>
      <c r="W80" s="239"/>
      <c r="X80" s="40"/>
      <c r="Y80" s="40"/>
      <c r="Z80" s="40"/>
      <c r="AA80" s="40"/>
      <c r="AB80" s="92"/>
      <c r="AC80" s="96" t="str">
        <f>IF(Eingabe[[#This Row],[V1]]="",IF(Eingabe[[#This Row],[Volle alternativ]]="","",Eingabe[[#This Row],[Volle alternativ]]),SUM(Eingabe[[#This Row],[V1]:[V4]]))</f>
        <v/>
      </c>
      <c r="AD80" s="23" t="str">
        <f>IF(Eingabe[[#This Row],[R1]]="",IF(Eingabe[[#This Row],[Räumer alternativ]]="","",Eingabe[[#This Row],[Räumer alternativ]]),SUM(Eingabe[[#This Row],[R1]:[R4]]))</f>
        <v/>
      </c>
      <c r="AE80" s="23" t="str">
        <f>IF(Eingabe[[#This Row],[F1]]="",IF(Eingabe[[#This Row],[Fehler alternativ]]="","",Eingabe[[#This Row],[Fehler alternativ]]),SUM(Eingabe[[#This Row],[F1]:[F4]]))</f>
        <v/>
      </c>
      <c r="AF80" s="23" t="str">
        <f>IF(Eingabe[[#This Row],[Volle]]="","",IF(Eingabe[[#This Row],[S1]]="",Eingabe[[#This Row],[Volle]]+Eingabe[[#This Row],[Räumer]],IF(Eingabe[[#This Row],[Volle]]+Eingabe[[#This Row],[Räumer]]=Eingabe[[#This Row],[S1]]+Eingabe[[#This Row],[S2]]+Eingabe[[#This Row],[S3]]+Eingabe[[#This Row],[S4]],Eingabe[[#This Row],[Volle]]+Eingabe[[#This Row],[Räumer]],"FEHLER")))</f>
        <v/>
      </c>
      <c r="AG80" s="23" t="str">
        <f>IF(Eingabe[[#This Row],[V1]]="","",Eingabe[[#This Row],[V1]]+Eingabe[[#This Row],[R1]])</f>
        <v/>
      </c>
      <c r="AH80" s="23" t="str">
        <f>IF(Eingabe[[#This Row],[V2]]="","",Eingabe[[#This Row],[V2]]+Eingabe[[#This Row],[R2]])</f>
        <v/>
      </c>
      <c r="AI80" s="23" t="str">
        <f>IF(Eingabe[[#This Row],[V3]]="","",Eingabe[[#This Row],[V3]]+Eingabe[[#This Row],[R3]])</f>
        <v/>
      </c>
      <c r="AJ80" s="23" t="str">
        <f>IF(Eingabe[[#This Row],[V4]]="","",Eingabe[[#This Row],[V4]]+Eingabe[[#This Row],[R4]])</f>
        <v/>
      </c>
      <c r="AK80" s="23" t="str">
        <f>IF(Eingabe[[#This Row],[S1P]]="","",Eingabe[[#This Row],[S1P]]+Eingabe[[#This Row],[S2P]]+Eingabe[[#This Row],[S3P]]+Eingabe[[#This Row],[S4P]])</f>
        <v/>
      </c>
      <c r="AL80" s="23" t="str">
        <f>IF(Eingabe[[#This Row],[S1P]]="","",IF(Eingabe[[#This Row],[SP]]&gt;2,1,IF(Eingabe[[#This Row],[SP]]&lt;2,0,IF(Eingabe[[#This Row],[GES]]&gt;Eingabe[[#This Row],[GEGGES]],1,IF(Eingabe[[#This Row],[GES]]=Eingabe[[#This Row],[GEGGES]],0.5,0)))))</f>
        <v/>
      </c>
      <c r="AM80" s="23" t="str">
        <f>IF(Eingabe[[#This Row],[MP]]="","",MOD(ROW(Eingabe[[#This Row],[Position]])-3,6)+1)</f>
        <v/>
      </c>
      <c r="AN80" s="23" t="e">
        <f>STANDARDIZE(Eingabe[[#This Row],[GES]],Eingabe[[#This Row],[Schnitt]],VLOOKUP(Eingabe[[#This Row],[Name]],AuswertungG[],21,FALSE))</f>
        <v>#VALUE!</v>
      </c>
      <c r="AO80" s="23">
        <f>VLOOKUP(Eingabe[[#This Row],[ID]],Chronologie[[ID]:[KW]],12,FALSE)</f>
        <v>26</v>
      </c>
      <c r="AP80" s="59" t="str">
        <f>IF(Eingabe[[#This Row],[Wo]]="H",Eingabe[[#This Row],[Gegner]]&amp;" ["&amp;Eingabe[[#This Row],[Wo]]&amp;"]",Eingabe[[#This Row],[Ort]])</f>
        <v>Lengenfeld</v>
      </c>
      <c r="AQ80" s="23" t="str">
        <f>IFERROR(IF(Eingabe[[#This Row],[Wo]]="H",IF(MOD(Eingabe[[#This Row],[Position]],2)=1,Eingabe[[#This Row],[S1]],Eingabe[[#This Row],[S4]]),""),"")</f>
        <v/>
      </c>
      <c r="AR80" s="23" t="str">
        <f>IFERROR(IF(Eingabe[[#This Row],[Wo]]="H",IF(Eingabe[[#This Row],[S1]]&gt;0,IF(MOD(Eingabe[[#This Row],[Position]],2)=1,Eingabe[[#This Row],[S2]],Eingabe[[#This Row],[S3]]),""),""),"")</f>
        <v/>
      </c>
      <c r="AS80" s="23" t="str">
        <f>IFERROR(IF(Eingabe[[#This Row],[Wo]]="H",IF(Eingabe[[#This Row],[S1]]&gt;0,IF(MOD(ROW(Eingabe[[#This Row],[Heimbahn 3]]),2)=1,Eingabe[[#This Row],[S4]],Eingabe[[#This Row],[S1]]),""),""),"")</f>
        <v/>
      </c>
      <c r="AT80" s="23" t="str">
        <f>IFERROR(IF(Eingabe[[#This Row],[Wo]]="H",IF(Eingabe[[#This Row],[S1]]&gt;0,IF(MOD(ROW(Eingabe[[#This Row],[Heimbahn 4]]),2)=1,Eingabe[[#This Row],[S3]],Eingabe[[#This Row],[S2]]),""),""),"")</f>
        <v/>
      </c>
      <c r="AU80" s="89" t="str">
        <f>IF(Eingabe[[#This Row],[GES]]="","",IF(Eingabe[[#This Row],[Modus]]="L",_xlfn.RANK.EQ(Eingabe[[#This Row],[GES]],AF75:AF80),IF(Eingabe[[#This Row],[Modus]]="P",_xlfn.RANK.EQ(Eingabe[[#This Row],[GES]],AF75:AF80),"")))</f>
        <v/>
      </c>
      <c r="AV80" s="6" t="e">
        <f>VLOOKUP(Eingabe[[#This Row],[Name]],AuswertungG[],8,FALSE)</f>
        <v>#N/A</v>
      </c>
      <c r="AZ80" s="6" t="str">
        <f>IFERROR(ABS(Eingabe[[#This Row],[GES]]-Eingabe[[#This Row],[GEGGES]]),"")</f>
        <v/>
      </c>
    </row>
    <row r="81" spans="1:52" ht="16.2" hidden="1" thickBot="1" x14ac:dyDescent="0.35">
      <c r="A81" s="440">
        <f t="shared" ref="A81" si="13">B81</f>
        <v>14</v>
      </c>
      <c r="B81" s="55">
        <f t="shared" si="10"/>
        <v>14</v>
      </c>
      <c r="C81" s="35" t="str">
        <f>VLOOKUP($B81,Chronologie[],7,TRUE)</f>
        <v>SV Schönberg</v>
      </c>
      <c r="D81" s="35" t="str">
        <f>VLOOKUP($B81,Chronologie[],8,TRUE)</f>
        <v>Hirschfeld</v>
      </c>
      <c r="E81" s="36" t="str">
        <f>VLOOKUP($B81,Chronologie[],9,TRUE)</f>
        <v>H</v>
      </c>
      <c r="F81" s="35" t="str">
        <f>VLOOKUP($B81,Chronologie[],COLUMN(F82)-2,TRUE)</f>
        <v>E</v>
      </c>
      <c r="G81" s="35" t="str">
        <f>VLOOKUP($B81,Chronologie[],COLUMN(G82)-2,TRUE)</f>
        <v>L</v>
      </c>
      <c r="H81" s="35">
        <f>VLOOKUP($B81,Chronologie[],COLUMN(H82)-2,TRUE)</f>
        <v>14</v>
      </c>
      <c r="I81" s="9" t="str">
        <f>VLOOKUP($B81,Chronologie[],2,TRUE)</f>
        <v>E-L-14</v>
      </c>
      <c r="J81" s="242">
        <f>VLOOKUP($B81,Chronologie[],3,TRUE)</f>
        <v>46081</v>
      </c>
      <c r="K81" s="236"/>
      <c r="L81" s="334"/>
      <c r="M81" s="334"/>
      <c r="N81" s="334"/>
      <c r="O81" s="334"/>
      <c r="P81" s="334"/>
      <c r="Q81" s="334"/>
      <c r="R81" s="334"/>
      <c r="S81" s="334"/>
      <c r="T81" s="334"/>
      <c r="U81" s="334"/>
      <c r="V81" s="334"/>
      <c r="W81" s="334"/>
      <c r="X81" s="37"/>
      <c r="Y81" s="37"/>
      <c r="Z81" s="37"/>
      <c r="AA81" s="37"/>
      <c r="AB81" s="90"/>
      <c r="AC81" s="93" t="str">
        <f>IF(Eingabe[[#This Row],[V1]]="",IF(Eingabe[[#This Row],[Volle alternativ]]="","",Eingabe[[#This Row],[Volle alternativ]]),SUM(Eingabe[[#This Row],[V1]:[V4]]))</f>
        <v/>
      </c>
      <c r="AD81" s="35" t="str">
        <f>IF(Eingabe[[#This Row],[R1]]="",IF(Eingabe[[#This Row],[Räumer alternativ]]="","",Eingabe[[#This Row],[Räumer alternativ]]),SUM(Eingabe[[#This Row],[R1]:[R4]]))</f>
        <v/>
      </c>
      <c r="AE81" s="35" t="str">
        <f>IF(Eingabe[[#This Row],[F1]]="",IF(Eingabe[[#This Row],[Fehler alternativ]]="","",Eingabe[[#This Row],[Fehler alternativ]]),SUM(Eingabe[[#This Row],[F1]:[F4]]))</f>
        <v/>
      </c>
      <c r="AF81" s="35" t="str">
        <f>IF(Eingabe[[#This Row],[Volle]]="","",IF(Eingabe[[#This Row],[S1]]="",Eingabe[[#This Row],[Volle]]+Eingabe[[#This Row],[Räumer]],IF(Eingabe[[#This Row],[Volle]]+Eingabe[[#This Row],[Räumer]]=Eingabe[[#This Row],[S1]]+Eingabe[[#This Row],[S2]]+Eingabe[[#This Row],[S3]]+Eingabe[[#This Row],[S4]],Eingabe[[#This Row],[Volle]]+Eingabe[[#This Row],[Räumer]],"FEHLER")))</f>
        <v/>
      </c>
      <c r="AG81" s="35" t="str">
        <f>IF(Eingabe[[#This Row],[V1]]="","",Eingabe[[#This Row],[V1]]+Eingabe[[#This Row],[R1]])</f>
        <v/>
      </c>
      <c r="AH81" s="35" t="str">
        <f>IF(Eingabe[[#This Row],[V2]]="","",Eingabe[[#This Row],[V2]]+Eingabe[[#This Row],[R2]])</f>
        <v/>
      </c>
      <c r="AI81" s="35" t="str">
        <f>IF(Eingabe[[#This Row],[V3]]="","",Eingabe[[#This Row],[V3]]+Eingabe[[#This Row],[R3]])</f>
        <v/>
      </c>
      <c r="AJ81" s="35" t="str">
        <f>IF(Eingabe[[#This Row],[V4]]="","",Eingabe[[#This Row],[V4]]+Eingabe[[#This Row],[R4]])</f>
        <v/>
      </c>
      <c r="AK81" s="35" t="str">
        <f>IF(Eingabe[[#This Row],[S1P]]="","",Eingabe[[#This Row],[S1P]]+Eingabe[[#This Row],[S2P]]+Eingabe[[#This Row],[S3P]]+Eingabe[[#This Row],[S4P]])</f>
        <v/>
      </c>
      <c r="AL81" s="35" t="str">
        <f>IF(Eingabe[[#This Row],[S1P]]="","",IF(Eingabe[[#This Row],[SP]]&gt;2,1,IF(Eingabe[[#This Row],[SP]]&lt;2,0,IF(Eingabe[[#This Row],[GES]]&gt;Eingabe[[#This Row],[GEGGES]],1,IF(Eingabe[[#This Row],[GES]]=Eingabe[[#This Row],[GEGGES]],0.5,0)))))</f>
        <v/>
      </c>
      <c r="AM81" s="35" t="str">
        <f>IF(Eingabe[[#This Row],[MP]]="","",MOD(ROW(Eingabe[[#This Row],[Position]])-3,6)+1)</f>
        <v/>
      </c>
      <c r="AN81" s="35" t="e">
        <f>STANDARDIZE(Eingabe[[#This Row],[GES]],Eingabe[[#This Row],[Schnitt]],VLOOKUP(Eingabe[[#This Row],[Name]],AuswertungG[],21,FALSE))</f>
        <v>#VALUE!</v>
      </c>
      <c r="AO81" s="35">
        <f>VLOOKUP(Eingabe[[#This Row],[ID]],Chronologie[[ID]:[KW]],12,FALSE)</f>
        <v>27</v>
      </c>
      <c r="AP81" s="58" t="str">
        <f>IF(Eingabe[[#This Row],[Wo]]="H",Eingabe[[#This Row],[Gegner]]&amp;" ["&amp;Eingabe[[#This Row],[Wo]]&amp;"]",Eingabe[[#This Row],[Ort]])</f>
        <v>SV Schönberg [H]</v>
      </c>
      <c r="AQ81" s="35" t="str">
        <f>IFERROR(IF(Eingabe[[#This Row],[Wo]]="H",IF(MOD(Eingabe[[#This Row],[Position]],2)=1,Eingabe[[#This Row],[S1]],Eingabe[[#This Row],[S4]]),""),"")</f>
        <v/>
      </c>
      <c r="AR81" s="35" t="str">
        <f>IFERROR(IF(Eingabe[[#This Row],[Wo]]="H",IF(Eingabe[[#This Row],[S1]]&gt;0,IF(MOD(Eingabe[[#This Row],[Position]],2)=1,Eingabe[[#This Row],[S2]],Eingabe[[#This Row],[S3]]),""),""),"")</f>
        <v/>
      </c>
      <c r="AS81" s="35" t="str">
        <f>IFERROR(IF(Eingabe[[#This Row],[Wo]]="H",IF(Eingabe[[#This Row],[S1]]&gt;0,IF(MOD(ROW(Eingabe[[#This Row],[Heimbahn 3]]),2)=1,Eingabe[[#This Row],[S4]],Eingabe[[#This Row],[S1]]),""),""),"")</f>
        <v/>
      </c>
      <c r="AT81" s="35" t="str">
        <f>IFERROR(IF(Eingabe[[#This Row],[Wo]]="H",IF(Eingabe[[#This Row],[S1]]&gt;0,IF(MOD(ROW(Eingabe[[#This Row],[Heimbahn 4]]),2)=1,Eingabe[[#This Row],[S3]],Eingabe[[#This Row],[S2]]),""),""),"")</f>
        <v/>
      </c>
      <c r="AU81" s="88" t="str">
        <f>IF(Eingabe[[#This Row],[GES]]="","",IF(Eingabe[[#This Row],[Modus]]="L",_xlfn.RANK.EQ(Eingabe[[#This Row],[GES]],AF81:AF86),IF(Eingabe[[#This Row],[Modus]]="P",_xlfn.RANK.EQ(Eingabe[[#This Row],[GES]],AF81:AF86),"")))</f>
        <v/>
      </c>
      <c r="AV81" s="6" t="e">
        <f>VLOOKUP(Eingabe[[#This Row],[Name]],AuswertungG[],8,FALSE)</f>
        <v>#N/A</v>
      </c>
      <c r="AZ81" s="6" t="str">
        <f>IFERROR(ABS(Eingabe[[#This Row],[GES]]-Eingabe[[#This Row],[GEGGES]]),"")</f>
        <v/>
      </c>
    </row>
    <row r="82" spans="1:52" ht="16.2" hidden="1" thickBot="1" x14ac:dyDescent="0.35">
      <c r="A82" s="441"/>
      <c r="B82" s="21">
        <f t="shared" si="10"/>
        <v>14</v>
      </c>
      <c r="C82" s="6" t="str">
        <f>VLOOKUP($B82,Chronologie[],7,TRUE)</f>
        <v>SV Schönberg</v>
      </c>
      <c r="D82" s="6" t="str">
        <f>VLOOKUP($B82,Chronologie[],8,TRUE)</f>
        <v>Hirschfeld</v>
      </c>
      <c r="E82" s="240" t="str">
        <f>VLOOKUP($B82,Chronologie[],9,TRUE)</f>
        <v>H</v>
      </c>
      <c r="F82" s="6" t="str">
        <f>VLOOKUP($B82,Chronologie[],COLUMN(F83)-2,TRUE)</f>
        <v>E</v>
      </c>
      <c r="G82" s="6" t="str">
        <f>VLOOKUP($B82,Chronologie[],COLUMN(G83)-2,TRUE)</f>
        <v>L</v>
      </c>
      <c r="H82" s="6">
        <f>VLOOKUP($B82,Chronologie[],COLUMN(H83)-2,TRUE)</f>
        <v>14</v>
      </c>
      <c r="I82" s="10" t="str">
        <f>VLOOKUP($B82,Chronologie[],2,TRUE)</f>
        <v>E-L-14</v>
      </c>
      <c r="J82" s="243">
        <f>VLOOKUP($B82,Chronologie[],3,TRUE)</f>
        <v>46081</v>
      </c>
      <c r="K82" s="237"/>
      <c r="L82" s="237"/>
      <c r="M82" s="237"/>
      <c r="N82" s="237"/>
      <c r="O82" s="237"/>
      <c r="P82" s="237"/>
      <c r="Q82" s="237"/>
      <c r="R82" s="237"/>
      <c r="S82" s="237"/>
      <c r="T82" s="237"/>
      <c r="U82" s="237"/>
      <c r="V82" s="237"/>
      <c r="W82" s="237"/>
      <c r="X82" s="38"/>
      <c r="Y82" s="38"/>
      <c r="Z82" s="38"/>
      <c r="AA82" s="38"/>
      <c r="AB82" s="91"/>
      <c r="AC82" s="94" t="str">
        <f>IF(Eingabe[[#This Row],[V1]]="",IF(Eingabe[[#This Row],[Volle alternativ]]="","",Eingabe[[#This Row],[Volle alternativ]]),SUM(Eingabe[[#This Row],[V1]:[V4]]))</f>
        <v/>
      </c>
      <c r="AD82" s="6" t="str">
        <f>IF(Eingabe[[#This Row],[R1]]="",IF(Eingabe[[#This Row],[Räumer alternativ]]="","",Eingabe[[#This Row],[Räumer alternativ]]),SUM(Eingabe[[#This Row],[R1]:[R4]]))</f>
        <v/>
      </c>
      <c r="AE82" s="6" t="str">
        <f>IF(Eingabe[[#This Row],[F1]]="",IF(Eingabe[[#This Row],[Fehler alternativ]]="","",Eingabe[[#This Row],[Fehler alternativ]]),SUM(Eingabe[[#This Row],[F1]:[F4]]))</f>
        <v/>
      </c>
      <c r="AF82" s="6" t="str">
        <f>IF(Eingabe[[#This Row],[Volle]]="","",IF(Eingabe[[#This Row],[S1]]="",Eingabe[[#This Row],[Volle]]+Eingabe[[#This Row],[Räumer]],IF(Eingabe[[#This Row],[Volle]]+Eingabe[[#This Row],[Räumer]]=Eingabe[[#This Row],[S1]]+Eingabe[[#This Row],[S2]]+Eingabe[[#This Row],[S3]]+Eingabe[[#This Row],[S4]],Eingabe[[#This Row],[Volle]]+Eingabe[[#This Row],[Räumer]],"FEHLER")))</f>
        <v/>
      </c>
      <c r="AG82" s="6" t="str">
        <f>IF(Eingabe[[#This Row],[V1]]="","",Eingabe[[#This Row],[V1]]+Eingabe[[#This Row],[R1]])</f>
        <v/>
      </c>
      <c r="AH82" s="6" t="str">
        <f>IF(Eingabe[[#This Row],[V2]]="","",Eingabe[[#This Row],[V2]]+Eingabe[[#This Row],[R2]])</f>
        <v/>
      </c>
      <c r="AI82" s="6" t="str">
        <f>IF(Eingabe[[#This Row],[V3]]="","",Eingabe[[#This Row],[V3]]+Eingabe[[#This Row],[R3]])</f>
        <v/>
      </c>
      <c r="AJ82" s="6" t="str">
        <f>IF(Eingabe[[#This Row],[V4]]="","",Eingabe[[#This Row],[V4]]+Eingabe[[#This Row],[R4]])</f>
        <v/>
      </c>
      <c r="AK82" s="6" t="str">
        <f>IF(Eingabe[[#This Row],[S1P]]="","",Eingabe[[#This Row],[S1P]]+Eingabe[[#This Row],[S2P]]+Eingabe[[#This Row],[S3P]]+Eingabe[[#This Row],[S4P]])</f>
        <v/>
      </c>
      <c r="AL82" s="6" t="str">
        <f>IF(Eingabe[[#This Row],[S1P]]="","",IF(Eingabe[[#This Row],[SP]]&gt;2,1,IF(Eingabe[[#This Row],[SP]]&lt;2,0,IF(Eingabe[[#This Row],[GES]]&gt;Eingabe[[#This Row],[GEGGES]],1,IF(Eingabe[[#This Row],[GES]]=Eingabe[[#This Row],[GEGGES]],0.5,0)))))</f>
        <v/>
      </c>
      <c r="AM82" s="6" t="str">
        <f>IF(Eingabe[[#This Row],[MP]]="","",MOD(ROW(Eingabe[[#This Row],[Position]])-3,6)+1)</f>
        <v/>
      </c>
      <c r="AN82" s="6" t="e">
        <f>STANDARDIZE(Eingabe[[#This Row],[GES]],Eingabe[[#This Row],[Schnitt]],VLOOKUP(Eingabe[[#This Row],[Name]],AuswertungG[],21,FALSE))</f>
        <v>#VALUE!</v>
      </c>
      <c r="AO82" s="6">
        <f>VLOOKUP(Eingabe[[#This Row],[ID]],Chronologie[[ID]:[KW]],12,FALSE)</f>
        <v>27</v>
      </c>
      <c r="AP82" s="95" t="str">
        <f>IF(Eingabe[[#This Row],[Wo]]="H",Eingabe[[#This Row],[Gegner]]&amp;" ["&amp;Eingabe[[#This Row],[Wo]]&amp;"]",Eingabe[[#This Row],[Ort]])</f>
        <v>SV Schönberg [H]</v>
      </c>
      <c r="AQ82" s="6" t="str">
        <f>IFERROR(IF(Eingabe[[#This Row],[Wo]]="H",IF(MOD(Eingabe[[#This Row],[Position]],2)=1,Eingabe[[#This Row],[S1]],Eingabe[[#This Row],[S4]]),""),"")</f>
        <v/>
      </c>
      <c r="AR82" s="6" t="str">
        <f>IFERROR(IF(Eingabe[[#This Row],[Wo]]="H",IF(Eingabe[[#This Row],[S1]]&gt;0,IF(MOD(Eingabe[[#This Row],[Position]],2)=1,Eingabe[[#This Row],[S2]],Eingabe[[#This Row],[S3]]),""),""),"")</f>
        <v/>
      </c>
      <c r="AS82" s="6" t="str">
        <f>IFERROR(IF(Eingabe[[#This Row],[Wo]]="H",IF(Eingabe[[#This Row],[S1]]&gt;0,IF(MOD(ROW(Eingabe[[#This Row],[Heimbahn 3]]),2)=1,Eingabe[[#This Row],[S4]],Eingabe[[#This Row],[S1]]),""),""),"")</f>
        <v/>
      </c>
      <c r="AT82" s="6" t="str">
        <f>IFERROR(IF(Eingabe[[#This Row],[Wo]]="H",IF(Eingabe[[#This Row],[S1]]&gt;0,IF(MOD(ROW(Eingabe[[#This Row],[Heimbahn 4]]),2)=1,Eingabe[[#This Row],[S3]],Eingabe[[#This Row],[S2]]),""),""),"")</f>
        <v/>
      </c>
      <c r="AU82" s="22" t="str">
        <f>IF(Eingabe[[#This Row],[GES]]="","",IF(Eingabe[[#This Row],[Modus]]="L",_xlfn.RANK.EQ(Eingabe[[#This Row],[GES]],AF81:AF86),IF(Eingabe[[#This Row],[Modus]]="P",_xlfn.RANK.EQ(Eingabe[[#This Row],[GES]],AF81:AF86),"")))</f>
        <v/>
      </c>
      <c r="AV82" s="6" t="e">
        <f>VLOOKUP(Eingabe[[#This Row],[Name]],AuswertungG[],8,FALSE)</f>
        <v>#N/A</v>
      </c>
      <c r="AZ82" s="6" t="str">
        <f>IFERROR(ABS(Eingabe[[#This Row],[GES]]-Eingabe[[#This Row],[GEGGES]]),"")</f>
        <v/>
      </c>
    </row>
    <row r="83" spans="1:52" ht="16.2" hidden="1" thickBot="1" x14ac:dyDescent="0.35">
      <c r="A83" s="441"/>
      <c r="B83" s="21">
        <f t="shared" si="10"/>
        <v>14</v>
      </c>
      <c r="C83" s="6" t="str">
        <f>VLOOKUP($B83,Chronologie[],7,TRUE)</f>
        <v>SV Schönberg</v>
      </c>
      <c r="D83" s="6" t="str">
        <f>VLOOKUP($B83,Chronologie[],8,TRUE)</f>
        <v>Hirschfeld</v>
      </c>
      <c r="E83" s="240" t="str">
        <f>VLOOKUP($B83,Chronologie[],9,TRUE)</f>
        <v>H</v>
      </c>
      <c r="F83" s="6" t="str">
        <f>VLOOKUP($B83,Chronologie[],COLUMN(F84)-2,TRUE)</f>
        <v>E</v>
      </c>
      <c r="G83" s="6" t="str">
        <f>VLOOKUP($B83,Chronologie[],COLUMN(G84)-2,TRUE)</f>
        <v>L</v>
      </c>
      <c r="H83" s="6">
        <f>VLOOKUP($B83,Chronologie[],COLUMN(H84)-2,TRUE)</f>
        <v>14</v>
      </c>
      <c r="I83" s="10" t="str">
        <f>VLOOKUP($B83,Chronologie[],2,TRUE)</f>
        <v>E-L-14</v>
      </c>
      <c r="J83" s="243">
        <f>VLOOKUP($B83,Chronologie[],3,TRUE)</f>
        <v>46081</v>
      </c>
      <c r="K83" s="237"/>
      <c r="L83" s="237"/>
      <c r="M83" s="237"/>
      <c r="N83" s="237"/>
      <c r="O83" s="237"/>
      <c r="P83" s="237"/>
      <c r="Q83" s="237"/>
      <c r="R83" s="237"/>
      <c r="S83" s="237"/>
      <c r="T83" s="237"/>
      <c r="U83" s="237"/>
      <c r="V83" s="237"/>
      <c r="W83" s="237"/>
      <c r="X83" s="38"/>
      <c r="Y83" s="38"/>
      <c r="Z83" s="38"/>
      <c r="AA83" s="38"/>
      <c r="AB83" s="91"/>
      <c r="AC83" s="94" t="str">
        <f>IF(Eingabe[[#This Row],[V1]]="",IF(Eingabe[[#This Row],[Volle alternativ]]="","",Eingabe[[#This Row],[Volle alternativ]]),SUM(Eingabe[[#This Row],[V1]:[V4]]))</f>
        <v/>
      </c>
      <c r="AD83" s="6" t="str">
        <f>IF(Eingabe[[#This Row],[R1]]="",IF(Eingabe[[#This Row],[Räumer alternativ]]="","",Eingabe[[#This Row],[Räumer alternativ]]),SUM(Eingabe[[#This Row],[R1]:[R4]]))</f>
        <v/>
      </c>
      <c r="AE83" s="6" t="str">
        <f>IF(Eingabe[[#This Row],[F1]]="",IF(Eingabe[[#This Row],[Fehler alternativ]]="","",Eingabe[[#This Row],[Fehler alternativ]]),SUM(Eingabe[[#This Row],[F1]:[F4]]))</f>
        <v/>
      </c>
      <c r="AF83" s="6" t="str">
        <f>IF(Eingabe[[#This Row],[Volle]]="","",IF(Eingabe[[#This Row],[S1]]="",Eingabe[[#This Row],[Volle]]+Eingabe[[#This Row],[Räumer]],IF(Eingabe[[#This Row],[Volle]]+Eingabe[[#This Row],[Räumer]]=Eingabe[[#This Row],[S1]]+Eingabe[[#This Row],[S2]]+Eingabe[[#This Row],[S3]]+Eingabe[[#This Row],[S4]],Eingabe[[#This Row],[Volle]]+Eingabe[[#This Row],[Räumer]],"FEHLER")))</f>
        <v/>
      </c>
      <c r="AG83" s="6" t="str">
        <f>IF(Eingabe[[#This Row],[V1]]="","",Eingabe[[#This Row],[V1]]+Eingabe[[#This Row],[R1]])</f>
        <v/>
      </c>
      <c r="AH83" s="6" t="str">
        <f>IF(Eingabe[[#This Row],[V2]]="","",Eingabe[[#This Row],[V2]]+Eingabe[[#This Row],[R2]])</f>
        <v/>
      </c>
      <c r="AI83" s="6" t="str">
        <f>IF(Eingabe[[#This Row],[V3]]="","",Eingabe[[#This Row],[V3]]+Eingabe[[#This Row],[R3]])</f>
        <v/>
      </c>
      <c r="AJ83" s="6" t="str">
        <f>IF(Eingabe[[#This Row],[V4]]="","",Eingabe[[#This Row],[V4]]+Eingabe[[#This Row],[R4]])</f>
        <v/>
      </c>
      <c r="AK83" s="6" t="str">
        <f>IF(Eingabe[[#This Row],[S1P]]="","",Eingabe[[#This Row],[S1P]]+Eingabe[[#This Row],[S2P]]+Eingabe[[#This Row],[S3P]]+Eingabe[[#This Row],[S4P]])</f>
        <v/>
      </c>
      <c r="AL83" s="6" t="str">
        <f>IF(Eingabe[[#This Row],[S1P]]="","",IF(Eingabe[[#This Row],[SP]]&gt;2,1,IF(Eingabe[[#This Row],[SP]]&lt;2,0,IF(Eingabe[[#This Row],[GES]]&gt;Eingabe[[#This Row],[GEGGES]],1,IF(Eingabe[[#This Row],[GES]]=Eingabe[[#This Row],[GEGGES]],0.5,0)))))</f>
        <v/>
      </c>
      <c r="AM83" s="6" t="str">
        <f>IF(Eingabe[[#This Row],[MP]]="","",MOD(ROW(Eingabe[[#This Row],[Position]])-3,6)+1)</f>
        <v/>
      </c>
      <c r="AN83" s="6" t="e">
        <f>STANDARDIZE(Eingabe[[#This Row],[GES]],Eingabe[[#This Row],[Schnitt]],VLOOKUP(Eingabe[[#This Row],[Name]],AuswertungG[],21,FALSE))</f>
        <v>#VALUE!</v>
      </c>
      <c r="AO83" s="6">
        <f>VLOOKUP(Eingabe[[#This Row],[ID]],Chronologie[[ID]:[KW]],12,FALSE)</f>
        <v>27</v>
      </c>
      <c r="AP83" s="95" t="str">
        <f>IF(Eingabe[[#This Row],[Wo]]="H",Eingabe[[#This Row],[Gegner]]&amp;" ["&amp;Eingabe[[#This Row],[Wo]]&amp;"]",Eingabe[[#This Row],[Ort]])</f>
        <v>SV Schönberg [H]</v>
      </c>
      <c r="AQ83" s="6" t="str">
        <f>IFERROR(IF(Eingabe[[#This Row],[Wo]]="H",IF(MOD(Eingabe[[#This Row],[Position]],2)=1,Eingabe[[#This Row],[S1]],Eingabe[[#This Row],[S4]]),""),"")</f>
        <v/>
      </c>
      <c r="AR83" s="6" t="str">
        <f>IFERROR(IF(Eingabe[[#This Row],[Wo]]="H",IF(Eingabe[[#This Row],[S1]]&gt;0,IF(MOD(Eingabe[[#This Row],[Position]],2)=1,Eingabe[[#This Row],[S2]],Eingabe[[#This Row],[S3]]),""),""),"")</f>
        <v/>
      </c>
      <c r="AS83" s="6" t="str">
        <f>IFERROR(IF(Eingabe[[#This Row],[Wo]]="H",IF(Eingabe[[#This Row],[S1]]&gt;0,IF(MOD(ROW(Eingabe[[#This Row],[Heimbahn 3]]),2)=1,Eingabe[[#This Row],[S4]],Eingabe[[#This Row],[S1]]),""),""),"")</f>
        <v/>
      </c>
      <c r="AT83" s="6" t="str">
        <f>IFERROR(IF(Eingabe[[#This Row],[Wo]]="H",IF(Eingabe[[#This Row],[S1]]&gt;0,IF(MOD(ROW(Eingabe[[#This Row],[Heimbahn 4]]),2)=1,Eingabe[[#This Row],[S3]],Eingabe[[#This Row],[S2]]),""),""),"")</f>
        <v/>
      </c>
      <c r="AU83" s="22" t="str">
        <f>IF(Eingabe[[#This Row],[GES]]="","",IF(Eingabe[[#This Row],[Modus]]="L",_xlfn.RANK.EQ(Eingabe[[#This Row],[GES]],AF81:AF86),IF(Eingabe[[#This Row],[Modus]]="P",_xlfn.RANK.EQ(Eingabe[[#This Row],[GES]],AF81:AF86),"")))</f>
        <v/>
      </c>
      <c r="AV83" s="6" t="e">
        <f>VLOOKUP(Eingabe[[#This Row],[Name]],AuswertungG[],8,FALSE)</f>
        <v>#N/A</v>
      </c>
      <c r="AZ83" s="6" t="str">
        <f>IFERROR(ABS(Eingabe[[#This Row],[GES]]-Eingabe[[#This Row],[GEGGES]]),"")</f>
        <v/>
      </c>
    </row>
    <row r="84" spans="1:52" ht="16.2" hidden="1" thickBot="1" x14ac:dyDescent="0.35">
      <c r="A84" s="441"/>
      <c r="B84" s="21">
        <f t="shared" si="10"/>
        <v>14</v>
      </c>
      <c r="C84" s="6" t="str">
        <f>VLOOKUP($B84,Chronologie[],7,TRUE)</f>
        <v>SV Schönberg</v>
      </c>
      <c r="D84" s="6" t="str">
        <f>VLOOKUP($B84,Chronologie[],8,TRUE)</f>
        <v>Hirschfeld</v>
      </c>
      <c r="E84" s="240" t="str">
        <f>VLOOKUP($B84,Chronologie[],9,TRUE)</f>
        <v>H</v>
      </c>
      <c r="F84" s="6" t="str">
        <f>VLOOKUP($B84,Chronologie[],COLUMN(F85)-2,TRUE)</f>
        <v>E</v>
      </c>
      <c r="G84" s="6" t="str">
        <f>VLOOKUP($B84,Chronologie[],COLUMN(G85)-2,TRUE)</f>
        <v>L</v>
      </c>
      <c r="H84" s="6">
        <f>VLOOKUP($B84,Chronologie[],COLUMN(H85)-2,TRUE)</f>
        <v>14</v>
      </c>
      <c r="I84" s="10" t="str">
        <f>VLOOKUP($B84,Chronologie[],2,TRUE)</f>
        <v>E-L-14</v>
      </c>
      <c r="J84" s="243">
        <f>VLOOKUP($B84,Chronologie[],3,TRUE)</f>
        <v>46081</v>
      </c>
      <c r="K84" s="238"/>
      <c r="L84" s="237"/>
      <c r="M84" s="237"/>
      <c r="N84" s="237"/>
      <c r="O84" s="237"/>
      <c r="P84" s="237"/>
      <c r="Q84" s="237"/>
      <c r="R84" s="237"/>
      <c r="S84" s="237"/>
      <c r="T84" s="237"/>
      <c r="U84" s="237"/>
      <c r="V84" s="237"/>
      <c r="W84" s="237"/>
      <c r="X84" s="38"/>
      <c r="Y84" s="38"/>
      <c r="Z84" s="38"/>
      <c r="AA84" s="38"/>
      <c r="AB84" s="91"/>
      <c r="AC84" s="94" t="str">
        <f>IF(Eingabe[[#This Row],[V1]]="",IF(Eingabe[[#This Row],[Volle alternativ]]="","",Eingabe[[#This Row],[Volle alternativ]]),SUM(Eingabe[[#This Row],[V1]:[V4]]))</f>
        <v/>
      </c>
      <c r="AD84" s="6" t="str">
        <f>IF(Eingabe[[#This Row],[R1]]="",IF(Eingabe[[#This Row],[Räumer alternativ]]="","",Eingabe[[#This Row],[Räumer alternativ]]),SUM(Eingabe[[#This Row],[R1]:[R4]]))</f>
        <v/>
      </c>
      <c r="AE84" s="6" t="str">
        <f>IF(Eingabe[[#This Row],[F1]]="",IF(Eingabe[[#This Row],[Fehler alternativ]]="","",Eingabe[[#This Row],[Fehler alternativ]]),SUM(Eingabe[[#This Row],[F1]:[F4]]))</f>
        <v/>
      </c>
      <c r="AF84" s="6" t="str">
        <f>IF(Eingabe[[#This Row],[Volle]]="","",IF(Eingabe[[#This Row],[S1]]="",Eingabe[[#This Row],[Volle]]+Eingabe[[#This Row],[Räumer]],IF(Eingabe[[#This Row],[Volle]]+Eingabe[[#This Row],[Räumer]]=Eingabe[[#This Row],[S1]]+Eingabe[[#This Row],[S2]]+Eingabe[[#This Row],[S3]]+Eingabe[[#This Row],[S4]],Eingabe[[#This Row],[Volle]]+Eingabe[[#This Row],[Räumer]],"FEHLER")))</f>
        <v/>
      </c>
      <c r="AG84" s="6" t="str">
        <f>IF(Eingabe[[#This Row],[V1]]="","",Eingabe[[#This Row],[V1]]+Eingabe[[#This Row],[R1]])</f>
        <v/>
      </c>
      <c r="AH84" s="6" t="str">
        <f>IF(Eingabe[[#This Row],[V2]]="","",Eingabe[[#This Row],[V2]]+Eingabe[[#This Row],[R2]])</f>
        <v/>
      </c>
      <c r="AI84" s="6" t="str">
        <f>IF(Eingabe[[#This Row],[V3]]="","",Eingabe[[#This Row],[V3]]+Eingabe[[#This Row],[R3]])</f>
        <v/>
      </c>
      <c r="AJ84" s="6" t="str">
        <f>IF(Eingabe[[#This Row],[V4]]="","",Eingabe[[#This Row],[V4]]+Eingabe[[#This Row],[R4]])</f>
        <v/>
      </c>
      <c r="AK84" s="6" t="str">
        <f>IF(Eingabe[[#This Row],[S1P]]="","",Eingabe[[#This Row],[S1P]]+Eingabe[[#This Row],[S2P]]+Eingabe[[#This Row],[S3P]]+Eingabe[[#This Row],[S4P]])</f>
        <v/>
      </c>
      <c r="AL84" s="6" t="str">
        <f>IF(Eingabe[[#This Row],[S1P]]="","",IF(Eingabe[[#This Row],[SP]]&gt;2,1,IF(Eingabe[[#This Row],[SP]]&lt;2,0,IF(Eingabe[[#This Row],[GES]]&gt;Eingabe[[#This Row],[GEGGES]],1,IF(Eingabe[[#This Row],[GES]]=Eingabe[[#This Row],[GEGGES]],0.5,0)))))</f>
        <v/>
      </c>
      <c r="AM84" s="6" t="str">
        <f>IF(Eingabe[[#This Row],[MP]]="","",MOD(ROW(Eingabe[[#This Row],[Position]])-3,6)+1)</f>
        <v/>
      </c>
      <c r="AN84" s="6" t="e">
        <f>STANDARDIZE(Eingabe[[#This Row],[GES]],Eingabe[[#This Row],[Schnitt]],VLOOKUP(Eingabe[[#This Row],[Name]],AuswertungG[],21,FALSE))</f>
        <v>#VALUE!</v>
      </c>
      <c r="AO84" s="6">
        <f>VLOOKUP(Eingabe[[#This Row],[ID]],Chronologie[[ID]:[KW]],12,FALSE)</f>
        <v>27</v>
      </c>
      <c r="AP84" s="95" t="str">
        <f>IF(Eingabe[[#This Row],[Wo]]="H",Eingabe[[#This Row],[Gegner]]&amp;" ["&amp;Eingabe[[#This Row],[Wo]]&amp;"]",Eingabe[[#This Row],[Ort]])</f>
        <v>SV Schönberg [H]</v>
      </c>
      <c r="AQ84" s="6" t="str">
        <f>IFERROR(IF(Eingabe[[#This Row],[Wo]]="H",IF(MOD(Eingabe[[#This Row],[Position]],2)=1,Eingabe[[#This Row],[S1]],Eingabe[[#This Row],[S4]]),""),"")</f>
        <v/>
      </c>
      <c r="AR84" s="6" t="str">
        <f>IFERROR(IF(Eingabe[[#This Row],[Wo]]="H",IF(Eingabe[[#This Row],[S1]]&gt;0,IF(MOD(Eingabe[[#This Row],[Position]],2)=1,Eingabe[[#This Row],[S2]],Eingabe[[#This Row],[S3]]),""),""),"")</f>
        <v/>
      </c>
      <c r="AS84" s="6" t="str">
        <f>IFERROR(IF(Eingabe[[#This Row],[Wo]]="H",IF(Eingabe[[#This Row],[S1]]&gt;0,IF(MOD(ROW(Eingabe[[#This Row],[Heimbahn 3]]),2)=1,Eingabe[[#This Row],[S4]],Eingabe[[#This Row],[S1]]),""),""),"")</f>
        <v/>
      </c>
      <c r="AT84" s="6" t="str">
        <f>IFERROR(IF(Eingabe[[#This Row],[Wo]]="H",IF(Eingabe[[#This Row],[S1]]&gt;0,IF(MOD(ROW(Eingabe[[#This Row],[Heimbahn 4]]),2)=1,Eingabe[[#This Row],[S3]],Eingabe[[#This Row],[S2]]),""),""),"")</f>
        <v/>
      </c>
      <c r="AU84" s="22" t="str">
        <f>IF(Eingabe[[#This Row],[GES]]="","",IF(Eingabe[[#This Row],[Modus]]="L",_xlfn.RANK.EQ(Eingabe[[#This Row],[GES]],AF81:AF86),IF(Eingabe[[#This Row],[Modus]]="P",_xlfn.RANK.EQ(Eingabe[[#This Row],[GES]],AF81:AF86),"")))</f>
        <v/>
      </c>
      <c r="AV84" s="6" t="e">
        <f>VLOOKUP(Eingabe[[#This Row],[Name]],AuswertungG[],8,FALSE)</f>
        <v>#N/A</v>
      </c>
      <c r="AZ84" s="6" t="str">
        <f>IFERROR(ABS(Eingabe[[#This Row],[GES]]-Eingabe[[#This Row],[GEGGES]]),"")</f>
        <v/>
      </c>
    </row>
    <row r="85" spans="1:52" ht="16.2" hidden="1" thickBot="1" x14ac:dyDescent="0.35">
      <c r="A85" s="441"/>
      <c r="B85" s="21">
        <f t="shared" si="10"/>
        <v>14</v>
      </c>
      <c r="C85" s="6" t="str">
        <f>VLOOKUP($B85,Chronologie[],7,TRUE)</f>
        <v>SV Schönberg</v>
      </c>
      <c r="D85" s="6" t="str">
        <f>VLOOKUP($B85,Chronologie[],8,TRUE)</f>
        <v>Hirschfeld</v>
      </c>
      <c r="E85" s="240" t="str">
        <f>VLOOKUP($B85,Chronologie[],9,TRUE)</f>
        <v>H</v>
      </c>
      <c r="F85" s="6" t="str">
        <f>VLOOKUP($B85,Chronologie[],COLUMN(F86)-2,TRUE)</f>
        <v>E</v>
      </c>
      <c r="G85" s="6" t="str">
        <f>VLOOKUP($B85,Chronologie[],COLUMN(G86)-2,TRUE)</f>
        <v>L</v>
      </c>
      <c r="H85" s="6">
        <f>VLOOKUP($B85,Chronologie[],COLUMN(H86)-2,TRUE)</f>
        <v>14</v>
      </c>
      <c r="I85" s="10" t="str">
        <f>VLOOKUP($B85,Chronologie[],2,TRUE)</f>
        <v>E-L-14</v>
      </c>
      <c r="J85" s="243">
        <f>VLOOKUP($B85,Chronologie[],3,TRUE)</f>
        <v>46081</v>
      </c>
      <c r="K85" s="237"/>
      <c r="L85" s="237"/>
      <c r="M85" s="237"/>
      <c r="N85" s="237"/>
      <c r="O85" s="237"/>
      <c r="P85" s="237"/>
      <c r="Q85" s="237"/>
      <c r="R85" s="237"/>
      <c r="S85" s="237"/>
      <c r="T85" s="237"/>
      <c r="U85" s="237"/>
      <c r="V85" s="237"/>
      <c r="W85" s="237"/>
      <c r="X85" s="38"/>
      <c r="Y85" s="38"/>
      <c r="Z85" s="38"/>
      <c r="AA85" s="38"/>
      <c r="AB85" s="91"/>
      <c r="AC85" s="94" t="str">
        <f>IF(Eingabe[[#This Row],[V1]]="",IF(Eingabe[[#This Row],[Volle alternativ]]="","",Eingabe[[#This Row],[Volle alternativ]]),SUM(Eingabe[[#This Row],[V1]:[V4]]))</f>
        <v/>
      </c>
      <c r="AD85" s="6" t="str">
        <f>IF(Eingabe[[#This Row],[R1]]="",IF(Eingabe[[#This Row],[Räumer alternativ]]="","",Eingabe[[#This Row],[Räumer alternativ]]),SUM(Eingabe[[#This Row],[R1]:[R4]]))</f>
        <v/>
      </c>
      <c r="AE85" s="6" t="str">
        <f>IF(Eingabe[[#This Row],[F1]]="",IF(Eingabe[[#This Row],[Fehler alternativ]]="","",Eingabe[[#This Row],[Fehler alternativ]]),SUM(Eingabe[[#This Row],[F1]:[F4]]))</f>
        <v/>
      </c>
      <c r="AF85" s="6" t="str">
        <f>IF(Eingabe[[#This Row],[Volle]]="","",IF(Eingabe[[#This Row],[S1]]="",Eingabe[[#This Row],[Volle]]+Eingabe[[#This Row],[Räumer]],IF(Eingabe[[#This Row],[Volle]]+Eingabe[[#This Row],[Räumer]]=Eingabe[[#This Row],[S1]]+Eingabe[[#This Row],[S2]]+Eingabe[[#This Row],[S3]]+Eingabe[[#This Row],[S4]],Eingabe[[#This Row],[Volle]]+Eingabe[[#This Row],[Räumer]],"FEHLER")))</f>
        <v/>
      </c>
      <c r="AG85" s="6" t="str">
        <f>IF(Eingabe[[#This Row],[V1]]="","",Eingabe[[#This Row],[V1]]+Eingabe[[#This Row],[R1]])</f>
        <v/>
      </c>
      <c r="AH85" s="6" t="str">
        <f>IF(Eingabe[[#This Row],[V2]]="","",Eingabe[[#This Row],[V2]]+Eingabe[[#This Row],[R2]])</f>
        <v/>
      </c>
      <c r="AI85" s="6" t="str">
        <f>IF(Eingabe[[#This Row],[V3]]="","",Eingabe[[#This Row],[V3]]+Eingabe[[#This Row],[R3]])</f>
        <v/>
      </c>
      <c r="AJ85" s="6" t="str">
        <f>IF(Eingabe[[#This Row],[V4]]="","",Eingabe[[#This Row],[V4]]+Eingabe[[#This Row],[R4]])</f>
        <v/>
      </c>
      <c r="AK85" s="6" t="str">
        <f>IF(Eingabe[[#This Row],[S1P]]="","",Eingabe[[#This Row],[S1P]]+Eingabe[[#This Row],[S2P]]+Eingabe[[#This Row],[S3P]]+Eingabe[[#This Row],[S4P]])</f>
        <v/>
      </c>
      <c r="AL85" s="6" t="str">
        <f>IF(Eingabe[[#This Row],[S1P]]="","",IF(Eingabe[[#This Row],[SP]]&gt;2,1,IF(Eingabe[[#This Row],[SP]]&lt;2,0,IF(Eingabe[[#This Row],[GES]]&gt;Eingabe[[#This Row],[GEGGES]],1,IF(Eingabe[[#This Row],[GES]]=Eingabe[[#This Row],[GEGGES]],0.5,0)))))</f>
        <v/>
      </c>
      <c r="AM85" s="6" t="str">
        <f>IF(Eingabe[[#This Row],[MP]]="","",MOD(ROW(Eingabe[[#This Row],[Position]])-3,6)+1)</f>
        <v/>
      </c>
      <c r="AN85" s="6" t="e">
        <f>STANDARDIZE(Eingabe[[#This Row],[GES]],Eingabe[[#This Row],[Schnitt]],VLOOKUP(Eingabe[[#This Row],[Name]],AuswertungG[],21,FALSE))</f>
        <v>#VALUE!</v>
      </c>
      <c r="AO85" s="6">
        <f>VLOOKUP(Eingabe[[#This Row],[ID]],Chronologie[[ID]:[KW]],12,FALSE)</f>
        <v>27</v>
      </c>
      <c r="AP85" s="95" t="str">
        <f>IF(Eingabe[[#This Row],[Wo]]="H",Eingabe[[#This Row],[Gegner]]&amp;" ["&amp;Eingabe[[#This Row],[Wo]]&amp;"]",Eingabe[[#This Row],[Ort]])</f>
        <v>SV Schönberg [H]</v>
      </c>
      <c r="AQ85" s="6" t="str">
        <f>IFERROR(IF(Eingabe[[#This Row],[Wo]]="H",IF(MOD(Eingabe[[#This Row],[Position]],2)=1,Eingabe[[#This Row],[S1]],Eingabe[[#This Row],[S4]]),""),"")</f>
        <v/>
      </c>
      <c r="AR85" s="6" t="str">
        <f>IFERROR(IF(Eingabe[[#This Row],[Wo]]="H",IF(Eingabe[[#This Row],[S1]]&gt;0,IF(MOD(Eingabe[[#This Row],[Position]],2)=1,Eingabe[[#This Row],[S2]],Eingabe[[#This Row],[S3]]),""),""),"")</f>
        <v/>
      </c>
      <c r="AS85" s="6" t="str">
        <f>IFERROR(IF(Eingabe[[#This Row],[Wo]]="H",IF(Eingabe[[#This Row],[S1]]&gt;0,IF(MOD(ROW(Eingabe[[#This Row],[Heimbahn 3]]),2)=1,Eingabe[[#This Row],[S4]],Eingabe[[#This Row],[S1]]),""),""),"")</f>
        <v/>
      </c>
      <c r="AT85" s="6" t="str">
        <f>IFERROR(IF(Eingabe[[#This Row],[Wo]]="H",IF(Eingabe[[#This Row],[S1]]&gt;0,IF(MOD(ROW(Eingabe[[#This Row],[Heimbahn 4]]),2)=1,Eingabe[[#This Row],[S3]],Eingabe[[#This Row],[S2]]),""),""),"")</f>
        <v/>
      </c>
      <c r="AU85" s="22" t="str">
        <f>IF(Eingabe[[#This Row],[GES]]="","",IF(Eingabe[[#This Row],[Modus]]="L",_xlfn.RANK.EQ(Eingabe[[#This Row],[GES]],AF81:AF86),IF(Eingabe[[#This Row],[Modus]]="P",_xlfn.RANK.EQ(Eingabe[[#This Row],[GES]],AF81:AF86),"")))</f>
        <v/>
      </c>
      <c r="AV85" s="6" t="e">
        <f>VLOOKUP(Eingabe[[#This Row],[Name]],AuswertungG[],8,FALSE)</f>
        <v>#N/A</v>
      </c>
      <c r="AZ85" s="6" t="str">
        <f>IFERROR(ABS(Eingabe[[#This Row],[GES]]-Eingabe[[#This Row],[GEGGES]]),"")</f>
        <v/>
      </c>
    </row>
    <row r="86" spans="1:52" ht="16.2" hidden="1" thickBot="1" x14ac:dyDescent="0.35">
      <c r="A86" s="442"/>
      <c r="B86" s="56">
        <f t="shared" si="10"/>
        <v>14</v>
      </c>
      <c r="C86" s="23" t="str">
        <f>VLOOKUP($B86,Chronologie[],7,TRUE)</f>
        <v>SV Schönberg</v>
      </c>
      <c r="D86" s="23" t="str">
        <f>VLOOKUP($B86,Chronologie[],8,TRUE)</f>
        <v>Hirschfeld</v>
      </c>
      <c r="E86" s="39" t="str">
        <f>VLOOKUP($B86,Chronologie[],9,TRUE)</f>
        <v>H</v>
      </c>
      <c r="F86" s="23" t="str">
        <f>VLOOKUP($B86,Chronologie[],COLUMN(F87)-2,TRUE)</f>
        <v>E</v>
      </c>
      <c r="G86" s="23" t="str">
        <f>VLOOKUP($B86,Chronologie[],COLUMN(G87)-2,TRUE)</f>
        <v>L</v>
      </c>
      <c r="H86" s="23">
        <f>VLOOKUP($B86,Chronologie[],COLUMN(H87)-2,TRUE)</f>
        <v>14</v>
      </c>
      <c r="I86" s="13" t="str">
        <f>VLOOKUP($B86,Chronologie[],2,TRUE)</f>
        <v>E-L-14</v>
      </c>
      <c r="J86" s="244">
        <f>VLOOKUP($B86,Chronologie[],3,TRUE)</f>
        <v>46081</v>
      </c>
      <c r="K86" s="239"/>
      <c r="L86" s="239"/>
      <c r="M86" s="239"/>
      <c r="N86" s="239"/>
      <c r="O86" s="239"/>
      <c r="P86" s="239"/>
      <c r="Q86" s="239"/>
      <c r="R86" s="239"/>
      <c r="S86" s="239"/>
      <c r="T86" s="239"/>
      <c r="U86" s="239"/>
      <c r="V86" s="239"/>
      <c r="W86" s="239"/>
      <c r="X86" s="40"/>
      <c r="Y86" s="40"/>
      <c r="Z86" s="40"/>
      <c r="AA86" s="40"/>
      <c r="AB86" s="92"/>
      <c r="AC86" s="96" t="str">
        <f>IF(Eingabe[[#This Row],[V1]]="",IF(Eingabe[[#This Row],[Volle alternativ]]="","",Eingabe[[#This Row],[Volle alternativ]]),SUM(Eingabe[[#This Row],[V1]:[V4]]))</f>
        <v/>
      </c>
      <c r="AD86" s="23" t="str">
        <f>IF(Eingabe[[#This Row],[R1]]="",IF(Eingabe[[#This Row],[Räumer alternativ]]="","",Eingabe[[#This Row],[Räumer alternativ]]),SUM(Eingabe[[#This Row],[R1]:[R4]]))</f>
        <v/>
      </c>
      <c r="AE86" s="23" t="str">
        <f>IF(Eingabe[[#This Row],[F1]]="",IF(Eingabe[[#This Row],[Fehler alternativ]]="","",Eingabe[[#This Row],[Fehler alternativ]]),SUM(Eingabe[[#This Row],[F1]:[F4]]))</f>
        <v/>
      </c>
      <c r="AF86" s="23" t="str">
        <f>IF(Eingabe[[#This Row],[Volle]]="","",IF(Eingabe[[#This Row],[S1]]="",Eingabe[[#This Row],[Volle]]+Eingabe[[#This Row],[Räumer]],IF(Eingabe[[#This Row],[Volle]]+Eingabe[[#This Row],[Räumer]]=Eingabe[[#This Row],[S1]]+Eingabe[[#This Row],[S2]]+Eingabe[[#This Row],[S3]]+Eingabe[[#This Row],[S4]],Eingabe[[#This Row],[Volle]]+Eingabe[[#This Row],[Räumer]],"FEHLER")))</f>
        <v/>
      </c>
      <c r="AG86" s="23" t="str">
        <f>IF(Eingabe[[#This Row],[V1]]="","",Eingabe[[#This Row],[V1]]+Eingabe[[#This Row],[R1]])</f>
        <v/>
      </c>
      <c r="AH86" s="23" t="str">
        <f>IF(Eingabe[[#This Row],[V2]]="","",Eingabe[[#This Row],[V2]]+Eingabe[[#This Row],[R2]])</f>
        <v/>
      </c>
      <c r="AI86" s="23" t="str">
        <f>IF(Eingabe[[#This Row],[V3]]="","",Eingabe[[#This Row],[V3]]+Eingabe[[#This Row],[R3]])</f>
        <v/>
      </c>
      <c r="AJ86" s="23" t="str">
        <f>IF(Eingabe[[#This Row],[V4]]="","",Eingabe[[#This Row],[V4]]+Eingabe[[#This Row],[R4]])</f>
        <v/>
      </c>
      <c r="AK86" s="23" t="str">
        <f>IF(Eingabe[[#This Row],[S1P]]="","",Eingabe[[#This Row],[S1P]]+Eingabe[[#This Row],[S2P]]+Eingabe[[#This Row],[S3P]]+Eingabe[[#This Row],[S4P]])</f>
        <v/>
      </c>
      <c r="AL86" s="23" t="str">
        <f>IF(Eingabe[[#This Row],[S1P]]="","",IF(Eingabe[[#This Row],[SP]]&gt;2,1,IF(Eingabe[[#This Row],[SP]]&lt;2,0,IF(Eingabe[[#This Row],[GES]]&gt;Eingabe[[#This Row],[GEGGES]],1,IF(Eingabe[[#This Row],[GES]]=Eingabe[[#This Row],[GEGGES]],0.5,0)))))</f>
        <v/>
      </c>
      <c r="AM86" s="23" t="str">
        <f>IF(Eingabe[[#This Row],[MP]]="","",MOD(ROW(Eingabe[[#This Row],[Position]])-3,6)+1)</f>
        <v/>
      </c>
      <c r="AN86" s="23" t="e">
        <f>STANDARDIZE(Eingabe[[#This Row],[GES]],Eingabe[[#This Row],[Schnitt]],VLOOKUP(Eingabe[[#This Row],[Name]],AuswertungG[],21,FALSE))</f>
        <v>#VALUE!</v>
      </c>
      <c r="AO86" s="23">
        <f>VLOOKUP(Eingabe[[#This Row],[ID]],Chronologie[[ID]:[KW]],12,FALSE)</f>
        <v>27</v>
      </c>
      <c r="AP86" s="59" t="str">
        <f>IF(Eingabe[[#This Row],[Wo]]="H",Eingabe[[#This Row],[Gegner]]&amp;" ["&amp;Eingabe[[#This Row],[Wo]]&amp;"]",Eingabe[[#This Row],[Ort]])</f>
        <v>SV Schönberg [H]</v>
      </c>
      <c r="AQ86" s="23" t="str">
        <f>IFERROR(IF(Eingabe[[#This Row],[Wo]]="H",IF(MOD(Eingabe[[#This Row],[Position]],2)=1,Eingabe[[#This Row],[S1]],Eingabe[[#This Row],[S4]]),""),"")</f>
        <v/>
      </c>
      <c r="AR86" s="23" t="str">
        <f>IFERROR(IF(Eingabe[[#This Row],[Wo]]="H",IF(Eingabe[[#This Row],[S1]]&gt;0,IF(MOD(Eingabe[[#This Row],[Position]],2)=1,Eingabe[[#This Row],[S2]],Eingabe[[#This Row],[S3]]),""),""),"")</f>
        <v/>
      </c>
      <c r="AS86" s="23" t="str">
        <f>IFERROR(IF(Eingabe[[#This Row],[Wo]]="H",IF(Eingabe[[#This Row],[S1]]&gt;0,IF(MOD(ROW(Eingabe[[#This Row],[Heimbahn 3]]),2)=1,Eingabe[[#This Row],[S4]],Eingabe[[#This Row],[S1]]),""),""),"")</f>
        <v/>
      </c>
      <c r="AT86" s="23" t="str">
        <f>IFERROR(IF(Eingabe[[#This Row],[Wo]]="H",IF(Eingabe[[#This Row],[S1]]&gt;0,IF(MOD(ROW(Eingabe[[#This Row],[Heimbahn 4]]),2)=1,Eingabe[[#This Row],[S3]],Eingabe[[#This Row],[S2]]),""),""),"")</f>
        <v/>
      </c>
      <c r="AU86" s="89" t="str">
        <f>IF(Eingabe[[#This Row],[GES]]="","",IF(Eingabe[[#This Row],[Modus]]="L",_xlfn.RANK.EQ(Eingabe[[#This Row],[GES]],AF81:AF86),IF(Eingabe[[#This Row],[Modus]]="P",_xlfn.RANK.EQ(Eingabe[[#This Row],[GES]],AF81:AF86),"")))</f>
        <v/>
      </c>
      <c r="AV86" s="6" t="e">
        <f>VLOOKUP(Eingabe[[#This Row],[Name]],AuswertungG[],8,FALSE)</f>
        <v>#N/A</v>
      </c>
      <c r="AZ86" s="6" t="str">
        <f>IFERROR(ABS(Eingabe[[#This Row],[GES]]-Eingabe[[#This Row],[GEGGES]]),"")</f>
        <v/>
      </c>
    </row>
    <row r="87" spans="1:52" ht="16.2" hidden="1" thickBot="1" x14ac:dyDescent="0.35">
      <c r="A87" s="440">
        <f t="shared" ref="A87" si="14">B87</f>
        <v>15</v>
      </c>
      <c r="B87" s="55">
        <f t="shared" si="10"/>
        <v>15</v>
      </c>
      <c r="C87" s="35" t="str">
        <f>VLOOKUP($B87,Chronologie[],7,TRUE)</f>
        <v>KSV Blau-Gelb Taucha II</v>
      </c>
      <c r="D87" s="35" t="str">
        <f>VLOOKUP($B87,Chronologie[],8,TRUE)</f>
        <v>Taucha</v>
      </c>
      <c r="E87" s="36" t="str">
        <f>VLOOKUP($B87,Chronologie[],9,TRUE)</f>
        <v>A</v>
      </c>
      <c r="F87" s="35" t="str">
        <f>VLOOKUP($B87,Chronologie[],COLUMN(F88)-2,TRUE)</f>
        <v>E</v>
      </c>
      <c r="G87" s="35" t="str">
        <f>VLOOKUP($B87,Chronologie[],COLUMN(G88)-2,TRUE)</f>
        <v>L</v>
      </c>
      <c r="H87" s="35">
        <f>VLOOKUP($B87,Chronologie[],COLUMN(H88)-2,TRUE)</f>
        <v>15</v>
      </c>
      <c r="I87" s="9" t="str">
        <f>VLOOKUP($B87,Chronologie[],2,TRUE)</f>
        <v>E-L-15</v>
      </c>
      <c r="J87" s="242">
        <f>VLOOKUP($B87,Chronologie[],3,TRUE)</f>
        <v>46095</v>
      </c>
      <c r="K87" s="236"/>
      <c r="L87" s="334"/>
      <c r="M87" s="334"/>
      <c r="N87" s="334"/>
      <c r="O87" s="334"/>
      <c r="P87" s="334"/>
      <c r="Q87" s="334"/>
      <c r="R87" s="334"/>
      <c r="S87" s="334"/>
      <c r="T87" s="334"/>
      <c r="U87" s="334"/>
      <c r="V87" s="334"/>
      <c r="W87" s="334"/>
      <c r="X87" s="37"/>
      <c r="Y87" s="37"/>
      <c r="Z87" s="37"/>
      <c r="AA87" s="37"/>
      <c r="AB87" s="90"/>
      <c r="AC87" s="93" t="str">
        <f>IF(Eingabe[[#This Row],[V1]]="",IF(Eingabe[[#This Row],[Volle alternativ]]="","",Eingabe[[#This Row],[Volle alternativ]]),SUM(Eingabe[[#This Row],[V1]:[V4]]))</f>
        <v/>
      </c>
      <c r="AD87" s="35" t="str">
        <f>IF(Eingabe[[#This Row],[R1]]="",IF(Eingabe[[#This Row],[Räumer alternativ]]="","",Eingabe[[#This Row],[Räumer alternativ]]),SUM(Eingabe[[#This Row],[R1]:[R4]]))</f>
        <v/>
      </c>
      <c r="AE87" s="35" t="str">
        <f>IF(Eingabe[[#This Row],[F1]]="",IF(Eingabe[[#This Row],[Fehler alternativ]]="","",Eingabe[[#This Row],[Fehler alternativ]]),SUM(Eingabe[[#This Row],[F1]:[F4]]))</f>
        <v/>
      </c>
      <c r="AF87" s="35" t="str">
        <f>IF(Eingabe[[#This Row],[Volle]]="","",IF(Eingabe[[#This Row],[S1]]="",Eingabe[[#This Row],[Volle]]+Eingabe[[#This Row],[Räumer]],IF(Eingabe[[#This Row],[Volle]]+Eingabe[[#This Row],[Räumer]]=Eingabe[[#This Row],[S1]]+Eingabe[[#This Row],[S2]]+Eingabe[[#This Row],[S3]]+Eingabe[[#This Row],[S4]],Eingabe[[#This Row],[Volle]]+Eingabe[[#This Row],[Räumer]],"FEHLER")))</f>
        <v/>
      </c>
      <c r="AG87" s="35" t="str">
        <f>IF(Eingabe[[#This Row],[V1]]="","",Eingabe[[#This Row],[V1]]+Eingabe[[#This Row],[R1]])</f>
        <v/>
      </c>
      <c r="AH87" s="35" t="str">
        <f>IF(Eingabe[[#This Row],[V2]]="","",Eingabe[[#This Row],[V2]]+Eingabe[[#This Row],[R2]])</f>
        <v/>
      </c>
      <c r="AI87" s="35" t="str">
        <f>IF(Eingabe[[#This Row],[V3]]="","",Eingabe[[#This Row],[V3]]+Eingabe[[#This Row],[R3]])</f>
        <v/>
      </c>
      <c r="AJ87" s="35" t="str">
        <f>IF(Eingabe[[#This Row],[V4]]="","",Eingabe[[#This Row],[V4]]+Eingabe[[#This Row],[R4]])</f>
        <v/>
      </c>
      <c r="AK87" s="35" t="str">
        <f>IF(Eingabe[[#This Row],[S1P]]="","",Eingabe[[#This Row],[S1P]]+Eingabe[[#This Row],[S2P]]+Eingabe[[#This Row],[S3P]]+Eingabe[[#This Row],[S4P]])</f>
        <v/>
      </c>
      <c r="AL87" s="35" t="str">
        <f>IF(Eingabe[[#This Row],[S1P]]="","",IF(Eingabe[[#This Row],[SP]]&gt;2,1,IF(Eingabe[[#This Row],[SP]]&lt;2,0,IF(Eingabe[[#This Row],[GES]]&gt;Eingabe[[#This Row],[GEGGES]],1,IF(Eingabe[[#This Row],[GES]]=Eingabe[[#This Row],[GEGGES]],0.5,0)))))</f>
        <v/>
      </c>
      <c r="AM87" s="35" t="str">
        <f>IF(Eingabe[[#This Row],[MP]]="","",MOD(ROW(Eingabe[[#This Row],[Position]])-3,6)+1)</f>
        <v/>
      </c>
      <c r="AN87" s="35" t="e">
        <f>STANDARDIZE(Eingabe[[#This Row],[GES]],Eingabe[[#This Row],[Schnitt]],VLOOKUP(Eingabe[[#This Row],[Name]],AuswertungG[],21,FALSE))</f>
        <v>#VALUE!</v>
      </c>
      <c r="AO87" s="35">
        <f>VLOOKUP(Eingabe[[#This Row],[ID]],Chronologie[[ID]:[KW]],12,FALSE)</f>
        <v>29</v>
      </c>
      <c r="AP87" s="58" t="str">
        <f>IF(Eingabe[[#This Row],[Wo]]="H",Eingabe[[#This Row],[Gegner]]&amp;" ["&amp;Eingabe[[#This Row],[Wo]]&amp;"]",Eingabe[[#This Row],[Ort]])</f>
        <v>Taucha</v>
      </c>
      <c r="AQ87" s="35" t="str">
        <f>IFERROR(IF(Eingabe[[#This Row],[Wo]]="H",IF(MOD(Eingabe[[#This Row],[Position]],2)=1,Eingabe[[#This Row],[S1]],Eingabe[[#This Row],[S4]]),""),"")</f>
        <v/>
      </c>
      <c r="AR87" s="35" t="str">
        <f>IFERROR(IF(Eingabe[[#This Row],[Wo]]="H",IF(Eingabe[[#This Row],[S1]]&gt;0,IF(MOD(Eingabe[[#This Row],[Position]],2)=1,Eingabe[[#This Row],[S2]],Eingabe[[#This Row],[S3]]),""),""),"")</f>
        <v/>
      </c>
      <c r="AS87" s="35" t="str">
        <f>IFERROR(IF(Eingabe[[#This Row],[Wo]]="H",IF(Eingabe[[#This Row],[S1]]&gt;0,IF(MOD(ROW(Eingabe[[#This Row],[Heimbahn 3]]),2)=1,Eingabe[[#This Row],[S4]],Eingabe[[#This Row],[S1]]),""),""),"")</f>
        <v/>
      </c>
      <c r="AT87" s="35" t="str">
        <f>IFERROR(IF(Eingabe[[#This Row],[Wo]]="H",IF(Eingabe[[#This Row],[S1]]&gt;0,IF(MOD(ROW(Eingabe[[#This Row],[Heimbahn 4]]),2)=1,Eingabe[[#This Row],[S3]],Eingabe[[#This Row],[S2]]),""),""),"")</f>
        <v/>
      </c>
      <c r="AU87" s="88" t="str">
        <f>IF(Eingabe[[#This Row],[GES]]="","",IF(Eingabe[[#This Row],[Modus]]="L",_xlfn.RANK.EQ(Eingabe[[#This Row],[GES]],AF87:AF92),IF(Eingabe[[#This Row],[Modus]]="P",_xlfn.RANK.EQ(Eingabe[[#This Row],[GES]],AF87:AF92),"")))</f>
        <v/>
      </c>
      <c r="AV87" s="6" t="e">
        <f>VLOOKUP(Eingabe[[#This Row],[Name]],AuswertungG[],8,FALSE)</f>
        <v>#N/A</v>
      </c>
      <c r="AZ87" s="6" t="str">
        <f>IFERROR(ABS(Eingabe[[#This Row],[GES]]-Eingabe[[#This Row],[GEGGES]]),"")</f>
        <v/>
      </c>
    </row>
    <row r="88" spans="1:52" ht="16.2" hidden="1" thickBot="1" x14ac:dyDescent="0.35">
      <c r="A88" s="441"/>
      <c r="B88" s="21">
        <f t="shared" si="10"/>
        <v>15</v>
      </c>
      <c r="C88" s="6" t="str">
        <f>VLOOKUP($B88,Chronologie[],7,TRUE)</f>
        <v>KSV Blau-Gelb Taucha II</v>
      </c>
      <c r="D88" s="6" t="str">
        <f>VLOOKUP($B88,Chronologie[],8,TRUE)</f>
        <v>Taucha</v>
      </c>
      <c r="E88" s="240" t="str">
        <f>VLOOKUP($B88,Chronologie[],9,TRUE)</f>
        <v>A</v>
      </c>
      <c r="F88" s="6" t="str">
        <f>VLOOKUP($B88,Chronologie[],COLUMN(F89)-2,TRUE)</f>
        <v>E</v>
      </c>
      <c r="G88" s="6" t="str">
        <f>VLOOKUP($B88,Chronologie[],COLUMN(G89)-2,TRUE)</f>
        <v>L</v>
      </c>
      <c r="H88" s="6">
        <f>VLOOKUP($B88,Chronologie[],COLUMN(H89)-2,TRUE)</f>
        <v>15</v>
      </c>
      <c r="I88" s="10" t="str">
        <f>VLOOKUP($B88,Chronologie[],2,TRUE)</f>
        <v>E-L-15</v>
      </c>
      <c r="J88" s="243">
        <f>VLOOKUP($B88,Chronologie[],3,TRUE)</f>
        <v>46095</v>
      </c>
      <c r="K88" s="237"/>
      <c r="L88" s="237"/>
      <c r="M88" s="237"/>
      <c r="N88" s="237"/>
      <c r="O88" s="237"/>
      <c r="P88" s="237"/>
      <c r="Q88" s="237"/>
      <c r="R88" s="237"/>
      <c r="S88" s="237"/>
      <c r="T88" s="237"/>
      <c r="U88" s="237"/>
      <c r="V88" s="237"/>
      <c r="W88" s="237"/>
      <c r="X88" s="38"/>
      <c r="Y88" s="38"/>
      <c r="Z88" s="38"/>
      <c r="AA88" s="38"/>
      <c r="AB88" s="91"/>
      <c r="AC88" s="94" t="str">
        <f>IF(Eingabe[[#This Row],[V1]]="",IF(Eingabe[[#This Row],[Volle alternativ]]="","",Eingabe[[#This Row],[Volle alternativ]]),SUM(Eingabe[[#This Row],[V1]:[V4]]))</f>
        <v/>
      </c>
      <c r="AD88" s="6" t="str">
        <f>IF(Eingabe[[#This Row],[R1]]="",IF(Eingabe[[#This Row],[Räumer alternativ]]="","",Eingabe[[#This Row],[Räumer alternativ]]),SUM(Eingabe[[#This Row],[R1]:[R4]]))</f>
        <v/>
      </c>
      <c r="AE88" s="6" t="str">
        <f>IF(Eingabe[[#This Row],[F1]]="",IF(Eingabe[[#This Row],[Fehler alternativ]]="","",Eingabe[[#This Row],[Fehler alternativ]]),SUM(Eingabe[[#This Row],[F1]:[F4]]))</f>
        <v/>
      </c>
      <c r="AF88" s="6" t="str">
        <f>IF(Eingabe[[#This Row],[Volle]]="","",IF(Eingabe[[#This Row],[S1]]="",Eingabe[[#This Row],[Volle]]+Eingabe[[#This Row],[Räumer]],IF(Eingabe[[#This Row],[Volle]]+Eingabe[[#This Row],[Räumer]]=Eingabe[[#This Row],[S1]]+Eingabe[[#This Row],[S2]]+Eingabe[[#This Row],[S3]]+Eingabe[[#This Row],[S4]],Eingabe[[#This Row],[Volle]]+Eingabe[[#This Row],[Räumer]],"FEHLER")))</f>
        <v/>
      </c>
      <c r="AG88" s="6" t="str">
        <f>IF(Eingabe[[#This Row],[V1]]="","",Eingabe[[#This Row],[V1]]+Eingabe[[#This Row],[R1]])</f>
        <v/>
      </c>
      <c r="AH88" s="6" t="str">
        <f>IF(Eingabe[[#This Row],[V2]]="","",Eingabe[[#This Row],[V2]]+Eingabe[[#This Row],[R2]])</f>
        <v/>
      </c>
      <c r="AI88" s="6" t="str">
        <f>IF(Eingabe[[#This Row],[V3]]="","",Eingabe[[#This Row],[V3]]+Eingabe[[#This Row],[R3]])</f>
        <v/>
      </c>
      <c r="AJ88" s="6" t="str">
        <f>IF(Eingabe[[#This Row],[V4]]="","",Eingabe[[#This Row],[V4]]+Eingabe[[#This Row],[R4]])</f>
        <v/>
      </c>
      <c r="AK88" s="6" t="str">
        <f>IF(Eingabe[[#This Row],[S1P]]="","",Eingabe[[#This Row],[S1P]]+Eingabe[[#This Row],[S2P]]+Eingabe[[#This Row],[S3P]]+Eingabe[[#This Row],[S4P]])</f>
        <v/>
      </c>
      <c r="AL88" s="6" t="str">
        <f>IF(Eingabe[[#This Row],[S1P]]="","",IF(Eingabe[[#This Row],[SP]]&gt;2,1,IF(Eingabe[[#This Row],[SP]]&lt;2,0,IF(Eingabe[[#This Row],[GES]]&gt;Eingabe[[#This Row],[GEGGES]],1,IF(Eingabe[[#This Row],[GES]]=Eingabe[[#This Row],[GEGGES]],0.5,0)))))</f>
        <v/>
      </c>
      <c r="AM88" s="6" t="str">
        <f>IF(Eingabe[[#This Row],[MP]]="","",MOD(ROW(Eingabe[[#This Row],[Position]])-3,6)+1)</f>
        <v/>
      </c>
      <c r="AN88" s="6" t="e">
        <f>STANDARDIZE(Eingabe[[#This Row],[GES]],Eingabe[[#This Row],[Schnitt]],VLOOKUP(Eingabe[[#This Row],[Name]],AuswertungG[],21,FALSE))</f>
        <v>#VALUE!</v>
      </c>
      <c r="AO88" s="6">
        <f>VLOOKUP(Eingabe[[#This Row],[ID]],Chronologie[[ID]:[KW]],12,FALSE)</f>
        <v>29</v>
      </c>
      <c r="AP88" s="95" t="str">
        <f>IF(Eingabe[[#This Row],[Wo]]="H",Eingabe[[#This Row],[Gegner]]&amp;" ["&amp;Eingabe[[#This Row],[Wo]]&amp;"]",Eingabe[[#This Row],[Ort]])</f>
        <v>Taucha</v>
      </c>
      <c r="AQ88" s="6" t="str">
        <f>IFERROR(IF(Eingabe[[#This Row],[Wo]]="H",IF(MOD(Eingabe[[#This Row],[Position]],2)=1,Eingabe[[#This Row],[S1]],Eingabe[[#This Row],[S4]]),""),"")</f>
        <v/>
      </c>
      <c r="AR88" s="6" t="str">
        <f>IFERROR(IF(Eingabe[[#This Row],[Wo]]="H",IF(Eingabe[[#This Row],[S1]]&gt;0,IF(MOD(Eingabe[[#This Row],[Position]],2)=1,Eingabe[[#This Row],[S2]],Eingabe[[#This Row],[S3]]),""),""),"")</f>
        <v/>
      </c>
      <c r="AS88" s="6" t="str">
        <f>IFERROR(IF(Eingabe[[#This Row],[Wo]]="H",IF(Eingabe[[#This Row],[S1]]&gt;0,IF(MOD(ROW(Eingabe[[#This Row],[Heimbahn 3]]),2)=1,Eingabe[[#This Row],[S4]],Eingabe[[#This Row],[S1]]),""),""),"")</f>
        <v/>
      </c>
      <c r="AT88" s="6" t="str">
        <f>IFERROR(IF(Eingabe[[#This Row],[Wo]]="H",IF(Eingabe[[#This Row],[S1]]&gt;0,IF(MOD(ROW(Eingabe[[#This Row],[Heimbahn 4]]),2)=1,Eingabe[[#This Row],[S3]],Eingabe[[#This Row],[S2]]),""),""),"")</f>
        <v/>
      </c>
      <c r="AU88" s="22" t="str">
        <f>IF(Eingabe[[#This Row],[GES]]="","",IF(Eingabe[[#This Row],[Modus]]="L",_xlfn.RANK.EQ(Eingabe[[#This Row],[GES]],AF87:AF92),IF(Eingabe[[#This Row],[Modus]]="P",_xlfn.RANK.EQ(Eingabe[[#This Row],[GES]],AF87:AF92),"")))</f>
        <v/>
      </c>
      <c r="AV88" s="6" t="e">
        <f>VLOOKUP(Eingabe[[#This Row],[Name]],AuswertungG[],8,FALSE)</f>
        <v>#N/A</v>
      </c>
      <c r="AZ88" s="6" t="str">
        <f>IFERROR(ABS(Eingabe[[#This Row],[GES]]-Eingabe[[#This Row],[GEGGES]]),"")</f>
        <v/>
      </c>
    </row>
    <row r="89" spans="1:52" ht="16.2" hidden="1" thickBot="1" x14ac:dyDescent="0.35">
      <c r="A89" s="441"/>
      <c r="B89" s="21">
        <f t="shared" si="10"/>
        <v>15</v>
      </c>
      <c r="C89" s="6" t="str">
        <f>VLOOKUP($B89,Chronologie[],7,TRUE)</f>
        <v>KSV Blau-Gelb Taucha II</v>
      </c>
      <c r="D89" s="6" t="str">
        <f>VLOOKUP($B89,Chronologie[],8,TRUE)</f>
        <v>Taucha</v>
      </c>
      <c r="E89" s="240" t="str">
        <f>VLOOKUP($B89,Chronologie[],9,TRUE)</f>
        <v>A</v>
      </c>
      <c r="F89" s="6" t="str">
        <f>VLOOKUP($B89,Chronologie[],COLUMN(F90)-2,TRUE)</f>
        <v>E</v>
      </c>
      <c r="G89" s="6" t="str">
        <f>VLOOKUP($B89,Chronologie[],COLUMN(G90)-2,TRUE)</f>
        <v>L</v>
      </c>
      <c r="H89" s="6">
        <f>VLOOKUP($B89,Chronologie[],COLUMN(H90)-2,TRUE)</f>
        <v>15</v>
      </c>
      <c r="I89" s="10" t="str">
        <f>VLOOKUP($B89,Chronologie[],2,TRUE)</f>
        <v>E-L-15</v>
      </c>
      <c r="J89" s="243">
        <f>VLOOKUP($B89,Chronologie[],3,TRUE)</f>
        <v>46095</v>
      </c>
      <c r="K89" s="237"/>
      <c r="L89" s="237"/>
      <c r="M89" s="237"/>
      <c r="N89" s="237"/>
      <c r="O89" s="237"/>
      <c r="P89" s="237"/>
      <c r="Q89" s="237"/>
      <c r="R89" s="237"/>
      <c r="S89" s="237"/>
      <c r="T89" s="237"/>
      <c r="U89" s="237"/>
      <c r="V89" s="237"/>
      <c r="W89" s="237"/>
      <c r="X89" s="38"/>
      <c r="Y89" s="38"/>
      <c r="Z89" s="38"/>
      <c r="AA89" s="38"/>
      <c r="AB89" s="91"/>
      <c r="AC89" s="94" t="str">
        <f>IF(Eingabe[[#This Row],[V1]]="",IF(Eingabe[[#This Row],[Volle alternativ]]="","",Eingabe[[#This Row],[Volle alternativ]]),SUM(Eingabe[[#This Row],[V1]:[V4]]))</f>
        <v/>
      </c>
      <c r="AD89" s="6" t="str">
        <f>IF(Eingabe[[#This Row],[R1]]="",IF(Eingabe[[#This Row],[Räumer alternativ]]="","",Eingabe[[#This Row],[Räumer alternativ]]),SUM(Eingabe[[#This Row],[R1]:[R4]]))</f>
        <v/>
      </c>
      <c r="AE89" s="6" t="str">
        <f>IF(Eingabe[[#This Row],[F1]]="",IF(Eingabe[[#This Row],[Fehler alternativ]]="","",Eingabe[[#This Row],[Fehler alternativ]]),SUM(Eingabe[[#This Row],[F1]:[F4]]))</f>
        <v/>
      </c>
      <c r="AF89" s="6" t="str">
        <f>IF(Eingabe[[#This Row],[Volle]]="","",IF(Eingabe[[#This Row],[S1]]="",Eingabe[[#This Row],[Volle]]+Eingabe[[#This Row],[Räumer]],IF(Eingabe[[#This Row],[Volle]]+Eingabe[[#This Row],[Räumer]]=Eingabe[[#This Row],[S1]]+Eingabe[[#This Row],[S2]]+Eingabe[[#This Row],[S3]]+Eingabe[[#This Row],[S4]],Eingabe[[#This Row],[Volle]]+Eingabe[[#This Row],[Räumer]],"FEHLER")))</f>
        <v/>
      </c>
      <c r="AG89" s="6" t="str">
        <f>IF(Eingabe[[#This Row],[V1]]="","",Eingabe[[#This Row],[V1]]+Eingabe[[#This Row],[R1]])</f>
        <v/>
      </c>
      <c r="AH89" s="6" t="str">
        <f>IF(Eingabe[[#This Row],[V2]]="","",Eingabe[[#This Row],[V2]]+Eingabe[[#This Row],[R2]])</f>
        <v/>
      </c>
      <c r="AI89" s="6" t="str">
        <f>IF(Eingabe[[#This Row],[V3]]="","",Eingabe[[#This Row],[V3]]+Eingabe[[#This Row],[R3]])</f>
        <v/>
      </c>
      <c r="AJ89" s="6" t="str">
        <f>IF(Eingabe[[#This Row],[V4]]="","",Eingabe[[#This Row],[V4]]+Eingabe[[#This Row],[R4]])</f>
        <v/>
      </c>
      <c r="AK89" s="6" t="str">
        <f>IF(Eingabe[[#This Row],[S1P]]="","",Eingabe[[#This Row],[S1P]]+Eingabe[[#This Row],[S2P]]+Eingabe[[#This Row],[S3P]]+Eingabe[[#This Row],[S4P]])</f>
        <v/>
      </c>
      <c r="AL89" s="6" t="str">
        <f>IF(Eingabe[[#This Row],[S1P]]="","",IF(Eingabe[[#This Row],[SP]]&gt;2,1,IF(Eingabe[[#This Row],[SP]]&lt;2,0,IF(Eingabe[[#This Row],[GES]]&gt;Eingabe[[#This Row],[GEGGES]],1,IF(Eingabe[[#This Row],[GES]]=Eingabe[[#This Row],[GEGGES]],0.5,0)))))</f>
        <v/>
      </c>
      <c r="AM89" s="6" t="str">
        <f>IF(Eingabe[[#This Row],[MP]]="","",MOD(ROW(Eingabe[[#This Row],[Position]])-3,6)+1)</f>
        <v/>
      </c>
      <c r="AN89" s="6" t="e">
        <f>STANDARDIZE(Eingabe[[#This Row],[GES]],Eingabe[[#This Row],[Schnitt]],VLOOKUP(Eingabe[[#This Row],[Name]],AuswertungG[],21,FALSE))</f>
        <v>#VALUE!</v>
      </c>
      <c r="AO89" s="6">
        <f>VLOOKUP(Eingabe[[#This Row],[ID]],Chronologie[[ID]:[KW]],12,FALSE)</f>
        <v>29</v>
      </c>
      <c r="AP89" s="95" t="str">
        <f>IF(Eingabe[[#This Row],[Wo]]="H",Eingabe[[#This Row],[Gegner]]&amp;" ["&amp;Eingabe[[#This Row],[Wo]]&amp;"]",Eingabe[[#This Row],[Ort]])</f>
        <v>Taucha</v>
      </c>
      <c r="AQ89" s="6" t="str">
        <f>IFERROR(IF(Eingabe[[#This Row],[Wo]]="H",IF(MOD(Eingabe[[#This Row],[Position]],2)=1,Eingabe[[#This Row],[S1]],Eingabe[[#This Row],[S4]]),""),"")</f>
        <v/>
      </c>
      <c r="AR89" s="6" t="str">
        <f>IFERROR(IF(Eingabe[[#This Row],[Wo]]="H",IF(Eingabe[[#This Row],[S1]]&gt;0,IF(MOD(Eingabe[[#This Row],[Position]],2)=1,Eingabe[[#This Row],[S2]],Eingabe[[#This Row],[S3]]),""),""),"")</f>
        <v/>
      </c>
      <c r="AS89" s="6" t="str">
        <f>IFERROR(IF(Eingabe[[#This Row],[Wo]]="H",IF(Eingabe[[#This Row],[S1]]&gt;0,IF(MOD(ROW(Eingabe[[#This Row],[Heimbahn 3]]),2)=1,Eingabe[[#This Row],[S4]],Eingabe[[#This Row],[S1]]),""),""),"")</f>
        <v/>
      </c>
      <c r="AT89" s="6" t="str">
        <f>IFERROR(IF(Eingabe[[#This Row],[Wo]]="H",IF(Eingabe[[#This Row],[S1]]&gt;0,IF(MOD(ROW(Eingabe[[#This Row],[Heimbahn 4]]),2)=1,Eingabe[[#This Row],[S3]],Eingabe[[#This Row],[S2]]),""),""),"")</f>
        <v/>
      </c>
      <c r="AU89" s="22" t="str">
        <f>IF(Eingabe[[#This Row],[GES]]="","",IF(Eingabe[[#This Row],[Modus]]="L",_xlfn.RANK.EQ(Eingabe[[#This Row],[GES]],AF87:AF92),IF(Eingabe[[#This Row],[Modus]]="P",_xlfn.RANK.EQ(Eingabe[[#This Row],[GES]],AF87:AF92),"")))</f>
        <v/>
      </c>
      <c r="AV89" s="6" t="e">
        <f>VLOOKUP(Eingabe[[#This Row],[Name]],AuswertungG[],8,FALSE)</f>
        <v>#N/A</v>
      </c>
      <c r="AZ89" s="6" t="str">
        <f>IFERROR(ABS(Eingabe[[#This Row],[GES]]-Eingabe[[#This Row],[GEGGES]]),"")</f>
        <v/>
      </c>
    </row>
    <row r="90" spans="1:52" ht="16.2" hidden="1" thickBot="1" x14ac:dyDescent="0.35">
      <c r="A90" s="441"/>
      <c r="B90" s="21">
        <f t="shared" si="10"/>
        <v>15</v>
      </c>
      <c r="C90" s="6" t="str">
        <f>VLOOKUP($B90,Chronologie[],7,TRUE)</f>
        <v>KSV Blau-Gelb Taucha II</v>
      </c>
      <c r="D90" s="6" t="str">
        <f>VLOOKUP($B90,Chronologie[],8,TRUE)</f>
        <v>Taucha</v>
      </c>
      <c r="E90" s="240" t="str">
        <f>VLOOKUP($B90,Chronologie[],9,TRUE)</f>
        <v>A</v>
      </c>
      <c r="F90" s="6" t="str">
        <f>VLOOKUP($B90,Chronologie[],COLUMN(F91)-2,TRUE)</f>
        <v>E</v>
      </c>
      <c r="G90" s="6" t="str">
        <f>VLOOKUP($B90,Chronologie[],COLUMN(G91)-2,TRUE)</f>
        <v>L</v>
      </c>
      <c r="H90" s="6">
        <f>VLOOKUP($B90,Chronologie[],COLUMN(H91)-2,TRUE)</f>
        <v>15</v>
      </c>
      <c r="I90" s="10" t="str">
        <f>VLOOKUP($B90,Chronologie[],2,TRUE)</f>
        <v>E-L-15</v>
      </c>
      <c r="J90" s="243">
        <f>VLOOKUP($B90,Chronologie[],3,TRUE)</f>
        <v>46095</v>
      </c>
      <c r="K90" s="238"/>
      <c r="L90" s="237"/>
      <c r="M90" s="237"/>
      <c r="N90" s="237"/>
      <c r="O90" s="237"/>
      <c r="P90" s="237"/>
      <c r="Q90" s="237"/>
      <c r="R90" s="237"/>
      <c r="S90" s="237"/>
      <c r="T90" s="237"/>
      <c r="U90" s="237"/>
      <c r="V90" s="237"/>
      <c r="W90" s="237"/>
      <c r="X90" s="38"/>
      <c r="Y90" s="38"/>
      <c r="Z90" s="38"/>
      <c r="AA90" s="38"/>
      <c r="AB90" s="91"/>
      <c r="AC90" s="94" t="str">
        <f>IF(Eingabe[[#This Row],[V1]]="",IF(Eingabe[[#This Row],[Volle alternativ]]="","",Eingabe[[#This Row],[Volle alternativ]]),SUM(Eingabe[[#This Row],[V1]:[V4]]))</f>
        <v/>
      </c>
      <c r="AD90" s="6" t="str">
        <f>IF(Eingabe[[#This Row],[R1]]="",IF(Eingabe[[#This Row],[Räumer alternativ]]="","",Eingabe[[#This Row],[Räumer alternativ]]),SUM(Eingabe[[#This Row],[R1]:[R4]]))</f>
        <v/>
      </c>
      <c r="AE90" s="6" t="str">
        <f>IF(Eingabe[[#This Row],[F1]]="",IF(Eingabe[[#This Row],[Fehler alternativ]]="","",Eingabe[[#This Row],[Fehler alternativ]]),SUM(Eingabe[[#This Row],[F1]:[F4]]))</f>
        <v/>
      </c>
      <c r="AF90" s="6" t="str">
        <f>IF(Eingabe[[#This Row],[Volle]]="","",IF(Eingabe[[#This Row],[S1]]="",Eingabe[[#This Row],[Volle]]+Eingabe[[#This Row],[Räumer]],IF(Eingabe[[#This Row],[Volle]]+Eingabe[[#This Row],[Räumer]]=Eingabe[[#This Row],[S1]]+Eingabe[[#This Row],[S2]]+Eingabe[[#This Row],[S3]]+Eingabe[[#This Row],[S4]],Eingabe[[#This Row],[Volle]]+Eingabe[[#This Row],[Räumer]],"FEHLER")))</f>
        <v/>
      </c>
      <c r="AG90" s="6" t="str">
        <f>IF(Eingabe[[#This Row],[V1]]="","",Eingabe[[#This Row],[V1]]+Eingabe[[#This Row],[R1]])</f>
        <v/>
      </c>
      <c r="AH90" s="6" t="str">
        <f>IF(Eingabe[[#This Row],[V2]]="","",Eingabe[[#This Row],[V2]]+Eingabe[[#This Row],[R2]])</f>
        <v/>
      </c>
      <c r="AI90" s="6" t="str">
        <f>IF(Eingabe[[#This Row],[V3]]="","",Eingabe[[#This Row],[V3]]+Eingabe[[#This Row],[R3]])</f>
        <v/>
      </c>
      <c r="AJ90" s="6" t="str">
        <f>IF(Eingabe[[#This Row],[V4]]="","",Eingabe[[#This Row],[V4]]+Eingabe[[#This Row],[R4]])</f>
        <v/>
      </c>
      <c r="AK90" s="6" t="str">
        <f>IF(Eingabe[[#This Row],[S1P]]="","",Eingabe[[#This Row],[S1P]]+Eingabe[[#This Row],[S2P]]+Eingabe[[#This Row],[S3P]]+Eingabe[[#This Row],[S4P]])</f>
        <v/>
      </c>
      <c r="AL90" s="6" t="str">
        <f>IF(Eingabe[[#This Row],[S1P]]="","",IF(Eingabe[[#This Row],[SP]]&gt;2,1,IF(Eingabe[[#This Row],[SP]]&lt;2,0,IF(Eingabe[[#This Row],[GES]]&gt;Eingabe[[#This Row],[GEGGES]],1,IF(Eingabe[[#This Row],[GES]]=Eingabe[[#This Row],[GEGGES]],0.5,0)))))</f>
        <v/>
      </c>
      <c r="AM90" s="6" t="str">
        <f>IF(Eingabe[[#This Row],[MP]]="","",MOD(ROW(Eingabe[[#This Row],[Position]])-3,6)+1)</f>
        <v/>
      </c>
      <c r="AN90" s="6" t="e">
        <f>STANDARDIZE(Eingabe[[#This Row],[GES]],Eingabe[[#This Row],[Schnitt]],VLOOKUP(Eingabe[[#This Row],[Name]],AuswertungG[],21,FALSE))</f>
        <v>#VALUE!</v>
      </c>
      <c r="AO90" s="6">
        <f>VLOOKUP(Eingabe[[#This Row],[ID]],Chronologie[[ID]:[KW]],12,FALSE)</f>
        <v>29</v>
      </c>
      <c r="AP90" s="95" t="str">
        <f>IF(Eingabe[[#This Row],[Wo]]="H",Eingabe[[#This Row],[Gegner]]&amp;" ["&amp;Eingabe[[#This Row],[Wo]]&amp;"]",Eingabe[[#This Row],[Ort]])</f>
        <v>Taucha</v>
      </c>
      <c r="AQ90" s="6" t="str">
        <f>IFERROR(IF(Eingabe[[#This Row],[Wo]]="H",IF(MOD(Eingabe[[#This Row],[Position]],2)=1,Eingabe[[#This Row],[S1]],Eingabe[[#This Row],[S4]]),""),"")</f>
        <v/>
      </c>
      <c r="AR90" s="6" t="str">
        <f>IFERROR(IF(Eingabe[[#This Row],[Wo]]="H",IF(Eingabe[[#This Row],[S1]]&gt;0,IF(MOD(Eingabe[[#This Row],[Position]],2)=1,Eingabe[[#This Row],[S2]],Eingabe[[#This Row],[S3]]),""),""),"")</f>
        <v/>
      </c>
      <c r="AS90" s="6" t="str">
        <f>IFERROR(IF(Eingabe[[#This Row],[Wo]]="H",IF(Eingabe[[#This Row],[S1]]&gt;0,IF(MOD(ROW(Eingabe[[#This Row],[Heimbahn 3]]),2)=1,Eingabe[[#This Row],[S4]],Eingabe[[#This Row],[S1]]),""),""),"")</f>
        <v/>
      </c>
      <c r="AT90" s="6" t="str">
        <f>IFERROR(IF(Eingabe[[#This Row],[Wo]]="H",IF(Eingabe[[#This Row],[S1]]&gt;0,IF(MOD(ROW(Eingabe[[#This Row],[Heimbahn 4]]),2)=1,Eingabe[[#This Row],[S3]],Eingabe[[#This Row],[S2]]),""),""),"")</f>
        <v/>
      </c>
      <c r="AU90" s="22" t="str">
        <f>IF(Eingabe[[#This Row],[GES]]="","",IF(Eingabe[[#This Row],[Modus]]="L",_xlfn.RANK.EQ(Eingabe[[#This Row],[GES]],AF87:AF92),IF(Eingabe[[#This Row],[Modus]]="P",_xlfn.RANK.EQ(Eingabe[[#This Row],[GES]],AF87:AF92),"")))</f>
        <v/>
      </c>
      <c r="AV90" s="6" t="e">
        <f>VLOOKUP(Eingabe[[#This Row],[Name]],AuswertungG[],8,FALSE)</f>
        <v>#N/A</v>
      </c>
      <c r="AZ90" s="6" t="str">
        <f>IFERROR(ABS(Eingabe[[#This Row],[GES]]-Eingabe[[#This Row],[GEGGES]]),"")</f>
        <v/>
      </c>
    </row>
    <row r="91" spans="1:52" ht="16.2" hidden="1" thickBot="1" x14ac:dyDescent="0.35">
      <c r="A91" s="441"/>
      <c r="B91" s="21">
        <f t="shared" si="10"/>
        <v>15</v>
      </c>
      <c r="C91" s="6" t="str">
        <f>VLOOKUP($B91,Chronologie[],7,TRUE)</f>
        <v>KSV Blau-Gelb Taucha II</v>
      </c>
      <c r="D91" s="6" t="str">
        <f>VLOOKUP($B91,Chronologie[],8,TRUE)</f>
        <v>Taucha</v>
      </c>
      <c r="E91" s="240" t="str">
        <f>VLOOKUP($B91,Chronologie[],9,TRUE)</f>
        <v>A</v>
      </c>
      <c r="F91" s="6" t="str">
        <f>VLOOKUP($B91,Chronologie[],COLUMN(F92)-2,TRUE)</f>
        <v>E</v>
      </c>
      <c r="G91" s="6" t="str">
        <f>VLOOKUP($B91,Chronologie[],COLUMN(G92)-2,TRUE)</f>
        <v>L</v>
      </c>
      <c r="H91" s="6">
        <f>VLOOKUP($B91,Chronologie[],COLUMN(H92)-2,TRUE)</f>
        <v>15</v>
      </c>
      <c r="I91" s="10" t="str">
        <f>VLOOKUP($B91,Chronologie[],2,TRUE)</f>
        <v>E-L-15</v>
      </c>
      <c r="J91" s="243">
        <f>VLOOKUP($B91,Chronologie[],3,TRUE)</f>
        <v>46095</v>
      </c>
      <c r="K91" s="237"/>
      <c r="L91" s="237"/>
      <c r="M91" s="237"/>
      <c r="N91" s="237"/>
      <c r="O91" s="237"/>
      <c r="P91" s="237"/>
      <c r="Q91" s="237"/>
      <c r="R91" s="237"/>
      <c r="S91" s="237"/>
      <c r="T91" s="237"/>
      <c r="U91" s="237"/>
      <c r="V91" s="237"/>
      <c r="W91" s="237"/>
      <c r="X91" s="38"/>
      <c r="Y91" s="38"/>
      <c r="Z91" s="38"/>
      <c r="AA91" s="38"/>
      <c r="AB91" s="91"/>
      <c r="AC91" s="94" t="str">
        <f>IF(Eingabe[[#This Row],[V1]]="",IF(Eingabe[[#This Row],[Volle alternativ]]="","",Eingabe[[#This Row],[Volle alternativ]]),SUM(Eingabe[[#This Row],[V1]:[V4]]))</f>
        <v/>
      </c>
      <c r="AD91" s="6" t="str">
        <f>IF(Eingabe[[#This Row],[R1]]="",IF(Eingabe[[#This Row],[Räumer alternativ]]="","",Eingabe[[#This Row],[Räumer alternativ]]),SUM(Eingabe[[#This Row],[R1]:[R4]]))</f>
        <v/>
      </c>
      <c r="AE91" s="6" t="str">
        <f>IF(Eingabe[[#This Row],[F1]]="",IF(Eingabe[[#This Row],[Fehler alternativ]]="","",Eingabe[[#This Row],[Fehler alternativ]]),SUM(Eingabe[[#This Row],[F1]:[F4]]))</f>
        <v/>
      </c>
      <c r="AF91" s="6" t="str">
        <f>IF(Eingabe[[#This Row],[Volle]]="","",IF(Eingabe[[#This Row],[S1]]="",Eingabe[[#This Row],[Volle]]+Eingabe[[#This Row],[Räumer]],IF(Eingabe[[#This Row],[Volle]]+Eingabe[[#This Row],[Räumer]]=Eingabe[[#This Row],[S1]]+Eingabe[[#This Row],[S2]]+Eingabe[[#This Row],[S3]]+Eingabe[[#This Row],[S4]],Eingabe[[#This Row],[Volle]]+Eingabe[[#This Row],[Räumer]],"FEHLER")))</f>
        <v/>
      </c>
      <c r="AG91" s="6" t="str">
        <f>IF(Eingabe[[#This Row],[V1]]="","",Eingabe[[#This Row],[V1]]+Eingabe[[#This Row],[R1]])</f>
        <v/>
      </c>
      <c r="AH91" s="6" t="str">
        <f>IF(Eingabe[[#This Row],[V2]]="","",Eingabe[[#This Row],[V2]]+Eingabe[[#This Row],[R2]])</f>
        <v/>
      </c>
      <c r="AI91" s="6" t="str">
        <f>IF(Eingabe[[#This Row],[V3]]="","",Eingabe[[#This Row],[V3]]+Eingabe[[#This Row],[R3]])</f>
        <v/>
      </c>
      <c r="AJ91" s="6" t="str">
        <f>IF(Eingabe[[#This Row],[V4]]="","",Eingabe[[#This Row],[V4]]+Eingabe[[#This Row],[R4]])</f>
        <v/>
      </c>
      <c r="AK91" s="6" t="str">
        <f>IF(Eingabe[[#This Row],[S1P]]="","",Eingabe[[#This Row],[S1P]]+Eingabe[[#This Row],[S2P]]+Eingabe[[#This Row],[S3P]]+Eingabe[[#This Row],[S4P]])</f>
        <v/>
      </c>
      <c r="AL91" s="6" t="str">
        <f>IF(Eingabe[[#This Row],[S1P]]="","",IF(Eingabe[[#This Row],[SP]]&gt;2,1,IF(Eingabe[[#This Row],[SP]]&lt;2,0,IF(Eingabe[[#This Row],[GES]]&gt;Eingabe[[#This Row],[GEGGES]],1,IF(Eingabe[[#This Row],[GES]]=Eingabe[[#This Row],[GEGGES]],0.5,0)))))</f>
        <v/>
      </c>
      <c r="AM91" s="6" t="str">
        <f>IF(Eingabe[[#This Row],[MP]]="","",MOD(ROW(Eingabe[[#This Row],[Position]])-3,6)+1)</f>
        <v/>
      </c>
      <c r="AN91" s="6" t="e">
        <f>STANDARDIZE(Eingabe[[#This Row],[GES]],Eingabe[[#This Row],[Schnitt]],VLOOKUP(Eingabe[[#This Row],[Name]],AuswertungG[],21,FALSE))</f>
        <v>#VALUE!</v>
      </c>
      <c r="AO91" s="6">
        <f>VLOOKUP(Eingabe[[#This Row],[ID]],Chronologie[[ID]:[KW]],12,FALSE)</f>
        <v>29</v>
      </c>
      <c r="AP91" s="95" t="str">
        <f>IF(Eingabe[[#This Row],[Wo]]="H",Eingabe[[#This Row],[Gegner]]&amp;" ["&amp;Eingabe[[#This Row],[Wo]]&amp;"]",Eingabe[[#This Row],[Ort]])</f>
        <v>Taucha</v>
      </c>
      <c r="AQ91" s="6" t="str">
        <f>IFERROR(IF(Eingabe[[#This Row],[Wo]]="H",IF(MOD(Eingabe[[#This Row],[Position]],2)=1,Eingabe[[#This Row],[S1]],Eingabe[[#This Row],[S4]]),""),"")</f>
        <v/>
      </c>
      <c r="AR91" s="6" t="str">
        <f>IFERROR(IF(Eingabe[[#This Row],[Wo]]="H",IF(Eingabe[[#This Row],[S1]]&gt;0,IF(MOD(Eingabe[[#This Row],[Position]],2)=1,Eingabe[[#This Row],[S2]],Eingabe[[#This Row],[S3]]),""),""),"")</f>
        <v/>
      </c>
      <c r="AS91" s="6" t="str">
        <f>IFERROR(IF(Eingabe[[#This Row],[Wo]]="H",IF(Eingabe[[#This Row],[S1]]&gt;0,IF(MOD(ROW(Eingabe[[#This Row],[Heimbahn 3]]),2)=1,Eingabe[[#This Row],[S4]],Eingabe[[#This Row],[S1]]),""),""),"")</f>
        <v/>
      </c>
      <c r="AT91" s="6" t="str">
        <f>IFERROR(IF(Eingabe[[#This Row],[Wo]]="H",IF(Eingabe[[#This Row],[S1]]&gt;0,IF(MOD(ROW(Eingabe[[#This Row],[Heimbahn 4]]),2)=1,Eingabe[[#This Row],[S3]],Eingabe[[#This Row],[S2]]),""),""),"")</f>
        <v/>
      </c>
      <c r="AU91" s="22" t="str">
        <f>IF(Eingabe[[#This Row],[GES]]="","",IF(Eingabe[[#This Row],[Modus]]="L",_xlfn.RANK.EQ(Eingabe[[#This Row],[GES]],AF87:AF92),IF(Eingabe[[#This Row],[Modus]]="P",_xlfn.RANK.EQ(Eingabe[[#This Row],[GES]],AF87:AF92),"")))</f>
        <v/>
      </c>
      <c r="AV91" s="6" t="e">
        <f>VLOOKUP(Eingabe[[#This Row],[Name]],AuswertungG[],8,FALSE)</f>
        <v>#N/A</v>
      </c>
      <c r="AZ91" s="6" t="str">
        <f>IFERROR(ABS(Eingabe[[#This Row],[GES]]-Eingabe[[#This Row],[GEGGES]]),"")</f>
        <v/>
      </c>
    </row>
    <row r="92" spans="1:52" ht="16.2" hidden="1" thickBot="1" x14ac:dyDescent="0.35">
      <c r="A92" s="442"/>
      <c r="B92" s="56">
        <f t="shared" si="10"/>
        <v>15</v>
      </c>
      <c r="C92" s="23" t="str">
        <f>VLOOKUP($B92,Chronologie[],7,TRUE)</f>
        <v>KSV Blau-Gelb Taucha II</v>
      </c>
      <c r="D92" s="23" t="str">
        <f>VLOOKUP($B92,Chronologie[],8,TRUE)</f>
        <v>Taucha</v>
      </c>
      <c r="E92" s="39" t="str">
        <f>VLOOKUP($B92,Chronologie[],9,TRUE)</f>
        <v>A</v>
      </c>
      <c r="F92" s="23" t="str">
        <f>VLOOKUP($B92,Chronologie[],COLUMN(F93)-2,TRUE)</f>
        <v>E</v>
      </c>
      <c r="G92" s="23" t="str">
        <f>VLOOKUP($B92,Chronologie[],COLUMN(G93)-2,TRUE)</f>
        <v>L</v>
      </c>
      <c r="H92" s="23">
        <f>VLOOKUP($B92,Chronologie[],COLUMN(H93)-2,TRUE)</f>
        <v>15</v>
      </c>
      <c r="I92" s="13" t="str">
        <f>VLOOKUP($B92,Chronologie[],2,TRUE)</f>
        <v>E-L-15</v>
      </c>
      <c r="J92" s="244">
        <f>VLOOKUP($B92,Chronologie[],3,TRUE)</f>
        <v>46095</v>
      </c>
      <c r="K92" s="239"/>
      <c r="L92" s="239"/>
      <c r="M92" s="239"/>
      <c r="N92" s="239"/>
      <c r="O92" s="239"/>
      <c r="P92" s="239"/>
      <c r="Q92" s="239"/>
      <c r="R92" s="239"/>
      <c r="S92" s="239"/>
      <c r="T92" s="239"/>
      <c r="U92" s="239"/>
      <c r="V92" s="239"/>
      <c r="W92" s="239"/>
      <c r="X92" s="40"/>
      <c r="Y92" s="40"/>
      <c r="Z92" s="40"/>
      <c r="AA92" s="40"/>
      <c r="AB92" s="92"/>
      <c r="AC92" s="96" t="str">
        <f>IF(Eingabe[[#This Row],[V1]]="",IF(Eingabe[[#This Row],[Volle alternativ]]="","",Eingabe[[#This Row],[Volle alternativ]]),SUM(Eingabe[[#This Row],[V1]:[V4]]))</f>
        <v/>
      </c>
      <c r="AD92" s="23" t="str">
        <f>IF(Eingabe[[#This Row],[R1]]="",IF(Eingabe[[#This Row],[Räumer alternativ]]="","",Eingabe[[#This Row],[Räumer alternativ]]),SUM(Eingabe[[#This Row],[R1]:[R4]]))</f>
        <v/>
      </c>
      <c r="AE92" s="23" t="str">
        <f>IF(Eingabe[[#This Row],[F1]]="",IF(Eingabe[[#This Row],[Fehler alternativ]]="","",Eingabe[[#This Row],[Fehler alternativ]]),SUM(Eingabe[[#This Row],[F1]:[F4]]))</f>
        <v/>
      </c>
      <c r="AF92" s="23" t="str">
        <f>IF(Eingabe[[#This Row],[Volle]]="","",IF(Eingabe[[#This Row],[S1]]="",Eingabe[[#This Row],[Volle]]+Eingabe[[#This Row],[Räumer]],IF(Eingabe[[#This Row],[Volle]]+Eingabe[[#This Row],[Räumer]]=Eingabe[[#This Row],[S1]]+Eingabe[[#This Row],[S2]]+Eingabe[[#This Row],[S3]]+Eingabe[[#This Row],[S4]],Eingabe[[#This Row],[Volle]]+Eingabe[[#This Row],[Räumer]],"FEHLER")))</f>
        <v/>
      </c>
      <c r="AG92" s="23" t="str">
        <f>IF(Eingabe[[#This Row],[V1]]="","",Eingabe[[#This Row],[V1]]+Eingabe[[#This Row],[R1]])</f>
        <v/>
      </c>
      <c r="AH92" s="23" t="str">
        <f>IF(Eingabe[[#This Row],[V2]]="","",Eingabe[[#This Row],[V2]]+Eingabe[[#This Row],[R2]])</f>
        <v/>
      </c>
      <c r="AI92" s="23" t="str">
        <f>IF(Eingabe[[#This Row],[V3]]="","",Eingabe[[#This Row],[V3]]+Eingabe[[#This Row],[R3]])</f>
        <v/>
      </c>
      <c r="AJ92" s="23" t="str">
        <f>IF(Eingabe[[#This Row],[V4]]="","",Eingabe[[#This Row],[V4]]+Eingabe[[#This Row],[R4]])</f>
        <v/>
      </c>
      <c r="AK92" s="23" t="str">
        <f>IF(Eingabe[[#This Row],[S1P]]="","",Eingabe[[#This Row],[S1P]]+Eingabe[[#This Row],[S2P]]+Eingabe[[#This Row],[S3P]]+Eingabe[[#This Row],[S4P]])</f>
        <v/>
      </c>
      <c r="AL92" s="23" t="str">
        <f>IF(Eingabe[[#This Row],[S1P]]="","",IF(Eingabe[[#This Row],[SP]]&gt;2,1,IF(Eingabe[[#This Row],[SP]]&lt;2,0,IF(Eingabe[[#This Row],[GES]]&gt;Eingabe[[#This Row],[GEGGES]],1,IF(Eingabe[[#This Row],[GES]]=Eingabe[[#This Row],[GEGGES]],0.5,0)))))</f>
        <v/>
      </c>
      <c r="AM92" s="23" t="str">
        <f>IF(Eingabe[[#This Row],[MP]]="","",MOD(ROW(Eingabe[[#This Row],[Position]])-3,6)+1)</f>
        <v/>
      </c>
      <c r="AN92" s="23" t="e">
        <f>STANDARDIZE(Eingabe[[#This Row],[GES]],Eingabe[[#This Row],[Schnitt]],VLOOKUP(Eingabe[[#This Row],[Name]],AuswertungG[],21,FALSE))</f>
        <v>#VALUE!</v>
      </c>
      <c r="AO92" s="23">
        <f>VLOOKUP(Eingabe[[#This Row],[ID]],Chronologie[[ID]:[KW]],12,FALSE)</f>
        <v>29</v>
      </c>
      <c r="AP92" s="59" t="str">
        <f>IF(Eingabe[[#This Row],[Wo]]="H",Eingabe[[#This Row],[Gegner]]&amp;" ["&amp;Eingabe[[#This Row],[Wo]]&amp;"]",Eingabe[[#This Row],[Ort]])</f>
        <v>Taucha</v>
      </c>
      <c r="AQ92" s="23" t="str">
        <f>IFERROR(IF(Eingabe[[#This Row],[Wo]]="H",IF(MOD(Eingabe[[#This Row],[Position]],2)=1,Eingabe[[#This Row],[S1]],Eingabe[[#This Row],[S4]]),""),"")</f>
        <v/>
      </c>
      <c r="AR92" s="23" t="str">
        <f>IFERROR(IF(Eingabe[[#This Row],[Wo]]="H",IF(Eingabe[[#This Row],[S1]]&gt;0,IF(MOD(Eingabe[[#This Row],[Position]],2)=1,Eingabe[[#This Row],[S2]],Eingabe[[#This Row],[S3]]),""),""),"")</f>
        <v/>
      </c>
      <c r="AS92" s="23" t="str">
        <f>IFERROR(IF(Eingabe[[#This Row],[Wo]]="H",IF(Eingabe[[#This Row],[S1]]&gt;0,IF(MOD(ROW(Eingabe[[#This Row],[Heimbahn 3]]),2)=1,Eingabe[[#This Row],[S4]],Eingabe[[#This Row],[S1]]),""),""),"")</f>
        <v/>
      </c>
      <c r="AT92" s="23" t="str">
        <f>IFERROR(IF(Eingabe[[#This Row],[Wo]]="H",IF(Eingabe[[#This Row],[S1]]&gt;0,IF(MOD(ROW(Eingabe[[#This Row],[Heimbahn 4]]),2)=1,Eingabe[[#This Row],[S3]],Eingabe[[#This Row],[S2]]),""),""),"")</f>
        <v/>
      </c>
      <c r="AU92" s="89" t="str">
        <f>IF(Eingabe[[#This Row],[GES]]="","",IF(Eingabe[[#This Row],[Modus]]="L",_xlfn.RANK.EQ(Eingabe[[#This Row],[GES]],AF87:AF92),IF(Eingabe[[#This Row],[Modus]]="P",_xlfn.RANK.EQ(Eingabe[[#This Row],[GES]],AF87:AF92),"")))</f>
        <v/>
      </c>
      <c r="AV92" s="6" t="e">
        <f>VLOOKUP(Eingabe[[#This Row],[Name]],AuswertungG[],8,FALSE)</f>
        <v>#N/A</v>
      </c>
      <c r="AZ92" s="6" t="str">
        <f>IFERROR(ABS(Eingabe[[#This Row],[GES]]-Eingabe[[#This Row],[GEGGES]]),"")</f>
        <v/>
      </c>
    </row>
    <row r="93" spans="1:52" ht="16.2" hidden="1" thickBot="1" x14ac:dyDescent="0.35">
      <c r="A93" s="440">
        <f t="shared" ref="A93" si="15">B93</f>
        <v>16</v>
      </c>
      <c r="B93" s="55">
        <f t="shared" si="10"/>
        <v>16</v>
      </c>
      <c r="C93" s="35" t="str">
        <f>VLOOKUP($B93,Chronologie[],7,TRUE)</f>
        <v>SG Hohentanne</v>
      </c>
      <c r="D93" s="35" t="str">
        <f>VLOOKUP($B93,Chronologie[],8,TRUE)</f>
        <v>Krummenhennersdorf</v>
      </c>
      <c r="E93" s="36" t="str">
        <f>VLOOKUP($B93,Chronologie[],9,TRUE)</f>
        <v>A</v>
      </c>
      <c r="F93" s="35" t="str">
        <f>VLOOKUP($B93,Chronologie[],COLUMN(F94)-2,TRUE)</f>
        <v>E</v>
      </c>
      <c r="G93" s="35" t="str">
        <f>VLOOKUP($B93,Chronologie[],COLUMN(G94)-2,TRUE)</f>
        <v>L</v>
      </c>
      <c r="H93" s="35">
        <f>VLOOKUP($B93,Chronologie[],COLUMN(H94)-2,TRUE)</f>
        <v>16</v>
      </c>
      <c r="I93" s="9" t="str">
        <f>VLOOKUP($B93,Chronologie[],2,TRUE)</f>
        <v>E-L-16</v>
      </c>
      <c r="J93" s="242">
        <f>VLOOKUP($B93,Chronologie[],3,TRUE)</f>
        <v>46102</v>
      </c>
      <c r="K93" s="236"/>
      <c r="L93" s="334"/>
      <c r="M93" s="334"/>
      <c r="N93" s="334"/>
      <c r="O93" s="334"/>
      <c r="P93" s="334"/>
      <c r="Q93" s="334"/>
      <c r="R93" s="334"/>
      <c r="S93" s="334"/>
      <c r="T93" s="334"/>
      <c r="U93" s="334"/>
      <c r="V93" s="334"/>
      <c r="W93" s="334"/>
      <c r="X93" s="37"/>
      <c r="Y93" s="37"/>
      <c r="Z93" s="37"/>
      <c r="AA93" s="37"/>
      <c r="AB93" s="90"/>
      <c r="AC93" s="93" t="str">
        <f>IF(Eingabe[[#This Row],[V1]]="",IF(Eingabe[[#This Row],[Volle alternativ]]="","",Eingabe[[#This Row],[Volle alternativ]]),SUM(Eingabe[[#This Row],[V1]:[V4]]))</f>
        <v/>
      </c>
      <c r="AD93" s="35" t="str">
        <f>IF(Eingabe[[#This Row],[R1]]="",IF(Eingabe[[#This Row],[Räumer alternativ]]="","",Eingabe[[#This Row],[Räumer alternativ]]),SUM(Eingabe[[#This Row],[R1]:[R4]]))</f>
        <v/>
      </c>
      <c r="AE93" s="35" t="str">
        <f>IF(Eingabe[[#This Row],[F1]]="",IF(Eingabe[[#This Row],[Fehler alternativ]]="","",Eingabe[[#This Row],[Fehler alternativ]]),SUM(Eingabe[[#This Row],[F1]:[F4]]))</f>
        <v/>
      </c>
      <c r="AF93" s="35" t="str">
        <f>IF(Eingabe[[#This Row],[Volle]]="","",IF(Eingabe[[#This Row],[S1]]="",Eingabe[[#This Row],[Volle]]+Eingabe[[#This Row],[Räumer]],IF(Eingabe[[#This Row],[Volle]]+Eingabe[[#This Row],[Räumer]]=Eingabe[[#This Row],[S1]]+Eingabe[[#This Row],[S2]]+Eingabe[[#This Row],[S3]]+Eingabe[[#This Row],[S4]],Eingabe[[#This Row],[Volle]]+Eingabe[[#This Row],[Räumer]],"FEHLER")))</f>
        <v/>
      </c>
      <c r="AG93" s="35" t="str">
        <f>IF(Eingabe[[#This Row],[V1]]="","",Eingabe[[#This Row],[V1]]+Eingabe[[#This Row],[R1]])</f>
        <v/>
      </c>
      <c r="AH93" s="35" t="str">
        <f>IF(Eingabe[[#This Row],[V2]]="","",Eingabe[[#This Row],[V2]]+Eingabe[[#This Row],[R2]])</f>
        <v/>
      </c>
      <c r="AI93" s="35" t="str">
        <f>IF(Eingabe[[#This Row],[V3]]="","",Eingabe[[#This Row],[V3]]+Eingabe[[#This Row],[R3]])</f>
        <v/>
      </c>
      <c r="AJ93" s="35" t="str">
        <f>IF(Eingabe[[#This Row],[V4]]="","",Eingabe[[#This Row],[V4]]+Eingabe[[#This Row],[R4]])</f>
        <v/>
      </c>
      <c r="AK93" s="35" t="str">
        <f>IF(Eingabe[[#This Row],[S1P]]="","",Eingabe[[#This Row],[S1P]]+Eingabe[[#This Row],[S2P]]+Eingabe[[#This Row],[S3P]]+Eingabe[[#This Row],[S4P]])</f>
        <v/>
      </c>
      <c r="AL93" s="35" t="str">
        <f>IF(Eingabe[[#This Row],[S1P]]="","",IF(Eingabe[[#This Row],[SP]]&gt;2,1,IF(Eingabe[[#This Row],[SP]]&lt;2,0,IF(Eingabe[[#This Row],[GES]]&gt;Eingabe[[#This Row],[GEGGES]],1,IF(Eingabe[[#This Row],[GES]]=Eingabe[[#This Row],[GEGGES]],0.5,0)))))</f>
        <v/>
      </c>
      <c r="AM93" s="35" t="str">
        <f>IF(Eingabe[[#This Row],[MP]]="","",MOD(ROW(Eingabe[[#This Row],[Position]])-3,6)+1)</f>
        <v/>
      </c>
      <c r="AN93" s="35" t="e">
        <f>STANDARDIZE(Eingabe[[#This Row],[GES]],Eingabe[[#This Row],[Schnitt]],VLOOKUP(Eingabe[[#This Row],[Name]],AuswertungG[],21,FALSE))</f>
        <v>#VALUE!</v>
      </c>
      <c r="AO93" s="35">
        <f>VLOOKUP(Eingabe[[#This Row],[ID]],Chronologie[[ID]:[KW]],12,FALSE)</f>
        <v>30</v>
      </c>
      <c r="AP93" s="58" t="str">
        <f>IF(Eingabe[[#This Row],[Wo]]="H",Eingabe[[#This Row],[Gegner]]&amp;" ["&amp;Eingabe[[#This Row],[Wo]]&amp;"]",Eingabe[[#This Row],[Ort]])</f>
        <v>Krummenhennersdorf</v>
      </c>
      <c r="AQ93" s="35" t="str">
        <f>IFERROR(IF(Eingabe[[#This Row],[Wo]]="H",IF(MOD(Eingabe[[#This Row],[Position]],2)=1,Eingabe[[#This Row],[S1]],Eingabe[[#This Row],[S4]]),""),"")</f>
        <v/>
      </c>
      <c r="AR93" s="35" t="str">
        <f>IFERROR(IF(Eingabe[[#This Row],[Wo]]="H",IF(Eingabe[[#This Row],[S1]]&gt;0,IF(MOD(Eingabe[[#This Row],[Position]],2)=1,Eingabe[[#This Row],[S2]],Eingabe[[#This Row],[S3]]),""),""),"")</f>
        <v/>
      </c>
      <c r="AS93" s="35" t="str">
        <f>IFERROR(IF(Eingabe[[#This Row],[Wo]]="H",IF(Eingabe[[#This Row],[S1]]&gt;0,IF(MOD(ROW(Eingabe[[#This Row],[Heimbahn 3]]),2)=1,Eingabe[[#This Row],[S4]],Eingabe[[#This Row],[S1]]),""),""),"")</f>
        <v/>
      </c>
      <c r="AT93" s="35" t="str">
        <f>IFERROR(IF(Eingabe[[#This Row],[Wo]]="H",IF(Eingabe[[#This Row],[S1]]&gt;0,IF(MOD(ROW(Eingabe[[#This Row],[Heimbahn 4]]),2)=1,Eingabe[[#This Row],[S3]],Eingabe[[#This Row],[S2]]),""),""),"")</f>
        <v/>
      </c>
      <c r="AU93" s="88" t="str">
        <f>IF(Eingabe[[#This Row],[GES]]="","",IF(Eingabe[[#This Row],[Modus]]="L",_xlfn.RANK.EQ(Eingabe[[#This Row],[GES]],AF93:AF98),IF(Eingabe[[#This Row],[Modus]]="P",_xlfn.RANK.EQ(Eingabe[[#This Row],[GES]],AF93:AF98),"")))</f>
        <v/>
      </c>
      <c r="AV93" s="6" t="e">
        <f>VLOOKUP(Eingabe[[#This Row],[Name]],AuswertungG[],8,FALSE)</f>
        <v>#N/A</v>
      </c>
      <c r="AZ93" s="6" t="str">
        <f>IFERROR(ABS(Eingabe[[#This Row],[GES]]-Eingabe[[#This Row],[GEGGES]]),"")</f>
        <v/>
      </c>
    </row>
    <row r="94" spans="1:52" ht="16.2" hidden="1" thickBot="1" x14ac:dyDescent="0.35">
      <c r="A94" s="441"/>
      <c r="B94" s="21">
        <f t="shared" si="10"/>
        <v>16</v>
      </c>
      <c r="C94" s="6" t="str">
        <f>VLOOKUP($B94,Chronologie[],7,TRUE)</f>
        <v>SG Hohentanne</v>
      </c>
      <c r="D94" s="6" t="str">
        <f>VLOOKUP($B94,Chronologie[],8,TRUE)</f>
        <v>Krummenhennersdorf</v>
      </c>
      <c r="E94" s="240" t="str">
        <f>VLOOKUP($B94,Chronologie[],9,TRUE)</f>
        <v>A</v>
      </c>
      <c r="F94" s="6" t="str">
        <f>VLOOKUP($B94,Chronologie[],COLUMN(F95)-2,TRUE)</f>
        <v>E</v>
      </c>
      <c r="G94" s="6" t="str">
        <f>VLOOKUP($B94,Chronologie[],COLUMN(G95)-2,TRUE)</f>
        <v>L</v>
      </c>
      <c r="H94" s="6">
        <f>VLOOKUP($B94,Chronologie[],COLUMN(H95)-2,TRUE)</f>
        <v>16</v>
      </c>
      <c r="I94" s="10" t="str">
        <f>VLOOKUP($B94,Chronologie[],2,TRUE)</f>
        <v>E-L-16</v>
      </c>
      <c r="J94" s="243">
        <f>VLOOKUP($B94,Chronologie[],3,TRUE)</f>
        <v>46102</v>
      </c>
      <c r="K94" s="237"/>
      <c r="L94" s="237"/>
      <c r="M94" s="237"/>
      <c r="N94" s="237"/>
      <c r="O94" s="237"/>
      <c r="P94" s="237"/>
      <c r="Q94" s="237"/>
      <c r="R94" s="237"/>
      <c r="S94" s="237"/>
      <c r="T94" s="237"/>
      <c r="U94" s="237"/>
      <c r="V94" s="237"/>
      <c r="W94" s="237"/>
      <c r="X94" s="38"/>
      <c r="Y94" s="38"/>
      <c r="Z94" s="38"/>
      <c r="AA94" s="38"/>
      <c r="AB94" s="91"/>
      <c r="AC94" s="94" t="str">
        <f>IF(Eingabe[[#This Row],[V1]]="",IF(Eingabe[[#This Row],[Volle alternativ]]="","",Eingabe[[#This Row],[Volle alternativ]]),SUM(Eingabe[[#This Row],[V1]:[V4]]))</f>
        <v/>
      </c>
      <c r="AD94" s="6" t="str">
        <f>IF(Eingabe[[#This Row],[R1]]="",IF(Eingabe[[#This Row],[Räumer alternativ]]="","",Eingabe[[#This Row],[Räumer alternativ]]),SUM(Eingabe[[#This Row],[R1]:[R4]]))</f>
        <v/>
      </c>
      <c r="AE94" s="6" t="str">
        <f>IF(Eingabe[[#This Row],[F1]]="",IF(Eingabe[[#This Row],[Fehler alternativ]]="","",Eingabe[[#This Row],[Fehler alternativ]]),SUM(Eingabe[[#This Row],[F1]:[F4]]))</f>
        <v/>
      </c>
      <c r="AF94" s="6" t="str">
        <f>IF(Eingabe[[#This Row],[Volle]]="","",IF(Eingabe[[#This Row],[S1]]="",Eingabe[[#This Row],[Volle]]+Eingabe[[#This Row],[Räumer]],IF(Eingabe[[#This Row],[Volle]]+Eingabe[[#This Row],[Räumer]]=Eingabe[[#This Row],[S1]]+Eingabe[[#This Row],[S2]]+Eingabe[[#This Row],[S3]]+Eingabe[[#This Row],[S4]],Eingabe[[#This Row],[Volle]]+Eingabe[[#This Row],[Räumer]],"FEHLER")))</f>
        <v/>
      </c>
      <c r="AG94" s="6" t="str">
        <f>IF(Eingabe[[#This Row],[V1]]="","",Eingabe[[#This Row],[V1]]+Eingabe[[#This Row],[R1]])</f>
        <v/>
      </c>
      <c r="AH94" s="6" t="str">
        <f>IF(Eingabe[[#This Row],[V2]]="","",Eingabe[[#This Row],[V2]]+Eingabe[[#This Row],[R2]])</f>
        <v/>
      </c>
      <c r="AI94" s="6" t="str">
        <f>IF(Eingabe[[#This Row],[V3]]="","",Eingabe[[#This Row],[V3]]+Eingabe[[#This Row],[R3]])</f>
        <v/>
      </c>
      <c r="AJ94" s="6" t="str">
        <f>IF(Eingabe[[#This Row],[V4]]="","",Eingabe[[#This Row],[V4]]+Eingabe[[#This Row],[R4]])</f>
        <v/>
      </c>
      <c r="AK94" s="6" t="str">
        <f>IF(Eingabe[[#This Row],[S1P]]="","",Eingabe[[#This Row],[S1P]]+Eingabe[[#This Row],[S2P]]+Eingabe[[#This Row],[S3P]]+Eingabe[[#This Row],[S4P]])</f>
        <v/>
      </c>
      <c r="AL94" s="6" t="str">
        <f>IF(Eingabe[[#This Row],[S1P]]="","",IF(Eingabe[[#This Row],[SP]]&gt;2,1,IF(Eingabe[[#This Row],[SP]]&lt;2,0,IF(Eingabe[[#This Row],[GES]]&gt;Eingabe[[#This Row],[GEGGES]],1,IF(Eingabe[[#This Row],[GES]]=Eingabe[[#This Row],[GEGGES]],0.5,0)))))</f>
        <v/>
      </c>
      <c r="AM94" s="6" t="str">
        <f>IF(Eingabe[[#This Row],[MP]]="","",MOD(ROW(Eingabe[[#This Row],[Position]])-3,6)+1)</f>
        <v/>
      </c>
      <c r="AN94" s="6" t="e">
        <f>STANDARDIZE(Eingabe[[#This Row],[GES]],Eingabe[[#This Row],[Schnitt]],VLOOKUP(Eingabe[[#This Row],[Name]],AuswertungG[],21,FALSE))</f>
        <v>#VALUE!</v>
      </c>
      <c r="AO94" s="6">
        <f>VLOOKUP(Eingabe[[#This Row],[ID]],Chronologie[[ID]:[KW]],12,FALSE)</f>
        <v>30</v>
      </c>
      <c r="AP94" s="95" t="str">
        <f>IF(Eingabe[[#This Row],[Wo]]="H",Eingabe[[#This Row],[Gegner]]&amp;" ["&amp;Eingabe[[#This Row],[Wo]]&amp;"]",Eingabe[[#This Row],[Ort]])</f>
        <v>Krummenhennersdorf</v>
      </c>
      <c r="AQ94" s="6" t="str">
        <f>IFERROR(IF(Eingabe[[#This Row],[Wo]]="H",IF(MOD(Eingabe[[#This Row],[Position]],2)=1,Eingabe[[#This Row],[S1]],Eingabe[[#This Row],[S4]]),""),"")</f>
        <v/>
      </c>
      <c r="AR94" s="6" t="str">
        <f>IFERROR(IF(Eingabe[[#This Row],[Wo]]="H",IF(Eingabe[[#This Row],[S1]]&gt;0,IF(MOD(Eingabe[[#This Row],[Position]],2)=1,Eingabe[[#This Row],[S2]],Eingabe[[#This Row],[S3]]),""),""),"")</f>
        <v/>
      </c>
      <c r="AS94" s="6" t="str">
        <f>IFERROR(IF(Eingabe[[#This Row],[Wo]]="H",IF(Eingabe[[#This Row],[S1]]&gt;0,IF(MOD(ROW(Eingabe[[#This Row],[Heimbahn 3]]),2)=1,Eingabe[[#This Row],[S4]],Eingabe[[#This Row],[S1]]),""),""),"")</f>
        <v/>
      </c>
      <c r="AT94" s="6" t="str">
        <f>IFERROR(IF(Eingabe[[#This Row],[Wo]]="H",IF(Eingabe[[#This Row],[S1]]&gt;0,IF(MOD(ROW(Eingabe[[#This Row],[Heimbahn 4]]),2)=1,Eingabe[[#This Row],[S3]],Eingabe[[#This Row],[S2]]),""),""),"")</f>
        <v/>
      </c>
      <c r="AU94" s="22" t="str">
        <f>IF(Eingabe[[#This Row],[GES]]="","",IF(Eingabe[[#This Row],[Modus]]="L",_xlfn.RANK.EQ(Eingabe[[#This Row],[GES]],AF93:AF98),IF(Eingabe[[#This Row],[Modus]]="P",_xlfn.RANK.EQ(Eingabe[[#This Row],[GES]],AF93:AF98),"")))</f>
        <v/>
      </c>
      <c r="AV94" s="6" t="e">
        <f>VLOOKUP(Eingabe[[#This Row],[Name]],AuswertungG[],8,FALSE)</f>
        <v>#N/A</v>
      </c>
      <c r="AZ94" s="6" t="str">
        <f>IFERROR(ABS(Eingabe[[#This Row],[GES]]-Eingabe[[#This Row],[GEGGES]]),"")</f>
        <v/>
      </c>
    </row>
    <row r="95" spans="1:52" ht="16.2" hidden="1" thickBot="1" x14ac:dyDescent="0.35">
      <c r="A95" s="441"/>
      <c r="B95" s="21">
        <f t="shared" si="10"/>
        <v>16</v>
      </c>
      <c r="C95" s="6" t="str">
        <f>VLOOKUP($B95,Chronologie[],7,TRUE)</f>
        <v>SG Hohentanne</v>
      </c>
      <c r="D95" s="6" t="str">
        <f>VLOOKUP($B95,Chronologie[],8,TRUE)</f>
        <v>Krummenhennersdorf</v>
      </c>
      <c r="E95" s="240" t="str">
        <f>VLOOKUP($B95,Chronologie[],9,TRUE)</f>
        <v>A</v>
      </c>
      <c r="F95" s="6" t="str">
        <f>VLOOKUP($B95,Chronologie[],COLUMN(F96)-2,TRUE)</f>
        <v>E</v>
      </c>
      <c r="G95" s="6" t="str">
        <f>VLOOKUP($B95,Chronologie[],COLUMN(G96)-2,TRUE)</f>
        <v>L</v>
      </c>
      <c r="H95" s="6">
        <f>VLOOKUP($B95,Chronologie[],COLUMN(H96)-2,TRUE)</f>
        <v>16</v>
      </c>
      <c r="I95" s="10" t="str">
        <f>VLOOKUP($B95,Chronologie[],2,TRUE)</f>
        <v>E-L-16</v>
      </c>
      <c r="J95" s="243">
        <f>VLOOKUP($B95,Chronologie[],3,TRUE)</f>
        <v>46102</v>
      </c>
      <c r="K95" s="237"/>
      <c r="L95" s="237"/>
      <c r="M95" s="237"/>
      <c r="N95" s="237"/>
      <c r="O95" s="237"/>
      <c r="P95" s="237"/>
      <c r="Q95" s="237"/>
      <c r="R95" s="237"/>
      <c r="S95" s="237"/>
      <c r="T95" s="237"/>
      <c r="U95" s="237"/>
      <c r="V95" s="237"/>
      <c r="W95" s="237"/>
      <c r="X95" s="38"/>
      <c r="Y95" s="38"/>
      <c r="Z95" s="38"/>
      <c r="AA95" s="38"/>
      <c r="AB95" s="91"/>
      <c r="AC95" s="94" t="str">
        <f>IF(Eingabe[[#This Row],[V1]]="",IF(Eingabe[[#This Row],[Volle alternativ]]="","",Eingabe[[#This Row],[Volle alternativ]]),SUM(Eingabe[[#This Row],[V1]:[V4]]))</f>
        <v/>
      </c>
      <c r="AD95" s="6" t="str">
        <f>IF(Eingabe[[#This Row],[R1]]="",IF(Eingabe[[#This Row],[Räumer alternativ]]="","",Eingabe[[#This Row],[Räumer alternativ]]),SUM(Eingabe[[#This Row],[R1]:[R4]]))</f>
        <v/>
      </c>
      <c r="AE95" s="6" t="str">
        <f>IF(Eingabe[[#This Row],[F1]]="",IF(Eingabe[[#This Row],[Fehler alternativ]]="","",Eingabe[[#This Row],[Fehler alternativ]]),SUM(Eingabe[[#This Row],[F1]:[F4]]))</f>
        <v/>
      </c>
      <c r="AF95" s="6" t="str">
        <f>IF(Eingabe[[#This Row],[Volle]]="","",IF(Eingabe[[#This Row],[S1]]="",Eingabe[[#This Row],[Volle]]+Eingabe[[#This Row],[Räumer]],IF(Eingabe[[#This Row],[Volle]]+Eingabe[[#This Row],[Räumer]]=Eingabe[[#This Row],[S1]]+Eingabe[[#This Row],[S2]]+Eingabe[[#This Row],[S3]]+Eingabe[[#This Row],[S4]],Eingabe[[#This Row],[Volle]]+Eingabe[[#This Row],[Räumer]],"FEHLER")))</f>
        <v/>
      </c>
      <c r="AG95" s="6" t="str">
        <f>IF(Eingabe[[#This Row],[V1]]="","",Eingabe[[#This Row],[V1]]+Eingabe[[#This Row],[R1]])</f>
        <v/>
      </c>
      <c r="AH95" s="6" t="str">
        <f>IF(Eingabe[[#This Row],[V2]]="","",Eingabe[[#This Row],[V2]]+Eingabe[[#This Row],[R2]])</f>
        <v/>
      </c>
      <c r="AI95" s="6" t="str">
        <f>IF(Eingabe[[#This Row],[V3]]="","",Eingabe[[#This Row],[V3]]+Eingabe[[#This Row],[R3]])</f>
        <v/>
      </c>
      <c r="AJ95" s="6" t="str">
        <f>IF(Eingabe[[#This Row],[V4]]="","",Eingabe[[#This Row],[V4]]+Eingabe[[#This Row],[R4]])</f>
        <v/>
      </c>
      <c r="AK95" s="6" t="str">
        <f>IF(Eingabe[[#This Row],[S1P]]="","",Eingabe[[#This Row],[S1P]]+Eingabe[[#This Row],[S2P]]+Eingabe[[#This Row],[S3P]]+Eingabe[[#This Row],[S4P]])</f>
        <v/>
      </c>
      <c r="AL95" s="6" t="str">
        <f>IF(Eingabe[[#This Row],[S1P]]="","",IF(Eingabe[[#This Row],[SP]]&gt;2,1,IF(Eingabe[[#This Row],[SP]]&lt;2,0,IF(Eingabe[[#This Row],[GES]]&gt;Eingabe[[#This Row],[GEGGES]],1,IF(Eingabe[[#This Row],[GES]]=Eingabe[[#This Row],[GEGGES]],0.5,0)))))</f>
        <v/>
      </c>
      <c r="AM95" s="6" t="str">
        <f>IF(Eingabe[[#This Row],[MP]]="","",MOD(ROW(Eingabe[[#This Row],[Position]])-3,6)+1)</f>
        <v/>
      </c>
      <c r="AN95" s="6" t="e">
        <f>STANDARDIZE(Eingabe[[#This Row],[GES]],Eingabe[[#This Row],[Schnitt]],VLOOKUP(Eingabe[[#This Row],[Name]],AuswertungG[],21,FALSE))</f>
        <v>#VALUE!</v>
      </c>
      <c r="AO95" s="6">
        <f>VLOOKUP(Eingabe[[#This Row],[ID]],Chronologie[[ID]:[KW]],12,FALSE)</f>
        <v>30</v>
      </c>
      <c r="AP95" s="95" t="str">
        <f>IF(Eingabe[[#This Row],[Wo]]="H",Eingabe[[#This Row],[Gegner]]&amp;" ["&amp;Eingabe[[#This Row],[Wo]]&amp;"]",Eingabe[[#This Row],[Ort]])</f>
        <v>Krummenhennersdorf</v>
      </c>
      <c r="AQ95" s="6" t="str">
        <f>IFERROR(IF(Eingabe[[#This Row],[Wo]]="H",IF(MOD(Eingabe[[#This Row],[Position]],2)=1,Eingabe[[#This Row],[S1]],Eingabe[[#This Row],[S4]]),""),"")</f>
        <v/>
      </c>
      <c r="AR95" s="6" t="str">
        <f>IFERROR(IF(Eingabe[[#This Row],[Wo]]="H",IF(Eingabe[[#This Row],[S1]]&gt;0,IF(MOD(Eingabe[[#This Row],[Position]],2)=1,Eingabe[[#This Row],[S2]],Eingabe[[#This Row],[S3]]),""),""),"")</f>
        <v/>
      </c>
      <c r="AS95" s="6" t="str">
        <f>IFERROR(IF(Eingabe[[#This Row],[Wo]]="H",IF(Eingabe[[#This Row],[S1]]&gt;0,IF(MOD(ROW(Eingabe[[#This Row],[Heimbahn 3]]),2)=1,Eingabe[[#This Row],[S4]],Eingabe[[#This Row],[S1]]),""),""),"")</f>
        <v/>
      </c>
      <c r="AT95" s="6" t="str">
        <f>IFERROR(IF(Eingabe[[#This Row],[Wo]]="H",IF(Eingabe[[#This Row],[S1]]&gt;0,IF(MOD(ROW(Eingabe[[#This Row],[Heimbahn 4]]),2)=1,Eingabe[[#This Row],[S3]],Eingabe[[#This Row],[S2]]),""),""),"")</f>
        <v/>
      </c>
      <c r="AU95" s="22" t="str">
        <f>IF(Eingabe[[#This Row],[GES]]="","",IF(Eingabe[[#This Row],[Modus]]="L",_xlfn.RANK.EQ(Eingabe[[#This Row],[GES]],AF93:AF98),IF(Eingabe[[#This Row],[Modus]]="P",_xlfn.RANK.EQ(Eingabe[[#This Row],[GES]],AF93:AF98),"")))</f>
        <v/>
      </c>
      <c r="AV95" s="6" t="e">
        <f>VLOOKUP(Eingabe[[#This Row],[Name]],AuswertungG[],8,FALSE)</f>
        <v>#N/A</v>
      </c>
      <c r="AZ95" s="6" t="str">
        <f>IFERROR(ABS(Eingabe[[#This Row],[GES]]-Eingabe[[#This Row],[GEGGES]]),"")</f>
        <v/>
      </c>
    </row>
    <row r="96" spans="1:52" ht="16.2" hidden="1" thickBot="1" x14ac:dyDescent="0.35">
      <c r="A96" s="441"/>
      <c r="B96" s="21">
        <f t="shared" si="10"/>
        <v>16</v>
      </c>
      <c r="C96" s="6" t="str">
        <f>VLOOKUP($B96,Chronologie[],7,TRUE)</f>
        <v>SG Hohentanne</v>
      </c>
      <c r="D96" s="6" t="str">
        <f>VLOOKUP($B96,Chronologie[],8,TRUE)</f>
        <v>Krummenhennersdorf</v>
      </c>
      <c r="E96" s="240" t="str">
        <f>VLOOKUP($B96,Chronologie[],9,TRUE)</f>
        <v>A</v>
      </c>
      <c r="F96" s="6" t="str">
        <f>VLOOKUP($B96,Chronologie[],COLUMN(F97)-2,TRUE)</f>
        <v>E</v>
      </c>
      <c r="G96" s="6" t="str">
        <f>VLOOKUP($B96,Chronologie[],COLUMN(G97)-2,TRUE)</f>
        <v>L</v>
      </c>
      <c r="H96" s="6">
        <f>VLOOKUP($B96,Chronologie[],COLUMN(H97)-2,TRUE)</f>
        <v>16</v>
      </c>
      <c r="I96" s="10" t="str">
        <f>VLOOKUP($B96,Chronologie[],2,TRUE)</f>
        <v>E-L-16</v>
      </c>
      <c r="J96" s="243">
        <f>VLOOKUP($B96,Chronologie[],3,TRUE)</f>
        <v>46102</v>
      </c>
      <c r="K96" s="238"/>
      <c r="L96" s="237"/>
      <c r="M96" s="237"/>
      <c r="N96" s="237"/>
      <c r="O96" s="237"/>
      <c r="P96" s="237"/>
      <c r="Q96" s="237"/>
      <c r="R96" s="237"/>
      <c r="S96" s="237"/>
      <c r="T96" s="237"/>
      <c r="U96" s="237"/>
      <c r="V96" s="237"/>
      <c r="W96" s="237"/>
      <c r="X96" s="38"/>
      <c r="Y96" s="38"/>
      <c r="Z96" s="38"/>
      <c r="AA96" s="38"/>
      <c r="AB96" s="91"/>
      <c r="AC96" s="94" t="str">
        <f>IF(Eingabe[[#This Row],[V1]]="",IF(Eingabe[[#This Row],[Volle alternativ]]="","",Eingabe[[#This Row],[Volle alternativ]]),SUM(Eingabe[[#This Row],[V1]:[V4]]))</f>
        <v/>
      </c>
      <c r="AD96" s="6" t="str">
        <f>IF(Eingabe[[#This Row],[R1]]="",IF(Eingabe[[#This Row],[Räumer alternativ]]="","",Eingabe[[#This Row],[Räumer alternativ]]),SUM(Eingabe[[#This Row],[R1]:[R4]]))</f>
        <v/>
      </c>
      <c r="AE96" s="6" t="str">
        <f>IF(Eingabe[[#This Row],[F1]]="",IF(Eingabe[[#This Row],[Fehler alternativ]]="","",Eingabe[[#This Row],[Fehler alternativ]]),SUM(Eingabe[[#This Row],[F1]:[F4]]))</f>
        <v/>
      </c>
      <c r="AF96" s="6" t="str">
        <f>IF(Eingabe[[#This Row],[Volle]]="","",IF(Eingabe[[#This Row],[S1]]="",Eingabe[[#This Row],[Volle]]+Eingabe[[#This Row],[Räumer]],IF(Eingabe[[#This Row],[Volle]]+Eingabe[[#This Row],[Räumer]]=Eingabe[[#This Row],[S1]]+Eingabe[[#This Row],[S2]]+Eingabe[[#This Row],[S3]]+Eingabe[[#This Row],[S4]],Eingabe[[#This Row],[Volle]]+Eingabe[[#This Row],[Räumer]],"FEHLER")))</f>
        <v/>
      </c>
      <c r="AG96" s="6" t="str">
        <f>IF(Eingabe[[#This Row],[V1]]="","",Eingabe[[#This Row],[V1]]+Eingabe[[#This Row],[R1]])</f>
        <v/>
      </c>
      <c r="AH96" s="6" t="str">
        <f>IF(Eingabe[[#This Row],[V2]]="","",Eingabe[[#This Row],[V2]]+Eingabe[[#This Row],[R2]])</f>
        <v/>
      </c>
      <c r="AI96" s="6" t="str">
        <f>IF(Eingabe[[#This Row],[V3]]="","",Eingabe[[#This Row],[V3]]+Eingabe[[#This Row],[R3]])</f>
        <v/>
      </c>
      <c r="AJ96" s="6" t="str">
        <f>IF(Eingabe[[#This Row],[V4]]="","",Eingabe[[#This Row],[V4]]+Eingabe[[#This Row],[R4]])</f>
        <v/>
      </c>
      <c r="AK96" s="6" t="str">
        <f>IF(Eingabe[[#This Row],[S1P]]="","",Eingabe[[#This Row],[S1P]]+Eingabe[[#This Row],[S2P]]+Eingabe[[#This Row],[S3P]]+Eingabe[[#This Row],[S4P]])</f>
        <v/>
      </c>
      <c r="AL96" s="6" t="str">
        <f>IF(Eingabe[[#This Row],[S1P]]="","",IF(Eingabe[[#This Row],[SP]]&gt;2,1,IF(Eingabe[[#This Row],[SP]]&lt;2,0,IF(Eingabe[[#This Row],[GES]]&gt;Eingabe[[#This Row],[GEGGES]],1,IF(Eingabe[[#This Row],[GES]]=Eingabe[[#This Row],[GEGGES]],0.5,0)))))</f>
        <v/>
      </c>
      <c r="AM96" s="6" t="str">
        <f>IF(Eingabe[[#This Row],[MP]]="","",MOD(ROW(Eingabe[[#This Row],[Position]])-3,6)+1)</f>
        <v/>
      </c>
      <c r="AN96" s="6" t="e">
        <f>STANDARDIZE(Eingabe[[#This Row],[GES]],Eingabe[[#This Row],[Schnitt]],VLOOKUP(Eingabe[[#This Row],[Name]],AuswertungG[],21,FALSE))</f>
        <v>#VALUE!</v>
      </c>
      <c r="AO96" s="6">
        <f>VLOOKUP(Eingabe[[#This Row],[ID]],Chronologie[[ID]:[KW]],12,FALSE)</f>
        <v>30</v>
      </c>
      <c r="AP96" s="95" t="str">
        <f>IF(Eingabe[[#This Row],[Wo]]="H",Eingabe[[#This Row],[Gegner]]&amp;" ["&amp;Eingabe[[#This Row],[Wo]]&amp;"]",Eingabe[[#This Row],[Ort]])</f>
        <v>Krummenhennersdorf</v>
      </c>
      <c r="AQ96" s="6" t="str">
        <f>IFERROR(IF(Eingabe[[#This Row],[Wo]]="H",IF(MOD(Eingabe[[#This Row],[Position]],2)=1,Eingabe[[#This Row],[S1]],Eingabe[[#This Row],[S4]]),""),"")</f>
        <v/>
      </c>
      <c r="AR96" s="6" t="str">
        <f>IFERROR(IF(Eingabe[[#This Row],[Wo]]="H",IF(Eingabe[[#This Row],[S1]]&gt;0,IF(MOD(Eingabe[[#This Row],[Position]],2)=1,Eingabe[[#This Row],[S2]],Eingabe[[#This Row],[S3]]),""),""),"")</f>
        <v/>
      </c>
      <c r="AS96" s="6" t="str">
        <f>IFERROR(IF(Eingabe[[#This Row],[Wo]]="H",IF(Eingabe[[#This Row],[S1]]&gt;0,IF(MOD(ROW(Eingabe[[#This Row],[Heimbahn 3]]),2)=1,Eingabe[[#This Row],[S4]],Eingabe[[#This Row],[S1]]),""),""),"")</f>
        <v/>
      </c>
      <c r="AT96" s="6" t="str">
        <f>IFERROR(IF(Eingabe[[#This Row],[Wo]]="H",IF(Eingabe[[#This Row],[S1]]&gt;0,IF(MOD(ROW(Eingabe[[#This Row],[Heimbahn 4]]),2)=1,Eingabe[[#This Row],[S3]],Eingabe[[#This Row],[S2]]),""),""),"")</f>
        <v/>
      </c>
      <c r="AU96" s="22" t="str">
        <f>IF(Eingabe[[#This Row],[GES]]="","",IF(Eingabe[[#This Row],[Modus]]="L",_xlfn.RANK.EQ(Eingabe[[#This Row],[GES]],AF93:AF98),IF(Eingabe[[#This Row],[Modus]]="P",_xlfn.RANK.EQ(Eingabe[[#This Row],[GES]],AF93:AF98),"")))</f>
        <v/>
      </c>
      <c r="AV96" s="6" t="e">
        <f>VLOOKUP(Eingabe[[#This Row],[Name]],AuswertungG[],8,FALSE)</f>
        <v>#N/A</v>
      </c>
      <c r="AZ96" s="6" t="str">
        <f>IFERROR(ABS(Eingabe[[#This Row],[GES]]-Eingabe[[#This Row],[GEGGES]]),"")</f>
        <v/>
      </c>
    </row>
    <row r="97" spans="1:52" ht="16.2" hidden="1" thickBot="1" x14ac:dyDescent="0.35">
      <c r="A97" s="441"/>
      <c r="B97" s="21">
        <f t="shared" si="10"/>
        <v>16</v>
      </c>
      <c r="C97" s="6" t="str">
        <f>VLOOKUP($B97,Chronologie[],7,TRUE)</f>
        <v>SG Hohentanne</v>
      </c>
      <c r="D97" s="6" t="str">
        <f>VLOOKUP($B97,Chronologie[],8,TRUE)</f>
        <v>Krummenhennersdorf</v>
      </c>
      <c r="E97" s="240" t="str">
        <f>VLOOKUP($B97,Chronologie[],9,TRUE)</f>
        <v>A</v>
      </c>
      <c r="F97" s="6" t="str">
        <f>VLOOKUP($B97,Chronologie[],COLUMN(F98)-2,TRUE)</f>
        <v>E</v>
      </c>
      <c r="G97" s="6" t="str">
        <f>VLOOKUP($B97,Chronologie[],COLUMN(G98)-2,TRUE)</f>
        <v>L</v>
      </c>
      <c r="H97" s="6">
        <f>VLOOKUP($B97,Chronologie[],COLUMN(H98)-2,TRUE)</f>
        <v>16</v>
      </c>
      <c r="I97" s="10" t="str">
        <f>VLOOKUP($B97,Chronologie[],2,TRUE)</f>
        <v>E-L-16</v>
      </c>
      <c r="J97" s="243">
        <f>VLOOKUP($B97,Chronologie[],3,TRUE)</f>
        <v>46102</v>
      </c>
      <c r="K97" s="237"/>
      <c r="L97" s="237"/>
      <c r="M97" s="237"/>
      <c r="N97" s="237"/>
      <c r="O97" s="237"/>
      <c r="P97" s="237"/>
      <c r="Q97" s="237"/>
      <c r="R97" s="237"/>
      <c r="S97" s="237"/>
      <c r="T97" s="237"/>
      <c r="U97" s="237"/>
      <c r="V97" s="237"/>
      <c r="W97" s="237"/>
      <c r="X97" s="38"/>
      <c r="Y97" s="38"/>
      <c r="Z97" s="38"/>
      <c r="AA97" s="38"/>
      <c r="AB97" s="91"/>
      <c r="AC97" s="94" t="str">
        <f>IF(Eingabe[[#This Row],[V1]]="",IF(Eingabe[[#This Row],[Volle alternativ]]="","",Eingabe[[#This Row],[Volle alternativ]]),SUM(Eingabe[[#This Row],[V1]:[V4]]))</f>
        <v/>
      </c>
      <c r="AD97" s="6" t="str">
        <f>IF(Eingabe[[#This Row],[R1]]="",IF(Eingabe[[#This Row],[Räumer alternativ]]="","",Eingabe[[#This Row],[Räumer alternativ]]),SUM(Eingabe[[#This Row],[R1]:[R4]]))</f>
        <v/>
      </c>
      <c r="AE97" s="6" t="str">
        <f>IF(Eingabe[[#This Row],[F1]]="",IF(Eingabe[[#This Row],[Fehler alternativ]]="","",Eingabe[[#This Row],[Fehler alternativ]]),SUM(Eingabe[[#This Row],[F1]:[F4]]))</f>
        <v/>
      </c>
      <c r="AF97" s="6" t="str">
        <f>IF(Eingabe[[#This Row],[Volle]]="","",IF(Eingabe[[#This Row],[S1]]="",Eingabe[[#This Row],[Volle]]+Eingabe[[#This Row],[Räumer]],IF(Eingabe[[#This Row],[Volle]]+Eingabe[[#This Row],[Räumer]]=Eingabe[[#This Row],[S1]]+Eingabe[[#This Row],[S2]]+Eingabe[[#This Row],[S3]]+Eingabe[[#This Row],[S4]],Eingabe[[#This Row],[Volle]]+Eingabe[[#This Row],[Räumer]],"FEHLER")))</f>
        <v/>
      </c>
      <c r="AG97" s="6" t="str">
        <f>IF(Eingabe[[#This Row],[V1]]="","",Eingabe[[#This Row],[V1]]+Eingabe[[#This Row],[R1]])</f>
        <v/>
      </c>
      <c r="AH97" s="6" t="str">
        <f>IF(Eingabe[[#This Row],[V2]]="","",Eingabe[[#This Row],[V2]]+Eingabe[[#This Row],[R2]])</f>
        <v/>
      </c>
      <c r="AI97" s="6" t="str">
        <f>IF(Eingabe[[#This Row],[V3]]="","",Eingabe[[#This Row],[V3]]+Eingabe[[#This Row],[R3]])</f>
        <v/>
      </c>
      <c r="AJ97" s="6" t="str">
        <f>IF(Eingabe[[#This Row],[V4]]="","",Eingabe[[#This Row],[V4]]+Eingabe[[#This Row],[R4]])</f>
        <v/>
      </c>
      <c r="AK97" s="6" t="str">
        <f>IF(Eingabe[[#This Row],[S1P]]="","",Eingabe[[#This Row],[S1P]]+Eingabe[[#This Row],[S2P]]+Eingabe[[#This Row],[S3P]]+Eingabe[[#This Row],[S4P]])</f>
        <v/>
      </c>
      <c r="AL97" s="6" t="str">
        <f>IF(Eingabe[[#This Row],[S1P]]="","",IF(Eingabe[[#This Row],[SP]]&gt;2,1,IF(Eingabe[[#This Row],[SP]]&lt;2,0,IF(Eingabe[[#This Row],[GES]]&gt;Eingabe[[#This Row],[GEGGES]],1,IF(Eingabe[[#This Row],[GES]]=Eingabe[[#This Row],[GEGGES]],0.5,0)))))</f>
        <v/>
      </c>
      <c r="AM97" s="6" t="str">
        <f>IF(Eingabe[[#This Row],[MP]]="","",MOD(ROW(Eingabe[[#This Row],[Position]])-3,6)+1)</f>
        <v/>
      </c>
      <c r="AN97" s="6" t="e">
        <f>STANDARDIZE(Eingabe[[#This Row],[GES]],Eingabe[[#This Row],[Schnitt]],VLOOKUP(Eingabe[[#This Row],[Name]],AuswertungG[],21,FALSE))</f>
        <v>#VALUE!</v>
      </c>
      <c r="AO97" s="6">
        <f>VLOOKUP(Eingabe[[#This Row],[ID]],Chronologie[[ID]:[KW]],12,FALSE)</f>
        <v>30</v>
      </c>
      <c r="AP97" s="95" t="str">
        <f>IF(Eingabe[[#This Row],[Wo]]="H",Eingabe[[#This Row],[Gegner]]&amp;" ["&amp;Eingabe[[#This Row],[Wo]]&amp;"]",Eingabe[[#This Row],[Ort]])</f>
        <v>Krummenhennersdorf</v>
      </c>
      <c r="AQ97" s="6" t="str">
        <f>IFERROR(IF(Eingabe[[#This Row],[Wo]]="H",IF(MOD(Eingabe[[#This Row],[Position]],2)=1,Eingabe[[#This Row],[S1]],Eingabe[[#This Row],[S4]]),""),"")</f>
        <v/>
      </c>
      <c r="AR97" s="6" t="str">
        <f>IFERROR(IF(Eingabe[[#This Row],[Wo]]="H",IF(Eingabe[[#This Row],[S1]]&gt;0,IF(MOD(Eingabe[[#This Row],[Position]],2)=1,Eingabe[[#This Row],[S2]],Eingabe[[#This Row],[S3]]),""),""),"")</f>
        <v/>
      </c>
      <c r="AS97" s="6" t="str">
        <f>IFERROR(IF(Eingabe[[#This Row],[Wo]]="H",IF(Eingabe[[#This Row],[S1]]&gt;0,IF(MOD(ROW(Eingabe[[#This Row],[Heimbahn 3]]),2)=1,Eingabe[[#This Row],[S4]],Eingabe[[#This Row],[S1]]),""),""),"")</f>
        <v/>
      </c>
      <c r="AT97" s="6" t="str">
        <f>IFERROR(IF(Eingabe[[#This Row],[Wo]]="H",IF(Eingabe[[#This Row],[S1]]&gt;0,IF(MOD(ROW(Eingabe[[#This Row],[Heimbahn 4]]),2)=1,Eingabe[[#This Row],[S3]],Eingabe[[#This Row],[S2]]),""),""),"")</f>
        <v/>
      </c>
      <c r="AU97" s="22" t="str">
        <f>IF(Eingabe[[#This Row],[GES]]="","",IF(Eingabe[[#This Row],[Modus]]="L",_xlfn.RANK.EQ(Eingabe[[#This Row],[GES]],AF93:AF98),IF(Eingabe[[#This Row],[Modus]]="P",_xlfn.RANK.EQ(Eingabe[[#This Row],[GES]],AF93:AF98),"")))</f>
        <v/>
      </c>
      <c r="AV97" s="6" t="e">
        <f>VLOOKUP(Eingabe[[#This Row],[Name]],AuswertungG[],8,FALSE)</f>
        <v>#N/A</v>
      </c>
      <c r="AZ97" s="6" t="str">
        <f>IFERROR(ABS(Eingabe[[#This Row],[GES]]-Eingabe[[#This Row],[GEGGES]]),"")</f>
        <v/>
      </c>
    </row>
    <row r="98" spans="1:52" ht="16.2" hidden="1" thickBot="1" x14ac:dyDescent="0.35">
      <c r="A98" s="442"/>
      <c r="B98" s="56">
        <f t="shared" si="10"/>
        <v>16</v>
      </c>
      <c r="C98" s="23" t="str">
        <f>VLOOKUP($B98,Chronologie[],7,TRUE)</f>
        <v>SG Hohentanne</v>
      </c>
      <c r="D98" s="23" t="str">
        <f>VLOOKUP($B98,Chronologie[],8,TRUE)</f>
        <v>Krummenhennersdorf</v>
      </c>
      <c r="E98" s="39" t="str">
        <f>VLOOKUP($B98,Chronologie[],9,TRUE)</f>
        <v>A</v>
      </c>
      <c r="F98" s="23" t="str">
        <f>VLOOKUP($B98,Chronologie[],COLUMN(F99)-2,TRUE)</f>
        <v>E</v>
      </c>
      <c r="G98" s="23" t="str">
        <f>VLOOKUP($B98,Chronologie[],COLUMN(G99)-2,TRUE)</f>
        <v>L</v>
      </c>
      <c r="H98" s="23">
        <f>VLOOKUP($B98,Chronologie[],COLUMN(H99)-2,TRUE)</f>
        <v>16</v>
      </c>
      <c r="I98" s="13" t="str">
        <f>VLOOKUP($B98,Chronologie[],2,TRUE)</f>
        <v>E-L-16</v>
      </c>
      <c r="J98" s="244">
        <f>VLOOKUP($B98,Chronologie[],3,TRUE)</f>
        <v>46102</v>
      </c>
      <c r="K98" s="239"/>
      <c r="L98" s="239"/>
      <c r="M98" s="239"/>
      <c r="N98" s="239"/>
      <c r="O98" s="239"/>
      <c r="P98" s="239"/>
      <c r="Q98" s="239"/>
      <c r="R98" s="239"/>
      <c r="S98" s="239"/>
      <c r="T98" s="239"/>
      <c r="U98" s="239"/>
      <c r="V98" s="239"/>
      <c r="W98" s="239"/>
      <c r="X98" s="40"/>
      <c r="Y98" s="40"/>
      <c r="Z98" s="40"/>
      <c r="AA98" s="40"/>
      <c r="AB98" s="92"/>
      <c r="AC98" s="96" t="str">
        <f>IF(Eingabe[[#This Row],[V1]]="",IF(Eingabe[[#This Row],[Volle alternativ]]="","",Eingabe[[#This Row],[Volle alternativ]]),SUM(Eingabe[[#This Row],[V1]:[V4]]))</f>
        <v/>
      </c>
      <c r="AD98" s="23" t="str">
        <f>IF(Eingabe[[#This Row],[R1]]="",IF(Eingabe[[#This Row],[Räumer alternativ]]="","",Eingabe[[#This Row],[Räumer alternativ]]),SUM(Eingabe[[#This Row],[R1]:[R4]]))</f>
        <v/>
      </c>
      <c r="AE98" s="23" t="str">
        <f>IF(Eingabe[[#This Row],[F1]]="",IF(Eingabe[[#This Row],[Fehler alternativ]]="","",Eingabe[[#This Row],[Fehler alternativ]]),SUM(Eingabe[[#This Row],[F1]:[F4]]))</f>
        <v/>
      </c>
      <c r="AF98" s="23" t="str">
        <f>IF(Eingabe[[#This Row],[Volle]]="","",IF(Eingabe[[#This Row],[S1]]="",Eingabe[[#This Row],[Volle]]+Eingabe[[#This Row],[Räumer]],IF(Eingabe[[#This Row],[Volle]]+Eingabe[[#This Row],[Räumer]]=Eingabe[[#This Row],[S1]]+Eingabe[[#This Row],[S2]]+Eingabe[[#This Row],[S3]]+Eingabe[[#This Row],[S4]],Eingabe[[#This Row],[Volle]]+Eingabe[[#This Row],[Räumer]],"FEHLER")))</f>
        <v/>
      </c>
      <c r="AG98" s="23" t="str">
        <f>IF(Eingabe[[#This Row],[V1]]="","",Eingabe[[#This Row],[V1]]+Eingabe[[#This Row],[R1]])</f>
        <v/>
      </c>
      <c r="AH98" s="23" t="str">
        <f>IF(Eingabe[[#This Row],[V2]]="","",Eingabe[[#This Row],[V2]]+Eingabe[[#This Row],[R2]])</f>
        <v/>
      </c>
      <c r="AI98" s="23" t="str">
        <f>IF(Eingabe[[#This Row],[V3]]="","",Eingabe[[#This Row],[V3]]+Eingabe[[#This Row],[R3]])</f>
        <v/>
      </c>
      <c r="AJ98" s="23" t="str">
        <f>IF(Eingabe[[#This Row],[V4]]="","",Eingabe[[#This Row],[V4]]+Eingabe[[#This Row],[R4]])</f>
        <v/>
      </c>
      <c r="AK98" s="23" t="str">
        <f>IF(Eingabe[[#This Row],[S1P]]="","",Eingabe[[#This Row],[S1P]]+Eingabe[[#This Row],[S2P]]+Eingabe[[#This Row],[S3P]]+Eingabe[[#This Row],[S4P]])</f>
        <v/>
      </c>
      <c r="AL98" s="23" t="str">
        <f>IF(Eingabe[[#This Row],[S1P]]="","",IF(Eingabe[[#This Row],[SP]]&gt;2,1,IF(Eingabe[[#This Row],[SP]]&lt;2,0,IF(Eingabe[[#This Row],[GES]]&gt;Eingabe[[#This Row],[GEGGES]],1,IF(Eingabe[[#This Row],[GES]]=Eingabe[[#This Row],[GEGGES]],0.5,0)))))</f>
        <v/>
      </c>
      <c r="AM98" s="23" t="str">
        <f>IF(Eingabe[[#This Row],[MP]]="","",MOD(ROW(Eingabe[[#This Row],[Position]])-3,6)+1)</f>
        <v/>
      </c>
      <c r="AN98" s="23" t="e">
        <f>STANDARDIZE(Eingabe[[#This Row],[GES]],Eingabe[[#This Row],[Schnitt]],VLOOKUP(Eingabe[[#This Row],[Name]],AuswertungG[],21,FALSE))</f>
        <v>#VALUE!</v>
      </c>
      <c r="AO98" s="23">
        <f>VLOOKUP(Eingabe[[#This Row],[ID]],Chronologie[[ID]:[KW]],12,FALSE)</f>
        <v>30</v>
      </c>
      <c r="AP98" s="59" t="str">
        <f>IF(Eingabe[[#This Row],[Wo]]="H",Eingabe[[#This Row],[Gegner]]&amp;" ["&amp;Eingabe[[#This Row],[Wo]]&amp;"]",Eingabe[[#This Row],[Ort]])</f>
        <v>Krummenhennersdorf</v>
      </c>
      <c r="AQ98" s="23" t="str">
        <f>IFERROR(IF(Eingabe[[#This Row],[Wo]]="H",IF(MOD(Eingabe[[#This Row],[Position]],2)=1,Eingabe[[#This Row],[S1]],Eingabe[[#This Row],[S4]]),""),"")</f>
        <v/>
      </c>
      <c r="AR98" s="23" t="str">
        <f>IFERROR(IF(Eingabe[[#This Row],[Wo]]="H",IF(Eingabe[[#This Row],[S1]]&gt;0,IF(MOD(Eingabe[[#This Row],[Position]],2)=1,Eingabe[[#This Row],[S2]],Eingabe[[#This Row],[S3]]),""),""),"")</f>
        <v/>
      </c>
      <c r="AS98" s="23" t="str">
        <f>IFERROR(IF(Eingabe[[#This Row],[Wo]]="H",IF(Eingabe[[#This Row],[S1]]&gt;0,IF(MOD(ROW(Eingabe[[#This Row],[Heimbahn 3]]),2)=1,Eingabe[[#This Row],[S4]],Eingabe[[#This Row],[S1]]),""),""),"")</f>
        <v/>
      </c>
      <c r="AT98" s="23" t="str">
        <f>IFERROR(IF(Eingabe[[#This Row],[Wo]]="H",IF(Eingabe[[#This Row],[S1]]&gt;0,IF(MOD(ROW(Eingabe[[#This Row],[Heimbahn 4]]),2)=1,Eingabe[[#This Row],[S3]],Eingabe[[#This Row],[S2]]),""),""),"")</f>
        <v/>
      </c>
      <c r="AU98" s="89" t="str">
        <f>IF(Eingabe[[#This Row],[GES]]="","",IF(Eingabe[[#This Row],[Modus]]="L",_xlfn.RANK.EQ(Eingabe[[#This Row],[GES]],AF93:AF98),IF(Eingabe[[#This Row],[Modus]]="P",_xlfn.RANK.EQ(Eingabe[[#This Row],[GES]],AF93:AF98),"")))</f>
        <v/>
      </c>
      <c r="AV98" s="6" t="e">
        <f>VLOOKUP(Eingabe[[#This Row],[Name]],AuswertungG[],8,FALSE)</f>
        <v>#N/A</v>
      </c>
      <c r="AZ98" s="6" t="str">
        <f>IFERROR(ABS(Eingabe[[#This Row],[GES]]-Eingabe[[#This Row],[GEGGES]]),"")</f>
        <v/>
      </c>
    </row>
    <row r="99" spans="1:52" ht="16.2" hidden="1" thickBot="1" x14ac:dyDescent="0.35">
      <c r="A99" s="440">
        <f t="shared" ref="A99" si="16">B99</f>
        <v>17</v>
      </c>
      <c r="B99" s="55">
        <f t="shared" si="10"/>
        <v>17</v>
      </c>
      <c r="C99" s="35" t="str">
        <f>VLOOKUP($B99,Chronologie[],7,TRUE)</f>
        <v>SKV 9-Pins Stollberg II</v>
      </c>
      <c r="D99" s="35" t="str">
        <f>VLOOKUP($B99,Chronologie[],8,TRUE)</f>
        <v>Stollberg</v>
      </c>
      <c r="E99" s="36" t="str">
        <f>VLOOKUP($B99,Chronologie[],9,TRUE)</f>
        <v>A</v>
      </c>
      <c r="F99" s="35" t="str">
        <f>VLOOKUP($B99,Chronologie[],COLUMN(F100)-2,TRUE)</f>
        <v>E</v>
      </c>
      <c r="G99" s="35" t="str">
        <f>VLOOKUP($B99,Chronologie[],COLUMN(G100)-2,TRUE)</f>
        <v>L</v>
      </c>
      <c r="H99" s="35">
        <f>VLOOKUP($B99,Chronologie[],COLUMN(H100)-2,TRUE)</f>
        <v>17</v>
      </c>
      <c r="I99" s="9" t="str">
        <f>VLOOKUP($B99,Chronologie[],2,TRUE)</f>
        <v>E-L-17</v>
      </c>
      <c r="J99" s="242">
        <f>VLOOKUP($B99,Chronologie[],3,TRUE)</f>
        <v>46109</v>
      </c>
      <c r="K99" s="236"/>
      <c r="L99" s="334"/>
      <c r="M99" s="334"/>
      <c r="N99" s="334"/>
      <c r="O99" s="334"/>
      <c r="P99" s="334"/>
      <c r="Q99" s="334"/>
      <c r="R99" s="334"/>
      <c r="S99" s="334"/>
      <c r="T99" s="334"/>
      <c r="U99" s="334"/>
      <c r="V99" s="334"/>
      <c r="W99" s="334"/>
      <c r="X99" s="37"/>
      <c r="Y99" s="37"/>
      <c r="Z99" s="37"/>
      <c r="AA99" s="37"/>
      <c r="AB99" s="90"/>
      <c r="AC99" s="93" t="str">
        <f>IF(Eingabe[[#This Row],[V1]]="",IF(Eingabe[[#This Row],[Volle alternativ]]="","",Eingabe[[#This Row],[Volle alternativ]]),SUM(Eingabe[[#This Row],[V1]:[V4]]))</f>
        <v/>
      </c>
      <c r="AD99" s="35" t="str">
        <f>IF(Eingabe[[#This Row],[R1]]="",IF(Eingabe[[#This Row],[Räumer alternativ]]="","",Eingabe[[#This Row],[Räumer alternativ]]),SUM(Eingabe[[#This Row],[R1]:[R4]]))</f>
        <v/>
      </c>
      <c r="AE99" s="35" t="str">
        <f>IF(Eingabe[[#This Row],[F1]]="",IF(Eingabe[[#This Row],[Fehler alternativ]]="","",Eingabe[[#This Row],[Fehler alternativ]]),SUM(Eingabe[[#This Row],[F1]:[F4]]))</f>
        <v/>
      </c>
      <c r="AF99" s="35" t="str">
        <f>IF(Eingabe[[#This Row],[Volle]]="","",IF(Eingabe[[#This Row],[S1]]="",Eingabe[[#This Row],[Volle]]+Eingabe[[#This Row],[Räumer]],IF(Eingabe[[#This Row],[Volle]]+Eingabe[[#This Row],[Räumer]]=Eingabe[[#This Row],[S1]]+Eingabe[[#This Row],[S2]]+Eingabe[[#This Row],[S3]]+Eingabe[[#This Row],[S4]],Eingabe[[#This Row],[Volle]]+Eingabe[[#This Row],[Räumer]],"FEHLER")))</f>
        <v/>
      </c>
      <c r="AG99" s="35" t="str">
        <f>IF(Eingabe[[#This Row],[V1]]="","",Eingabe[[#This Row],[V1]]+Eingabe[[#This Row],[R1]])</f>
        <v/>
      </c>
      <c r="AH99" s="35" t="str">
        <f>IF(Eingabe[[#This Row],[V2]]="","",Eingabe[[#This Row],[V2]]+Eingabe[[#This Row],[R2]])</f>
        <v/>
      </c>
      <c r="AI99" s="35" t="str">
        <f>IF(Eingabe[[#This Row],[V3]]="","",Eingabe[[#This Row],[V3]]+Eingabe[[#This Row],[R3]])</f>
        <v/>
      </c>
      <c r="AJ99" s="35" t="str">
        <f>IF(Eingabe[[#This Row],[V4]]="","",Eingabe[[#This Row],[V4]]+Eingabe[[#This Row],[R4]])</f>
        <v/>
      </c>
      <c r="AK99" s="35" t="str">
        <f>IF(Eingabe[[#This Row],[S1P]]="","",Eingabe[[#This Row],[S1P]]+Eingabe[[#This Row],[S2P]]+Eingabe[[#This Row],[S3P]]+Eingabe[[#This Row],[S4P]])</f>
        <v/>
      </c>
      <c r="AL99" s="35" t="str">
        <f>IF(Eingabe[[#This Row],[S1P]]="","",IF(Eingabe[[#This Row],[SP]]&gt;2,1,IF(Eingabe[[#This Row],[SP]]&lt;2,0,IF(Eingabe[[#This Row],[GES]]&gt;Eingabe[[#This Row],[GEGGES]],1,IF(Eingabe[[#This Row],[GES]]=Eingabe[[#This Row],[GEGGES]],0.5,0)))))</f>
        <v/>
      </c>
      <c r="AM99" s="35" t="str">
        <f>IF(Eingabe[[#This Row],[MP]]="","",MOD(ROW(Eingabe[[#This Row],[Position]])-3,6)+1)</f>
        <v/>
      </c>
      <c r="AN99" s="35" t="e">
        <f>STANDARDIZE(Eingabe[[#This Row],[GES]],Eingabe[[#This Row],[Schnitt]],VLOOKUP(Eingabe[[#This Row],[Name]],AuswertungG[],21,FALSE))</f>
        <v>#VALUE!</v>
      </c>
      <c r="AO99" s="35">
        <f>VLOOKUP(Eingabe[[#This Row],[ID]],Chronologie[[ID]:[KW]],12,FALSE)</f>
        <v>31</v>
      </c>
      <c r="AP99" s="58" t="str">
        <f>IF(Eingabe[[#This Row],[Wo]]="H",Eingabe[[#This Row],[Gegner]]&amp;" ["&amp;Eingabe[[#This Row],[Wo]]&amp;"]",Eingabe[[#This Row],[Ort]])</f>
        <v>Stollberg</v>
      </c>
      <c r="AQ99" s="35" t="str">
        <f>IFERROR(IF(Eingabe[[#This Row],[Wo]]="H",IF(MOD(Eingabe[[#This Row],[Position]],2)=1,Eingabe[[#This Row],[S1]],Eingabe[[#This Row],[S4]]),""),"")</f>
        <v/>
      </c>
      <c r="AR99" s="35" t="str">
        <f>IFERROR(IF(Eingabe[[#This Row],[Wo]]="H",IF(Eingabe[[#This Row],[S1]]&gt;0,IF(MOD(Eingabe[[#This Row],[Position]],2)=1,Eingabe[[#This Row],[S2]],Eingabe[[#This Row],[S3]]),""),""),"")</f>
        <v/>
      </c>
      <c r="AS99" s="35" t="str">
        <f>IFERROR(IF(Eingabe[[#This Row],[Wo]]="H",IF(Eingabe[[#This Row],[S1]]&gt;0,IF(MOD(ROW(Eingabe[[#This Row],[Heimbahn 3]]),2)=1,Eingabe[[#This Row],[S4]],Eingabe[[#This Row],[S1]]),""),""),"")</f>
        <v/>
      </c>
      <c r="AT99" s="35" t="str">
        <f>IFERROR(IF(Eingabe[[#This Row],[Wo]]="H",IF(Eingabe[[#This Row],[S1]]&gt;0,IF(MOD(ROW(Eingabe[[#This Row],[Heimbahn 4]]),2)=1,Eingabe[[#This Row],[S3]],Eingabe[[#This Row],[S2]]),""),""),"")</f>
        <v/>
      </c>
      <c r="AU99" s="88" t="str">
        <f>IF(Eingabe[[#This Row],[GES]]="","",IF(Eingabe[[#This Row],[Modus]]="L",_xlfn.RANK.EQ(Eingabe[[#This Row],[GES]],AF99:AF104),IF(Eingabe[[#This Row],[Modus]]="P",_xlfn.RANK.EQ(Eingabe[[#This Row],[GES]],AF99:AF104),"")))</f>
        <v/>
      </c>
      <c r="AV99" s="6" t="e">
        <f>VLOOKUP(Eingabe[[#This Row],[Name]],AuswertungG[],8,FALSE)</f>
        <v>#N/A</v>
      </c>
      <c r="AZ99" s="6" t="str">
        <f>IFERROR(ABS(Eingabe[[#This Row],[GES]]-Eingabe[[#This Row],[GEGGES]]),"")</f>
        <v/>
      </c>
    </row>
    <row r="100" spans="1:52" ht="16.2" hidden="1" thickBot="1" x14ac:dyDescent="0.35">
      <c r="A100" s="441"/>
      <c r="B100" s="21">
        <f t="shared" si="10"/>
        <v>17</v>
      </c>
      <c r="C100" s="6" t="str">
        <f>VLOOKUP($B100,Chronologie[],7,TRUE)</f>
        <v>SKV 9-Pins Stollberg II</v>
      </c>
      <c r="D100" s="6" t="str">
        <f>VLOOKUP($B100,Chronologie[],8,TRUE)</f>
        <v>Stollberg</v>
      </c>
      <c r="E100" s="240" t="str">
        <f>VLOOKUP($B100,Chronologie[],9,TRUE)</f>
        <v>A</v>
      </c>
      <c r="F100" s="6" t="str">
        <f>VLOOKUP($B100,Chronologie[],COLUMN(F101)-2,TRUE)</f>
        <v>E</v>
      </c>
      <c r="G100" s="6" t="str">
        <f>VLOOKUP($B100,Chronologie[],COLUMN(G101)-2,TRUE)</f>
        <v>L</v>
      </c>
      <c r="H100" s="6">
        <f>VLOOKUP($B100,Chronologie[],COLUMN(H101)-2,TRUE)</f>
        <v>17</v>
      </c>
      <c r="I100" s="10" t="str">
        <f>VLOOKUP($B100,Chronologie[],2,TRUE)</f>
        <v>E-L-17</v>
      </c>
      <c r="J100" s="243">
        <f>VLOOKUP($B100,Chronologie[],3,TRUE)</f>
        <v>46109</v>
      </c>
      <c r="K100" s="237"/>
      <c r="L100" s="237"/>
      <c r="M100" s="237"/>
      <c r="N100" s="237"/>
      <c r="O100" s="237"/>
      <c r="P100" s="237"/>
      <c r="Q100" s="237"/>
      <c r="R100" s="237"/>
      <c r="S100" s="237"/>
      <c r="T100" s="237"/>
      <c r="U100" s="237"/>
      <c r="V100" s="237"/>
      <c r="W100" s="237"/>
      <c r="X100" s="38"/>
      <c r="Y100" s="38"/>
      <c r="Z100" s="38"/>
      <c r="AA100" s="38"/>
      <c r="AB100" s="91"/>
      <c r="AC100" s="94" t="str">
        <f>IF(Eingabe[[#This Row],[V1]]="",IF(Eingabe[[#This Row],[Volle alternativ]]="","",Eingabe[[#This Row],[Volle alternativ]]),SUM(Eingabe[[#This Row],[V1]:[V4]]))</f>
        <v/>
      </c>
      <c r="AD100" s="6" t="str">
        <f>IF(Eingabe[[#This Row],[R1]]="",IF(Eingabe[[#This Row],[Räumer alternativ]]="","",Eingabe[[#This Row],[Räumer alternativ]]),SUM(Eingabe[[#This Row],[R1]:[R4]]))</f>
        <v/>
      </c>
      <c r="AE100" s="6" t="str">
        <f>IF(Eingabe[[#This Row],[F1]]="",IF(Eingabe[[#This Row],[Fehler alternativ]]="","",Eingabe[[#This Row],[Fehler alternativ]]),SUM(Eingabe[[#This Row],[F1]:[F4]]))</f>
        <v/>
      </c>
      <c r="AF100" s="6" t="str">
        <f>IF(Eingabe[[#This Row],[Volle]]="","",IF(Eingabe[[#This Row],[S1]]="",Eingabe[[#This Row],[Volle]]+Eingabe[[#This Row],[Räumer]],IF(Eingabe[[#This Row],[Volle]]+Eingabe[[#This Row],[Räumer]]=Eingabe[[#This Row],[S1]]+Eingabe[[#This Row],[S2]]+Eingabe[[#This Row],[S3]]+Eingabe[[#This Row],[S4]],Eingabe[[#This Row],[Volle]]+Eingabe[[#This Row],[Räumer]],"FEHLER")))</f>
        <v/>
      </c>
      <c r="AG100" s="6" t="str">
        <f>IF(Eingabe[[#This Row],[V1]]="","",Eingabe[[#This Row],[V1]]+Eingabe[[#This Row],[R1]])</f>
        <v/>
      </c>
      <c r="AH100" s="6" t="str">
        <f>IF(Eingabe[[#This Row],[V2]]="","",Eingabe[[#This Row],[V2]]+Eingabe[[#This Row],[R2]])</f>
        <v/>
      </c>
      <c r="AI100" s="6" t="str">
        <f>IF(Eingabe[[#This Row],[V3]]="","",Eingabe[[#This Row],[V3]]+Eingabe[[#This Row],[R3]])</f>
        <v/>
      </c>
      <c r="AJ100" s="6" t="str">
        <f>IF(Eingabe[[#This Row],[V4]]="","",Eingabe[[#This Row],[V4]]+Eingabe[[#This Row],[R4]])</f>
        <v/>
      </c>
      <c r="AK100" s="6" t="str">
        <f>IF(Eingabe[[#This Row],[S1P]]="","",Eingabe[[#This Row],[S1P]]+Eingabe[[#This Row],[S2P]]+Eingabe[[#This Row],[S3P]]+Eingabe[[#This Row],[S4P]])</f>
        <v/>
      </c>
      <c r="AL100" s="6" t="str">
        <f>IF(Eingabe[[#This Row],[S1P]]="","",IF(Eingabe[[#This Row],[SP]]&gt;2,1,IF(Eingabe[[#This Row],[SP]]&lt;2,0,IF(Eingabe[[#This Row],[GES]]&gt;Eingabe[[#This Row],[GEGGES]],1,IF(Eingabe[[#This Row],[GES]]=Eingabe[[#This Row],[GEGGES]],0.5,0)))))</f>
        <v/>
      </c>
      <c r="AM100" s="6" t="str">
        <f>IF(Eingabe[[#This Row],[MP]]="","",MOD(ROW(Eingabe[[#This Row],[Position]])-3,6)+1)</f>
        <v/>
      </c>
      <c r="AN100" s="6" t="e">
        <f>STANDARDIZE(Eingabe[[#This Row],[GES]],Eingabe[[#This Row],[Schnitt]],VLOOKUP(Eingabe[[#This Row],[Name]],AuswertungG[],21,FALSE))</f>
        <v>#VALUE!</v>
      </c>
      <c r="AO100" s="6">
        <f>VLOOKUP(Eingabe[[#This Row],[ID]],Chronologie[[ID]:[KW]],12,FALSE)</f>
        <v>31</v>
      </c>
      <c r="AP100" s="95" t="str">
        <f>IF(Eingabe[[#This Row],[Wo]]="H",Eingabe[[#This Row],[Gegner]]&amp;" ["&amp;Eingabe[[#This Row],[Wo]]&amp;"]",Eingabe[[#This Row],[Ort]])</f>
        <v>Stollberg</v>
      </c>
      <c r="AQ100" s="6" t="str">
        <f>IFERROR(IF(Eingabe[[#This Row],[Wo]]="H",IF(MOD(Eingabe[[#This Row],[Position]],2)=1,Eingabe[[#This Row],[S1]],Eingabe[[#This Row],[S4]]),""),"")</f>
        <v/>
      </c>
      <c r="AR100" s="6" t="str">
        <f>IFERROR(IF(Eingabe[[#This Row],[Wo]]="H",IF(Eingabe[[#This Row],[S1]]&gt;0,IF(MOD(Eingabe[[#This Row],[Position]],2)=1,Eingabe[[#This Row],[S2]],Eingabe[[#This Row],[S3]]),""),""),"")</f>
        <v/>
      </c>
      <c r="AS100" s="6" t="str">
        <f>IFERROR(IF(Eingabe[[#This Row],[Wo]]="H",IF(Eingabe[[#This Row],[S1]]&gt;0,IF(MOD(ROW(Eingabe[[#This Row],[Heimbahn 3]]),2)=1,Eingabe[[#This Row],[S4]],Eingabe[[#This Row],[S1]]),""),""),"")</f>
        <v/>
      </c>
      <c r="AT100" s="6" t="str">
        <f>IFERROR(IF(Eingabe[[#This Row],[Wo]]="H",IF(Eingabe[[#This Row],[S1]]&gt;0,IF(MOD(ROW(Eingabe[[#This Row],[Heimbahn 4]]),2)=1,Eingabe[[#This Row],[S3]],Eingabe[[#This Row],[S2]]),""),""),"")</f>
        <v/>
      </c>
      <c r="AU100" s="22" t="str">
        <f>IF(Eingabe[[#This Row],[GES]]="","",IF(Eingabe[[#This Row],[Modus]]="L",_xlfn.RANK.EQ(Eingabe[[#This Row],[GES]],AF99:AF104),IF(Eingabe[[#This Row],[Modus]]="P",_xlfn.RANK.EQ(Eingabe[[#This Row],[GES]],AF99:AF104),"")))</f>
        <v/>
      </c>
      <c r="AV100" s="6" t="e">
        <f>VLOOKUP(Eingabe[[#This Row],[Name]],AuswertungG[],8,FALSE)</f>
        <v>#N/A</v>
      </c>
      <c r="AZ100" s="6" t="str">
        <f>IFERROR(ABS(Eingabe[[#This Row],[GES]]-Eingabe[[#This Row],[GEGGES]]),"")</f>
        <v/>
      </c>
    </row>
    <row r="101" spans="1:52" ht="16.2" hidden="1" thickBot="1" x14ac:dyDescent="0.35">
      <c r="A101" s="441"/>
      <c r="B101" s="21">
        <f t="shared" si="10"/>
        <v>17</v>
      </c>
      <c r="C101" s="6" t="str">
        <f>VLOOKUP($B101,Chronologie[],7,TRUE)</f>
        <v>SKV 9-Pins Stollberg II</v>
      </c>
      <c r="D101" s="6" t="str">
        <f>VLOOKUP($B101,Chronologie[],8,TRUE)</f>
        <v>Stollberg</v>
      </c>
      <c r="E101" s="240" t="str">
        <f>VLOOKUP($B101,Chronologie[],9,TRUE)</f>
        <v>A</v>
      </c>
      <c r="F101" s="6" t="str">
        <f>VLOOKUP($B101,Chronologie[],COLUMN(F102)-2,TRUE)</f>
        <v>E</v>
      </c>
      <c r="G101" s="6" t="str">
        <f>VLOOKUP($B101,Chronologie[],COLUMN(G102)-2,TRUE)</f>
        <v>L</v>
      </c>
      <c r="H101" s="6">
        <f>VLOOKUP($B101,Chronologie[],COLUMN(H102)-2,TRUE)</f>
        <v>17</v>
      </c>
      <c r="I101" s="10" t="str">
        <f>VLOOKUP($B101,Chronologie[],2,TRUE)</f>
        <v>E-L-17</v>
      </c>
      <c r="J101" s="243">
        <f>VLOOKUP($B101,Chronologie[],3,TRUE)</f>
        <v>46109</v>
      </c>
      <c r="K101" s="237"/>
      <c r="L101" s="237"/>
      <c r="M101" s="237"/>
      <c r="N101" s="237"/>
      <c r="O101" s="237"/>
      <c r="P101" s="237"/>
      <c r="Q101" s="237"/>
      <c r="R101" s="237"/>
      <c r="S101" s="237"/>
      <c r="T101" s="237"/>
      <c r="U101" s="237"/>
      <c r="V101" s="237"/>
      <c r="W101" s="237"/>
      <c r="X101" s="38"/>
      <c r="Y101" s="38"/>
      <c r="Z101" s="38"/>
      <c r="AA101" s="38"/>
      <c r="AB101" s="91"/>
      <c r="AC101" s="94" t="str">
        <f>IF(Eingabe[[#This Row],[V1]]="",IF(Eingabe[[#This Row],[Volle alternativ]]="","",Eingabe[[#This Row],[Volle alternativ]]),SUM(Eingabe[[#This Row],[V1]:[V4]]))</f>
        <v/>
      </c>
      <c r="AD101" s="6" t="str">
        <f>IF(Eingabe[[#This Row],[R1]]="",IF(Eingabe[[#This Row],[Räumer alternativ]]="","",Eingabe[[#This Row],[Räumer alternativ]]),SUM(Eingabe[[#This Row],[R1]:[R4]]))</f>
        <v/>
      </c>
      <c r="AE101" s="6" t="str">
        <f>IF(Eingabe[[#This Row],[F1]]="",IF(Eingabe[[#This Row],[Fehler alternativ]]="","",Eingabe[[#This Row],[Fehler alternativ]]),SUM(Eingabe[[#This Row],[F1]:[F4]]))</f>
        <v/>
      </c>
      <c r="AF101" s="6" t="str">
        <f>IF(Eingabe[[#This Row],[Volle]]="","",IF(Eingabe[[#This Row],[S1]]="",Eingabe[[#This Row],[Volle]]+Eingabe[[#This Row],[Räumer]],IF(Eingabe[[#This Row],[Volle]]+Eingabe[[#This Row],[Räumer]]=Eingabe[[#This Row],[S1]]+Eingabe[[#This Row],[S2]]+Eingabe[[#This Row],[S3]]+Eingabe[[#This Row],[S4]],Eingabe[[#This Row],[Volle]]+Eingabe[[#This Row],[Räumer]],"FEHLER")))</f>
        <v/>
      </c>
      <c r="AG101" s="6" t="str">
        <f>IF(Eingabe[[#This Row],[V1]]="","",Eingabe[[#This Row],[V1]]+Eingabe[[#This Row],[R1]])</f>
        <v/>
      </c>
      <c r="AH101" s="6" t="str">
        <f>IF(Eingabe[[#This Row],[V2]]="","",Eingabe[[#This Row],[V2]]+Eingabe[[#This Row],[R2]])</f>
        <v/>
      </c>
      <c r="AI101" s="6" t="str">
        <f>IF(Eingabe[[#This Row],[V3]]="","",Eingabe[[#This Row],[V3]]+Eingabe[[#This Row],[R3]])</f>
        <v/>
      </c>
      <c r="AJ101" s="6" t="str">
        <f>IF(Eingabe[[#This Row],[V4]]="","",Eingabe[[#This Row],[V4]]+Eingabe[[#This Row],[R4]])</f>
        <v/>
      </c>
      <c r="AK101" s="6" t="str">
        <f>IF(Eingabe[[#This Row],[S1P]]="","",Eingabe[[#This Row],[S1P]]+Eingabe[[#This Row],[S2P]]+Eingabe[[#This Row],[S3P]]+Eingabe[[#This Row],[S4P]])</f>
        <v/>
      </c>
      <c r="AL101" s="6" t="str">
        <f>IF(Eingabe[[#This Row],[S1P]]="","",IF(Eingabe[[#This Row],[SP]]&gt;2,1,IF(Eingabe[[#This Row],[SP]]&lt;2,0,IF(Eingabe[[#This Row],[GES]]&gt;Eingabe[[#This Row],[GEGGES]],1,IF(Eingabe[[#This Row],[GES]]=Eingabe[[#This Row],[GEGGES]],0.5,0)))))</f>
        <v/>
      </c>
      <c r="AM101" s="6" t="str">
        <f>IF(Eingabe[[#This Row],[MP]]="","",MOD(ROW(Eingabe[[#This Row],[Position]])-3,6)+1)</f>
        <v/>
      </c>
      <c r="AN101" s="6" t="e">
        <f>STANDARDIZE(Eingabe[[#This Row],[GES]],Eingabe[[#This Row],[Schnitt]],VLOOKUP(Eingabe[[#This Row],[Name]],AuswertungG[],21,FALSE))</f>
        <v>#VALUE!</v>
      </c>
      <c r="AO101" s="6">
        <f>VLOOKUP(Eingabe[[#This Row],[ID]],Chronologie[[ID]:[KW]],12,FALSE)</f>
        <v>31</v>
      </c>
      <c r="AP101" s="95" t="str">
        <f>IF(Eingabe[[#This Row],[Wo]]="H",Eingabe[[#This Row],[Gegner]]&amp;" ["&amp;Eingabe[[#This Row],[Wo]]&amp;"]",Eingabe[[#This Row],[Ort]])</f>
        <v>Stollberg</v>
      </c>
      <c r="AQ101" s="6" t="str">
        <f>IFERROR(IF(Eingabe[[#This Row],[Wo]]="H",IF(MOD(Eingabe[[#This Row],[Position]],2)=1,Eingabe[[#This Row],[S1]],Eingabe[[#This Row],[S4]]),""),"")</f>
        <v/>
      </c>
      <c r="AR101" s="6" t="str">
        <f>IFERROR(IF(Eingabe[[#This Row],[Wo]]="H",IF(Eingabe[[#This Row],[S1]]&gt;0,IF(MOD(Eingabe[[#This Row],[Position]],2)=1,Eingabe[[#This Row],[S2]],Eingabe[[#This Row],[S3]]),""),""),"")</f>
        <v/>
      </c>
      <c r="AS101" s="6" t="str">
        <f>IFERROR(IF(Eingabe[[#This Row],[Wo]]="H",IF(Eingabe[[#This Row],[S1]]&gt;0,IF(MOD(ROW(Eingabe[[#This Row],[Heimbahn 3]]),2)=1,Eingabe[[#This Row],[S4]],Eingabe[[#This Row],[S1]]),""),""),"")</f>
        <v/>
      </c>
      <c r="AT101" s="6" t="str">
        <f>IFERROR(IF(Eingabe[[#This Row],[Wo]]="H",IF(Eingabe[[#This Row],[S1]]&gt;0,IF(MOD(ROW(Eingabe[[#This Row],[Heimbahn 4]]),2)=1,Eingabe[[#This Row],[S3]],Eingabe[[#This Row],[S2]]),""),""),"")</f>
        <v/>
      </c>
      <c r="AU101" s="22" t="str">
        <f>IF(Eingabe[[#This Row],[GES]]="","",IF(Eingabe[[#This Row],[Modus]]="L",_xlfn.RANK.EQ(Eingabe[[#This Row],[GES]],AF99:AF104),IF(Eingabe[[#This Row],[Modus]]="P",_xlfn.RANK.EQ(Eingabe[[#This Row],[GES]],AF99:AF104),"")))</f>
        <v/>
      </c>
      <c r="AV101" s="6" t="e">
        <f>VLOOKUP(Eingabe[[#This Row],[Name]],AuswertungG[],8,FALSE)</f>
        <v>#N/A</v>
      </c>
      <c r="AZ101" s="6" t="str">
        <f>IFERROR(ABS(Eingabe[[#This Row],[GES]]-Eingabe[[#This Row],[GEGGES]]),"")</f>
        <v/>
      </c>
    </row>
    <row r="102" spans="1:52" ht="16.2" hidden="1" thickBot="1" x14ac:dyDescent="0.35">
      <c r="A102" s="441"/>
      <c r="B102" s="21">
        <f t="shared" si="10"/>
        <v>17</v>
      </c>
      <c r="C102" s="6" t="str">
        <f>VLOOKUP($B102,Chronologie[],7,TRUE)</f>
        <v>SKV 9-Pins Stollberg II</v>
      </c>
      <c r="D102" s="6" t="str">
        <f>VLOOKUP($B102,Chronologie[],8,TRUE)</f>
        <v>Stollberg</v>
      </c>
      <c r="E102" s="240" t="str">
        <f>VLOOKUP($B102,Chronologie[],9,TRUE)</f>
        <v>A</v>
      </c>
      <c r="F102" s="6" t="str">
        <f>VLOOKUP($B102,Chronologie[],COLUMN(F103)-2,TRUE)</f>
        <v>E</v>
      </c>
      <c r="G102" s="6" t="str">
        <f>VLOOKUP($B102,Chronologie[],COLUMN(G103)-2,TRUE)</f>
        <v>L</v>
      </c>
      <c r="H102" s="6">
        <f>VLOOKUP($B102,Chronologie[],COLUMN(H103)-2,TRUE)</f>
        <v>17</v>
      </c>
      <c r="I102" s="10" t="str">
        <f>VLOOKUP($B102,Chronologie[],2,TRUE)</f>
        <v>E-L-17</v>
      </c>
      <c r="J102" s="243">
        <f>VLOOKUP($B102,Chronologie[],3,TRUE)</f>
        <v>46109</v>
      </c>
      <c r="K102" s="238"/>
      <c r="L102" s="237"/>
      <c r="M102" s="237"/>
      <c r="N102" s="237"/>
      <c r="O102" s="237"/>
      <c r="P102" s="237"/>
      <c r="Q102" s="237"/>
      <c r="R102" s="237"/>
      <c r="S102" s="237"/>
      <c r="T102" s="237"/>
      <c r="U102" s="237"/>
      <c r="V102" s="237"/>
      <c r="W102" s="237"/>
      <c r="X102" s="38"/>
      <c r="Y102" s="38"/>
      <c r="Z102" s="38"/>
      <c r="AA102" s="38"/>
      <c r="AB102" s="91"/>
      <c r="AC102" s="94" t="str">
        <f>IF(Eingabe[[#This Row],[V1]]="",IF(Eingabe[[#This Row],[Volle alternativ]]="","",Eingabe[[#This Row],[Volle alternativ]]),SUM(Eingabe[[#This Row],[V1]:[V4]]))</f>
        <v/>
      </c>
      <c r="AD102" s="6" t="str">
        <f>IF(Eingabe[[#This Row],[R1]]="",IF(Eingabe[[#This Row],[Räumer alternativ]]="","",Eingabe[[#This Row],[Räumer alternativ]]),SUM(Eingabe[[#This Row],[R1]:[R4]]))</f>
        <v/>
      </c>
      <c r="AE102" s="6" t="str">
        <f>IF(Eingabe[[#This Row],[F1]]="",IF(Eingabe[[#This Row],[Fehler alternativ]]="","",Eingabe[[#This Row],[Fehler alternativ]]),SUM(Eingabe[[#This Row],[F1]:[F4]]))</f>
        <v/>
      </c>
      <c r="AF102" s="6" t="str">
        <f>IF(Eingabe[[#This Row],[Volle]]="","",IF(Eingabe[[#This Row],[S1]]="",Eingabe[[#This Row],[Volle]]+Eingabe[[#This Row],[Räumer]],IF(Eingabe[[#This Row],[Volle]]+Eingabe[[#This Row],[Räumer]]=Eingabe[[#This Row],[S1]]+Eingabe[[#This Row],[S2]]+Eingabe[[#This Row],[S3]]+Eingabe[[#This Row],[S4]],Eingabe[[#This Row],[Volle]]+Eingabe[[#This Row],[Räumer]],"FEHLER")))</f>
        <v/>
      </c>
      <c r="AG102" s="6" t="str">
        <f>IF(Eingabe[[#This Row],[V1]]="","",Eingabe[[#This Row],[V1]]+Eingabe[[#This Row],[R1]])</f>
        <v/>
      </c>
      <c r="AH102" s="6" t="str">
        <f>IF(Eingabe[[#This Row],[V2]]="","",Eingabe[[#This Row],[V2]]+Eingabe[[#This Row],[R2]])</f>
        <v/>
      </c>
      <c r="AI102" s="6" t="str">
        <f>IF(Eingabe[[#This Row],[V3]]="","",Eingabe[[#This Row],[V3]]+Eingabe[[#This Row],[R3]])</f>
        <v/>
      </c>
      <c r="AJ102" s="6" t="str">
        <f>IF(Eingabe[[#This Row],[V4]]="","",Eingabe[[#This Row],[V4]]+Eingabe[[#This Row],[R4]])</f>
        <v/>
      </c>
      <c r="AK102" s="6" t="str">
        <f>IF(Eingabe[[#This Row],[S1P]]="","",Eingabe[[#This Row],[S1P]]+Eingabe[[#This Row],[S2P]]+Eingabe[[#This Row],[S3P]]+Eingabe[[#This Row],[S4P]])</f>
        <v/>
      </c>
      <c r="AL102" s="6" t="str">
        <f>IF(Eingabe[[#This Row],[S1P]]="","",IF(Eingabe[[#This Row],[SP]]&gt;2,1,IF(Eingabe[[#This Row],[SP]]&lt;2,0,IF(Eingabe[[#This Row],[GES]]&gt;Eingabe[[#This Row],[GEGGES]],1,IF(Eingabe[[#This Row],[GES]]=Eingabe[[#This Row],[GEGGES]],0.5,0)))))</f>
        <v/>
      </c>
      <c r="AM102" s="6" t="str">
        <f>IF(Eingabe[[#This Row],[MP]]="","",MOD(ROW(Eingabe[[#This Row],[Position]])-3,6)+1)</f>
        <v/>
      </c>
      <c r="AN102" s="6" t="e">
        <f>STANDARDIZE(Eingabe[[#This Row],[GES]],Eingabe[[#This Row],[Schnitt]],VLOOKUP(Eingabe[[#This Row],[Name]],AuswertungG[],21,FALSE))</f>
        <v>#VALUE!</v>
      </c>
      <c r="AO102" s="6">
        <f>VLOOKUP(Eingabe[[#This Row],[ID]],Chronologie[[ID]:[KW]],12,FALSE)</f>
        <v>31</v>
      </c>
      <c r="AP102" s="95" t="str">
        <f>IF(Eingabe[[#This Row],[Wo]]="H",Eingabe[[#This Row],[Gegner]]&amp;" ["&amp;Eingabe[[#This Row],[Wo]]&amp;"]",Eingabe[[#This Row],[Ort]])</f>
        <v>Stollberg</v>
      </c>
      <c r="AQ102" s="6" t="str">
        <f>IFERROR(IF(Eingabe[[#This Row],[Wo]]="H",IF(MOD(Eingabe[[#This Row],[Position]],2)=1,Eingabe[[#This Row],[S1]],Eingabe[[#This Row],[S4]]),""),"")</f>
        <v/>
      </c>
      <c r="AR102" s="6" t="str">
        <f>IFERROR(IF(Eingabe[[#This Row],[Wo]]="H",IF(Eingabe[[#This Row],[S1]]&gt;0,IF(MOD(Eingabe[[#This Row],[Position]],2)=1,Eingabe[[#This Row],[S2]],Eingabe[[#This Row],[S3]]),""),""),"")</f>
        <v/>
      </c>
      <c r="AS102" s="6" t="str">
        <f>IFERROR(IF(Eingabe[[#This Row],[Wo]]="H",IF(Eingabe[[#This Row],[S1]]&gt;0,IF(MOD(ROW(Eingabe[[#This Row],[Heimbahn 3]]),2)=1,Eingabe[[#This Row],[S4]],Eingabe[[#This Row],[S1]]),""),""),"")</f>
        <v/>
      </c>
      <c r="AT102" s="6" t="str">
        <f>IFERROR(IF(Eingabe[[#This Row],[Wo]]="H",IF(Eingabe[[#This Row],[S1]]&gt;0,IF(MOD(ROW(Eingabe[[#This Row],[Heimbahn 4]]),2)=1,Eingabe[[#This Row],[S3]],Eingabe[[#This Row],[S2]]),""),""),"")</f>
        <v/>
      </c>
      <c r="AU102" s="22" t="str">
        <f>IF(Eingabe[[#This Row],[GES]]="","",IF(Eingabe[[#This Row],[Modus]]="L",_xlfn.RANK.EQ(Eingabe[[#This Row],[GES]],AF99:AF104),IF(Eingabe[[#This Row],[Modus]]="P",_xlfn.RANK.EQ(Eingabe[[#This Row],[GES]],AF99:AF104),"")))</f>
        <v/>
      </c>
      <c r="AV102" s="6" t="e">
        <f>VLOOKUP(Eingabe[[#This Row],[Name]],AuswertungG[],8,FALSE)</f>
        <v>#N/A</v>
      </c>
      <c r="AZ102" s="6" t="str">
        <f>IFERROR(ABS(Eingabe[[#This Row],[GES]]-Eingabe[[#This Row],[GEGGES]]),"")</f>
        <v/>
      </c>
    </row>
    <row r="103" spans="1:52" ht="16.2" hidden="1" thickBot="1" x14ac:dyDescent="0.35">
      <c r="A103" s="441"/>
      <c r="B103" s="21">
        <f t="shared" si="10"/>
        <v>17</v>
      </c>
      <c r="C103" s="6" t="str">
        <f>VLOOKUP($B103,Chronologie[],7,TRUE)</f>
        <v>SKV 9-Pins Stollberg II</v>
      </c>
      <c r="D103" s="6" t="str">
        <f>VLOOKUP($B103,Chronologie[],8,TRUE)</f>
        <v>Stollberg</v>
      </c>
      <c r="E103" s="240" t="str">
        <f>VLOOKUP($B103,Chronologie[],9,TRUE)</f>
        <v>A</v>
      </c>
      <c r="F103" s="6" t="str">
        <f>VLOOKUP($B103,Chronologie[],COLUMN(F104)-2,TRUE)</f>
        <v>E</v>
      </c>
      <c r="G103" s="6" t="str">
        <f>VLOOKUP($B103,Chronologie[],COLUMN(G104)-2,TRUE)</f>
        <v>L</v>
      </c>
      <c r="H103" s="6">
        <f>VLOOKUP($B103,Chronologie[],COLUMN(H104)-2,TRUE)</f>
        <v>17</v>
      </c>
      <c r="I103" s="10" t="str">
        <f>VLOOKUP($B103,Chronologie[],2,TRUE)</f>
        <v>E-L-17</v>
      </c>
      <c r="J103" s="243">
        <f>VLOOKUP($B103,Chronologie[],3,TRUE)</f>
        <v>46109</v>
      </c>
      <c r="K103" s="237"/>
      <c r="L103" s="237"/>
      <c r="M103" s="237"/>
      <c r="N103" s="237"/>
      <c r="O103" s="237"/>
      <c r="P103" s="237"/>
      <c r="Q103" s="237"/>
      <c r="R103" s="237"/>
      <c r="S103" s="237"/>
      <c r="T103" s="237"/>
      <c r="U103" s="237"/>
      <c r="V103" s="237"/>
      <c r="W103" s="237"/>
      <c r="X103" s="38"/>
      <c r="Y103" s="38"/>
      <c r="Z103" s="38"/>
      <c r="AA103" s="38"/>
      <c r="AB103" s="91"/>
      <c r="AC103" s="94" t="str">
        <f>IF(Eingabe[[#This Row],[V1]]="",IF(Eingabe[[#This Row],[Volle alternativ]]="","",Eingabe[[#This Row],[Volle alternativ]]),SUM(Eingabe[[#This Row],[V1]:[V4]]))</f>
        <v/>
      </c>
      <c r="AD103" s="6" t="str">
        <f>IF(Eingabe[[#This Row],[R1]]="",IF(Eingabe[[#This Row],[Räumer alternativ]]="","",Eingabe[[#This Row],[Räumer alternativ]]),SUM(Eingabe[[#This Row],[R1]:[R4]]))</f>
        <v/>
      </c>
      <c r="AE103" s="6" t="str">
        <f>IF(Eingabe[[#This Row],[F1]]="",IF(Eingabe[[#This Row],[Fehler alternativ]]="","",Eingabe[[#This Row],[Fehler alternativ]]),SUM(Eingabe[[#This Row],[F1]:[F4]]))</f>
        <v/>
      </c>
      <c r="AF103" s="6" t="str">
        <f>IF(Eingabe[[#This Row],[Volle]]="","",IF(Eingabe[[#This Row],[S1]]="",Eingabe[[#This Row],[Volle]]+Eingabe[[#This Row],[Räumer]],IF(Eingabe[[#This Row],[Volle]]+Eingabe[[#This Row],[Räumer]]=Eingabe[[#This Row],[S1]]+Eingabe[[#This Row],[S2]]+Eingabe[[#This Row],[S3]]+Eingabe[[#This Row],[S4]],Eingabe[[#This Row],[Volle]]+Eingabe[[#This Row],[Räumer]],"FEHLER")))</f>
        <v/>
      </c>
      <c r="AG103" s="6" t="str">
        <f>IF(Eingabe[[#This Row],[V1]]="","",Eingabe[[#This Row],[V1]]+Eingabe[[#This Row],[R1]])</f>
        <v/>
      </c>
      <c r="AH103" s="6" t="str">
        <f>IF(Eingabe[[#This Row],[V2]]="","",Eingabe[[#This Row],[V2]]+Eingabe[[#This Row],[R2]])</f>
        <v/>
      </c>
      <c r="AI103" s="6" t="str">
        <f>IF(Eingabe[[#This Row],[V3]]="","",Eingabe[[#This Row],[V3]]+Eingabe[[#This Row],[R3]])</f>
        <v/>
      </c>
      <c r="AJ103" s="6" t="str">
        <f>IF(Eingabe[[#This Row],[V4]]="","",Eingabe[[#This Row],[V4]]+Eingabe[[#This Row],[R4]])</f>
        <v/>
      </c>
      <c r="AK103" s="6" t="str">
        <f>IF(Eingabe[[#This Row],[S1P]]="","",Eingabe[[#This Row],[S1P]]+Eingabe[[#This Row],[S2P]]+Eingabe[[#This Row],[S3P]]+Eingabe[[#This Row],[S4P]])</f>
        <v/>
      </c>
      <c r="AL103" s="6" t="str">
        <f>IF(Eingabe[[#This Row],[S1P]]="","",IF(Eingabe[[#This Row],[SP]]&gt;2,1,IF(Eingabe[[#This Row],[SP]]&lt;2,0,IF(Eingabe[[#This Row],[GES]]&gt;Eingabe[[#This Row],[GEGGES]],1,IF(Eingabe[[#This Row],[GES]]=Eingabe[[#This Row],[GEGGES]],0.5,0)))))</f>
        <v/>
      </c>
      <c r="AM103" s="6" t="str">
        <f>IF(Eingabe[[#This Row],[MP]]="","",MOD(ROW(Eingabe[[#This Row],[Position]])-3,6)+1)</f>
        <v/>
      </c>
      <c r="AN103" s="6" t="e">
        <f>STANDARDIZE(Eingabe[[#This Row],[GES]],Eingabe[[#This Row],[Schnitt]],VLOOKUP(Eingabe[[#This Row],[Name]],AuswertungG[],21,FALSE))</f>
        <v>#VALUE!</v>
      </c>
      <c r="AO103" s="6">
        <f>VLOOKUP(Eingabe[[#This Row],[ID]],Chronologie[[ID]:[KW]],12,FALSE)</f>
        <v>31</v>
      </c>
      <c r="AP103" s="95" t="str">
        <f>IF(Eingabe[[#This Row],[Wo]]="H",Eingabe[[#This Row],[Gegner]]&amp;" ["&amp;Eingabe[[#This Row],[Wo]]&amp;"]",Eingabe[[#This Row],[Ort]])</f>
        <v>Stollberg</v>
      </c>
      <c r="AQ103" s="6" t="str">
        <f>IFERROR(IF(Eingabe[[#This Row],[Wo]]="H",IF(MOD(Eingabe[[#This Row],[Position]],2)=1,Eingabe[[#This Row],[S1]],Eingabe[[#This Row],[S4]]),""),"")</f>
        <v/>
      </c>
      <c r="AR103" s="6" t="str">
        <f>IFERROR(IF(Eingabe[[#This Row],[Wo]]="H",IF(Eingabe[[#This Row],[S1]]&gt;0,IF(MOD(Eingabe[[#This Row],[Position]],2)=1,Eingabe[[#This Row],[S2]],Eingabe[[#This Row],[S3]]),""),""),"")</f>
        <v/>
      </c>
      <c r="AS103" s="6" t="str">
        <f>IFERROR(IF(Eingabe[[#This Row],[Wo]]="H",IF(Eingabe[[#This Row],[S1]]&gt;0,IF(MOD(ROW(Eingabe[[#This Row],[Heimbahn 3]]),2)=1,Eingabe[[#This Row],[S4]],Eingabe[[#This Row],[S1]]),""),""),"")</f>
        <v/>
      </c>
      <c r="AT103" s="6" t="str">
        <f>IFERROR(IF(Eingabe[[#This Row],[Wo]]="H",IF(Eingabe[[#This Row],[S1]]&gt;0,IF(MOD(ROW(Eingabe[[#This Row],[Heimbahn 4]]),2)=1,Eingabe[[#This Row],[S3]],Eingabe[[#This Row],[S2]]),""),""),"")</f>
        <v/>
      </c>
      <c r="AU103" s="22" t="str">
        <f>IF(Eingabe[[#This Row],[GES]]="","",IF(Eingabe[[#This Row],[Modus]]="L",_xlfn.RANK.EQ(Eingabe[[#This Row],[GES]],AF99:AF104),IF(Eingabe[[#This Row],[Modus]]="P",_xlfn.RANK.EQ(Eingabe[[#This Row],[GES]],AF99:AF104),"")))</f>
        <v/>
      </c>
      <c r="AV103" s="6" t="e">
        <f>VLOOKUP(Eingabe[[#This Row],[Name]],AuswertungG[],8,FALSE)</f>
        <v>#N/A</v>
      </c>
      <c r="AZ103" s="6" t="str">
        <f>IFERROR(ABS(Eingabe[[#This Row],[GES]]-Eingabe[[#This Row],[GEGGES]]),"")</f>
        <v/>
      </c>
    </row>
    <row r="104" spans="1:52" ht="16.2" hidden="1" thickBot="1" x14ac:dyDescent="0.35">
      <c r="A104" s="442"/>
      <c r="B104" s="56">
        <f t="shared" si="10"/>
        <v>17</v>
      </c>
      <c r="C104" s="23" t="str">
        <f>VLOOKUP($B104,Chronologie[],7,TRUE)</f>
        <v>SKV 9-Pins Stollberg II</v>
      </c>
      <c r="D104" s="23" t="str">
        <f>VLOOKUP($B104,Chronologie[],8,TRUE)</f>
        <v>Stollberg</v>
      </c>
      <c r="E104" s="39" t="str">
        <f>VLOOKUP($B104,Chronologie[],9,TRUE)</f>
        <v>A</v>
      </c>
      <c r="F104" s="23" t="str">
        <f>VLOOKUP($B104,Chronologie[],COLUMN(F105)-2,TRUE)</f>
        <v>E</v>
      </c>
      <c r="G104" s="23" t="str">
        <f>VLOOKUP($B104,Chronologie[],COLUMN(G105)-2,TRUE)</f>
        <v>L</v>
      </c>
      <c r="H104" s="23">
        <f>VLOOKUP($B104,Chronologie[],COLUMN(H105)-2,TRUE)</f>
        <v>17</v>
      </c>
      <c r="I104" s="13" t="str">
        <f>VLOOKUP($B104,Chronologie[],2,TRUE)</f>
        <v>E-L-17</v>
      </c>
      <c r="J104" s="244">
        <f>VLOOKUP($B104,Chronologie[],3,TRUE)</f>
        <v>46109</v>
      </c>
      <c r="K104" s="239"/>
      <c r="L104" s="239"/>
      <c r="M104" s="239"/>
      <c r="N104" s="239"/>
      <c r="O104" s="239"/>
      <c r="P104" s="239"/>
      <c r="Q104" s="239"/>
      <c r="R104" s="239"/>
      <c r="S104" s="239"/>
      <c r="T104" s="239"/>
      <c r="U104" s="239"/>
      <c r="V104" s="239"/>
      <c r="W104" s="239"/>
      <c r="X104" s="40"/>
      <c r="Y104" s="40"/>
      <c r="Z104" s="40"/>
      <c r="AA104" s="40"/>
      <c r="AB104" s="92"/>
      <c r="AC104" s="96" t="str">
        <f>IF(Eingabe[[#This Row],[V1]]="",IF(Eingabe[[#This Row],[Volle alternativ]]="","",Eingabe[[#This Row],[Volle alternativ]]),SUM(Eingabe[[#This Row],[V1]:[V4]]))</f>
        <v/>
      </c>
      <c r="AD104" s="23" t="str">
        <f>IF(Eingabe[[#This Row],[R1]]="",IF(Eingabe[[#This Row],[Räumer alternativ]]="","",Eingabe[[#This Row],[Räumer alternativ]]),SUM(Eingabe[[#This Row],[R1]:[R4]]))</f>
        <v/>
      </c>
      <c r="AE104" s="23" t="str">
        <f>IF(Eingabe[[#This Row],[F1]]="",IF(Eingabe[[#This Row],[Fehler alternativ]]="","",Eingabe[[#This Row],[Fehler alternativ]]),SUM(Eingabe[[#This Row],[F1]:[F4]]))</f>
        <v/>
      </c>
      <c r="AF104" s="23" t="str">
        <f>IF(Eingabe[[#This Row],[Volle]]="","",IF(Eingabe[[#This Row],[S1]]="",Eingabe[[#This Row],[Volle]]+Eingabe[[#This Row],[Räumer]],IF(Eingabe[[#This Row],[Volle]]+Eingabe[[#This Row],[Räumer]]=Eingabe[[#This Row],[S1]]+Eingabe[[#This Row],[S2]]+Eingabe[[#This Row],[S3]]+Eingabe[[#This Row],[S4]],Eingabe[[#This Row],[Volle]]+Eingabe[[#This Row],[Räumer]],"FEHLER")))</f>
        <v/>
      </c>
      <c r="AG104" s="23" t="str">
        <f>IF(Eingabe[[#This Row],[V1]]="","",Eingabe[[#This Row],[V1]]+Eingabe[[#This Row],[R1]])</f>
        <v/>
      </c>
      <c r="AH104" s="23" t="str">
        <f>IF(Eingabe[[#This Row],[V2]]="","",Eingabe[[#This Row],[V2]]+Eingabe[[#This Row],[R2]])</f>
        <v/>
      </c>
      <c r="AI104" s="23" t="str">
        <f>IF(Eingabe[[#This Row],[V3]]="","",Eingabe[[#This Row],[V3]]+Eingabe[[#This Row],[R3]])</f>
        <v/>
      </c>
      <c r="AJ104" s="23" t="str">
        <f>IF(Eingabe[[#This Row],[V4]]="","",Eingabe[[#This Row],[V4]]+Eingabe[[#This Row],[R4]])</f>
        <v/>
      </c>
      <c r="AK104" s="23" t="str">
        <f>IF(Eingabe[[#This Row],[S1P]]="","",Eingabe[[#This Row],[S1P]]+Eingabe[[#This Row],[S2P]]+Eingabe[[#This Row],[S3P]]+Eingabe[[#This Row],[S4P]])</f>
        <v/>
      </c>
      <c r="AL104" s="23" t="str">
        <f>IF(Eingabe[[#This Row],[S1P]]="","",IF(Eingabe[[#This Row],[SP]]&gt;2,1,IF(Eingabe[[#This Row],[SP]]&lt;2,0,IF(Eingabe[[#This Row],[GES]]&gt;Eingabe[[#This Row],[GEGGES]],1,IF(Eingabe[[#This Row],[GES]]=Eingabe[[#This Row],[GEGGES]],0.5,0)))))</f>
        <v/>
      </c>
      <c r="AM104" s="23" t="str">
        <f>IF(Eingabe[[#This Row],[MP]]="","",MOD(ROW(Eingabe[[#This Row],[Position]])-3,6)+1)</f>
        <v/>
      </c>
      <c r="AN104" s="23" t="e">
        <f>STANDARDIZE(Eingabe[[#This Row],[GES]],Eingabe[[#This Row],[Schnitt]],VLOOKUP(Eingabe[[#This Row],[Name]],AuswertungG[],21,FALSE))</f>
        <v>#VALUE!</v>
      </c>
      <c r="AO104" s="23">
        <f>VLOOKUP(Eingabe[[#This Row],[ID]],Chronologie[[ID]:[KW]],12,FALSE)</f>
        <v>31</v>
      </c>
      <c r="AP104" s="59" t="str">
        <f>IF(Eingabe[[#This Row],[Wo]]="H",Eingabe[[#This Row],[Gegner]]&amp;" ["&amp;Eingabe[[#This Row],[Wo]]&amp;"]",Eingabe[[#This Row],[Ort]])</f>
        <v>Stollberg</v>
      </c>
      <c r="AQ104" s="23" t="str">
        <f>IFERROR(IF(Eingabe[[#This Row],[Wo]]="H",IF(MOD(Eingabe[[#This Row],[Position]],2)=1,Eingabe[[#This Row],[S1]],Eingabe[[#This Row],[S4]]),""),"")</f>
        <v/>
      </c>
      <c r="AR104" s="23" t="str">
        <f>IFERROR(IF(Eingabe[[#This Row],[Wo]]="H",IF(Eingabe[[#This Row],[S1]]&gt;0,IF(MOD(Eingabe[[#This Row],[Position]],2)=1,Eingabe[[#This Row],[S2]],Eingabe[[#This Row],[S3]]),""),""),"")</f>
        <v/>
      </c>
      <c r="AS104" s="23" t="str">
        <f>IFERROR(IF(Eingabe[[#This Row],[Wo]]="H",IF(Eingabe[[#This Row],[S1]]&gt;0,IF(MOD(ROW(Eingabe[[#This Row],[Heimbahn 3]]),2)=1,Eingabe[[#This Row],[S4]],Eingabe[[#This Row],[S1]]),""),""),"")</f>
        <v/>
      </c>
      <c r="AT104" s="23" t="str">
        <f>IFERROR(IF(Eingabe[[#This Row],[Wo]]="H",IF(Eingabe[[#This Row],[S1]]&gt;0,IF(MOD(ROW(Eingabe[[#This Row],[Heimbahn 4]]),2)=1,Eingabe[[#This Row],[S3]],Eingabe[[#This Row],[S2]]),""),""),"")</f>
        <v/>
      </c>
      <c r="AU104" s="89" t="str">
        <f>IF(Eingabe[[#This Row],[GES]]="","",IF(Eingabe[[#This Row],[Modus]]="L",_xlfn.RANK.EQ(Eingabe[[#This Row],[GES]],AF99:AF104),IF(Eingabe[[#This Row],[Modus]]="P",_xlfn.RANK.EQ(Eingabe[[#This Row],[GES]],AF99:AF104),"")))</f>
        <v/>
      </c>
      <c r="AV104" s="6" t="e">
        <f>VLOOKUP(Eingabe[[#This Row],[Name]],AuswertungG[],8,FALSE)</f>
        <v>#N/A</v>
      </c>
      <c r="AZ104" s="6" t="str">
        <f>IFERROR(ABS(Eingabe[[#This Row],[GES]]-Eingabe[[#This Row],[GEGGES]]),"")</f>
        <v/>
      </c>
    </row>
    <row r="105" spans="1:52" ht="16.2" hidden="1" thickBot="1" x14ac:dyDescent="0.35">
      <c r="A105" s="440">
        <f t="shared" ref="A105" si="17">B105</f>
        <v>18</v>
      </c>
      <c r="B105" s="55">
        <f t="shared" si="10"/>
        <v>18</v>
      </c>
      <c r="C105" s="35" t="str">
        <f>VLOOKUP($B105,Chronologie[],7,TRUE)</f>
        <v>SV Rot-Weiß Treuen</v>
      </c>
      <c r="D105" s="35" t="str">
        <f>VLOOKUP($B105,Chronologie[],8,TRUE)</f>
        <v>Hirschfeld</v>
      </c>
      <c r="E105" s="36" t="str">
        <f>VLOOKUP($B105,Chronologie[],9,TRUE)</f>
        <v>H</v>
      </c>
      <c r="F105" s="35" t="str">
        <f>VLOOKUP($B105,Chronologie[],COLUMN(F106)-2,TRUE)</f>
        <v>E</v>
      </c>
      <c r="G105" s="35" t="str">
        <f>VLOOKUP($B105,Chronologie[],COLUMN(G106)-2,TRUE)</f>
        <v>L</v>
      </c>
      <c r="H105" s="35">
        <f>VLOOKUP($B105,Chronologie[],COLUMN(H106)-2,TRUE)</f>
        <v>18</v>
      </c>
      <c r="I105" s="9" t="str">
        <f>VLOOKUP($B105,Chronologie[],2,TRUE)</f>
        <v>E-L-18</v>
      </c>
      <c r="J105" s="242">
        <f>VLOOKUP($B105,Chronologie[],3,TRUE)</f>
        <v>46130</v>
      </c>
      <c r="K105" s="236"/>
      <c r="L105" s="334"/>
      <c r="M105" s="334"/>
      <c r="N105" s="334"/>
      <c r="O105" s="334"/>
      <c r="P105" s="334"/>
      <c r="Q105" s="334"/>
      <c r="R105" s="334"/>
      <c r="S105" s="334"/>
      <c r="T105" s="334"/>
      <c r="U105" s="334"/>
      <c r="V105" s="334"/>
      <c r="W105" s="334"/>
      <c r="X105" s="37"/>
      <c r="Y105" s="37"/>
      <c r="Z105" s="37"/>
      <c r="AA105" s="37"/>
      <c r="AB105" s="90"/>
      <c r="AC105" s="93" t="str">
        <f>IF(Eingabe[[#This Row],[V1]]="",IF(Eingabe[[#This Row],[Volle alternativ]]="","",Eingabe[[#This Row],[Volle alternativ]]),SUM(Eingabe[[#This Row],[V1]:[V4]]))</f>
        <v/>
      </c>
      <c r="AD105" s="35" t="str">
        <f>IF(Eingabe[[#This Row],[R1]]="",IF(Eingabe[[#This Row],[Räumer alternativ]]="","",Eingabe[[#This Row],[Räumer alternativ]]),SUM(Eingabe[[#This Row],[R1]:[R4]]))</f>
        <v/>
      </c>
      <c r="AE105" s="35" t="str">
        <f>IF(Eingabe[[#This Row],[F1]]="",IF(Eingabe[[#This Row],[Fehler alternativ]]="","",Eingabe[[#This Row],[Fehler alternativ]]),SUM(Eingabe[[#This Row],[F1]:[F4]]))</f>
        <v/>
      </c>
      <c r="AF105" s="35" t="str">
        <f>IF(Eingabe[[#This Row],[Volle]]="","",IF(Eingabe[[#This Row],[S1]]="",Eingabe[[#This Row],[Volle]]+Eingabe[[#This Row],[Räumer]],IF(Eingabe[[#This Row],[Volle]]+Eingabe[[#This Row],[Räumer]]=Eingabe[[#This Row],[S1]]+Eingabe[[#This Row],[S2]]+Eingabe[[#This Row],[S3]]+Eingabe[[#This Row],[S4]],Eingabe[[#This Row],[Volle]]+Eingabe[[#This Row],[Räumer]],"FEHLER")))</f>
        <v/>
      </c>
      <c r="AG105" s="35" t="str">
        <f>IF(Eingabe[[#This Row],[V1]]="","",Eingabe[[#This Row],[V1]]+Eingabe[[#This Row],[R1]])</f>
        <v/>
      </c>
      <c r="AH105" s="35" t="str">
        <f>IF(Eingabe[[#This Row],[V2]]="","",Eingabe[[#This Row],[V2]]+Eingabe[[#This Row],[R2]])</f>
        <v/>
      </c>
      <c r="AI105" s="35" t="str">
        <f>IF(Eingabe[[#This Row],[V3]]="","",Eingabe[[#This Row],[V3]]+Eingabe[[#This Row],[R3]])</f>
        <v/>
      </c>
      <c r="AJ105" s="35" t="str">
        <f>IF(Eingabe[[#This Row],[V4]]="","",Eingabe[[#This Row],[V4]]+Eingabe[[#This Row],[R4]])</f>
        <v/>
      </c>
      <c r="AK105" s="35" t="str">
        <f>IF(Eingabe[[#This Row],[S1P]]="","",Eingabe[[#This Row],[S1P]]+Eingabe[[#This Row],[S2P]]+Eingabe[[#This Row],[S3P]]+Eingabe[[#This Row],[S4P]])</f>
        <v/>
      </c>
      <c r="AL105" s="35" t="str">
        <f>IF(Eingabe[[#This Row],[S1P]]="","",IF(Eingabe[[#This Row],[SP]]&gt;2,1,IF(Eingabe[[#This Row],[SP]]&lt;2,0,IF(Eingabe[[#This Row],[GES]]&gt;Eingabe[[#This Row],[GEGGES]],1,IF(Eingabe[[#This Row],[GES]]=Eingabe[[#This Row],[GEGGES]],0.5,0)))))</f>
        <v/>
      </c>
      <c r="AM105" s="35" t="str">
        <f>IF(Eingabe[[#This Row],[MP]]="","",MOD(ROW(Eingabe[[#This Row],[Position]])-3,6)+1)</f>
        <v/>
      </c>
      <c r="AN105" s="35" t="e">
        <f>STANDARDIZE(Eingabe[[#This Row],[GES]],Eingabe[[#This Row],[Schnitt]],VLOOKUP(Eingabe[[#This Row],[Name]],AuswertungG[],21,FALSE))</f>
        <v>#VALUE!</v>
      </c>
      <c r="AO105" s="35">
        <f>VLOOKUP(Eingabe[[#This Row],[ID]],Chronologie[[ID]:[KW]],12,FALSE)</f>
        <v>34</v>
      </c>
      <c r="AP105" s="58" t="str">
        <f>IF(Eingabe[[#This Row],[Wo]]="H",Eingabe[[#This Row],[Gegner]]&amp;" ["&amp;Eingabe[[#This Row],[Wo]]&amp;"]",Eingabe[[#This Row],[Ort]])</f>
        <v>SV Rot-Weiß Treuen [H]</v>
      </c>
      <c r="AQ105" s="35" t="str">
        <f>IFERROR(IF(Eingabe[[#This Row],[Wo]]="H",IF(MOD(Eingabe[[#This Row],[Position]],2)=1,Eingabe[[#This Row],[S1]],Eingabe[[#This Row],[S4]]),""),"")</f>
        <v/>
      </c>
      <c r="AR105" s="35" t="str">
        <f>IFERROR(IF(Eingabe[[#This Row],[Wo]]="H",IF(Eingabe[[#This Row],[S1]]&gt;0,IF(MOD(Eingabe[[#This Row],[Position]],2)=1,Eingabe[[#This Row],[S2]],Eingabe[[#This Row],[S3]]),""),""),"")</f>
        <v/>
      </c>
      <c r="AS105" s="35" t="str">
        <f>IFERROR(IF(Eingabe[[#This Row],[Wo]]="H",IF(Eingabe[[#This Row],[S1]]&gt;0,IF(MOD(ROW(Eingabe[[#This Row],[Heimbahn 3]]),2)=1,Eingabe[[#This Row],[S4]],Eingabe[[#This Row],[S1]]),""),""),"")</f>
        <v/>
      </c>
      <c r="AT105" s="35" t="str">
        <f>IFERROR(IF(Eingabe[[#This Row],[Wo]]="H",IF(Eingabe[[#This Row],[S1]]&gt;0,IF(MOD(ROW(Eingabe[[#This Row],[Heimbahn 4]]),2)=1,Eingabe[[#This Row],[S3]],Eingabe[[#This Row],[S2]]),""),""),"")</f>
        <v/>
      </c>
      <c r="AU105" s="88" t="str">
        <f>IF(Eingabe[[#This Row],[GES]]="","",IF(Eingabe[[#This Row],[Modus]]="L",_xlfn.RANK.EQ(Eingabe[[#This Row],[GES]],AF105:AF110),IF(Eingabe[[#This Row],[Modus]]="P",_xlfn.RANK.EQ(Eingabe[[#This Row],[GES]],AF105:AF110),"")))</f>
        <v/>
      </c>
      <c r="AV105" s="6" t="e">
        <f>VLOOKUP(Eingabe[[#This Row],[Name]],AuswertungG[],8,FALSE)</f>
        <v>#N/A</v>
      </c>
      <c r="AZ105" s="6" t="str">
        <f>IFERROR(ABS(Eingabe[[#This Row],[GES]]-Eingabe[[#This Row],[GEGGES]]),"")</f>
        <v/>
      </c>
    </row>
    <row r="106" spans="1:52" ht="16.2" hidden="1" thickBot="1" x14ac:dyDescent="0.35">
      <c r="A106" s="441"/>
      <c r="B106" s="21">
        <f t="shared" si="10"/>
        <v>18</v>
      </c>
      <c r="C106" s="6" t="str">
        <f>VLOOKUP($B106,Chronologie[],7,TRUE)</f>
        <v>SV Rot-Weiß Treuen</v>
      </c>
      <c r="D106" s="6" t="str">
        <f>VLOOKUP($B106,Chronologie[],8,TRUE)</f>
        <v>Hirschfeld</v>
      </c>
      <c r="E106" s="240" t="str">
        <f>VLOOKUP($B106,Chronologie[],9,TRUE)</f>
        <v>H</v>
      </c>
      <c r="F106" s="6" t="str">
        <f>VLOOKUP($B106,Chronologie[],COLUMN(F107)-2,TRUE)</f>
        <v>E</v>
      </c>
      <c r="G106" s="6" t="str">
        <f>VLOOKUP($B106,Chronologie[],COLUMN(G107)-2,TRUE)</f>
        <v>L</v>
      </c>
      <c r="H106" s="6">
        <f>VLOOKUP($B106,Chronologie[],COLUMN(H107)-2,TRUE)</f>
        <v>18</v>
      </c>
      <c r="I106" s="10" t="str">
        <f>VLOOKUP($B106,Chronologie[],2,TRUE)</f>
        <v>E-L-18</v>
      </c>
      <c r="J106" s="243">
        <f>VLOOKUP($B106,Chronologie[],3,TRUE)</f>
        <v>46130</v>
      </c>
      <c r="K106" s="237"/>
      <c r="L106" s="237"/>
      <c r="M106" s="237"/>
      <c r="N106" s="237"/>
      <c r="O106" s="237"/>
      <c r="P106" s="237"/>
      <c r="Q106" s="237"/>
      <c r="R106" s="237"/>
      <c r="S106" s="237"/>
      <c r="T106" s="237"/>
      <c r="U106" s="237"/>
      <c r="V106" s="237"/>
      <c r="W106" s="237"/>
      <c r="X106" s="38"/>
      <c r="Y106" s="38"/>
      <c r="Z106" s="38"/>
      <c r="AA106" s="38"/>
      <c r="AB106" s="91"/>
      <c r="AC106" s="94" t="str">
        <f>IF(Eingabe[[#This Row],[V1]]="",IF(Eingabe[[#This Row],[Volle alternativ]]="","",Eingabe[[#This Row],[Volle alternativ]]),SUM(Eingabe[[#This Row],[V1]:[V4]]))</f>
        <v/>
      </c>
      <c r="AD106" s="6" t="str">
        <f>IF(Eingabe[[#This Row],[R1]]="",IF(Eingabe[[#This Row],[Räumer alternativ]]="","",Eingabe[[#This Row],[Räumer alternativ]]),SUM(Eingabe[[#This Row],[R1]:[R4]]))</f>
        <v/>
      </c>
      <c r="AE106" s="6" t="str">
        <f>IF(Eingabe[[#This Row],[F1]]="",IF(Eingabe[[#This Row],[Fehler alternativ]]="","",Eingabe[[#This Row],[Fehler alternativ]]),SUM(Eingabe[[#This Row],[F1]:[F4]]))</f>
        <v/>
      </c>
      <c r="AF106" s="6" t="str">
        <f>IF(Eingabe[[#This Row],[Volle]]="","",IF(Eingabe[[#This Row],[S1]]="",Eingabe[[#This Row],[Volle]]+Eingabe[[#This Row],[Räumer]],IF(Eingabe[[#This Row],[Volle]]+Eingabe[[#This Row],[Räumer]]=Eingabe[[#This Row],[S1]]+Eingabe[[#This Row],[S2]]+Eingabe[[#This Row],[S3]]+Eingabe[[#This Row],[S4]],Eingabe[[#This Row],[Volle]]+Eingabe[[#This Row],[Räumer]],"FEHLER")))</f>
        <v/>
      </c>
      <c r="AG106" s="6" t="str">
        <f>IF(Eingabe[[#This Row],[V1]]="","",Eingabe[[#This Row],[V1]]+Eingabe[[#This Row],[R1]])</f>
        <v/>
      </c>
      <c r="AH106" s="6" t="str">
        <f>IF(Eingabe[[#This Row],[V2]]="","",Eingabe[[#This Row],[V2]]+Eingabe[[#This Row],[R2]])</f>
        <v/>
      </c>
      <c r="AI106" s="6" t="str">
        <f>IF(Eingabe[[#This Row],[V3]]="","",Eingabe[[#This Row],[V3]]+Eingabe[[#This Row],[R3]])</f>
        <v/>
      </c>
      <c r="AJ106" s="6" t="str">
        <f>IF(Eingabe[[#This Row],[V4]]="","",Eingabe[[#This Row],[V4]]+Eingabe[[#This Row],[R4]])</f>
        <v/>
      </c>
      <c r="AK106" s="6" t="str">
        <f>IF(Eingabe[[#This Row],[S1P]]="","",Eingabe[[#This Row],[S1P]]+Eingabe[[#This Row],[S2P]]+Eingabe[[#This Row],[S3P]]+Eingabe[[#This Row],[S4P]])</f>
        <v/>
      </c>
      <c r="AL106" s="6" t="str">
        <f>IF(Eingabe[[#This Row],[S1P]]="","",IF(Eingabe[[#This Row],[SP]]&gt;2,1,IF(Eingabe[[#This Row],[SP]]&lt;2,0,IF(Eingabe[[#This Row],[GES]]&gt;Eingabe[[#This Row],[GEGGES]],1,IF(Eingabe[[#This Row],[GES]]=Eingabe[[#This Row],[GEGGES]],0.5,0)))))</f>
        <v/>
      </c>
      <c r="AM106" s="6" t="str">
        <f>IF(Eingabe[[#This Row],[MP]]="","",MOD(ROW(Eingabe[[#This Row],[Position]])-3,6)+1)</f>
        <v/>
      </c>
      <c r="AN106" s="6" t="e">
        <f>STANDARDIZE(Eingabe[[#This Row],[GES]],Eingabe[[#This Row],[Schnitt]],VLOOKUP(Eingabe[[#This Row],[Name]],AuswertungG[],21,FALSE))</f>
        <v>#VALUE!</v>
      </c>
      <c r="AO106" s="6">
        <f>VLOOKUP(Eingabe[[#This Row],[ID]],Chronologie[[ID]:[KW]],12,FALSE)</f>
        <v>34</v>
      </c>
      <c r="AP106" s="95" t="str">
        <f>IF(Eingabe[[#This Row],[Wo]]="H",Eingabe[[#This Row],[Gegner]]&amp;" ["&amp;Eingabe[[#This Row],[Wo]]&amp;"]",Eingabe[[#This Row],[Ort]])</f>
        <v>SV Rot-Weiß Treuen [H]</v>
      </c>
      <c r="AQ106" s="6" t="str">
        <f>IFERROR(IF(Eingabe[[#This Row],[Wo]]="H",IF(MOD(Eingabe[[#This Row],[Position]],2)=1,Eingabe[[#This Row],[S1]],Eingabe[[#This Row],[S4]]),""),"")</f>
        <v/>
      </c>
      <c r="AR106" s="6" t="str">
        <f>IFERROR(IF(Eingabe[[#This Row],[Wo]]="H",IF(Eingabe[[#This Row],[S1]]&gt;0,IF(MOD(Eingabe[[#This Row],[Position]],2)=1,Eingabe[[#This Row],[S2]],Eingabe[[#This Row],[S3]]),""),""),"")</f>
        <v/>
      </c>
      <c r="AS106" s="6" t="str">
        <f>IFERROR(IF(Eingabe[[#This Row],[Wo]]="H",IF(Eingabe[[#This Row],[S1]]&gt;0,IF(MOD(ROW(Eingabe[[#This Row],[Heimbahn 3]]),2)=1,Eingabe[[#This Row],[S4]],Eingabe[[#This Row],[S1]]),""),""),"")</f>
        <v/>
      </c>
      <c r="AT106" s="6" t="str">
        <f>IFERROR(IF(Eingabe[[#This Row],[Wo]]="H",IF(Eingabe[[#This Row],[S1]]&gt;0,IF(MOD(ROW(Eingabe[[#This Row],[Heimbahn 4]]),2)=1,Eingabe[[#This Row],[S3]],Eingabe[[#This Row],[S2]]),""),""),"")</f>
        <v/>
      </c>
      <c r="AU106" s="22" t="str">
        <f>IF(Eingabe[[#This Row],[GES]]="","",IF(Eingabe[[#This Row],[Modus]]="L",_xlfn.RANK.EQ(Eingabe[[#This Row],[GES]],AF105:AF110),IF(Eingabe[[#This Row],[Modus]]="P",_xlfn.RANK.EQ(Eingabe[[#This Row],[GES]],AF105:AF110),"")))</f>
        <v/>
      </c>
      <c r="AV106" s="6" t="e">
        <f>VLOOKUP(Eingabe[[#This Row],[Name]],AuswertungG[],8,FALSE)</f>
        <v>#N/A</v>
      </c>
      <c r="AZ106" s="6" t="str">
        <f>IFERROR(ABS(Eingabe[[#This Row],[GES]]-Eingabe[[#This Row],[GEGGES]]),"")</f>
        <v/>
      </c>
    </row>
    <row r="107" spans="1:52" ht="16.2" hidden="1" thickBot="1" x14ac:dyDescent="0.35">
      <c r="A107" s="441"/>
      <c r="B107" s="21">
        <f t="shared" si="10"/>
        <v>18</v>
      </c>
      <c r="C107" s="6" t="str">
        <f>VLOOKUP($B107,Chronologie[],7,TRUE)</f>
        <v>SV Rot-Weiß Treuen</v>
      </c>
      <c r="D107" s="6" t="str">
        <f>VLOOKUP($B107,Chronologie[],8,TRUE)</f>
        <v>Hirschfeld</v>
      </c>
      <c r="E107" s="240" t="str">
        <f>VLOOKUP($B107,Chronologie[],9,TRUE)</f>
        <v>H</v>
      </c>
      <c r="F107" s="6" t="str">
        <f>VLOOKUP($B107,Chronologie[],COLUMN(F108)-2,TRUE)</f>
        <v>E</v>
      </c>
      <c r="G107" s="6" t="str">
        <f>VLOOKUP($B107,Chronologie[],COLUMN(G108)-2,TRUE)</f>
        <v>L</v>
      </c>
      <c r="H107" s="6">
        <f>VLOOKUP($B107,Chronologie[],COLUMN(H108)-2,TRUE)</f>
        <v>18</v>
      </c>
      <c r="I107" s="10" t="str">
        <f>VLOOKUP($B107,Chronologie[],2,TRUE)</f>
        <v>E-L-18</v>
      </c>
      <c r="J107" s="243">
        <f>VLOOKUP($B107,Chronologie[],3,TRUE)</f>
        <v>46130</v>
      </c>
      <c r="K107" s="237"/>
      <c r="L107" s="237"/>
      <c r="M107" s="237"/>
      <c r="N107" s="237"/>
      <c r="O107" s="237"/>
      <c r="P107" s="237"/>
      <c r="Q107" s="237"/>
      <c r="R107" s="237"/>
      <c r="S107" s="237"/>
      <c r="T107" s="237"/>
      <c r="U107" s="237"/>
      <c r="V107" s="237"/>
      <c r="W107" s="237"/>
      <c r="X107" s="38"/>
      <c r="Y107" s="38"/>
      <c r="Z107" s="38"/>
      <c r="AA107" s="38"/>
      <c r="AB107" s="91"/>
      <c r="AC107" s="94" t="str">
        <f>IF(Eingabe[[#This Row],[V1]]="",IF(Eingabe[[#This Row],[Volle alternativ]]="","",Eingabe[[#This Row],[Volle alternativ]]),SUM(Eingabe[[#This Row],[V1]:[V4]]))</f>
        <v/>
      </c>
      <c r="AD107" s="6" t="str">
        <f>IF(Eingabe[[#This Row],[R1]]="",IF(Eingabe[[#This Row],[Räumer alternativ]]="","",Eingabe[[#This Row],[Räumer alternativ]]),SUM(Eingabe[[#This Row],[R1]:[R4]]))</f>
        <v/>
      </c>
      <c r="AE107" s="6" t="str">
        <f>IF(Eingabe[[#This Row],[F1]]="",IF(Eingabe[[#This Row],[Fehler alternativ]]="","",Eingabe[[#This Row],[Fehler alternativ]]),SUM(Eingabe[[#This Row],[F1]:[F4]]))</f>
        <v/>
      </c>
      <c r="AF107" s="6" t="str">
        <f>IF(Eingabe[[#This Row],[Volle]]="","",IF(Eingabe[[#This Row],[S1]]="",Eingabe[[#This Row],[Volle]]+Eingabe[[#This Row],[Räumer]],IF(Eingabe[[#This Row],[Volle]]+Eingabe[[#This Row],[Räumer]]=Eingabe[[#This Row],[S1]]+Eingabe[[#This Row],[S2]]+Eingabe[[#This Row],[S3]]+Eingabe[[#This Row],[S4]],Eingabe[[#This Row],[Volle]]+Eingabe[[#This Row],[Räumer]],"FEHLER")))</f>
        <v/>
      </c>
      <c r="AG107" s="6" t="str">
        <f>IF(Eingabe[[#This Row],[V1]]="","",Eingabe[[#This Row],[V1]]+Eingabe[[#This Row],[R1]])</f>
        <v/>
      </c>
      <c r="AH107" s="6" t="str">
        <f>IF(Eingabe[[#This Row],[V2]]="","",Eingabe[[#This Row],[V2]]+Eingabe[[#This Row],[R2]])</f>
        <v/>
      </c>
      <c r="AI107" s="6" t="str">
        <f>IF(Eingabe[[#This Row],[V3]]="","",Eingabe[[#This Row],[V3]]+Eingabe[[#This Row],[R3]])</f>
        <v/>
      </c>
      <c r="AJ107" s="6" t="str">
        <f>IF(Eingabe[[#This Row],[V4]]="","",Eingabe[[#This Row],[V4]]+Eingabe[[#This Row],[R4]])</f>
        <v/>
      </c>
      <c r="AK107" s="6" t="str">
        <f>IF(Eingabe[[#This Row],[S1P]]="","",Eingabe[[#This Row],[S1P]]+Eingabe[[#This Row],[S2P]]+Eingabe[[#This Row],[S3P]]+Eingabe[[#This Row],[S4P]])</f>
        <v/>
      </c>
      <c r="AL107" s="6" t="str">
        <f>IF(Eingabe[[#This Row],[S1P]]="","",IF(Eingabe[[#This Row],[SP]]&gt;2,1,IF(Eingabe[[#This Row],[SP]]&lt;2,0,IF(Eingabe[[#This Row],[GES]]&gt;Eingabe[[#This Row],[GEGGES]],1,IF(Eingabe[[#This Row],[GES]]=Eingabe[[#This Row],[GEGGES]],0.5,0)))))</f>
        <v/>
      </c>
      <c r="AM107" s="6" t="str">
        <f>IF(Eingabe[[#This Row],[MP]]="","",MOD(ROW(Eingabe[[#This Row],[Position]])-3,6)+1)</f>
        <v/>
      </c>
      <c r="AN107" s="6" t="e">
        <f>STANDARDIZE(Eingabe[[#This Row],[GES]],Eingabe[[#This Row],[Schnitt]],VLOOKUP(Eingabe[[#This Row],[Name]],AuswertungG[],21,FALSE))</f>
        <v>#VALUE!</v>
      </c>
      <c r="AO107" s="6">
        <f>VLOOKUP(Eingabe[[#This Row],[ID]],Chronologie[[ID]:[KW]],12,FALSE)</f>
        <v>34</v>
      </c>
      <c r="AP107" s="95" t="str">
        <f>IF(Eingabe[[#This Row],[Wo]]="H",Eingabe[[#This Row],[Gegner]]&amp;" ["&amp;Eingabe[[#This Row],[Wo]]&amp;"]",Eingabe[[#This Row],[Ort]])</f>
        <v>SV Rot-Weiß Treuen [H]</v>
      </c>
      <c r="AQ107" s="6" t="str">
        <f>IFERROR(IF(Eingabe[[#This Row],[Wo]]="H",IF(MOD(Eingabe[[#This Row],[Position]],2)=1,Eingabe[[#This Row],[S1]],Eingabe[[#This Row],[S4]]),""),"")</f>
        <v/>
      </c>
      <c r="AR107" s="6" t="str">
        <f>IFERROR(IF(Eingabe[[#This Row],[Wo]]="H",IF(Eingabe[[#This Row],[S1]]&gt;0,IF(MOD(Eingabe[[#This Row],[Position]],2)=1,Eingabe[[#This Row],[S2]],Eingabe[[#This Row],[S3]]),""),""),"")</f>
        <v/>
      </c>
      <c r="AS107" s="6" t="str">
        <f>IFERROR(IF(Eingabe[[#This Row],[Wo]]="H",IF(Eingabe[[#This Row],[S1]]&gt;0,IF(MOD(ROW(Eingabe[[#This Row],[Heimbahn 3]]),2)=1,Eingabe[[#This Row],[S4]],Eingabe[[#This Row],[S1]]),""),""),"")</f>
        <v/>
      </c>
      <c r="AT107" s="6" t="str">
        <f>IFERROR(IF(Eingabe[[#This Row],[Wo]]="H",IF(Eingabe[[#This Row],[S1]]&gt;0,IF(MOD(ROW(Eingabe[[#This Row],[Heimbahn 4]]),2)=1,Eingabe[[#This Row],[S3]],Eingabe[[#This Row],[S2]]),""),""),"")</f>
        <v/>
      </c>
      <c r="AU107" s="22" t="str">
        <f>IF(Eingabe[[#This Row],[GES]]="","",IF(Eingabe[[#This Row],[Modus]]="L",_xlfn.RANK.EQ(Eingabe[[#This Row],[GES]],AF105:AF110),IF(Eingabe[[#This Row],[Modus]]="P",_xlfn.RANK.EQ(Eingabe[[#This Row],[GES]],AF105:AF110),"")))</f>
        <v/>
      </c>
      <c r="AV107" s="6" t="e">
        <f>VLOOKUP(Eingabe[[#This Row],[Name]],AuswertungG[],8,FALSE)</f>
        <v>#N/A</v>
      </c>
      <c r="AZ107" s="6" t="str">
        <f>IFERROR(ABS(Eingabe[[#This Row],[GES]]-Eingabe[[#This Row],[GEGGES]]),"")</f>
        <v/>
      </c>
    </row>
    <row r="108" spans="1:52" ht="16.2" hidden="1" thickBot="1" x14ac:dyDescent="0.35">
      <c r="A108" s="441"/>
      <c r="B108" s="21">
        <f t="shared" si="10"/>
        <v>18</v>
      </c>
      <c r="C108" s="6" t="str">
        <f>VLOOKUP($B108,Chronologie[],7,TRUE)</f>
        <v>SV Rot-Weiß Treuen</v>
      </c>
      <c r="D108" s="6" t="str">
        <f>VLOOKUP($B108,Chronologie[],8,TRUE)</f>
        <v>Hirschfeld</v>
      </c>
      <c r="E108" s="240" t="str">
        <f>VLOOKUP($B108,Chronologie[],9,TRUE)</f>
        <v>H</v>
      </c>
      <c r="F108" s="6" t="str">
        <f>VLOOKUP($B108,Chronologie[],COLUMN(F109)-2,TRUE)</f>
        <v>E</v>
      </c>
      <c r="G108" s="6" t="str">
        <f>VLOOKUP($B108,Chronologie[],COLUMN(G109)-2,TRUE)</f>
        <v>L</v>
      </c>
      <c r="H108" s="6">
        <f>VLOOKUP($B108,Chronologie[],COLUMN(H109)-2,TRUE)</f>
        <v>18</v>
      </c>
      <c r="I108" s="10" t="str">
        <f>VLOOKUP($B108,Chronologie[],2,TRUE)</f>
        <v>E-L-18</v>
      </c>
      <c r="J108" s="243">
        <f>VLOOKUP($B108,Chronologie[],3,TRUE)</f>
        <v>46130</v>
      </c>
      <c r="K108" s="238"/>
      <c r="L108" s="237"/>
      <c r="M108" s="237"/>
      <c r="N108" s="237"/>
      <c r="O108" s="237"/>
      <c r="P108" s="237"/>
      <c r="Q108" s="237"/>
      <c r="R108" s="237"/>
      <c r="S108" s="237"/>
      <c r="T108" s="237"/>
      <c r="U108" s="237"/>
      <c r="V108" s="237"/>
      <c r="W108" s="237"/>
      <c r="X108" s="38"/>
      <c r="Y108" s="38"/>
      <c r="Z108" s="38"/>
      <c r="AA108" s="38"/>
      <c r="AB108" s="91"/>
      <c r="AC108" s="94" t="str">
        <f>IF(Eingabe[[#This Row],[V1]]="",IF(Eingabe[[#This Row],[Volle alternativ]]="","",Eingabe[[#This Row],[Volle alternativ]]),SUM(Eingabe[[#This Row],[V1]:[V4]]))</f>
        <v/>
      </c>
      <c r="AD108" s="6" t="str">
        <f>IF(Eingabe[[#This Row],[R1]]="",IF(Eingabe[[#This Row],[Räumer alternativ]]="","",Eingabe[[#This Row],[Räumer alternativ]]),SUM(Eingabe[[#This Row],[R1]:[R4]]))</f>
        <v/>
      </c>
      <c r="AE108" s="6" t="str">
        <f>IF(Eingabe[[#This Row],[F1]]="",IF(Eingabe[[#This Row],[Fehler alternativ]]="","",Eingabe[[#This Row],[Fehler alternativ]]),SUM(Eingabe[[#This Row],[F1]:[F4]]))</f>
        <v/>
      </c>
      <c r="AF108" s="6" t="str">
        <f>IF(Eingabe[[#This Row],[Volle]]="","",IF(Eingabe[[#This Row],[S1]]="",Eingabe[[#This Row],[Volle]]+Eingabe[[#This Row],[Räumer]],IF(Eingabe[[#This Row],[Volle]]+Eingabe[[#This Row],[Räumer]]=Eingabe[[#This Row],[S1]]+Eingabe[[#This Row],[S2]]+Eingabe[[#This Row],[S3]]+Eingabe[[#This Row],[S4]],Eingabe[[#This Row],[Volle]]+Eingabe[[#This Row],[Räumer]],"FEHLER")))</f>
        <v/>
      </c>
      <c r="AG108" s="6" t="str">
        <f>IF(Eingabe[[#This Row],[V1]]="","",Eingabe[[#This Row],[V1]]+Eingabe[[#This Row],[R1]])</f>
        <v/>
      </c>
      <c r="AH108" s="6" t="str">
        <f>IF(Eingabe[[#This Row],[V2]]="","",Eingabe[[#This Row],[V2]]+Eingabe[[#This Row],[R2]])</f>
        <v/>
      </c>
      <c r="AI108" s="6" t="str">
        <f>IF(Eingabe[[#This Row],[V3]]="","",Eingabe[[#This Row],[V3]]+Eingabe[[#This Row],[R3]])</f>
        <v/>
      </c>
      <c r="AJ108" s="6" t="str">
        <f>IF(Eingabe[[#This Row],[V4]]="","",Eingabe[[#This Row],[V4]]+Eingabe[[#This Row],[R4]])</f>
        <v/>
      </c>
      <c r="AK108" s="6" t="str">
        <f>IF(Eingabe[[#This Row],[S1P]]="","",Eingabe[[#This Row],[S1P]]+Eingabe[[#This Row],[S2P]]+Eingabe[[#This Row],[S3P]]+Eingabe[[#This Row],[S4P]])</f>
        <v/>
      </c>
      <c r="AL108" s="6" t="str">
        <f>IF(Eingabe[[#This Row],[S1P]]="","",IF(Eingabe[[#This Row],[SP]]&gt;2,1,IF(Eingabe[[#This Row],[SP]]&lt;2,0,IF(Eingabe[[#This Row],[GES]]&gt;Eingabe[[#This Row],[GEGGES]],1,IF(Eingabe[[#This Row],[GES]]=Eingabe[[#This Row],[GEGGES]],0.5,0)))))</f>
        <v/>
      </c>
      <c r="AM108" s="6" t="str">
        <f>IF(Eingabe[[#This Row],[MP]]="","",MOD(ROW(Eingabe[[#This Row],[Position]])-3,6)+1)</f>
        <v/>
      </c>
      <c r="AN108" s="6" t="e">
        <f>STANDARDIZE(Eingabe[[#This Row],[GES]],Eingabe[[#This Row],[Schnitt]],VLOOKUP(Eingabe[[#This Row],[Name]],AuswertungG[],21,FALSE))</f>
        <v>#VALUE!</v>
      </c>
      <c r="AO108" s="6">
        <f>VLOOKUP(Eingabe[[#This Row],[ID]],Chronologie[[ID]:[KW]],12,FALSE)</f>
        <v>34</v>
      </c>
      <c r="AP108" s="95" t="str">
        <f>IF(Eingabe[[#This Row],[Wo]]="H",Eingabe[[#This Row],[Gegner]]&amp;" ["&amp;Eingabe[[#This Row],[Wo]]&amp;"]",Eingabe[[#This Row],[Ort]])</f>
        <v>SV Rot-Weiß Treuen [H]</v>
      </c>
      <c r="AQ108" s="6" t="str">
        <f>IFERROR(IF(Eingabe[[#This Row],[Wo]]="H",IF(MOD(Eingabe[[#This Row],[Position]],2)=1,Eingabe[[#This Row],[S1]],Eingabe[[#This Row],[S4]]),""),"")</f>
        <v/>
      </c>
      <c r="AR108" s="6" t="str">
        <f>IFERROR(IF(Eingabe[[#This Row],[Wo]]="H",IF(Eingabe[[#This Row],[S1]]&gt;0,IF(MOD(Eingabe[[#This Row],[Position]],2)=1,Eingabe[[#This Row],[S2]],Eingabe[[#This Row],[S3]]),""),""),"")</f>
        <v/>
      </c>
      <c r="AS108" s="6" t="str">
        <f>IFERROR(IF(Eingabe[[#This Row],[Wo]]="H",IF(Eingabe[[#This Row],[S1]]&gt;0,IF(MOD(ROW(Eingabe[[#This Row],[Heimbahn 3]]),2)=1,Eingabe[[#This Row],[S4]],Eingabe[[#This Row],[S1]]),""),""),"")</f>
        <v/>
      </c>
      <c r="AT108" s="6" t="str">
        <f>IFERROR(IF(Eingabe[[#This Row],[Wo]]="H",IF(Eingabe[[#This Row],[S1]]&gt;0,IF(MOD(ROW(Eingabe[[#This Row],[Heimbahn 4]]),2)=1,Eingabe[[#This Row],[S3]],Eingabe[[#This Row],[S2]]),""),""),"")</f>
        <v/>
      </c>
      <c r="AU108" s="22" t="str">
        <f>IF(Eingabe[[#This Row],[GES]]="","",IF(Eingabe[[#This Row],[Modus]]="L",_xlfn.RANK.EQ(Eingabe[[#This Row],[GES]],AF105:AF110),IF(Eingabe[[#This Row],[Modus]]="P",_xlfn.RANK.EQ(Eingabe[[#This Row],[GES]],AF105:AF110),"")))</f>
        <v/>
      </c>
      <c r="AV108" s="6" t="e">
        <f>VLOOKUP(Eingabe[[#This Row],[Name]],AuswertungG[],8,FALSE)</f>
        <v>#N/A</v>
      </c>
      <c r="AZ108" s="6" t="str">
        <f>IFERROR(ABS(Eingabe[[#This Row],[GES]]-Eingabe[[#This Row],[GEGGES]]),"")</f>
        <v/>
      </c>
    </row>
    <row r="109" spans="1:52" ht="16.2" hidden="1" thickBot="1" x14ac:dyDescent="0.35">
      <c r="A109" s="441"/>
      <c r="B109" s="21">
        <f t="shared" si="10"/>
        <v>18</v>
      </c>
      <c r="C109" s="6" t="str">
        <f>VLOOKUP($B109,Chronologie[],7,TRUE)</f>
        <v>SV Rot-Weiß Treuen</v>
      </c>
      <c r="D109" s="6" t="str">
        <f>VLOOKUP($B109,Chronologie[],8,TRUE)</f>
        <v>Hirschfeld</v>
      </c>
      <c r="E109" s="240" t="str">
        <f>VLOOKUP($B109,Chronologie[],9,TRUE)</f>
        <v>H</v>
      </c>
      <c r="F109" s="6" t="str">
        <f>VLOOKUP($B109,Chronologie[],COLUMN(F110)-2,TRUE)</f>
        <v>E</v>
      </c>
      <c r="G109" s="6" t="str">
        <f>VLOOKUP($B109,Chronologie[],COLUMN(G110)-2,TRUE)</f>
        <v>L</v>
      </c>
      <c r="H109" s="6">
        <f>VLOOKUP($B109,Chronologie[],COLUMN(H110)-2,TRUE)</f>
        <v>18</v>
      </c>
      <c r="I109" s="10" t="str">
        <f>VLOOKUP($B109,Chronologie[],2,TRUE)</f>
        <v>E-L-18</v>
      </c>
      <c r="J109" s="243">
        <f>VLOOKUP($B109,Chronologie[],3,TRUE)</f>
        <v>46130</v>
      </c>
      <c r="K109" s="237"/>
      <c r="L109" s="237"/>
      <c r="M109" s="237"/>
      <c r="N109" s="237"/>
      <c r="O109" s="237"/>
      <c r="P109" s="237"/>
      <c r="Q109" s="237"/>
      <c r="R109" s="237"/>
      <c r="S109" s="237"/>
      <c r="T109" s="237"/>
      <c r="U109" s="237"/>
      <c r="V109" s="237"/>
      <c r="W109" s="237"/>
      <c r="X109" s="38"/>
      <c r="Y109" s="38"/>
      <c r="Z109" s="38"/>
      <c r="AA109" s="38"/>
      <c r="AB109" s="91"/>
      <c r="AC109" s="94" t="str">
        <f>IF(Eingabe[[#This Row],[V1]]="",IF(Eingabe[[#This Row],[Volle alternativ]]="","",Eingabe[[#This Row],[Volle alternativ]]),SUM(Eingabe[[#This Row],[V1]:[V4]]))</f>
        <v/>
      </c>
      <c r="AD109" s="6" t="str">
        <f>IF(Eingabe[[#This Row],[R1]]="",IF(Eingabe[[#This Row],[Räumer alternativ]]="","",Eingabe[[#This Row],[Räumer alternativ]]),SUM(Eingabe[[#This Row],[R1]:[R4]]))</f>
        <v/>
      </c>
      <c r="AE109" s="6" t="str">
        <f>IF(Eingabe[[#This Row],[F1]]="",IF(Eingabe[[#This Row],[Fehler alternativ]]="","",Eingabe[[#This Row],[Fehler alternativ]]),SUM(Eingabe[[#This Row],[F1]:[F4]]))</f>
        <v/>
      </c>
      <c r="AF109" s="6" t="str">
        <f>IF(Eingabe[[#This Row],[Volle]]="","",IF(Eingabe[[#This Row],[S1]]="",Eingabe[[#This Row],[Volle]]+Eingabe[[#This Row],[Räumer]],IF(Eingabe[[#This Row],[Volle]]+Eingabe[[#This Row],[Räumer]]=Eingabe[[#This Row],[S1]]+Eingabe[[#This Row],[S2]]+Eingabe[[#This Row],[S3]]+Eingabe[[#This Row],[S4]],Eingabe[[#This Row],[Volle]]+Eingabe[[#This Row],[Räumer]],"FEHLER")))</f>
        <v/>
      </c>
      <c r="AG109" s="6" t="str">
        <f>IF(Eingabe[[#This Row],[V1]]="","",Eingabe[[#This Row],[V1]]+Eingabe[[#This Row],[R1]])</f>
        <v/>
      </c>
      <c r="AH109" s="6" t="str">
        <f>IF(Eingabe[[#This Row],[V2]]="","",Eingabe[[#This Row],[V2]]+Eingabe[[#This Row],[R2]])</f>
        <v/>
      </c>
      <c r="AI109" s="6" t="str">
        <f>IF(Eingabe[[#This Row],[V3]]="","",Eingabe[[#This Row],[V3]]+Eingabe[[#This Row],[R3]])</f>
        <v/>
      </c>
      <c r="AJ109" s="6" t="str">
        <f>IF(Eingabe[[#This Row],[V4]]="","",Eingabe[[#This Row],[V4]]+Eingabe[[#This Row],[R4]])</f>
        <v/>
      </c>
      <c r="AK109" s="6" t="str">
        <f>IF(Eingabe[[#This Row],[S1P]]="","",Eingabe[[#This Row],[S1P]]+Eingabe[[#This Row],[S2P]]+Eingabe[[#This Row],[S3P]]+Eingabe[[#This Row],[S4P]])</f>
        <v/>
      </c>
      <c r="AL109" s="6" t="str">
        <f>IF(Eingabe[[#This Row],[S1P]]="","",IF(Eingabe[[#This Row],[SP]]&gt;2,1,IF(Eingabe[[#This Row],[SP]]&lt;2,0,IF(Eingabe[[#This Row],[GES]]&gt;Eingabe[[#This Row],[GEGGES]],1,IF(Eingabe[[#This Row],[GES]]=Eingabe[[#This Row],[GEGGES]],0.5,0)))))</f>
        <v/>
      </c>
      <c r="AM109" s="6" t="str">
        <f>IF(Eingabe[[#This Row],[MP]]="","",MOD(ROW(Eingabe[[#This Row],[Position]])-3,6)+1)</f>
        <v/>
      </c>
      <c r="AN109" s="6" t="e">
        <f>STANDARDIZE(Eingabe[[#This Row],[GES]],Eingabe[[#This Row],[Schnitt]],VLOOKUP(Eingabe[[#This Row],[Name]],AuswertungG[],21,FALSE))</f>
        <v>#VALUE!</v>
      </c>
      <c r="AO109" s="6">
        <f>VLOOKUP(Eingabe[[#This Row],[ID]],Chronologie[[ID]:[KW]],12,FALSE)</f>
        <v>34</v>
      </c>
      <c r="AP109" s="95" t="str">
        <f>IF(Eingabe[[#This Row],[Wo]]="H",Eingabe[[#This Row],[Gegner]]&amp;" ["&amp;Eingabe[[#This Row],[Wo]]&amp;"]",Eingabe[[#This Row],[Ort]])</f>
        <v>SV Rot-Weiß Treuen [H]</v>
      </c>
      <c r="AQ109" s="6" t="str">
        <f>IFERROR(IF(Eingabe[[#This Row],[Wo]]="H",IF(MOD(Eingabe[[#This Row],[Position]],2)=1,Eingabe[[#This Row],[S1]],Eingabe[[#This Row],[S4]]),""),"")</f>
        <v/>
      </c>
      <c r="AR109" s="6" t="str">
        <f>IFERROR(IF(Eingabe[[#This Row],[Wo]]="H",IF(Eingabe[[#This Row],[S1]]&gt;0,IF(MOD(Eingabe[[#This Row],[Position]],2)=1,Eingabe[[#This Row],[S2]],Eingabe[[#This Row],[S3]]),""),""),"")</f>
        <v/>
      </c>
      <c r="AS109" s="6" t="str">
        <f>IFERROR(IF(Eingabe[[#This Row],[Wo]]="H",IF(Eingabe[[#This Row],[S1]]&gt;0,IF(MOD(ROW(Eingabe[[#This Row],[Heimbahn 3]]),2)=1,Eingabe[[#This Row],[S4]],Eingabe[[#This Row],[S1]]),""),""),"")</f>
        <v/>
      </c>
      <c r="AT109" s="6" t="str">
        <f>IFERROR(IF(Eingabe[[#This Row],[Wo]]="H",IF(Eingabe[[#This Row],[S1]]&gt;0,IF(MOD(ROW(Eingabe[[#This Row],[Heimbahn 4]]),2)=1,Eingabe[[#This Row],[S3]],Eingabe[[#This Row],[S2]]),""),""),"")</f>
        <v/>
      </c>
      <c r="AU109" s="22" t="str">
        <f>IF(Eingabe[[#This Row],[GES]]="","",IF(Eingabe[[#This Row],[Modus]]="L",_xlfn.RANK.EQ(Eingabe[[#This Row],[GES]],AF105:AF110),IF(Eingabe[[#This Row],[Modus]]="P",_xlfn.RANK.EQ(Eingabe[[#This Row],[GES]],AF105:AF110),"")))</f>
        <v/>
      </c>
      <c r="AV109" s="6" t="e">
        <f>VLOOKUP(Eingabe[[#This Row],[Name]],AuswertungG[],8,FALSE)</f>
        <v>#N/A</v>
      </c>
      <c r="AZ109" s="6" t="str">
        <f>IFERROR(ABS(Eingabe[[#This Row],[GES]]-Eingabe[[#This Row],[GEGGES]]),"")</f>
        <v/>
      </c>
    </row>
    <row r="110" spans="1:52" ht="16.2" hidden="1" thickBot="1" x14ac:dyDescent="0.35">
      <c r="A110" s="442"/>
      <c r="B110" s="56">
        <f t="shared" si="10"/>
        <v>18</v>
      </c>
      <c r="C110" s="23" t="str">
        <f>VLOOKUP($B110,Chronologie[],7,TRUE)</f>
        <v>SV Rot-Weiß Treuen</v>
      </c>
      <c r="D110" s="23" t="str">
        <f>VLOOKUP($B110,Chronologie[],8,TRUE)</f>
        <v>Hirschfeld</v>
      </c>
      <c r="E110" s="39" t="str">
        <f>VLOOKUP($B110,Chronologie[],9,TRUE)</f>
        <v>H</v>
      </c>
      <c r="F110" s="23" t="str">
        <f>VLOOKUP($B110,Chronologie[],COLUMN(F111)-2,TRUE)</f>
        <v>E</v>
      </c>
      <c r="G110" s="23" t="str">
        <f>VLOOKUP($B110,Chronologie[],COLUMN(G111)-2,TRUE)</f>
        <v>L</v>
      </c>
      <c r="H110" s="23">
        <f>VLOOKUP($B110,Chronologie[],COLUMN(H111)-2,TRUE)</f>
        <v>18</v>
      </c>
      <c r="I110" s="13" t="str">
        <f>VLOOKUP($B110,Chronologie[],2,TRUE)</f>
        <v>E-L-18</v>
      </c>
      <c r="J110" s="244">
        <f>VLOOKUP($B110,Chronologie[],3,TRUE)</f>
        <v>46130</v>
      </c>
      <c r="K110" s="239"/>
      <c r="L110" s="239"/>
      <c r="M110" s="239"/>
      <c r="N110" s="239"/>
      <c r="O110" s="239"/>
      <c r="P110" s="239"/>
      <c r="Q110" s="239"/>
      <c r="R110" s="239"/>
      <c r="S110" s="239"/>
      <c r="T110" s="239"/>
      <c r="U110" s="239"/>
      <c r="V110" s="239"/>
      <c r="W110" s="239"/>
      <c r="X110" s="40"/>
      <c r="Y110" s="40"/>
      <c r="Z110" s="40"/>
      <c r="AA110" s="40"/>
      <c r="AB110" s="92"/>
      <c r="AC110" s="96" t="str">
        <f>IF(Eingabe[[#This Row],[V1]]="",IF(Eingabe[[#This Row],[Volle alternativ]]="","",Eingabe[[#This Row],[Volle alternativ]]),SUM(Eingabe[[#This Row],[V1]:[V4]]))</f>
        <v/>
      </c>
      <c r="AD110" s="23" t="str">
        <f>IF(Eingabe[[#This Row],[R1]]="",IF(Eingabe[[#This Row],[Räumer alternativ]]="","",Eingabe[[#This Row],[Räumer alternativ]]),SUM(Eingabe[[#This Row],[R1]:[R4]]))</f>
        <v/>
      </c>
      <c r="AE110" s="23" t="str">
        <f>IF(Eingabe[[#This Row],[F1]]="",IF(Eingabe[[#This Row],[Fehler alternativ]]="","",Eingabe[[#This Row],[Fehler alternativ]]),SUM(Eingabe[[#This Row],[F1]:[F4]]))</f>
        <v/>
      </c>
      <c r="AF110" s="23" t="str">
        <f>IF(Eingabe[[#This Row],[Volle]]="","",IF(Eingabe[[#This Row],[S1]]="",Eingabe[[#This Row],[Volle]]+Eingabe[[#This Row],[Räumer]],IF(Eingabe[[#This Row],[Volle]]+Eingabe[[#This Row],[Räumer]]=Eingabe[[#This Row],[S1]]+Eingabe[[#This Row],[S2]]+Eingabe[[#This Row],[S3]]+Eingabe[[#This Row],[S4]],Eingabe[[#This Row],[Volle]]+Eingabe[[#This Row],[Räumer]],"FEHLER")))</f>
        <v/>
      </c>
      <c r="AG110" s="23" t="str">
        <f>IF(Eingabe[[#This Row],[V1]]="","",Eingabe[[#This Row],[V1]]+Eingabe[[#This Row],[R1]])</f>
        <v/>
      </c>
      <c r="AH110" s="23" t="str">
        <f>IF(Eingabe[[#This Row],[V2]]="","",Eingabe[[#This Row],[V2]]+Eingabe[[#This Row],[R2]])</f>
        <v/>
      </c>
      <c r="AI110" s="23" t="str">
        <f>IF(Eingabe[[#This Row],[V3]]="","",Eingabe[[#This Row],[V3]]+Eingabe[[#This Row],[R3]])</f>
        <v/>
      </c>
      <c r="AJ110" s="23" t="str">
        <f>IF(Eingabe[[#This Row],[V4]]="","",Eingabe[[#This Row],[V4]]+Eingabe[[#This Row],[R4]])</f>
        <v/>
      </c>
      <c r="AK110" s="23" t="str">
        <f>IF(Eingabe[[#This Row],[S1P]]="","",Eingabe[[#This Row],[S1P]]+Eingabe[[#This Row],[S2P]]+Eingabe[[#This Row],[S3P]]+Eingabe[[#This Row],[S4P]])</f>
        <v/>
      </c>
      <c r="AL110" s="23" t="str">
        <f>IF(Eingabe[[#This Row],[S1P]]="","",IF(Eingabe[[#This Row],[SP]]&gt;2,1,IF(Eingabe[[#This Row],[SP]]&lt;2,0,IF(Eingabe[[#This Row],[GES]]&gt;Eingabe[[#This Row],[GEGGES]],1,IF(Eingabe[[#This Row],[GES]]=Eingabe[[#This Row],[GEGGES]],0.5,0)))))</f>
        <v/>
      </c>
      <c r="AM110" s="23" t="str">
        <f>IF(Eingabe[[#This Row],[MP]]="","",MOD(ROW(Eingabe[[#This Row],[Position]])-3,6)+1)</f>
        <v/>
      </c>
      <c r="AN110" s="23" t="e">
        <f>STANDARDIZE(Eingabe[[#This Row],[GES]],Eingabe[[#This Row],[Schnitt]],VLOOKUP(Eingabe[[#This Row],[Name]],AuswertungG[],21,FALSE))</f>
        <v>#VALUE!</v>
      </c>
      <c r="AO110" s="23">
        <f>VLOOKUP(Eingabe[[#This Row],[ID]],Chronologie[[ID]:[KW]],12,FALSE)</f>
        <v>34</v>
      </c>
      <c r="AP110" s="59" t="str">
        <f>IF(Eingabe[[#This Row],[Wo]]="H",Eingabe[[#This Row],[Gegner]]&amp;" ["&amp;Eingabe[[#This Row],[Wo]]&amp;"]",Eingabe[[#This Row],[Ort]])</f>
        <v>SV Rot-Weiß Treuen [H]</v>
      </c>
      <c r="AQ110" s="23" t="str">
        <f>IFERROR(IF(Eingabe[[#This Row],[Wo]]="H",IF(MOD(Eingabe[[#This Row],[Position]],2)=1,Eingabe[[#This Row],[S1]],Eingabe[[#This Row],[S4]]),""),"")</f>
        <v/>
      </c>
      <c r="AR110" s="23" t="str">
        <f>IFERROR(IF(Eingabe[[#This Row],[Wo]]="H",IF(Eingabe[[#This Row],[S1]]&gt;0,IF(MOD(Eingabe[[#This Row],[Position]],2)=1,Eingabe[[#This Row],[S2]],Eingabe[[#This Row],[S3]]),""),""),"")</f>
        <v/>
      </c>
      <c r="AS110" s="23" t="str">
        <f>IFERROR(IF(Eingabe[[#This Row],[Wo]]="H",IF(Eingabe[[#This Row],[S1]]&gt;0,IF(MOD(ROW(Eingabe[[#This Row],[Heimbahn 3]]),2)=1,Eingabe[[#This Row],[S4]],Eingabe[[#This Row],[S1]]),""),""),"")</f>
        <v/>
      </c>
      <c r="AT110" s="23" t="str">
        <f>IFERROR(IF(Eingabe[[#This Row],[Wo]]="H",IF(Eingabe[[#This Row],[S1]]&gt;0,IF(MOD(ROW(Eingabe[[#This Row],[Heimbahn 4]]),2)=1,Eingabe[[#This Row],[S3]],Eingabe[[#This Row],[S2]]),""),""),"")</f>
        <v/>
      </c>
      <c r="AU110" s="89" t="str">
        <f>IF(Eingabe[[#This Row],[GES]]="","",IF(Eingabe[[#This Row],[Modus]]="L",_xlfn.RANK.EQ(Eingabe[[#This Row],[GES]],AF105:AF110),IF(Eingabe[[#This Row],[Modus]]="P",_xlfn.RANK.EQ(Eingabe[[#This Row],[GES]],AF105:AF110),"")))</f>
        <v/>
      </c>
      <c r="AV110" s="6" t="e">
        <f>VLOOKUP(Eingabe[[#This Row],[Name]],AuswertungG[],8,FALSE)</f>
        <v>#N/A</v>
      </c>
      <c r="AZ110" s="6" t="str">
        <f>IFERROR(ABS(Eingabe[[#This Row],[GES]]-Eingabe[[#This Row],[GEGGES]]),"")</f>
        <v/>
      </c>
    </row>
    <row r="111" spans="1:52" ht="16.2" hidden="1" thickBot="1" x14ac:dyDescent="0.35">
      <c r="A111" s="440">
        <f t="shared" ref="A111" si="18">B111</f>
        <v>19</v>
      </c>
      <c r="B111" s="55">
        <f t="shared" si="10"/>
        <v>19</v>
      </c>
      <c r="C111" s="35" t="str">
        <f>VLOOKUP($B111,Chronologie[],7,TRUE)</f>
        <v>Dresdner SV II</v>
      </c>
      <c r="D111" s="35" t="str">
        <f>VLOOKUP($B111,Chronologie[],8,TRUE)</f>
        <v>Dresden</v>
      </c>
      <c r="E111" s="36" t="str">
        <f>VLOOKUP($B111,Chronologie[],9,TRUE)</f>
        <v>A</v>
      </c>
      <c r="F111" s="35" t="str">
        <f>VLOOKUP($B111,Chronologie[],COLUMN(F112)-2,TRUE)</f>
        <v>F</v>
      </c>
      <c r="G111" s="35" t="str">
        <f>VLOOKUP($B111,Chronologie[],COLUMN(G112)-2,TRUE)</f>
        <v>L</v>
      </c>
      <c r="H111" s="35">
        <f>VLOOKUP($B111,Chronologie[],COLUMN(H112)-2,TRUE)</f>
        <v>1</v>
      </c>
      <c r="I111" s="9" t="str">
        <f>VLOOKUP($B111,Chronologie[],2,TRUE)</f>
        <v>F-L-1</v>
      </c>
      <c r="J111" s="242">
        <f>VLOOKUP($B111,Chronologie[],3,TRUE)</f>
        <v>45921</v>
      </c>
      <c r="K111" s="236" t="s">
        <v>464</v>
      </c>
      <c r="L111" s="334">
        <v>103</v>
      </c>
      <c r="M111" s="334">
        <v>83</v>
      </c>
      <c r="N111" s="334">
        <v>83</v>
      </c>
      <c r="O111" s="334">
        <v>86</v>
      </c>
      <c r="P111" s="334">
        <v>34</v>
      </c>
      <c r="Q111" s="334">
        <v>25</v>
      </c>
      <c r="R111" s="334">
        <v>34</v>
      </c>
      <c r="S111" s="334">
        <v>36</v>
      </c>
      <c r="T111" s="334">
        <v>3</v>
      </c>
      <c r="U111" s="334">
        <v>4</v>
      </c>
      <c r="V111" s="334">
        <v>2</v>
      </c>
      <c r="W111" s="334">
        <v>1</v>
      </c>
      <c r="X111" s="37">
        <v>0</v>
      </c>
      <c r="Y111" s="37">
        <v>0</v>
      </c>
      <c r="Z111" s="37">
        <v>0</v>
      </c>
      <c r="AA111" s="37">
        <v>0</v>
      </c>
      <c r="AB111" s="90">
        <v>509</v>
      </c>
      <c r="AC111" s="93">
        <f>IF(Eingabe[[#This Row],[V1]]="",IF(Eingabe[[#This Row],[Volle alternativ]]="","",Eingabe[[#This Row],[Volle alternativ]]),SUM(Eingabe[[#This Row],[V1]:[V4]]))</f>
        <v>355</v>
      </c>
      <c r="AD111" s="35">
        <f>IF(Eingabe[[#This Row],[R1]]="",IF(Eingabe[[#This Row],[Räumer alternativ]]="","",Eingabe[[#This Row],[Räumer alternativ]]),SUM(Eingabe[[#This Row],[R1]:[R4]]))</f>
        <v>129</v>
      </c>
      <c r="AE111" s="35">
        <f>IF(Eingabe[[#This Row],[F1]]="",IF(Eingabe[[#This Row],[Fehler alternativ]]="","",Eingabe[[#This Row],[Fehler alternativ]]),SUM(Eingabe[[#This Row],[F1]:[F4]]))</f>
        <v>10</v>
      </c>
      <c r="AF111" s="35">
        <f>IF(Eingabe[[#This Row],[Volle]]="","",IF(Eingabe[[#This Row],[S1]]="",Eingabe[[#This Row],[Volle]]+Eingabe[[#This Row],[Räumer]],IF(Eingabe[[#This Row],[Volle]]+Eingabe[[#This Row],[Räumer]]=Eingabe[[#This Row],[S1]]+Eingabe[[#This Row],[S2]]+Eingabe[[#This Row],[S3]]+Eingabe[[#This Row],[S4]],Eingabe[[#This Row],[Volle]]+Eingabe[[#This Row],[Räumer]],"FEHLER")))</f>
        <v>484</v>
      </c>
      <c r="AG111" s="35">
        <f>IF(Eingabe[[#This Row],[V1]]="","",Eingabe[[#This Row],[V1]]+Eingabe[[#This Row],[R1]])</f>
        <v>137</v>
      </c>
      <c r="AH111" s="35">
        <f>IF(Eingabe[[#This Row],[V2]]="","",Eingabe[[#This Row],[V2]]+Eingabe[[#This Row],[R2]])</f>
        <v>108</v>
      </c>
      <c r="AI111" s="35">
        <f>IF(Eingabe[[#This Row],[V3]]="","",Eingabe[[#This Row],[V3]]+Eingabe[[#This Row],[R3]])</f>
        <v>117</v>
      </c>
      <c r="AJ111" s="35">
        <f>IF(Eingabe[[#This Row],[V4]]="","",Eingabe[[#This Row],[V4]]+Eingabe[[#This Row],[R4]])</f>
        <v>122</v>
      </c>
      <c r="AK111" s="35">
        <f>IF(Eingabe[[#This Row],[S1P]]="","",Eingabe[[#This Row],[S1P]]+Eingabe[[#This Row],[S2P]]+Eingabe[[#This Row],[S3P]]+Eingabe[[#This Row],[S4P]])</f>
        <v>0</v>
      </c>
      <c r="AL111" s="35">
        <f>IF(Eingabe[[#This Row],[S1P]]="","",IF(Eingabe[[#This Row],[SP]]&gt;2,1,IF(Eingabe[[#This Row],[SP]]&lt;2,0,IF(Eingabe[[#This Row],[GES]]&gt;Eingabe[[#This Row],[GEGGES]],1,IF(Eingabe[[#This Row],[GES]]=Eingabe[[#This Row],[GEGGES]],0.5,0)))))</f>
        <v>0</v>
      </c>
      <c r="AM111" s="35">
        <f>IF(Eingabe[[#This Row],[MP]]="","",MOD(ROW(Eingabe[[#This Row],[Position]])-3,6)+1)</f>
        <v>1</v>
      </c>
      <c r="AN111" s="35">
        <f>STANDARDIZE(Eingabe[[#This Row],[GES]],Eingabe[[#This Row],[Schnitt]],VLOOKUP(Eingabe[[#This Row],[Name]],AuswertungG[],21,FALSE))</f>
        <v>-0.3235294117647059</v>
      </c>
      <c r="AO111" s="35">
        <f>VLOOKUP(Eingabe[[#This Row],[ID]],Chronologie[[ID]:[KW]],12,FALSE)</f>
        <v>4</v>
      </c>
      <c r="AP111" s="58" t="str">
        <f>IF(Eingabe[[#This Row],[Wo]]="H",Eingabe[[#This Row],[Gegner]]&amp;" ["&amp;Eingabe[[#This Row],[Wo]]&amp;"]",Eingabe[[#This Row],[Ort]])</f>
        <v>Dresden</v>
      </c>
      <c r="AQ111" s="35" t="str">
        <f>IFERROR(IF(Eingabe[[#This Row],[Wo]]="H",IF(MOD(Eingabe[[#This Row],[Position]],2)=1,Eingabe[[#This Row],[S1]],Eingabe[[#This Row],[S4]]),""),"")</f>
        <v/>
      </c>
      <c r="AR111" s="35" t="str">
        <f>IFERROR(IF(Eingabe[[#This Row],[Wo]]="H",IF(Eingabe[[#This Row],[S1]]&gt;0,IF(MOD(Eingabe[[#This Row],[Position]],2)=1,Eingabe[[#This Row],[S2]],Eingabe[[#This Row],[S3]]),""),""),"")</f>
        <v/>
      </c>
      <c r="AS111" s="35" t="str">
        <f>IFERROR(IF(Eingabe[[#This Row],[Wo]]="H",IF(Eingabe[[#This Row],[S1]]&gt;0,IF(MOD(ROW(Eingabe[[#This Row],[Heimbahn 3]]),2)=1,Eingabe[[#This Row],[S4]],Eingabe[[#This Row],[S1]]),""),""),"")</f>
        <v/>
      </c>
      <c r="AT111" s="35" t="str">
        <f>IFERROR(IF(Eingabe[[#This Row],[Wo]]="H",IF(Eingabe[[#This Row],[S1]]&gt;0,IF(MOD(ROW(Eingabe[[#This Row],[Heimbahn 4]]),2)=1,Eingabe[[#This Row],[S3]],Eingabe[[#This Row],[S2]]),""),""),"")</f>
        <v/>
      </c>
      <c r="AU111" s="88">
        <f>IF(Eingabe[[#This Row],[GES]]="","",IF(Eingabe[[#This Row],[Modus]]="L",_xlfn.RANK.EQ(Eingabe[[#This Row],[GES]],AF111:AF116),IF(Eingabe[[#This Row],[Modus]]="P",_xlfn.RANK.EQ(Eingabe[[#This Row],[GES]],AF111:AF116),"")))</f>
        <v>4</v>
      </c>
      <c r="AV111" s="6">
        <f>VLOOKUP(Eingabe[[#This Row],[Name]],AuswertungG[],8,FALSE)</f>
        <v>495</v>
      </c>
      <c r="AZ111" s="6">
        <f>IFERROR(ABS(Eingabe[[#This Row],[GES]]-Eingabe[[#This Row],[GEGGES]]),"")</f>
        <v>25</v>
      </c>
    </row>
    <row r="112" spans="1:52" ht="16.2" hidden="1" thickBot="1" x14ac:dyDescent="0.35">
      <c r="A112" s="441"/>
      <c r="B112" s="21">
        <f t="shared" si="10"/>
        <v>19</v>
      </c>
      <c r="C112" s="6" t="str">
        <f>VLOOKUP($B112,Chronologie[],7,TRUE)</f>
        <v>Dresdner SV II</v>
      </c>
      <c r="D112" s="6" t="str">
        <f>VLOOKUP($B112,Chronologie[],8,TRUE)</f>
        <v>Dresden</v>
      </c>
      <c r="E112" s="240" t="str">
        <f>VLOOKUP($B112,Chronologie[],9,TRUE)</f>
        <v>A</v>
      </c>
      <c r="F112" s="6" t="str">
        <f>VLOOKUP($B112,Chronologie[],COLUMN(F113)-2,TRUE)</f>
        <v>F</v>
      </c>
      <c r="G112" s="6" t="str">
        <f>VLOOKUP($B112,Chronologie[],COLUMN(G113)-2,TRUE)</f>
        <v>L</v>
      </c>
      <c r="H112" s="6">
        <f>VLOOKUP($B112,Chronologie[],COLUMN(H113)-2,TRUE)</f>
        <v>1</v>
      </c>
      <c r="I112" s="10" t="str">
        <f>VLOOKUP($B112,Chronologie[],2,TRUE)</f>
        <v>F-L-1</v>
      </c>
      <c r="J112" s="243">
        <f>VLOOKUP($B112,Chronologie[],3,TRUE)</f>
        <v>45921</v>
      </c>
      <c r="K112" s="237" t="s">
        <v>474</v>
      </c>
      <c r="L112" s="237">
        <v>84</v>
      </c>
      <c r="M112" s="237">
        <v>89</v>
      </c>
      <c r="N112" s="237">
        <v>97</v>
      </c>
      <c r="O112" s="237">
        <v>81</v>
      </c>
      <c r="P112" s="237">
        <v>43</v>
      </c>
      <c r="Q112" s="237">
        <v>32</v>
      </c>
      <c r="R112" s="237">
        <v>53</v>
      </c>
      <c r="S112" s="237">
        <v>33</v>
      </c>
      <c r="T112" s="237">
        <v>4</v>
      </c>
      <c r="U112" s="237">
        <v>4</v>
      </c>
      <c r="V112" s="237">
        <v>0</v>
      </c>
      <c r="W112" s="237">
        <v>2</v>
      </c>
      <c r="X112" s="38">
        <v>1</v>
      </c>
      <c r="Y112" s="38">
        <v>1</v>
      </c>
      <c r="Z112" s="38">
        <v>1</v>
      </c>
      <c r="AA112" s="38">
        <v>0</v>
      </c>
      <c r="AB112" s="91">
        <v>479</v>
      </c>
      <c r="AC112" s="94">
        <f>IF(Eingabe[[#This Row],[V1]]="",IF(Eingabe[[#This Row],[Volle alternativ]]="","",Eingabe[[#This Row],[Volle alternativ]]),SUM(Eingabe[[#This Row],[V1]:[V4]]))</f>
        <v>351</v>
      </c>
      <c r="AD112" s="6">
        <f>IF(Eingabe[[#This Row],[R1]]="",IF(Eingabe[[#This Row],[Räumer alternativ]]="","",Eingabe[[#This Row],[Räumer alternativ]]),SUM(Eingabe[[#This Row],[R1]:[R4]]))</f>
        <v>161</v>
      </c>
      <c r="AE112" s="6">
        <f>IF(Eingabe[[#This Row],[F1]]="",IF(Eingabe[[#This Row],[Fehler alternativ]]="","",Eingabe[[#This Row],[Fehler alternativ]]),SUM(Eingabe[[#This Row],[F1]:[F4]]))</f>
        <v>10</v>
      </c>
      <c r="AF112" s="6">
        <f>IF(Eingabe[[#This Row],[Volle]]="","",IF(Eingabe[[#This Row],[S1]]="",Eingabe[[#This Row],[Volle]]+Eingabe[[#This Row],[Räumer]],IF(Eingabe[[#This Row],[Volle]]+Eingabe[[#This Row],[Räumer]]=Eingabe[[#This Row],[S1]]+Eingabe[[#This Row],[S2]]+Eingabe[[#This Row],[S3]]+Eingabe[[#This Row],[S4]],Eingabe[[#This Row],[Volle]]+Eingabe[[#This Row],[Räumer]],"FEHLER")))</f>
        <v>512</v>
      </c>
      <c r="AG112" s="6">
        <f>IF(Eingabe[[#This Row],[V1]]="","",Eingabe[[#This Row],[V1]]+Eingabe[[#This Row],[R1]])</f>
        <v>127</v>
      </c>
      <c r="AH112" s="6">
        <f>IF(Eingabe[[#This Row],[V2]]="","",Eingabe[[#This Row],[V2]]+Eingabe[[#This Row],[R2]])</f>
        <v>121</v>
      </c>
      <c r="AI112" s="6">
        <f>IF(Eingabe[[#This Row],[V3]]="","",Eingabe[[#This Row],[V3]]+Eingabe[[#This Row],[R3]])</f>
        <v>150</v>
      </c>
      <c r="AJ112" s="6">
        <f>IF(Eingabe[[#This Row],[V4]]="","",Eingabe[[#This Row],[V4]]+Eingabe[[#This Row],[R4]])</f>
        <v>114</v>
      </c>
      <c r="AK112" s="6">
        <f>IF(Eingabe[[#This Row],[S1P]]="","",Eingabe[[#This Row],[S1P]]+Eingabe[[#This Row],[S2P]]+Eingabe[[#This Row],[S3P]]+Eingabe[[#This Row],[S4P]])</f>
        <v>3</v>
      </c>
      <c r="AL112" s="6">
        <f>IF(Eingabe[[#This Row],[S1P]]="","",IF(Eingabe[[#This Row],[SP]]&gt;2,1,IF(Eingabe[[#This Row],[SP]]&lt;2,0,IF(Eingabe[[#This Row],[GES]]&gt;Eingabe[[#This Row],[GEGGES]],1,IF(Eingabe[[#This Row],[GES]]=Eingabe[[#This Row],[GEGGES]],0.5,0)))))</f>
        <v>1</v>
      </c>
      <c r="AM112" s="6">
        <f>IF(Eingabe[[#This Row],[MP]]="","",MOD(ROW(Eingabe[[#This Row],[Position]])-3,6)+1)</f>
        <v>2</v>
      </c>
      <c r="AN112" s="6">
        <f>STANDARDIZE(Eingabe[[#This Row],[GES]],Eingabe[[#This Row],[Schnitt]],VLOOKUP(Eingabe[[#This Row],[Name]],AuswertungG[],21,FALSE))</f>
        <v>0.35483870967741937</v>
      </c>
      <c r="AO112" s="6">
        <f>VLOOKUP(Eingabe[[#This Row],[ID]],Chronologie[[ID]:[KW]],12,FALSE)</f>
        <v>4</v>
      </c>
      <c r="AP112" s="95" t="str">
        <f>IF(Eingabe[[#This Row],[Wo]]="H",Eingabe[[#This Row],[Gegner]]&amp;" ["&amp;Eingabe[[#This Row],[Wo]]&amp;"]",Eingabe[[#This Row],[Ort]])</f>
        <v>Dresden</v>
      </c>
      <c r="AQ112" s="6" t="str">
        <f>IFERROR(IF(Eingabe[[#This Row],[Wo]]="H",IF(MOD(Eingabe[[#This Row],[Position]],2)=1,Eingabe[[#This Row],[S1]],Eingabe[[#This Row],[S4]]),""),"")</f>
        <v/>
      </c>
      <c r="AR112" s="6" t="str">
        <f>IFERROR(IF(Eingabe[[#This Row],[Wo]]="H",IF(Eingabe[[#This Row],[S1]]&gt;0,IF(MOD(Eingabe[[#This Row],[Position]],2)=1,Eingabe[[#This Row],[S2]],Eingabe[[#This Row],[S3]]),""),""),"")</f>
        <v/>
      </c>
      <c r="AS112" s="6" t="str">
        <f>IFERROR(IF(Eingabe[[#This Row],[Wo]]="H",IF(Eingabe[[#This Row],[S1]]&gt;0,IF(MOD(ROW(Eingabe[[#This Row],[Heimbahn 3]]),2)=1,Eingabe[[#This Row],[S4]],Eingabe[[#This Row],[S1]]),""),""),"")</f>
        <v/>
      </c>
      <c r="AT112" s="6" t="str">
        <f>IFERROR(IF(Eingabe[[#This Row],[Wo]]="H",IF(Eingabe[[#This Row],[S1]]&gt;0,IF(MOD(ROW(Eingabe[[#This Row],[Heimbahn 4]]),2)=1,Eingabe[[#This Row],[S3]],Eingabe[[#This Row],[S2]]),""),""),"")</f>
        <v/>
      </c>
      <c r="AU112" s="22">
        <f>IF(Eingabe[[#This Row],[GES]]="","",IF(Eingabe[[#This Row],[Modus]]="L",_xlfn.RANK.EQ(Eingabe[[#This Row],[GES]],AF111:AF116),IF(Eingabe[[#This Row],[Modus]]="P",_xlfn.RANK.EQ(Eingabe[[#This Row],[GES]],AF111:AF116),"")))</f>
        <v>1</v>
      </c>
      <c r="AV112" s="6">
        <f>VLOOKUP(Eingabe[[#This Row],[Name]],AuswertungG[],8,FALSE)</f>
        <v>501</v>
      </c>
      <c r="AZ112" s="6">
        <f>IFERROR(ABS(Eingabe[[#This Row],[GES]]-Eingabe[[#This Row],[GEGGES]]),"")</f>
        <v>33</v>
      </c>
    </row>
    <row r="113" spans="1:52" ht="16.2" hidden="1" thickBot="1" x14ac:dyDescent="0.35">
      <c r="A113" s="441"/>
      <c r="B113" s="21">
        <f t="shared" si="10"/>
        <v>19</v>
      </c>
      <c r="C113" s="6" t="str">
        <f>VLOOKUP($B113,Chronologie[],7,TRUE)</f>
        <v>Dresdner SV II</v>
      </c>
      <c r="D113" s="6" t="str">
        <f>VLOOKUP($B113,Chronologie[],8,TRUE)</f>
        <v>Dresden</v>
      </c>
      <c r="E113" s="240" t="str">
        <f>VLOOKUP($B113,Chronologie[],9,TRUE)</f>
        <v>A</v>
      </c>
      <c r="F113" s="6" t="str">
        <f>VLOOKUP($B113,Chronologie[],COLUMN(F114)-2,TRUE)</f>
        <v>F</v>
      </c>
      <c r="G113" s="6" t="str">
        <f>VLOOKUP($B113,Chronologie[],COLUMN(G114)-2,TRUE)</f>
        <v>L</v>
      </c>
      <c r="H113" s="6">
        <f>VLOOKUP($B113,Chronologie[],COLUMN(H114)-2,TRUE)</f>
        <v>1</v>
      </c>
      <c r="I113" s="10" t="str">
        <f>VLOOKUP($B113,Chronologie[],2,TRUE)</f>
        <v>F-L-1</v>
      </c>
      <c r="J113" s="243">
        <f>VLOOKUP($B113,Chronologie[],3,TRUE)</f>
        <v>45921</v>
      </c>
      <c r="K113" s="237" t="s">
        <v>15</v>
      </c>
      <c r="L113" s="237">
        <v>89</v>
      </c>
      <c r="M113" s="237">
        <v>88</v>
      </c>
      <c r="N113" s="237">
        <v>91</v>
      </c>
      <c r="O113" s="237">
        <v>0</v>
      </c>
      <c r="P113" s="237">
        <v>44</v>
      </c>
      <c r="Q113" s="237">
        <v>43</v>
      </c>
      <c r="R113" s="237">
        <v>36</v>
      </c>
      <c r="S113" s="237">
        <v>0</v>
      </c>
      <c r="T113" s="237">
        <v>2</v>
      </c>
      <c r="U113" s="237">
        <v>1</v>
      </c>
      <c r="V113" s="237">
        <v>2</v>
      </c>
      <c r="W113" s="237">
        <v>0</v>
      </c>
      <c r="X113" s="38">
        <v>1</v>
      </c>
      <c r="Y113" s="38">
        <v>1</v>
      </c>
      <c r="Z113" s="38">
        <v>1</v>
      </c>
      <c r="AA113" s="38">
        <v>0</v>
      </c>
      <c r="AB113" s="91">
        <v>484</v>
      </c>
      <c r="AC113" s="94">
        <f>IF(Eingabe[[#This Row],[V1]]="",IF(Eingabe[[#This Row],[Volle alternativ]]="","",Eingabe[[#This Row],[Volle alternativ]]),SUM(Eingabe[[#This Row],[V1]:[V4]]))</f>
        <v>268</v>
      </c>
      <c r="AD113" s="6">
        <f>IF(Eingabe[[#This Row],[R1]]="",IF(Eingabe[[#This Row],[Räumer alternativ]]="","",Eingabe[[#This Row],[Räumer alternativ]]),SUM(Eingabe[[#This Row],[R1]:[R4]]))</f>
        <v>123</v>
      </c>
      <c r="AE113" s="6">
        <f>IF(Eingabe[[#This Row],[F1]]="",IF(Eingabe[[#This Row],[Fehler alternativ]]="","",Eingabe[[#This Row],[Fehler alternativ]]),SUM(Eingabe[[#This Row],[F1]:[F4]]))</f>
        <v>5</v>
      </c>
      <c r="AF113" s="6">
        <f>IF(Eingabe[[#This Row],[Volle]]="","",IF(Eingabe[[#This Row],[S1]]="",Eingabe[[#This Row],[Volle]]+Eingabe[[#This Row],[Räumer]],IF(Eingabe[[#This Row],[Volle]]+Eingabe[[#This Row],[Räumer]]=Eingabe[[#This Row],[S1]]+Eingabe[[#This Row],[S2]]+Eingabe[[#This Row],[S3]]+Eingabe[[#This Row],[S4]],Eingabe[[#This Row],[Volle]]+Eingabe[[#This Row],[Räumer]],"FEHLER")))</f>
        <v>391</v>
      </c>
      <c r="AG113" s="6">
        <f>IF(Eingabe[[#This Row],[V1]]="","",Eingabe[[#This Row],[V1]]+Eingabe[[#This Row],[R1]])</f>
        <v>133</v>
      </c>
      <c r="AH113" s="6">
        <f>IF(Eingabe[[#This Row],[V2]]="","",Eingabe[[#This Row],[V2]]+Eingabe[[#This Row],[R2]])</f>
        <v>131</v>
      </c>
      <c r="AI113" s="6">
        <f>IF(Eingabe[[#This Row],[V3]]="","",Eingabe[[#This Row],[V3]]+Eingabe[[#This Row],[R3]])</f>
        <v>127</v>
      </c>
      <c r="AJ113" s="6">
        <f>IF(Eingabe[[#This Row],[V4]]="","",Eingabe[[#This Row],[V4]]+Eingabe[[#This Row],[R4]])</f>
        <v>0</v>
      </c>
      <c r="AK113" s="6">
        <f>IF(Eingabe[[#This Row],[S1P]]="","",Eingabe[[#This Row],[S1P]]+Eingabe[[#This Row],[S2P]]+Eingabe[[#This Row],[S3P]]+Eingabe[[#This Row],[S4P]])</f>
        <v>3</v>
      </c>
      <c r="AL113" s="6">
        <f>IF(Eingabe[[#This Row],[S1P]]="","",IF(Eingabe[[#This Row],[SP]]&gt;2,1,IF(Eingabe[[#This Row],[SP]]&lt;2,0,IF(Eingabe[[#This Row],[GES]]&gt;Eingabe[[#This Row],[GEGGES]],1,IF(Eingabe[[#This Row],[GES]]=Eingabe[[#This Row],[GEGGES]],0.5,0)))))</f>
        <v>1</v>
      </c>
      <c r="AM113" s="6">
        <f>IF(Eingabe[[#This Row],[MP]]="","",MOD(ROW(Eingabe[[#This Row],[Position]])-3,6)+1)</f>
        <v>3</v>
      </c>
      <c r="AN113" s="6">
        <f>STANDARDIZE(Eingabe[[#This Row],[GES]],Eingabe[[#This Row],[Schnitt]],VLOOKUP(Eingabe[[#This Row],[Name]],AuswertungG[],21,FALSE))</f>
        <v>-1.9772727272727273</v>
      </c>
      <c r="AO113" s="6">
        <f>VLOOKUP(Eingabe[[#This Row],[ID]],Chronologie[[ID]:[KW]],12,FALSE)</f>
        <v>4</v>
      </c>
      <c r="AP113" s="95" t="str">
        <f>IF(Eingabe[[#This Row],[Wo]]="H",Eingabe[[#This Row],[Gegner]]&amp;" ["&amp;Eingabe[[#This Row],[Wo]]&amp;"]",Eingabe[[#This Row],[Ort]])</f>
        <v>Dresden</v>
      </c>
      <c r="AQ113" s="6" t="str">
        <f>IFERROR(IF(Eingabe[[#This Row],[Wo]]="H",IF(MOD(Eingabe[[#This Row],[Position]],2)=1,Eingabe[[#This Row],[S1]],Eingabe[[#This Row],[S4]]),""),"")</f>
        <v/>
      </c>
      <c r="AR113" s="6" t="str">
        <f>IFERROR(IF(Eingabe[[#This Row],[Wo]]="H",IF(Eingabe[[#This Row],[S1]]&gt;0,IF(MOD(Eingabe[[#This Row],[Position]],2)=1,Eingabe[[#This Row],[S2]],Eingabe[[#This Row],[S3]]),""),""),"")</f>
        <v/>
      </c>
      <c r="AS113" s="6" t="str">
        <f>IFERROR(IF(Eingabe[[#This Row],[Wo]]="H",IF(Eingabe[[#This Row],[S1]]&gt;0,IF(MOD(ROW(Eingabe[[#This Row],[Heimbahn 3]]),2)=1,Eingabe[[#This Row],[S4]],Eingabe[[#This Row],[S1]]),""),""),"")</f>
        <v/>
      </c>
      <c r="AT113" s="6" t="str">
        <f>IFERROR(IF(Eingabe[[#This Row],[Wo]]="H",IF(Eingabe[[#This Row],[S1]]&gt;0,IF(MOD(ROW(Eingabe[[#This Row],[Heimbahn 4]]),2)=1,Eingabe[[#This Row],[S3]],Eingabe[[#This Row],[S2]]),""),""),"")</f>
        <v/>
      </c>
      <c r="AU113" s="22">
        <f>IF(Eingabe[[#This Row],[GES]]="","",IF(Eingabe[[#This Row],[Modus]]="L",_xlfn.RANK.EQ(Eingabe[[#This Row],[GES]],AF111:AF116),IF(Eingabe[[#This Row],[Modus]]="P",_xlfn.RANK.EQ(Eingabe[[#This Row],[GES]],AF111:AF116),"")))</f>
        <v>6</v>
      </c>
      <c r="AV113" s="6">
        <f>VLOOKUP(Eingabe[[#This Row],[Name]],AuswertungG[],8,FALSE)</f>
        <v>478</v>
      </c>
      <c r="AZ113" s="6">
        <f>IFERROR(ABS(Eingabe[[#This Row],[GES]]-Eingabe[[#This Row],[GEGGES]]),"")</f>
        <v>93</v>
      </c>
    </row>
    <row r="114" spans="1:52" ht="16.2" hidden="1" thickBot="1" x14ac:dyDescent="0.35">
      <c r="A114" s="441"/>
      <c r="B114" s="21">
        <f t="shared" si="10"/>
        <v>19</v>
      </c>
      <c r="C114" s="6" t="str">
        <f>VLOOKUP($B114,Chronologie[],7,TRUE)</f>
        <v>Dresdner SV II</v>
      </c>
      <c r="D114" s="6" t="str">
        <f>VLOOKUP($B114,Chronologie[],8,TRUE)</f>
        <v>Dresden</v>
      </c>
      <c r="E114" s="240" t="str">
        <f>VLOOKUP($B114,Chronologie[],9,TRUE)</f>
        <v>A</v>
      </c>
      <c r="F114" s="6" t="str">
        <f>VLOOKUP($B114,Chronologie[],COLUMN(F115)-2,TRUE)</f>
        <v>F</v>
      </c>
      <c r="G114" s="6" t="str">
        <f>VLOOKUP($B114,Chronologie[],COLUMN(G115)-2,TRUE)</f>
        <v>L</v>
      </c>
      <c r="H114" s="6">
        <f>VLOOKUP($B114,Chronologie[],COLUMN(H115)-2,TRUE)</f>
        <v>1</v>
      </c>
      <c r="I114" s="10" t="str">
        <f>VLOOKUP($B114,Chronologie[],2,TRUE)</f>
        <v>F-L-1</v>
      </c>
      <c r="J114" s="243">
        <f>VLOOKUP($B114,Chronologie[],3,TRUE)</f>
        <v>45921</v>
      </c>
      <c r="K114" s="238" t="s">
        <v>480</v>
      </c>
      <c r="L114" s="237">
        <v>85</v>
      </c>
      <c r="M114" s="237">
        <v>76</v>
      </c>
      <c r="N114" s="237">
        <v>83</v>
      </c>
      <c r="O114" s="237">
        <v>91</v>
      </c>
      <c r="P114" s="237">
        <v>36</v>
      </c>
      <c r="Q114" s="237">
        <v>43</v>
      </c>
      <c r="R114" s="237">
        <v>35</v>
      </c>
      <c r="S114" s="237">
        <v>63</v>
      </c>
      <c r="T114" s="237">
        <v>4</v>
      </c>
      <c r="U114" s="237">
        <v>2</v>
      </c>
      <c r="V114" s="237">
        <v>1</v>
      </c>
      <c r="W114" s="237">
        <v>0</v>
      </c>
      <c r="X114" s="38">
        <v>0</v>
      </c>
      <c r="Y114" s="38">
        <v>0</v>
      </c>
      <c r="Z114" s="38">
        <v>1</v>
      </c>
      <c r="AA114" s="38">
        <v>1</v>
      </c>
      <c r="AB114" s="91">
        <v>511</v>
      </c>
      <c r="AC114" s="94">
        <f>IF(Eingabe[[#This Row],[V1]]="",IF(Eingabe[[#This Row],[Volle alternativ]]="","",Eingabe[[#This Row],[Volle alternativ]]),SUM(Eingabe[[#This Row],[V1]:[V4]]))</f>
        <v>335</v>
      </c>
      <c r="AD114" s="6">
        <f>IF(Eingabe[[#This Row],[R1]]="",IF(Eingabe[[#This Row],[Räumer alternativ]]="","",Eingabe[[#This Row],[Räumer alternativ]]),SUM(Eingabe[[#This Row],[R1]:[R4]]))</f>
        <v>177</v>
      </c>
      <c r="AE114" s="6">
        <f>IF(Eingabe[[#This Row],[F1]]="",IF(Eingabe[[#This Row],[Fehler alternativ]]="","",Eingabe[[#This Row],[Fehler alternativ]]),SUM(Eingabe[[#This Row],[F1]:[F4]]))</f>
        <v>7</v>
      </c>
      <c r="AF114" s="6">
        <f>IF(Eingabe[[#This Row],[Volle]]="","",IF(Eingabe[[#This Row],[S1]]="",Eingabe[[#This Row],[Volle]]+Eingabe[[#This Row],[Räumer]],IF(Eingabe[[#This Row],[Volle]]+Eingabe[[#This Row],[Räumer]]=Eingabe[[#This Row],[S1]]+Eingabe[[#This Row],[S2]]+Eingabe[[#This Row],[S3]]+Eingabe[[#This Row],[S4]],Eingabe[[#This Row],[Volle]]+Eingabe[[#This Row],[Räumer]],"FEHLER")))</f>
        <v>512</v>
      </c>
      <c r="AG114" s="6">
        <f>IF(Eingabe[[#This Row],[V1]]="","",Eingabe[[#This Row],[V1]]+Eingabe[[#This Row],[R1]])</f>
        <v>121</v>
      </c>
      <c r="AH114" s="6">
        <f>IF(Eingabe[[#This Row],[V2]]="","",Eingabe[[#This Row],[V2]]+Eingabe[[#This Row],[R2]])</f>
        <v>119</v>
      </c>
      <c r="AI114" s="6">
        <f>IF(Eingabe[[#This Row],[V3]]="","",Eingabe[[#This Row],[V3]]+Eingabe[[#This Row],[R3]])</f>
        <v>118</v>
      </c>
      <c r="AJ114" s="6">
        <f>IF(Eingabe[[#This Row],[V4]]="","",Eingabe[[#This Row],[V4]]+Eingabe[[#This Row],[R4]])</f>
        <v>154</v>
      </c>
      <c r="AK114" s="6">
        <f>IF(Eingabe[[#This Row],[S1P]]="","",Eingabe[[#This Row],[S1P]]+Eingabe[[#This Row],[S2P]]+Eingabe[[#This Row],[S3P]]+Eingabe[[#This Row],[S4P]])</f>
        <v>2</v>
      </c>
      <c r="AL114" s="6">
        <f>IF(Eingabe[[#This Row],[S1P]]="","",IF(Eingabe[[#This Row],[SP]]&gt;2,1,IF(Eingabe[[#This Row],[SP]]&lt;2,0,IF(Eingabe[[#This Row],[GES]]&gt;Eingabe[[#This Row],[GEGGES]],1,IF(Eingabe[[#This Row],[GES]]=Eingabe[[#This Row],[GEGGES]],0.5,0)))))</f>
        <v>1</v>
      </c>
      <c r="AM114" s="6">
        <f>IF(Eingabe[[#This Row],[MP]]="","",MOD(ROW(Eingabe[[#This Row],[Position]])-3,6)+1)</f>
        <v>4</v>
      </c>
      <c r="AN114" s="6">
        <f>STANDARDIZE(Eingabe[[#This Row],[GES]],Eingabe[[#This Row],[Schnitt]],VLOOKUP(Eingabe[[#This Row],[Name]],AuswertungG[],21,FALSE))</f>
        <v>0.25</v>
      </c>
      <c r="AO114" s="6">
        <f>VLOOKUP(Eingabe[[#This Row],[ID]],Chronologie[[ID]:[KW]],12,FALSE)</f>
        <v>4</v>
      </c>
      <c r="AP114" s="95" t="str">
        <f>IF(Eingabe[[#This Row],[Wo]]="H",Eingabe[[#This Row],[Gegner]]&amp;" ["&amp;Eingabe[[#This Row],[Wo]]&amp;"]",Eingabe[[#This Row],[Ort]])</f>
        <v>Dresden</v>
      </c>
      <c r="AQ114" s="6" t="str">
        <f>IFERROR(IF(Eingabe[[#This Row],[Wo]]="H",IF(MOD(Eingabe[[#This Row],[Position]],2)=1,Eingabe[[#This Row],[S1]],Eingabe[[#This Row],[S4]]),""),"")</f>
        <v/>
      </c>
      <c r="AR114" s="6" t="str">
        <f>IFERROR(IF(Eingabe[[#This Row],[Wo]]="H",IF(Eingabe[[#This Row],[S1]]&gt;0,IF(MOD(Eingabe[[#This Row],[Position]],2)=1,Eingabe[[#This Row],[S2]],Eingabe[[#This Row],[S3]]),""),""),"")</f>
        <v/>
      </c>
      <c r="AS114" s="6" t="str">
        <f>IFERROR(IF(Eingabe[[#This Row],[Wo]]="H",IF(Eingabe[[#This Row],[S1]]&gt;0,IF(MOD(ROW(Eingabe[[#This Row],[Heimbahn 3]]),2)=1,Eingabe[[#This Row],[S4]],Eingabe[[#This Row],[S1]]),""),""),"")</f>
        <v/>
      </c>
      <c r="AT114" s="6" t="str">
        <f>IFERROR(IF(Eingabe[[#This Row],[Wo]]="H",IF(Eingabe[[#This Row],[S1]]&gt;0,IF(MOD(ROW(Eingabe[[#This Row],[Heimbahn 4]]),2)=1,Eingabe[[#This Row],[S3]],Eingabe[[#This Row],[S2]]),""),""),"")</f>
        <v/>
      </c>
      <c r="AU114" s="22">
        <f>IF(Eingabe[[#This Row],[GES]]="","",IF(Eingabe[[#This Row],[Modus]]="L",_xlfn.RANK.EQ(Eingabe[[#This Row],[GES]],AF111:AF116),IF(Eingabe[[#This Row],[Modus]]="P",_xlfn.RANK.EQ(Eingabe[[#This Row],[GES]],AF111:AF116),"")))</f>
        <v>1</v>
      </c>
      <c r="AV114" s="6">
        <f>VLOOKUP(Eingabe[[#This Row],[Name]],AuswertungG[],8,FALSE)</f>
        <v>509</v>
      </c>
      <c r="AZ114" s="6">
        <f>IFERROR(ABS(Eingabe[[#This Row],[GES]]-Eingabe[[#This Row],[GEGGES]]),"")</f>
        <v>1</v>
      </c>
    </row>
    <row r="115" spans="1:52" ht="16.2" hidden="1" thickBot="1" x14ac:dyDescent="0.35">
      <c r="A115" s="441"/>
      <c r="B115" s="21">
        <f t="shared" si="10"/>
        <v>19</v>
      </c>
      <c r="C115" s="6" t="str">
        <f>VLOOKUP($B115,Chronologie[],7,TRUE)</f>
        <v>Dresdner SV II</v>
      </c>
      <c r="D115" s="6" t="str">
        <f>VLOOKUP($B115,Chronologie[],8,TRUE)</f>
        <v>Dresden</v>
      </c>
      <c r="E115" s="240" t="str">
        <f>VLOOKUP($B115,Chronologie[],9,TRUE)</f>
        <v>A</v>
      </c>
      <c r="F115" s="6" t="str">
        <f>VLOOKUP($B115,Chronologie[],COLUMN(F116)-2,TRUE)</f>
        <v>F</v>
      </c>
      <c r="G115" s="6" t="str">
        <f>VLOOKUP($B115,Chronologie[],COLUMN(G116)-2,TRUE)</f>
        <v>L</v>
      </c>
      <c r="H115" s="6">
        <f>VLOOKUP($B115,Chronologie[],COLUMN(H116)-2,TRUE)</f>
        <v>1</v>
      </c>
      <c r="I115" s="10" t="str">
        <f>VLOOKUP($B115,Chronologie[],2,TRUE)</f>
        <v>F-L-1</v>
      </c>
      <c r="J115" s="243">
        <f>VLOOKUP($B115,Chronologie[],3,TRUE)</f>
        <v>45921</v>
      </c>
      <c r="K115" s="237" t="s">
        <v>592</v>
      </c>
      <c r="L115" s="237">
        <v>93</v>
      </c>
      <c r="M115" s="237">
        <v>73</v>
      </c>
      <c r="N115" s="237">
        <v>90</v>
      </c>
      <c r="O115" s="237">
        <v>84</v>
      </c>
      <c r="P115" s="237">
        <v>42</v>
      </c>
      <c r="Q115" s="237">
        <v>33</v>
      </c>
      <c r="R115" s="237">
        <v>57</v>
      </c>
      <c r="S115" s="237">
        <v>27</v>
      </c>
      <c r="T115" s="237">
        <v>2</v>
      </c>
      <c r="U115" s="237">
        <v>2</v>
      </c>
      <c r="V115" s="237">
        <v>2</v>
      </c>
      <c r="W115" s="237">
        <v>4</v>
      </c>
      <c r="X115" s="38">
        <v>1</v>
      </c>
      <c r="Y115" s="38">
        <v>0</v>
      </c>
      <c r="Z115" s="38">
        <v>1</v>
      </c>
      <c r="AA115" s="38">
        <v>0</v>
      </c>
      <c r="AB115" s="91">
        <v>491</v>
      </c>
      <c r="AC115" s="94">
        <f>IF(Eingabe[[#This Row],[V1]]="",IF(Eingabe[[#This Row],[Volle alternativ]]="","",Eingabe[[#This Row],[Volle alternativ]]),SUM(Eingabe[[#This Row],[V1]:[V4]]))</f>
        <v>340</v>
      </c>
      <c r="AD115" s="6">
        <f>IF(Eingabe[[#This Row],[R1]]="",IF(Eingabe[[#This Row],[Räumer alternativ]]="","",Eingabe[[#This Row],[Räumer alternativ]]),SUM(Eingabe[[#This Row],[R1]:[R4]]))</f>
        <v>159</v>
      </c>
      <c r="AE115" s="6">
        <f>IF(Eingabe[[#This Row],[F1]]="",IF(Eingabe[[#This Row],[Fehler alternativ]]="","",Eingabe[[#This Row],[Fehler alternativ]]),SUM(Eingabe[[#This Row],[F1]:[F4]]))</f>
        <v>10</v>
      </c>
      <c r="AF115" s="6">
        <f>IF(Eingabe[[#This Row],[Volle]]="","",IF(Eingabe[[#This Row],[S1]]="",Eingabe[[#This Row],[Volle]]+Eingabe[[#This Row],[Räumer]],IF(Eingabe[[#This Row],[Volle]]+Eingabe[[#This Row],[Räumer]]=Eingabe[[#This Row],[S1]]+Eingabe[[#This Row],[S2]]+Eingabe[[#This Row],[S3]]+Eingabe[[#This Row],[S4]],Eingabe[[#This Row],[Volle]]+Eingabe[[#This Row],[Räumer]],"FEHLER")))</f>
        <v>499</v>
      </c>
      <c r="AG115" s="6">
        <f>IF(Eingabe[[#This Row],[V1]]="","",Eingabe[[#This Row],[V1]]+Eingabe[[#This Row],[R1]])</f>
        <v>135</v>
      </c>
      <c r="AH115" s="6">
        <f>IF(Eingabe[[#This Row],[V2]]="","",Eingabe[[#This Row],[V2]]+Eingabe[[#This Row],[R2]])</f>
        <v>106</v>
      </c>
      <c r="AI115" s="6">
        <f>IF(Eingabe[[#This Row],[V3]]="","",Eingabe[[#This Row],[V3]]+Eingabe[[#This Row],[R3]])</f>
        <v>147</v>
      </c>
      <c r="AJ115" s="6">
        <f>IF(Eingabe[[#This Row],[V4]]="","",Eingabe[[#This Row],[V4]]+Eingabe[[#This Row],[R4]])</f>
        <v>111</v>
      </c>
      <c r="AK115" s="6">
        <f>IF(Eingabe[[#This Row],[S1P]]="","",Eingabe[[#This Row],[S1P]]+Eingabe[[#This Row],[S2P]]+Eingabe[[#This Row],[S3P]]+Eingabe[[#This Row],[S4P]])</f>
        <v>2</v>
      </c>
      <c r="AL115" s="6">
        <f>IF(Eingabe[[#This Row],[S1P]]="","",IF(Eingabe[[#This Row],[SP]]&gt;2,1,IF(Eingabe[[#This Row],[SP]]&lt;2,0,IF(Eingabe[[#This Row],[GES]]&gt;Eingabe[[#This Row],[GEGGES]],1,IF(Eingabe[[#This Row],[GES]]=Eingabe[[#This Row],[GEGGES]],0.5,0)))))</f>
        <v>1</v>
      </c>
      <c r="AM115" s="6">
        <f>IF(Eingabe[[#This Row],[MP]]="","",MOD(ROW(Eingabe[[#This Row],[Position]])-3,6)+1)</f>
        <v>5</v>
      </c>
      <c r="AN115" s="6">
        <f>STANDARDIZE(Eingabe[[#This Row],[GES]],Eingabe[[#This Row],[Schnitt]],VLOOKUP(Eingabe[[#This Row],[Name]],AuswertungG[],21,FALSE))</f>
        <v>-0.4</v>
      </c>
      <c r="AO115" s="6">
        <f>VLOOKUP(Eingabe[[#This Row],[ID]],Chronologie[[ID]:[KW]],12,FALSE)</f>
        <v>4</v>
      </c>
      <c r="AP115" s="95" t="str">
        <f>IF(Eingabe[[#This Row],[Wo]]="H",Eingabe[[#This Row],[Gegner]]&amp;" ["&amp;Eingabe[[#This Row],[Wo]]&amp;"]",Eingabe[[#This Row],[Ort]])</f>
        <v>Dresden</v>
      </c>
      <c r="AQ115" s="6" t="str">
        <f>IFERROR(IF(Eingabe[[#This Row],[Wo]]="H",IF(MOD(Eingabe[[#This Row],[Position]],2)=1,Eingabe[[#This Row],[S1]],Eingabe[[#This Row],[S4]]),""),"")</f>
        <v/>
      </c>
      <c r="AR115" s="6" t="str">
        <f>IFERROR(IF(Eingabe[[#This Row],[Wo]]="H",IF(Eingabe[[#This Row],[S1]]&gt;0,IF(MOD(Eingabe[[#This Row],[Position]],2)=1,Eingabe[[#This Row],[S2]],Eingabe[[#This Row],[S3]]),""),""),"")</f>
        <v/>
      </c>
      <c r="AS115" s="6" t="str">
        <f>IFERROR(IF(Eingabe[[#This Row],[Wo]]="H",IF(Eingabe[[#This Row],[S1]]&gt;0,IF(MOD(ROW(Eingabe[[#This Row],[Heimbahn 3]]),2)=1,Eingabe[[#This Row],[S4]],Eingabe[[#This Row],[S1]]),""),""),"")</f>
        <v/>
      </c>
      <c r="AT115" s="6" t="str">
        <f>IFERROR(IF(Eingabe[[#This Row],[Wo]]="H",IF(Eingabe[[#This Row],[S1]]&gt;0,IF(MOD(ROW(Eingabe[[#This Row],[Heimbahn 4]]),2)=1,Eingabe[[#This Row],[S3]],Eingabe[[#This Row],[S2]]),""),""),"")</f>
        <v/>
      </c>
      <c r="AU115" s="22">
        <f>IF(Eingabe[[#This Row],[GES]]="","",IF(Eingabe[[#This Row],[Modus]]="L",_xlfn.RANK.EQ(Eingabe[[#This Row],[GES]],AF111:AF116),IF(Eingabe[[#This Row],[Modus]]="P",_xlfn.RANK.EQ(Eingabe[[#This Row],[GES]],AF111:AF116),"")))</f>
        <v>3</v>
      </c>
      <c r="AV115" s="6">
        <f>VLOOKUP(Eingabe[[#This Row],[Name]],AuswertungG[],8,FALSE)</f>
        <v>511</v>
      </c>
      <c r="AZ115" s="6">
        <f>IFERROR(ABS(Eingabe[[#This Row],[GES]]-Eingabe[[#This Row],[GEGGES]]),"")</f>
        <v>8</v>
      </c>
    </row>
    <row r="116" spans="1:52" ht="16.2" hidden="1" thickBot="1" x14ac:dyDescent="0.35">
      <c r="A116" s="442"/>
      <c r="B116" s="56">
        <f t="shared" si="10"/>
        <v>19</v>
      </c>
      <c r="C116" s="23" t="str">
        <f>VLOOKUP($B116,Chronologie[],7,TRUE)</f>
        <v>Dresdner SV II</v>
      </c>
      <c r="D116" s="23" t="str">
        <f>VLOOKUP($B116,Chronologie[],8,TRUE)</f>
        <v>Dresden</v>
      </c>
      <c r="E116" s="39" t="str">
        <f>VLOOKUP($B116,Chronologie[],9,TRUE)</f>
        <v>A</v>
      </c>
      <c r="F116" s="23" t="str">
        <f>VLOOKUP($B116,Chronologie[],COLUMN(F117)-2,TRUE)</f>
        <v>F</v>
      </c>
      <c r="G116" s="23" t="str">
        <f>VLOOKUP($B116,Chronologie[],COLUMN(G117)-2,TRUE)</f>
        <v>L</v>
      </c>
      <c r="H116" s="23">
        <f>VLOOKUP($B116,Chronologie[],COLUMN(H117)-2,TRUE)</f>
        <v>1</v>
      </c>
      <c r="I116" s="13" t="str">
        <f>VLOOKUP($B116,Chronologie[],2,TRUE)</f>
        <v>F-L-1</v>
      </c>
      <c r="J116" s="244">
        <f>VLOOKUP($B116,Chronologie[],3,TRUE)</f>
        <v>45921</v>
      </c>
      <c r="K116" s="239" t="s">
        <v>14</v>
      </c>
      <c r="L116" s="239">
        <v>88</v>
      </c>
      <c r="M116" s="239">
        <v>93</v>
      </c>
      <c r="N116" s="239">
        <v>93</v>
      </c>
      <c r="O116" s="239">
        <v>83</v>
      </c>
      <c r="P116" s="239">
        <v>25</v>
      </c>
      <c r="Q116" s="239">
        <v>27</v>
      </c>
      <c r="R116" s="239">
        <v>36</v>
      </c>
      <c r="S116" s="239">
        <v>26</v>
      </c>
      <c r="T116" s="239">
        <v>6</v>
      </c>
      <c r="U116" s="239">
        <v>5</v>
      </c>
      <c r="V116" s="239">
        <v>2</v>
      </c>
      <c r="W116" s="239">
        <v>3</v>
      </c>
      <c r="X116" s="40">
        <v>0</v>
      </c>
      <c r="Y116" s="40">
        <v>0</v>
      </c>
      <c r="Z116" s="40">
        <v>0</v>
      </c>
      <c r="AA116" s="40">
        <v>0</v>
      </c>
      <c r="AB116" s="92">
        <v>517</v>
      </c>
      <c r="AC116" s="96">
        <f>IF(Eingabe[[#This Row],[V1]]="",IF(Eingabe[[#This Row],[Volle alternativ]]="","",Eingabe[[#This Row],[Volle alternativ]]),SUM(Eingabe[[#This Row],[V1]:[V4]]))</f>
        <v>357</v>
      </c>
      <c r="AD116" s="23">
        <f>IF(Eingabe[[#This Row],[R1]]="",IF(Eingabe[[#This Row],[Räumer alternativ]]="","",Eingabe[[#This Row],[Räumer alternativ]]),SUM(Eingabe[[#This Row],[R1]:[R4]]))</f>
        <v>114</v>
      </c>
      <c r="AE116" s="23">
        <f>IF(Eingabe[[#This Row],[F1]]="",IF(Eingabe[[#This Row],[Fehler alternativ]]="","",Eingabe[[#This Row],[Fehler alternativ]]),SUM(Eingabe[[#This Row],[F1]:[F4]]))</f>
        <v>16</v>
      </c>
      <c r="AF116" s="23">
        <f>IF(Eingabe[[#This Row],[Volle]]="","",IF(Eingabe[[#This Row],[S1]]="",Eingabe[[#This Row],[Volle]]+Eingabe[[#This Row],[Räumer]],IF(Eingabe[[#This Row],[Volle]]+Eingabe[[#This Row],[Räumer]]=Eingabe[[#This Row],[S1]]+Eingabe[[#This Row],[S2]]+Eingabe[[#This Row],[S3]]+Eingabe[[#This Row],[S4]],Eingabe[[#This Row],[Volle]]+Eingabe[[#This Row],[Räumer]],"FEHLER")))</f>
        <v>471</v>
      </c>
      <c r="AG116" s="23">
        <f>IF(Eingabe[[#This Row],[V1]]="","",Eingabe[[#This Row],[V1]]+Eingabe[[#This Row],[R1]])</f>
        <v>113</v>
      </c>
      <c r="AH116" s="23">
        <f>IF(Eingabe[[#This Row],[V2]]="","",Eingabe[[#This Row],[V2]]+Eingabe[[#This Row],[R2]])</f>
        <v>120</v>
      </c>
      <c r="AI116" s="23">
        <f>IF(Eingabe[[#This Row],[V3]]="","",Eingabe[[#This Row],[V3]]+Eingabe[[#This Row],[R3]])</f>
        <v>129</v>
      </c>
      <c r="AJ116" s="23">
        <f>IF(Eingabe[[#This Row],[V4]]="","",Eingabe[[#This Row],[V4]]+Eingabe[[#This Row],[R4]])</f>
        <v>109</v>
      </c>
      <c r="AK116" s="23">
        <f>IF(Eingabe[[#This Row],[S1P]]="","",Eingabe[[#This Row],[S1P]]+Eingabe[[#This Row],[S2P]]+Eingabe[[#This Row],[S3P]]+Eingabe[[#This Row],[S4P]])</f>
        <v>0</v>
      </c>
      <c r="AL116" s="23">
        <f>IF(Eingabe[[#This Row],[S1P]]="","",IF(Eingabe[[#This Row],[SP]]&gt;2,1,IF(Eingabe[[#This Row],[SP]]&lt;2,0,IF(Eingabe[[#This Row],[GES]]&gt;Eingabe[[#This Row],[GEGGES]],1,IF(Eingabe[[#This Row],[GES]]=Eingabe[[#This Row],[GEGGES]],0.5,0)))))</f>
        <v>0</v>
      </c>
      <c r="AM116" s="23">
        <f>IF(Eingabe[[#This Row],[MP]]="","",MOD(ROW(Eingabe[[#This Row],[Position]])-3,6)+1)</f>
        <v>6</v>
      </c>
      <c r="AN116" s="23">
        <f>STANDARDIZE(Eingabe[[#This Row],[GES]],Eingabe[[#This Row],[Schnitt]],VLOOKUP(Eingabe[[#This Row],[Name]],AuswertungG[],21,FALSE))</f>
        <v>-1.3448275862068966</v>
      </c>
      <c r="AO116" s="23">
        <f>VLOOKUP(Eingabe[[#This Row],[ID]],Chronologie[[ID]:[KW]],12,FALSE)</f>
        <v>4</v>
      </c>
      <c r="AP116" s="59" t="str">
        <f>IF(Eingabe[[#This Row],[Wo]]="H",Eingabe[[#This Row],[Gegner]]&amp;" ["&amp;Eingabe[[#This Row],[Wo]]&amp;"]",Eingabe[[#This Row],[Ort]])</f>
        <v>Dresden</v>
      </c>
      <c r="AQ116" s="23" t="str">
        <f>IFERROR(IF(Eingabe[[#This Row],[Wo]]="H",IF(MOD(Eingabe[[#This Row],[Position]],2)=1,Eingabe[[#This Row],[S1]],Eingabe[[#This Row],[S4]]),""),"")</f>
        <v/>
      </c>
      <c r="AR116" s="23" t="str">
        <f>IFERROR(IF(Eingabe[[#This Row],[Wo]]="H",IF(Eingabe[[#This Row],[S1]]&gt;0,IF(MOD(Eingabe[[#This Row],[Position]],2)=1,Eingabe[[#This Row],[S2]],Eingabe[[#This Row],[S3]]),""),""),"")</f>
        <v/>
      </c>
      <c r="AS116" s="23" t="str">
        <f>IFERROR(IF(Eingabe[[#This Row],[Wo]]="H",IF(Eingabe[[#This Row],[S1]]&gt;0,IF(MOD(ROW(Eingabe[[#This Row],[Heimbahn 3]]),2)=1,Eingabe[[#This Row],[S4]],Eingabe[[#This Row],[S1]]),""),""),"")</f>
        <v/>
      </c>
      <c r="AT116" s="23" t="str">
        <f>IFERROR(IF(Eingabe[[#This Row],[Wo]]="H",IF(Eingabe[[#This Row],[S1]]&gt;0,IF(MOD(ROW(Eingabe[[#This Row],[Heimbahn 4]]),2)=1,Eingabe[[#This Row],[S3]],Eingabe[[#This Row],[S2]]),""),""),"")</f>
        <v/>
      </c>
      <c r="AU116" s="89">
        <f>IF(Eingabe[[#This Row],[GES]]="","",IF(Eingabe[[#This Row],[Modus]]="L",_xlfn.RANK.EQ(Eingabe[[#This Row],[GES]],AF111:AF116),IF(Eingabe[[#This Row],[Modus]]="P",_xlfn.RANK.EQ(Eingabe[[#This Row],[GES]],AF111:AF116),"")))</f>
        <v>5</v>
      </c>
      <c r="AV116" s="6">
        <f>VLOOKUP(Eingabe[[#This Row],[Name]],AuswertungG[],8,FALSE)</f>
        <v>510</v>
      </c>
      <c r="AZ116" s="6">
        <f>IFERROR(ABS(Eingabe[[#This Row],[GES]]-Eingabe[[#This Row],[GEGGES]]),"")</f>
        <v>46</v>
      </c>
    </row>
    <row r="117" spans="1:52" ht="16.2" hidden="1" thickBot="1" x14ac:dyDescent="0.35">
      <c r="A117" s="440">
        <f t="shared" ref="A117" si="19">B117</f>
        <v>20</v>
      </c>
      <c r="B117" s="55">
        <f t="shared" si="10"/>
        <v>20</v>
      </c>
      <c r="C117" s="35" t="str">
        <f>VLOOKUP($B117,Chronologie[],7,TRUE)</f>
        <v>Thonberger SC 1931</v>
      </c>
      <c r="D117" s="35" t="str">
        <f>VLOOKUP($B117,Chronologie[],8,TRUE)</f>
        <v>Hirschfeld</v>
      </c>
      <c r="E117" s="36" t="str">
        <f>VLOOKUP($B117,Chronologie[],9,TRUE)</f>
        <v>H</v>
      </c>
      <c r="F117" s="35" t="str">
        <f>VLOOKUP($B117,Chronologie[],COLUMN(F118)-2,TRUE)</f>
        <v>F</v>
      </c>
      <c r="G117" s="35" t="str">
        <f>VLOOKUP($B117,Chronologie[],COLUMN(G118)-2,TRUE)</f>
        <v>L</v>
      </c>
      <c r="H117" s="35">
        <f>VLOOKUP($B117,Chronologie[],COLUMN(H118)-2,TRUE)</f>
        <v>2</v>
      </c>
      <c r="I117" s="9" t="str">
        <f>VLOOKUP($B117,Chronologie[],2,TRUE)</f>
        <v>F-L-2</v>
      </c>
      <c r="J117" s="242">
        <f>VLOOKUP($B117,Chronologie[],3,TRUE)</f>
        <v>45928</v>
      </c>
      <c r="K117" s="236" t="s">
        <v>458</v>
      </c>
      <c r="L117" s="334">
        <v>86</v>
      </c>
      <c r="M117" s="334">
        <v>89</v>
      </c>
      <c r="N117" s="334">
        <v>83</v>
      </c>
      <c r="O117" s="334">
        <v>87</v>
      </c>
      <c r="P117" s="334">
        <v>35</v>
      </c>
      <c r="Q117" s="334">
        <v>35</v>
      </c>
      <c r="R117" s="334">
        <v>50</v>
      </c>
      <c r="S117" s="334">
        <v>41</v>
      </c>
      <c r="T117" s="334">
        <v>2</v>
      </c>
      <c r="U117" s="334">
        <v>1</v>
      </c>
      <c r="V117" s="334">
        <v>0</v>
      </c>
      <c r="W117" s="334">
        <v>2</v>
      </c>
      <c r="X117" s="37">
        <v>1</v>
      </c>
      <c r="Y117" s="37">
        <v>1</v>
      </c>
      <c r="Z117" s="37">
        <v>1</v>
      </c>
      <c r="AA117" s="37">
        <v>1</v>
      </c>
      <c r="AB117" s="90">
        <v>480</v>
      </c>
      <c r="AC117" s="93">
        <f>IF(Eingabe[[#This Row],[V1]]="",IF(Eingabe[[#This Row],[Volle alternativ]]="","",Eingabe[[#This Row],[Volle alternativ]]),SUM(Eingabe[[#This Row],[V1]:[V4]]))</f>
        <v>345</v>
      </c>
      <c r="AD117" s="35">
        <f>IF(Eingabe[[#This Row],[R1]]="",IF(Eingabe[[#This Row],[Räumer alternativ]]="","",Eingabe[[#This Row],[Räumer alternativ]]),SUM(Eingabe[[#This Row],[R1]:[R4]]))</f>
        <v>161</v>
      </c>
      <c r="AE117" s="35">
        <f>IF(Eingabe[[#This Row],[F1]]="",IF(Eingabe[[#This Row],[Fehler alternativ]]="","",Eingabe[[#This Row],[Fehler alternativ]]),SUM(Eingabe[[#This Row],[F1]:[F4]]))</f>
        <v>5</v>
      </c>
      <c r="AF117" s="35">
        <f>IF(Eingabe[[#This Row],[Volle]]="","",IF(Eingabe[[#This Row],[S1]]="",Eingabe[[#This Row],[Volle]]+Eingabe[[#This Row],[Räumer]],IF(Eingabe[[#This Row],[Volle]]+Eingabe[[#This Row],[Räumer]]=Eingabe[[#This Row],[S1]]+Eingabe[[#This Row],[S2]]+Eingabe[[#This Row],[S3]]+Eingabe[[#This Row],[S4]],Eingabe[[#This Row],[Volle]]+Eingabe[[#This Row],[Räumer]],"FEHLER")))</f>
        <v>506</v>
      </c>
      <c r="AG117" s="35">
        <f>IF(Eingabe[[#This Row],[V1]]="","",Eingabe[[#This Row],[V1]]+Eingabe[[#This Row],[R1]])</f>
        <v>121</v>
      </c>
      <c r="AH117" s="35">
        <f>IF(Eingabe[[#This Row],[V2]]="","",Eingabe[[#This Row],[V2]]+Eingabe[[#This Row],[R2]])</f>
        <v>124</v>
      </c>
      <c r="AI117" s="35">
        <f>IF(Eingabe[[#This Row],[V3]]="","",Eingabe[[#This Row],[V3]]+Eingabe[[#This Row],[R3]])</f>
        <v>133</v>
      </c>
      <c r="AJ117" s="35">
        <f>IF(Eingabe[[#This Row],[V4]]="","",Eingabe[[#This Row],[V4]]+Eingabe[[#This Row],[R4]])</f>
        <v>128</v>
      </c>
      <c r="AK117" s="35">
        <f>IF(Eingabe[[#This Row],[S1P]]="","",Eingabe[[#This Row],[S1P]]+Eingabe[[#This Row],[S2P]]+Eingabe[[#This Row],[S3P]]+Eingabe[[#This Row],[S4P]])</f>
        <v>4</v>
      </c>
      <c r="AL117" s="35">
        <f>IF(Eingabe[[#This Row],[S1P]]="","",IF(Eingabe[[#This Row],[SP]]&gt;2,1,IF(Eingabe[[#This Row],[SP]]&lt;2,0,IF(Eingabe[[#This Row],[GES]]&gt;Eingabe[[#This Row],[GEGGES]],1,IF(Eingabe[[#This Row],[GES]]=Eingabe[[#This Row],[GEGGES]],0.5,0)))))</f>
        <v>1</v>
      </c>
      <c r="AM117" s="35">
        <f>IF(Eingabe[[#This Row],[MP]]="","",MOD(ROW(Eingabe[[#This Row],[Position]])-3,6)+1)</f>
        <v>1</v>
      </c>
      <c r="AN117" s="35">
        <f>STANDARDIZE(Eingabe[[#This Row],[GES]],Eingabe[[#This Row],[Schnitt]],VLOOKUP(Eingabe[[#This Row],[Name]],AuswertungG[],21,FALSE))</f>
        <v>-0.1</v>
      </c>
      <c r="AO117" s="35">
        <f>VLOOKUP(Eingabe[[#This Row],[ID]],Chronologie[[ID]:[KW]],12,FALSE)</f>
        <v>5</v>
      </c>
      <c r="AP117" s="58" t="str">
        <f>IF(Eingabe[[#This Row],[Wo]]="H",Eingabe[[#This Row],[Gegner]]&amp;" ["&amp;Eingabe[[#This Row],[Wo]]&amp;"]",Eingabe[[#This Row],[Ort]])</f>
        <v>Thonberger SC 1931 [H]</v>
      </c>
      <c r="AQ117" s="35">
        <f>IFERROR(IF(Eingabe[[#This Row],[Wo]]="H",IF(MOD(Eingabe[[#This Row],[Position]],2)=1,Eingabe[[#This Row],[S1]],Eingabe[[#This Row],[S4]]),""),"")</f>
        <v>121</v>
      </c>
      <c r="AR117" s="35">
        <f>IFERROR(IF(Eingabe[[#This Row],[Wo]]="H",IF(Eingabe[[#This Row],[S1]]&gt;0,IF(MOD(Eingabe[[#This Row],[Position]],2)=1,Eingabe[[#This Row],[S2]],Eingabe[[#This Row],[S3]]),""),""),"")</f>
        <v>124</v>
      </c>
      <c r="AS117" s="35">
        <f>IFERROR(IF(Eingabe[[#This Row],[Wo]]="H",IF(Eingabe[[#This Row],[S1]]&gt;0,IF(MOD(ROW(Eingabe[[#This Row],[Heimbahn 3]]),2)=1,Eingabe[[#This Row],[S4]],Eingabe[[#This Row],[S1]]),""),""),"")</f>
        <v>128</v>
      </c>
      <c r="AT117" s="35">
        <f>IFERROR(IF(Eingabe[[#This Row],[Wo]]="H",IF(Eingabe[[#This Row],[S1]]&gt;0,IF(MOD(ROW(Eingabe[[#This Row],[Heimbahn 4]]),2)=1,Eingabe[[#This Row],[S3]],Eingabe[[#This Row],[S2]]),""),""),"")</f>
        <v>133</v>
      </c>
      <c r="AU117" s="88">
        <f>IF(Eingabe[[#This Row],[GES]]="","",IF(Eingabe[[#This Row],[Modus]]="L",_xlfn.RANK.EQ(Eingabe[[#This Row],[GES]],AF117:AF122),IF(Eingabe[[#This Row],[Modus]]="P",_xlfn.RANK.EQ(Eingabe[[#This Row],[GES]],AF117:AF122),"")))</f>
        <v>2</v>
      </c>
      <c r="AV117" s="6">
        <f>VLOOKUP(Eingabe[[#This Row],[Name]],AuswertungG[],8,FALSE)</f>
        <v>508</v>
      </c>
      <c r="AZ117" s="6">
        <f>IFERROR(ABS(Eingabe[[#This Row],[GES]]-Eingabe[[#This Row],[GEGGES]]),"")</f>
        <v>26</v>
      </c>
    </row>
    <row r="118" spans="1:52" ht="16.2" hidden="1" thickBot="1" x14ac:dyDescent="0.35">
      <c r="A118" s="441"/>
      <c r="B118" s="21">
        <f t="shared" si="10"/>
        <v>20</v>
      </c>
      <c r="C118" s="6" t="str">
        <f>VLOOKUP($B118,Chronologie[],7,TRUE)</f>
        <v>Thonberger SC 1931</v>
      </c>
      <c r="D118" s="6" t="str">
        <f>VLOOKUP($B118,Chronologie[],8,TRUE)</f>
        <v>Hirschfeld</v>
      </c>
      <c r="E118" s="240" t="str">
        <f>VLOOKUP($B118,Chronologie[],9,TRUE)</f>
        <v>H</v>
      </c>
      <c r="F118" s="6" t="str">
        <f>VLOOKUP($B118,Chronologie[],COLUMN(F119)-2,TRUE)</f>
        <v>F</v>
      </c>
      <c r="G118" s="6" t="str">
        <f>VLOOKUP($B118,Chronologie[],COLUMN(G119)-2,TRUE)</f>
        <v>L</v>
      </c>
      <c r="H118" s="6">
        <f>VLOOKUP($B118,Chronologie[],COLUMN(H119)-2,TRUE)</f>
        <v>2</v>
      </c>
      <c r="I118" s="10" t="str">
        <f>VLOOKUP($B118,Chronologie[],2,TRUE)</f>
        <v>F-L-2</v>
      </c>
      <c r="J118" s="243">
        <f>VLOOKUP($B118,Chronologie[],3,TRUE)</f>
        <v>45928</v>
      </c>
      <c r="K118" s="237" t="s">
        <v>474</v>
      </c>
      <c r="L118" s="237">
        <v>77</v>
      </c>
      <c r="M118" s="237">
        <v>75</v>
      </c>
      <c r="N118" s="237">
        <v>85</v>
      </c>
      <c r="O118" s="237">
        <v>87</v>
      </c>
      <c r="P118" s="237">
        <v>26</v>
      </c>
      <c r="Q118" s="237">
        <v>27</v>
      </c>
      <c r="R118" s="237">
        <v>45</v>
      </c>
      <c r="S118" s="237">
        <v>34</v>
      </c>
      <c r="T118" s="237">
        <v>5</v>
      </c>
      <c r="U118" s="237">
        <v>5</v>
      </c>
      <c r="V118" s="237">
        <v>1</v>
      </c>
      <c r="W118" s="237">
        <v>2</v>
      </c>
      <c r="X118" s="38">
        <v>0</v>
      </c>
      <c r="Y118" s="38">
        <v>0</v>
      </c>
      <c r="Z118" s="38">
        <v>0</v>
      </c>
      <c r="AA118" s="38">
        <v>1</v>
      </c>
      <c r="AB118" s="91">
        <v>492</v>
      </c>
      <c r="AC118" s="94">
        <f>IF(Eingabe[[#This Row],[V1]]="",IF(Eingabe[[#This Row],[Volle alternativ]]="","",Eingabe[[#This Row],[Volle alternativ]]),SUM(Eingabe[[#This Row],[V1]:[V4]]))</f>
        <v>324</v>
      </c>
      <c r="AD118" s="6">
        <f>IF(Eingabe[[#This Row],[R1]]="",IF(Eingabe[[#This Row],[Räumer alternativ]]="","",Eingabe[[#This Row],[Räumer alternativ]]),SUM(Eingabe[[#This Row],[R1]:[R4]]))</f>
        <v>132</v>
      </c>
      <c r="AE118" s="6">
        <f>IF(Eingabe[[#This Row],[F1]]="",IF(Eingabe[[#This Row],[Fehler alternativ]]="","",Eingabe[[#This Row],[Fehler alternativ]]),SUM(Eingabe[[#This Row],[F1]:[F4]]))</f>
        <v>13</v>
      </c>
      <c r="AF118" s="6">
        <f>IF(Eingabe[[#This Row],[Volle]]="","",IF(Eingabe[[#This Row],[S1]]="",Eingabe[[#This Row],[Volle]]+Eingabe[[#This Row],[Räumer]],IF(Eingabe[[#This Row],[Volle]]+Eingabe[[#This Row],[Räumer]]=Eingabe[[#This Row],[S1]]+Eingabe[[#This Row],[S2]]+Eingabe[[#This Row],[S3]]+Eingabe[[#This Row],[S4]],Eingabe[[#This Row],[Volle]]+Eingabe[[#This Row],[Räumer]],"FEHLER")))</f>
        <v>456</v>
      </c>
      <c r="AG118" s="6">
        <f>IF(Eingabe[[#This Row],[V1]]="","",Eingabe[[#This Row],[V1]]+Eingabe[[#This Row],[R1]])</f>
        <v>103</v>
      </c>
      <c r="AH118" s="6">
        <f>IF(Eingabe[[#This Row],[V2]]="","",Eingabe[[#This Row],[V2]]+Eingabe[[#This Row],[R2]])</f>
        <v>102</v>
      </c>
      <c r="AI118" s="6">
        <f>IF(Eingabe[[#This Row],[V3]]="","",Eingabe[[#This Row],[V3]]+Eingabe[[#This Row],[R3]])</f>
        <v>130</v>
      </c>
      <c r="AJ118" s="6">
        <f>IF(Eingabe[[#This Row],[V4]]="","",Eingabe[[#This Row],[V4]]+Eingabe[[#This Row],[R4]])</f>
        <v>121</v>
      </c>
      <c r="AK118" s="6">
        <f>IF(Eingabe[[#This Row],[S1P]]="","",Eingabe[[#This Row],[S1P]]+Eingabe[[#This Row],[S2P]]+Eingabe[[#This Row],[S3P]]+Eingabe[[#This Row],[S4P]])</f>
        <v>1</v>
      </c>
      <c r="AL118" s="6">
        <f>IF(Eingabe[[#This Row],[S1P]]="","",IF(Eingabe[[#This Row],[SP]]&gt;2,1,IF(Eingabe[[#This Row],[SP]]&lt;2,0,IF(Eingabe[[#This Row],[GES]]&gt;Eingabe[[#This Row],[GEGGES]],1,IF(Eingabe[[#This Row],[GES]]=Eingabe[[#This Row],[GEGGES]],0.5,0)))))</f>
        <v>0</v>
      </c>
      <c r="AM118" s="6">
        <f>IF(Eingabe[[#This Row],[MP]]="","",MOD(ROW(Eingabe[[#This Row],[Position]])-3,6)+1)</f>
        <v>2</v>
      </c>
      <c r="AN118" s="6">
        <f>STANDARDIZE(Eingabe[[#This Row],[GES]],Eingabe[[#This Row],[Schnitt]],VLOOKUP(Eingabe[[#This Row],[Name]],AuswertungG[],21,FALSE))</f>
        <v>-1.4516129032258065</v>
      </c>
      <c r="AO118" s="6">
        <f>VLOOKUP(Eingabe[[#This Row],[ID]],Chronologie[[ID]:[KW]],12,FALSE)</f>
        <v>5</v>
      </c>
      <c r="AP118" s="95" t="str">
        <f>IF(Eingabe[[#This Row],[Wo]]="H",Eingabe[[#This Row],[Gegner]]&amp;" ["&amp;Eingabe[[#This Row],[Wo]]&amp;"]",Eingabe[[#This Row],[Ort]])</f>
        <v>Thonberger SC 1931 [H]</v>
      </c>
      <c r="AQ118" s="6">
        <f>IFERROR(IF(Eingabe[[#This Row],[Wo]]="H",IF(MOD(Eingabe[[#This Row],[Position]],2)=1,Eingabe[[#This Row],[S1]],Eingabe[[#This Row],[S4]]),""),"")</f>
        <v>121</v>
      </c>
      <c r="AR118" s="6">
        <f>IFERROR(IF(Eingabe[[#This Row],[Wo]]="H",IF(Eingabe[[#This Row],[S1]]&gt;0,IF(MOD(Eingabe[[#This Row],[Position]],2)=1,Eingabe[[#This Row],[S2]],Eingabe[[#This Row],[S3]]),""),""),"")</f>
        <v>130</v>
      </c>
      <c r="AS118" s="6">
        <f>IFERROR(IF(Eingabe[[#This Row],[Wo]]="H",IF(Eingabe[[#This Row],[S1]]&gt;0,IF(MOD(ROW(Eingabe[[#This Row],[Heimbahn 3]]),2)=1,Eingabe[[#This Row],[S4]],Eingabe[[#This Row],[S1]]),""),""),"")</f>
        <v>103</v>
      </c>
      <c r="AT118" s="6">
        <f>IFERROR(IF(Eingabe[[#This Row],[Wo]]="H",IF(Eingabe[[#This Row],[S1]]&gt;0,IF(MOD(ROW(Eingabe[[#This Row],[Heimbahn 4]]),2)=1,Eingabe[[#This Row],[S3]],Eingabe[[#This Row],[S2]]),""),""),"")</f>
        <v>102</v>
      </c>
      <c r="AU118" s="22">
        <f>IF(Eingabe[[#This Row],[GES]]="","",IF(Eingabe[[#This Row],[Modus]]="L",_xlfn.RANK.EQ(Eingabe[[#This Row],[GES]],AF117:AF122),IF(Eingabe[[#This Row],[Modus]]="P",_xlfn.RANK.EQ(Eingabe[[#This Row],[GES]],AF117:AF122),"")))</f>
        <v>6</v>
      </c>
      <c r="AV118" s="6">
        <f>VLOOKUP(Eingabe[[#This Row],[Name]],AuswertungG[],8,FALSE)</f>
        <v>501</v>
      </c>
      <c r="AZ118" s="6">
        <f>IFERROR(ABS(Eingabe[[#This Row],[GES]]-Eingabe[[#This Row],[GEGGES]]),"")</f>
        <v>36</v>
      </c>
    </row>
    <row r="119" spans="1:52" ht="16.2" hidden="1" thickBot="1" x14ac:dyDescent="0.35">
      <c r="A119" s="441"/>
      <c r="B119" s="21">
        <f t="shared" si="10"/>
        <v>20</v>
      </c>
      <c r="C119" s="6" t="str">
        <f>VLOOKUP($B119,Chronologie[],7,TRUE)</f>
        <v>Thonberger SC 1931</v>
      </c>
      <c r="D119" s="6" t="str">
        <f>VLOOKUP($B119,Chronologie[],8,TRUE)</f>
        <v>Hirschfeld</v>
      </c>
      <c r="E119" s="240" t="str">
        <f>VLOOKUP($B119,Chronologie[],9,TRUE)</f>
        <v>H</v>
      </c>
      <c r="F119" s="6" t="str">
        <f>VLOOKUP($B119,Chronologie[],COLUMN(F120)-2,TRUE)</f>
        <v>F</v>
      </c>
      <c r="G119" s="6" t="str">
        <f>VLOOKUP($B119,Chronologie[],COLUMN(G120)-2,TRUE)</f>
        <v>L</v>
      </c>
      <c r="H119" s="6">
        <f>VLOOKUP($B119,Chronologie[],COLUMN(H120)-2,TRUE)</f>
        <v>2</v>
      </c>
      <c r="I119" s="10" t="str">
        <f>VLOOKUP($B119,Chronologie[],2,TRUE)</f>
        <v>F-L-2</v>
      </c>
      <c r="J119" s="243">
        <f>VLOOKUP($B119,Chronologie[],3,TRUE)</f>
        <v>45928</v>
      </c>
      <c r="K119" s="237" t="s">
        <v>15</v>
      </c>
      <c r="L119" s="237">
        <v>91</v>
      </c>
      <c r="M119" s="237">
        <v>93</v>
      </c>
      <c r="N119" s="237">
        <v>83</v>
      </c>
      <c r="O119" s="237">
        <v>92</v>
      </c>
      <c r="P119" s="237">
        <v>45</v>
      </c>
      <c r="Q119" s="237">
        <v>44</v>
      </c>
      <c r="R119" s="237">
        <v>45</v>
      </c>
      <c r="S119" s="237">
        <v>44</v>
      </c>
      <c r="T119" s="237">
        <v>2</v>
      </c>
      <c r="U119" s="237">
        <v>2</v>
      </c>
      <c r="V119" s="237">
        <v>1</v>
      </c>
      <c r="W119" s="237">
        <v>2</v>
      </c>
      <c r="X119" s="38">
        <v>1</v>
      </c>
      <c r="Y119" s="38">
        <v>1</v>
      </c>
      <c r="Z119" s="38">
        <v>1</v>
      </c>
      <c r="AA119" s="38">
        <v>0</v>
      </c>
      <c r="AB119" s="91">
        <v>517</v>
      </c>
      <c r="AC119" s="94">
        <f>IF(Eingabe[[#This Row],[V1]]="",IF(Eingabe[[#This Row],[Volle alternativ]]="","",Eingabe[[#This Row],[Volle alternativ]]),SUM(Eingabe[[#This Row],[V1]:[V4]]))</f>
        <v>359</v>
      </c>
      <c r="AD119" s="6">
        <f>IF(Eingabe[[#This Row],[R1]]="",IF(Eingabe[[#This Row],[Räumer alternativ]]="","",Eingabe[[#This Row],[Räumer alternativ]]),SUM(Eingabe[[#This Row],[R1]:[R4]]))</f>
        <v>178</v>
      </c>
      <c r="AE119" s="6">
        <f>IF(Eingabe[[#This Row],[F1]]="",IF(Eingabe[[#This Row],[Fehler alternativ]]="","",Eingabe[[#This Row],[Fehler alternativ]]),SUM(Eingabe[[#This Row],[F1]:[F4]]))</f>
        <v>7</v>
      </c>
      <c r="AF119" s="6">
        <f>IF(Eingabe[[#This Row],[Volle]]="","",IF(Eingabe[[#This Row],[S1]]="",Eingabe[[#This Row],[Volle]]+Eingabe[[#This Row],[Räumer]],IF(Eingabe[[#This Row],[Volle]]+Eingabe[[#This Row],[Räumer]]=Eingabe[[#This Row],[S1]]+Eingabe[[#This Row],[S2]]+Eingabe[[#This Row],[S3]]+Eingabe[[#This Row],[S4]],Eingabe[[#This Row],[Volle]]+Eingabe[[#This Row],[Räumer]],"FEHLER")))</f>
        <v>537</v>
      </c>
      <c r="AG119" s="6">
        <f>IF(Eingabe[[#This Row],[V1]]="","",Eingabe[[#This Row],[V1]]+Eingabe[[#This Row],[R1]])</f>
        <v>136</v>
      </c>
      <c r="AH119" s="6">
        <f>IF(Eingabe[[#This Row],[V2]]="","",Eingabe[[#This Row],[V2]]+Eingabe[[#This Row],[R2]])</f>
        <v>137</v>
      </c>
      <c r="AI119" s="6">
        <f>IF(Eingabe[[#This Row],[V3]]="","",Eingabe[[#This Row],[V3]]+Eingabe[[#This Row],[R3]])</f>
        <v>128</v>
      </c>
      <c r="AJ119" s="6">
        <f>IF(Eingabe[[#This Row],[V4]]="","",Eingabe[[#This Row],[V4]]+Eingabe[[#This Row],[R4]])</f>
        <v>136</v>
      </c>
      <c r="AK119" s="6">
        <f>IF(Eingabe[[#This Row],[S1P]]="","",Eingabe[[#This Row],[S1P]]+Eingabe[[#This Row],[S2P]]+Eingabe[[#This Row],[S3P]]+Eingabe[[#This Row],[S4P]])</f>
        <v>3</v>
      </c>
      <c r="AL119" s="6">
        <f>IF(Eingabe[[#This Row],[S1P]]="","",IF(Eingabe[[#This Row],[SP]]&gt;2,1,IF(Eingabe[[#This Row],[SP]]&lt;2,0,IF(Eingabe[[#This Row],[GES]]&gt;Eingabe[[#This Row],[GEGGES]],1,IF(Eingabe[[#This Row],[GES]]=Eingabe[[#This Row],[GEGGES]],0.5,0)))))</f>
        <v>1</v>
      </c>
      <c r="AM119" s="6">
        <f>IF(Eingabe[[#This Row],[MP]]="","",MOD(ROW(Eingabe[[#This Row],[Position]])-3,6)+1)</f>
        <v>3</v>
      </c>
      <c r="AN119" s="6">
        <f>STANDARDIZE(Eingabe[[#This Row],[GES]],Eingabe[[#This Row],[Schnitt]],VLOOKUP(Eingabe[[#This Row],[Name]],AuswertungG[],21,FALSE))</f>
        <v>1.3409090909090908</v>
      </c>
      <c r="AO119" s="6">
        <f>VLOOKUP(Eingabe[[#This Row],[ID]],Chronologie[[ID]:[KW]],12,FALSE)</f>
        <v>5</v>
      </c>
      <c r="AP119" s="95" t="str">
        <f>IF(Eingabe[[#This Row],[Wo]]="H",Eingabe[[#This Row],[Gegner]]&amp;" ["&amp;Eingabe[[#This Row],[Wo]]&amp;"]",Eingabe[[#This Row],[Ort]])</f>
        <v>Thonberger SC 1931 [H]</v>
      </c>
      <c r="AQ119" s="6">
        <f>IFERROR(IF(Eingabe[[#This Row],[Wo]]="H",IF(MOD(Eingabe[[#This Row],[Position]],2)=1,Eingabe[[#This Row],[S1]],Eingabe[[#This Row],[S4]]),""),"")</f>
        <v>136</v>
      </c>
      <c r="AR119" s="6">
        <f>IFERROR(IF(Eingabe[[#This Row],[Wo]]="H",IF(Eingabe[[#This Row],[S1]]&gt;0,IF(MOD(Eingabe[[#This Row],[Position]],2)=1,Eingabe[[#This Row],[S2]],Eingabe[[#This Row],[S3]]),""),""),"")</f>
        <v>137</v>
      </c>
      <c r="AS119" s="6">
        <f>IFERROR(IF(Eingabe[[#This Row],[Wo]]="H",IF(Eingabe[[#This Row],[S1]]&gt;0,IF(MOD(ROW(Eingabe[[#This Row],[Heimbahn 3]]),2)=1,Eingabe[[#This Row],[S4]],Eingabe[[#This Row],[S1]]),""),""),"")</f>
        <v>136</v>
      </c>
      <c r="AT119" s="6">
        <f>IFERROR(IF(Eingabe[[#This Row],[Wo]]="H",IF(Eingabe[[#This Row],[S1]]&gt;0,IF(MOD(ROW(Eingabe[[#This Row],[Heimbahn 4]]),2)=1,Eingabe[[#This Row],[S3]],Eingabe[[#This Row],[S2]]),""),""),"")</f>
        <v>128</v>
      </c>
      <c r="AU119" s="22">
        <f>IF(Eingabe[[#This Row],[GES]]="","",IF(Eingabe[[#This Row],[Modus]]="L",_xlfn.RANK.EQ(Eingabe[[#This Row],[GES]],AF117:AF122),IF(Eingabe[[#This Row],[Modus]]="P",_xlfn.RANK.EQ(Eingabe[[#This Row],[GES]],AF117:AF122),"")))</f>
        <v>1</v>
      </c>
      <c r="AV119" s="6">
        <f>VLOOKUP(Eingabe[[#This Row],[Name]],AuswertungG[],8,FALSE)</f>
        <v>478</v>
      </c>
      <c r="AZ119" s="6">
        <f>IFERROR(ABS(Eingabe[[#This Row],[GES]]-Eingabe[[#This Row],[GEGGES]]),"")</f>
        <v>20</v>
      </c>
    </row>
    <row r="120" spans="1:52" ht="16.2" hidden="1" thickBot="1" x14ac:dyDescent="0.35">
      <c r="A120" s="441"/>
      <c r="B120" s="21">
        <f t="shared" si="10"/>
        <v>20</v>
      </c>
      <c r="C120" s="6" t="str">
        <f>VLOOKUP($B120,Chronologie[],7,TRUE)</f>
        <v>Thonberger SC 1931</v>
      </c>
      <c r="D120" s="6" t="str">
        <f>VLOOKUP($B120,Chronologie[],8,TRUE)</f>
        <v>Hirschfeld</v>
      </c>
      <c r="E120" s="240" t="str">
        <f>VLOOKUP($B120,Chronologie[],9,TRUE)</f>
        <v>H</v>
      </c>
      <c r="F120" s="6" t="str">
        <f>VLOOKUP($B120,Chronologie[],COLUMN(F121)-2,TRUE)</f>
        <v>F</v>
      </c>
      <c r="G120" s="6" t="str">
        <f>VLOOKUP($B120,Chronologie[],COLUMN(G121)-2,TRUE)</f>
        <v>L</v>
      </c>
      <c r="H120" s="6">
        <f>VLOOKUP($B120,Chronologie[],COLUMN(H121)-2,TRUE)</f>
        <v>2</v>
      </c>
      <c r="I120" s="10" t="str">
        <f>VLOOKUP($B120,Chronologie[],2,TRUE)</f>
        <v>F-L-2</v>
      </c>
      <c r="J120" s="243">
        <f>VLOOKUP($B120,Chronologie[],3,TRUE)</f>
        <v>45928</v>
      </c>
      <c r="K120" s="238" t="s">
        <v>494</v>
      </c>
      <c r="L120" s="237">
        <v>84</v>
      </c>
      <c r="M120" s="237">
        <v>93</v>
      </c>
      <c r="N120" s="237">
        <v>80</v>
      </c>
      <c r="O120" s="237">
        <v>83</v>
      </c>
      <c r="P120" s="237">
        <v>33</v>
      </c>
      <c r="Q120" s="237">
        <v>34</v>
      </c>
      <c r="R120" s="237">
        <v>35</v>
      </c>
      <c r="S120" s="237">
        <v>35</v>
      </c>
      <c r="T120" s="237">
        <v>4</v>
      </c>
      <c r="U120" s="237">
        <v>4</v>
      </c>
      <c r="V120" s="237">
        <v>3</v>
      </c>
      <c r="W120" s="237">
        <v>2</v>
      </c>
      <c r="X120" s="38">
        <v>0</v>
      </c>
      <c r="Y120" s="38">
        <v>1</v>
      </c>
      <c r="Z120" s="38">
        <v>0</v>
      </c>
      <c r="AA120" s="38">
        <v>1</v>
      </c>
      <c r="AB120" s="91">
        <v>485</v>
      </c>
      <c r="AC120" s="94">
        <f>IF(Eingabe[[#This Row],[V1]]="",IF(Eingabe[[#This Row],[Volle alternativ]]="","",Eingabe[[#This Row],[Volle alternativ]]),SUM(Eingabe[[#This Row],[V1]:[V4]]))</f>
        <v>340</v>
      </c>
      <c r="AD120" s="6">
        <f>IF(Eingabe[[#This Row],[R1]]="",IF(Eingabe[[#This Row],[Räumer alternativ]]="","",Eingabe[[#This Row],[Räumer alternativ]]),SUM(Eingabe[[#This Row],[R1]:[R4]]))</f>
        <v>137</v>
      </c>
      <c r="AE120" s="6">
        <f>IF(Eingabe[[#This Row],[F1]]="",IF(Eingabe[[#This Row],[Fehler alternativ]]="","",Eingabe[[#This Row],[Fehler alternativ]]),SUM(Eingabe[[#This Row],[F1]:[F4]]))</f>
        <v>13</v>
      </c>
      <c r="AF120" s="6">
        <f>IF(Eingabe[[#This Row],[Volle]]="","",IF(Eingabe[[#This Row],[S1]]="",Eingabe[[#This Row],[Volle]]+Eingabe[[#This Row],[Räumer]],IF(Eingabe[[#This Row],[Volle]]+Eingabe[[#This Row],[Räumer]]=Eingabe[[#This Row],[S1]]+Eingabe[[#This Row],[S2]]+Eingabe[[#This Row],[S3]]+Eingabe[[#This Row],[S4]],Eingabe[[#This Row],[Volle]]+Eingabe[[#This Row],[Räumer]],"FEHLER")))</f>
        <v>477</v>
      </c>
      <c r="AG120" s="6">
        <f>IF(Eingabe[[#This Row],[V1]]="","",Eingabe[[#This Row],[V1]]+Eingabe[[#This Row],[R1]])</f>
        <v>117</v>
      </c>
      <c r="AH120" s="6">
        <f>IF(Eingabe[[#This Row],[V2]]="","",Eingabe[[#This Row],[V2]]+Eingabe[[#This Row],[R2]])</f>
        <v>127</v>
      </c>
      <c r="AI120" s="6">
        <f>IF(Eingabe[[#This Row],[V3]]="","",Eingabe[[#This Row],[V3]]+Eingabe[[#This Row],[R3]])</f>
        <v>115</v>
      </c>
      <c r="AJ120" s="6">
        <f>IF(Eingabe[[#This Row],[V4]]="","",Eingabe[[#This Row],[V4]]+Eingabe[[#This Row],[R4]])</f>
        <v>118</v>
      </c>
      <c r="AK120" s="6">
        <f>IF(Eingabe[[#This Row],[S1P]]="","",Eingabe[[#This Row],[S1P]]+Eingabe[[#This Row],[S2P]]+Eingabe[[#This Row],[S3P]]+Eingabe[[#This Row],[S4P]])</f>
        <v>2</v>
      </c>
      <c r="AL120" s="6">
        <f>IF(Eingabe[[#This Row],[S1P]]="","",IF(Eingabe[[#This Row],[SP]]&gt;2,1,IF(Eingabe[[#This Row],[SP]]&lt;2,0,IF(Eingabe[[#This Row],[GES]]&gt;Eingabe[[#This Row],[GEGGES]],1,IF(Eingabe[[#This Row],[GES]]=Eingabe[[#This Row],[GEGGES]],0.5,0)))))</f>
        <v>0</v>
      </c>
      <c r="AM120" s="6">
        <f>IF(Eingabe[[#This Row],[MP]]="","",MOD(ROW(Eingabe[[#This Row],[Position]])-3,6)+1)</f>
        <v>4</v>
      </c>
      <c r="AN120" s="6" t="e">
        <f>STANDARDIZE(Eingabe[[#This Row],[GES]],Eingabe[[#This Row],[Schnitt]],VLOOKUP(Eingabe[[#This Row],[Name]],AuswertungG[],21,FALSE))</f>
        <v>#VALUE!</v>
      </c>
      <c r="AO120" s="6">
        <f>VLOOKUP(Eingabe[[#This Row],[ID]],Chronologie[[ID]:[KW]],12,FALSE)</f>
        <v>5</v>
      </c>
      <c r="AP120" s="95" t="str">
        <f>IF(Eingabe[[#This Row],[Wo]]="H",Eingabe[[#This Row],[Gegner]]&amp;" ["&amp;Eingabe[[#This Row],[Wo]]&amp;"]",Eingabe[[#This Row],[Ort]])</f>
        <v>Thonberger SC 1931 [H]</v>
      </c>
      <c r="AQ120" s="6">
        <f>IFERROR(IF(Eingabe[[#This Row],[Wo]]="H",IF(MOD(Eingabe[[#This Row],[Position]],2)=1,Eingabe[[#This Row],[S1]],Eingabe[[#This Row],[S4]]),""),"")</f>
        <v>118</v>
      </c>
      <c r="AR120" s="6">
        <f>IFERROR(IF(Eingabe[[#This Row],[Wo]]="H",IF(Eingabe[[#This Row],[S1]]&gt;0,IF(MOD(Eingabe[[#This Row],[Position]],2)=1,Eingabe[[#This Row],[S2]],Eingabe[[#This Row],[S3]]),""),""),"")</f>
        <v>115</v>
      </c>
      <c r="AS120" s="6">
        <f>IFERROR(IF(Eingabe[[#This Row],[Wo]]="H",IF(Eingabe[[#This Row],[S1]]&gt;0,IF(MOD(ROW(Eingabe[[#This Row],[Heimbahn 3]]),2)=1,Eingabe[[#This Row],[S4]],Eingabe[[#This Row],[S1]]),""),""),"")</f>
        <v>117</v>
      </c>
      <c r="AT120" s="6">
        <f>IFERROR(IF(Eingabe[[#This Row],[Wo]]="H",IF(Eingabe[[#This Row],[S1]]&gt;0,IF(MOD(ROW(Eingabe[[#This Row],[Heimbahn 4]]),2)=1,Eingabe[[#This Row],[S3]],Eingabe[[#This Row],[S2]]),""),""),"")</f>
        <v>127</v>
      </c>
      <c r="AU120" s="22">
        <f>IF(Eingabe[[#This Row],[GES]]="","",IF(Eingabe[[#This Row],[Modus]]="L",_xlfn.RANK.EQ(Eingabe[[#This Row],[GES]],AF117:AF122),IF(Eingabe[[#This Row],[Modus]]="P",_xlfn.RANK.EQ(Eingabe[[#This Row],[GES]],AF117:AF122),"")))</f>
        <v>5</v>
      </c>
      <c r="AV120" s="6">
        <f>VLOOKUP(Eingabe[[#This Row],[Name]],AuswertungG[],8,FALSE)</f>
        <v>477</v>
      </c>
      <c r="AZ120" s="6">
        <f>IFERROR(ABS(Eingabe[[#This Row],[GES]]-Eingabe[[#This Row],[GEGGES]]),"")</f>
        <v>8</v>
      </c>
    </row>
    <row r="121" spans="1:52" ht="16.2" hidden="1" thickBot="1" x14ac:dyDescent="0.35">
      <c r="A121" s="441"/>
      <c r="B121" s="21">
        <f t="shared" si="10"/>
        <v>20</v>
      </c>
      <c r="C121" s="6" t="str">
        <f>VLOOKUP($B121,Chronologie[],7,TRUE)</f>
        <v>Thonberger SC 1931</v>
      </c>
      <c r="D121" s="6" t="str">
        <f>VLOOKUP($B121,Chronologie[],8,TRUE)</f>
        <v>Hirschfeld</v>
      </c>
      <c r="E121" s="240" t="str">
        <f>VLOOKUP($B121,Chronologie[],9,TRUE)</f>
        <v>H</v>
      </c>
      <c r="F121" s="6" t="str">
        <f>VLOOKUP($B121,Chronologie[],COLUMN(F122)-2,TRUE)</f>
        <v>F</v>
      </c>
      <c r="G121" s="6" t="str">
        <f>VLOOKUP($B121,Chronologie[],COLUMN(G122)-2,TRUE)</f>
        <v>L</v>
      </c>
      <c r="H121" s="6">
        <f>VLOOKUP($B121,Chronologie[],COLUMN(H122)-2,TRUE)</f>
        <v>2</v>
      </c>
      <c r="I121" s="10" t="str">
        <f>VLOOKUP($B121,Chronologie[],2,TRUE)</f>
        <v>F-L-2</v>
      </c>
      <c r="J121" s="243">
        <f>VLOOKUP($B121,Chronologie[],3,TRUE)</f>
        <v>45928</v>
      </c>
      <c r="K121" s="237" t="s">
        <v>480</v>
      </c>
      <c r="L121" s="237">
        <v>92</v>
      </c>
      <c r="M121" s="237">
        <v>82</v>
      </c>
      <c r="N121" s="237">
        <v>88</v>
      </c>
      <c r="O121" s="237">
        <v>90</v>
      </c>
      <c r="P121" s="237">
        <v>27</v>
      </c>
      <c r="Q121" s="237">
        <v>54</v>
      </c>
      <c r="R121" s="237">
        <v>44</v>
      </c>
      <c r="S121" s="237">
        <v>26</v>
      </c>
      <c r="T121" s="237">
        <v>3</v>
      </c>
      <c r="U121" s="237">
        <v>1</v>
      </c>
      <c r="V121" s="237">
        <v>1</v>
      </c>
      <c r="W121" s="237">
        <v>5</v>
      </c>
      <c r="X121" s="38">
        <v>0</v>
      </c>
      <c r="Y121" s="38">
        <v>1</v>
      </c>
      <c r="Z121" s="38">
        <v>1</v>
      </c>
      <c r="AA121" s="38">
        <v>0</v>
      </c>
      <c r="AB121" s="91">
        <v>513</v>
      </c>
      <c r="AC121" s="94">
        <f>IF(Eingabe[[#This Row],[V1]]="",IF(Eingabe[[#This Row],[Volle alternativ]]="","",Eingabe[[#This Row],[Volle alternativ]]),SUM(Eingabe[[#This Row],[V1]:[V4]]))</f>
        <v>352</v>
      </c>
      <c r="AD121" s="6">
        <f>IF(Eingabe[[#This Row],[R1]]="",IF(Eingabe[[#This Row],[Räumer alternativ]]="","",Eingabe[[#This Row],[Räumer alternativ]]),SUM(Eingabe[[#This Row],[R1]:[R4]]))</f>
        <v>151</v>
      </c>
      <c r="AE121" s="6">
        <f>IF(Eingabe[[#This Row],[F1]]="",IF(Eingabe[[#This Row],[Fehler alternativ]]="","",Eingabe[[#This Row],[Fehler alternativ]]),SUM(Eingabe[[#This Row],[F1]:[F4]]))</f>
        <v>10</v>
      </c>
      <c r="AF121" s="6">
        <f>IF(Eingabe[[#This Row],[Volle]]="","",IF(Eingabe[[#This Row],[S1]]="",Eingabe[[#This Row],[Volle]]+Eingabe[[#This Row],[Räumer]],IF(Eingabe[[#This Row],[Volle]]+Eingabe[[#This Row],[Räumer]]=Eingabe[[#This Row],[S1]]+Eingabe[[#This Row],[S2]]+Eingabe[[#This Row],[S3]]+Eingabe[[#This Row],[S4]],Eingabe[[#This Row],[Volle]]+Eingabe[[#This Row],[Räumer]],"FEHLER")))</f>
        <v>503</v>
      </c>
      <c r="AG121" s="6">
        <f>IF(Eingabe[[#This Row],[V1]]="","",Eingabe[[#This Row],[V1]]+Eingabe[[#This Row],[R1]])</f>
        <v>119</v>
      </c>
      <c r="AH121" s="6">
        <f>IF(Eingabe[[#This Row],[V2]]="","",Eingabe[[#This Row],[V2]]+Eingabe[[#This Row],[R2]])</f>
        <v>136</v>
      </c>
      <c r="AI121" s="6">
        <f>IF(Eingabe[[#This Row],[V3]]="","",Eingabe[[#This Row],[V3]]+Eingabe[[#This Row],[R3]])</f>
        <v>132</v>
      </c>
      <c r="AJ121" s="6">
        <f>IF(Eingabe[[#This Row],[V4]]="","",Eingabe[[#This Row],[V4]]+Eingabe[[#This Row],[R4]])</f>
        <v>116</v>
      </c>
      <c r="AK121" s="6">
        <f>IF(Eingabe[[#This Row],[S1P]]="","",Eingabe[[#This Row],[S1P]]+Eingabe[[#This Row],[S2P]]+Eingabe[[#This Row],[S3P]]+Eingabe[[#This Row],[S4P]])</f>
        <v>2</v>
      </c>
      <c r="AL121" s="6">
        <f>IF(Eingabe[[#This Row],[S1P]]="","",IF(Eingabe[[#This Row],[SP]]&gt;2,1,IF(Eingabe[[#This Row],[SP]]&lt;2,0,IF(Eingabe[[#This Row],[GES]]&gt;Eingabe[[#This Row],[GEGGES]],1,IF(Eingabe[[#This Row],[GES]]=Eingabe[[#This Row],[GEGGES]],0.5,0)))))</f>
        <v>0</v>
      </c>
      <c r="AM121" s="6">
        <f>IF(Eingabe[[#This Row],[MP]]="","",MOD(ROW(Eingabe[[#This Row],[Position]])-3,6)+1)</f>
        <v>5</v>
      </c>
      <c r="AN121" s="6">
        <f>STANDARDIZE(Eingabe[[#This Row],[GES]],Eingabe[[#This Row],[Schnitt]],VLOOKUP(Eingabe[[#This Row],[Name]],AuswertungG[],21,FALSE))</f>
        <v>-0.5</v>
      </c>
      <c r="AO121" s="6">
        <f>VLOOKUP(Eingabe[[#This Row],[ID]],Chronologie[[ID]:[KW]],12,FALSE)</f>
        <v>5</v>
      </c>
      <c r="AP121" s="95" t="str">
        <f>IF(Eingabe[[#This Row],[Wo]]="H",Eingabe[[#This Row],[Gegner]]&amp;" ["&amp;Eingabe[[#This Row],[Wo]]&amp;"]",Eingabe[[#This Row],[Ort]])</f>
        <v>Thonberger SC 1931 [H]</v>
      </c>
      <c r="AQ121" s="6">
        <f>IFERROR(IF(Eingabe[[#This Row],[Wo]]="H",IF(MOD(Eingabe[[#This Row],[Position]],2)=1,Eingabe[[#This Row],[S1]],Eingabe[[#This Row],[S4]]),""),"")</f>
        <v>119</v>
      </c>
      <c r="AR121" s="6">
        <f>IFERROR(IF(Eingabe[[#This Row],[Wo]]="H",IF(Eingabe[[#This Row],[S1]]&gt;0,IF(MOD(Eingabe[[#This Row],[Position]],2)=1,Eingabe[[#This Row],[S2]],Eingabe[[#This Row],[S3]]),""),""),"")</f>
        <v>136</v>
      </c>
      <c r="AS121" s="6">
        <f>IFERROR(IF(Eingabe[[#This Row],[Wo]]="H",IF(Eingabe[[#This Row],[S1]]&gt;0,IF(MOD(ROW(Eingabe[[#This Row],[Heimbahn 3]]),2)=1,Eingabe[[#This Row],[S4]],Eingabe[[#This Row],[S1]]),""),""),"")</f>
        <v>116</v>
      </c>
      <c r="AT121" s="6">
        <f>IFERROR(IF(Eingabe[[#This Row],[Wo]]="H",IF(Eingabe[[#This Row],[S1]]&gt;0,IF(MOD(ROW(Eingabe[[#This Row],[Heimbahn 4]]),2)=1,Eingabe[[#This Row],[S3]],Eingabe[[#This Row],[S2]]),""),""),"")</f>
        <v>132</v>
      </c>
      <c r="AU121" s="22">
        <f>IF(Eingabe[[#This Row],[GES]]="","",IF(Eingabe[[#This Row],[Modus]]="L",_xlfn.RANK.EQ(Eingabe[[#This Row],[GES]],AF117:AF122),IF(Eingabe[[#This Row],[Modus]]="P",_xlfn.RANK.EQ(Eingabe[[#This Row],[GES]],AF117:AF122),"")))</f>
        <v>3</v>
      </c>
      <c r="AV121" s="6">
        <f>VLOOKUP(Eingabe[[#This Row],[Name]],AuswertungG[],8,FALSE)</f>
        <v>509</v>
      </c>
      <c r="AZ121" s="6">
        <f>IFERROR(ABS(Eingabe[[#This Row],[GES]]-Eingabe[[#This Row],[GEGGES]]),"")</f>
        <v>10</v>
      </c>
    </row>
    <row r="122" spans="1:52" ht="16.2" hidden="1" thickBot="1" x14ac:dyDescent="0.35">
      <c r="A122" s="442"/>
      <c r="B122" s="56">
        <f t="shared" si="10"/>
        <v>20</v>
      </c>
      <c r="C122" s="23" t="str">
        <f>VLOOKUP($B122,Chronologie[],7,TRUE)</f>
        <v>Thonberger SC 1931</v>
      </c>
      <c r="D122" s="23" t="str">
        <f>VLOOKUP($B122,Chronologie[],8,TRUE)</f>
        <v>Hirschfeld</v>
      </c>
      <c r="E122" s="39" t="str">
        <f>VLOOKUP($B122,Chronologie[],9,TRUE)</f>
        <v>H</v>
      </c>
      <c r="F122" s="23" t="str">
        <f>VLOOKUP($B122,Chronologie[],COLUMN(F123)-2,TRUE)</f>
        <v>F</v>
      </c>
      <c r="G122" s="23" t="str">
        <f>VLOOKUP($B122,Chronologie[],COLUMN(G123)-2,TRUE)</f>
        <v>L</v>
      </c>
      <c r="H122" s="23">
        <f>VLOOKUP($B122,Chronologie[],COLUMN(H123)-2,TRUE)</f>
        <v>2</v>
      </c>
      <c r="I122" s="13" t="str">
        <f>VLOOKUP($B122,Chronologie[],2,TRUE)</f>
        <v>F-L-2</v>
      </c>
      <c r="J122" s="244">
        <f>VLOOKUP($B122,Chronologie[],3,TRUE)</f>
        <v>45928</v>
      </c>
      <c r="K122" s="239" t="s">
        <v>492</v>
      </c>
      <c r="L122" s="239">
        <v>89</v>
      </c>
      <c r="M122" s="239">
        <v>88</v>
      </c>
      <c r="N122" s="239">
        <v>80</v>
      </c>
      <c r="O122" s="239">
        <v>83</v>
      </c>
      <c r="P122" s="239">
        <v>43</v>
      </c>
      <c r="Q122" s="239">
        <v>35</v>
      </c>
      <c r="R122" s="239">
        <v>35</v>
      </c>
      <c r="S122" s="239">
        <v>44</v>
      </c>
      <c r="T122" s="239">
        <v>0</v>
      </c>
      <c r="U122" s="239">
        <v>4</v>
      </c>
      <c r="V122" s="239">
        <v>2</v>
      </c>
      <c r="W122" s="239">
        <v>2</v>
      </c>
      <c r="X122" s="40">
        <v>1</v>
      </c>
      <c r="Y122" s="40">
        <v>1</v>
      </c>
      <c r="Z122" s="40">
        <v>0</v>
      </c>
      <c r="AA122" s="40">
        <v>1</v>
      </c>
      <c r="AB122" s="92">
        <v>451</v>
      </c>
      <c r="AC122" s="96">
        <f>IF(Eingabe[[#This Row],[V1]]="",IF(Eingabe[[#This Row],[Volle alternativ]]="","",Eingabe[[#This Row],[Volle alternativ]]),SUM(Eingabe[[#This Row],[V1]:[V4]]))</f>
        <v>340</v>
      </c>
      <c r="AD122" s="23">
        <f>IF(Eingabe[[#This Row],[R1]]="",IF(Eingabe[[#This Row],[Räumer alternativ]]="","",Eingabe[[#This Row],[Räumer alternativ]]),SUM(Eingabe[[#This Row],[R1]:[R4]]))</f>
        <v>157</v>
      </c>
      <c r="AE122" s="23">
        <f>IF(Eingabe[[#This Row],[F1]]="",IF(Eingabe[[#This Row],[Fehler alternativ]]="","",Eingabe[[#This Row],[Fehler alternativ]]),SUM(Eingabe[[#This Row],[F1]:[F4]]))</f>
        <v>8</v>
      </c>
      <c r="AF122" s="23">
        <f>IF(Eingabe[[#This Row],[Volle]]="","",IF(Eingabe[[#This Row],[S1]]="",Eingabe[[#This Row],[Volle]]+Eingabe[[#This Row],[Räumer]],IF(Eingabe[[#This Row],[Volle]]+Eingabe[[#This Row],[Räumer]]=Eingabe[[#This Row],[S1]]+Eingabe[[#This Row],[S2]]+Eingabe[[#This Row],[S3]]+Eingabe[[#This Row],[S4]],Eingabe[[#This Row],[Volle]]+Eingabe[[#This Row],[Räumer]],"FEHLER")))</f>
        <v>497</v>
      </c>
      <c r="AG122" s="23">
        <f>IF(Eingabe[[#This Row],[V1]]="","",Eingabe[[#This Row],[V1]]+Eingabe[[#This Row],[R1]])</f>
        <v>132</v>
      </c>
      <c r="AH122" s="23">
        <f>IF(Eingabe[[#This Row],[V2]]="","",Eingabe[[#This Row],[V2]]+Eingabe[[#This Row],[R2]])</f>
        <v>123</v>
      </c>
      <c r="AI122" s="23">
        <f>IF(Eingabe[[#This Row],[V3]]="","",Eingabe[[#This Row],[V3]]+Eingabe[[#This Row],[R3]])</f>
        <v>115</v>
      </c>
      <c r="AJ122" s="23">
        <f>IF(Eingabe[[#This Row],[V4]]="","",Eingabe[[#This Row],[V4]]+Eingabe[[#This Row],[R4]])</f>
        <v>127</v>
      </c>
      <c r="AK122" s="23">
        <f>IF(Eingabe[[#This Row],[S1P]]="","",Eingabe[[#This Row],[S1P]]+Eingabe[[#This Row],[S2P]]+Eingabe[[#This Row],[S3P]]+Eingabe[[#This Row],[S4P]])</f>
        <v>3</v>
      </c>
      <c r="AL122" s="23">
        <f>IF(Eingabe[[#This Row],[S1P]]="","",IF(Eingabe[[#This Row],[SP]]&gt;2,1,IF(Eingabe[[#This Row],[SP]]&lt;2,0,IF(Eingabe[[#This Row],[GES]]&gt;Eingabe[[#This Row],[GEGGES]],1,IF(Eingabe[[#This Row],[GES]]=Eingabe[[#This Row],[GEGGES]],0.5,0)))))</f>
        <v>1</v>
      </c>
      <c r="AM122" s="23">
        <f>IF(Eingabe[[#This Row],[MP]]="","",MOD(ROW(Eingabe[[#This Row],[Position]])-3,6)+1)</f>
        <v>6</v>
      </c>
      <c r="AN122" s="23">
        <f>STANDARDIZE(Eingabe[[#This Row],[GES]],Eingabe[[#This Row],[Schnitt]],VLOOKUP(Eingabe[[#This Row],[Name]],AuswertungG[],21,FALSE))</f>
        <v>-1</v>
      </c>
      <c r="AO122" s="23">
        <f>VLOOKUP(Eingabe[[#This Row],[ID]],Chronologie[[ID]:[KW]],12,FALSE)</f>
        <v>5</v>
      </c>
      <c r="AP122" s="59" t="str">
        <f>IF(Eingabe[[#This Row],[Wo]]="H",Eingabe[[#This Row],[Gegner]]&amp;" ["&amp;Eingabe[[#This Row],[Wo]]&amp;"]",Eingabe[[#This Row],[Ort]])</f>
        <v>Thonberger SC 1931 [H]</v>
      </c>
      <c r="AQ122" s="23">
        <f>IFERROR(IF(Eingabe[[#This Row],[Wo]]="H",IF(MOD(Eingabe[[#This Row],[Position]],2)=1,Eingabe[[#This Row],[S1]],Eingabe[[#This Row],[S4]]),""),"")</f>
        <v>127</v>
      </c>
      <c r="AR122" s="23">
        <f>IFERROR(IF(Eingabe[[#This Row],[Wo]]="H",IF(Eingabe[[#This Row],[S1]]&gt;0,IF(MOD(Eingabe[[#This Row],[Position]],2)=1,Eingabe[[#This Row],[S2]],Eingabe[[#This Row],[S3]]),""),""),"")</f>
        <v>115</v>
      </c>
      <c r="AS122" s="23">
        <f>IFERROR(IF(Eingabe[[#This Row],[Wo]]="H",IF(Eingabe[[#This Row],[S1]]&gt;0,IF(MOD(ROW(Eingabe[[#This Row],[Heimbahn 3]]),2)=1,Eingabe[[#This Row],[S4]],Eingabe[[#This Row],[S1]]),""),""),"")</f>
        <v>132</v>
      </c>
      <c r="AT122" s="23">
        <f>IFERROR(IF(Eingabe[[#This Row],[Wo]]="H",IF(Eingabe[[#This Row],[S1]]&gt;0,IF(MOD(ROW(Eingabe[[#This Row],[Heimbahn 4]]),2)=1,Eingabe[[#This Row],[S3]],Eingabe[[#This Row],[S2]]),""),""),"")</f>
        <v>123</v>
      </c>
      <c r="AU122" s="89">
        <f>IF(Eingabe[[#This Row],[GES]]="","",IF(Eingabe[[#This Row],[Modus]]="L",_xlfn.RANK.EQ(Eingabe[[#This Row],[GES]],AF117:AF122),IF(Eingabe[[#This Row],[Modus]]="P",_xlfn.RANK.EQ(Eingabe[[#This Row],[GES]],AF117:AF122),"")))</f>
        <v>4</v>
      </c>
      <c r="AV122" s="6">
        <f>VLOOKUP(Eingabe[[#This Row],[Name]],AuswertungG[],8,FALSE)</f>
        <v>520</v>
      </c>
      <c r="AZ122" s="6">
        <f>IFERROR(ABS(Eingabe[[#This Row],[GES]]-Eingabe[[#This Row],[GEGGES]]),"")</f>
        <v>46</v>
      </c>
    </row>
    <row r="123" spans="1:52" ht="16.2" hidden="1" thickBot="1" x14ac:dyDescent="0.35">
      <c r="A123" s="440">
        <f t="shared" ref="A123" si="20">B123</f>
        <v>21</v>
      </c>
      <c r="B123" s="55">
        <f t="shared" si="10"/>
        <v>21</v>
      </c>
      <c r="C123" s="35" t="str">
        <f>VLOOKUP($B123,Chronologie[],7,TRUE)</f>
        <v>KSV Dresden-Leuben</v>
      </c>
      <c r="D123" s="35" t="str">
        <f>VLOOKUP($B123,Chronologie[],8,TRUE)</f>
        <v>Dresden</v>
      </c>
      <c r="E123" s="36" t="str">
        <f>VLOOKUP($B123,Chronologie[],9,TRUE)</f>
        <v>A</v>
      </c>
      <c r="F123" s="35" t="str">
        <f>VLOOKUP($B123,Chronologie[],COLUMN(F124)-2,TRUE)</f>
        <v>F</v>
      </c>
      <c r="G123" s="35" t="str">
        <f>VLOOKUP($B123,Chronologie[],COLUMN(G124)-2,TRUE)</f>
        <v>L</v>
      </c>
      <c r="H123" s="35">
        <f>VLOOKUP($B123,Chronologie[],COLUMN(H124)-2,TRUE)</f>
        <v>3</v>
      </c>
      <c r="I123" s="9" t="str">
        <f>VLOOKUP($B123,Chronologie[],2,TRUE)</f>
        <v>F-L-3</v>
      </c>
      <c r="J123" s="242">
        <f>VLOOKUP($B123,Chronologie[],3,TRUE)</f>
        <v>45956</v>
      </c>
      <c r="K123" s="236" t="s">
        <v>464</v>
      </c>
      <c r="L123" s="334">
        <v>92</v>
      </c>
      <c r="M123" s="334">
        <v>77</v>
      </c>
      <c r="N123" s="334">
        <v>78</v>
      </c>
      <c r="O123" s="334">
        <v>83</v>
      </c>
      <c r="P123" s="334">
        <v>27</v>
      </c>
      <c r="Q123" s="334">
        <v>50</v>
      </c>
      <c r="R123" s="334">
        <v>29</v>
      </c>
      <c r="S123" s="334">
        <v>44</v>
      </c>
      <c r="T123" s="334">
        <v>4</v>
      </c>
      <c r="U123" s="334">
        <v>1</v>
      </c>
      <c r="V123" s="334">
        <v>2</v>
      </c>
      <c r="W123" s="334">
        <v>2</v>
      </c>
      <c r="X123" s="37">
        <v>0</v>
      </c>
      <c r="Y123" s="37">
        <v>0</v>
      </c>
      <c r="Z123" s="37">
        <v>0</v>
      </c>
      <c r="AA123" s="37">
        <v>1</v>
      </c>
      <c r="AB123" s="90">
        <v>527</v>
      </c>
      <c r="AC123" s="93">
        <f>IF(Eingabe[[#This Row],[V1]]="",IF(Eingabe[[#This Row],[Volle alternativ]]="","",Eingabe[[#This Row],[Volle alternativ]]),SUM(Eingabe[[#This Row],[V1]:[V4]]))</f>
        <v>330</v>
      </c>
      <c r="AD123" s="35">
        <f>IF(Eingabe[[#This Row],[R1]]="",IF(Eingabe[[#This Row],[Räumer alternativ]]="","",Eingabe[[#This Row],[Räumer alternativ]]),SUM(Eingabe[[#This Row],[R1]:[R4]]))</f>
        <v>150</v>
      </c>
      <c r="AE123" s="35">
        <f>IF(Eingabe[[#This Row],[F1]]="",IF(Eingabe[[#This Row],[Fehler alternativ]]="","",Eingabe[[#This Row],[Fehler alternativ]]),SUM(Eingabe[[#This Row],[F1]:[F4]]))</f>
        <v>9</v>
      </c>
      <c r="AF123" s="35">
        <f>IF(Eingabe[[#This Row],[Volle]]="","",IF(Eingabe[[#This Row],[S1]]="",Eingabe[[#This Row],[Volle]]+Eingabe[[#This Row],[Räumer]],IF(Eingabe[[#This Row],[Volle]]+Eingabe[[#This Row],[Räumer]]=Eingabe[[#This Row],[S1]]+Eingabe[[#This Row],[S2]]+Eingabe[[#This Row],[S3]]+Eingabe[[#This Row],[S4]],Eingabe[[#This Row],[Volle]]+Eingabe[[#This Row],[Räumer]],"FEHLER")))</f>
        <v>480</v>
      </c>
      <c r="AG123" s="35">
        <f>IF(Eingabe[[#This Row],[V1]]="","",Eingabe[[#This Row],[V1]]+Eingabe[[#This Row],[R1]])</f>
        <v>119</v>
      </c>
      <c r="AH123" s="35">
        <f>IF(Eingabe[[#This Row],[V2]]="","",Eingabe[[#This Row],[V2]]+Eingabe[[#This Row],[R2]])</f>
        <v>127</v>
      </c>
      <c r="AI123" s="35">
        <f>IF(Eingabe[[#This Row],[V3]]="","",Eingabe[[#This Row],[V3]]+Eingabe[[#This Row],[R3]])</f>
        <v>107</v>
      </c>
      <c r="AJ123" s="35">
        <f>IF(Eingabe[[#This Row],[V4]]="","",Eingabe[[#This Row],[V4]]+Eingabe[[#This Row],[R4]])</f>
        <v>127</v>
      </c>
      <c r="AK123" s="35">
        <f>IF(Eingabe[[#This Row],[S1P]]="","",Eingabe[[#This Row],[S1P]]+Eingabe[[#This Row],[S2P]]+Eingabe[[#This Row],[S3P]]+Eingabe[[#This Row],[S4P]])</f>
        <v>1</v>
      </c>
      <c r="AL123" s="35">
        <f>IF(Eingabe[[#This Row],[S1P]]="","",IF(Eingabe[[#This Row],[SP]]&gt;2,1,IF(Eingabe[[#This Row],[SP]]&lt;2,0,IF(Eingabe[[#This Row],[GES]]&gt;Eingabe[[#This Row],[GEGGES]],1,IF(Eingabe[[#This Row],[GES]]=Eingabe[[#This Row],[GEGGES]],0.5,0)))))</f>
        <v>0</v>
      </c>
      <c r="AM123" s="35">
        <f>IF(Eingabe[[#This Row],[MP]]="","",MOD(ROW(Eingabe[[#This Row],[Position]])-3,6)+1)</f>
        <v>1</v>
      </c>
      <c r="AN123" s="35">
        <f>STANDARDIZE(Eingabe[[#This Row],[GES]],Eingabe[[#This Row],[Schnitt]],VLOOKUP(Eingabe[[#This Row],[Name]],AuswertungG[],21,FALSE))</f>
        <v>-0.44117647058823528</v>
      </c>
      <c r="AO123" s="35">
        <f>VLOOKUP(Eingabe[[#This Row],[ID]],Chronologie[[ID]:[KW]],12,FALSE)</f>
        <v>9</v>
      </c>
      <c r="AP123" s="58" t="str">
        <f>IF(Eingabe[[#This Row],[Wo]]="H",Eingabe[[#This Row],[Gegner]]&amp;" ["&amp;Eingabe[[#This Row],[Wo]]&amp;"]",Eingabe[[#This Row],[Ort]])</f>
        <v>Dresden</v>
      </c>
      <c r="AQ123" s="35" t="str">
        <f>IFERROR(IF(Eingabe[[#This Row],[Wo]]="H",IF(MOD(Eingabe[[#This Row],[Position]],2)=1,Eingabe[[#This Row],[S1]],Eingabe[[#This Row],[S4]]),""),"")</f>
        <v/>
      </c>
      <c r="AR123" s="35" t="str">
        <f>IFERROR(IF(Eingabe[[#This Row],[Wo]]="H",IF(Eingabe[[#This Row],[S1]]&gt;0,IF(MOD(Eingabe[[#This Row],[Position]],2)=1,Eingabe[[#This Row],[S2]],Eingabe[[#This Row],[S3]]),""),""),"")</f>
        <v/>
      </c>
      <c r="AS123" s="35" t="str">
        <f>IFERROR(IF(Eingabe[[#This Row],[Wo]]="H",IF(Eingabe[[#This Row],[S1]]&gt;0,IF(MOD(ROW(Eingabe[[#This Row],[Heimbahn 3]]),2)=1,Eingabe[[#This Row],[S4]],Eingabe[[#This Row],[S1]]),""),""),"")</f>
        <v/>
      </c>
      <c r="AT123" s="35" t="str">
        <f>IFERROR(IF(Eingabe[[#This Row],[Wo]]="H",IF(Eingabe[[#This Row],[S1]]&gt;0,IF(MOD(ROW(Eingabe[[#This Row],[Heimbahn 4]]),2)=1,Eingabe[[#This Row],[S3]],Eingabe[[#This Row],[S2]]),""),""),"")</f>
        <v/>
      </c>
      <c r="AU123" s="88">
        <f>IF(Eingabe[[#This Row],[GES]]="","",IF(Eingabe[[#This Row],[Modus]]="L",_xlfn.RANK.EQ(Eingabe[[#This Row],[GES]],AF123:AF128),IF(Eingabe[[#This Row],[Modus]]="P",_xlfn.RANK.EQ(Eingabe[[#This Row],[GES]],AF123:AF128),"")))</f>
        <v>6</v>
      </c>
      <c r="AV123" s="6">
        <f>VLOOKUP(Eingabe[[#This Row],[Name]],AuswertungG[],8,FALSE)</f>
        <v>495</v>
      </c>
      <c r="AZ123" s="6">
        <f>IFERROR(ABS(Eingabe[[#This Row],[GES]]-Eingabe[[#This Row],[GEGGES]]),"")</f>
        <v>47</v>
      </c>
    </row>
    <row r="124" spans="1:52" ht="16.2" hidden="1" thickBot="1" x14ac:dyDescent="0.35">
      <c r="A124" s="441"/>
      <c r="B124" s="21">
        <f t="shared" si="10"/>
        <v>21</v>
      </c>
      <c r="C124" s="6" t="str">
        <f>VLOOKUP($B124,Chronologie[],7,TRUE)</f>
        <v>KSV Dresden-Leuben</v>
      </c>
      <c r="D124" s="6" t="str">
        <f>VLOOKUP($B124,Chronologie[],8,TRUE)</f>
        <v>Dresden</v>
      </c>
      <c r="E124" s="240" t="str">
        <f>VLOOKUP($B124,Chronologie[],9,TRUE)</f>
        <v>A</v>
      </c>
      <c r="F124" s="6" t="str">
        <f>VLOOKUP($B124,Chronologie[],COLUMN(F125)-2,TRUE)</f>
        <v>F</v>
      </c>
      <c r="G124" s="6" t="str">
        <f>VLOOKUP($B124,Chronologie[],COLUMN(G125)-2,TRUE)</f>
        <v>L</v>
      </c>
      <c r="H124" s="6">
        <f>VLOOKUP($B124,Chronologie[],COLUMN(H125)-2,TRUE)</f>
        <v>3</v>
      </c>
      <c r="I124" s="10" t="str">
        <f>VLOOKUP($B124,Chronologie[],2,TRUE)</f>
        <v>F-L-3</v>
      </c>
      <c r="J124" s="243">
        <f>VLOOKUP($B124,Chronologie[],3,TRUE)</f>
        <v>45956</v>
      </c>
      <c r="K124" s="237" t="s">
        <v>592</v>
      </c>
      <c r="L124" s="237">
        <v>76</v>
      </c>
      <c r="M124" s="237">
        <v>87</v>
      </c>
      <c r="N124" s="237">
        <v>98</v>
      </c>
      <c r="O124" s="237">
        <v>82</v>
      </c>
      <c r="P124" s="237">
        <v>44</v>
      </c>
      <c r="Q124" s="237">
        <v>36</v>
      </c>
      <c r="R124" s="237">
        <v>61</v>
      </c>
      <c r="S124" s="237">
        <v>52</v>
      </c>
      <c r="T124" s="237">
        <v>1</v>
      </c>
      <c r="U124" s="237">
        <v>0</v>
      </c>
      <c r="V124" s="237">
        <v>0</v>
      </c>
      <c r="W124" s="237">
        <v>1</v>
      </c>
      <c r="X124" s="38">
        <v>0</v>
      </c>
      <c r="Y124" s="38">
        <v>1</v>
      </c>
      <c r="Z124" s="38">
        <v>1</v>
      </c>
      <c r="AA124" s="38">
        <v>1</v>
      </c>
      <c r="AB124" s="91">
        <v>542</v>
      </c>
      <c r="AC124" s="94">
        <f>IF(Eingabe[[#This Row],[V1]]="",IF(Eingabe[[#This Row],[Volle alternativ]]="","",Eingabe[[#This Row],[Volle alternativ]]),SUM(Eingabe[[#This Row],[V1]:[V4]]))</f>
        <v>343</v>
      </c>
      <c r="AD124" s="6">
        <f>IF(Eingabe[[#This Row],[R1]]="",IF(Eingabe[[#This Row],[Räumer alternativ]]="","",Eingabe[[#This Row],[Räumer alternativ]]),SUM(Eingabe[[#This Row],[R1]:[R4]]))</f>
        <v>193</v>
      </c>
      <c r="AE124" s="6">
        <f>IF(Eingabe[[#This Row],[F1]]="",IF(Eingabe[[#This Row],[Fehler alternativ]]="","",Eingabe[[#This Row],[Fehler alternativ]]),SUM(Eingabe[[#This Row],[F1]:[F4]]))</f>
        <v>2</v>
      </c>
      <c r="AF124" s="6">
        <f>IF(Eingabe[[#This Row],[Volle]]="","",IF(Eingabe[[#This Row],[S1]]="",Eingabe[[#This Row],[Volle]]+Eingabe[[#This Row],[Räumer]],IF(Eingabe[[#This Row],[Volle]]+Eingabe[[#This Row],[Räumer]]=Eingabe[[#This Row],[S1]]+Eingabe[[#This Row],[S2]]+Eingabe[[#This Row],[S3]]+Eingabe[[#This Row],[S4]],Eingabe[[#This Row],[Volle]]+Eingabe[[#This Row],[Räumer]],"FEHLER")))</f>
        <v>536</v>
      </c>
      <c r="AG124" s="6">
        <f>IF(Eingabe[[#This Row],[V1]]="","",Eingabe[[#This Row],[V1]]+Eingabe[[#This Row],[R1]])</f>
        <v>120</v>
      </c>
      <c r="AH124" s="6">
        <f>IF(Eingabe[[#This Row],[V2]]="","",Eingabe[[#This Row],[V2]]+Eingabe[[#This Row],[R2]])</f>
        <v>123</v>
      </c>
      <c r="AI124" s="6">
        <f>IF(Eingabe[[#This Row],[V3]]="","",Eingabe[[#This Row],[V3]]+Eingabe[[#This Row],[R3]])</f>
        <v>159</v>
      </c>
      <c r="AJ124" s="6">
        <f>IF(Eingabe[[#This Row],[V4]]="","",Eingabe[[#This Row],[V4]]+Eingabe[[#This Row],[R4]])</f>
        <v>134</v>
      </c>
      <c r="AK124" s="6">
        <f>IF(Eingabe[[#This Row],[S1P]]="","",Eingabe[[#This Row],[S1P]]+Eingabe[[#This Row],[S2P]]+Eingabe[[#This Row],[S3P]]+Eingabe[[#This Row],[S4P]])</f>
        <v>3</v>
      </c>
      <c r="AL124" s="6">
        <f>IF(Eingabe[[#This Row],[S1P]]="","",IF(Eingabe[[#This Row],[SP]]&gt;2,1,IF(Eingabe[[#This Row],[SP]]&lt;2,0,IF(Eingabe[[#This Row],[GES]]&gt;Eingabe[[#This Row],[GEGGES]],1,IF(Eingabe[[#This Row],[GES]]=Eingabe[[#This Row],[GEGGES]],0.5,0)))))</f>
        <v>1</v>
      </c>
      <c r="AM124" s="6">
        <f>IF(Eingabe[[#This Row],[MP]]="","",MOD(ROW(Eingabe[[#This Row],[Position]])-3,6)+1)</f>
        <v>2</v>
      </c>
      <c r="AN124" s="6">
        <f>STANDARDIZE(Eingabe[[#This Row],[GES]],Eingabe[[#This Row],[Schnitt]],VLOOKUP(Eingabe[[#This Row],[Name]],AuswertungG[],21,FALSE))</f>
        <v>0.83333333333333337</v>
      </c>
      <c r="AO124" s="6">
        <f>VLOOKUP(Eingabe[[#This Row],[ID]],Chronologie[[ID]:[KW]],12,FALSE)</f>
        <v>9</v>
      </c>
      <c r="AP124" s="95" t="str">
        <f>IF(Eingabe[[#This Row],[Wo]]="H",Eingabe[[#This Row],[Gegner]]&amp;" ["&amp;Eingabe[[#This Row],[Wo]]&amp;"]",Eingabe[[#This Row],[Ort]])</f>
        <v>Dresden</v>
      </c>
      <c r="AQ124" s="6" t="str">
        <f>IFERROR(IF(Eingabe[[#This Row],[Wo]]="H",IF(MOD(Eingabe[[#This Row],[Position]],2)=1,Eingabe[[#This Row],[S1]],Eingabe[[#This Row],[S4]]),""),"")</f>
        <v/>
      </c>
      <c r="AR124" s="6" t="str">
        <f>IFERROR(IF(Eingabe[[#This Row],[Wo]]="H",IF(Eingabe[[#This Row],[S1]]&gt;0,IF(MOD(Eingabe[[#This Row],[Position]],2)=1,Eingabe[[#This Row],[S2]],Eingabe[[#This Row],[S3]]),""),""),"")</f>
        <v/>
      </c>
      <c r="AS124" s="6" t="str">
        <f>IFERROR(IF(Eingabe[[#This Row],[Wo]]="H",IF(Eingabe[[#This Row],[S1]]&gt;0,IF(MOD(ROW(Eingabe[[#This Row],[Heimbahn 3]]),2)=1,Eingabe[[#This Row],[S4]],Eingabe[[#This Row],[S1]]),""),""),"")</f>
        <v/>
      </c>
      <c r="AT124" s="6" t="str">
        <f>IFERROR(IF(Eingabe[[#This Row],[Wo]]="H",IF(Eingabe[[#This Row],[S1]]&gt;0,IF(MOD(ROW(Eingabe[[#This Row],[Heimbahn 4]]),2)=1,Eingabe[[#This Row],[S3]],Eingabe[[#This Row],[S2]]),""),""),"")</f>
        <v/>
      </c>
      <c r="AU124" s="22">
        <f>IF(Eingabe[[#This Row],[GES]]="","",IF(Eingabe[[#This Row],[Modus]]="L",_xlfn.RANK.EQ(Eingabe[[#This Row],[GES]],AF123:AF128),IF(Eingabe[[#This Row],[Modus]]="P",_xlfn.RANK.EQ(Eingabe[[#This Row],[GES]],AF123:AF128),"")))</f>
        <v>1</v>
      </c>
      <c r="AV124" s="6">
        <f>VLOOKUP(Eingabe[[#This Row],[Name]],AuswertungG[],8,FALSE)</f>
        <v>511</v>
      </c>
      <c r="AZ124" s="6">
        <f>IFERROR(ABS(Eingabe[[#This Row],[GES]]-Eingabe[[#This Row],[GEGGES]]),"")</f>
        <v>6</v>
      </c>
    </row>
    <row r="125" spans="1:52" ht="16.2" hidden="1" thickBot="1" x14ac:dyDescent="0.35">
      <c r="A125" s="441"/>
      <c r="B125" s="21">
        <f t="shared" si="10"/>
        <v>21</v>
      </c>
      <c r="C125" s="6" t="str">
        <f>VLOOKUP($B125,Chronologie[],7,TRUE)</f>
        <v>KSV Dresden-Leuben</v>
      </c>
      <c r="D125" s="6" t="str">
        <f>VLOOKUP($B125,Chronologie[],8,TRUE)</f>
        <v>Dresden</v>
      </c>
      <c r="E125" s="240" t="str">
        <f>VLOOKUP($B125,Chronologie[],9,TRUE)</f>
        <v>A</v>
      </c>
      <c r="F125" s="6" t="str">
        <f>VLOOKUP($B125,Chronologie[],COLUMN(F126)-2,TRUE)</f>
        <v>F</v>
      </c>
      <c r="G125" s="6" t="str">
        <f>VLOOKUP($B125,Chronologie[],COLUMN(G126)-2,TRUE)</f>
        <v>L</v>
      </c>
      <c r="H125" s="6">
        <f>VLOOKUP($B125,Chronologie[],COLUMN(H126)-2,TRUE)</f>
        <v>3</v>
      </c>
      <c r="I125" s="10" t="str">
        <f>VLOOKUP($B125,Chronologie[],2,TRUE)</f>
        <v>F-L-3</v>
      </c>
      <c r="J125" s="243">
        <f>VLOOKUP($B125,Chronologie[],3,TRUE)</f>
        <v>45956</v>
      </c>
      <c r="K125" s="237" t="s">
        <v>15</v>
      </c>
      <c r="L125" s="237">
        <v>76</v>
      </c>
      <c r="M125" s="237">
        <v>84</v>
      </c>
      <c r="N125" s="237">
        <v>87</v>
      </c>
      <c r="O125" s="237">
        <v>97</v>
      </c>
      <c r="P125" s="237">
        <v>42</v>
      </c>
      <c r="Q125" s="237">
        <v>54</v>
      </c>
      <c r="R125" s="237">
        <v>35</v>
      </c>
      <c r="S125" s="237">
        <v>35</v>
      </c>
      <c r="T125" s="237">
        <v>2</v>
      </c>
      <c r="U125" s="237">
        <v>1</v>
      </c>
      <c r="V125" s="237">
        <v>3</v>
      </c>
      <c r="W125" s="237">
        <v>3</v>
      </c>
      <c r="X125" s="38">
        <v>0</v>
      </c>
      <c r="Y125" s="38">
        <v>1</v>
      </c>
      <c r="Z125" s="38">
        <v>0</v>
      </c>
      <c r="AA125" s="38">
        <v>0</v>
      </c>
      <c r="AB125" s="91">
        <v>553</v>
      </c>
      <c r="AC125" s="94">
        <f>IF(Eingabe[[#This Row],[V1]]="",IF(Eingabe[[#This Row],[Volle alternativ]]="","",Eingabe[[#This Row],[Volle alternativ]]),SUM(Eingabe[[#This Row],[V1]:[V4]]))</f>
        <v>344</v>
      </c>
      <c r="AD125" s="6">
        <f>IF(Eingabe[[#This Row],[R1]]="",IF(Eingabe[[#This Row],[Räumer alternativ]]="","",Eingabe[[#This Row],[Räumer alternativ]]),SUM(Eingabe[[#This Row],[R1]:[R4]]))</f>
        <v>166</v>
      </c>
      <c r="AE125" s="6">
        <f>IF(Eingabe[[#This Row],[F1]]="",IF(Eingabe[[#This Row],[Fehler alternativ]]="","",Eingabe[[#This Row],[Fehler alternativ]]),SUM(Eingabe[[#This Row],[F1]:[F4]]))</f>
        <v>9</v>
      </c>
      <c r="AF125" s="6">
        <f>IF(Eingabe[[#This Row],[Volle]]="","",IF(Eingabe[[#This Row],[S1]]="",Eingabe[[#This Row],[Volle]]+Eingabe[[#This Row],[Räumer]],IF(Eingabe[[#This Row],[Volle]]+Eingabe[[#This Row],[Räumer]]=Eingabe[[#This Row],[S1]]+Eingabe[[#This Row],[S2]]+Eingabe[[#This Row],[S3]]+Eingabe[[#This Row],[S4]],Eingabe[[#This Row],[Volle]]+Eingabe[[#This Row],[Räumer]],"FEHLER")))</f>
        <v>510</v>
      </c>
      <c r="AG125" s="6">
        <f>IF(Eingabe[[#This Row],[V1]]="","",Eingabe[[#This Row],[V1]]+Eingabe[[#This Row],[R1]])</f>
        <v>118</v>
      </c>
      <c r="AH125" s="6">
        <f>IF(Eingabe[[#This Row],[V2]]="","",Eingabe[[#This Row],[V2]]+Eingabe[[#This Row],[R2]])</f>
        <v>138</v>
      </c>
      <c r="AI125" s="6">
        <f>IF(Eingabe[[#This Row],[V3]]="","",Eingabe[[#This Row],[V3]]+Eingabe[[#This Row],[R3]])</f>
        <v>122</v>
      </c>
      <c r="AJ125" s="6">
        <f>IF(Eingabe[[#This Row],[V4]]="","",Eingabe[[#This Row],[V4]]+Eingabe[[#This Row],[R4]])</f>
        <v>132</v>
      </c>
      <c r="AK125" s="6">
        <f>IF(Eingabe[[#This Row],[S1P]]="","",Eingabe[[#This Row],[S1P]]+Eingabe[[#This Row],[S2P]]+Eingabe[[#This Row],[S3P]]+Eingabe[[#This Row],[S4P]])</f>
        <v>1</v>
      </c>
      <c r="AL125" s="6">
        <f>IF(Eingabe[[#This Row],[S1P]]="","",IF(Eingabe[[#This Row],[SP]]&gt;2,1,IF(Eingabe[[#This Row],[SP]]&lt;2,0,IF(Eingabe[[#This Row],[GES]]&gt;Eingabe[[#This Row],[GEGGES]],1,IF(Eingabe[[#This Row],[GES]]=Eingabe[[#This Row],[GEGGES]],0.5,0)))))</f>
        <v>0</v>
      </c>
      <c r="AM125" s="6">
        <f>IF(Eingabe[[#This Row],[MP]]="","",MOD(ROW(Eingabe[[#This Row],[Position]])-3,6)+1)</f>
        <v>3</v>
      </c>
      <c r="AN125" s="6">
        <f>STANDARDIZE(Eingabe[[#This Row],[GES]],Eingabe[[#This Row],[Schnitt]],VLOOKUP(Eingabe[[#This Row],[Name]],AuswertungG[],21,FALSE))</f>
        <v>0.72727272727272729</v>
      </c>
      <c r="AO125" s="6">
        <f>VLOOKUP(Eingabe[[#This Row],[ID]],Chronologie[[ID]:[KW]],12,FALSE)</f>
        <v>9</v>
      </c>
      <c r="AP125" s="95" t="str">
        <f>IF(Eingabe[[#This Row],[Wo]]="H",Eingabe[[#This Row],[Gegner]]&amp;" ["&amp;Eingabe[[#This Row],[Wo]]&amp;"]",Eingabe[[#This Row],[Ort]])</f>
        <v>Dresden</v>
      </c>
      <c r="AQ125" s="6" t="str">
        <f>IFERROR(IF(Eingabe[[#This Row],[Wo]]="H",IF(MOD(Eingabe[[#This Row],[Position]],2)=1,Eingabe[[#This Row],[S1]],Eingabe[[#This Row],[S4]]),""),"")</f>
        <v/>
      </c>
      <c r="AR125" s="6" t="str">
        <f>IFERROR(IF(Eingabe[[#This Row],[Wo]]="H",IF(Eingabe[[#This Row],[S1]]&gt;0,IF(MOD(Eingabe[[#This Row],[Position]],2)=1,Eingabe[[#This Row],[S2]],Eingabe[[#This Row],[S3]]),""),""),"")</f>
        <v/>
      </c>
      <c r="AS125" s="6" t="str">
        <f>IFERROR(IF(Eingabe[[#This Row],[Wo]]="H",IF(Eingabe[[#This Row],[S1]]&gt;0,IF(MOD(ROW(Eingabe[[#This Row],[Heimbahn 3]]),2)=1,Eingabe[[#This Row],[S4]],Eingabe[[#This Row],[S1]]),""),""),"")</f>
        <v/>
      </c>
      <c r="AT125" s="6" t="str">
        <f>IFERROR(IF(Eingabe[[#This Row],[Wo]]="H",IF(Eingabe[[#This Row],[S1]]&gt;0,IF(MOD(ROW(Eingabe[[#This Row],[Heimbahn 4]]),2)=1,Eingabe[[#This Row],[S3]],Eingabe[[#This Row],[S2]]),""),""),"")</f>
        <v/>
      </c>
      <c r="AU125" s="22">
        <f>IF(Eingabe[[#This Row],[GES]]="","",IF(Eingabe[[#This Row],[Modus]]="L",_xlfn.RANK.EQ(Eingabe[[#This Row],[GES]],AF123:AF128),IF(Eingabe[[#This Row],[Modus]]="P",_xlfn.RANK.EQ(Eingabe[[#This Row],[GES]],AF123:AF128),"")))</f>
        <v>3</v>
      </c>
      <c r="AV125" s="6">
        <f>VLOOKUP(Eingabe[[#This Row],[Name]],AuswertungG[],8,FALSE)</f>
        <v>478</v>
      </c>
      <c r="AZ125" s="6">
        <f>IFERROR(ABS(Eingabe[[#This Row],[GES]]-Eingabe[[#This Row],[GEGGES]]),"")</f>
        <v>43</v>
      </c>
    </row>
    <row r="126" spans="1:52" ht="16.2" hidden="1" thickBot="1" x14ac:dyDescent="0.35">
      <c r="A126" s="441"/>
      <c r="B126" s="21">
        <f t="shared" si="10"/>
        <v>21</v>
      </c>
      <c r="C126" s="6" t="str">
        <f>VLOOKUP($B126,Chronologie[],7,TRUE)</f>
        <v>KSV Dresden-Leuben</v>
      </c>
      <c r="D126" s="6" t="str">
        <f>VLOOKUP($B126,Chronologie[],8,TRUE)</f>
        <v>Dresden</v>
      </c>
      <c r="E126" s="240" t="str">
        <f>VLOOKUP($B126,Chronologie[],9,TRUE)</f>
        <v>A</v>
      </c>
      <c r="F126" s="6" t="str">
        <f>VLOOKUP($B126,Chronologie[],COLUMN(F127)-2,TRUE)</f>
        <v>F</v>
      </c>
      <c r="G126" s="6" t="str">
        <f>VLOOKUP($B126,Chronologie[],COLUMN(G127)-2,TRUE)</f>
        <v>L</v>
      </c>
      <c r="H126" s="6">
        <f>VLOOKUP($B126,Chronologie[],COLUMN(H127)-2,TRUE)</f>
        <v>3</v>
      </c>
      <c r="I126" s="10" t="str">
        <f>VLOOKUP($B126,Chronologie[],2,TRUE)</f>
        <v>F-L-3</v>
      </c>
      <c r="J126" s="243">
        <f>VLOOKUP($B126,Chronologie[],3,TRUE)</f>
        <v>45956</v>
      </c>
      <c r="K126" s="238" t="s">
        <v>480</v>
      </c>
      <c r="L126" s="237">
        <v>84</v>
      </c>
      <c r="M126" s="237">
        <v>95</v>
      </c>
      <c r="N126" s="237">
        <v>81</v>
      </c>
      <c r="O126" s="237">
        <v>84</v>
      </c>
      <c r="P126" s="237">
        <v>62</v>
      </c>
      <c r="Q126" s="237">
        <v>24</v>
      </c>
      <c r="R126" s="237">
        <v>35</v>
      </c>
      <c r="S126" s="237">
        <v>44</v>
      </c>
      <c r="T126" s="237">
        <v>2</v>
      </c>
      <c r="U126" s="237">
        <v>2</v>
      </c>
      <c r="V126" s="237">
        <v>4</v>
      </c>
      <c r="W126" s="237">
        <v>0</v>
      </c>
      <c r="X126" s="38">
        <v>0</v>
      </c>
      <c r="Y126" s="38">
        <v>0</v>
      </c>
      <c r="Z126" s="38">
        <v>0</v>
      </c>
      <c r="AA126" s="38">
        <v>0</v>
      </c>
      <c r="AB126" s="91">
        <v>586</v>
      </c>
      <c r="AC126" s="94">
        <f>IF(Eingabe[[#This Row],[V1]]="",IF(Eingabe[[#This Row],[Volle alternativ]]="","",Eingabe[[#This Row],[Volle alternativ]]),SUM(Eingabe[[#This Row],[V1]:[V4]]))</f>
        <v>344</v>
      </c>
      <c r="AD126" s="6">
        <f>IF(Eingabe[[#This Row],[R1]]="",IF(Eingabe[[#This Row],[Räumer alternativ]]="","",Eingabe[[#This Row],[Räumer alternativ]]),SUM(Eingabe[[#This Row],[R1]:[R4]]))</f>
        <v>165</v>
      </c>
      <c r="AE126" s="6">
        <f>IF(Eingabe[[#This Row],[F1]]="",IF(Eingabe[[#This Row],[Fehler alternativ]]="","",Eingabe[[#This Row],[Fehler alternativ]]),SUM(Eingabe[[#This Row],[F1]:[F4]]))</f>
        <v>8</v>
      </c>
      <c r="AF126" s="6">
        <f>IF(Eingabe[[#This Row],[Volle]]="","",IF(Eingabe[[#This Row],[S1]]="",Eingabe[[#This Row],[Volle]]+Eingabe[[#This Row],[Räumer]],IF(Eingabe[[#This Row],[Volle]]+Eingabe[[#This Row],[Räumer]]=Eingabe[[#This Row],[S1]]+Eingabe[[#This Row],[S2]]+Eingabe[[#This Row],[S3]]+Eingabe[[#This Row],[S4]],Eingabe[[#This Row],[Volle]]+Eingabe[[#This Row],[Räumer]],"FEHLER")))</f>
        <v>509</v>
      </c>
      <c r="AG126" s="6">
        <f>IF(Eingabe[[#This Row],[V1]]="","",Eingabe[[#This Row],[V1]]+Eingabe[[#This Row],[R1]])</f>
        <v>146</v>
      </c>
      <c r="AH126" s="6">
        <f>IF(Eingabe[[#This Row],[V2]]="","",Eingabe[[#This Row],[V2]]+Eingabe[[#This Row],[R2]])</f>
        <v>119</v>
      </c>
      <c r="AI126" s="6">
        <f>IF(Eingabe[[#This Row],[V3]]="","",Eingabe[[#This Row],[V3]]+Eingabe[[#This Row],[R3]])</f>
        <v>116</v>
      </c>
      <c r="AJ126" s="6">
        <f>IF(Eingabe[[#This Row],[V4]]="","",Eingabe[[#This Row],[V4]]+Eingabe[[#This Row],[R4]])</f>
        <v>128</v>
      </c>
      <c r="AK126" s="6">
        <f>IF(Eingabe[[#This Row],[S1P]]="","",Eingabe[[#This Row],[S1P]]+Eingabe[[#This Row],[S2P]]+Eingabe[[#This Row],[S3P]]+Eingabe[[#This Row],[S4P]])</f>
        <v>0</v>
      </c>
      <c r="AL126" s="6">
        <f>IF(Eingabe[[#This Row],[S1P]]="","",IF(Eingabe[[#This Row],[SP]]&gt;2,1,IF(Eingabe[[#This Row],[SP]]&lt;2,0,IF(Eingabe[[#This Row],[GES]]&gt;Eingabe[[#This Row],[GEGGES]],1,IF(Eingabe[[#This Row],[GES]]=Eingabe[[#This Row],[GEGGES]],0.5,0)))))</f>
        <v>0</v>
      </c>
      <c r="AM126" s="6">
        <f>IF(Eingabe[[#This Row],[MP]]="","",MOD(ROW(Eingabe[[#This Row],[Position]])-3,6)+1)</f>
        <v>4</v>
      </c>
      <c r="AN126" s="6">
        <f>STANDARDIZE(Eingabe[[#This Row],[GES]],Eingabe[[#This Row],[Schnitt]],VLOOKUP(Eingabe[[#This Row],[Name]],AuswertungG[],21,FALSE))</f>
        <v>0</v>
      </c>
      <c r="AO126" s="6">
        <f>VLOOKUP(Eingabe[[#This Row],[ID]],Chronologie[[ID]:[KW]],12,FALSE)</f>
        <v>9</v>
      </c>
      <c r="AP126" s="95" t="str">
        <f>IF(Eingabe[[#This Row],[Wo]]="H",Eingabe[[#This Row],[Gegner]]&amp;" ["&amp;Eingabe[[#This Row],[Wo]]&amp;"]",Eingabe[[#This Row],[Ort]])</f>
        <v>Dresden</v>
      </c>
      <c r="AQ126" s="6" t="str">
        <f>IFERROR(IF(Eingabe[[#This Row],[Wo]]="H",IF(MOD(Eingabe[[#This Row],[Position]],2)=1,Eingabe[[#This Row],[S1]],Eingabe[[#This Row],[S4]]),""),"")</f>
        <v/>
      </c>
      <c r="AR126" s="6" t="str">
        <f>IFERROR(IF(Eingabe[[#This Row],[Wo]]="H",IF(Eingabe[[#This Row],[S1]]&gt;0,IF(MOD(Eingabe[[#This Row],[Position]],2)=1,Eingabe[[#This Row],[S2]],Eingabe[[#This Row],[S3]]),""),""),"")</f>
        <v/>
      </c>
      <c r="AS126" s="6" t="str">
        <f>IFERROR(IF(Eingabe[[#This Row],[Wo]]="H",IF(Eingabe[[#This Row],[S1]]&gt;0,IF(MOD(ROW(Eingabe[[#This Row],[Heimbahn 3]]),2)=1,Eingabe[[#This Row],[S4]],Eingabe[[#This Row],[S1]]),""),""),"")</f>
        <v/>
      </c>
      <c r="AT126" s="6" t="str">
        <f>IFERROR(IF(Eingabe[[#This Row],[Wo]]="H",IF(Eingabe[[#This Row],[S1]]&gt;0,IF(MOD(ROW(Eingabe[[#This Row],[Heimbahn 4]]),2)=1,Eingabe[[#This Row],[S3]],Eingabe[[#This Row],[S2]]),""),""),"")</f>
        <v/>
      </c>
      <c r="AU126" s="22">
        <f>IF(Eingabe[[#This Row],[GES]]="","",IF(Eingabe[[#This Row],[Modus]]="L",_xlfn.RANK.EQ(Eingabe[[#This Row],[GES]],AF123:AF128),IF(Eingabe[[#This Row],[Modus]]="P",_xlfn.RANK.EQ(Eingabe[[#This Row],[GES]],AF123:AF128),"")))</f>
        <v>4</v>
      </c>
      <c r="AV126" s="6">
        <f>VLOOKUP(Eingabe[[#This Row],[Name]],AuswertungG[],8,FALSE)</f>
        <v>509</v>
      </c>
      <c r="AZ126" s="6">
        <f>IFERROR(ABS(Eingabe[[#This Row],[GES]]-Eingabe[[#This Row],[GEGGES]]),"")</f>
        <v>77</v>
      </c>
    </row>
    <row r="127" spans="1:52" ht="16.2" hidden="1" thickBot="1" x14ac:dyDescent="0.35">
      <c r="A127" s="441"/>
      <c r="B127" s="21">
        <f t="shared" si="10"/>
        <v>21</v>
      </c>
      <c r="C127" s="6" t="str">
        <f>VLOOKUP($B127,Chronologie[],7,TRUE)</f>
        <v>KSV Dresden-Leuben</v>
      </c>
      <c r="D127" s="6" t="str">
        <f>VLOOKUP($B127,Chronologie[],8,TRUE)</f>
        <v>Dresden</v>
      </c>
      <c r="E127" s="240" t="str">
        <f>VLOOKUP($B127,Chronologie[],9,TRUE)</f>
        <v>A</v>
      </c>
      <c r="F127" s="6" t="str">
        <f>VLOOKUP($B127,Chronologie[],COLUMN(F128)-2,TRUE)</f>
        <v>F</v>
      </c>
      <c r="G127" s="6" t="str">
        <f>VLOOKUP($B127,Chronologie[],COLUMN(G128)-2,TRUE)</f>
        <v>L</v>
      </c>
      <c r="H127" s="6">
        <f>VLOOKUP($B127,Chronologie[],COLUMN(H128)-2,TRUE)</f>
        <v>3</v>
      </c>
      <c r="I127" s="10" t="str">
        <f>VLOOKUP($B127,Chronologie[],2,TRUE)</f>
        <v>F-L-3</v>
      </c>
      <c r="J127" s="243">
        <f>VLOOKUP($B127,Chronologie[],3,TRUE)</f>
        <v>45956</v>
      </c>
      <c r="K127" s="237" t="s">
        <v>492</v>
      </c>
      <c r="L127" s="237">
        <v>83</v>
      </c>
      <c r="M127" s="237">
        <v>97</v>
      </c>
      <c r="N127" s="237">
        <v>81</v>
      </c>
      <c r="O127" s="237">
        <v>84</v>
      </c>
      <c r="P127" s="237">
        <v>42</v>
      </c>
      <c r="Q127" s="237">
        <v>34</v>
      </c>
      <c r="R127" s="237">
        <v>41</v>
      </c>
      <c r="S127" s="237">
        <v>35</v>
      </c>
      <c r="T127" s="237">
        <v>0</v>
      </c>
      <c r="U127" s="237">
        <v>3</v>
      </c>
      <c r="V127" s="237">
        <v>5</v>
      </c>
      <c r="W127" s="237">
        <v>4</v>
      </c>
      <c r="X127" s="38">
        <v>0</v>
      </c>
      <c r="Y127" s="38">
        <v>0</v>
      </c>
      <c r="Z127" s="38">
        <v>0</v>
      </c>
      <c r="AA127" s="38">
        <v>0</v>
      </c>
      <c r="AB127" s="91">
        <v>537</v>
      </c>
      <c r="AC127" s="94">
        <f>IF(Eingabe[[#This Row],[V1]]="",IF(Eingabe[[#This Row],[Volle alternativ]]="","",Eingabe[[#This Row],[Volle alternativ]]),SUM(Eingabe[[#This Row],[V1]:[V4]]))</f>
        <v>345</v>
      </c>
      <c r="AD127" s="6">
        <f>IF(Eingabe[[#This Row],[R1]]="",IF(Eingabe[[#This Row],[Räumer alternativ]]="","",Eingabe[[#This Row],[Räumer alternativ]]),SUM(Eingabe[[#This Row],[R1]:[R4]]))</f>
        <v>152</v>
      </c>
      <c r="AE127" s="6">
        <f>IF(Eingabe[[#This Row],[F1]]="",IF(Eingabe[[#This Row],[Fehler alternativ]]="","",Eingabe[[#This Row],[Fehler alternativ]]),SUM(Eingabe[[#This Row],[F1]:[F4]]))</f>
        <v>12</v>
      </c>
      <c r="AF127" s="6">
        <f>IF(Eingabe[[#This Row],[Volle]]="","",IF(Eingabe[[#This Row],[S1]]="",Eingabe[[#This Row],[Volle]]+Eingabe[[#This Row],[Räumer]],IF(Eingabe[[#This Row],[Volle]]+Eingabe[[#This Row],[Räumer]]=Eingabe[[#This Row],[S1]]+Eingabe[[#This Row],[S2]]+Eingabe[[#This Row],[S3]]+Eingabe[[#This Row],[S4]],Eingabe[[#This Row],[Volle]]+Eingabe[[#This Row],[Räumer]],"FEHLER")))</f>
        <v>497</v>
      </c>
      <c r="AG127" s="6">
        <f>IF(Eingabe[[#This Row],[V1]]="","",Eingabe[[#This Row],[V1]]+Eingabe[[#This Row],[R1]])</f>
        <v>125</v>
      </c>
      <c r="AH127" s="6">
        <f>IF(Eingabe[[#This Row],[V2]]="","",Eingabe[[#This Row],[V2]]+Eingabe[[#This Row],[R2]])</f>
        <v>131</v>
      </c>
      <c r="AI127" s="6">
        <f>IF(Eingabe[[#This Row],[V3]]="","",Eingabe[[#This Row],[V3]]+Eingabe[[#This Row],[R3]])</f>
        <v>122</v>
      </c>
      <c r="AJ127" s="6">
        <f>IF(Eingabe[[#This Row],[V4]]="","",Eingabe[[#This Row],[V4]]+Eingabe[[#This Row],[R4]])</f>
        <v>119</v>
      </c>
      <c r="AK127" s="6">
        <f>IF(Eingabe[[#This Row],[S1P]]="","",Eingabe[[#This Row],[S1P]]+Eingabe[[#This Row],[S2P]]+Eingabe[[#This Row],[S3P]]+Eingabe[[#This Row],[S4P]])</f>
        <v>0</v>
      </c>
      <c r="AL127" s="6">
        <f>IF(Eingabe[[#This Row],[S1P]]="","",IF(Eingabe[[#This Row],[SP]]&gt;2,1,IF(Eingabe[[#This Row],[SP]]&lt;2,0,IF(Eingabe[[#This Row],[GES]]&gt;Eingabe[[#This Row],[GEGGES]],1,IF(Eingabe[[#This Row],[GES]]=Eingabe[[#This Row],[GEGGES]],0.5,0)))))</f>
        <v>0</v>
      </c>
      <c r="AM127" s="6">
        <f>IF(Eingabe[[#This Row],[MP]]="","",MOD(ROW(Eingabe[[#This Row],[Position]])-3,6)+1)</f>
        <v>5</v>
      </c>
      <c r="AN127" s="6">
        <f>STANDARDIZE(Eingabe[[#This Row],[GES]],Eingabe[[#This Row],[Schnitt]],VLOOKUP(Eingabe[[#This Row],[Name]],AuswertungG[],21,FALSE))</f>
        <v>-1</v>
      </c>
      <c r="AO127" s="6">
        <f>VLOOKUP(Eingabe[[#This Row],[ID]],Chronologie[[ID]:[KW]],12,FALSE)</f>
        <v>9</v>
      </c>
      <c r="AP127" s="95" t="str">
        <f>IF(Eingabe[[#This Row],[Wo]]="H",Eingabe[[#This Row],[Gegner]]&amp;" ["&amp;Eingabe[[#This Row],[Wo]]&amp;"]",Eingabe[[#This Row],[Ort]])</f>
        <v>Dresden</v>
      </c>
      <c r="AQ127" s="6" t="str">
        <f>IFERROR(IF(Eingabe[[#This Row],[Wo]]="H",IF(MOD(Eingabe[[#This Row],[Position]],2)=1,Eingabe[[#This Row],[S1]],Eingabe[[#This Row],[S4]]),""),"")</f>
        <v/>
      </c>
      <c r="AR127" s="6" t="str">
        <f>IFERROR(IF(Eingabe[[#This Row],[Wo]]="H",IF(Eingabe[[#This Row],[S1]]&gt;0,IF(MOD(Eingabe[[#This Row],[Position]],2)=1,Eingabe[[#This Row],[S2]],Eingabe[[#This Row],[S3]]),""),""),"")</f>
        <v/>
      </c>
      <c r="AS127" s="6" t="str">
        <f>IFERROR(IF(Eingabe[[#This Row],[Wo]]="H",IF(Eingabe[[#This Row],[S1]]&gt;0,IF(MOD(ROW(Eingabe[[#This Row],[Heimbahn 3]]),2)=1,Eingabe[[#This Row],[S4]],Eingabe[[#This Row],[S1]]),""),""),"")</f>
        <v/>
      </c>
      <c r="AT127" s="6" t="str">
        <f>IFERROR(IF(Eingabe[[#This Row],[Wo]]="H",IF(Eingabe[[#This Row],[S1]]&gt;0,IF(MOD(ROW(Eingabe[[#This Row],[Heimbahn 4]]),2)=1,Eingabe[[#This Row],[S3]],Eingabe[[#This Row],[S2]]),""),""),"")</f>
        <v/>
      </c>
      <c r="AU127" s="22">
        <f>IF(Eingabe[[#This Row],[GES]]="","",IF(Eingabe[[#This Row],[Modus]]="L",_xlfn.RANK.EQ(Eingabe[[#This Row],[GES]],AF123:AF128),IF(Eingabe[[#This Row],[Modus]]="P",_xlfn.RANK.EQ(Eingabe[[#This Row],[GES]],AF123:AF128),"")))</f>
        <v>5</v>
      </c>
      <c r="AV127" s="6">
        <f>VLOOKUP(Eingabe[[#This Row],[Name]],AuswertungG[],8,FALSE)</f>
        <v>520</v>
      </c>
      <c r="AZ127" s="6">
        <f>IFERROR(ABS(Eingabe[[#This Row],[GES]]-Eingabe[[#This Row],[GEGGES]]),"")</f>
        <v>40</v>
      </c>
    </row>
    <row r="128" spans="1:52" ht="16.2" hidden="1" thickBot="1" x14ac:dyDescent="0.35">
      <c r="A128" s="442"/>
      <c r="B128" s="56">
        <f t="shared" si="10"/>
        <v>21</v>
      </c>
      <c r="C128" s="23" t="str">
        <f>VLOOKUP($B128,Chronologie[],7,TRUE)</f>
        <v>KSV Dresden-Leuben</v>
      </c>
      <c r="D128" s="23" t="str">
        <f>VLOOKUP($B128,Chronologie[],8,TRUE)</f>
        <v>Dresden</v>
      </c>
      <c r="E128" s="39" t="str">
        <f>VLOOKUP($B128,Chronologie[],9,TRUE)</f>
        <v>A</v>
      </c>
      <c r="F128" s="23" t="str">
        <f>VLOOKUP($B128,Chronologie[],COLUMN(F129)-2,TRUE)</f>
        <v>F</v>
      </c>
      <c r="G128" s="23" t="str">
        <f>VLOOKUP($B128,Chronologie[],COLUMN(G129)-2,TRUE)</f>
        <v>L</v>
      </c>
      <c r="H128" s="23">
        <f>VLOOKUP($B128,Chronologie[],COLUMN(H129)-2,TRUE)</f>
        <v>3</v>
      </c>
      <c r="I128" s="13" t="str">
        <f>VLOOKUP($B128,Chronologie[],2,TRUE)</f>
        <v>F-L-3</v>
      </c>
      <c r="J128" s="244">
        <f>VLOOKUP($B128,Chronologie[],3,TRUE)</f>
        <v>45956</v>
      </c>
      <c r="K128" s="239" t="s">
        <v>14</v>
      </c>
      <c r="L128" s="239">
        <v>110</v>
      </c>
      <c r="M128" s="239">
        <v>92</v>
      </c>
      <c r="N128" s="239">
        <v>80</v>
      </c>
      <c r="O128" s="239">
        <v>90</v>
      </c>
      <c r="P128" s="239">
        <v>35</v>
      </c>
      <c r="Q128" s="239">
        <v>62</v>
      </c>
      <c r="R128" s="239">
        <v>27</v>
      </c>
      <c r="S128" s="239">
        <v>25</v>
      </c>
      <c r="T128" s="239">
        <v>2</v>
      </c>
      <c r="U128" s="239">
        <v>1</v>
      </c>
      <c r="V128" s="239">
        <v>4</v>
      </c>
      <c r="W128" s="239">
        <v>6</v>
      </c>
      <c r="X128" s="40">
        <v>1</v>
      </c>
      <c r="Y128" s="40">
        <v>1</v>
      </c>
      <c r="Z128" s="40">
        <v>0</v>
      </c>
      <c r="AA128" s="40">
        <v>1</v>
      </c>
      <c r="AB128" s="92">
        <v>520</v>
      </c>
      <c r="AC128" s="96">
        <f>IF(Eingabe[[#This Row],[V1]]="",IF(Eingabe[[#This Row],[Volle alternativ]]="","",Eingabe[[#This Row],[Volle alternativ]]),SUM(Eingabe[[#This Row],[V1]:[V4]]))</f>
        <v>372</v>
      </c>
      <c r="AD128" s="23">
        <f>IF(Eingabe[[#This Row],[R1]]="",IF(Eingabe[[#This Row],[Räumer alternativ]]="","",Eingabe[[#This Row],[Räumer alternativ]]),SUM(Eingabe[[#This Row],[R1]:[R4]]))</f>
        <v>149</v>
      </c>
      <c r="AE128" s="23">
        <f>IF(Eingabe[[#This Row],[F1]]="",IF(Eingabe[[#This Row],[Fehler alternativ]]="","",Eingabe[[#This Row],[Fehler alternativ]]),SUM(Eingabe[[#This Row],[F1]:[F4]]))</f>
        <v>13</v>
      </c>
      <c r="AF128" s="23">
        <f>IF(Eingabe[[#This Row],[Volle]]="","",IF(Eingabe[[#This Row],[S1]]="",Eingabe[[#This Row],[Volle]]+Eingabe[[#This Row],[Räumer]],IF(Eingabe[[#This Row],[Volle]]+Eingabe[[#This Row],[Räumer]]=Eingabe[[#This Row],[S1]]+Eingabe[[#This Row],[S2]]+Eingabe[[#This Row],[S3]]+Eingabe[[#This Row],[S4]],Eingabe[[#This Row],[Volle]]+Eingabe[[#This Row],[Räumer]],"FEHLER")))</f>
        <v>521</v>
      </c>
      <c r="AG128" s="23">
        <f>IF(Eingabe[[#This Row],[V1]]="","",Eingabe[[#This Row],[V1]]+Eingabe[[#This Row],[R1]])</f>
        <v>145</v>
      </c>
      <c r="AH128" s="23">
        <f>IF(Eingabe[[#This Row],[V2]]="","",Eingabe[[#This Row],[V2]]+Eingabe[[#This Row],[R2]])</f>
        <v>154</v>
      </c>
      <c r="AI128" s="23">
        <f>IF(Eingabe[[#This Row],[V3]]="","",Eingabe[[#This Row],[V3]]+Eingabe[[#This Row],[R3]])</f>
        <v>107</v>
      </c>
      <c r="AJ128" s="23">
        <f>IF(Eingabe[[#This Row],[V4]]="","",Eingabe[[#This Row],[V4]]+Eingabe[[#This Row],[R4]])</f>
        <v>115</v>
      </c>
      <c r="AK128" s="23">
        <f>IF(Eingabe[[#This Row],[S1P]]="","",Eingabe[[#This Row],[S1P]]+Eingabe[[#This Row],[S2P]]+Eingabe[[#This Row],[S3P]]+Eingabe[[#This Row],[S4P]])</f>
        <v>3</v>
      </c>
      <c r="AL128" s="23">
        <f>IF(Eingabe[[#This Row],[S1P]]="","",IF(Eingabe[[#This Row],[SP]]&gt;2,1,IF(Eingabe[[#This Row],[SP]]&lt;2,0,IF(Eingabe[[#This Row],[GES]]&gt;Eingabe[[#This Row],[GEGGES]],1,IF(Eingabe[[#This Row],[GES]]=Eingabe[[#This Row],[GEGGES]],0.5,0)))))</f>
        <v>1</v>
      </c>
      <c r="AM128" s="23">
        <f>IF(Eingabe[[#This Row],[MP]]="","",MOD(ROW(Eingabe[[#This Row],[Position]])-3,6)+1)</f>
        <v>6</v>
      </c>
      <c r="AN128" s="23">
        <f>STANDARDIZE(Eingabe[[#This Row],[GES]],Eingabe[[#This Row],[Schnitt]],VLOOKUP(Eingabe[[#This Row],[Name]],AuswertungG[],21,FALSE))</f>
        <v>0.37931034482758619</v>
      </c>
      <c r="AO128" s="23">
        <f>VLOOKUP(Eingabe[[#This Row],[ID]],Chronologie[[ID]:[KW]],12,FALSE)</f>
        <v>9</v>
      </c>
      <c r="AP128" s="59" t="str">
        <f>IF(Eingabe[[#This Row],[Wo]]="H",Eingabe[[#This Row],[Gegner]]&amp;" ["&amp;Eingabe[[#This Row],[Wo]]&amp;"]",Eingabe[[#This Row],[Ort]])</f>
        <v>Dresden</v>
      </c>
      <c r="AQ128" s="23" t="str">
        <f>IFERROR(IF(Eingabe[[#This Row],[Wo]]="H",IF(MOD(Eingabe[[#This Row],[Position]],2)=1,Eingabe[[#This Row],[S1]],Eingabe[[#This Row],[S4]]),""),"")</f>
        <v/>
      </c>
      <c r="AR128" s="23" t="str">
        <f>IFERROR(IF(Eingabe[[#This Row],[Wo]]="H",IF(Eingabe[[#This Row],[S1]]&gt;0,IF(MOD(Eingabe[[#This Row],[Position]],2)=1,Eingabe[[#This Row],[S2]],Eingabe[[#This Row],[S3]]),""),""),"")</f>
        <v/>
      </c>
      <c r="AS128" s="23" t="str">
        <f>IFERROR(IF(Eingabe[[#This Row],[Wo]]="H",IF(Eingabe[[#This Row],[S1]]&gt;0,IF(MOD(ROW(Eingabe[[#This Row],[Heimbahn 3]]),2)=1,Eingabe[[#This Row],[S4]],Eingabe[[#This Row],[S1]]),""),""),"")</f>
        <v/>
      </c>
      <c r="AT128" s="23" t="str">
        <f>IFERROR(IF(Eingabe[[#This Row],[Wo]]="H",IF(Eingabe[[#This Row],[S1]]&gt;0,IF(MOD(ROW(Eingabe[[#This Row],[Heimbahn 4]]),2)=1,Eingabe[[#This Row],[S3]],Eingabe[[#This Row],[S2]]),""),""),"")</f>
        <v/>
      </c>
      <c r="AU128" s="89">
        <f>IF(Eingabe[[#This Row],[GES]]="","",IF(Eingabe[[#This Row],[Modus]]="L",_xlfn.RANK.EQ(Eingabe[[#This Row],[GES]],AF123:AF128),IF(Eingabe[[#This Row],[Modus]]="P",_xlfn.RANK.EQ(Eingabe[[#This Row],[GES]],AF123:AF128),"")))</f>
        <v>2</v>
      </c>
      <c r="AV128" s="6">
        <f>VLOOKUP(Eingabe[[#This Row],[Name]],AuswertungG[],8,FALSE)</f>
        <v>510</v>
      </c>
      <c r="AZ128" s="6">
        <f>IFERROR(ABS(Eingabe[[#This Row],[GES]]-Eingabe[[#This Row],[GEGGES]]),"")</f>
        <v>1</v>
      </c>
    </row>
    <row r="129" spans="1:52" ht="16.2" hidden="1" thickBot="1" x14ac:dyDescent="0.35">
      <c r="A129" s="440">
        <f t="shared" ref="A129" si="21">B129</f>
        <v>22</v>
      </c>
      <c r="B129" s="55">
        <f t="shared" si="10"/>
        <v>22</v>
      </c>
      <c r="C129" s="35" t="str">
        <f>VLOOKUP($B129,Chronologie[],7,TRUE)</f>
        <v>KSV 66 Steinitz</v>
      </c>
      <c r="D129" s="35" t="str">
        <f>VLOOKUP($B129,Chronologie[],8,TRUE)</f>
        <v>Hirschfeld</v>
      </c>
      <c r="E129" s="36" t="str">
        <f>VLOOKUP($B129,Chronologie[],9,TRUE)</f>
        <v>H</v>
      </c>
      <c r="F129" s="35" t="str">
        <f>VLOOKUP($B129,Chronologie[],COLUMN(F130)-2,TRUE)</f>
        <v>F</v>
      </c>
      <c r="G129" s="35" t="str">
        <f>VLOOKUP($B129,Chronologie[],COLUMN(G130)-2,TRUE)</f>
        <v>L</v>
      </c>
      <c r="H129" s="35">
        <f>VLOOKUP($B129,Chronologie[],COLUMN(H130)-2,TRUE)</f>
        <v>4</v>
      </c>
      <c r="I129" s="9" t="str">
        <f>VLOOKUP($B129,Chronologie[],2,TRUE)</f>
        <v>F-L-4</v>
      </c>
      <c r="J129" s="242">
        <f>VLOOKUP($B129,Chronologie[],3,TRUE)</f>
        <v>45970</v>
      </c>
      <c r="K129" s="236" t="s">
        <v>474</v>
      </c>
      <c r="L129" s="334">
        <v>89</v>
      </c>
      <c r="M129" s="334">
        <v>77</v>
      </c>
      <c r="N129" s="334">
        <v>85</v>
      </c>
      <c r="O129" s="334">
        <v>93</v>
      </c>
      <c r="P129" s="334">
        <v>35</v>
      </c>
      <c r="Q129" s="334">
        <v>26</v>
      </c>
      <c r="R129" s="334">
        <v>51</v>
      </c>
      <c r="S129" s="334">
        <v>34</v>
      </c>
      <c r="T129" s="334">
        <v>2</v>
      </c>
      <c r="U129" s="334">
        <v>6</v>
      </c>
      <c r="V129" s="334">
        <v>1</v>
      </c>
      <c r="W129" s="334">
        <v>2</v>
      </c>
      <c r="X129" s="37">
        <v>1</v>
      </c>
      <c r="Y129" s="37">
        <v>0</v>
      </c>
      <c r="Z129" s="37">
        <v>1</v>
      </c>
      <c r="AA129" s="37">
        <v>1</v>
      </c>
      <c r="AB129" s="90">
        <v>452</v>
      </c>
      <c r="AC129" s="93">
        <f>IF(Eingabe[[#This Row],[V1]]="",IF(Eingabe[[#This Row],[Volle alternativ]]="","",Eingabe[[#This Row],[Volle alternativ]]),SUM(Eingabe[[#This Row],[V1]:[V4]]))</f>
        <v>344</v>
      </c>
      <c r="AD129" s="35">
        <f>IF(Eingabe[[#This Row],[R1]]="",IF(Eingabe[[#This Row],[Räumer alternativ]]="","",Eingabe[[#This Row],[Räumer alternativ]]),SUM(Eingabe[[#This Row],[R1]:[R4]]))</f>
        <v>146</v>
      </c>
      <c r="AE129" s="35">
        <f>IF(Eingabe[[#This Row],[F1]]="",IF(Eingabe[[#This Row],[Fehler alternativ]]="","",Eingabe[[#This Row],[Fehler alternativ]]),SUM(Eingabe[[#This Row],[F1]:[F4]]))</f>
        <v>11</v>
      </c>
      <c r="AF129" s="35">
        <f>IF(Eingabe[[#This Row],[Volle]]="","",IF(Eingabe[[#This Row],[S1]]="",Eingabe[[#This Row],[Volle]]+Eingabe[[#This Row],[Räumer]],IF(Eingabe[[#This Row],[Volle]]+Eingabe[[#This Row],[Räumer]]=Eingabe[[#This Row],[S1]]+Eingabe[[#This Row],[S2]]+Eingabe[[#This Row],[S3]]+Eingabe[[#This Row],[S4]],Eingabe[[#This Row],[Volle]]+Eingabe[[#This Row],[Räumer]],"FEHLER")))</f>
        <v>490</v>
      </c>
      <c r="AG129" s="35">
        <f>IF(Eingabe[[#This Row],[V1]]="","",Eingabe[[#This Row],[V1]]+Eingabe[[#This Row],[R1]])</f>
        <v>124</v>
      </c>
      <c r="AH129" s="35">
        <f>IF(Eingabe[[#This Row],[V2]]="","",Eingabe[[#This Row],[V2]]+Eingabe[[#This Row],[R2]])</f>
        <v>103</v>
      </c>
      <c r="AI129" s="35">
        <f>IF(Eingabe[[#This Row],[V3]]="","",Eingabe[[#This Row],[V3]]+Eingabe[[#This Row],[R3]])</f>
        <v>136</v>
      </c>
      <c r="AJ129" s="35">
        <f>IF(Eingabe[[#This Row],[V4]]="","",Eingabe[[#This Row],[V4]]+Eingabe[[#This Row],[R4]])</f>
        <v>127</v>
      </c>
      <c r="AK129" s="35">
        <f>IF(Eingabe[[#This Row],[S1P]]="","",Eingabe[[#This Row],[S1P]]+Eingabe[[#This Row],[S2P]]+Eingabe[[#This Row],[S3P]]+Eingabe[[#This Row],[S4P]])</f>
        <v>3</v>
      </c>
      <c r="AL129" s="35">
        <f>IF(Eingabe[[#This Row],[S1P]]="","",IF(Eingabe[[#This Row],[SP]]&gt;2,1,IF(Eingabe[[#This Row],[SP]]&lt;2,0,IF(Eingabe[[#This Row],[GES]]&gt;Eingabe[[#This Row],[GEGGES]],1,IF(Eingabe[[#This Row],[GES]]=Eingabe[[#This Row],[GEGGES]],0.5,0)))))</f>
        <v>1</v>
      </c>
      <c r="AM129" s="35">
        <f>IF(Eingabe[[#This Row],[MP]]="","",MOD(ROW(Eingabe[[#This Row],[Position]])-3,6)+1)</f>
        <v>1</v>
      </c>
      <c r="AN129" s="35">
        <f>STANDARDIZE(Eingabe[[#This Row],[GES]],Eingabe[[#This Row],[Schnitt]],VLOOKUP(Eingabe[[#This Row],[Name]],AuswertungG[],21,FALSE))</f>
        <v>-0.35483870967741937</v>
      </c>
      <c r="AO129" s="35">
        <f>VLOOKUP(Eingabe[[#This Row],[ID]],Chronologie[[ID]:[KW]],12,FALSE)</f>
        <v>11</v>
      </c>
      <c r="AP129" s="58" t="str">
        <f>IF(Eingabe[[#This Row],[Wo]]="H",Eingabe[[#This Row],[Gegner]]&amp;" ["&amp;Eingabe[[#This Row],[Wo]]&amp;"]",Eingabe[[#This Row],[Ort]])</f>
        <v>KSV 66 Steinitz [H]</v>
      </c>
      <c r="AQ129" s="35">
        <f>IFERROR(IF(Eingabe[[#This Row],[Wo]]="H",IF(MOD(Eingabe[[#This Row],[Position]],2)=1,Eingabe[[#This Row],[S1]],Eingabe[[#This Row],[S4]]),""),"")</f>
        <v>124</v>
      </c>
      <c r="AR129" s="35">
        <f>IFERROR(IF(Eingabe[[#This Row],[Wo]]="H",IF(Eingabe[[#This Row],[S1]]&gt;0,IF(MOD(Eingabe[[#This Row],[Position]],2)=1,Eingabe[[#This Row],[S2]],Eingabe[[#This Row],[S3]]),""),""),"")</f>
        <v>103</v>
      </c>
      <c r="AS129" s="35">
        <f>IFERROR(IF(Eingabe[[#This Row],[Wo]]="H",IF(Eingabe[[#This Row],[S1]]&gt;0,IF(MOD(ROW(Eingabe[[#This Row],[Heimbahn 3]]),2)=1,Eingabe[[#This Row],[S4]],Eingabe[[#This Row],[S1]]),""),""),"")</f>
        <v>127</v>
      </c>
      <c r="AT129" s="35">
        <f>IFERROR(IF(Eingabe[[#This Row],[Wo]]="H",IF(Eingabe[[#This Row],[S1]]&gt;0,IF(MOD(ROW(Eingabe[[#This Row],[Heimbahn 4]]),2)=1,Eingabe[[#This Row],[S3]],Eingabe[[#This Row],[S2]]),""),""),"")</f>
        <v>136</v>
      </c>
      <c r="AU129" s="88">
        <f>IF(Eingabe[[#This Row],[GES]]="","",IF(Eingabe[[#This Row],[Modus]]="L",_xlfn.RANK.EQ(Eingabe[[#This Row],[GES]],AF129:AF134),IF(Eingabe[[#This Row],[Modus]]="P",_xlfn.RANK.EQ(Eingabe[[#This Row],[GES]],AF129:AF134),"")))</f>
        <v>5</v>
      </c>
      <c r="AV129" s="6">
        <f>VLOOKUP(Eingabe[[#This Row],[Name]],AuswertungG[],8,FALSE)</f>
        <v>501</v>
      </c>
      <c r="AZ129" s="6">
        <f>IFERROR(ABS(Eingabe[[#This Row],[GES]]-Eingabe[[#This Row],[GEGGES]]),"")</f>
        <v>38</v>
      </c>
    </row>
    <row r="130" spans="1:52" ht="16.2" hidden="1" thickBot="1" x14ac:dyDescent="0.35">
      <c r="A130" s="441"/>
      <c r="B130" s="21">
        <f t="shared" si="10"/>
        <v>22</v>
      </c>
      <c r="C130" s="6" t="str">
        <f>VLOOKUP($B130,Chronologie[],7,TRUE)</f>
        <v>KSV 66 Steinitz</v>
      </c>
      <c r="D130" s="6" t="str">
        <f>VLOOKUP($B130,Chronologie[],8,TRUE)</f>
        <v>Hirschfeld</v>
      </c>
      <c r="E130" s="240" t="str">
        <f>VLOOKUP($B130,Chronologie[],9,TRUE)</f>
        <v>H</v>
      </c>
      <c r="F130" s="6" t="str">
        <f>VLOOKUP($B130,Chronologie[],COLUMN(F131)-2,TRUE)</f>
        <v>F</v>
      </c>
      <c r="G130" s="6" t="str">
        <f>VLOOKUP($B130,Chronologie[],COLUMN(G131)-2,TRUE)</f>
        <v>L</v>
      </c>
      <c r="H130" s="6">
        <f>VLOOKUP($B130,Chronologie[],COLUMN(H131)-2,TRUE)</f>
        <v>4</v>
      </c>
      <c r="I130" s="10" t="str">
        <f>VLOOKUP($B130,Chronologie[],2,TRUE)</f>
        <v>F-L-4</v>
      </c>
      <c r="J130" s="243">
        <f>VLOOKUP($B130,Chronologie[],3,TRUE)</f>
        <v>45970</v>
      </c>
      <c r="K130" s="237" t="s">
        <v>480</v>
      </c>
      <c r="L130" s="237">
        <v>87</v>
      </c>
      <c r="M130" s="237">
        <v>87</v>
      </c>
      <c r="N130" s="237">
        <v>88</v>
      </c>
      <c r="O130" s="237">
        <v>82</v>
      </c>
      <c r="P130" s="237">
        <v>45</v>
      </c>
      <c r="Q130" s="237">
        <v>45</v>
      </c>
      <c r="R130" s="237">
        <v>36</v>
      </c>
      <c r="S130" s="237">
        <v>35</v>
      </c>
      <c r="T130" s="237">
        <v>2</v>
      </c>
      <c r="U130" s="237">
        <v>1</v>
      </c>
      <c r="V130" s="237">
        <v>2</v>
      </c>
      <c r="W130" s="237">
        <v>1</v>
      </c>
      <c r="X130" s="237">
        <v>1</v>
      </c>
      <c r="Y130" s="237">
        <v>1</v>
      </c>
      <c r="Z130" s="237">
        <v>0</v>
      </c>
      <c r="AA130" s="237">
        <v>1</v>
      </c>
      <c r="AB130" s="38">
        <v>475</v>
      </c>
      <c r="AC130" s="94">
        <f>IF(Eingabe[[#This Row],[V1]]="",IF(Eingabe[[#This Row],[Volle alternativ]]="","",Eingabe[[#This Row],[Volle alternativ]]),SUM(Eingabe[[#This Row],[V1]:[V4]]))</f>
        <v>344</v>
      </c>
      <c r="AD130" s="6">
        <f>IF(Eingabe[[#This Row],[R1]]="",IF(Eingabe[[#This Row],[Räumer alternativ]]="","",Eingabe[[#This Row],[Räumer alternativ]]),SUM(Eingabe[[#This Row],[R1]:[R4]]))</f>
        <v>161</v>
      </c>
      <c r="AE130" s="6">
        <f>IF(Eingabe[[#This Row],[F1]]="",IF(Eingabe[[#This Row],[Fehler alternativ]]="","",Eingabe[[#This Row],[Fehler alternativ]]),SUM(Eingabe[[#This Row],[F1]:[F4]]))</f>
        <v>6</v>
      </c>
      <c r="AF130" s="6">
        <f>IF(Eingabe[[#This Row],[Volle]]="","",IF(Eingabe[[#This Row],[S1]]="",Eingabe[[#This Row],[Volle]]+Eingabe[[#This Row],[Räumer]],IF(Eingabe[[#This Row],[Volle]]+Eingabe[[#This Row],[Räumer]]=Eingabe[[#This Row],[S1]]+Eingabe[[#This Row],[S2]]+Eingabe[[#This Row],[S3]]+Eingabe[[#This Row],[S4]],Eingabe[[#This Row],[Volle]]+Eingabe[[#This Row],[Räumer]],"FEHLER")))</f>
        <v>505</v>
      </c>
      <c r="AG130" s="6">
        <f>IF(Eingabe[[#This Row],[V1]]="","",Eingabe[[#This Row],[V1]]+Eingabe[[#This Row],[R1]])</f>
        <v>132</v>
      </c>
      <c r="AH130" s="6">
        <f>IF(Eingabe[[#This Row],[V2]]="","",Eingabe[[#This Row],[V2]]+Eingabe[[#This Row],[R2]])</f>
        <v>132</v>
      </c>
      <c r="AI130" s="6">
        <f>IF(Eingabe[[#This Row],[V3]]="","",Eingabe[[#This Row],[V3]]+Eingabe[[#This Row],[R3]])</f>
        <v>124</v>
      </c>
      <c r="AJ130" s="6">
        <f>IF(Eingabe[[#This Row],[V4]]="","",Eingabe[[#This Row],[V4]]+Eingabe[[#This Row],[R4]])</f>
        <v>117</v>
      </c>
      <c r="AK130" s="6">
        <f>IF(Eingabe[[#This Row],[S1P]]="","",Eingabe[[#This Row],[S1P]]+Eingabe[[#This Row],[S2P]]+Eingabe[[#This Row],[S3P]]+Eingabe[[#This Row],[S4P]])</f>
        <v>3</v>
      </c>
      <c r="AL130" s="6">
        <f>IF(Eingabe[[#This Row],[S1P]]="","",IF(Eingabe[[#This Row],[SP]]&gt;2,1,IF(Eingabe[[#This Row],[SP]]&lt;2,0,IF(Eingabe[[#This Row],[GES]]&gt;Eingabe[[#This Row],[GEGGES]],1,IF(Eingabe[[#This Row],[GES]]=Eingabe[[#This Row],[GEGGES]],0.5,0)))))</f>
        <v>1</v>
      </c>
      <c r="AM130" s="6">
        <f>IF(Eingabe[[#This Row],[MP]]="","",MOD(ROW(Eingabe[[#This Row],[Position]])-3,6)+1)</f>
        <v>2</v>
      </c>
      <c r="AN130" s="6">
        <f>STANDARDIZE(Eingabe[[#This Row],[GES]],Eingabe[[#This Row],[Schnitt]],VLOOKUP(Eingabe[[#This Row],[Name]],AuswertungG[],21,FALSE))</f>
        <v>-0.33333333333333331</v>
      </c>
      <c r="AO130" s="6">
        <f>VLOOKUP(Eingabe[[#This Row],[ID]],Chronologie[[ID]:[KW]],12,FALSE)</f>
        <v>11</v>
      </c>
      <c r="AP130" s="95" t="str">
        <f>IF(Eingabe[[#This Row],[Wo]]="H",Eingabe[[#This Row],[Gegner]]&amp;" ["&amp;Eingabe[[#This Row],[Wo]]&amp;"]",Eingabe[[#This Row],[Ort]])</f>
        <v>KSV 66 Steinitz [H]</v>
      </c>
      <c r="AQ130" s="6">
        <f>IFERROR(IF(Eingabe[[#This Row],[Wo]]="H",IF(MOD(Eingabe[[#This Row],[Position]],2)=1,Eingabe[[#This Row],[S1]],Eingabe[[#This Row],[S4]]),""),"")</f>
        <v>117</v>
      </c>
      <c r="AR130" s="6">
        <f>IFERROR(IF(Eingabe[[#This Row],[Wo]]="H",IF(Eingabe[[#This Row],[S1]]&gt;0,IF(MOD(Eingabe[[#This Row],[Position]],2)=1,Eingabe[[#This Row],[S2]],Eingabe[[#This Row],[S3]]),""),""),"")</f>
        <v>124</v>
      </c>
      <c r="AS130" s="6">
        <f>IFERROR(IF(Eingabe[[#This Row],[Wo]]="H",IF(Eingabe[[#This Row],[S1]]&gt;0,IF(MOD(ROW(Eingabe[[#This Row],[Heimbahn 3]]),2)=1,Eingabe[[#This Row],[S4]],Eingabe[[#This Row],[S1]]),""),""),"")</f>
        <v>132</v>
      </c>
      <c r="AT130" s="6">
        <f>IFERROR(IF(Eingabe[[#This Row],[Wo]]="H",IF(Eingabe[[#This Row],[S1]]&gt;0,IF(MOD(ROW(Eingabe[[#This Row],[Heimbahn 4]]),2)=1,Eingabe[[#This Row],[S3]],Eingabe[[#This Row],[S2]]),""),""),"")</f>
        <v>132</v>
      </c>
      <c r="AU130" s="22">
        <f>IF(Eingabe[[#This Row],[GES]]="","",IF(Eingabe[[#This Row],[Modus]]="L",_xlfn.RANK.EQ(Eingabe[[#This Row],[GES]],AF129:AF134),IF(Eingabe[[#This Row],[Modus]]="P",_xlfn.RANK.EQ(Eingabe[[#This Row],[GES]],AF129:AF134),"")))</f>
        <v>3</v>
      </c>
      <c r="AV130" s="6">
        <f>VLOOKUP(Eingabe[[#This Row],[Name]],AuswertungG[],8,FALSE)</f>
        <v>509</v>
      </c>
      <c r="AZ130" s="6">
        <f>IFERROR(ABS(Eingabe[[#This Row],[GES]]-Eingabe[[#This Row],[GEGGES]]),"")</f>
        <v>30</v>
      </c>
    </row>
    <row r="131" spans="1:52" ht="16.2" hidden="1" thickBot="1" x14ac:dyDescent="0.35">
      <c r="A131" s="441"/>
      <c r="B131" s="21">
        <f t="shared" si="10"/>
        <v>22</v>
      </c>
      <c r="C131" s="6" t="str">
        <f>VLOOKUP($B131,Chronologie[],7,TRUE)</f>
        <v>KSV 66 Steinitz</v>
      </c>
      <c r="D131" s="6" t="str">
        <f>VLOOKUP($B131,Chronologie[],8,TRUE)</f>
        <v>Hirschfeld</v>
      </c>
      <c r="E131" s="240" t="str">
        <f>VLOOKUP($B131,Chronologie[],9,TRUE)</f>
        <v>H</v>
      </c>
      <c r="F131" s="6" t="str">
        <f>VLOOKUP($B131,Chronologie[],COLUMN(F132)-2,TRUE)</f>
        <v>F</v>
      </c>
      <c r="G131" s="6" t="str">
        <f>VLOOKUP($B131,Chronologie[],COLUMN(G132)-2,TRUE)</f>
        <v>L</v>
      </c>
      <c r="H131" s="6">
        <f>VLOOKUP($B131,Chronologie[],COLUMN(H132)-2,TRUE)</f>
        <v>4</v>
      </c>
      <c r="I131" s="10" t="str">
        <f>VLOOKUP($B131,Chronologie[],2,TRUE)</f>
        <v>F-L-4</v>
      </c>
      <c r="J131" s="243">
        <f>VLOOKUP($B131,Chronologie[],3,TRUE)</f>
        <v>45970</v>
      </c>
      <c r="K131" s="237" t="s">
        <v>458</v>
      </c>
      <c r="L131" s="237">
        <v>82</v>
      </c>
      <c r="M131" s="237">
        <v>92</v>
      </c>
      <c r="N131" s="237">
        <v>75</v>
      </c>
      <c r="O131" s="237">
        <v>85</v>
      </c>
      <c r="P131" s="237">
        <v>52</v>
      </c>
      <c r="Q131" s="237">
        <v>54</v>
      </c>
      <c r="R131" s="237">
        <v>41</v>
      </c>
      <c r="S131" s="237">
        <v>25</v>
      </c>
      <c r="T131" s="237">
        <v>1</v>
      </c>
      <c r="U131" s="237">
        <v>2</v>
      </c>
      <c r="V131" s="237">
        <v>0</v>
      </c>
      <c r="W131" s="237">
        <v>5</v>
      </c>
      <c r="X131" s="38">
        <v>1</v>
      </c>
      <c r="Y131" s="38">
        <v>1</v>
      </c>
      <c r="Z131" s="38">
        <v>1</v>
      </c>
      <c r="AA131" s="38">
        <v>0</v>
      </c>
      <c r="AB131" s="91">
        <v>445</v>
      </c>
      <c r="AC131" s="94">
        <f>IF(Eingabe[[#This Row],[V1]]="",IF(Eingabe[[#This Row],[Volle alternativ]]="","",Eingabe[[#This Row],[Volle alternativ]]),SUM(Eingabe[[#This Row],[V1]:[V4]]))</f>
        <v>334</v>
      </c>
      <c r="AD131" s="6">
        <f>IF(Eingabe[[#This Row],[R1]]="",IF(Eingabe[[#This Row],[Räumer alternativ]]="","",Eingabe[[#This Row],[Räumer alternativ]]),SUM(Eingabe[[#This Row],[R1]:[R4]]))</f>
        <v>172</v>
      </c>
      <c r="AE131" s="6">
        <f>IF(Eingabe[[#This Row],[F1]]="",IF(Eingabe[[#This Row],[Fehler alternativ]]="","",Eingabe[[#This Row],[Fehler alternativ]]),SUM(Eingabe[[#This Row],[F1]:[F4]]))</f>
        <v>8</v>
      </c>
      <c r="AF131" s="6">
        <f>IF(Eingabe[[#This Row],[Volle]]="","",IF(Eingabe[[#This Row],[S1]]="",Eingabe[[#This Row],[Volle]]+Eingabe[[#This Row],[Räumer]],IF(Eingabe[[#This Row],[Volle]]+Eingabe[[#This Row],[Räumer]]=Eingabe[[#This Row],[S1]]+Eingabe[[#This Row],[S2]]+Eingabe[[#This Row],[S3]]+Eingabe[[#This Row],[S4]],Eingabe[[#This Row],[Volle]]+Eingabe[[#This Row],[Räumer]],"FEHLER")))</f>
        <v>506</v>
      </c>
      <c r="AG131" s="6">
        <f>IF(Eingabe[[#This Row],[V1]]="","",Eingabe[[#This Row],[V1]]+Eingabe[[#This Row],[R1]])</f>
        <v>134</v>
      </c>
      <c r="AH131" s="6">
        <f>IF(Eingabe[[#This Row],[V2]]="","",Eingabe[[#This Row],[V2]]+Eingabe[[#This Row],[R2]])</f>
        <v>146</v>
      </c>
      <c r="AI131" s="6">
        <f>IF(Eingabe[[#This Row],[V3]]="","",Eingabe[[#This Row],[V3]]+Eingabe[[#This Row],[R3]])</f>
        <v>116</v>
      </c>
      <c r="AJ131" s="6">
        <f>IF(Eingabe[[#This Row],[V4]]="","",Eingabe[[#This Row],[V4]]+Eingabe[[#This Row],[R4]])</f>
        <v>110</v>
      </c>
      <c r="AK131" s="6">
        <f>IF(Eingabe[[#This Row],[S1P]]="","",Eingabe[[#This Row],[S1P]]+Eingabe[[#This Row],[S2P]]+Eingabe[[#This Row],[S3P]]+Eingabe[[#This Row],[S4P]])</f>
        <v>3</v>
      </c>
      <c r="AL131" s="6">
        <f>IF(Eingabe[[#This Row],[S1P]]="","",IF(Eingabe[[#This Row],[SP]]&gt;2,1,IF(Eingabe[[#This Row],[SP]]&lt;2,0,IF(Eingabe[[#This Row],[GES]]&gt;Eingabe[[#This Row],[GEGGES]],1,IF(Eingabe[[#This Row],[GES]]=Eingabe[[#This Row],[GEGGES]],0.5,0)))))</f>
        <v>1</v>
      </c>
      <c r="AM131" s="6">
        <f>IF(Eingabe[[#This Row],[MP]]="","",MOD(ROW(Eingabe[[#This Row],[Position]])-3,6)+1)</f>
        <v>3</v>
      </c>
      <c r="AN131" s="6">
        <f>STANDARDIZE(Eingabe[[#This Row],[GES]],Eingabe[[#This Row],[Schnitt]],VLOOKUP(Eingabe[[#This Row],[Name]],AuswertungG[],21,FALSE))</f>
        <v>-0.1</v>
      </c>
      <c r="AO131" s="6">
        <f>VLOOKUP(Eingabe[[#This Row],[ID]],Chronologie[[ID]:[KW]],12,FALSE)</f>
        <v>11</v>
      </c>
      <c r="AP131" s="95" t="str">
        <f>IF(Eingabe[[#This Row],[Wo]]="H",Eingabe[[#This Row],[Gegner]]&amp;" ["&amp;Eingabe[[#This Row],[Wo]]&amp;"]",Eingabe[[#This Row],[Ort]])</f>
        <v>KSV 66 Steinitz [H]</v>
      </c>
      <c r="AQ131" s="6">
        <f>IFERROR(IF(Eingabe[[#This Row],[Wo]]="H",IF(MOD(Eingabe[[#This Row],[Position]],2)=1,Eingabe[[#This Row],[S1]],Eingabe[[#This Row],[S4]]),""),"")</f>
        <v>134</v>
      </c>
      <c r="AR131" s="6">
        <f>IFERROR(IF(Eingabe[[#This Row],[Wo]]="H",IF(Eingabe[[#This Row],[S1]]&gt;0,IF(MOD(Eingabe[[#This Row],[Position]],2)=1,Eingabe[[#This Row],[S2]],Eingabe[[#This Row],[S3]]),""),""),"")</f>
        <v>146</v>
      </c>
      <c r="AS131" s="6">
        <f>IFERROR(IF(Eingabe[[#This Row],[Wo]]="H",IF(Eingabe[[#This Row],[S1]]&gt;0,IF(MOD(ROW(Eingabe[[#This Row],[Heimbahn 3]]),2)=1,Eingabe[[#This Row],[S4]],Eingabe[[#This Row],[S1]]),""),""),"")</f>
        <v>110</v>
      </c>
      <c r="AT131" s="6">
        <f>IFERROR(IF(Eingabe[[#This Row],[Wo]]="H",IF(Eingabe[[#This Row],[S1]]&gt;0,IF(MOD(ROW(Eingabe[[#This Row],[Heimbahn 4]]),2)=1,Eingabe[[#This Row],[S3]],Eingabe[[#This Row],[S2]]),""),""),"")</f>
        <v>116</v>
      </c>
      <c r="AU131" s="22">
        <f>IF(Eingabe[[#This Row],[GES]]="","",IF(Eingabe[[#This Row],[Modus]]="L",_xlfn.RANK.EQ(Eingabe[[#This Row],[GES]],AF129:AF134),IF(Eingabe[[#This Row],[Modus]]="P",_xlfn.RANK.EQ(Eingabe[[#This Row],[GES]],AF129:AF134),"")))</f>
        <v>1</v>
      </c>
      <c r="AV131" s="6">
        <f>VLOOKUP(Eingabe[[#This Row],[Name]],AuswertungG[],8,FALSE)</f>
        <v>508</v>
      </c>
      <c r="AZ131" s="6">
        <f>IFERROR(ABS(Eingabe[[#This Row],[GES]]-Eingabe[[#This Row],[GEGGES]]),"")</f>
        <v>61</v>
      </c>
    </row>
    <row r="132" spans="1:52" ht="16.2" hidden="1" thickBot="1" x14ac:dyDescent="0.35">
      <c r="A132" s="441"/>
      <c r="B132" s="21">
        <f t="shared" ref="B132:B195" si="22">ROUNDUP((ROW(B132)-2)/6,0)</f>
        <v>22</v>
      </c>
      <c r="C132" s="6" t="str">
        <f>VLOOKUP($B132,Chronologie[],7,TRUE)</f>
        <v>KSV 66 Steinitz</v>
      </c>
      <c r="D132" s="6" t="str">
        <f>VLOOKUP($B132,Chronologie[],8,TRUE)</f>
        <v>Hirschfeld</v>
      </c>
      <c r="E132" s="240" t="str">
        <f>VLOOKUP($B132,Chronologie[],9,TRUE)</f>
        <v>H</v>
      </c>
      <c r="F132" s="6" t="str">
        <f>VLOOKUP($B132,Chronologie[],COLUMN(F133)-2,TRUE)</f>
        <v>F</v>
      </c>
      <c r="G132" s="6" t="str">
        <f>VLOOKUP($B132,Chronologie[],COLUMN(G133)-2,TRUE)</f>
        <v>L</v>
      </c>
      <c r="H132" s="6">
        <f>VLOOKUP($B132,Chronologie[],COLUMN(H133)-2,TRUE)</f>
        <v>4</v>
      </c>
      <c r="I132" s="10" t="str">
        <f>VLOOKUP($B132,Chronologie[],2,TRUE)</f>
        <v>F-L-4</v>
      </c>
      <c r="J132" s="243">
        <f>VLOOKUP($B132,Chronologie[],3,TRUE)</f>
        <v>45970</v>
      </c>
      <c r="K132" s="238" t="s">
        <v>464</v>
      </c>
      <c r="L132" s="237">
        <v>82</v>
      </c>
      <c r="M132" s="237">
        <v>81</v>
      </c>
      <c r="N132" s="237">
        <v>102</v>
      </c>
      <c r="O132" s="237">
        <v>85</v>
      </c>
      <c r="P132" s="237">
        <v>44</v>
      </c>
      <c r="Q132" s="237">
        <v>27</v>
      </c>
      <c r="R132" s="237">
        <v>41</v>
      </c>
      <c r="S132" s="237">
        <v>35</v>
      </c>
      <c r="T132" s="237">
        <v>2</v>
      </c>
      <c r="U132" s="237">
        <v>4</v>
      </c>
      <c r="V132" s="237">
        <v>1</v>
      </c>
      <c r="W132" s="237">
        <v>2</v>
      </c>
      <c r="X132" s="38">
        <v>1</v>
      </c>
      <c r="Y132" s="38">
        <v>1</v>
      </c>
      <c r="Z132" s="38">
        <v>1</v>
      </c>
      <c r="AA132" s="38">
        <v>1</v>
      </c>
      <c r="AB132" s="91">
        <v>421</v>
      </c>
      <c r="AC132" s="94">
        <f>IF(Eingabe[[#This Row],[V1]]="",IF(Eingabe[[#This Row],[Volle alternativ]]="","",Eingabe[[#This Row],[Volle alternativ]]),SUM(Eingabe[[#This Row],[V1]:[V4]]))</f>
        <v>350</v>
      </c>
      <c r="AD132" s="6">
        <f>IF(Eingabe[[#This Row],[R1]]="",IF(Eingabe[[#This Row],[Räumer alternativ]]="","",Eingabe[[#This Row],[Räumer alternativ]]),SUM(Eingabe[[#This Row],[R1]:[R4]]))</f>
        <v>147</v>
      </c>
      <c r="AE132" s="6">
        <f>IF(Eingabe[[#This Row],[F1]]="",IF(Eingabe[[#This Row],[Fehler alternativ]]="","",Eingabe[[#This Row],[Fehler alternativ]]),SUM(Eingabe[[#This Row],[F1]:[F4]]))</f>
        <v>9</v>
      </c>
      <c r="AF132" s="6">
        <f>IF(Eingabe[[#This Row],[Volle]]="","",IF(Eingabe[[#This Row],[S1]]="",Eingabe[[#This Row],[Volle]]+Eingabe[[#This Row],[Räumer]],IF(Eingabe[[#This Row],[Volle]]+Eingabe[[#This Row],[Räumer]]=Eingabe[[#This Row],[S1]]+Eingabe[[#This Row],[S2]]+Eingabe[[#This Row],[S3]]+Eingabe[[#This Row],[S4]],Eingabe[[#This Row],[Volle]]+Eingabe[[#This Row],[Räumer]],"FEHLER")))</f>
        <v>497</v>
      </c>
      <c r="AG132" s="6">
        <f>IF(Eingabe[[#This Row],[V1]]="","",Eingabe[[#This Row],[V1]]+Eingabe[[#This Row],[R1]])</f>
        <v>126</v>
      </c>
      <c r="AH132" s="6">
        <f>IF(Eingabe[[#This Row],[V2]]="","",Eingabe[[#This Row],[V2]]+Eingabe[[#This Row],[R2]])</f>
        <v>108</v>
      </c>
      <c r="AI132" s="6">
        <f>IF(Eingabe[[#This Row],[V3]]="","",Eingabe[[#This Row],[V3]]+Eingabe[[#This Row],[R3]])</f>
        <v>143</v>
      </c>
      <c r="AJ132" s="6">
        <f>IF(Eingabe[[#This Row],[V4]]="","",Eingabe[[#This Row],[V4]]+Eingabe[[#This Row],[R4]])</f>
        <v>120</v>
      </c>
      <c r="AK132" s="6">
        <f>IF(Eingabe[[#This Row],[S1P]]="","",Eingabe[[#This Row],[S1P]]+Eingabe[[#This Row],[S2P]]+Eingabe[[#This Row],[S3P]]+Eingabe[[#This Row],[S4P]])</f>
        <v>4</v>
      </c>
      <c r="AL132" s="6">
        <f>IF(Eingabe[[#This Row],[S1P]]="","",IF(Eingabe[[#This Row],[SP]]&gt;2,1,IF(Eingabe[[#This Row],[SP]]&lt;2,0,IF(Eingabe[[#This Row],[GES]]&gt;Eingabe[[#This Row],[GEGGES]],1,IF(Eingabe[[#This Row],[GES]]=Eingabe[[#This Row],[GEGGES]],0.5,0)))))</f>
        <v>1</v>
      </c>
      <c r="AM132" s="6">
        <f>IF(Eingabe[[#This Row],[MP]]="","",MOD(ROW(Eingabe[[#This Row],[Position]])-3,6)+1)</f>
        <v>4</v>
      </c>
      <c r="AN132" s="6">
        <f>STANDARDIZE(Eingabe[[#This Row],[GES]],Eingabe[[#This Row],[Schnitt]],VLOOKUP(Eingabe[[#This Row],[Name]],AuswertungG[],21,FALSE))</f>
        <v>5.8823529411764705E-2</v>
      </c>
      <c r="AO132" s="6">
        <f>VLOOKUP(Eingabe[[#This Row],[ID]],Chronologie[[ID]:[KW]],12,FALSE)</f>
        <v>11</v>
      </c>
      <c r="AP132" s="95" t="str">
        <f>IF(Eingabe[[#This Row],[Wo]]="H",Eingabe[[#This Row],[Gegner]]&amp;" ["&amp;Eingabe[[#This Row],[Wo]]&amp;"]",Eingabe[[#This Row],[Ort]])</f>
        <v>KSV 66 Steinitz [H]</v>
      </c>
      <c r="AQ132" s="6">
        <f>IFERROR(IF(Eingabe[[#This Row],[Wo]]="H",IF(MOD(Eingabe[[#This Row],[Position]],2)=1,Eingabe[[#This Row],[S1]],Eingabe[[#This Row],[S4]]),""),"")</f>
        <v>120</v>
      </c>
      <c r="AR132" s="6">
        <f>IFERROR(IF(Eingabe[[#This Row],[Wo]]="H",IF(Eingabe[[#This Row],[S1]]&gt;0,IF(MOD(Eingabe[[#This Row],[Position]],2)=1,Eingabe[[#This Row],[S2]],Eingabe[[#This Row],[S3]]),""),""),"")</f>
        <v>143</v>
      </c>
      <c r="AS132" s="6">
        <f>IFERROR(IF(Eingabe[[#This Row],[Wo]]="H",IF(Eingabe[[#This Row],[S1]]&gt;0,IF(MOD(ROW(Eingabe[[#This Row],[Heimbahn 3]]),2)=1,Eingabe[[#This Row],[S4]],Eingabe[[#This Row],[S1]]),""),""),"")</f>
        <v>126</v>
      </c>
      <c r="AT132" s="6">
        <f>IFERROR(IF(Eingabe[[#This Row],[Wo]]="H",IF(Eingabe[[#This Row],[S1]]&gt;0,IF(MOD(ROW(Eingabe[[#This Row],[Heimbahn 4]]),2)=1,Eingabe[[#This Row],[S3]],Eingabe[[#This Row],[S2]]),""),""),"")</f>
        <v>108</v>
      </c>
      <c r="AU132" s="22">
        <f>IF(Eingabe[[#This Row],[GES]]="","",IF(Eingabe[[#This Row],[Modus]]="L",_xlfn.RANK.EQ(Eingabe[[#This Row],[GES]],AF129:AF134),IF(Eingabe[[#This Row],[Modus]]="P",_xlfn.RANK.EQ(Eingabe[[#This Row],[GES]],AF129:AF134),"")))</f>
        <v>4</v>
      </c>
      <c r="AV132" s="6">
        <f>VLOOKUP(Eingabe[[#This Row],[Name]],AuswertungG[],8,FALSE)</f>
        <v>495</v>
      </c>
      <c r="AZ132" s="6">
        <f>IFERROR(ABS(Eingabe[[#This Row],[GES]]-Eingabe[[#This Row],[GEGGES]]),"")</f>
        <v>76</v>
      </c>
    </row>
    <row r="133" spans="1:52" ht="16.2" hidden="1" thickBot="1" x14ac:dyDescent="0.35">
      <c r="A133" s="441"/>
      <c r="B133" s="21">
        <f t="shared" si="22"/>
        <v>22</v>
      </c>
      <c r="C133" s="6" t="str">
        <f>VLOOKUP($B133,Chronologie[],7,TRUE)</f>
        <v>KSV 66 Steinitz</v>
      </c>
      <c r="D133" s="6" t="str">
        <f>VLOOKUP($B133,Chronologie[],8,TRUE)</f>
        <v>Hirschfeld</v>
      </c>
      <c r="E133" s="240" t="str">
        <f>VLOOKUP($B133,Chronologie[],9,TRUE)</f>
        <v>H</v>
      </c>
      <c r="F133" s="6" t="str">
        <f>VLOOKUP($B133,Chronologie[],COLUMN(F134)-2,TRUE)</f>
        <v>F</v>
      </c>
      <c r="G133" s="6" t="str">
        <f>VLOOKUP($B133,Chronologie[],COLUMN(G134)-2,TRUE)</f>
        <v>L</v>
      </c>
      <c r="H133" s="6">
        <f>VLOOKUP($B133,Chronologie[],COLUMN(H134)-2,TRUE)</f>
        <v>4</v>
      </c>
      <c r="I133" s="10" t="str">
        <f>VLOOKUP($B133,Chronologie[],2,TRUE)</f>
        <v>F-L-4</v>
      </c>
      <c r="J133" s="243">
        <f>VLOOKUP($B133,Chronologie[],3,TRUE)</f>
        <v>45970</v>
      </c>
      <c r="K133" s="237" t="s">
        <v>592</v>
      </c>
      <c r="L133" s="237">
        <v>78</v>
      </c>
      <c r="M133" s="237">
        <v>95</v>
      </c>
      <c r="N133" s="237">
        <v>83</v>
      </c>
      <c r="O133" s="237">
        <v>75</v>
      </c>
      <c r="P133" s="237">
        <v>17</v>
      </c>
      <c r="Q133" s="237">
        <v>36</v>
      </c>
      <c r="R133" s="237">
        <v>43</v>
      </c>
      <c r="S133" s="237">
        <v>36</v>
      </c>
      <c r="T133" s="237">
        <v>6</v>
      </c>
      <c r="U133" s="237">
        <v>2</v>
      </c>
      <c r="V133" s="237">
        <v>1</v>
      </c>
      <c r="W133" s="237">
        <v>2</v>
      </c>
      <c r="X133" s="38">
        <v>0</v>
      </c>
      <c r="Y133" s="38">
        <v>1</v>
      </c>
      <c r="Z133" s="38">
        <v>1</v>
      </c>
      <c r="AA133" s="38">
        <v>0</v>
      </c>
      <c r="AB133" s="91">
        <v>446</v>
      </c>
      <c r="AC133" s="94">
        <f>IF(Eingabe[[#This Row],[V1]]="",IF(Eingabe[[#This Row],[Volle alternativ]]="","",Eingabe[[#This Row],[Volle alternativ]]),SUM(Eingabe[[#This Row],[V1]:[V4]]))</f>
        <v>331</v>
      </c>
      <c r="AD133" s="6">
        <f>IF(Eingabe[[#This Row],[R1]]="",IF(Eingabe[[#This Row],[Räumer alternativ]]="","",Eingabe[[#This Row],[Räumer alternativ]]),SUM(Eingabe[[#This Row],[R1]:[R4]]))</f>
        <v>132</v>
      </c>
      <c r="AE133" s="6">
        <f>IF(Eingabe[[#This Row],[F1]]="",IF(Eingabe[[#This Row],[Fehler alternativ]]="","",Eingabe[[#This Row],[Fehler alternativ]]),SUM(Eingabe[[#This Row],[F1]:[F4]]))</f>
        <v>11</v>
      </c>
      <c r="AF133" s="6">
        <f>IF(Eingabe[[#This Row],[Volle]]="","",IF(Eingabe[[#This Row],[S1]]="",Eingabe[[#This Row],[Volle]]+Eingabe[[#This Row],[Räumer]],IF(Eingabe[[#This Row],[Volle]]+Eingabe[[#This Row],[Räumer]]=Eingabe[[#This Row],[S1]]+Eingabe[[#This Row],[S2]]+Eingabe[[#This Row],[S3]]+Eingabe[[#This Row],[S4]],Eingabe[[#This Row],[Volle]]+Eingabe[[#This Row],[Räumer]],"FEHLER")))</f>
        <v>463</v>
      </c>
      <c r="AG133" s="6">
        <f>IF(Eingabe[[#This Row],[V1]]="","",Eingabe[[#This Row],[V1]]+Eingabe[[#This Row],[R1]])</f>
        <v>95</v>
      </c>
      <c r="AH133" s="6">
        <f>IF(Eingabe[[#This Row],[V2]]="","",Eingabe[[#This Row],[V2]]+Eingabe[[#This Row],[R2]])</f>
        <v>131</v>
      </c>
      <c r="AI133" s="6">
        <f>IF(Eingabe[[#This Row],[V3]]="","",Eingabe[[#This Row],[V3]]+Eingabe[[#This Row],[R3]])</f>
        <v>126</v>
      </c>
      <c r="AJ133" s="6">
        <f>IF(Eingabe[[#This Row],[V4]]="","",Eingabe[[#This Row],[V4]]+Eingabe[[#This Row],[R4]])</f>
        <v>111</v>
      </c>
      <c r="AK133" s="6">
        <f>IF(Eingabe[[#This Row],[S1P]]="","",Eingabe[[#This Row],[S1P]]+Eingabe[[#This Row],[S2P]]+Eingabe[[#This Row],[S3P]]+Eingabe[[#This Row],[S4P]])</f>
        <v>2</v>
      </c>
      <c r="AL133" s="6">
        <f>IF(Eingabe[[#This Row],[S1P]]="","",IF(Eingabe[[#This Row],[SP]]&gt;2,1,IF(Eingabe[[#This Row],[SP]]&lt;2,0,IF(Eingabe[[#This Row],[GES]]&gt;Eingabe[[#This Row],[GEGGES]],1,IF(Eingabe[[#This Row],[GES]]=Eingabe[[#This Row],[GEGGES]],0.5,0)))))</f>
        <v>1</v>
      </c>
      <c r="AM133" s="6">
        <f>IF(Eingabe[[#This Row],[MP]]="","",MOD(ROW(Eingabe[[#This Row],[Position]])-3,6)+1)</f>
        <v>5</v>
      </c>
      <c r="AN133" s="6">
        <f>STANDARDIZE(Eingabe[[#This Row],[GES]],Eingabe[[#This Row],[Schnitt]],VLOOKUP(Eingabe[[#This Row],[Name]],AuswertungG[],21,FALSE))</f>
        <v>-1.6</v>
      </c>
      <c r="AO133" s="6">
        <f>VLOOKUP(Eingabe[[#This Row],[ID]],Chronologie[[ID]:[KW]],12,FALSE)</f>
        <v>11</v>
      </c>
      <c r="AP133" s="95" t="str">
        <f>IF(Eingabe[[#This Row],[Wo]]="H",Eingabe[[#This Row],[Gegner]]&amp;" ["&amp;Eingabe[[#This Row],[Wo]]&amp;"]",Eingabe[[#This Row],[Ort]])</f>
        <v>KSV 66 Steinitz [H]</v>
      </c>
      <c r="AQ133" s="6">
        <f>IFERROR(IF(Eingabe[[#This Row],[Wo]]="H",IF(MOD(Eingabe[[#This Row],[Position]],2)=1,Eingabe[[#This Row],[S1]],Eingabe[[#This Row],[S4]]),""),"")</f>
        <v>95</v>
      </c>
      <c r="AR133" s="6">
        <f>IFERROR(IF(Eingabe[[#This Row],[Wo]]="H",IF(Eingabe[[#This Row],[S1]]&gt;0,IF(MOD(Eingabe[[#This Row],[Position]],2)=1,Eingabe[[#This Row],[S2]],Eingabe[[#This Row],[S3]]),""),""),"")</f>
        <v>131</v>
      </c>
      <c r="AS133" s="6">
        <f>IFERROR(IF(Eingabe[[#This Row],[Wo]]="H",IF(Eingabe[[#This Row],[S1]]&gt;0,IF(MOD(ROW(Eingabe[[#This Row],[Heimbahn 3]]),2)=1,Eingabe[[#This Row],[S4]],Eingabe[[#This Row],[S1]]),""),""),"")</f>
        <v>111</v>
      </c>
      <c r="AT133" s="6">
        <f>IFERROR(IF(Eingabe[[#This Row],[Wo]]="H",IF(Eingabe[[#This Row],[S1]]&gt;0,IF(MOD(ROW(Eingabe[[#This Row],[Heimbahn 4]]),2)=1,Eingabe[[#This Row],[S3]],Eingabe[[#This Row],[S2]]),""),""),"")</f>
        <v>126</v>
      </c>
      <c r="AU133" s="22">
        <f>IF(Eingabe[[#This Row],[GES]]="","",IF(Eingabe[[#This Row],[Modus]]="L",_xlfn.RANK.EQ(Eingabe[[#This Row],[GES]],AF129:AF134),IF(Eingabe[[#This Row],[Modus]]="P",_xlfn.RANK.EQ(Eingabe[[#This Row],[GES]],AF129:AF134),"")))</f>
        <v>6</v>
      </c>
      <c r="AV133" s="6">
        <f>VLOOKUP(Eingabe[[#This Row],[Name]],AuswertungG[],8,FALSE)</f>
        <v>511</v>
      </c>
      <c r="AZ133" s="6">
        <f>IFERROR(ABS(Eingabe[[#This Row],[GES]]-Eingabe[[#This Row],[GEGGES]]),"")</f>
        <v>17</v>
      </c>
    </row>
    <row r="134" spans="1:52" ht="16.2" hidden="1" thickBot="1" x14ac:dyDescent="0.35">
      <c r="A134" s="442"/>
      <c r="B134" s="56">
        <f t="shared" si="22"/>
        <v>22</v>
      </c>
      <c r="C134" s="23" t="str">
        <f>VLOOKUP($B134,Chronologie[],7,TRUE)</f>
        <v>KSV 66 Steinitz</v>
      </c>
      <c r="D134" s="23" t="str">
        <f>VLOOKUP($B134,Chronologie[],8,TRUE)</f>
        <v>Hirschfeld</v>
      </c>
      <c r="E134" s="39" t="str">
        <f>VLOOKUP($B134,Chronologie[],9,TRUE)</f>
        <v>H</v>
      </c>
      <c r="F134" s="23" t="str">
        <f>VLOOKUP($B134,Chronologie[],COLUMN(F135)-2,TRUE)</f>
        <v>F</v>
      </c>
      <c r="G134" s="23" t="str">
        <f>VLOOKUP($B134,Chronologie[],COLUMN(G135)-2,TRUE)</f>
        <v>L</v>
      </c>
      <c r="H134" s="23">
        <f>VLOOKUP($B134,Chronologie[],COLUMN(H135)-2,TRUE)</f>
        <v>4</v>
      </c>
      <c r="I134" s="13" t="str">
        <f>VLOOKUP($B134,Chronologie[],2,TRUE)</f>
        <v>F-L-4</v>
      </c>
      <c r="J134" s="244">
        <f>VLOOKUP($B134,Chronologie[],3,TRUE)</f>
        <v>45970</v>
      </c>
      <c r="K134" s="239" t="s">
        <v>492</v>
      </c>
      <c r="L134" s="239">
        <v>80</v>
      </c>
      <c r="M134" s="239">
        <v>86</v>
      </c>
      <c r="N134" s="239">
        <v>88</v>
      </c>
      <c r="O134" s="239">
        <v>91</v>
      </c>
      <c r="P134" s="239">
        <v>27</v>
      </c>
      <c r="Q134" s="239">
        <v>45</v>
      </c>
      <c r="R134" s="239">
        <v>44</v>
      </c>
      <c r="S134" s="239">
        <v>45</v>
      </c>
      <c r="T134" s="239">
        <v>2</v>
      </c>
      <c r="U134" s="239">
        <v>2</v>
      </c>
      <c r="V134" s="239">
        <v>0</v>
      </c>
      <c r="W134" s="239">
        <v>2</v>
      </c>
      <c r="X134" s="40">
        <v>0</v>
      </c>
      <c r="Y134" s="40">
        <v>1</v>
      </c>
      <c r="Z134" s="40">
        <v>1</v>
      </c>
      <c r="AA134" s="40">
        <v>1</v>
      </c>
      <c r="AB134" s="92">
        <v>469</v>
      </c>
      <c r="AC134" s="96">
        <f>IF(Eingabe[[#This Row],[V1]]="",IF(Eingabe[[#This Row],[Volle alternativ]]="","",Eingabe[[#This Row],[Volle alternativ]]),SUM(Eingabe[[#This Row],[V1]:[V4]]))</f>
        <v>345</v>
      </c>
      <c r="AD134" s="23">
        <f>IF(Eingabe[[#This Row],[R1]]="",IF(Eingabe[[#This Row],[Räumer alternativ]]="","",Eingabe[[#This Row],[Räumer alternativ]]),SUM(Eingabe[[#This Row],[R1]:[R4]]))</f>
        <v>161</v>
      </c>
      <c r="AE134" s="23">
        <f>IF(Eingabe[[#This Row],[F1]]="",IF(Eingabe[[#This Row],[Fehler alternativ]]="","",Eingabe[[#This Row],[Fehler alternativ]]),SUM(Eingabe[[#This Row],[F1]:[F4]]))</f>
        <v>6</v>
      </c>
      <c r="AF134" s="23">
        <f>IF(Eingabe[[#This Row],[Volle]]="","",IF(Eingabe[[#This Row],[S1]]="",Eingabe[[#This Row],[Volle]]+Eingabe[[#This Row],[Räumer]],IF(Eingabe[[#This Row],[Volle]]+Eingabe[[#This Row],[Räumer]]=Eingabe[[#This Row],[S1]]+Eingabe[[#This Row],[S2]]+Eingabe[[#This Row],[S3]]+Eingabe[[#This Row],[S4]],Eingabe[[#This Row],[Volle]]+Eingabe[[#This Row],[Räumer]],"FEHLER")))</f>
        <v>506</v>
      </c>
      <c r="AG134" s="23">
        <f>IF(Eingabe[[#This Row],[V1]]="","",Eingabe[[#This Row],[V1]]+Eingabe[[#This Row],[R1]])</f>
        <v>107</v>
      </c>
      <c r="AH134" s="23">
        <f>IF(Eingabe[[#This Row],[V2]]="","",Eingabe[[#This Row],[V2]]+Eingabe[[#This Row],[R2]])</f>
        <v>131</v>
      </c>
      <c r="AI134" s="23">
        <f>IF(Eingabe[[#This Row],[V3]]="","",Eingabe[[#This Row],[V3]]+Eingabe[[#This Row],[R3]])</f>
        <v>132</v>
      </c>
      <c r="AJ134" s="23">
        <f>IF(Eingabe[[#This Row],[V4]]="","",Eingabe[[#This Row],[V4]]+Eingabe[[#This Row],[R4]])</f>
        <v>136</v>
      </c>
      <c r="AK134" s="23">
        <f>IF(Eingabe[[#This Row],[S1P]]="","",Eingabe[[#This Row],[S1P]]+Eingabe[[#This Row],[S2P]]+Eingabe[[#This Row],[S3P]]+Eingabe[[#This Row],[S4P]])</f>
        <v>3</v>
      </c>
      <c r="AL134" s="23">
        <f>IF(Eingabe[[#This Row],[S1P]]="","",IF(Eingabe[[#This Row],[SP]]&gt;2,1,IF(Eingabe[[#This Row],[SP]]&lt;2,0,IF(Eingabe[[#This Row],[GES]]&gt;Eingabe[[#This Row],[GEGGES]],1,IF(Eingabe[[#This Row],[GES]]=Eingabe[[#This Row],[GEGGES]],0.5,0)))))</f>
        <v>1</v>
      </c>
      <c r="AM134" s="23">
        <f>IF(Eingabe[[#This Row],[MP]]="","",MOD(ROW(Eingabe[[#This Row],[Position]])-3,6)+1)</f>
        <v>6</v>
      </c>
      <c r="AN134" s="23">
        <f>STANDARDIZE(Eingabe[[#This Row],[GES]],Eingabe[[#This Row],[Schnitt]],VLOOKUP(Eingabe[[#This Row],[Name]],AuswertungG[],21,FALSE))</f>
        <v>-0.60869565217391308</v>
      </c>
      <c r="AO134" s="23">
        <f>VLOOKUP(Eingabe[[#This Row],[ID]],Chronologie[[ID]:[KW]],12,FALSE)</f>
        <v>11</v>
      </c>
      <c r="AP134" s="59" t="str">
        <f>IF(Eingabe[[#This Row],[Wo]]="H",Eingabe[[#This Row],[Gegner]]&amp;" ["&amp;Eingabe[[#This Row],[Wo]]&amp;"]",Eingabe[[#This Row],[Ort]])</f>
        <v>KSV 66 Steinitz [H]</v>
      </c>
      <c r="AQ134" s="23">
        <f>IFERROR(IF(Eingabe[[#This Row],[Wo]]="H",IF(MOD(Eingabe[[#This Row],[Position]],2)=1,Eingabe[[#This Row],[S1]],Eingabe[[#This Row],[S4]]),""),"")</f>
        <v>136</v>
      </c>
      <c r="AR134" s="23">
        <f>IFERROR(IF(Eingabe[[#This Row],[Wo]]="H",IF(Eingabe[[#This Row],[S1]]&gt;0,IF(MOD(Eingabe[[#This Row],[Position]],2)=1,Eingabe[[#This Row],[S2]],Eingabe[[#This Row],[S3]]),""),""),"")</f>
        <v>132</v>
      </c>
      <c r="AS134" s="23">
        <f>IFERROR(IF(Eingabe[[#This Row],[Wo]]="H",IF(Eingabe[[#This Row],[S1]]&gt;0,IF(MOD(ROW(Eingabe[[#This Row],[Heimbahn 3]]),2)=1,Eingabe[[#This Row],[S4]],Eingabe[[#This Row],[S1]]),""),""),"")</f>
        <v>107</v>
      </c>
      <c r="AT134" s="23">
        <f>IFERROR(IF(Eingabe[[#This Row],[Wo]]="H",IF(Eingabe[[#This Row],[S1]]&gt;0,IF(MOD(ROW(Eingabe[[#This Row],[Heimbahn 4]]),2)=1,Eingabe[[#This Row],[S3]],Eingabe[[#This Row],[S2]]),""),""),"")</f>
        <v>131</v>
      </c>
      <c r="AU134" s="89">
        <f>IF(Eingabe[[#This Row],[GES]]="","",IF(Eingabe[[#This Row],[Modus]]="L",_xlfn.RANK.EQ(Eingabe[[#This Row],[GES]],AF129:AF134),IF(Eingabe[[#This Row],[Modus]]="P",_xlfn.RANK.EQ(Eingabe[[#This Row],[GES]],AF129:AF134),"")))</f>
        <v>1</v>
      </c>
      <c r="AV134" s="6">
        <f>VLOOKUP(Eingabe[[#This Row],[Name]],AuswertungG[],8,FALSE)</f>
        <v>520</v>
      </c>
      <c r="AZ134" s="6">
        <f>IFERROR(ABS(Eingabe[[#This Row],[GES]]-Eingabe[[#This Row],[GEGGES]]),"")</f>
        <v>37</v>
      </c>
    </row>
    <row r="135" spans="1:52" ht="16.2" hidden="1" thickBot="1" x14ac:dyDescent="0.35">
      <c r="A135" s="440">
        <f t="shared" ref="A135" si="23">B135</f>
        <v>23</v>
      </c>
      <c r="B135" s="55">
        <f t="shared" si="22"/>
        <v>23</v>
      </c>
      <c r="C135" s="35" t="str">
        <f>VLOOKUP($B135,Chronologie[],7,TRUE)</f>
        <v>KSC Stahl Rietschen</v>
      </c>
      <c r="D135" s="35" t="str">
        <f>VLOOKUP($B135,Chronologie[],8,TRUE)</f>
        <v>Rietschen</v>
      </c>
      <c r="E135" s="36" t="str">
        <f>VLOOKUP($B135,Chronologie[],9,TRUE)</f>
        <v>A</v>
      </c>
      <c r="F135" s="35" t="str">
        <f>VLOOKUP($B135,Chronologie[],COLUMN(F136)-2,TRUE)</f>
        <v>F</v>
      </c>
      <c r="G135" s="35" t="str">
        <f>VLOOKUP($B135,Chronologie[],COLUMN(G136)-2,TRUE)</f>
        <v>L</v>
      </c>
      <c r="H135" s="35">
        <f>VLOOKUP($B135,Chronologie[],COLUMN(H136)-2,TRUE)</f>
        <v>5</v>
      </c>
      <c r="I135" s="9" t="str">
        <f>VLOOKUP($B135,Chronologie[],2,TRUE)</f>
        <v>F-L-5</v>
      </c>
      <c r="J135" s="242">
        <f>VLOOKUP($B135,Chronologie[],3,TRUE)</f>
        <v>45977</v>
      </c>
      <c r="K135" s="236" t="s">
        <v>485</v>
      </c>
      <c r="L135" s="334">
        <v>87</v>
      </c>
      <c r="M135" s="334">
        <v>87</v>
      </c>
      <c r="N135" s="334">
        <v>85</v>
      </c>
      <c r="O135" s="334">
        <v>87</v>
      </c>
      <c r="P135" s="334">
        <v>26</v>
      </c>
      <c r="Q135" s="334">
        <v>36</v>
      </c>
      <c r="R135" s="334">
        <v>41</v>
      </c>
      <c r="S135" s="334">
        <v>43</v>
      </c>
      <c r="T135" s="334">
        <v>8</v>
      </c>
      <c r="U135" s="334">
        <v>5</v>
      </c>
      <c r="V135" s="334">
        <v>4</v>
      </c>
      <c r="W135" s="334">
        <v>2</v>
      </c>
      <c r="X135" s="37">
        <v>0</v>
      </c>
      <c r="Y135" s="37">
        <v>0</v>
      </c>
      <c r="Z135" s="37">
        <v>0</v>
      </c>
      <c r="AA135" s="37">
        <v>1</v>
      </c>
      <c r="AB135" s="90">
        <v>527</v>
      </c>
      <c r="AC135" s="93">
        <f>IF(Eingabe[[#This Row],[V1]]="",IF(Eingabe[[#This Row],[Volle alternativ]]="","",Eingabe[[#This Row],[Volle alternativ]]),SUM(Eingabe[[#This Row],[V1]:[V4]]))</f>
        <v>346</v>
      </c>
      <c r="AD135" s="35">
        <f>IF(Eingabe[[#This Row],[R1]]="",IF(Eingabe[[#This Row],[Räumer alternativ]]="","",Eingabe[[#This Row],[Räumer alternativ]]),SUM(Eingabe[[#This Row],[R1]:[R4]]))</f>
        <v>146</v>
      </c>
      <c r="AE135" s="35">
        <f>IF(Eingabe[[#This Row],[F1]]="",IF(Eingabe[[#This Row],[Fehler alternativ]]="","",Eingabe[[#This Row],[Fehler alternativ]]),SUM(Eingabe[[#This Row],[F1]:[F4]]))</f>
        <v>19</v>
      </c>
      <c r="AF135" s="35">
        <f>IF(Eingabe[[#This Row],[Volle]]="","",IF(Eingabe[[#This Row],[S1]]="",Eingabe[[#This Row],[Volle]]+Eingabe[[#This Row],[Räumer]],IF(Eingabe[[#This Row],[Volle]]+Eingabe[[#This Row],[Räumer]]=Eingabe[[#This Row],[S1]]+Eingabe[[#This Row],[S2]]+Eingabe[[#This Row],[S3]]+Eingabe[[#This Row],[S4]],Eingabe[[#This Row],[Volle]]+Eingabe[[#This Row],[Räumer]],"FEHLER")))</f>
        <v>492</v>
      </c>
      <c r="AG135" s="35">
        <f>IF(Eingabe[[#This Row],[V1]]="","",Eingabe[[#This Row],[V1]]+Eingabe[[#This Row],[R1]])</f>
        <v>113</v>
      </c>
      <c r="AH135" s="35">
        <f>IF(Eingabe[[#This Row],[V2]]="","",Eingabe[[#This Row],[V2]]+Eingabe[[#This Row],[R2]])</f>
        <v>123</v>
      </c>
      <c r="AI135" s="35">
        <f>IF(Eingabe[[#This Row],[V3]]="","",Eingabe[[#This Row],[V3]]+Eingabe[[#This Row],[R3]])</f>
        <v>126</v>
      </c>
      <c r="AJ135" s="35">
        <f>IF(Eingabe[[#This Row],[V4]]="","",Eingabe[[#This Row],[V4]]+Eingabe[[#This Row],[R4]])</f>
        <v>130</v>
      </c>
      <c r="AK135" s="35">
        <f>IF(Eingabe[[#This Row],[S1P]]="","",Eingabe[[#This Row],[S1P]]+Eingabe[[#This Row],[S2P]]+Eingabe[[#This Row],[S3P]]+Eingabe[[#This Row],[S4P]])</f>
        <v>1</v>
      </c>
      <c r="AL135" s="35">
        <f>IF(Eingabe[[#This Row],[S1P]]="","",IF(Eingabe[[#This Row],[SP]]&gt;2,1,IF(Eingabe[[#This Row],[SP]]&lt;2,0,IF(Eingabe[[#This Row],[GES]]&gt;Eingabe[[#This Row],[GEGGES]],1,IF(Eingabe[[#This Row],[GES]]=Eingabe[[#This Row],[GEGGES]],0.5,0)))))</f>
        <v>0</v>
      </c>
      <c r="AM135" s="35">
        <f>IF(Eingabe[[#This Row],[MP]]="","",MOD(ROW(Eingabe[[#This Row],[Position]])-3,6)+1)</f>
        <v>1</v>
      </c>
      <c r="AN135" s="35">
        <f>STANDARDIZE(Eingabe[[#This Row],[GES]],Eingabe[[#This Row],[Schnitt]],VLOOKUP(Eingabe[[#This Row],[Name]],AuswertungG[],21,FALSE))</f>
        <v>1.0689655172413792</v>
      </c>
      <c r="AO135" s="35">
        <f>VLOOKUP(Eingabe[[#This Row],[ID]],Chronologie[[ID]:[KW]],12,FALSE)</f>
        <v>12</v>
      </c>
      <c r="AP135" s="58" t="str">
        <f>IF(Eingabe[[#This Row],[Wo]]="H",Eingabe[[#This Row],[Gegner]]&amp;" ["&amp;Eingabe[[#This Row],[Wo]]&amp;"]",Eingabe[[#This Row],[Ort]])</f>
        <v>Rietschen</v>
      </c>
      <c r="AQ135" s="35" t="str">
        <f>IFERROR(IF(Eingabe[[#This Row],[Wo]]="H",IF(MOD(Eingabe[[#This Row],[Position]],2)=1,Eingabe[[#This Row],[S1]],Eingabe[[#This Row],[S4]]),""),"")</f>
        <v/>
      </c>
      <c r="AR135" s="35" t="str">
        <f>IFERROR(IF(Eingabe[[#This Row],[Wo]]="H",IF(Eingabe[[#This Row],[S1]]&gt;0,IF(MOD(Eingabe[[#This Row],[Position]],2)=1,Eingabe[[#This Row],[S2]],Eingabe[[#This Row],[S3]]),""),""),"")</f>
        <v/>
      </c>
      <c r="AS135" s="35" t="str">
        <f>IFERROR(IF(Eingabe[[#This Row],[Wo]]="H",IF(Eingabe[[#This Row],[S1]]&gt;0,IF(MOD(ROW(Eingabe[[#This Row],[Heimbahn 3]]),2)=1,Eingabe[[#This Row],[S4]],Eingabe[[#This Row],[S1]]),""),""),"")</f>
        <v/>
      </c>
      <c r="AT135" s="35" t="str">
        <f>IFERROR(IF(Eingabe[[#This Row],[Wo]]="H",IF(Eingabe[[#This Row],[S1]]&gt;0,IF(MOD(ROW(Eingabe[[#This Row],[Heimbahn 4]]),2)=1,Eingabe[[#This Row],[S3]],Eingabe[[#This Row],[S2]]),""),""),"")</f>
        <v/>
      </c>
      <c r="AU135" s="88">
        <f>IF(Eingabe[[#This Row],[GES]]="","",IF(Eingabe[[#This Row],[Modus]]="L",_xlfn.RANK.EQ(Eingabe[[#This Row],[GES]],AF135:AF140),IF(Eingabe[[#This Row],[Modus]]="P",_xlfn.RANK.EQ(Eingabe[[#This Row],[GES]],AF135:AF140),"")))</f>
        <v>5</v>
      </c>
      <c r="AV135" s="6">
        <f>VLOOKUP(Eingabe[[#This Row],[Name]],AuswertungG[],8,FALSE)</f>
        <v>461</v>
      </c>
      <c r="AZ135" s="6">
        <f>IFERROR(ABS(Eingabe[[#This Row],[GES]]-Eingabe[[#This Row],[GEGGES]]),"")</f>
        <v>35</v>
      </c>
    </row>
    <row r="136" spans="1:52" ht="16.2" hidden="1" thickBot="1" x14ac:dyDescent="0.35">
      <c r="A136" s="441"/>
      <c r="B136" s="21">
        <f t="shared" si="22"/>
        <v>23</v>
      </c>
      <c r="C136" s="6" t="str">
        <f>VLOOKUP($B136,Chronologie[],7,TRUE)</f>
        <v>KSC Stahl Rietschen</v>
      </c>
      <c r="D136" s="6" t="str">
        <f>VLOOKUP($B136,Chronologie[],8,TRUE)</f>
        <v>Rietschen</v>
      </c>
      <c r="E136" s="240" t="str">
        <f>VLOOKUP($B136,Chronologie[],9,TRUE)</f>
        <v>A</v>
      </c>
      <c r="F136" s="6" t="str">
        <f>VLOOKUP($B136,Chronologie[],COLUMN(F137)-2,TRUE)</f>
        <v>F</v>
      </c>
      <c r="G136" s="6" t="str">
        <f>VLOOKUP($B136,Chronologie[],COLUMN(G137)-2,TRUE)</f>
        <v>L</v>
      </c>
      <c r="H136" s="6">
        <f>VLOOKUP($B136,Chronologie[],COLUMN(H137)-2,TRUE)</f>
        <v>5</v>
      </c>
      <c r="I136" s="10" t="str">
        <f>VLOOKUP($B136,Chronologie[],2,TRUE)</f>
        <v>F-L-5</v>
      </c>
      <c r="J136" s="243">
        <f>VLOOKUP($B136,Chronologie[],3,TRUE)</f>
        <v>45977</v>
      </c>
      <c r="K136" s="237" t="s">
        <v>15</v>
      </c>
      <c r="L136" s="237">
        <v>85</v>
      </c>
      <c r="M136" s="237">
        <v>76</v>
      </c>
      <c r="N136" s="237">
        <v>78</v>
      </c>
      <c r="O136" s="237">
        <v>82</v>
      </c>
      <c r="P136" s="237">
        <v>27</v>
      </c>
      <c r="Q136" s="237">
        <v>43</v>
      </c>
      <c r="R136" s="237">
        <v>44</v>
      </c>
      <c r="S136" s="237">
        <v>35</v>
      </c>
      <c r="T136" s="237">
        <v>2</v>
      </c>
      <c r="U136" s="237">
        <v>4</v>
      </c>
      <c r="V136" s="237">
        <v>3</v>
      </c>
      <c r="W136" s="237">
        <v>3</v>
      </c>
      <c r="X136" s="38">
        <v>1</v>
      </c>
      <c r="Y136" s="38">
        <v>0</v>
      </c>
      <c r="Z136" s="38">
        <v>1</v>
      </c>
      <c r="AA136" s="38">
        <v>0.5</v>
      </c>
      <c r="AB136" s="91">
        <v>464</v>
      </c>
      <c r="AC136" s="94">
        <f>IF(Eingabe[[#This Row],[V1]]="",IF(Eingabe[[#This Row],[Volle alternativ]]="","",Eingabe[[#This Row],[Volle alternativ]]),SUM(Eingabe[[#This Row],[V1]:[V4]]))</f>
        <v>321</v>
      </c>
      <c r="AD136" s="6">
        <f>IF(Eingabe[[#This Row],[R1]]="",IF(Eingabe[[#This Row],[Räumer alternativ]]="","",Eingabe[[#This Row],[Räumer alternativ]]),SUM(Eingabe[[#This Row],[R1]:[R4]]))</f>
        <v>149</v>
      </c>
      <c r="AE136" s="6">
        <f>IF(Eingabe[[#This Row],[F1]]="",IF(Eingabe[[#This Row],[Fehler alternativ]]="","",Eingabe[[#This Row],[Fehler alternativ]]),SUM(Eingabe[[#This Row],[F1]:[F4]]))</f>
        <v>12</v>
      </c>
      <c r="AF136" s="6">
        <f>IF(Eingabe[[#This Row],[Volle]]="","",IF(Eingabe[[#This Row],[S1]]="",Eingabe[[#This Row],[Volle]]+Eingabe[[#This Row],[Räumer]],IF(Eingabe[[#This Row],[Volle]]+Eingabe[[#This Row],[Räumer]]=Eingabe[[#This Row],[S1]]+Eingabe[[#This Row],[S2]]+Eingabe[[#This Row],[S3]]+Eingabe[[#This Row],[S4]],Eingabe[[#This Row],[Volle]]+Eingabe[[#This Row],[Räumer]],"FEHLER")))</f>
        <v>470</v>
      </c>
      <c r="AG136" s="6">
        <f>IF(Eingabe[[#This Row],[V1]]="","",Eingabe[[#This Row],[V1]]+Eingabe[[#This Row],[R1]])</f>
        <v>112</v>
      </c>
      <c r="AH136" s="6">
        <f>IF(Eingabe[[#This Row],[V2]]="","",Eingabe[[#This Row],[V2]]+Eingabe[[#This Row],[R2]])</f>
        <v>119</v>
      </c>
      <c r="AI136" s="6">
        <f>IF(Eingabe[[#This Row],[V3]]="","",Eingabe[[#This Row],[V3]]+Eingabe[[#This Row],[R3]])</f>
        <v>122</v>
      </c>
      <c r="AJ136" s="6">
        <f>IF(Eingabe[[#This Row],[V4]]="","",Eingabe[[#This Row],[V4]]+Eingabe[[#This Row],[R4]])</f>
        <v>117</v>
      </c>
      <c r="AK136" s="6">
        <f>IF(Eingabe[[#This Row],[S1P]]="","",Eingabe[[#This Row],[S1P]]+Eingabe[[#This Row],[S2P]]+Eingabe[[#This Row],[S3P]]+Eingabe[[#This Row],[S4P]])</f>
        <v>2.5</v>
      </c>
      <c r="AL136" s="6">
        <f>IF(Eingabe[[#This Row],[S1P]]="","",IF(Eingabe[[#This Row],[SP]]&gt;2,1,IF(Eingabe[[#This Row],[SP]]&lt;2,0,IF(Eingabe[[#This Row],[GES]]&gt;Eingabe[[#This Row],[GEGGES]],1,IF(Eingabe[[#This Row],[GES]]=Eingabe[[#This Row],[GEGGES]],0.5,0)))))</f>
        <v>1</v>
      </c>
      <c r="AM136" s="6">
        <f>IF(Eingabe[[#This Row],[MP]]="","",MOD(ROW(Eingabe[[#This Row],[Position]])-3,6)+1)</f>
        <v>2</v>
      </c>
      <c r="AN136" s="6">
        <f>STANDARDIZE(Eingabe[[#This Row],[GES]],Eingabe[[#This Row],[Schnitt]],VLOOKUP(Eingabe[[#This Row],[Name]],AuswertungG[],21,FALSE))</f>
        <v>-0.18181818181818182</v>
      </c>
      <c r="AO136" s="6">
        <f>VLOOKUP(Eingabe[[#This Row],[ID]],Chronologie[[ID]:[KW]],12,FALSE)</f>
        <v>12</v>
      </c>
      <c r="AP136" s="95" t="str">
        <f>IF(Eingabe[[#This Row],[Wo]]="H",Eingabe[[#This Row],[Gegner]]&amp;" ["&amp;Eingabe[[#This Row],[Wo]]&amp;"]",Eingabe[[#This Row],[Ort]])</f>
        <v>Rietschen</v>
      </c>
      <c r="AQ136" s="6" t="str">
        <f>IFERROR(IF(Eingabe[[#This Row],[Wo]]="H",IF(MOD(Eingabe[[#This Row],[Position]],2)=1,Eingabe[[#This Row],[S1]],Eingabe[[#This Row],[S4]]),""),"")</f>
        <v/>
      </c>
      <c r="AR136" s="6" t="str">
        <f>IFERROR(IF(Eingabe[[#This Row],[Wo]]="H",IF(Eingabe[[#This Row],[S1]]&gt;0,IF(MOD(Eingabe[[#This Row],[Position]],2)=1,Eingabe[[#This Row],[S2]],Eingabe[[#This Row],[S3]]),""),""),"")</f>
        <v/>
      </c>
      <c r="AS136" s="6" t="str">
        <f>IFERROR(IF(Eingabe[[#This Row],[Wo]]="H",IF(Eingabe[[#This Row],[S1]]&gt;0,IF(MOD(ROW(Eingabe[[#This Row],[Heimbahn 3]]),2)=1,Eingabe[[#This Row],[S4]],Eingabe[[#This Row],[S1]]),""),""),"")</f>
        <v/>
      </c>
      <c r="AT136" s="6" t="str">
        <f>IFERROR(IF(Eingabe[[#This Row],[Wo]]="H",IF(Eingabe[[#This Row],[S1]]&gt;0,IF(MOD(ROW(Eingabe[[#This Row],[Heimbahn 4]]),2)=1,Eingabe[[#This Row],[S3]],Eingabe[[#This Row],[S2]]),""),""),"")</f>
        <v/>
      </c>
      <c r="AU136" s="22">
        <f>IF(Eingabe[[#This Row],[GES]]="","",IF(Eingabe[[#This Row],[Modus]]="L",_xlfn.RANK.EQ(Eingabe[[#This Row],[GES]],AF135:AF140),IF(Eingabe[[#This Row],[Modus]]="P",_xlfn.RANK.EQ(Eingabe[[#This Row],[GES]],AF135:AF140),"")))</f>
        <v>6</v>
      </c>
      <c r="AV136" s="6">
        <f>VLOOKUP(Eingabe[[#This Row],[Name]],AuswertungG[],8,FALSE)</f>
        <v>478</v>
      </c>
      <c r="AZ136" s="6">
        <f>IFERROR(ABS(Eingabe[[#This Row],[GES]]-Eingabe[[#This Row],[GEGGES]]),"")</f>
        <v>6</v>
      </c>
    </row>
    <row r="137" spans="1:52" ht="16.2" hidden="1" thickBot="1" x14ac:dyDescent="0.35">
      <c r="A137" s="441"/>
      <c r="B137" s="21">
        <f t="shared" si="22"/>
        <v>23</v>
      </c>
      <c r="C137" s="6" t="str">
        <f>VLOOKUP($B137,Chronologie[],7,TRUE)</f>
        <v>KSC Stahl Rietschen</v>
      </c>
      <c r="D137" s="6" t="str">
        <f>VLOOKUP($B137,Chronologie[],8,TRUE)</f>
        <v>Rietschen</v>
      </c>
      <c r="E137" s="240" t="str">
        <f>VLOOKUP($B137,Chronologie[],9,TRUE)</f>
        <v>A</v>
      </c>
      <c r="F137" s="6" t="str">
        <f>VLOOKUP($B137,Chronologie[],COLUMN(F138)-2,TRUE)</f>
        <v>F</v>
      </c>
      <c r="G137" s="6" t="str">
        <f>VLOOKUP($B137,Chronologie[],COLUMN(G138)-2,TRUE)</f>
        <v>L</v>
      </c>
      <c r="H137" s="6">
        <f>VLOOKUP($B137,Chronologie[],COLUMN(H138)-2,TRUE)</f>
        <v>5</v>
      </c>
      <c r="I137" s="10" t="str">
        <f>VLOOKUP($B137,Chronologie[],2,TRUE)</f>
        <v>F-L-5</v>
      </c>
      <c r="J137" s="243">
        <f>VLOOKUP($B137,Chronologie[],3,TRUE)</f>
        <v>45977</v>
      </c>
      <c r="K137" s="237" t="s">
        <v>474</v>
      </c>
      <c r="L137" s="237">
        <v>92</v>
      </c>
      <c r="M137" s="237">
        <v>91</v>
      </c>
      <c r="N137" s="237">
        <v>95</v>
      </c>
      <c r="O137" s="237">
        <v>91</v>
      </c>
      <c r="P137" s="237">
        <v>36</v>
      </c>
      <c r="Q137" s="237">
        <v>53</v>
      </c>
      <c r="R137" s="237">
        <v>33</v>
      </c>
      <c r="S137" s="237">
        <v>62</v>
      </c>
      <c r="T137" s="237">
        <v>0</v>
      </c>
      <c r="U137" s="237">
        <v>1</v>
      </c>
      <c r="V137" s="237">
        <v>5</v>
      </c>
      <c r="W137" s="237">
        <v>2</v>
      </c>
      <c r="X137" s="38">
        <v>0</v>
      </c>
      <c r="Y137" s="38">
        <v>1</v>
      </c>
      <c r="Z137" s="38">
        <v>1</v>
      </c>
      <c r="AA137" s="38">
        <v>1</v>
      </c>
      <c r="AB137" s="91">
        <v>462</v>
      </c>
      <c r="AC137" s="94">
        <f>IF(Eingabe[[#This Row],[V1]]="",IF(Eingabe[[#This Row],[Volle alternativ]]="","",Eingabe[[#This Row],[Volle alternativ]]),SUM(Eingabe[[#This Row],[V1]:[V4]]))</f>
        <v>369</v>
      </c>
      <c r="AD137" s="6">
        <f>IF(Eingabe[[#This Row],[R1]]="",IF(Eingabe[[#This Row],[Räumer alternativ]]="","",Eingabe[[#This Row],[Räumer alternativ]]),SUM(Eingabe[[#This Row],[R1]:[R4]]))</f>
        <v>184</v>
      </c>
      <c r="AE137" s="6">
        <f>IF(Eingabe[[#This Row],[F1]]="",IF(Eingabe[[#This Row],[Fehler alternativ]]="","",Eingabe[[#This Row],[Fehler alternativ]]),SUM(Eingabe[[#This Row],[F1]:[F4]]))</f>
        <v>8</v>
      </c>
      <c r="AF137" s="6">
        <f>IF(Eingabe[[#This Row],[Volle]]="","",IF(Eingabe[[#This Row],[S1]]="",Eingabe[[#This Row],[Volle]]+Eingabe[[#This Row],[Räumer]],IF(Eingabe[[#This Row],[Volle]]+Eingabe[[#This Row],[Räumer]]=Eingabe[[#This Row],[S1]]+Eingabe[[#This Row],[S2]]+Eingabe[[#This Row],[S3]]+Eingabe[[#This Row],[S4]],Eingabe[[#This Row],[Volle]]+Eingabe[[#This Row],[Räumer]],"FEHLER")))</f>
        <v>553</v>
      </c>
      <c r="AG137" s="6">
        <f>IF(Eingabe[[#This Row],[V1]]="","",Eingabe[[#This Row],[V1]]+Eingabe[[#This Row],[R1]])</f>
        <v>128</v>
      </c>
      <c r="AH137" s="6">
        <f>IF(Eingabe[[#This Row],[V2]]="","",Eingabe[[#This Row],[V2]]+Eingabe[[#This Row],[R2]])</f>
        <v>144</v>
      </c>
      <c r="AI137" s="6">
        <f>IF(Eingabe[[#This Row],[V3]]="","",Eingabe[[#This Row],[V3]]+Eingabe[[#This Row],[R3]])</f>
        <v>128</v>
      </c>
      <c r="AJ137" s="6">
        <f>IF(Eingabe[[#This Row],[V4]]="","",Eingabe[[#This Row],[V4]]+Eingabe[[#This Row],[R4]])</f>
        <v>153</v>
      </c>
      <c r="AK137" s="6">
        <f>IF(Eingabe[[#This Row],[S1P]]="","",Eingabe[[#This Row],[S1P]]+Eingabe[[#This Row],[S2P]]+Eingabe[[#This Row],[S3P]]+Eingabe[[#This Row],[S4P]])</f>
        <v>3</v>
      </c>
      <c r="AL137" s="6">
        <f>IF(Eingabe[[#This Row],[S1P]]="","",IF(Eingabe[[#This Row],[SP]]&gt;2,1,IF(Eingabe[[#This Row],[SP]]&lt;2,0,IF(Eingabe[[#This Row],[GES]]&gt;Eingabe[[#This Row],[GEGGES]],1,IF(Eingabe[[#This Row],[GES]]=Eingabe[[#This Row],[GEGGES]],0.5,0)))))</f>
        <v>1</v>
      </c>
      <c r="AM137" s="6">
        <f>IF(Eingabe[[#This Row],[MP]]="","",MOD(ROW(Eingabe[[#This Row],[Position]])-3,6)+1)</f>
        <v>3</v>
      </c>
      <c r="AN137" s="6">
        <f>STANDARDIZE(Eingabe[[#This Row],[GES]],Eingabe[[#This Row],[Schnitt]],VLOOKUP(Eingabe[[#This Row],[Name]],AuswertungG[],21,FALSE))</f>
        <v>1.6774193548387097</v>
      </c>
      <c r="AO137" s="6">
        <f>VLOOKUP(Eingabe[[#This Row],[ID]],Chronologie[[ID]:[KW]],12,FALSE)</f>
        <v>12</v>
      </c>
      <c r="AP137" s="95" t="str">
        <f>IF(Eingabe[[#This Row],[Wo]]="H",Eingabe[[#This Row],[Gegner]]&amp;" ["&amp;Eingabe[[#This Row],[Wo]]&amp;"]",Eingabe[[#This Row],[Ort]])</f>
        <v>Rietschen</v>
      </c>
      <c r="AQ137" s="6" t="str">
        <f>IFERROR(IF(Eingabe[[#This Row],[Wo]]="H",IF(MOD(Eingabe[[#This Row],[Position]],2)=1,Eingabe[[#This Row],[S1]],Eingabe[[#This Row],[S4]]),""),"")</f>
        <v/>
      </c>
      <c r="AR137" s="6" t="str">
        <f>IFERROR(IF(Eingabe[[#This Row],[Wo]]="H",IF(Eingabe[[#This Row],[S1]]&gt;0,IF(MOD(Eingabe[[#This Row],[Position]],2)=1,Eingabe[[#This Row],[S2]],Eingabe[[#This Row],[S3]]),""),""),"")</f>
        <v/>
      </c>
      <c r="AS137" s="6" t="str">
        <f>IFERROR(IF(Eingabe[[#This Row],[Wo]]="H",IF(Eingabe[[#This Row],[S1]]&gt;0,IF(MOD(ROW(Eingabe[[#This Row],[Heimbahn 3]]),2)=1,Eingabe[[#This Row],[S4]],Eingabe[[#This Row],[S1]]),""),""),"")</f>
        <v/>
      </c>
      <c r="AT137" s="6" t="str">
        <f>IFERROR(IF(Eingabe[[#This Row],[Wo]]="H",IF(Eingabe[[#This Row],[S1]]&gt;0,IF(MOD(ROW(Eingabe[[#This Row],[Heimbahn 4]]),2)=1,Eingabe[[#This Row],[S3]],Eingabe[[#This Row],[S2]]),""),""),"")</f>
        <v/>
      </c>
      <c r="AU137" s="22">
        <f>IF(Eingabe[[#This Row],[GES]]="","",IF(Eingabe[[#This Row],[Modus]]="L",_xlfn.RANK.EQ(Eingabe[[#This Row],[GES]],AF135:AF140),IF(Eingabe[[#This Row],[Modus]]="P",_xlfn.RANK.EQ(Eingabe[[#This Row],[GES]],AF135:AF140),"")))</f>
        <v>2</v>
      </c>
      <c r="AV137" s="6">
        <f>VLOOKUP(Eingabe[[#This Row],[Name]],AuswertungG[],8,FALSE)</f>
        <v>501</v>
      </c>
      <c r="AZ137" s="6">
        <f>IFERROR(ABS(Eingabe[[#This Row],[GES]]-Eingabe[[#This Row],[GEGGES]]),"")</f>
        <v>91</v>
      </c>
    </row>
    <row r="138" spans="1:52" ht="16.2" hidden="1" thickBot="1" x14ac:dyDescent="0.35">
      <c r="A138" s="441"/>
      <c r="B138" s="21">
        <f t="shared" si="22"/>
        <v>23</v>
      </c>
      <c r="C138" s="6" t="str">
        <f>VLOOKUP($B138,Chronologie[],7,TRUE)</f>
        <v>KSC Stahl Rietschen</v>
      </c>
      <c r="D138" s="6" t="str">
        <f>VLOOKUP($B138,Chronologie[],8,TRUE)</f>
        <v>Rietschen</v>
      </c>
      <c r="E138" s="240" t="str">
        <f>VLOOKUP($B138,Chronologie[],9,TRUE)</f>
        <v>A</v>
      </c>
      <c r="F138" s="6" t="str">
        <f>VLOOKUP($B138,Chronologie[],COLUMN(F139)-2,TRUE)</f>
        <v>F</v>
      </c>
      <c r="G138" s="6" t="str">
        <f>VLOOKUP($B138,Chronologie[],COLUMN(G139)-2,TRUE)</f>
        <v>L</v>
      </c>
      <c r="H138" s="6">
        <f>VLOOKUP($B138,Chronologie[],COLUMN(H139)-2,TRUE)</f>
        <v>5</v>
      </c>
      <c r="I138" s="10" t="str">
        <f>VLOOKUP($B138,Chronologie[],2,TRUE)</f>
        <v>F-L-5</v>
      </c>
      <c r="J138" s="243">
        <f>VLOOKUP($B138,Chronologie[],3,TRUE)</f>
        <v>45977</v>
      </c>
      <c r="K138" s="238" t="s">
        <v>480</v>
      </c>
      <c r="L138" s="237">
        <v>92</v>
      </c>
      <c r="M138" s="237">
        <v>90</v>
      </c>
      <c r="N138" s="237">
        <v>83</v>
      </c>
      <c r="O138" s="237">
        <v>99</v>
      </c>
      <c r="P138" s="237">
        <v>27</v>
      </c>
      <c r="Q138" s="237">
        <v>36</v>
      </c>
      <c r="R138" s="237">
        <v>36</v>
      </c>
      <c r="S138" s="237">
        <v>43</v>
      </c>
      <c r="T138" s="237">
        <v>5</v>
      </c>
      <c r="U138" s="237">
        <v>2</v>
      </c>
      <c r="V138" s="237">
        <v>3</v>
      </c>
      <c r="W138" s="237">
        <v>0</v>
      </c>
      <c r="X138" s="38">
        <v>1</v>
      </c>
      <c r="Y138" s="38">
        <v>1</v>
      </c>
      <c r="Z138" s="38">
        <v>0</v>
      </c>
      <c r="AA138" s="38">
        <v>1</v>
      </c>
      <c r="AB138" s="91">
        <v>499</v>
      </c>
      <c r="AC138" s="94">
        <f>IF(Eingabe[[#This Row],[V1]]="",IF(Eingabe[[#This Row],[Volle alternativ]]="","",Eingabe[[#This Row],[Volle alternativ]]),SUM(Eingabe[[#This Row],[V1]:[V4]]))</f>
        <v>364</v>
      </c>
      <c r="AD138" s="6">
        <f>IF(Eingabe[[#This Row],[R1]]="",IF(Eingabe[[#This Row],[Räumer alternativ]]="","",Eingabe[[#This Row],[Räumer alternativ]]),SUM(Eingabe[[#This Row],[R1]:[R4]]))</f>
        <v>142</v>
      </c>
      <c r="AE138" s="6">
        <f>IF(Eingabe[[#This Row],[F1]]="",IF(Eingabe[[#This Row],[Fehler alternativ]]="","",Eingabe[[#This Row],[Fehler alternativ]]),SUM(Eingabe[[#This Row],[F1]:[F4]]))</f>
        <v>10</v>
      </c>
      <c r="AF138" s="6">
        <f>IF(Eingabe[[#This Row],[Volle]]="","",IF(Eingabe[[#This Row],[S1]]="",Eingabe[[#This Row],[Volle]]+Eingabe[[#This Row],[Räumer]],IF(Eingabe[[#This Row],[Volle]]+Eingabe[[#This Row],[Räumer]]=Eingabe[[#This Row],[S1]]+Eingabe[[#This Row],[S2]]+Eingabe[[#This Row],[S3]]+Eingabe[[#This Row],[S4]],Eingabe[[#This Row],[Volle]]+Eingabe[[#This Row],[Räumer]],"FEHLER")))</f>
        <v>506</v>
      </c>
      <c r="AG138" s="6">
        <f>IF(Eingabe[[#This Row],[V1]]="","",Eingabe[[#This Row],[V1]]+Eingabe[[#This Row],[R1]])</f>
        <v>119</v>
      </c>
      <c r="AH138" s="6">
        <f>IF(Eingabe[[#This Row],[V2]]="","",Eingabe[[#This Row],[V2]]+Eingabe[[#This Row],[R2]])</f>
        <v>126</v>
      </c>
      <c r="AI138" s="6">
        <f>IF(Eingabe[[#This Row],[V3]]="","",Eingabe[[#This Row],[V3]]+Eingabe[[#This Row],[R3]])</f>
        <v>119</v>
      </c>
      <c r="AJ138" s="6">
        <f>IF(Eingabe[[#This Row],[V4]]="","",Eingabe[[#This Row],[V4]]+Eingabe[[#This Row],[R4]])</f>
        <v>142</v>
      </c>
      <c r="AK138" s="6">
        <f>IF(Eingabe[[#This Row],[S1P]]="","",Eingabe[[#This Row],[S1P]]+Eingabe[[#This Row],[S2P]]+Eingabe[[#This Row],[S3P]]+Eingabe[[#This Row],[S4P]])</f>
        <v>3</v>
      </c>
      <c r="AL138" s="6">
        <f>IF(Eingabe[[#This Row],[S1P]]="","",IF(Eingabe[[#This Row],[SP]]&gt;2,1,IF(Eingabe[[#This Row],[SP]]&lt;2,0,IF(Eingabe[[#This Row],[GES]]&gt;Eingabe[[#This Row],[GEGGES]],1,IF(Eingabe[[#This Row],[GES]]=Eingabe[[#This Row],[GEGGES]],0.5,0)))))</f>
        <v>1</v>
      </c>
      <c r="AM138" s="6">
        <f>IF(Eingabe[[#This Row],[MP]]="","",MOD(ROW(Eingabe[[#This Row],[Position]])-3,6)+1)</f>
        <v>4</v>
      </c>
      <c r="AN138" s="6">
        <f>STANDARDIZE(Eingabe[[#This Row],[GES]],Eingabe[[#This Row],[Schnitt]],VLOOKUP(Eingabe[[#This Row],[Name]],AuswertungG[],21,FALSE))</f>
        <v>-0.25</v>
      </c>
      <c r="AO138" s="6">
        <f>VLOOKUP(Eingabe[[#This Row],[ID]],Chronologie[[ID]:[KW]],12,FALSE)</f>
        <v>12</v>
      </c>
      <c r="AP138" s="95" t="str">
        <f>IF(Eingabe[[#This Row],[Wo]]="H",Eingabe[[#This Row],[Gegner]]&amp;" ["&amp;Eingabe[[#This Row],[Wo]]&amp;"]",Eingabe[[#This Row],[Ort]])</f>
        <v>Rietschen</v>
      </c>
      <c r="AQ138" s="6" t="str">
        <f>IFERROR(IF(Eingabe[[#This Row],[Wo]]="H",IF(MOD(Eingabe[[#This Row],[Position]],2)=1,Eingabe[[#This Row],[S1]],Eingabe[[#This Row],[S4]]),""),"")</f>
        <v/>
      </c>
      <c r="AR138" s="6" t="str">
        <f>IFERROR(IF(Eingabe[[#This Row],[Wo]]="H",IF(Eingabe[[#This Row],[S1]]&gt;0,IF(MOD(Eingabe[[#This Row],[Position]],2)=1,Eingabe[[#This Row],[S2]],Eingabe[[#This Row],[S3]]),""),""),"")</f>
        <v/>
      </c>
      <c r="AS138" s="6" t="str">
        <f>IFERROR(IF(Eingabe[[#This Row],[Wo]]="H",IF(Eingabe[[#This Row],[S1]]&gt;0,IF(MOD(ROW(Eingabe[[#This Row],[Heimbahn 3]]),2)=1,Eingabe[[#This Row],[S4]],Eingabe[[#This Row],[S1]]),""),""),"")</f>
        <v/>
      </c>
      <c r="AT138" s="6" t="str">
        <f>IFERROR(IF(Eingabe[[#This Row],[Wo]]="H",IF(Eingabe[[#This Row],[S1]]&gt;0,IF(MOD(ROW(Eingabe[[#This Row],[Heimbahn 4]]),2)=1,Eingabe[[#This Row],[S3]],Eingabe[[#This Row],[S2]]),""),""),"")</f>
        <v/>
      </c>
      <c r="AU138" s="22">
        <f>IF(Eingabe[[#This Row],[GES]]="","",IF(Eingabe[[#This Row],[Modus]]="L",_xlfn.RANK.EQ(Eingabe[[#This Row],[GES]],AF135:AF140),IF(Eingabe[[#This Row],[Modus]]="P",_xlfn.RANK.EQ(Eingabe[[#This Row],[GES]],AF135:AF140),"")))</f>
        <v>4</v>
      </c>
      <c r="AV138" s="6">
        <f>VLOOKUP(Eingabe[[#This Row],[Name]],AuswertungG[],8,FALSE)</f>
        <v>509</v>
      </c>
      <c r="AZ138" s="6">
        <f>IFERROR(ABS(Eingabe[[#This Row],[GES]]-Eingabe[[#This Row],[GEGGES]]),"")</f>
        <v>7</v>
      </c>
    </row>
    <row r="139" spans="1:52" ht="16.2" hidden="1" thickBot="1" x14ac:dyDescent="0.35">
      <c r="A139" s="441"/>
      <c r="B139" s="21">
        <f t="shared" si="22"/>
        <v>23</v>
      </c>
      <c r="C139" s="6" t="str">
        <f>VLOOKUP($B139,Chronologie[],7,TRUE)</f>
        <v>KSC Stahl Rietschen</v>
      </c>
      <c r="D139" s="6" t="str">
        <f>VLOOKUP($B139,Chronologie[],8,TRUE)</f>
        <v>Rietschen</v>
      </c>
      <c r="E139" s="240" t="str">
        <f>VLOOKUP($B139,Chronologie[],9,TRUE)</f>
        <v>A</v>
      </c>
      <c r="F139" s="6" t="str">
        <f>VLOOKUP($B139,Chronologie[],COLUMN(F140)-2,TRUE)</f>
        <v>F</v>
      </c>
      <c r="G139" s="6" t="str">
        <f>VLOOKUP($B139,Chronologie[],COLUMN(G140)-2,TRUE)</f>
        <v>L</v>
      </c>
      <c r="H139" s="6">
        <f>VLOOKUP($B139,Chronologie[],COLUMN(H140)-2,TRUE)</f>
        <v>5</v>
      </c>
      <c r="I139" s="10" t="str">
        <f>VLOOKUP($B139,Chronologie[],2,TRUE)</f>
        <v>F-L-5</v>
      </c>
      <c r="J139" s="243">
        <f>VLOOKUP($B139,Chronologie[],3,TRUE)</f>
        <v>45977</v>
      </c>
      <c r="K139" s="237" t="s">
        <v>592</v>
      </c>
      <c r="L139" s="237">
        <v>102</v>
      </c>
      <c r="M139" s="237">
        <v>90</v>
      </c>
      <c r="N139" s="237">
        <v>96</v>
      </c>
      <c r="O139" s="237">
        <v>90</v>
      </c>
      <c r="P139" s="237">
        <v>41</v>
      </c>
      <c r="Q139" s="237">
        <v>41</v>
      </c>
      <c r="R139" s="237">
        <v>53</v>
      </c>
      <c r="S139" s="237">
        <v>45</v>
      </c>
      <c r="T139" s="237">
        <v>2</v>
      </c>
      <c r="U139" s="237">
        <v>3</v>
      </c>
      <c r="V139" s="237">
        <v>2</v>
      </c>
      <c r="W139" s="237">
        <v>1</v>
      </c>
      <c r="X139" s="38">
        <v>1</v>
      </c>
      <c r="Y139" s="38">
        <v>0</v>
      </c>
      <c r="Z139" s="38">
        <v>1</v>
      </c>
      <c r="AA139" s="38">
        <v>0</v>
      </c>
      <c r="AB139" s="91">
        <v>555</v>
      </c>
      <c r="AC139" s="94">
        <f>IF(Eingabe[[#This Row],[V1]]="",IF(Eingabe[[#This Row],[Volle alternativ]]="","",Eingabe[[#This Row],[Volle alternativ]]),SUM(Eingabe[[#This Row],[V1]:[V4]]))</f>
        <v>378</v>
      </c>
      <c r="AD139" s="6">
        <f>IF(Eingabe[[#This Row],[R1]]="",IF(Eingabe[[#This Row],[Räumer alternativ]]="","",Eingabe[[#This Row],[Räumer alternativ]]),SUM(Eingabe[[#This Row],[R1]:[R4]]))</f>
        <v>180</v>
      </c>
      <c r="AE139" s="6">
        <f>IF(Eingabe[[#This Row],[F1]]="",IF(Eingabe[[#This Row],[Fehler alternativ]]="","",Eingabe[[#This Row],[Fehler alternativ]]),SUM(Eingabe[[#This Row],[F1]:[F4]]))</f>
        <v>8</v>
      </c>
      <c r="AF139" s="6">
        <f>IF(Eingabe[[#This Row],[Volle]]="","",IF(Eingabe[[#This Row],[S1]]="",Eingabe[[#This Row],[Volle]]+Eingabe[[#This Row],[Räumer]],IF(Eingabe[[#This Row],[Volle]]+Eingabe[[#This Row],[Räumer]]=Eingabe[[#This Row],[S1]]+Eingabe[[#This Row],[S2]]+Eingabe[[#This Row],[S3]]+Eingabe[[#This Row],[S4]],Eingabe[[#This Row],[Volle]]+Eingabe[[#This Row],[Räumer]],"FEHLER")))</f>
        <v>558</v>
      </c>
      <c r="AG139" s="6">
        <f>IF(Eingabe[[#This Row],[V1]]="","",Eingabe[[#This Row],[V1]]+Eingabe[[#This Row],[R1]])</f>
        <v>143</v>
      </c>
      <c r="AH139" s="6">
        <f>IF(Eingabe[[#This Row],[V2]]="","",Eingabe[[#This Row],[V2]]+Eingabe[[#This Row],[R2]])</f>
        <v>131</v>
      </c>
      <c r="AI139" s="6">
        <f>IF(Eingabe[[#This Row],[V3]]="","",Eingabe[[#This Row],[V3]]+Eingabe[[#This Row],[R3]])</f>
        <v>149</v>
      </c>
      <c r="AJ139" s="6">
        <f>IF(Eingabe[[#This Row],[V4]]="","",Eingabe[[#This Row],[V4]]+Eingabe[[#This Row],[R4]])</f>
        <v>135</v>
      </c>
      <c r="AK139" s="6">
        <f>IF(Eingabe[[#This Row],[S1P]]="","",Eingabe[[#This Row],[S1P]]+Eingabe[[#This Row],[S2P]]+Eingabe[[#This Row],[S3P]]+Eingabe[[#This Row],[S4P]])</f>
        <v>2</v>
      </c>
      <c r="AL139" s="6">
        <f>IF(Eingabe[[#This Row],[S1P]]="","",IF(Eingabe[[#This Row],[SP]]&gt;2,1,IF(Eingabe[[#This Row],[SP]]&lt;2,0,IF(Eingabe[[#This Row],[GES]]&gt;Eingabe[[#This Row],[GEGGES]],1,IF(Eingabe[[#This Row],[GES]]=Eingabe[[#This Row],[GEGGES]],0.5,0)))))</f>
        <v>1</v>
      </c>
      <c r="AM139" s="6">
        <f>IF(Eingabe[[#This Row],[MP]]="","",MOD(ROW(Eingabe[[#This Row],[Position]])-3,6)+1)</f>
        <v>5</v>
      </c>
      <c r="AN139" s="6">
        <f>STANDARDIZE(Eingabe[[#This Row],[GES]],Eingabe[[#This Row],[Schnitt]],VLOOKUP(Eingabe[[#This Row],[Name]],AuswertungG[],21,FALSE))</f>
        <v>1.5666666666666667</v>
      </c>
      <c r="AO139" s="6">
        <f>VLOOKUP(Eingabe[[#This Row],[ID]],Chronologie[[ID]:[KW]],12,FALSE)</f>
        <v>12</v>
      </c>
      <c r="AP139" s="95" t="str">
        <f>IF(Eingabe[[#This Row],[Wo]]="H",Eingabe[[#This Row],[Gegner]]&amp;" ["&amp;Eingabe[[#This Row],[Wo]]&amp;"]",Eingabe[[#This Row],[Ort]])</f>
        <v>Rietschen</v>
      </c>
      <c r="AQ139" s="6" t="str">
        <f>IFERROR(IF(Eingabe[[#This Row],[Wo]]="H",IF(MOD(Eingabe[[#This Row],[Position]],2)=1,Eingabe[[#This Row],[S1]],Eingabe[[#This Row],[S4]]),""),"")</f>
        <v/>
      </c>
      <c r="AR139" s="6" t="str">
        <f>IFERROR(IF(Eingabe[[#This Row],[Wo]]="H",IF(Eingabe[[#This Row],[S1]]&gt;0,IF(MOD(Eingabe[[#This Row],[Position]],2)=1,Eingabe[[#This Row],[S2]],Eingabe[[#This Row],[S3]]),""),""),"")</f>
        <v/>
      </c>
      <c r="AS139" s="6" t="str">
        <f>IFERROR(IF(Eingabe[[#This Row],[Wo]]="H",IF(Eingabe[[#This Row],[S1]]&gt;0,IF(MOD(ROW(Eingabe[[#This Row],[Heimbahn 3]]),2)=1,Eingabe[[#This Row],[S4]],Eingabe[[#This Row],[S1]]),""),""),"")</f>
        <v/>
      </c>
      <c r="AT139" s="6" t="str">
        <f>IFERROR(IF(Eingabe[[#This Row],[Wo]]="H",IF(Eingabe[[#This Row],[S1]]&gt;0,IF(MOD(ROW(Eingabe[[#This Row],[Heimbahn 4]]),2)=1,Eingabe[[#This Row],[S3]],Eingabe[[#This Row],[S2]]),""),""),"")</f>
        <v/>
      </c>
      <c r="AU139" s="22">
        <f>IF(Eingabe[[#This Row],[GES]]="","",IF(Eingabe[[#This Row],[Modus]]="L",_xlfn.RANK.EQ(Eingabe[[#This Row],[GES]],AF135:AF140),IF(Eingabe[[#This Row],[Modus]]="P",_xlfn.RANK.EQ(Eingabe[[#This Row],[GES]],AF135:AF140),"")))</f>
        <v>1</v>
      </c>
      <c r="AV139" s="6">
        <f>VLOOKUP(Eingabe[[#This Row],[Name]],AuswertungG[],8,FALSE)</f>
        <v>511</v>
      </c>
      <c r="AZ139" s="6">
        <f>IFERROR(ABS(Eingabe[[#This Row],[GES]]-Eingabe[[#This Row],[GEGGES]]),"")</f>
        <v>3</v>
      </c>
    </row>
    <row r="140" spans="1:52" ht="16.2" hidden="1" thickBot="1" x14ac:dyDescent="0.35">
      <c r="A140" s="442"/>
      <c r="B140" s="56">
        <f t="shared" si="22"/>
        <v>23</v>
      </c>
      <c r="C140" s="23" t="str">
        <f>VLOOKUP($B140,Chronologie[],7,TRUE)</f>
        <v>KSC Stahl Rietschen</v>
      </c>
      <c r="D140" s="23" t="str">
        <f>VLOOKUP($B140,Chronologie[],8,TRUE)</f>
        <v>Rietschen</v>
      </c>
      <c r="E140" s="39" t="str">
        <f>VLOOKUP($B140,Chronologie[],9,TRUE)</f>
        <v>A</v>
      </c>
      <c r="F140" s="23" t="str">
        <f>VLOOKUP($B140,Chronologie[],COLUMN(F141)-2,TRUE)</f>
        <v>F</v>
      </c>
      <c r="G140" s="23" t="str">
        <f>VLOOKUP($B140,Chronologie[],COLUMN(G141)-2,TRUE)</f>
        <v>L</v>
      </c>
      <c r="H140" s="23">
        <f>VLOOKUP($B140,Chronologie[],COLUMN(H141)-2,TRUE)</f>
        <v>5</v>
      </c>
      <c r="I140" s="13" t="str">
        <f>VLOOKUP($B140,Chronologie[],2,TRUE)</f>
        <v>F-L-5</v>
      </c>
      <c r="J140" s="244">
        <f>VLOOKUP($B140,Chronologie[],3,TRUE)</f>
        <v>45977</v>
      </c>
      <c r="K140" s="239" t="s">
        <v>492</v>
      </c>
      <c r="L140" s="239">
        <v>95</v>
      </c>
      <c r="M140" s="239">
        <v>106</v>
      </c>
      <c r="N140" s="239">
        <v>97</v>
      </c>
      <c r="O140" s="239">
        <v>95</v>
      </c>
      <c r="P140" s="239">
        <v>62</v>
      </c>
      <c r="Q140" s="239">
        <v>27</v>
      </c>
      <c r="R140" s="239">
        <v>34</v>
      </c>
      <c r="S140" s="239">
        <v>35</v>
      </c>
      <c r="T140" s="239">
        <v>0</v>
      </c>
      <c r="U140" s="239">
        <v>4</v>
      </c>
      <c r="V140" s="239">
        <v>5</v>
      </c>
      <c r="W140" s="239">
        <v>2</v>
      </c>
      <c r="X140" s="40">
        <v>1</v>
      </c>
      <c r="Y140" s="40">
        <v>0</v>
      </c>
      <c r="Z140" s="40">
        <v>1</v>
      </c>
      <c r="AA140" s="40">
        <v>0</v>
      </c>
      <c r="AB140" s="92">
        <v>548</v>
      </c>
      <c r="AC140" s="96">
        <f>IF(Eingabe[[#This Row],[V1]]="",IF(Eingabe[[#This Row],[Volle alternativ]]="","",Eingabe[[#This Row],[Volle alternativ]]),SUM(Eingabe[[#This Row],[V1]:[V4]]))</f>
        <v>393</v>
      </c>
      <c r="AD140" s="23">
        <f>IF(Eingabe[[#This Row],[R1]]="",IF(Eingabe[[#This Row],[Räumer alternativ]]="","",Eingabe[[#This Row],[Räumer alternativ]]),SUM(Eingabe[[#This Row],[R1]:[R4]]))</f>
        <v>158</v>
      </c>
      <c r="AE140" s="23">
        <f>IF(Eingabe[[#This Row],[F1]]="",IF(Eingabe[[#This Row],[Fehler alternativ]]="","",Eingabe[[#This Row],[Fehler alternativ]]),SUM(Eingabe[[#This Row],[F1]:[F4]]))</f>
        <v>11</v>
      </c>
      <c r="AF140" s="23">
        <f>IF(Eingabe[[#This Row],[Volle]]="","",IF(Eingabe[[#This Row],[S1]]="",Eingabe[[#This Row],[Volle]]+Eingabe[[#This Row],[Räumer]],IF(Eingabe[[#This Row],[Volle]]+Eingabe[[#This Row],[Räumer]]=Eingabe[[#This Row],[S1]]+Eingabe[[#This Row],[S2]]+Eingabe[[#This Row],[S3]]+Eingabe[[#This Row],[S4]],Eingabe[[#This Row],[Volle]]+Eingabe[[#This Row],[Räumer]],"FEHLER")))</f>
        <v>551</v>
      </c>
      <c r="AG140" s="23">
        <f>IF(Eingabe[[#This Row],[V1]]="","",Eingabe[[#This Row],[V1]]+Eingabe[[#This Row],[R1]])</f>
        <v>157</v>
      </c>
      <c r="AH140" s="23">
        <f>IF(Eingabe[[#This Row],[V2]]="","",Eingabe[[#This Row],[V2]]+Eingabe[[#This Row],[R2]])</f>
        <v>133</v>
      </c>
      <c r="AI140" s="23">
        <f>IF(Eingabe[[#This Row],[V3]]="","",Eingabe[[#This Row],[V3]]+Eingabe[[#This Row],[R3]])</f>
        <v>131</v>
      </c>
      <c r="AJ140" s="23">
        <f>IF(Eingabe[[#This Row],[V4]]="","",Eingabe[[#This Row],[V4]]+Eingabe[[#This Row],[R4]])</f>
        <v>130</v>
      </c>
      <c r="AK140" s="23">
        <f>IF(Eingabe[[#This Row],[S1P]]="","",Eingabe[[#This Row],[S1P]]+Eingabe[[#This Row],[S2P]]+Eingabe[[#This Row],[S3P]]+Eingabe[[#This Row],[S4P]])</f>
        <v>2</v>
      </c>
      <c r="AL140" s="23">
        <f>IF(Eingabe[[#This Row],[S1P]]="","",IF(Eingabe[[#This Row],[SP]]&gt;2,1,IF(Eingabe[[#This Row],[SP]]&lt;2,0,IF(Eingabe[[#This Row],[GES]]&gt;Eingabe[[#This Row],[GEGGES]],1,IF(Eingabe[[#This Row],[GES]]=Eingabe[[#This Row],[GEGGES]],0.5,0)))))</f>
        <v>1</v>
      </c>
      <c r="AM140" s="23">
        <f>IF(Eingabe[[#This Row],[MP]]="","",MOD(ROW(Eingabe[[#This Row],[Position]])-3,6)+1)</f>
        <v>6</v>
      </c>
      <c r="AN140" s="23">
        <f>STANDARDIZE(Eingabe[[#This Row],[GES]],Eingabe[[#This Row],[Schnitt]],VLOOKUP(Eingabe[[#This Row],[Name]],AuswertungG[],21,FALSE))</f>
        <v>1.3478260869565217</v>
      </c>
      <c r="AO140" s="23">
        <f>VLOOKUP(Eingabe[[#This Row],[ID]],Chronologie[[ID]:[KW]],12,FALSE)</f>
        <v>12</v>
      </c>
      <c r="AP140" s="59" t="str">
        <f>IF(Eingabe[[#This Row],[Wo]]="H",Eingabe[[#This Row],[Gegner]]&amp;" ["&amp;Eingabe[[#This Row],[Wo]]&amp;"]",Eingabe[[#This Row],[Ort]])</f>
        <v>Rietschen</v>
      </c>
      <c r="AQ140" s="23" t="str">
        <f>IFERROR(IF(Eingabe[[#This Row],[Wo]]="H",IF(MOD(Eingabe[[#This Row],[Position]],2)=1,Eingabe[[#This Row],[S1]],Eingabe[[#This Row],[S4]]),""),"")</f>
        <v/>
      </c>
      <c r="AR140" s="23" t="str">
        <f>IFERROR(IF(Eingabe[[#This Row],[Wo]]="H",IF(Eingabe[[#This Row],[S1]]&gt;0,IF(MOD(Eingabe[[#This Row],[Position]],2)=1,Eingabe[[#This Row],[S2]],Eingabe[[#This Row],[S3]]),""),""),"")</f>
        <v/>
      </c>
      <c r="AS140" s="23" t="str">
        <f>IFERROR(IF(Eingabe[[#This Row],[Wo]]="H",IF(Eingabe[[#This Row],[S1]]&gt;0,IF(MOD(ROW(Eingabe[[#This Row],[Heimbahn 3]]),2)=1,Eingabe[[#This Row],[S4]],Eingabe[[#This Row],[S1]]),""),""),"")</f>
        <v/>
      </c>
      <c r="AT140" s="23" t="str">
        <f>IFERROR(IF(Eingabe[[#This Row],[Wo]]="H",IF(Eingabe[[#This Row],[S1]]&gt;0,IF(MOD(ROW(Eingabe[[#This Row],[Heimbahn 4]]),2)=1,Eingabe[[#This Row],[S3]],Eingabe[[#This Row],[S2]]),""),""),"")</f>
        <v/>
      </c>
      <c r="AU140" s="89">
        <f>IF(Eingabe[[#This Row],[GES]]="","",IF(Eingabe[[#This Row],[Modus]]="L",_xlfn.RANK.EQ(Eingabe[[#This Row],[GES]],AF135:AF140),IF(Eingabe[[#This Row],[Modus]]="P",_xlfn.RANK.EQ(Eingabe[[#This Row],[GES]],AF135:AF140),"")))</f>
        <v>3</v>
      </c>
      <c r="AV140" s="6">
        <f>VLOOKUP(Eingabe[[#This Row],[Name]],AuswertungG[],8,FALSE)</f>
        <v>520</v>
      </c>
      <c r="AZ140" s="6">
        <f>IFERROR(ABS(Eingabe[[#This Row],[GES]]-Eingabe[[#This Row],[GEGGES]]),"")</f>
        <v>3</v>
      </c>
    </row>
    <row r="141" spans="1:52" ht="16.2" hidden="1" thickBot="1" x14ac:dyDescent="0.35">
      <c r="A141" s="440">
        <f t="shared" ref="A141" si="24">B141</f>
        <v>24</v>
      </c>
      <c r="B141" s="55">
        <f t="shared" si="22"/>
        <v>24</v>
      </c>
      <c r="C141" s="35" t="str">
        <f>VLOOKUP($B141,Chronologie[],7,TRUE)</f>
        <v>ISG Hagenwerder</v>
      </c>
      <c r="D141" s="35" t="str">
        <f>VLOOKUP($B141,Chronologie[],8,TRUE)</f>
        <v>Hagenwerder</v>
      </c>
      <c r="E141" s="36" t="str">
        <f>VLOOKUP($B141,Chronologie[],9,TRUE)</f>
        <v>A</v>
      </c>
      <c r="F141" s="35" t="str">
        <f>VLOOKUP($B141,Chronologie[],COLUMN(F142)-2,TRUE)</f>
        <v>F</v>
      </c>
      <c r="G141" s="35" t="str">
        <f>VLOOKUP($B141,Chronologie[],COLUMN(G142)-2,TRUE)</f>
        <v>L</v>
      </c>
      <c r="H141" s="35">
        <f>VLOOKUP($B141,Chronologie[],COLUMN(H142)-2,TRUE)</f>
        <v>6</v>
      </c>
      <c r="I141" s="9" t="str">
        <f>VLOOKUP($B141,Chronologie[],2,TRUE)</f>
        <v>F-L-6</v>
      </c>
      <c r="J141" s="242">
        <f>VLOOKUP($B141,Chronologie[],3,TRUE)</f>
        <v>45991</v>
      </c>
      <c r="K141" s="236" t="s">
        <v>474</v>
      </c>
      <c r="L141" s="334">
        <v>89</v>
      </c>
      <c r="M141" s="334">
        <v>79</v>
      </c>
      <c r="N141" s="334">
        <v>74</v>
      </c>
      <c r="O141" s="334">
        <v>80</v>
      </c>
      <c r="P141" s="334">
        <v>27</v>
      </c>
      <c r="Q141" s="334">
        <v>36</v>
      </c>
      <c r="R141" s="334">
        <v>35</v>
      </c>
      <c r="S141" s="334">
        <v>27</v>
      </c>
      <c r="T141" s="334">
        <v>4</v>
      </c>
      <c r="U141" s="334">
        <v>1</v>
      </c>
      <c r="V141" s="334">
        <v>3</v>
      </c>
      <c r="W141" s="334">
        <v>5</v>
      </c>
      <c r="X141" s="37">
        <v>0</v>
      </c>
      <c r="Y141" s="37">
        <v>0</v>
      </c>
      <c r="Z141" s="37">
        <v>0</v>
      </c>
      <c r="AA141" s="37">
        <v>0</v>
      </c>
      <c r="AB141" s="90">
        <v>505</v>
      </c>
      <c r="AC141" s="93">
        <f>IF(Eingabe[[#This Row],[V1]]="",IF(Eingabe[[#This Row],[Volle alternativ]]="","",Eingabe[[#This Row],[Volle alternativ]]),SUM(Eingabe[[#This Row],[V1]:[V4]]))</f>
        <v>322</v>
      </c>
      <c r="AD141" s="35">
        <f>IF(Eingabe[[#This Row],[R1]]="",IF(Eingabe[[#This Row],[Räumer alternativ]]="","",Eingabe[[#This Row],[Räumer alternativ]]),SUM(Eingabe[[#This Row],[R1]:[R4]]))</f>
        <v>125</v>
      </c>
      <c r="AE141" s="35">
        <f>IF(Eingabe[[#This Row],[F1]]="",IF(Eingabe[[#This Row],[Fehler alternativ]]="","",Eingabe[[#This Row],[Fehler alternativ]]),SUM(Eingabe[[#This Row],[F1]:[F4]]))</f>
        <v>13</v>
      </c>
      <c r="AF141" s="35">
        <f>IF(Eingabe[[#This Row],[Volle]]="","",IF(Eingabe[[#This Row],[S1]]="",Eingabe[[#This Row],[Volle]]+Eingabe[[#This Row],[Räumer]],IF(Eingabe[[#This Row],[Volle]]+Eingabe[[#This Row],[Räumer]]=Eingabe[[#This Row],[S1]]+Eingabe[[#This Row],[S2]]+Eingabe[[#This Row],[S3]]+Eingabe[[#This Row],[S4]],Eingabe[[#This Row],[Volle]]+Eingabe[[#This Row],[Räumer]],"FEHLER")))</f>
        <v>447</v>
      </c>
      <c r="AG141" s="35">
        <f>IF(Eingabe[[#This Row],[V1]]="","",Eingabe[[#This Row],[V1]]+Eingabe[[#This Row],[R1]])</f>
        <v>116</v>
      </c>
      <c r="AH141" s="35">
        <f>IF(Eingabe[[#This Row],[V2]]="","",Eingabe[[#This Row],[V2]]+Eingabe[[#This Row],[R2]])</f>
        <v>115</v>
      </c>
      <c r="AI141" s="35">
        <f>IF(Eingabe[[#This Row],[V3]]="","",Eingabe[[#This Row],[V3]]+Eingabe[[#This Row],[R3]])</f>
        <v>109</v>
      </c>
      <c r="AJ141" s="35">
        <f>IF(Eingabe[[#This Row],[V4]]="","",Eingabe[[#This Row],[V4]]+Eingabe[[#This Row],[R4]])</f>
        <v>107</v>
      </c>
      <c r="AK141" s="35">
        <f>IF(Eingabe[[#This Row],[S1P]]="","",Eingabe[[#This Row],[S1P]]+Eingabe[[#This Row],[S2P]]+Eingabe[[#This Row],[S3P]]+Eingabe[[#This Row],[S4P]])</f>
        <v>0</v>
      </c>
      <c r="AL141" s="35">
        <f>IF(Eingabe[[#This Row],[S1P]]="","",IF(Eingabe[[#This Row],[SP]]&gt;2,1,IF(Eingabe[[#This Row],[SP]]&lt;2,0,IF(Eingabe[[#This Row],[GES]]&gt;Eingabe[[#This Row],[GEGGES]],1,IF(Eingabe[[#This Row],[GES]]=Eingabe[[#This Row],[GEGGES]],0.5,0)))))</f>
        <v>0</v>
      </c>
      <c r="AM141" s="35">
        <f>IF(Eingabe[[#This Row],[MP]]="","",MOD(ROW(Eingabe[[#This Row],[Position]])-3,6)+1)</f>
        <v>1</v>
      </c>
      <c r="AN141" s="35">
        <f>STANDARDIZE(Eingabe[[#This Row],[GES]],Eingabe[[#This Row],[Schnitt]],VLOOKUP(Eingabe[[#This Row],[Name]],AuswertungG[],21,FALSE))</f>
        <v>-1.7419354838709677</v>
      </c>
      <c r="AO141" s="35">
        <f>VLOOKUP(Eingabe[[#This Row],[ID]],Chronologie[[ID]:[KW]],12,FALSE)</f>
        <v>14</v>
      </c>
      <c r="AP141" s="58" t="str">
        <f>IF(Eingabe[[#This Row],[Wo]]="H",Eingabe[[#This Row],[Gegner]]&amp;" ["&amp;Eingabe[[#This Row],[Wo]]&amp;"]",Eingabe[[#This Row],[Ort]])</f>
        <v>Hagenwerder</v>
      </c>
      <c r="AQ141" s="35" t="str">
        <f>IFERROR(IF(Eingabe[[#This Row],[Wo]]="H",IF(MOD(Eingabe[[#This Row],[Position]],2)=1,Eingabe[[#This Row],[S1]],Eingabe[[#This Row],[S4]]),""),"")</f>
        <v/>
      </c>
      <c r="AR141" s="35" t="str">
        <f>IFERROR(IF(Eingabe[[#This Row],[Wo]]="H",IF(Eingabe[[#This Row],[S1]]&gt;0,IF(MOD(Eingabe[[#This Row],[Position]],2)=1,Eingabe[[#This Row],[S2]],Eingabe[[#This Row],[S3]]),""),""),"")</f>
        <v/>
      </c>
      <c r="AS141" s="35" t="str">
        <f>IFERROR(IF(Eingabe[[#This Row],[Wo]]="H",IF(Eingabe[[#This Row],[S1]]&gt;0,IF(MOD(ROW(Eingabe[[#This Row],[Heimbahn 3]]),2)=1,Eingabe[[#This Row],[S4]],Eingabe[[#This Row],[S1]]),""),""),"")</f>
        <v/>
      </c>
      <c r="AT141" s="35" t="str">
        <f>IFERROR(IF(Eingabe[[#This Row],[Wo]]="H",IF(Eingabe[[#This Row],[S1]]&gt;0,IF(MOD(ROW(Eingabe[[#This Row],[Heimbahn 4]]),2)=1,Eingabe[[#This Row],[S3]],Eingabe[[#This Row],[S2]]),""),""),"")</f>
        <v/>
      </c>
      <c r="AU141" s="88">
        <f>IF(Eingabe[[#This Row],[GES]]="","",IF(Eingabe[[#This Row],[Modus]]="L",_xlfn.RANK.EQ(Eingabe[[#This Row],[GES]],AF141:AF146),IF(Eingabe[[#This Row],[Modus]]="P",_xlfn.RANK.EQ(Eingabe[[#This Row],[GES]],AF141:AF146),"")))</f>
        <v>5</v>
      </c>
      <c r="AV141" s="6">
        <f>VLOOKUP(Eingabe[[#This Row],[Name]],AuswertungG[],8,FALSE)</f>
        <v>501</v>
      </c>
      <c r="AZ141" s="6">
        <f>IFERROR(ABS(Eingabe[[#This Row],[GES]]-Eingabe[[#This Row],[GEGGES]]),"")</f>
        <v>58</v>
      </c>
    </row>
    <row r="142" spans="1:52" ht="16.2" hidden="1" thickBot="1" x14ac:dyDescent="0.35">
      <c r="A142" s="441"/>
      <c r="B142" s="21">
        <f t="shared" si="22"/>
        <v>24</v>
      </c>
      <c r="C142" s="6" t="str">
        <f>VLOOKUP($B142,Chronologie[],7,TRUE)</f>
        <v>ISG Hagenwerder</v>
      </c>
      <c r="D142" s="6" t="str">
        <f>VLOOKUP($B142,Chronologie[],8,TRUE)</f>
        <v>Hagenwerder</v>
      </c>
      <c r="E142" s="240" t="str">
        <f>VLOOKUP($B142,Chronologie[],9,TRUE)</f>
        <v>A</v>
      </c>
      <c r="F142" s="6" t="str">
        <f>VLOOKUP($B142,Chronologie[],COLUMN(F143)-2,TRUE)</f>
        <v>F</v>
      </c>
      <c r="G142" s="6" t="str">
        <f>VLOOKUP($B142,Chronologie[],COLUMN(G143)-2,TRUE)</f>
        <v>L</v>
      </c>
      <c r="H142" s="6">
        <f>VLOOKUP($B142,Chronologie[],COLUMN(H143)-2,TRUE)</f>
        <v>6</v>
      </c>
      <c r="I142" s="10" t="str">
        <f>VLOOKUP($B142,Chronologie[],2,TRUE)</f>
        <v>F-L-6</v>
      </c>
      <c r="J142" s="243">
        <f>VLOOKUP($B142,Chronologie[],3,TRUE)</f>
        <v>45991</v>
      </c>
      <c r="K142" s="237" t="s">
        <v>464</v>
      </c>
      <c r="L142" s="237">
        <v>84</v>
      </c>
      <c r="M142" s="237">
        <v>76</v>
      </c>
      <c r="N142" s="237">
        <v>79</v>
      </c>
      <c r="O142" s="237">
        <v>79</v>
      </c>
      <c r="P142" s="237">
        <v>26</v>
      </c>
      <c r="Q142" s="237">
        <v>26</v>
      </c>
      <c r="R142" s="237">
        <v>44</v>
      </c>
      <c r="S142" s="237">
        <v>25</v>
      </c>
      <c r="T142" s="237">
        <v>5</v>
      </c>
      <c r="U142" s="237">
        <v>3</v>
      </c>
      <c r="V142" s="237">
        <v>1</v>
      </c>
      <c r="W142" s="237">
        <v>5</v>
      </c>
      <c r="X142" s="38">
        <v>0</v>
      </c>
      <c r="Y142" s="38">
        <v>0</v>
      </c>
      <c r="Z142" s="38">
        <v>1</v>
      </c>
      <c r="AA142" s="38">
        <v>0</v>
      </c>
      <c r="AB142" s="91">
        <v>485</v>
      </c>
      <c r="AC142" s="94">
        <f>IF(Eingabe[[#This Row],[V1]]="",IF(Eingabe[[#This Row],[Volle alternativ]]="","",Eingabe[[#This Row],[Volle alternativ]]),SUM(Eingabe[[#This Row],[V1]:[V4]]))</f>
        <v>318</v>
      </c>
      <c r="AD142" s="6">
        <f>IF(Eingabe[[#This Row],[R1]]="",IF(Eingabe[[#This Row],[Räumer alternativ]]="","",Eingabe[[#This Row],[Räumer alternativ]]),SUM(Eingabe[[#This Row],[R1]:[R4]]))</f>
        <v>121</v>
      </c>
      <c r="AE142" s="6">
        <f>IF(Eingabe[[#This Row],[F1]]="",IF(Eingabe[[#This Row],[Fehler alternativ]]="","",Eingabe[[#This Row],[Fehler alternativ]]),SUM(Eingabe[[#This Row],[F1]:[F4]]))</f>
        <v>14</v>
      </c>
      <c r="AF142" s="6">
        <f>IF(Eingabe[[#This Row],[Volle]]="","",IF(Eingabe[[#This Row],[S1]]="",Eingabe[[#This Row],[Volle]]+Eingabe[[#This Row],[Räumer]],IF(Eingabe[[#This Row],[Volle]]+Eingabe[[#This Row],[Räumer]]=Eingabe[[#This Row],[S1]]+Eingabe[[#This Row],[S2]]+Eingabe[[#This Row],[S3]]+Eingabe[[#This Row],[S4]],Eingabe[[#This Row],[Volle]]+Eingabe[[#This Row],[Räumer]],"FEHLER")))</f>
        <v>439</v>
      </c>
      <c r="AG142" s="6">
        <f>IF(Eingabe[[#This Row],[V1]]="","",Eingabe[[#This Row],[V1]]+Eingabe[[#This Row],[R1]])</f>
        <v>110</v>
      </c>
      <c r="AH142" s="6">
        <f>IF(Eingabe[[#This Row],[V2]]="","",Eingabe[[#This Row],[V2]]+Eingabe[[#This Row],[R2]])</f>
        <v>102</v>
      </c>
      <c r="AI142" s="6">
        <f>IF(Eingabe[[#This Row],[V3]]="","",Eingabe[[#This Row],[V3]]+Eingabe[[#This Row],[R3]])</f>
        <v>123</v>
      </c>
      <c r="AJ142" s="6">
        <f>IF(Eingabe[[#This Row],[V4]]="","",Eingabe[[#This Row],[V4]]+Eingabe[[#This Row],[R4]])</f>
        <v>104</v>
      </c>
      <c r="AK142" s="6">
        <f>IF(Eingabe[[#This Row],[S1P]]="","",Eingabe[[#This Row],[S1P]]+Eingabe[[#This Row],[S2P]]+Eingabe[[#This Row],[S3P]]+Eingabe[[#This Row],[S4P]])</f>
        <v>1</v>
      </c>
      <c r="AL142" s="6">
        <f>IF(Eingabe[[#This Row],[S1P]]="","",IF(Eingabe[[#This Row],[SP]]&gt;2,1,IF(Eingabe[[#This Row],[SP]]&lt;2,0,IF(Eingabe[[#This Row],[GES]]&gt;Eingabe[[#This Row],[GEGGES]],1,IF(Eingabe[[#This Row],[GES]]=Eingabe[[#This Row],[GEGGES]],0.5,0)))))</f>
        <v>0</v>
      </c>
      <c r="AM142" s="6">
        <f>IF(Eingabe[[#This Row],[MP]]="","",MOD(ROW(Eingabe[[#This Row],[Position]])-3,6)+1)</f>
        <v>2</v>
      </c>
      <c r="AN142" s="6">
        <f>STANDARDIZE(Eingabe[[#This Row],[GES]],Eingabe[[#This Row],[Schnitt]],VLOOKUP(Eingabe[[#This Row],[Name]],AuswertungG[],21,FALSE))</f>
        <v>-1.6470588235294117</v>
      </c>
      <c r="AO142" s="6">
        <f>VLOOKUP(Eingabe[[#This Row],[ID]],Chronologie[[ID]:[KW]],12,FALSE)</f>
        <v>14</v>
      </c>
      <c r="AP142" s="95" t="str">
        <f>IF(Eingabe[[#This Row],[Wo]]="H",Eingabe[[#This Row],[Gegner]]&amp;" ["&amp;Eingabe[[#This Row],[Wo]]&amp;"]",Eingabe[[#This Row],[Ort]])</f>
        <v>Hagenwerder</v>
      </c>
      <c r="AQ142" s="6" t="str">
        <f>IFERROR(IF(Eingabe[[#This Row],[Wo]]="H",IF(MOD(Eingabe[[#This Row],[Position]],2)=1,Eingabe[[#This Row],[S1]],Eingabe[[#This Row],[S4]]),""),"")</f>
        <v/>
      </c>
      <c r="AR142" s="6" t="str">
        <f>IFERROR(IF(Eingabe[[#This Row],[Wo]]="H",IF(Eingabe[[#This Row],[S1]]&gt;0,IF(MOD(Eingabe[[#This Row],[Position]],2)=1,Eingabe[[#This Row],[S2]],Eingabe[[#This Row],[S3]]),""),""),"")</f>
        <v/>
      </c>
      <c r="AS142" s="6" t="str">
        <f>IFERROR(IF(Eingabe[[#This Row],[Wo]]="H",IF(Eingabe[[#This Row],[S1]]&gt;0,IF(MOD(ROW(Eingabe[[#This Row],[Heimbahn 3]]),2)=1,Eingabe[[#This Row],[S4]],Eingabe[[#This Row],[S1]]),""),""),"")</f>
        <v/>
      </c>
      <c r="AT142" s="6" t="str">
        <f>IFERROR(IF(Eingabe[[#This Row],[Wo]]="H",IF(Eingabe[[#This Row],[S1]]&gt;0,IF(MOD(ROW(Eingabe[[#This Row],[Heimbahn 4]]),2)=1,Eingabe[[#This Row],[S3]],Eingabe[[#This Row],[S2]]),""),""),"")</f>
        <v/>
      </c>
      <c r="AU142" s="22">
        <f>IF(Eingabe[[#This Row],[GES]]="","",IF(Eingabe[[#This Row],[Modus]]="L",_xlfn.RANK.EQ(Eingabe[[#This Row],[GES]],AF141:AF146),IF(Eingabe[[#This Row],[Modus]]="P",_xlfn.RANK.EQ(Eingabe[[#This Row],[GES]],AF141:AF146),"")))</f>
        <v>6</v>
      </c>
      <c r="AV142" s="6">
        <f>VLOOKUP(Eingabe[[#This Row],[Name]],AuswertungG[],8,FALSE)</f>
        <v>495</v>
      </c>
      <c r="AZ142" s="6">
        <f>IFERROR(ABS(Eingabe[[#This Row],[GES]]-Eingabe[[#This Row],[GEGGES]]),"")</f>
        <v>46</v>
      </c>
    </row>
    <row r="143" spans="1:52" ht="16.2" hidden="1" thickBot="1" x14ac:dyDescent="0.35">
      <c r="A143" s="441"/>
      <c r="B143" s="21">
        <f t="shared" si="22"/>
        <v>24</v>
      </c>
      <c r="C143" s="6" t="str">
        <f>VLOOKUP($B143,Chronologie[],7,TRUE)</f>
        <v>ISG Hagenwerder</v>
      </c>
      <c r="D143" s="6" t="str">
        <f>VLOOKUP($B143,Chronologie[],8,TRUE)</f>
        <v>Hagenwerder</v>
      </c>
      <c r="E143" s="240" t="str">
        <f>VLOOKUP($B143,Chronologie[],9,TRUE)</f>
        <v>A</v>
      </c>
      <c r="F143" s="6" t="str">
        <f>VLOOKUP($B143,Chronologie[],COLUMN(F144)-2,TRUE)</f>
        <v>F</v>
      </c>
      <c r="G143" s="6" t="str">
        <f>VLOOKUP($B143,Chronologie[],COLUMN(G144)-2,TRUE)</f>
        <v>L</v>
      </c>
      <c r="H143" s="6">
        <f>VLOOKUP($B143,Chronologie[],COLUMN(H144)-2,TRUE)</f>
        <v>6</v>
      </c>
      <c r="I143" s="10" t="str">
        <f>VLOOKUP($B143,Chronologie[],2,TRUE)</f>
        <v>F-L-6</v>
      </c>
      <c r="J143" s="243">
        <f>VLOOKUP($B143,Chronologie[],3,TRUE)</f>
        <v>45991</v>
      </c>
      <c r="K143" s="237" t="s">
        <v>485</v>
      </c>
      <c r="L143" s="237">
        <v>90</v>
      </c>
      <c r="M143" s="237">
        <v>88</v>
      </c>
      <c r="N143" s="237">
        <v>72</v>
      </c>
      <c r="O143" s="237">
        <v>84</v>
      </c>
      <c r="P143" s="237">
        <v>36</v>
      </c>
      <c r="Q143" s="237">
        <v>44</v>
      </c>
      <c r="R143" s="237">
        <v>42</v>
      </c>
      <c r="S143" s="237">
        <v>32</v>
      </c>
      <c r="T143" s="237">
        <v>2</v>
      </c>
      <c r="U143" s="237">
        <v>2</v>
      </c>
      <c r="V143" s="237">
        <v>2</v>
      </c>
      <c r="W143" s="237">
        <v>6</v>
      </c>
      <c r="X143" s="38">
        <v>0</v>
      </c>
      <c r="Y143" s="38">
        <v>0</v>
      </c>
      <c r="Z143" s="38">
        <v>0</v>
      </c>
      <c r="AA143" s="38">
        <v>0</v>
      </c>
      <c r="AB143" s="91">
        <v>551</v>
      </c>
      <c r="AC143" s="94">
        <f>IF(Eingabe[[#This Row],[V1]]="",IF(Eingabe[[#This Row],[Volle alternativ]]="","",Eingabe[[#This Row],[Volle alternativ]]),SUM(Eingabe[[#This Row],[V1]:[V4]]))</f>
        <v>334</v>
      </c>
      <c r="AD143" s="6">
        <f>IF(Eingabe[[#This Row],[R1]]="",IF(Eingabe[[#This Row],[Räumer alternativ]]="","",Eingabe[[#This Row],[Räumer alternativ]]),SUM(Eingabe[[#This Row],[R1]:[R4]]))</f>
        <v>154</v>
      </c>
      <c r="AE143" s="6">
        <f>IF(Eingabe[[#This Row],[F1]]="",IF(Eingabe[[#This Row],[Fehler alternativ]]="","",Eingabe[[#This Row],[Fehler alternativ]]),SUM(Eingabe[[#This Row],[F1]:[F4]]))</f>
        <v>12</v>
      </c>
      <c r="AF143" s="6">
        <f>IF(Eingabe[[#This Row],[Volle]]="","",IF(Eingabe[[#This Row],[S1]]="",Eingabe[[#This Row],[Volle]]+Eingabe[[#This Row],[Räumer]],IF(Eingabe[[#This Row],[Volle]]+Eingabe[[#This Row],[Räumer]]=Eingabe[[#This Row],[S1]]+Eingabe[[#This Row],[S2]]+Eingabe[[#This Row],[S3]]+Eingabe[[#This Row],[S4]],Eingabe[[#This Row],[Volle]]+Eingabe[[#This Row],[Räumer]],"FEHLER")))</f>
        <v>488</v>
      </c>
      <c r="AG143" s="6">
        <f>IF(Eingabe[[#This Row],[V1]]="","",Eingabe[[#This Row],[V1]]+Eingabe[[#This Row],[R1]])</f>
        <v>126</v>
      </c>
      <c r="AH143" s="6">
        <f>IF(Eingabe[[#This Row],[V2]]="","",Eingabe[[#This Row],[V2]]+Eingabe[[#This Row],[R2]])</f>
        <v>132</v>
      </c>
      <c r="AI143" s="6">
        <f>IF(Eingabe[[#This Row],[V3]]="","",Eingabe[[#This Row],[V3]]+Eingabe[[#This Row],[R3]])</f>
        <v>114</v>
      </c>
      <c r="AJ143" s="6">
        <f>IF(Eingabe[[#This Row],[V4]]="","",Eingabe[[#This Row],[V4]]+Eingabe[[#This Row],[R4]])</f>
        <v>116</v>
      </c>
      <c r="AK143" s="6">
        <f>IF(Eingabe[[#This Row],[S1P]]="","",Eingabe[[#This Row],[S1P]]+Eingabe[[#This Row],[S2P]]+Eingabe[[#This Row],[S3P]]+Eingabe[[#This Row],[S4P]])</f>
        <v>0</v>
      </c>
      <c r="AL143" s="6">
        <f>IF(Eingabe[[#This Row],[S1P]]="","",IF(Eingabe[[#This Row],[SP]]&gt;2,1,IF(Eingabe[[#This Row],[SP]]&lt;2,0,IF(Eingabe[[#This Row],[GES]]&gt;Eingabe[[#This Row],[GEGGES]],1,IF(Eingabe[[#This Row],[GES]]=Eingabe[[#This Row],[GEGGES]],0.5,0)))))</f>
        <v>0</v>
      </c>
      <c r="AM143" s="6">
        <f>IF(Eingabe[[#This Row],[MP]]="","",MOD(ROW(Eingabe[[#This Row],[Position]])-3,6)+1)</f>
        <v>3</v>
      </c>
      <c r="AN143" s="6">
        <f>STANDARDIZE(Eingabe[[#This Row],[GES]],Eingabe[[#This Row],[Schnitt]],VLOOKUP(Eingabe[[#This Row],[Name]],AuswertungG[],21,FALSE))</f>
        <v>0.93103448275862066</v>
      </c>
      <c r="AO143" s="6">
        <f>VLOOKUP(Eingabe[[#This Row],[ID]],Chronologie[[ID]:[KW]],12,FALSE)</f>
        <v>14</v>
      </c>
      <c r="AP143" s="95" t="str">
        <f>IF(Eingabe[[#This Row],[Wo]]="H",Eingabe[[#This Row],[Gegner]]&amp;" ["&amp;Eingabe[[#This Row],[Wo]]&amp;"]",Eingabe[[#This Row],[Ort]])</f>
        <v>Hagenwerder</v>
      </c>
      <c r="AQ143" s="6" t="str">
        <f>IFERROR(IF(Eingabe[[#This Row],[Wo]]="H",IF(MOD(Eingabe[[#This Row],[Position]],2)=1,Eingabe[[#This Row],[S1]],Eingabe[[#This Row],[S4]]),""),"")</f>
        <v/>
      </c>
      <c r="AR143" s="6" t="str">
        <f>IFERROR(IF(Eingabe[[#This Row],[Wo]]="H",IF(Eingabe[[#This Row],[S1]]&gt;0,IF(MOD(Eingabe[[#This Row],[Position]],2)=1,Eingabe[[#This Row],[S2]],Eingabe[[#This Row],[S3]]),""),""),"")</f>
        <v/>
      </c>
      <c r="AS143" s="6" t="str">
        <f>IFERROR(IF(Eingabe[[#This Row],[Wo]]="H",IF(Eingabe[[#This Row],[S1]]&gt;0,IF(MOD(ROW(Eingabe[[#This Row],[Heimbahn 3]]),2)=1,Eingabe[[#This Row],[S4]],Eingabe[[#This Row],[S1]]),""),""),"")</f>
        <v/>
      </c>
      <c r="AT143" s="6" t="str">
        <f>IFERROR(IF(Eingabe[[#This Row],[Wo]]="H",IF(Eingabe[[#This Row],[S1]]&gt;0,IF(MOD(ROW(Eingabe[[#This Row],[Heimbahn 4]]),2)=1,Eingabe[[#This Row],[S3]],Eingabe[[#This Row],[S2]]),""),""),"")</f>
        <v/>
      </c>
      <c r="AU143" s="22">
        <f>IF(Eingabe[[#This Row],[GES]]="","",IF(Eingabe[[#This Row],[Modus]]="L",_xlfn.RANK.EQ(Eingabe[[#This Row],[GES]],AF141:AF146),IF(Eingabe[[#This Row],[Modus]]="P",_xlfn.RANK.EQ(Eingabe[[#This Row],[GES]],AF141:AF146),"")))</f>
        <v>4</v>
      </c>
      <c r="AV143" s="6">
        <f>VLOOKUP(Eingabe[[#This Row],[Name]],AuswertungG[],8,FALSE)</f>
        <v>461</v>
      </c>
      <c r="AZ143" s="6">
        <f>IFERROR(ABS(Eingabe[[#This Row],[GES]]-Eingabe[[#This Row],[GEGGES]]),"")</f>
        <v>63</v>
      </c>
    </row>
    <row r="144" spans="1:52" ht="16.2" hidden="1" thickBot="1" x14ac:dyDescent="0.35">
      <c r="A144" s="441"/>
      <c r="B144" s="21">
        <f t="shared" si="22"/>
        <v>24</v>
      </c>
      <c r="C144" s="6" t="str">
        <f>VLOOKUP($B144,Chronologie[],7,TRUE)</f>
        <v>ISG Hagenwerder</v>
      </c>
      <c r="D144" s="6" t="str">
        <f>VLOOKUP($B144,Chronologie[],8,TRUE)</f>
        <v>Hagenwerder</v>
      </c>
      <c r="E144" s="240" t="str">
        <f>VLOOKUP($B144,Chronologie[],9,TRUE)</f>
        <v>A</v>
      </c>
      <c r="F144" s="6" t="str">
        <f>VLOOKUP($B144,Chronologie[],COLUMN(F145)-2,TRUE)</f>
        <v>F</v>
      </c>
      <c r="G144" s="6" t="str">
        <f>VLOOKUP($B144,Chronologie[],COLUMN(G145)-2,TRUE)</f>
        <v>L</v>
      </c>
      <c r="H144" s="6">
        <f>VLOOKUP($B144,Chronologie[],COLUMN(H145)-2,TRUE)</f>
        <v>6</v>
      </c>
      <c r="I144" s="10" t="str">
        <f>VLOOKUP($B144,Chronologie[],2,TRUE)</f>
        <v>F-L-6</v>
      </c>
      <c r="J144" s="243">
        <f>VLOOKUP($B144,Chronologie[],3,TRUE)</f>
        <v>45991</v>
      </c>
      <c r="K144" s="238" t="s">
        <v>15</v>
      </c>
      <c r="L144" s="237">
        <v>91</v>
      </c>
      <c r="M144" s="237">
        <v>101</v>
      </c>
      <c r="N144" s="237">
        <v>75</v>
      </c>
      <c r="O144" s="237">
        <v>81</v>
      </c>
      <c r="P144" s="237">
        <v>36</v>
      </c>
      <c r="Q144" s="237">
        <v>53</v>
      </c>
      <c r="R144" s="237">
        <v>35</v>
      </c>
      <c r="S144" s="237">
        <v>36</v>
      </c>
      <c r="T144" s="237">
        <v>4</v>
      </c>
      <c r="U144" s="237">
        <v>1</v>
      </c>
      <c r="V144" s="237">
        <v>2</v>
      </c>
      <c r="W144" s="237">
        <v>5</v>
      </c>
      <c r="X144" s="38">
        <v>0</v>
      </c>
      <c r="Y144" s="38">
        <v>1</v>
      </c>
      <c r="Z144" s="38">
        <v>0</v>
      </c>
      <c r="AA144" s="38">
        <v>0</v>
      </c>
      <c r="AB144" s="91">
        <v>511</v>
      </c>
      <c r="AC144" s="94">
        <f>IF(Eingabe[[#This Row],[V1]]="",IF(Eingabe[[#This Row],[Volle alternativ]]="","",Eingabe[[#This Row],[Volle alternativ]]),SUM(Eingabe[[#This Row],[V1]:[V4]]))</f>
        <v>348</v>
      </c>
      <c r="AD144" s="6">
        <f>IF(Eingabe[[#This Row],[R1]]="",IF(Eingabe[[#This Row],[Räumer alternativ]]="","",Eingabe[[#This Row],[Räumer alternativ]]),SUM(Eingabe[[#This Row],[R1]:[R4]]))</f>
        <v>160</v>
      </c>
      <c r="AE144" s="6">
        <f>IF(Eingabe[[#This Row],[F1]]="",IF(Eingabe[[#This Row],[Fehler alternativ]]="","",Eingabe[[#This Row],[Fehler alternativ]]),SUM(Eingabe[[#This Row],[F1]:[F4]]))</f>
        <v>12</v>
      </c>
      <c r="AF144" s="6">
        <f>IF(Eingabe[[#This Row],[Volle]]="","",IF(Eingabe[[#This Row],[S1]]="",Eingabe[[#This Row],[Volle]]+Eingabe[[#This Row],[Räumer]],IF(Eingabe[[#This Row],[Volle]]+Eingabe[[#This Row],[Räumer]]=Eingabe[[#This Row],[S1]]+Eingabe[[#This Row],[S2]]+Eingabe[[#This Row],[S3]]+Eingabe[[#This Row],[S4]],Eingabe[[#This Row],[Volle]]+Eingabe[[#This Row],[Räumer]],"FEHLER")))</f>
        <v>508</v>
      </c>
      <c r="AG144" s="6">
        <f>IF(Eingabe[[#This Row],[V1]]="","",Eingabe[[#This Row],[V1]]+Eingabe[[#This Row],[R1]])</f>
        <v>127</v>
      </c>
      <c r="AH144" s="6">
        <f>IF(Eingabe[[#This Row],[V2]]="","",Eingabe[[#This Row],[V2]]+Eingabe[[#This Row],[R2]])</f>
        <v>154</v>
      </c>
      <c r="AI144" s="6">
        <f>IF(Eingabe[[#This Row],[V3]]="","",Eingabe[[#This Row],[V3]]+Eingabe[[#This Row],[R3]])</f>
        <v>110</v>
      </c>
      <c r="AJ144" s="6">
        <f>IF(Eingabe[[#This Row],[V4]]="","",Eingabe[[#This Row],[V4]]+Eingabe[[#This Row],[R4]])</f>
        <v>117</v>
      </c>
      <c r="AK144" s="6">
        <f>IF(Eingabe[[#This Row],[S1P]]="","",Eingabe[[#This Row],[S1P]]+Eingabe[[#This Row],[S2P]]+Eingabe[[#This Row],[S3P]]+Eingabe[[#This Row],[S4P]])</f>
        <v>1</v>
      </c>
      <c r="AL144" s="6">
        <f>IF(Eingabe[[#This Row],[S1P]]="","",IF(Eingabe[[#This Row],[SP]]&gt;2,1,IF(Eingabe[[#This Row],[SP]]&lt;2,0,IF(Eingabe[[#This Row],[GES]]&gt;Eingabe[[#This Row],[GEGGES]],1,IF(Eingabe[[#This Row],[GES]]=Eingabe[[#This Row],[GEGGES]],0.5,0)))))</f>
        <v>0</v>
      </c>
      <c r="AM144" s="6">
        <f>IF(Eingabe[[#This Row],[MP]]="","",MOD(ROW(Eingabe[[#This Row],[Position]])-3,6)+1)</f>
        <v>4</v>
      </c>
      <c r="AN144" s="6">
        <f>STANDARDIZE(Eingabe[[#This Row],[GES]],Eingabe[[#This Row],[Schnitt]],VLOOKUP(Eingabe[[#This Row],[Name]],AuswertungG[],21,FALSE))</f>
        <v>0.68181818181818177</v>
      </c>
      <c r="AO144" s="6">
        <f>VLOOKUP(Eingabe[[#This Row],[ID]],Chronologie[[ID]:[KW]],12,FALSE)</f>
        <v>14</v>
      </c>
      <c r="AP144" s="95" t="str">
        <f>IF(Eingabe[[#This Row],[Wo]]="H",Eingabe[[#This Row],[Gegner]]&amp;" ["&amp;Eingabe[[#This Row],[Wo]]&amp;"]",Eingabe[[#This Row],[Ort]])</f>
        <v>Hagenwerder</v>
      </c>
      <c r="AQ144" s="6" t="str">
        <f>IFERROR(IF(Eingabe[[#This Row],[Wo]]="H",IF(MOD(Eingabe[[#This Row],[Position]],2)=1,Eingabe[[#This Row],[S1]],Eingabe[[#This Row],[S4]]),""),"")</f>
        <v/>
      </c>
      <c r="AR144" s="6" t="str">
        <f>IFERROR(IF(Eingabe[[#This Row],[Wo]]="H",IF(Eingabe[[#This Row],[S1]]&gt;0,IF(MOD(Eingabe[[#This Row],[Position]],2)=1,Eingabe[[#This Row],[S2]],Eingabe[[#This Row],[S3]]),""),""),"")</f>
        <v/>
      </c>
      <c r="AS144" s="6" t="str">
        <f>IFERROR(IF(Eingabe[[#This Row],[Wo]]="H",IF(Eingabe[[#This Row],[S1]]&gt;0,IF(MOD(ROW(Eingabe[[#This Row],[Heimbahn 3]]),2)=1,Eingabe[[#This Row],[S4]],Eingabe[[#This Row],[S1]]),""),""),"")</f>
        <v/>
      </c>
      <c r="AT144" s="6" t="str">
        <f>IFERROR(IF(Eingabe[[#This Row],[Wo]]="H",IF(Eingabe[[#This Row],[S1]]&gt;0,IF(MOD(ROW(Eingabe[[#This Row],[Heimbahn 4]]),2)=1,Eingabe[[#This Row],[S3]],Eingabe[[#This Row],[S2]]),""),""),"")</f>
        <v/>
      </c>
      <c r="AU144" s="22">
        <f>IF(Eingabe[[#This Row],[GES]]="","",IF(Eingabe[[#This Row],[Modus]]="L",_xlfn.RANK.EQ(Eingabe[[#This Row],[GES]],AF141:AF146),IF(Eingabe[[#This Row],[Modus]]="P",_xlfn.RANK.EQ(Eingabe[[#This Row],[GES]],AF141:AF146),"")))</f>
        <v>2</v>
      </c>
      <c r="AV144" s="6">
        <f>VLOOKUP(Eingabe[[#This Row],[Name]],AuswertungG[],8,FALSE)</f>
        <v>478</v>
      </c>
      <c r="AZ144" s="6">
        <f>IFERROR(ABS(Eingabe[[#This Row],[GES]]-Eingabe[[#This Row],[GEGGES]]),"")</f>
        <v>3</v>
      </c>
    </row>
    <row r="145" spans="1:52" ht="16.2" hidden="1" thickBot="1" x14ac:dyDescent="0.35">
      <c r="A145" s="441"/>
      <c r="B145" s="21">
        <f t="shared" si="22"/>
        <v>24</v>
      </c>
      <c r="C145" s="6" t="str">
        <f>VLOOKUP($B145,Chronologie[],7,TRUE)</f>
        <v>ISG Hagenwerder</v>
      </c>
      <c r="D145" s="6" t="str">
        <f>VLOOKUP($B145,Chronologie[],8,TRUE)</f>
        <v>Hagenwerder</v>
      </c>
      <c r="E145" s="240" t="str">
        <f>VLOOKUP($B145,Chronologie[],9,TRUE)</f>
        <v>A</v>
      </c>
      <c r="F145" s="6" t="str">
        <f>VLOOKUP($B145,Chronologie[],COLUMN(F146)-2,TRUE)</f>
        <v>F</v>
      </c>
      <c r="G145" s="6" t="str">
        <f>VLOOKUP($B145,Chronologie[],COLUMN(G146)-2,TRUE)</f>
        <v>L</v>
      </c>
      <c r="H145" s="6">
        <f>VLOOKUP($B145,Chronologie[],COLUMN(H146)-2,TRUE)</f>
        <v>6</v>
      </c>
      <c r="I145" s="10" t="str">
        <f>VLOOKUP($B145,Chronologie[],2,TRUE)</f>
        <v>F-L-6</v>
      </c>
      <c r="J145" s="243">
        <f>VLOOKUP($B145,Chronologie[],3,TRUE)</f>
        <v>45991</v>
      </c>
      <c r="K145" s="237" t="s">
        <v>592</v>
      </c>
      <c r="L145" s="237">
        <v>92</v>
      </c>
      <c r="M145" s="237">
        <v>93</v>
      </c>
      <c r="N145" s="237">
        <v>88</v>
      </c>
      <c r="O145" s="237">
        <v>98</v>
      </c>
      <c r="P145" s="237">
        <v>42</v>
      </c>
      <c r="Q145" s="237">
        <v>44</v>
      </c>
      <c r="R145" s="237">
        <v>27</v>
      </c>
      <c r="S145" s="237">
        <v>44</v>
      </c>
      <c r="T145" s="237">
        <v>0</v>
      </c>
      <c r="U145" s="237">
        <v>1</v>
      </c>
      <c r="V145" s="237">
        <v>5</v>
      </c>
      <c r="W145" s="237">
        <v>5</v>
      </c>
      <c r="X145" s="38">
        <v>1</v>
      </c>
      <c r="Y145" s="38">
        <v>0</v>
      </c>
      <c r="Z145" s="38">
        <v>0</v>
      </c>
      <c r="AA145" s="38">
        <v>1</v>
      </c>
      <c r="AB145" s="91">
        <v>529</v>
      </c>
      <c r="AC145" s="94">
        <f>IF(Eingabe[[#This Row],[V1]]="",IF(Eingabe[[#This Row],[Volle alternativ]]="","",Eingabe[[#This Row],[Volle alternativ]]),SUM(Eingabe[[#This Row],[V1]:[V4]]))</f>
        <v>371</v>
      </c>
      <c r="AD145" s="6">
        <f>IF(Eingabe[[#This Row],[R1]]="",IF(Eingabe[[#This Row],[Räumer alternativ]]="","",Eingabe[[#This Row],[Räumer alternativ]]),SUM(Eingabe[[#This Row],[R1]:[R4]]))</f>
        <v>157</v>
      </c>
      <c r="AE145" s="6">
        <f>IF(Eingabe[[#This Row],[F1]]="",IF(Eingabe[[#This Row],[Fehler alternativ]]="","",Eingabe[[#This Row],[Fehler alternativ]]),SUM(Eingabe[[#This Row],[F1]:[F4]]))</f>
        <v>11</v>
      </c>
      <c r="AF145" s="6">
        <f>IF(Eingabe[[#This Row],[Volle]]="","",IF(Eingabe[[#This Row],[S1]]="",Eingabe[[#This Row],[Volle]]+Eingabe[[#This Row],[Räumer]],IF(Eingabe[[#This Row],[Volle]]+Eingabe[[#This Row],[Räumer]]=Eingabe[[#This Row],[S1]]+Eingabe[[#This Row],[S2]]+Eingabe[[#This Row],[S3]]+Eingabe[[#This Row],[S4]],Eingabe[[#This Row],[Volle]]+Eingabe[[#This Row],[Räumer]],"FEHLER")))</f>
        <v>528</v>
      </c>
      <c r="AG145" s="6">
        <f>IF(Eingabe[[#This Row],[V1]]="","",Eingabe[[#This Row],[V1]]+Eingabe[[#This Row],[R1]])</f>
        <v>134</v>
      </c>
      <c r="AH145" s="6">
        <f>IF(Eingabe[[#This Row],[V2]]="","",Eingabe[[#This Row],[V2]]+Eingabe[[#This Row],[R2]])</f>
        <v>137</v>
      </c>
      <c r="AI145" s="6">
        <f>IF(Eingabe[[#This Row],[V3]]="","",Eingabe[[#This Row],[V3]]+Eingabe[[#This Row],[R3]])</f>
        <v>115</v>
      </c>
      <c r="AJ145" s="6">
        <f>IF(Eingabe[[#This Row],[V4]]="","",Eingabe[[#This Row],[V4]]+Eingabe[[#This Row],[R4]])</f>
        <v>142</v>
      </c>
      <c r="AK145" s="6">
        <f>IF(Eingabe[[#This Row],[S1P]]="","",Eingabe[[#This Row],[S1P]]+Eingabe[[#This Row],[S2P]]+Eingabe[[#This Row],[S3P]]+Eingabe[[#This Row],[S4P]])</f>
        <v>2</v>
      </c>
      <c r="AL145" s="6">
        <f>IF(Eingabe[[#This Row],[S1P]]="","",IF(Eingabe[[#This Row],[SP]]&gt;2,1,IF(Eingabe[[#This Row],[SP]]&lt;2,0,IF(Eingabe[[#This Row],[GES]]&gt;Eingabe[[#This Row],[GEGGES]],1,IF(Eingabe[[#This Row],[GES]]=Eingabe[[#This Row],[GEGGES]],0.5,0)))))</f>
        <v>0</v>
      </c>
      <c r="AM145" s="6">
        <f>IF(Eingabe[[#This Row],[MP]]="","",MOD(ROW(Eingabe[[#This Row],[Position]])-3,6)+1)</f>
        <v>5</v>
      </c>
      <c r="AN145" s="6">
        <f>STANDARDIZE(Eingabe[[#This Row],[GES]],Eingabe[[#This Row],[Schnitt]],VLOOKUP(Eingabe[[#This Row],[Name]],AuswertungG[],21,FALSE))</f>
        <v>0.56666666666666665</v>
      </c>
      <c r="AO145" s="6">
        <f>VLOOKUP(Eingabe[[#This Row],[ID]],Chronologie[[ID]:[KW]],12,FALSE)</f>
        <v>14</v>
      </c>
      <c r="AP145" s="95" t="str">
        <f>IF(Eingabe[[#This Row],[Wo]]="H",Eingabe[[#This Row],[Gegner]]&amp;" ["&amp;Eingabe[[#This Row],[Wo]]&amp;"]",Eingabe[[#This Row],[Ort]])</f>
        <v>Hagenwerder</v>
      </c>
      <c r="AQ145" s="6" t="str">
        <f>IFERROR(IF(Eingabe[[#This Row],[Wo]]="H",IF(MOD(Eingabe[[#This Row],[Position]],2)=1,Eingabe[[#This Row],[S1]],Eingabe[[#This Row],[S4]]),""),"")</f>
        <v/>
      </c>
      <c r="AR145" s="6" t="str">
        <f>IFERROR(IF(Eingabe[[#This Row],[Wo]]="H",IF(Eingabe[[#This Row],[S1]]&gt;0,IF(MOD(Eingabe[[#This Row],[Position]],2)=1,Eingabe[[#This Row],[S2]],Eingabe[[#This Row],[S3]]),""),""),"")</f>
        <v/>
      </c>
      <c r="AS145" s="6" t="str">
        <f>IFERROR(IF(Eingabe[[#This Row],[Wo]]="H",IF(Eingabe[[#This Row],[S1]]&gt;0,IF(MOD(ROW(Eingabe[[#This Row],[Heimbahn 3]]),2)=1,Eingabe[[#This Row],[S4]],Eingabe[[#This Row],[S1]]),""),""),"")</f>
        <v/>
      </c>
      <c r="AT145" s="6" t="str">
        <f>IFERROR(IF(Eingabe[[#This Row],[Wo]]="H",IF(Eingabe[[#This Row],[S1]]&gt;0,IF(MOD(ROW(Eingabe[[#This Row],[Heimbahn 4]]),2)=1,Eingabe[[#This Row],[S3]],Eingabe[[#This Row],[S2]]),""),""),"")</f>
        <v/>
      </c>
      <c r="AU145" s="22">
        <f>IF(Eingabe[[#This Row],[GES]]="","",IF(Eingabe[[#This Row],[Modus]]="L",_xlfn.RANK.EQ(Eingabe[[#This Row],[GES]],AF141:AF146),IF(Eingabe[[#This Row],[Modus]]="P",_xlfn.RANK.EQ(Eingabe[[#This Row],[GES]],AF141:AF146),"")))</f>
        <v>1</v>
      </c>
      <c r="AV145" s="6">
        <f>VLOOKUP(Eingabe[[#This Row],[Name]],AuswertungG[],8,FALSE)</f>
        <v>511</v>
      </c>
      <c r="AZ145" s="6">
        <f>IFERROR(ABS(Eingabe[[#This Row],[GES]]-Eingabe[[#This Row],[GEGGES]]),"")</f>
        <v>1</v>
      </c>
    </row>
    <row r="146" spans="1:52" ht="16.2" hidden="1" thickBot="1" x14ac:dyDescent="0.35">
      <c r="A146" s="442"/>
      <c r="B146" s="56">
        <f t="shared" si="22"/>
        <v>24</v>
      </c>
      <c r="C146" s="23" t="str">
        <f>VLOOKUP($B146,Chronologie[],7,TRUE)</f>
        <v>ISG Hagenwerder</v>
      </c>
      <c r="D146" s="23" t="str">
        <f>VLOOKUP($B146,Chronologie[],8,TRUE)</f>
        <v>Hagenwerder</v>
      </c>
      <c r="E146" s="39" t="str">
        <f>VLOOKUP($B146,Chronologie[],9,TRUE)</f>
        <v>A</v>
      </c>
      <c r="F146" s="23" t="str">
        <f>VLOOKUP($B146,Chronologie[],COLUMN(F147)-2,TRUE)</f>
        <v>F</v>
      </c>
      <c r="G146" s="23" t="str">
        <f>VLOOKUP($B146,Chronologie[],COLUMN(G147)-2,TRUE)</f>
        <v>L</v>
      </c>
      <c r="H146" s="23">
        <f>VLOOKUP($B146,Chronologie[],COLUMN(H147)-2,TRUE)</f>
        <v>6</v>
      </c>
      <c r="I146" s="13" t="str">
        <f>VLOOKUP($B146,Chronologie[],2,TRUE)</f>
        <v>F-L-6</v>
      </c>
      <c r="J146" s="244">
        <f>VLOOKUP($B146,Chronologie[],3,TRUE)</f>
        <v>45991</v>
      </c>
      <c r="K146" s="239" t="s">
        <v>492</v>
      </c>
      <c r="L146" s="239">
        <v>82</v>
      </c>
      <c r="M146" s="239">
        <v>101</v>
      </c>
      <c r="N146" s="239">
        <v>87</v>
      </c>
      <c r="O146" s="239">
        <v>93</v>
      </c>
      <c r="P146" s="239">
        <v>33</v>
      </c>
      <c r="Q146" s="239">
        <v>36</v>
      </c>
      <c r="R146" s="239">
        <v>36</v>
      </c>
      <c r="S146" s="239">
        <v>36</v>
      </c>
      <c r="T146" s="239">
        <v>6</v>
      </c>
      <c r="U146" s="239">
        <v>4</v>
      </c>
      <c r="V146" s="239">
        <v>1</v>
      </c>
      <c r="W146" s="239">
        <v>3</v>
      </c>
      <c r="X146" s="40">
        <v>1</v>
      </c>
      <c r="Y146" s="40">
        <v>1</v>
      </c>
      <c r="Z146" s="40">
        <v>0</v>
      </c>
      <c r="AA146" s="40">
        <v>1</v>
      </c>
      <c r="AB146" s="92">
        <v>461</v>
      </c>
      <c r="AC146" s="96">
        <f>IF(Eingabe[[#This Row],[V1]]="",IF(Eingabe[[#This Row],[Volle alternativ]]="","",Eingabe[[#This Row],[Volle alternativ]]),SUM(Eingabe[[#This Row],[V1]:[V4]]))</f>
        <v>363</v>
      </c>
      <c r="AD146" s="23">
        <f>IF(Eingabe[[#This Row],[R1]]="",IF(Eingabe[[#This Row],[Räumer alternativ]]="","",Eingabe[[#This Row],[Räumer alternativ]]),SUM(Eingabe[[#This Row],[R1]:[R4]]))</f>
        <v>141</v>
      </c>
      <c r="AE146" s="23">
        <f>IF(Eingabe[[#This Row],[F1]]="",IF(Eingabe[[#This Row],[Fehler alternativ]]="","",Eingabe[[#This Row],[Fehler alternativ]]),SUM(Eingabe[[#This Row],[F1]:[F4]]))</f>
        <v>14</v>
      </c>
      <c r="AF146" s="23">
        <f>IF(Eingabe[[#This Row],[Volle]]="","",IF(Eingabe[[#This Row],[S1]]="",Eingabe[[#This Row],[Volle]]+Eingabe[[#This Row],[Räumer]],IF(Eingabe[[#This Row],[Volle]]+Eingabe[[#This Row],[Räumer]]=Eingabe[[#This Row],[S1]]+Eingabe[[#This Row],[S2]]+Eingabe[[#This Row],[S3]]+Eingabe[[#This Row],[S4]],Eingabe[[#This Row],[Volle]]+Eingabe[[#This Row],[Räumer]],"FEHLER")))</f>
        <v>504</v>
      </c>
      <c r="AG146" s="23">
        <f>IF(Eingabe[[#This Row],[V1]]="","",Eingabe[[#This Row],[V1]]+Eingabe[[#This Row],[R1]])</f>
        <v>115</v>
      </c>
      <c r="AH146" s="23">
        <f>IF(Eingabe[[#This Row],[V2]]="","",Eingabe[[#This Row],[V2]]+Eingabe[[#This Row],[R2]])</f>
        <v>137</v>
      </c>
      <c r="AI146" s="23">
        <f>IF(Eingabe[[#This Row],[V3]]="","",Eingabe[[#This Row],[V3]]+Eingabe[[#This Row],[R3]])</f>
        <v>123</v>
      </c>
      <c r="AJ146" s="23">
        <f>IF(Eingabe[[#This Row],[V4]]="","",Eingabe[[#This Row],[V4]]+Eingabe[[#This Row],[R4]])</f>
        <v>129</v>
      </c>
      <c r="AK146" s="23">
        <f>IF(Eingabe[[#This Row],[S1P]]="","",Eingabe[[#This Row],[S1P]]+Eingabe[[#This Row],[S2P]]+Eingabe[[#This Row],[S3P]]+Eingabe[[#This Row],[S4P]])</f>
        <v>3</v>
      </c>
      <c r="AL146" s="23">
        <f>IF(Eingabe[[#This Row],[S1P]]="","",IF(Eingabe[[#This Row],[SP]]&gt;2,1,IF(Eingabe[[#This Row],[SP]]&lt;2,0,IF(Eingabe[[#This Row],[GES]]&gt;Eingabe[[#This Row],[GEGGES]],1,IF(Eingabe[[#This Row],[GES]]=Eingabe[[#This Row],[GEGGES]],0.5,0)))))</f>
        <v>1</v>
      </c>
      <c r="AM146" s="23">
        <f>IF(Eingabe[[#This Row],[MP]]="","",MOD(ROW(Eingabe[[#This Row],[Position]])-3,6)+1)</f>
        <v>6</v>
      </c>
      <c r="AN146" s="23">
        <f>STANDARDIZE(Eingabe[[#This Row],[GES]],Eingabe[[#This Row],[Schnitt]],VLOOKUP(Eingabe[[#This Row],[Name]],AuswertungG[],21,FALSE))</f>
        <v>-0.69565217391304346</v>
      </c>
      <c r="AO146" s="23">
        <f>VLOOKUP(Eingabe[[#This Row],[ID]],Chronologie[[ID]:[KW]],12,FALSE)</f>
        <v>14</v>
      </c>
      <c r="AP146" s="59" t="str">
        <f>IF(Eingabe[[#This Row],[Wo]]="H",Eingabe[[#This Row],[Gegner]]&amp;" ["&amp;Eingabe[[#This Row],[Wo]]&amp;"]",Eingabe[[#This Row],[Ort]])</f>
        <v>Hagenwerder</v>
      </c>
      <c r="AQ146" s="23" t="str">
        <f>IFERROR(IF(Eingabe[[#This Row],[Wo]]="H",IF(MOD(Eingabe[[#This Row],[Position]],2)=1,Eingabe[[#This Row],[S1]],Eingabe[[#This Row],[S4]]),""),"")</f>
        <v/>
      </c>
      <c r="AR146" s="23" t="str">
        <f>IFERROR(IF(Eingabe[[#This Row],[Wo]]="H",IF(Eingabe[[#This Row],[S1]]&gt;0,IF(MOD(Eingabe[[#This Row],[Position]],2)=1,Eingabe[[#This Row],[S2]],Eingabe[[#This Row],[S3]]),""),""),"")</f>
        <v/>
      </c>
      <c r="AS146" s="23" t="str">
        <f>IFERROR(IF(Eingabe[[#This Row],[Wo]]="H",IF(Eingabe[[#This Row],[S1]]&gt;0,IF(MOD(ROW(Eingabe[[#This Row],[Heimbahn 3]]),2)=1,Eingabe[[#This Row],[S4]],Eingabe[[#This Row],[S1]]),""),""),"")</f>
        <v/>
      </c>
      <c r="AT146" s="23" t="str">
        <f>IFERROR(IF(Eingabe[[#This Row],[Wo]]="H",IF(Eingabe[[#This Row],[S1]]&gt;0,IF(MOD(ROW(Eingabe[[#This Row],[Heimbahn 4]]),2)=1,Eingabe[[#This Row],[S3]],Eingabe[[#This Row],[S2]]),""),""),"")</f>
        <v/>
      </c>
      <c r="AU146" s="89">
        <f>IF(Eingabe[[#This Row],[GES]]="","",IF(Eingabe[[#This Row],[Modus]]="L",_xlfn.RANK.EQ(Eingabe[[#This Row],[GES]],AF141:AF146),IF(Eingabe[[#This Row],[Modus]]="P",_xlfn.RANK.EQ(Eingabe[[#This Row],[GES]],AF141:AF146),"")))</f>
        <v>3</v>
      </c>
      <c r="AV146" s="6">
        <f>VLOOKUP(Eingabe[[#This Row],[Name]],AuswertungG[],8,FALSE)</f>
        <v>520</v>
      </c>
      <c r="AZ146" s="6">
        <f>IFERROR(ABS(Eingabe[[#This Row],[GES]]-Eingabe[[#This Row],[GEGGES]]),"")</f>
        <v>43</v>
      </c>
    </row>
    <row r="147" spans="1:52" ht="16.2" hidden="1" thickBot="1" x14ac:dyDescent="0.35">
      <c r="A147" s="440">
        <f t="shared" ref="A147" si="25">B147</f>
        <v>25</v>
      </c>
      <c r="B147" s="55">
        <f t="shared" si="22"/>
        <v>25</v>
      </c>
      <c r="C147" s="35">
        <f>VLOOKUP($B147,Chronologie[],7,TRUE)</f>
        <v>0</v>
      </c>
      <c r="D147" s="35">
        <f>VLOOKUP($B147,Chronologie[],8,TRUE)</f>
        <v>0</v>
      </c>
      <c r="E147" s="36">
        <f>VLOOKUP($B147,Chronologie[],9,TRUE)</f>
        <v>0</v>
      </c>
      <c r="F147" s="35" t="str">
        <f>VLOOKUP($B147,Chronologie[],COLUMN(F148)-2,TRUE)</f>
        <v>F</v>
      </c>
      <c r="G147" s="35" t="str">
        <f>VLOOKUP($B147,Chronologie[],COLUMN(G148)-2,TRUE)</f>
        <v>L</v>
      </c>
      <c r="H147" s="35">
        <f>VLOOKUP($B147,Chronologie[],COLUMN(H148)-2,TRUE)</f>
        <v>7</v>
      </c>
      <c r="I147" s="9" t="str">
        <f>VLOOKUP($B147,Chronologie[],2,TRUE)</f>
        <v>F-L-7</v>
      </c>
      <c r="J147" s="242">
        <f>VLOOKUP($B147,Chronologie[],3,TRUE)</f>
        <v>0</v>
      </c>
      <c r="K147" s="236"/>
      <c r="L147" s="334"/>
      <c r="M147" s="334"/>
      <c r="N147" s="334"/>
      <c r="O147" s="334"/>
      <c r="P147" s="334"/>
      <c r="Q147" s="334"/>
      <c r="R147" s="334"/>
      <c r="S147" s="334"/>
      <c r="T147" s="334"/>
      <c r="U147" s="334"/>
      <c r="V147" s="334"/>
      <c r="W147" s="334"/>
      <c r="X147" s="37"/>
      <c r="Y147" s="37"/>
      <c r="Z147" s="37"/>
      <c r="AA147" s="37"/>
      <c r="AB147" s="90"/>
      <c r="AC147" s="93" t="str">
        <f>IF(Eingabe[[#This Row],[V1]]="",IF(Eingabe[[#This Row],[Volle alternativ]]="","",Eingabe[[#This Row],[Volle alternativ]]),SUM(Eingabe[[#This Row],[V1]:[V4]]))</f>
        <v/>
      </c>
      <c r="AD147" s="35" t="str">
        <f>IF(Eingabe[[#This Row],[R1]]="",IF(Eingabe[[#This Row],[Räumer alternativ]]="","",Eingabe[[#This Row],[Räumer alternativ]]),SUM(Eingabe[[#This Row],[R1]:[R4]]))</f>
        <v/>
      </c>
      <c r="AE147" s="35" t="str">
        <f>IF(Eingabe[[#This Row],[F1]]="",IF(Eingabe[[#This Row],[Fehler alternativ]]="","",Eingabe[[#This Row],[Fehler alternativ]]),SUM(Eingabe[[#This Row],[F1]:[F4]]))</f>
        <v/>
      </c>
      <c r="AF147" s="35" t="str">
        <f>IF(Eingabe[[#This Row],[Volle]]="","",IF(Eingabe[[#This Row],[S1]]="",Eingabe[[#This Row],[Volle]]+Eingabe[[#This Row],[Räumer]],IF(Eingabe[[#This Row],[Volle]]+Eingabe[[#This Row],[Räumer]]=Eingabe[[#This Row],[S1]]+Eingabe[[#This Row],[S2]]+Eingabe[[#This Row],[S3]]+Eingabe[[#This Row],[S4]],Eingabe[[#This Row],[Volle]]+Eingabe[[#This Row],[Räumer]],"FEHLER")))</f>
        <v/>
      </c>
      <c r="AG147" s="35" t="str">
        <f>IF(Eingabe[[#This Row],[V1]]="","",Eingabe[[#This Row],[V1]]+Eingabe[[#This Row],[R1]])</f>
        <v/>
      </c>
      <c r="AH147" s="35" t="str">
        <f>IF(Eingabe[[#This Row],[V2]]="","",Eingabe[[#This Row],[V2]]+Eingabe[[#This Row],[R2]])</f>
        <v/>
      </c>
      <c r="AI147" s="35" t="str">
        <f>IF(Eingabe[[#This Row],[V3]]="","",Eingabe[[#This Row],[V3]]+Eingabe[[#This Row],[R3]])</f>
        <v/>
      </c>
      <c r="AJ147" s="35" t="str">
        <f>IF(Eingabe[[#This Row],[V4]]="","",Eingabe[[#This Row],[V4]]+Eingabe[[#This Row],[R4]])</f>
        <v/>
      </c>
      <c r="AK147" s="35" t="str">
        <f>IF(Eingabe[[#This Row],[S1P]]="","",Eingabe[[#This Row],[S1P]]+Eingabe[[#This Row],[S2P]]+Eingabe[[#This Row],[S3P]]+Eingabe[[#This Row],[S4P]])</f>
        <v/>
      </c>
      <c r="AL147" s="35" t="str">
        <f>IF(Eingabe[[#This Row],[S1P]]="","",IF(Eingabe[[#This Row],[SP]]&gt;2,1,IF(Eingabe[[#This Row],[SP]]&lt;2,0,IF(Eingabe[[#This Row],[GES]]&gt;Eingabe[[#This Row],[GEGGES]],1,IF(Eingabe[[#This Row],[GES]]=Eingabe[[#This Row],[GEGGES]],0.5,0)))))</f>
        <v/>
      </c>
      <c r="AM147" s="35" t="str">
        <f>IF(Eingabe[[#This Row],[MP]]="","",MOD(ROW(Eingabe[[#This Row],[Position]])-3,6)+1)</f>
        <v/>
      </c>
      <c r="AN147" s="35" t="e">
        <f>STANDARDIZE(Eingabe[[#This Row],[GES]],Eingabe[[#This Row],[Schnitt]],VLOOKUP(Eingabe[[#This Row],[Name]],AuswertungG[],21,FALSE))</f>
        <v>#VALUE!</v>
      </c>
      <c r="AO147" s="35" t="str">
        <f>VLOOKUP(Eingabe[[#This Row],[ID]],Chronologie[[ID]:[KW]],12,FALSE)</f>
        <v/>
      </c>
      <c r="AP147" s="58">
        <f>IF(Eingabe[[#This Row],[Wo]]="H",Eingabe[[#This Row],[Gegner]]&amp;" ["&amp;Eingabe[[#This Row],[Wo]]&amp;"]",Eingabe[[#This Row],[Ort]])</f>
        <v>0</v>
      </c>
      <c r="AQ147" s="35" t="str">
        <f>IFERROR(IF(Eingabe[[#This Row],[Wo]]="H",IF(MOD(Eingabe[[#This Row],[Position]],2)=1,Eingabe[[#This Row],[S1]],Eingabe[[#This Row],[S4]]),""),"")</f>
        <v/>
      </c>
      <c r="AR147" s="35" t="str">
        <f>IFERROR(IF(Eingabe[[#This Row],[Wo]]="H",IF(Eingabe[[#This Row],[S1]]&gt;0,IF(MOD(Eingabe[[#This Row],[Position]],2)=1,Eingabe[[#This Row],[S2]],Eingabe[[#This Row],[S3]]),""),""),"")</f>
        <v/>
      </c>
      <c r="AS147" s="35" t="str">
        <f>IFERROR(IF(Eingabe[[#This Row],[Wo]]="H",IF(Eingabe[[#This Row],[S1]]&gt;0,IF(MOD(ROW(Eingabe[[#This Row],[Heimbahn 3]]),2)=1,Eingabe[[#This Row],[S4]],Eingabe[[#This Row],[S1]]),""),""),"")</f>
        <v/>
      </c>
      <c r="AT147" s="35" t="str">
        <f>IFERROR(IF(Eingabe[[#This Row],[Wo]]="H",IF(Eingabe[[#This Row],[S1]]&gt;0,IF(MOD(ROW(Eingabe[[#This Row],[Heimbahn 4]]),2)=1,Eingabe[[#This Row],[S3]],Eingabe[[#This Row],[S2]]),""),""),"")</f>
        <v/>
      </c>
      <c r="AU147" s="88" t="str">
        <f>IF(Eingabe[[#This Row],[GES]]="","",IF(Eingabe[[#This Row],[Modus]]="L",_xlfn.RANK.EQ(Eingabe[[#This Row],[GES]],AF147:AF152),IF(Eingabe[[#This Row],[Modus]]="P",_xlfn.RANK.EQ(Eingabe[[#This Row],[GES]],AF147:AF152),"")))</f>
        <v/>
      </c>
      <c r="AV147" s="6" t="e">
        <f>VLOOKUP(Eingabe[[#This Row],[Name]],AuswertungG[],8,FALSE)</f>
        <v>#N/A</v>
      </c>
      <c r="AZ147" s="6" t="str">
        <f>IFERROR(ABS(Eingabe[[#This Row],[GES]]-Eingabe[[#This Row],[GEGGES]]),"")</f>
        <v/>
      </c>
    </row>
    <row r="148" spans="1:52" ht="16.2" hidden="1" thickBot="1" x14ac:dyDescent="0.35">
      <c r="A148" s="441"/>
      <c r="B148" s="21">
        <f t="shared" si="22"/>
        <v>25</v>
      </c>
      <c r="C148" s="6">
        <f>VLOOKUP($B148,Chronologie[],7,TRUE)</f>
        <v>0</v>
      </c>
      <c r="D148" s="6">
        <f>VLOOKUP($B148,Chronologie[],8,TRUE)</f>
        <v>0</v>
      </c>
      <c r="E148" s="240">
        <f>VLOOKUP($B148,Chronologie[],9,TRUE)</f>
        <v>0</v>
      </c>
      <c r="F148" s="6" t="str">
        <f>VLOOKUP($B148,Chronologie[],COLUMN(F149)-2,TRUE)</f>
        <v>F</v>
      </c>
      <c r="G148" s="6" t="str">
        <f>VLOOKUP($B148,Chronologie[],COLUMN(G149)-2,TRUE)</f>
        <v>L</v>
      </c>
      <c r="H148" s="6">
        <f>VLOOKUP($B148,Chronologie[],COLUMN(H149)-2,TRUE)</f>
        <v>7</v>
      </c>
      <c r="I148" s="10" t="str">
        <f>VLOOKUP($B148,Chronologie[],2,TRUE)</f>
        <v>F-L-7</v>
      </c>
      <c r="J148" s="243">
        <f>VLOOKUP($B148,Chronologie[],3,TRUE)</f>
        <v>0</v>
      </c>
      <c r="K148" s="237"/>
      <c r="L148" s="237"/>
      <c r="M148" s="237"/>
      <c r="N148" s="237"/>
      <c r="O148" s="237"/>
      <c r="P148" s="237"/>
      <c r="Q148" s="237"/>
      <c r="R148" s="237"/>
      <c r="S148" s="237"/>
      <c r="T148" s="237"/>
      <c r="U148" s="237"/>
      <c r="V148" s="237"/>
      <c r="W148" s="237"/>
      <c r="X148" s="38"/>
      <c r="Y148" s="38"/>
      <c r="Z148" s="38"/>
      <c r="AA148" s="38"/>
      <c r="AB148" s="91"/>
      <c r="AC148" s="94" t="str">
        <f>IF(Eingabe[[#This Row],[V1]]="",IF(Eingabe[[#This Row],[Volle alternativ]]="","",Eingabe[[#This Row],[Volle alternativ]]),SUM(Eingabe[[#This Row],[V1]:[V4]]))</f>
        <v/>
      </c>
      <c r="AD148" s="6" t="str">
        <f>IF(Eingabe[[#This Row],[R1]]="",IF(Eingabe[[#This Row],[Räumer alternativ]]="","",Eingabe[[#This Row],[Räumer alternativ]]),SUM(Eingabe[[#This Row],[R1]:[R4]]))</f>
        <v/>
      </c>
      <c r="AE148" s="6" t="str">
        <f>IF(Eingabe[[#This Row],[F1]]="",IF(Eingabe[[#This Row],[Fehler alternativ]]="","",Eingabe[[#This Row],[Fehler alternativ]]),SUM(Eingabe[[#This Row],[F1]:[F4]]))</f>
        <v/>
      </c>
      <c r="AF148" s="6" t="str">
        <f>IF(Eingabe[[#This Row],[Volle]]="","",IF(Eingabe[[#This Row],[S1]]="",Eingabe[[#This Row],[Volle]]+Eingabe[[#This Row],[Räumer]],IF(Eingabe[[#This Row],[Volle]]+Eingabe[[#This Row],[Räumer]]=Eingabe[[#This Row],[S1]]+Eingabe[[#This Row],[S2]]+Eingabe[[#This Row],[S3]]+Eingabe[[#This Row],[S4]],Eingabe[[#This Row],[Volle]]+Eingabe[[#This Row],[Räumer]],"FEHLER")))</f>
        <v/>
      </c>
      <c r="AG148" s="6" t="str">
        <f>IF(Eingabe[[#This Row],[V1]]="","",Eingabe[[#This Row],[V1]]+Eingabe[[#This Row],[R1]])</f>
        <v/>
      </c>
      <c r="AH148" s="6" t="str">
        <f>IF(Eingabe[[#This Row],[V2]]="","",Eingabe[[#This Row],[V2]]+Eingabe[[#This Row],[R2]])</f>
        <v/>
      </c>
      <c r="AI148" s="6" t="str">
        <f>IF(Eingabe[[#This Row],[V3]]="","",Eingabe[[#This Row],[V3]]+Eingabe[[#This Row],[R3]])</f>
        <v/>
      </c>
      <c r="AJ148" s="6" t="str">
        <f>IF(Eingabe[[#This Row],[V4]]="","",Eingabe[[#This Row],[V4]]+Eingabe[[#This Row],[R4]])</f>
        <v/>
      </c>
      <c r="AK148" s="6" t="str">
        <f>IF(Eingabe[[#This Row],[S1P]]="","",Eingabe[[#This Row],[S1P]]+Eingabe[[#This Row],[S2P]]+Eingabe[[#This Row],[S3P]]+Eingabe[[#This Row],[S4P]])</f>
        <v/>
      </c>
      <c r="AL148" s="6" t="str">
        <f>IF(Eingabe[[#This Row],[S1P]]="","",IF(Eingabe[[#This Row],[SP]]&gt;2,1,IF(Eingabe[[#This Row],[SP]]&lt;2,0,IF(Eingabe[[#This Row],[GES]]&gt;Eingabe[[#This Row],[GEGGES]],1,IF(Eingabe[[#This Row],[GES]]=Eingabe[[#This Row],[GEGGES]],0.5,0)))))</f>
        <v/>
      </c>
      <c r="AM148" s="6" t="str">
        <f>IF(Eingabe[[#This Row],[MP]]="","",MOD(ROW(Eingabe[[#This Row],[Position]])-3,6)+1)</f>
        <v/>
      </c>
      <c r="AN148" s="6" t="e">
        <f>STANDARDIZE(Eingabe[[#This Row],[GES]],Eingabe[[#This Row],[Schnitt]],VLOOKUP(Eingabe[[#This Row],[Name]],AuswertungG[],21,FALSE))</f>
        <v>#VALUE!</v>
      </c>
      <c r="AO148" s="6" t="str">
        <f>VLOOKUP(Eingabe[[#This Row],[ID]],Chronologie[[ID]:[KW]],12,FALSE)</f>
        <v/>
      </c>
      <c r="AP148" s="95">
        <f>IF(Eingabe[[#This Row],[Wo]]="H",Eingabe[[#This Row],[Gegner]]&amp;" ["&amp;Eingabe[[#This Row],[Wo]]&amp;"]",Eingabe[[#This Row],[Ort]])</f>
        <v>0</v>
      </c>
      <c r="AQ148" s="6" t="str">
        <f>IFERROR(IF(Eingabe[[#This Row],[Wo]]="H",IF(MOD(Eingabe[[#This Row],[Position]],2)=1,Eingabe[[#This Row],[S1]],Eingabe[[#This Row],[S4]]),""),"")</f>
        <v/>
      </c>
      <c r="AR148" s="6" t="str">
        <f>IFERROR(IF(Eingabe[[#This Row],[Wo]]="H",IF(Eingabe[[#This Row],[S1]]&gt;0,IF(MOD(Eingabe[[#This Row],[Position]],2)=1,Eingabe[[#This Row],[S2]],Eingabe[[#This Row],[S3]]),""),""),"")</f>
        <v/>
      </c>
      <c r="AS148" s="6" t="str">
        <f>IFERROR(IF(Eingabe[[#This Row],[Wo]]="H",IF(Eingabe[[#This Row],[S1]]&gt;0,IF(MOD(ROW(Eingabe[[#This Row],[Heimbahn 3]]),2)=1,Eingabe[[#This Row],[S4]],Eingabe[[#This Row],[S1]]),""),""),"")</f>
        <v/>
      </c>
      <c r="AT148" s="6" t="str">
        <f>IFERROR(IF(Eingabe[[#This Row],[Wo]]="H",IF(Eingabe[[#This Row],[S1]]&gt;0,IF(MOD(ROW(Eingabe[[#This Row],[Heimbahn 4]]),2)=1,Eingabe[[#This Row],[S3]],Eingabe[[#This Row],[S2]]),""),""),"")</f>
        <v/>
      </c>
      <c r="AU148" s="22" t="str">
        <f>IF(Eingabe[[#This Row],[GES]]="","",IF(Eingabe[[#This Row],[Modus]]="L",_xlfn.RANK.EQ(Eingabe[[#This Row],[GES]],AF147:AF152),IF(Eingabe[[#This Row],[Modus]]="P",_xlfn.RANK.EQ(Eingabe[[#This Row],[GES]],AF147:AF152),"")))</f>
        <v/>
      </c>
      <c r="AV148" s="6" t="e">
        <f>VLOOKUP(Eingabe[[#This Row],[Name]],AuswertungG[],8,FALSE)</f>
        <v>#N/A</v>
      </c>
      <c r="AZ148" s="6" t="str">
        <f>IFERROR(ABS(Eingabe[[#This Row],[GES]]-Eingabe[[#This Row],[GEGGES]]),"")</f>
        <v/>
      </c>
    </row>
    <row r="149" spans="1:52" ht="16.2" hidden="1" thickBot="1" x14ac:dyDescent="0.35">
      <c r="A149" s="441"/>
      <c r="B149" s="21">
        <f t="shared" si="22"/>
        <v>25</v>
      </c>
      <c r="C149" s="6">
        <f>VLOOKUP($B149,Chronologie[],7,TRUE)</f>
        <v>0</v>
      </c>
      <c r="D149" s="6">
        <f>VLOOKUP($B149,Chronologie[],8,TRUE)</f>
        <v>0</v>
      </c>
      <c r="E149" s="240">
        <f>VLOOKUP($B149,Chronologie[],9,TRUE)</f>
        <v>0</v>
      </c>
      <c r="F149" s="6" t="str">
        <f>VLOOKUP($B149,Chronologie[],COLUMN(F150)-2,TRUE)</f>
        <v>F</v>
      </c>
      <c r="G149" s="6" t="str">
        <f>VLOOKUP($B149,Chronologie[],COLUMN(G150)-2,TRUE)</f>
        <v>L</v>
      </c>
      <c r="H149" s="6">
        <f>VLOOKUP($B149,Chronologie[],COLUMN(H150)-2,TRUE)</f>
        <v>7</v>
      </c>
      <c r="I149" s="10" t="str">
        <f>VLOOKUP($B149,Chronologie[],2,TRUE)</f>
        <v>F-L-7</v>
      </c>
      <c r="J149" s="243">
        <f>VLOOKUP($B149,Chronologie[],3,TRUE)</f>
        <v>0</v>
      </c>
      <c r="K149" s="237"/>
      <c r="L149" s="237"/>
      <c r="M149" s="237"/>
      <c r="N149" s="237"/>
      <c r="O149" s="237"/>
      <c r="P149" s="237"/>
      <c r="Q149" s="237"/>
      <c r="R149" s="237"/>
      <c r="S149" s="237"/>
      <c r="T149" s="237"/>
      <c r="U149" s="237"/>
      <c r="V149" s="237"/>
      <c r="W149" s="237"/>
      <c r="X149" s="38"/>
      <c r="Y149" s="38"/>
      <c r="Z149" s="38"/>
      <c r="AA149" s="38"/>
      <c r="AB149" s="91"/>
      <c r="AC149" s="94" t="str">
        <f>IF(Eingabe[[#This Row],[V1]]="",IF(Eingabe[[#This Row],[Volle alternativ]]="","",Eingabe[[#This Row],[Volle alternativ]]),SUM(Eingabe[[#This Row],[V1]:[V4]]))</f>
        <v/>
      </c>
      <c r="AD149" s="6" t="str">
        <f>IF(Eingabe[[#This Row],[R1]]="",IF(Eingabe[[#This Row],[Räumer alternativ]]="","",Eingabe[[#This Row],[Räumer alternativ]]),SUM(Eingabe[[#This Row],[R1]:[R4]]))</f>
        <v/>
      </c>
      <c r="AE149" s="6" t="str">
        <f>IF(Eingabe[[#This Row],[F1]]="",IF(Eingabe[[#This Row],[Fehler alternativ]]="","",Eingabe[[#This Row],[Fehler alternativ]]),SUM(Eingabe[[#This Row],[F1]:[F4]]))</f>
        <v/>
      </c>
      <c r="AF149" s="6" t="str">
        <f>IF(Eingabe[[#This Row],[Volle]]="","",IF(Eingabe[[#This Row],[S1]]="",Eingabe[[#This Row],[Volle]]+Eingabe[[#This Row],[Räumer]],IF(Eingabe[[#This Row],[Volle]]+Eingabe[[#This Row],[Räumer]]=Eingabe[[#This Row],[S1]]+Eingabe[[#This Row],[S2]]+Eingabe[[#This Row],[S3]]+Eingabe[[#This Row],[S4]],Eingabe[[#This Row],[Volle]]+Eingabe[[#This Row],[Räumer]],"FEHLER")))</f>
        <v/>
      </c>
      <c r="AG149" s="6" t="str">
        <f>IF(Eingabe[[#This Row],[V1]]="","",Eingabe[[#This Row],[V1]]+Eingabe[[#This Row],[R1]])</f>
        <v/>
      </c>
      <c r="AH149" s="6" t="str">
        <f>IF(Eingabe[[#This Row],[V2]]="","",Eingabe[[#This Row],[V2]]+Eingabe[[#This Row],[R2]])</f>
        <v/>
      </c>
      <c r="AI149" s="6" t="str">
        <f>IF(Eingabe[[#This Row],[V3]]="","",Eingabe[[#This Row],[V3]]+Eingabe[[#This Row],[R3]])</f>
        <v/>
      </c>
      <c r="AJ149" s="6" t="str">
        <f>IF(Eingabe[[#This Row],[V4]]="","",Eingabe[[#This Row],[V4]]+Eingabe[[#This Row],[R4]])</f>
        <v/>
      </c>
      <c r="AK149" s="6" t="str">
        <f>IF(Eingabe[[#This Row],[S1P]]="","",Eingabe[[#This Row],[S1P]]+Eingabe[[#This Row],[S2P]]+Eingabe[[#This Row],[S3P]]+Eingabe[[#This Row],[S4P]])</f>
        <v/>
      </c>
      <c r="AL149" s="6" t="str">
        <f>IF(Eingabe[[#This Row],[S1P]]="","",IF(Eingabe[[#This Row],[SP]]&gt;2,1,IF(Eingabe[[#This Row],[SP]]&lt;2,0,IF(Eingabe[[#This Row],[GES]]&gt;Eingabe[[#This Row],[GEGGES]],1,IF(Eingabe[[#This Row],[GES]]=Eingabe[[#This Row],[GEGGES]],0.5,0)))))</f>
        <v/>
      </c>
      <c r="AM149" s="6" t="str">
        <f>IF(Eingabe[[#This Row],[MP]]="","",MOD(ROW(Eingabe[[#This Row],[Position]])-3,6)+1)</f>
        <v/>
      </c>
      <c r="AN149" s="6" t="e">
        <f>STANDARDIZE(Eingabe[[#This Row],[GES]],Eingabe[[#This Row],[Schnitt]],VLOOKUP(Eingabe[[#This Row],[Name]],AuswertungG[],21,FALSE))</f>
        <v>#VALUE!</v>
      </c>
      <c r="AO149" s="6" t="str">
        <f>VLOOKUP(Eingabe[[#This Row],[ID]],Chronologie[[ID]:[KW]],12,FALSE)</f>
        <v/>
      </c>
      <c r="AP149" s="95">
        <f>IF(Eingabe[[#This Row],[Wo]]="H",Eingabe[[#This Row],[Gegner]]&amp;" ["&amp;Eingabe[[#This Row],[Wo]]&amp;"]",Eingabe[[#This Row],[Ort]])</f>
        <v>0</v>
      </c>
      <c r="AQ149" s="6" t="str">
        <f>IFERROR(IF(Eingabe[[#This Row],[Wo]]="H",IF(MOD(Eingabe[[#This Row],[Position]],2)=1,Eingabe[[#This Row],[S1]],Eingabe[[#This Row],[S4]]),""),"")</f>
        <v/>
      </c>
      <c r="AR149" s="6" t="str">
        <f>IFERROR(IF(Eingabe[[#This Row],[Wo]]="H",IF(Eingabe[[#This Row],[S1]]&gt;0,IF(MOD(Eingabe[[#This Row],[Position]],2)=1,Eingabe[[#This Row],[S2]],Eingabe[[#This Row],[S3]]),""),""),"")</f>
        <v/>
      </c>
      <c r="AS149" s="6" t="str">
        <f>IFERROR(IF(Eingabe[[#This Row],[Wo]]="H",IF(Eingabe[[#This Row],[S1]]&gt;0,IF(MOD(ROW(Eingabe[[#This Row],[Heimbahn 3]]),2)=1,Eingabe[[#This Row],[S4]],Eingabe[[#This Row],[S1]]),""),""),"")</f>
        <v/>
      </c>
      <c r="AT149" s="6" t="str">
        <f>IFERROR(IF(Eingabe[[#This Row],[Wo]]="H",IF(Eingabe[[#This Row],[S1]]&gt;0,IF(MOD(ROW(Eingabe[[#This Row],[Heimbahn 4]]),2)=1,Eingabe[[#This Row],[S3]],Eingabe[[#This Row],[S2]]),""),""),"")</f>
        <v/>
      </c>
      <c r="AU149" s="22" t="str">
        <f>IF(Eingabe[[#This Row],[GES]]="","",IF(Eingabe[[#This Row],[Modus]]="L",_xlfn.RANK.EQ(Eingabe[[#This Row],[GES]],AF147:AF152),IF(Eingabe[[#This Row],[Modus]]="P",_xlfn.RANK.EQ(Eingabe[[#This Row],[GES]],AF147:AF152),"")))</f>
        <v/>
      </c>
      <c r="AV149" s="6" t="e">
        <f>VLOOKUP(Eingabe[[#This Row],[Name]],AuswertungG[],8,FALSE)</f>
        <v>#N/A</v>
      </c>
      <c r="AZ149" s="6" t="str">
        <f>IFERROR(ABS(Eingabe[[#This Row],[GES]]-Eingabe[[#This Row],[GEGGES]]),"")</f>
        <v/>
      </c>
    </row>
    <row r="150" spans="1:52" ht="16.2" hidden="1" thickBot="1" x14ac:dyDescent="0.35">
      <c r="A150" s="441"/>
      <c r="B150" s="21">
        <f t="shared" si="22"/>
        <v>25</v>
      </c>
      <c r="C150" s="6">
        <f>VLOOKUP($B150,Chronologie[],7,TRUE)</f>
        <v>0</v>
      </c>
      <c r="D150" s="6">
        <f>VLOOKUP($B150,Chronologie[],8,TRUE)</f>
        <v>0</v>
      </c>
      <c r="E150" s="240">
        <f>VLOOKUP($B150,Chronologie[],9,TRUE)</f>
        <v>0</v>
      </c>
      <c r="F150" s="6" t="str">
        <f>VLOOKUP($B150,Chronologie[],COLUMN(F151)-2,TRUE)</f>
        <v>F</v>
      </c>
      <c r="G150" s="6" t="str">
        <f>VLOOKUP($B150,Chronologie[],COLUMN(G151)-2,TRUE)</f>
        <v>L</v>
      </c>
      <c r="H150" s="6">
        <f>VLOOKUP($B150,Chronologie[],COLUMN(H151)-2,TRUE)</f>
        <v>7</v>
      </c>
      <c r="I150" s="10" t="str">
        <f>VLOOKUP($B150,Chronologie[],2,TRUE)</f>
        <v>F-L-7</v>
      </c>
      <c r="J150" s="243">
        <f>VLOOKUP($B150,Chronologie[],3,TRUE)</f>
        <v>0</v>
      </c>
      <c r="K150" s="238"/>
      <c r="L150" s="237"/>
      <c r="M150" s="237"/>
      <c r="N150" s="237"/>
      <c r="O150" s="237"/>
      <c r="P150" s="237"/>
      <c r="Q150" s="237"/>
      <c r="R150" s="237"/>
      <c r="S150" s="237"/>
      <c r="T150" s="237"/>
      <c r="U150" s="237"/>
      <c r="V150" s="237"/>
      <c r="W150" s="237"/>
      <c r="X150" s="38"/>
      <c r="Y150" s="38"/>
      <c r="Z150" s="38"/>
      <c r="AA150" s="38"/>
      <c r="AB150" s="91"/>
      <c r="AC150" s="94" t="str">
        <f>IF(Eingabe[[#This Row],[V1]]="",IF(Eingabe[[#This Row],[Volle alternativ]]="","",Eingabe[[#This Row],[Volle alternativ]]),SUM(Eingabe[[#This Row],[V1]:[V4]]))</f>
        <v/>
      </c>
      <c r="AD150" s="6" t="str">
        <f>IF(Eingabe[[#This Row],[R1]]="",IF(Eingabe[[#This Row],[Räumer alternativ]]="","",Eingabe[[#This Row],[Räumer alternativ]]),SUM(Eingabe[[#This Row],[R1]:[R4]]))</f>
        <v/>
      </c>
      <c r="AE150" s="6" t="str">
        <f>IF(Eingabe[[#This Row],[F1]]="",IF(Eingabe[[#This Row],[Fehler alternativ]]="","",Eingabe[[#This Row],[Fehler alternativ]]),SUM(Eingabe[[#This Row],[F1]:[F4]]))</f>
        <v/>
      </c>
      <c r="AF150" s="6" t="str">
        <f>IF(Eingabe[[#This Row],[Volle]]="","",IF(Eingabe[[#This Row],[S1]]="",Eingabe[[#This Row],[Volle]]+Eingabe[[#This Row],[Räumer]],IF(Eingabe[[#This Row],[Volle]]+Eingabe[[#This Row],[Räumer]]=Eingabe[[#This Row],[S1]]+Eingabe[[#This Row],[S2]]+Eingabe[[#This Row],[S3]]+Eingabe[[#This Row],[S4]],Eingabe[[#This Row],[Volle]]+Eingabe[[#This Row],[Räumer]],"FEHLER")))</f>
        <v/>
      </c>
      <c r="AG150" s="6" t="str">
        <f>IF(Eingabe[[#This Row],[V1]]="","",Eingabe[[#This Row],[V1]]+Eingabe[[#This Row],[R1]])</f>
        <v/>
      </c>
      <c r="AH150" s="6" t="str">
        <f>IF(Eingabe[[#This Row],[V2]]="","",Eingabe[[#This Row],[V2]]+Eingabe[[#This Row],[R2]])</f>
        <v/>
      </c>
      <c r="AI150" s="6" t="str">
        <f>IF(Eingabe[[#This Row],[V3]]="","",Eingabe[[#This Row],[V3]]+Eingabe[[#This Row],[R3]])</f>
        <v/>
      </c>
      <c r="AJ150" s="6" t="str">
        <f>IF(Eingabe[[#This Row],[V4]]="","",Eingabe[[#This Row],[V4]]+Eingabe[[#This Row],[R4]])</f>
        <v/>
      </c>
      <c r="AK150" s="6" t="str">
        <f>IF(Eingabe[[#This Row],[S1P]]="","",Eingabe[[#This Row],[S1P]]+Eingabe[[#This Row],[S2P]]+Eingabe[[#This Row],[S3P]]+Eingabe[[#This Row],[S4P]])</f>
        <v/>
      </c>
      <c r="AL150" s="6" t="str">
        <f>IF(Eingabe[[#This Row],[S1P]]="","",IF(Eingabe[[#This Row],[SP]]&gt;2,1,IF(Eingabe[[#This Row],[SP]]&lt;2,0,IF(Eingabe[[#This Row],[GES]]&gt;Eingabe[[#This Row],[GEGGES]],1,IF(Eingabe[[#This Row],[GES]]=Eingabe[[#This Row],[GEGGES]],0.5,0)))))</f>
        <v/>
      </c>
      <c r="AM150" s="6" t="str">
        <f>IF(Eingabe[[#This Row],[MP]]="","",MOD(ROW(Eingabe[[#This Row],[Position]])-3,6)+1)</f>
        <v/>
      </c>
      <c r="AN150" s="6" t="e">
        <f>STANDARDIZE(Eingabe[[#This Row],[GES]],Eingabe[[#This Row],[Schnitt]],VLOOKUP(Eingabe[[#This Row],[Name]],AuswertungG[],21,FALSE))</f>
        <v>#VALUE!</v>
      </c>
      <c r="AO150" s="6" t="str">
        <f>VLOOKUP(Eingabe[[#This Row],[ID]],Chronologie[[ID]:[KW]],12,FALSE)</f>
        <v/>
      </c>
      <c r="AP150" s="95">
        <f>IF(Eingabe[[#This Row],[Wo]]="H",Eingabe[[#This Row],[Gegner]]&amp;" ["&amp;Eingabe[[#This Row],[Wo]]&amp;"]",Eingabe[[#This Row],[Ort]])</f>
        <v>0</v>
      </c>
      <c r="AQ150" s="6" t="str">
        <f>IFERROR(IF(Eingabe[[#This Row],[Wo]]="H",IF(MOD(Eingabe[[#This Row],[Position]],2)=1,Eingabe[[#This Row],[S1]],Eingabe[[#This Row],[S4]]),""),"")</f>
        <v/>
      </c>
      <c r="AR150" s="6" t="str">
        <f>IFERROR(IF(Eingabe[[#This Row],[Wo]]="H",IF(Eingabe[[#This Row],[S1]]&gt;0,IF(MOD(Eingabe[[#This Row],[Position]],2)=1,Eingabe[[#This Row],[S2]],Eingabe[[#This Row],[S3]]),""),""),"")</f>
        <v/>
      </c>
      <c r="AS150" s="6" t="str">
        <f>IFERROR(IF(Eingabe[[#This Row],[Wo]]="H",IF(Eingabe[[#This Row],[S1]]&gt;0,IF(MOD(ROW(Eingabe[[#This Row],[Heimbahn 3]]),2)=1,Eingabe[[#This Row],[S4]],Eingabe[[#This Row],[S1]]),""),""),"")</f>
        <v/>
      </c>
      <c r="AT150" s="6" t="str">
        <f>IFERROR(IF(Eingabe[[#This Row],[Wo]]="H",IF(Eingabe[[#This Row],[S1]]&gt;0,IF(MOD(ROW(Eingabe[[#This Row],[Heimbahn 4]]),2)=1,Eingabe[[#This Row],[S3]],Eingabe[[#This Row],[S2]]),""),""),"")</f>
        <v/>
      </c>
      <c r="AU150" s="22" t="str">
        <f>IF(Eingabe[[#This Row],[GES]]="","",IF(Eingabe[[#This Row],[Modus]]="L",_xlfn.RANK.EQ(Eingabe[[#This Row],[GES]],AF147:AF152),IF(Eingabe[[#This Row],[Modus]]="P",_xlfn.RANK.EQ(Eingabe[[#This Row],[GES]],AF147:AF152),"")))</f>
        <v/>
      </c>
      <c r="AV150" s="6" t="e">
        <f>VLOOKUP(Eingabe[[#This Row],[Name]],AuswertungG[],8,FALSE)</f>
        <v>#N/A</v>
      </c>
      <c r="AZ150" s="6" t="str">
        <f>IFERROR(ABS(Eingabe[[#This Row],[GES]]-Eingabe[[#This Row],[GEGGES]]),"")</f>
        <v/>
      </c>
    </row>
    <row r="151" spans="1:52" ht="16.2" hidden="1" thickBot="1" x14ac:dyDescent="0.35">
      <c r="A151" s="441"/>
      <c r="B151" s="21">
        <f t="shared" si="22"/>
        <v>25</v>
      </c>
      <c r="C151" s="6">
        <f>VLOOKUP($B151,Chronologie[],7,TRUE)</f>
        <v>0</v>
      </c>
      <c r="D151" s="6">
        <f>VLOOKUP($B151,Chronologie[],8,TRUE)</f>
        <v>0</v>
      </c>
      <c r="E151" s="240">
        <f>VLOOKUP($B151,Chronologie[],9,TRUE)</f>
        <v>0</v>
      </c>
      <c r="F151" s="6" t="str">
        <f>VLOOKUP($B151,Chronologie[],COLUMN(F152)-2,TRUE)</f>
        <v>F</v>
      </c>
      <c r="G151" s="6" t="str">
        <f>VLOOKUP($B151,Chronologie[],COLUMN(G152)-2,TRUE)</f>
        <v>L</v>
      </c>
      <c r="H151" s="6">
        <f>VLOOKUP($B151,Chronologie[],COLUMN(H152)-2,TRUE)</f>
        <v>7</v>
      </c>
      <c r="I151" s="10" t="str">
        <f>VLOOKUP($B151,Chronologie[],2,TRUE)</f>
        <v>F-L-7</v>
      </c>
      <c r="J151" s="243">
        <f>VLOOKUP($B151,Chronologie[],3,TRUE)</f>
        <v>0</v>
      </c>
      <c r="K151" s="237"/>
      <c r="L151" s="237"/>
      <c r="M151" s="237"/>
      <c r="N151" s="237"/>
      <c r="O151" s="237"/>
      <c r="P151" s="237"/>
      <c r="Q151" s="237"/>
      <c r="R151" s="237"/>
      <c r="S151" s="237"/>
      <c r="T151" s="237"/>
      <c r="U151" s="237"/>
      <c r="V151" s="237"/>
      <c r="W151" s="237"/>
      <c r="X151" s="38"/>
      <c r="Y151" s="38"/>
      <c r="Z151" s="38"/>
      <c r="AA151" s="38"/>
      <c r="AB151" s="91"/>
      <c r="AC151" s="94" t="str">
        <f>IF(Eingabe[[#This Row],[V1]]="",IF(Eingabe[[#This Row],[Volle alternativ]]="","",Eingabe[[#This Row],[Volle alternativ]]),SUM(Eingabe[[#This Row],[V1]:[V4]]))</f>
        <v/>
      </c>
      <c r="AD151" s="6" t="str">
        <f>IF(Eingabe[[#This Row],[R1]]="",IF(Eingabe[[#This Row],[Räumer alternativ]]="","",Eingabe[[#This Row],[Räumer alternativ]]),SUM(Eingabe[[#This Row],[R1]:[R4]]))</f>
        <v/>
      </c>
      <c r="AE151" s="6" t="str">
        <f>IF(Eingabe[[#This Row],[F1]]="",IF(Eingabe[[#This Row],[Fehler alternativ]]="","",Eingabe[[#This Row],[Fehler alternativ]]),SUM(Eingabe[[#This Row],[F1]:[F4]]))</f>
        <v/>
      </c>
      <c r="AF151" s="6" t="str">
        <f>IF(Eingabe[[#This Row],[Volle]]="","",IF(Eingabe[[#This Row],[S1]]="",Eingabe[[#This Row],[Volle]]+Eingabe[[#This Row],[Räumer]],IF(Eingabe[[#This Row],[Volle]]+Eingabe[[#This Row],[Räumer]]=Eingabe[[#This Row],[S1]]+Eingabe[[#This Row],[S2]]+Eingabe[[#This Row],[S3]]+Eingabe[[#This Row],[S4]],Eingabe[[#This Row],[Volle]]+Eingabe[[#This Row],[Räumer]],"FEHLER")))</f>
        <v/>
      </c>
      <c r="AG151" s="6" t="str">
        <f>IF(Eingabe[[#This Row],[V1]]="","",Eingabe[[#This Row],[V1]]+Eingabe[[#This Row],[R1]])</f>
        <v/>
      </c>
      <c r="AH151" s="6" t="str">
        <f>IF(Eingabe[[#This Row],[V2]]="","",Eingabe[[#This Row],[V2]]+Eingabe[[#This Row],[R2]])</f>
        <v/>
      </c>
      <c r="AI151" s="6" t="str">
        <f>IF(Eingabe[[#This Row],[V3]]="","",Eingabe[[#This Row],[V3]]+Eingabe[[#This Row],[R3]])</f>
        <v/>
      </c>
      <c r="AJ151" s="6" t="str">
        <f>IF(Eingabe[[#This Row],[V4]]="","",Eingabe[[#This Row],[V4]]+Eingabe[[#This Row],[R4]])</f>
        <v/>
      </c>
      <c r="AK151" s="6" t="str">
        <f>IF(Eingabe[[#This Row],[S1P]]="","",Eingabe[[#This Row],[S1P]]+Eingabe[[#This Row],[S2P]]+Eingabe[[#This Row],[S3P]]+Eingabe[[#This Row],[S4P]])</f>
        <v/>
      </c>
      <c r="AL151" s="6" t="str">
        <f>IF(Eingabe[[#This Row],[S1P]]="","",IF(Eingabe[[#This Row],[SP]]&gt;2,1,IF(Eingabe[[#This Row],[SP]]&lt;2,0,IF(Eingabe[[#This Row],[GES]]&gt;Eingabe[[#This Row],[GEGGES]],1,IF(Eingabe[[#This Row],[GES]]=Eingabe[[#This Row],[GEGGES]],0.5,0)))))</f>
        <v/>
      </c>
      <c r="AM151" s="6" t="str">
        <f>IF(Eingabe[[#This Row],[MP]]="","",MOD(ROW(Eingabe[[#This Row],[Position]])-3,6)+1)</f>
        <v/>
      </c>
      <c r="AN151" s="6" t="e">
        <f>STANDARDIZE(Eingabe[[#This Row],[GES]],Eingabe[[#This Row],[Schnitt]],VLOOKUP(Eingabe[[#This Row],[Name]],AuswertungG[],21,FALSE))</f>
        <v>#VALUE!</v>
      </c>
      <c r="AO151" s="6" t="str">
        <f>VLOOKUP(Eingabe[[#This Row],[ID]],Chronologie[[ID]:[KW]],12,FALSE)</f>
        <v/>
      </c>
      <c r="AP151" s="95">
        <f>IF(Eingabe[[#This Row],[Wo]]="H",Eingabe[[#This Row],[Gegner]]&amp;" ["&amp;Eingabe[[#This Row],[Wo]]&amp;"]",Eingabe[[#This Row],[Ort]])</f>
        <v>0</v>
      </c>
      <c r="AQ151" s="6" t="str">
        <f>IFERROR(IF(Eingabe[[#This Row],[Wo]]="H",IF(MOD(Eingabe[[#This Row],[Position]],2)=1,Eingabe[[#This Row],[S1]],Eingabe[[#This Row],[S4]]),""),"")</f>
        <v/>
      </c>
      <c r="AR151" s="6" t="str">
        <f>IFERROR(IF(Eingabe[[#This Row],[Wo]]="H",IF(Eingabe[[#This Row],[S1]]&gt;0,IF(MOD(Eingabe[[#This Row],[Position]],2)=1,Eingabe[[#This Row],[S2]],Eingabe[[#This Row],[S3]]),""),""),"")</f>
        <v/>
      </c>
      <c r="AS151" s="6" t="str">
        <f>IFERROR(IF(Eingabe[[#This Row],[Wo]]="H",IF(Eingabe[[#This Row],[S1]]&gt;0,IF(MOD(ROW(Eingabe[[#This Row],[Heimbahn 3]]),2)=1,Eingabe[[#This Row],[S4]],Eingabe[[#This Row],[S1]]),""),""),"")</f>
        <v/>
      </c>
      <c r="AT151" s="6" t="str">
        <f>IFERROR(IF(Eingabe[[#This Row],[Wo]]="H",IF(Eingabe[[#This Row],[S1]]&gt;0,IF(MOD(ROW(Eingabe[[#This Row],[Heimbahn 4]]),2)=1,Eingabe[[#This Row],[S3]],Eingabe[[#This Row],[S2]]),""),""),"")</f>
        <v/>
      </c>
      <c r="AU151" s="22" t="str">
        <f>IF(Eingabe[[#This Row],[GES]]="","",IF(Eingabe[[#This Row],[Modus]]="L",_xlfn.RANK.EQ(Eingabe[[#This Row],[GES]],AF147:AF152),IF(Eingabe[[#This Row],[Modus]]="P",_xlfn.RANK.EQ(Eingabe[[#This Row],[GES]],AF147:AF152),"")))</f>
        <v/>
      </c>
      <c r="AV151" s="6" t="e">
        <f>VLOOKUP(Eingabe[[#This Row],[Name]],AuswertungG[],8,FALSE)</f>
        <v>#N/A</v>
      </c>
      <c r="AZ151" s="6" t="str">
        <f>IFERROR(ABS(Eingabe[[#This Row],[GES]]-Eingabe[[#This Row],[GEGGES]]),"")</f>
        <v/>
      </c>
    </row>
    <row r="152" spans="1:52" ht="16.2" hidden="1" thickBot="1" x14ac:dyDescent="0.35">
      <c r="A152" s="442"/>
      <c r="B152" s="56">
        <f t="shared" si="22"/>
        <v>25</v>
      </c>
      <c r="C152" s="23">
        <f>VLOOKUP($B152,Chronologie[],7,TRUE)</f>
        <v>0</v>
      </c>
      <c r="D152" s="23">
        <f>VLOOKUP($B152,Chronologie[],8,TRUE)</f>
        <v>0</v>
      </c>
      <c r="E152" s="39">
        <f>VLOOKUP($B152,Chronologie[],9,TRUE)</f>
        <v>0</v>
      </c>
      <c r="F152" s="23" t="str">
        <f>VLOOKUP($B152,Chronologie[],COLUMN(F153)-2,TRUE)</f>
        <v>F</v>
      </c>
      <c r="G152" s="23" t="str">
        <f>VLOOKUP($B152,Chronologie[],COLUMN(G153)-2,TRUE)</f>
        <v>L</v>
      </c>
      <c r="H152" s="23">
        <f>VLOOKUP($B152,Chronologie[],COLUMN(H153)-2,TRUE)</f>
        <v>7</v>
      </c>
      <c r="I152" s="13" t="str">
        <f>VLOOKUP($B152,Chronologie[],2,TRUE)</f>
        <v>F-L-7</v>
      </c>
      <c r="J152" s="244">
        <f>VLOOKUP($B152,Chronologie[],3,TRUE)</f>
        <v>0</v>
      </c>
      <c r="K152" s="239"/>
      <c r="L152" s="239"/>
      <c r="M152" s="239"/>
      <c r="N152" s="239"/>
      <c r="O152" s="239"/>
      <c r="P152" s="239"/>
      <c r="Q152" s="239"/>
      <c r="R152" s="239"/>
      <c r="S152" s="239"/>
      <c r="T152" s="239"/>
      <c r="U152" s="239"/>
      <c r="V152" s="239"/>
      <c r="W152" s="239"/>
      <c r="X152" s="40"/>
      <c r="Y152" s="40"/>
      <c r="Z152" s="40"/>
      <c r="AA152" s="40"/>
      <c r="AB152" s="92"/>
      <c r="AC152" s="96" t="str">
        <f>IF(Eingabe[[#This Row],[V1]]="",IF(Eingabe[[#This Row],[Volle alternativ]]="","",Eingabe[[#This Row],[Volle alternativ]]),SUM(Eingabe[[#This Row],[V1]:[V4]]))</f>
        <v/>
      </c>
      <c r="AD152" s="23" t="str">
        <f>IF(Eingabe[[#This Row],[R1]]="",IF(Eingabe[[#This Row],[Räumer alternativ]]="","",Eingabe[[#This Row],[Räumer alternativ]]),SUM(Eingabe[[#This Row],[R1]:[R4]]))</f>
        <v/>
      </c>
      <c r="AE152" s="23" t="str">
        <f>IF(Eingabe[[#This Row],[F1]]="",IF(Eingabe[[#This Row],[Fehler alternativ]]="","",Eingabe[[#This Row],[Fehler alternativ]]),SUM(Eingabe[[#This Row],[F1]:[F4]]))</f>
        <v/>
      </c>
      <c r="AF152" s="23" t="str">
        <f>IF(Eingabe[[#This Row],[Volle]]="","",IF(Eingabe[[#This Row],[S1]]="",Eingabe[[#This Row],[Volle]]+Eingabe[[#This Row],[Räumer]],IF(Eingabe[[#This Row],[Volle]]+Eingabe[[#This Row],[Räumer]]=Eingabe[[#This Row],[S1]]+Eingabe[[#This Row],[S2]]+Eingabe[[#This Row],[S3]]+Eingabe[[#This Row],[S4]],Eingabe[[#This Row],[Volle]]+Eingabe[[#This Row],[Räumer]],"FEHLER")))</f>
        <v/>
      </c>
      <c r="AG152" s="23" t="str">
        <f>IF(Eingabe[[#This Row],[V1]]="","",Eingabe[[#This Row],[V1]]+Eingabe[[#This Row],[R1]])</f>
        <v/>
      </c>
      <c r="AH152" s="23" t="str">
        <f>IF(Eingabe[[#This Row],[V2]]="","",Eingabe[[#This Row],[V2]]+Eingabe[[#This Row],[R2]])</f>
        <v/>
      </c>
      <c r="AI152" s="23" t="str">
        <f>IF(Eingabe[[#This Row],[V3]]="","",Eingabe[[#This Row],[V3]]+Eingabe[[#This Row],[R3]])</f>
        <v/>
      </c>
      <c r="AJ152" s="23" t="str">
        <f>IF(Eingabe[[#This Row],[V4]]="","",Eingabe[[#This Row],[V4]]+Eingabe[[#This Row],[R4]])</f>
        <v/>
      </c>
      <c r="AK152" s="23" t="str">
        <f>IF(Eingabe[[#This Row],[S1P]]="","",Eingabe[[#This Row],[S1P]]+Eingabe[[#This Row],[S2P]]+Eingabe[[#This Row],[S3P]]+Eingabe[[#This Row],[S4P]])</f>
        <v/>
      </c>
      <c r="AL152" s="23" t="str">
        <f>IF(Eingabe[[#This Row],[S1P]]="","",IF(Eingabe[[#This Row],[SP]]&gt;2,1,IF(Eingabe[[#This Row],[SP]]&lt;2,0,IF(Eingabe[[#This Row],[GES]]&gt;Eingabe[[#This Row],[GEGGES]],1,IF(Eingabe[[#This Row],[GES]]=Eingabe[[#This Row],[GEGGES]],0.5,0)))))</f>
        <v/>
      </c>
      <c r="AM152" s="23" t="str">
        <f>IF(Eingabe[[#This Row],[MP]]="","",MOD(ROW(Eingabe[[#This Row],[Position]])-3,6)+1)</f>
        <v/>
      </c>
      <c r="AN152" s="23" t="e">
        <f>STANDARDIZE(Eingabe[[#This Row],[GES]],Eingabe[[#This Row],[Schnitt]],VLOOKUP(Eingabe[[#This Row],[Name]],AuswertungG[],21,FALSE))</f>
        <v>#VALUE!</v>
      </c>
      <c r="AO152" s="23" t="str">
        <f>VLOOKUP(Eingabe[[#This Row],[ID]],Chronologie[[ID]:[KW]],12,FALSE)</f>
        <v/>
      </c>
      <c r="AP152" s="59">
        <f>IF(Eingabe[[#This Row],[Wo]]="H",Eingabe[[#This Row],[Gegner]]&amp;" ["&amp;Eingabe[[#This Row],[Wo]]&amp;"]",Eingabe[[#This Row],[Ort]])</f>
        <v>0</v>
      </c>
      <c r="AQ152" s="23" t="str">
        <f>IFERROR(IF(Eingabe[[#This Row],[Wo]]="H",IF(MOD(Eingabe[[#This Row],[Position]],2)=1,Eingabe[[#This Row],[S1]],Eingabe[[#This Row],[S4]]),""),"")</f>
        <v/>
      </c>
      <c r="AR152" s="23" t="str">
        <f>IFERROR(IF(Eingabe[[#This Row],[Wo]]="H",IF(Eingabe[[#This Row],[S1]]&gt;0,IF(MOD(Eingabe[[#This Row],[Position]],2)=1,Eingabe[[#This Row],[S2]],Eingabe[[#This Row],[S3]]),""),""),"")</f>
        <v/>
      </c>
      <c r="AS152" s="23" t="str">
        <f>IFERROR(IF(Eingabe[[#This Row],[Wo]]="H",IF(Eingabe[[#This Row],[S1]]&gt;0,IF(MOD(ROW(Eingabe[[#This Row],[Heimbahn 3]]),2)=1,Eingabe[[#This Row],[S4]],Eingabe[[#This Row],[S1]]),""),""),"")</f>
        <v/>
      </c>
      <c r="AT152" s="23" t="str">
        <f>IFERROR(IF(Eingabe[[#This Row],[Wo]]="H",IF(Eingabe[[#This Row],[S1]]&gt;0,IF(MOD(ROW(Eingabe[[#This Row],[Heimbahn 4]]),2)=1,Eingabe[[#This Row],[S3]],Eingabe[[#This Row],[S2]]),""),""),"")</f>
        <v/>
      </c>
      <c r="AU152" s="89" t="str">
        <f>IF(Eingabe[[#This Row],[GES]]="","",IF(Eingabe[[#This Row],[Modus]]="L",_xlfn.RANK.EQ(Eingabe[[#This Row],[GES]],AF147:AF152),IF(Eingabe[[#This Row],[Modus]]="P",_xlfn.RANK.EQ(Eingabe[[#This Row],[GES]],AF147:AF152),"")))</f>
        <v/>
      </c>
      <c r="AV152" s="6" t="e">
        <f>VLOOKUP(Eingabe[[#This Row],[Name]],AuswertungG[],8,FALSE)</f>
        <v>#N/A</v>
      </c>
      <c r="AZ152" s="6" t="str">
        <f>IFERROR(ABS(Eingabe[[#This Row],[GES]]-Eingabe[[#This Row],[GEGGES]]),"")</f>
        <v/>
      </c>
    </row>
    <row r="153" spans="1:52" ht="16.2" hidden="1" thickBot="1" x14ac:dyDescent="0.35">
      <c r="A153" s="440">
        <f t="shared" ref="A153" si="26">B153</f>
        <v>26</v>
      </c>
      <c r="B153" s="55">
        <f t="shared" si="22"/>
        <v>26</v>
      </c>
      <c r="C153" s="35" t="str">
        <f>VLOOKUP($B153,Chronologie[],7,TRUE)</f>
        <v>Dresdner SV II</v>
      </c>
      <c r="D153" s="35" t="str">
        <f>VLOOKUP($B153,Chronologie[],8,TRUE)</f>
        <v>Hirschfeld</v>
      </c>
      <c r="E153" s="36" t="str">
        <f>VLOOKUP($B153,Chronologie[],9,TRUE)</f>
        <v>H</v>
      </c>
      <c r="F153" s="35" t="str">
        <f>VLOOKUP($B153,Chronologie[],COLUMN(F154)-2,TRUE)</f>
        <v>F</v>
      </c>
      <c r="G153" s="35" t="str">
        <f>VLOOKUP($B153,Chronologie[],COLUMN(G154)-2,TRUE)</f>
        <v>L</v>
      </c>
      <c r="H153" s="35">
        <f>VLOOKUP($B153,Chronologie[],COLUMN(H154)-2,TRUE)</f>
        <v>8</v>
      </c>
      <c r="I153" s="9" t="str">
        <f>VLOOKUP($B153,Chronologie[],2,TRUE)</f>
        <v>F-L-8</v>
      </c>
      <c r="J153" s="242">
        <f>VLOOKUP($B153,Chronologie[],3,TRUE)</f>
        <v>46040</v>
      </c>
      <c r="K153" s="236" t="s">
        <v>15</v>
      </c>
      <c r="L153" s="334">
        <v>89</v>
      </c>
      <c r="M153" s="334">
        <v>91</v>
      </c>
      <c r="N153" s="334">
        <v>90</v>
      </c>
      <c r="O153" s="334">
        <v>86</v>
      </c>
      <c r="P153" s="334">
        <v>27</v>
      </c>
      <c r="Q153" s="334">
        <v>33</v>
      </c>
      <c r="R153" s="334">
        <v>41</v>
      </c>
      <c r="S153" s="334">
        <v>41</v>
      </c>
      <c r="T153" s="334">
        <v>3</v>
      </c>
      <c r="U153" s="334">
        <v>3</v>
      </c>
      <c r="V153" s="334">
        <v>3</v>
      </c>
      <c r="W153" s="334">
        <v>3</v>
      </c>
      <c r="X153" s="37">
        <v>0</v>
      </c>
      <c r="Y153" s="37">
        <v>1</v>
      </c>
      <c r="Z153" s="37">
        <v>1</v>
      </c>
      <c r="AA153" s="37">
        <v>0</v>
      </c>
      <c r="AB153" s="90">
        <v>489</v>
      </c>
      <c r="AC153" s="93">
        <f>IF(Eingabe[[#This Row],[V1]]="",IF(Eingabe[[#This Row],[Volle alternativ]]="","",Eingabe[[#This Row],[Volle alternativ]]),SUM(Eingabe[[#This Row],[V1]:[V4]]))</f>
        <v>356</v>
      </c>
      <c r="AD153" s="35">
        <f>IF(Eingabe[[#This Row],[R1]]="",IF(Eingabe[[#This Row],[Räumer alternativ]]="","",Eingabe[[#This Row],[Räumer alternativ]]),SUM(Eingabe[[#This Row],[R1]:[R4]]))</f>
        <v>142</v>
      </c>
      <c r="AE153" s="35">
        <f>IF(Eingabe[[#This Row],[F1]]="",IF(Eingabe[[#This Row],[Fehler alternativ]]="","",Eingabe[[#This Row],[Fehler alternativ]]),SUM(Eingabe[[#This Row],[F1]:[F4]]))</f>
        <v>12</v>
      </c>
      <c r="AF153" s="35">
        <f>IF(Eingabe[[#This Row],[Volle]]="","",IF(Eingabe[[#This Row],[S1]]="",Eingabe[[#This Row],[Volle]]+Eingabe[[#This Row],[Räumer]],IF(Eingabe[[#This Row],[Volle]]+Eingabe[[#This Row],[Räumer]]=Eingabe[[#This Row],[S1]]+Eingabe[[#This Row],[S2]]+Eingabe[[#This Row],[S3]]+Eingabe[[#This Row],[S4]],Eingabe[[#This Row],[Volle]]+Eingabe[[#This Row],[Räumer]],"FEHLER")))</f>
        <v>498</v>
      </c>
      <c r="AG153" s="35">
        <f>IF(Eingabe[[#This Row],[V1]]="","",Eingabe[[#This Row],[V1]]+Eingabe[[#This Row],[R1]])</f>
        <v>116</v>
      </c>
      <c r="AH153" s="35">
        <f>IF(Eingabe[[#This Row],[V2]]="","",Eingabe[[#This Row],[V2]]+Eingabe[[#This Row],[R2]])</f>
        <v>124</v>
      </c>
      <c r="AI153" s="35">
        <f>IF(Eingabe[[#This Row],[V3]]="","",Eingabe[[#This Row],[V3]]+Eingabe[[#This Row],[R3]])</f>
        <v>131</v>
      </c>
      <c r="AJ153" s="35">
        <f>IF(Eingabe[[#This Row],[V4]]="","",Eingabe[[#This Row],[V4]]+Eingabe[[#This Row],[R4]])</f>
        <v>127</v>
      </c>
      <c r="AK153" s="35">
        <f>IF(Eingabe[[#This Row],[S1P]]="","",Eingabe[[#This Row],[S1P]]+Eingabe[[#This Row],[S2P]]+Eingabe[[#This Row],[S3P]]+Eingabe[[#This Row],[S4P]])</f>
        <v>2</v>
      </c>
      <c r="AL153" s="35">
        <f>IF(Eingabe[[#This Row],[S1P]]="","",IF(Eingabe[[#This Row],[SP]]&gt;2,1,IF(Eingabe[[#This Row],[SP]]&lt;2,0,IF(Eingabe[[#This Row],[GES]]&gt;Eingabe[[#This Row],[GEGGES]],1,IF(Eingabe[[#This Row],[GES]]=Eingabe[[#This Row],[GEGGES]],0.5,0)))))</f>
        <v>1</v>
      </c>
      <c r="AM153" s="35">
        <f>IF(Eingabe[[#This Row],[MP]]="","",MOD(ROW(Eingabe[[#This Row],[Position]])-3,6)+1)</f>
        <v>1</v>
      </c>
      <c r="AN153" s="35">
        <f>STANDARDIZE(Eingabe[[#This Row],[GES]],Eingabe[[#This Row],[Schnitt]],VLOOKUP(Eingabe[[#This Row],[Name]],AuswertungG[],21,FALSE))</f>
        <v>0.45454545454545453</v>
      </c>
      <c r="AO153" s="35">
        <f>VLOOKUP(Eingabe[[#This Row],[ID]],Chronologie[[ID]:[KW]],12,FALSE)</f>
        <v>21</v>
      </c>
      <c r="AP153" s="58" t="str">
        <f>IF(Eingabe[[#This Row],[Wo]]="H",Eingabe[[#This Row],[Gegner]]&amp;" ["&amp;Eingabe[[#This Row],[Wo]]&amp;"]",Eingabe[[#This Row],[Ort]])</f>
        <v>Dresdner SV II [H]</v>
      </c>
      <c r="AQ153" s="35">
        <f>IFERROR(IF(Eingabe[[#This Row],[Wo]]="H",IF(MOD(Eingabe[[#This Row],[Position]],2)=1,Eingabe[[#This Row],[S1]],Eingabe[[#This Row],[S4]]),""),"")</f>
        <v>116</v>
      </c>
      <c r="AR153" s="35">
        <f>IFERROR(IF(Eingabe[[#This Row],[Wo]]="H",IF(Eingabe[[#This Row],[S1]]&gt;0,IF(MOD(Eingabe[[#This Row],[Position]],2)=1,Eingabe[[#This Row],[S2]],Eingabe[[#This Row],[S3]]),""),""),"")</f>
        <v>124</v>
      </c>
      <c r="AS153" s="35">
        <f>IFERROR(IF(Eingabe[[#This Row],[Wo]]="H",IF(Eingabe[[#This Row],[S1]]&gt;0,IF(MOD(ROW(Eingabe[[#This Row],[Heimbahn 3]]),2)=1,Eingabe[[#This Row],[S4]],Eingabe[[#This Row],[S1]]),""),""),"")</f>
        <v>127</v>
      </c>
      <c r="AT153" s="35">
        <f>IFERROR(IF(Eingabe[[#This Row],[Wo]]="H",IF(Eingabe[[#This Row],[S1]]&gt;0,IF(MOD(ROW(Eingabe[[#This Row],[Heimbahn 4]]),2)=1,Eingabe[[#This Row],[S3]],Eingabe[[#This Row],[S2]]),""),""),"")</f>
        <v>131</v>
      </c>
      <c r="AU153" s="88">
        <f>IF(Eingabe[[#This Row],[GES]]="","",IF(Eingabe[[#This Row],[Modus]]="L",_xlfn.RANK.EQ(Eingabe[[#This Row],[GES]],AF153:AF158),IF(Eingabe[[#This Row],[Modus]]="P",_xlfn.RANK.EQ(Eingabe[[#This Row],[GES]],AF153:AF158),"")))</f>
        <v>5</v>
      </c>
      <c r="AV153" s="6">
        <f>VLOOKUP(Eingabe[[#This Row],[Name]],AuswertungG[],8,FALSE)</f>
        <v>478</v>
      </c>
      <c r="AZ153" s="6">
        <f>IFERROR(ABS(Eingabe[[#This Row],[GES]]-Eingabe[[#This Row],[GEGGES]]),"")</f>
        <v>9</v>
      </c>
    </row>
    <row r="154" spans="1:52" ht="16.2" hidden="1" thickBot="1" x14ac:dyDescent="0.35">
      <c r="A154" s="441"/>
      <c r="B154" s="21">
        <f t="shared" si="22"/>
        <v>26</v>
      </c>
      <c r="C154" s="6" t="str">
        <f>VLOOKUP($B154,Chronologie[],7,TRUE)</f>
        <v>Dresdner SV II</v>
      </c>
      <c r="D154" s="6" t="str">
        <f>VLOOKUP($B154,Chronologie[],8,TRUE)</f>
        <v>Hirschfeld</v>
      </c>
      <c r="E154" s="240" t="str">
        <f>VLOOKUP($B154,Chronologie[],9,TRUE)</f>
        <v>H</v>
      </c>
      <c r="F154" s="6" t="str">
        <f>VLOOKUP($B154,Chronologie[],COLUMN(F155)-2,TRUE)</f>
        <v>F</v>
      </c>
      <c r="G154" s="6" t="str">
        <f>VLOOKUP($B154,Chronologie[],COLUMN(G155)-2,TRUE)</f>
        <v>L</v>
      </c>
      <c r="H154" s="6">
        <f>VLOOKUP($B154,Chronologie[],COLUMN(H155)-2,TRUE)</f>
        <v>8</v>
      </c>
      <c r="I154" s="10" t="str">
        <f>VLOOKUP($B154,Chronologie[],2,TRUE)</f>
        <v>F-L-8</v>
      </c>
      <c r="J154" s="243">
        <f>VLOOKUP($B154,Chronologie[],3,TRUE)</f>
        <v>46040</v>
      </c>
      <c r="K154" s="237" t="s">
        <v>464</v>
      </c>
      <c r="L154" s="237">
        <v>93</v>
      </c>
      <c r="M154" s="237">
        <v>103</v>
      </c>
      <c r="N154" s="237">
        <v>103</v>
      </c>
      <c r="O154" s="237">
        <v>91</v>
      </c>
      <c r="P154" s="237">
        <v>35</v>
      </c>
      <c r="Q154" s="237">
        <v>27</v>
      </c>
      <c r="R154" s="237">
        <v>35</v>
      </c>
      <c r="S154" s="237">
        <v>63</v>
      </c>
      <c r="T154" s="237">
        <v>2</v>
      </c>
      <c r="U154" s="237">
        <v>2</v>
      </c>
      <c r="V154" s="237">
        <v>3</v>
      </c>
      <c r="W154" s="237">
        <v>2</v>
      </c>
      <c r="X154" s="38">
        <v>1</v>
      </c>
      <c r="Y154" s="38">
        <v>1</v>
      </c>
      <c r="Z154" s="38">
        <v>1</v>
      </c>
      <c r="AA154" s="38">
        <v>1</v>
      </c>
      <c r="AB154" s="91">
        <v>446</v>
      </c>
      <c r="AC154" s="94">
        <f>IF(Eingabe[[#This Row],[V1]]="",IF(Eingabe[[#This Row],[Volle alternativ]]="","",Eingabe[[#This Row],[Volle alternativ]]),SUM(Eingabe[[#This Row],[V1]:[V4]]))</f>
        <v>390</v>
      </c>
      <c r="AD154" s="6">
        <f>IF(Eingabe[[#This Row],[R1]]="",IF(Eingabe[[#This Row],[Räumer alternativ]]="","",Eingabe[[#This Row],[Räumer alternativ]]),SUM(Eingabe[[#This Row],[R1]:[R4]]))</f>
        <v>160</v>
      </c>
      <c r="AE154" s="6">
        <f>IF(Eingabe[[#This Row],[F1]]="",IF(Eingabe[[#This Row],[Fehler alternativ]]="","",Eingabe[[#This Row],[Fehler alternativ]]),SUM(Eingabe[[#This Row],[F1]:[F4]]))</f>
        <v>9</v>
      </c>
      <c r="AF154" s="6">
        <f>IF(Eingabe[[#This Row],[Volle]]="","",IF(Eingabe[[#This Row],[S1]]="",Eingabe[[#This Row],[Volle]]+Eingabe[[#This Row],[Räumer]],IF(Eingabe[[#This Row],[Volle]]+Eingabe[[#This Row],[Räumer]]=Eingabe[[#This Row],[S1]]+Eingabe[[#This Row],[S2]]+Eingabe[[#This Row],[S3]]+Eingabe[[#This Row],[S4]],Eingabe[[#This Row],[Volle]]+Eingabe[[#This Row],[Räumer]],"FEHLER")))</f>
        <v>550</v>
      </c>
      <c r="AG154" s="6">
        <f>IF(Eingabe[[#This Row],[V1]]="","",Eingabe[[#This Row],[V1]]+Eingabe[[#This Row],[R1]])</f>
        <v>128</v>
      </c>
      <c r="AH154" s="6">
        <f>IF(Eingabe[[#This Row],[V2]]="","",Eingabe[[#This Row],[V2]]+Eingabe[[#This Row],[R2]])</f>
        <v>130</v>
      </c>
      <c r="AI154" s="6">
        <f>IF(Eingabe[[#This Row],[V3]]="","",Eingabe[[#This Row],[V3]]+Eingabe[[#This Row],[R3]])</f>
        <v>138</v>
      </c>
      <c r="AJ154" s="6">
        <f>IF(Eingabe[[#This Row],[V4]]="","",Eingabe[[#This Row],[V4]]+Eingabe[[#This Row],[R4]])</f>
        <v>154</v>
      </c>
      <c r="AK154" s="6">
        <f>IF(Eingabe[[#This Row],[S1P]]="","",Eingabe[[#This Row],[S1P]]+Eingabe[[#This Row],[S2P]]+Eingabe[[#This Row],[S3P]]+Eingabe[[#This Row],[S4P]])</f>
        <v>4</v>
      </c>
      <c r="AL154" s="6">
        <f>IF(Eingabe[[#This Row],[S1P]]="","",IF(Eingabe[[#This Row],[SP]]&gt;2,1,IF(Eingabe[[#This Row],[SP]]&lt;2,0,IF(Eingabe[[#This Row],[GES]]&gt;Eingabe[[#This Row],[GEGGES]],1,IF(Eingabe[[#This Row],[GES]]=Eingabe[[#This Row],[GEGGES]],0.5,0)))))</f>
        <v>1</v>
      </c>
      <c r="AM154" s="6">
        <f>IF(Eingabe[[#This Row],[MP]]="","",MOD(ROW(Eingabe[[#This Row],[Position]])-3,6)+1)</f>
        <v>2</v>
      </c>
      <c r="AN154" s="6">
        <f>STANDARDIZE(Eingabe[[#This Row],[GES]],Eingabe[[#This Row],[Schnitt]],VLOOKUP(Eingabe[[#This Row],[Name]],AuswertungG[],21,FALSE))</f>
        <v>1.6176470588235294</v>
      </c>
      <c r="AO154" s="6">
        <f>VLOOKUP(Eingabe[[#This Row],[ID]],Chronologie[[ID]:[KW]],12,FALSE)</f>
        <v>21</v>
      </c>
      <c r="AP154" s="95" t="str">
        <f>IF(Eingabe[[#This Row],[Wo]]="H",Eingabe[[#This Row],[Gegner]]&amp;" ["&amp;Eingabe[[#This Row],[Wo]]&amp;"]",Eingabe[[#This Row],[Ort]])</f>
        <v>Dresdner SV II [H]</v>
      </c>
      <c r="AQ154" s="6">
        <f>IFERROR(IF(Eingabe[[#This Row],[Wo]]="H",IF(MOD(Eingabe[[#This Row],[Position]],2)=1,Eingabe[[#This Row],[S1]],Eingabe[[#This Row],[S4]]),""),"")</f>
        <v>154</v>
      </c>
      <c r="AR154" s="6">
        <f>IFERROR(IF(Eingabe[[#This Row],[Wo]]="H",IF(Eingabe[[#This Row],[S1]]&gt;0,IF(MOD(Eingabe[[#This Row],[Position]],2)=1,Eingabe[[#This Row],[S2]],Eingabe[[#This Row],[S3]]),""),""),"")</f>
        <v>138</v>
      </c>
      <c r="AS154" s="6">
        <f>IFERROR(IF(Eingabe[[#This Row],[Wo]]="H",IF(Eingabe[[#This Row],[S1]]&gt;0,IF(MOD(ROW(Eingabe[[#This Row],[Heimbahn 3]]),2)=1,Eingabe[[#This Row],[S4]],Eingabe[[#This Row],[S1]]),""),""),"")</f>
        <v>128</v>
      </c>
      <c r="AT154" s="6">
        <f>IFERROR(IF(Eingabe[[#This Row],[Wo]]="H",IF(Eingabe[[#This Row],[S1]]&gt;0,IF(MOD(ROW(Eingabe[[#This Row],[Heimbahn 4]]),2)=1,Eingabe[[#This Row],[S3]],Eingabe[[#This Row],[S2]]),""),""),"")</f>
        <v>130</v>
      </c>
      <c r="AU154" s="22">
        <f>IF(Eingabe[[#This Row],[GES]]="","",IF(Eingabe[[#This Row],[Modus]]="L",_xlfn.RANK.EQ(Eingabe[[#This Row],[GES]],AF153:AF158),IF(Eingabe[[#This Row],[Modus]]="P",_xlfn.RANK.EQ(Eingabe[[#This Row],[GES]],AF153:AF158),"")))</f>
        <v>2</v>
      </c>
      <c r="AV154" s="6">
        <f>VLOOKUP(Eingabe[[#This Row],[Name]],AuswertungG[],8,FALSE)</f>
        <v>495</v>
      </c>
      <c r="AZ154" s="6">
        <f>IFERROR(ABS(Eingabe[[#This Row],[GES]]-Eingabe[[#This Row],[GEGGES]]),"")</f>
        <v>104</v>
      </c>
    </row>
    <row r="155" spans="1:52" ht="16.2" hidden="1" thickBot="1" x14ac:dyDescent="0.35">
      <c r="A155" s="441"/>
      <c r="B155" s="21">
        <f t="shared" si="22"/>
        <v>26</v>
      </c>
      <c r="C155" s="6" t="str">
        <f>VLOOKUP($B155,Chronologie[],7,TRUE)</f>
        <v>Dresdner SV II</v>
      </c>
      <c r="D155" s="6" t="str">
        <f>VLOOKUP($B155,Chronologie[],8,TRUE)</f>
        <v>Hirschfeld</v>
      </c>
      <c r="E155" s="240" t="str">
        <f>VLOOKUP($B155,Chronologie[],9,TRUE)</f>
        <v>H</v>
      </c>
      <c r="F155" s="6" t="str">
        <f>VLOOKUP($B155,Chronologie[],COLUMN(F156)-2,TRUE)</f>
        <v>F</v>
      </c>
      <c r="G155" s="6" t="str">
        <f>VLOOKUP($B155,Chronologie[],COLUMN(G156)-2,TRUE)</f>
        <v>L</v>
      </c>
      <c r="H155" s="6">
        <f>VLOOKUP($B155,Chronologie[],COLUMN(H156)-2,TRUE)</f>
        <v>8</v>
      </c>
      <c r="I155" s="10" t="str">
        <f>VLOOKUP($B155,Chronologie[],2,TRUE)</f>
        <v>F-L-8</v>
      </c>
      <c r="J155" s="243">
        <f>VLOOKUP($B155,Chronologie[],3,TRUE)</f>
        <v>46040</v>
      </c>
      <c r="K155" s="237" t="s">
        <v>477</v>
      </c>
      <c r="L155" s="237">
        <v>83</v>
      </c>
      <c r="M155" s="237">
        <v>93</v>
      </c>
      <c r="N155" s="237">
        <v>97</v>
      </c>
      <c r="O155" s="237">
        <v>90</v>
      </c>
      <c r="P155" s="237">
        <v>54</v>
      </c>
      <c r="Q155" s="237">
        <v>43</v>
      </c>
      <c r="R155" s="237">
        <v>63</v>
      </c>
      <c r="S155" s="237">
        <v>41</v>
      </c>
      <c r="T155" s="237">
        <v>1</v>
      </c>
      <c r="U155" s="237">
        <v>1</v>
      </c>
      <c r="V155" s="237">
        <v>0</v>
      </c>
      <c r="W155" s="237">
        <v>3</v>
      </c>
      <c r="X155" s="38">
        <v>1</v>
      </c>
      <c r="Y155" s="38">
        <v>1</v>
      </c>
      <c r="Z155" s="38">
        <v>1</v>
      </c>
      <c r="AA155" s="38">
        <v>1</v>
      </c>
      <c r="AB155" s="91">
        <v>445</v>
      </c>
      <c r="AC155" s="94">
        <f>IF(Eingabe[[#This Row],[V1]]="",IF(Eingabe[[#This Row],[Volle alternativ]]="","",Eingabe[[#This Row],[Volle alternativ]]),SUM(Eingabe[[#This Row],[V1]:[V4]]))</f>
        <v>363</v>
      </c>
      <c r="AD155" s="6">
        <f>IF(Eingabe[[#This Row],[R1]]="",IF(Eingabe[[#This Row],[Räumer alternativ]]="","",Eingabe[[#This Row],[Räumer alternativ]]),SUM(Eingabe[[#This Row],[R1]:[R4]]))</f>
        <v>201</v>
      </c>
      <c r="AE155" s="6">
        <f>IF(Eingabe[[#This Row],[F1]]="",IF(Eingabe[[#This Row],[Fehler alternativ]]="","",Eingabe[[#This Row],[Fehler alternativ]]),SUM(Eingabe[[#This Row],[F1]:[F4]]))</f>
        <v>5</v>
      </c>
      <c r="AF155" s="6">
        <f>IF(Eingabe[[#This Row],[Volle]]="","",IF(Eingabe[[#This Row],[S1]]="",Eingabe[[#This Row],[Volle]]+Eingabe[[#This Row],[Räumer]],IF(Eingabe[[#This Row],[Volle]]+Eingabe[[#This Row],[Räumer]]=Eingabe[[#This Row],[S1]]+Eingabe[[#This Row],[S2]]+Eingabe[[#This Row],[S3]]+Eingabe[[#This Row],[S4]],Eingabe[[#This Row],[Volle]]+Eingabe[[#This Row],[Räumer]],"FEHLER")))</f>
        <v>564</v>
      </c>
      <c r="AG155" s="6">
        <f>IF(Eingabe[[#This Row],[V1]]="","",Eingabe[[#This Row],[V1]]+Eingabe[[#This Row],[R1]])</f>
        <v>137</v>
      </c>
      <c r="AH155" s="6">
        <f>IF(Eingabe[[#This Row],[V2]]="","",Eingabe[[#This Row],[V2]]+Eingabe[[#This Row],[R2]])</f>
        <v>136</v>
      </c>
      <c r="AI155" s="6">
        <f>IF(Eingabe[[#This Row],[V3]]="","",Eingabe[[#This Row],[V3]]+Eingabe[[#This Row],[R3]])</f>
        <v>160</v>
      </c>
      <c r="AJ155" s="6">
        <f>IF(Eingabe[[#This Row],[V4]]="","",Eingabe[[#This Row],[V4]]+Eingabe[[#This Row],[R4]])</f>
        <v>131</v>
      </c>
      <c r="AK155" s="6">
        <f>IF(Eingabe[[#This Row],[S1P]]="","",Eingabe[[#This Row],[S1P]]+Eingabe[[#This Row],[S2P]]+Eingabe[[#This Row],[S3P]]+Eingabe[[#This Row],[S4P]])</f>
        <v>4</v>
      </c>
      <c r="AL155" s="6">
        <f>IF(Eingabe[[#This Row],[S1P]]="","",IF(Eingabe[[#This Row],[SP]]&gt;2,1,IF(Eingabe[[#This Row],[SP]]&lt;2,0,IF(Eingabe[[#This Row],[GES]]&gt;Eingabe[[#This Row],[GEGGES]],1,IF(Eingabe[[#This Row],[GES]]=Eingabe[[#This Row],[GEGGES]],0.5,0)))))</f>
        <v>1</v>
      </c>
      <c r="AM155" s="6">
        <f>IF(Eingabe[[#This Row],[MP]]="","",MOD(ROW(Eingabe[[#This Row],[Position]])-3,6)+1)</f>
        <v>3</v>
      </c>
      <c r="AN155" s="6">
        <f>STANDARDIZE(Eingabe[[#This Row],[GES]],Eingabe[[#This Row],[Schnitt]],VLOOKUP(Eingabe[[#This Row],[Name]],AuswertungG[],21,FALSE))</f>
        <v>1.28</v>
      </c>
      <c r="AO155" s="6">
        <f>VLOOKUP(Eingabe[[#This Row],[ID]],Chronologie[[ID]:[KW]],12,FALSE)</f>
        <v>21</v>
      </c>
      <c r="AP155" s="95" t="str">
        <f>IF(Eingabe[[#This Row],[Wo]]="H",Eingabe[[#This Row],[Gegner]]&amp;" ["&amp;Eingabe[[#This Row],[Wo]]&amp;"]",Eingabe[[#This Row],[Ort]])</f>
        <v>Dresdner SV II [H]</v>
      </c>
      <c r="AQ155" s="6">
        <f>IFERROR(IF(Eingabe[[#This Row],[Wo]]="H",IF(MOD(Eingabe[[#This Row],[Position]],2)=1,Eingabe[[#This Row],[S1]],Eingabe[[#This Row],[S4]]),""),"")</f>
        <v>137</v>
      </c>
      <c r="AR155" s="6">
        <f>IFERROR(IF(Eingabe[[#This Row],[Wo]]="H",IF(Eingabe[[#This Row],[S1]]&gt;0,IF(MOD(Eingabe[[#This Row],[Position]],2)=1,Eingabe[[#This Row],[S2]],Eingabe[[#This Row],[S3]]),""),""),"")</f>
        <v>136</v>
      </c>
      <c r="AS155" s="6">
        <f>IFERROR(IF(Eingabe[[#This Row],[Wo]]="H",IF(Eingabe[[#This Row],[S1]]&gt;0,IF(MOD(ROW(Eingabe[[#This Row],[Heimbahn 3]]),2)=1,Eingabe[[#This Row],[S4]],Eingabe[[#This Row],[S1]]),""),""),"")</f>
        <v>131</v>
      </c>
      <c r="AT155" s="6">
        <f>IFERROR(IF(Eingabe[[#This Row],[Wo]]="H",IF(Eingabe[[#This Row],[S1]]&gt;0,IF(MOD(ROW(Eingabe[[#This Row],[Heimbahn 4]]),2)=1,Eingabe[[#This Row],[S3]],Eingabe[[#This Row],[S2]]),""),""),"")</f>
        <v>160</v>
      </c>
      <c r="AU155" s="22">
        <f>IF(Eingabe[[#This Row],[GES]]="","",IF(Eingabe[[#This Row],[Modus]]="L",_xlfn.RANK.EQ(Eingabe[[#This Row],[GES]],AF153:AF158),IF(Eingabe[[#This Row],[Modus]]="P",_xlfn.RANK.EQ(Eingabe[[#This Row],[GES]],AF153:AF158),"")))</f>
        <v>1</v>
      </c>
      <c r="AV155" s="6">
        <f>VLOOKUP(Eingabe[[#This Row],[Name]],AuswertungG[],8,FALSE)</f>
        <v>532</v>
      </c>
      <c r="AZ155" s="6">
        <f>IFERROR(ABS(Eingabe[[#This Row],[GES]]-Eingabe[[#This Row],[GEGGES]]),"")</f>
        <v>119</v>
      </c>
    </row>
    <row r="156" spans="1:52" ht="16.2" hidden="1" thickBot="1" x14ac:dyDescent="0.35">
      <c r="A156" s="441"/>
      <c r="B156" s="21">
        <f t="shared" si="22"/>
        <v>26</v>
      </c>
      <c r="C156" s="6" t="str">
        <f>VLOOKUP($B156,Chronologie[],7,TRUE)</f>
        <v>Dresdner SV II</v>
      </c>
      <c r="D156" s="6" t="str">
        <f>VLOOKUP($B156,Chronologie[],8,TRUE)</f>
        <v>Hirschfeld</v>
      </c>
      <c r="E156" s="240" t="str">
        <f>VLOOKUP($B156,Chronologie[],9,TRUE)</f>
        <v>H</v>
      </c>
      <c r="F156" s="6" t="str">
        <f>VLOOKUP($B156,Chronologie[],COLUMN(F157)-2,TRUE)</f>
        <v>F</v>
      </c>
      <c r="G156" s="6" t="str">
        <f>VLOOKUP($B156,Chronologie[],COLUMN(G157)-2,TRUE)</f>
        <v>L</v>
      </c>
      <c r="H156" s="6">
        <f>VLOOKUP($B156,Chronologie[],COLUMN(H157)-2,TRUE)</f>
        <v>8</v>
      </c>
      <c r="I156" s="10" t="str">
        <f>VLOOKUP($B156,Chronologie[],2,TRUE)</f>
        <v>F-L-8</v>
      </c>
      <c r="J156" s="243">
        <f>VLOOKUP($B156,Chronologie[],3,TRUE)</f>
        <v>46040</v>
      </c>
      <c r="K156" s="238" t="s">
        <v>480</v>
      </c>
      <c r="L156" s="237">
        <v>86</v>
      </c>
      <c r="M156" s="237">
        <v>89</v>
      </c>
      <c r="N156" s="237">
        <v>96</v>
      </c>
      <c r="O156" s="237">
        <v>92</v>
      </c>
      <c r="P156" s="237">
        <v>35</v>
      </c>
      <c r="Q156" s="237">
        <v>45</v>
      </c>
      <c r="R156" s="237">
        <v>36</v>
      </c>
      <c r="S156" s="237">
        <v>27</v>
      </c>
      <c r="T156" s="237">
        <v>2</v>
      </c>
      <c r="U156" s="237">
        <v>1</v>
      </c>
      <c r="V156" s="237">
        <v>2</v>
      </c>
      <c r="W156" s="237">
        <v>4</v>
      </c>
      <c r="X156" s="38">
        <v>1</v>
      </c>
      <c r="Y156" s="38">
        <v>1</v>
      </c>
      <c r="Z156" s="38">
        <v>1</v>
      </c>
      <c r="AA156" s="38">
        <v>0</v>
      </c>
      <c r="AB156" s="91">
        <v>417</v>
      </c>
      <c r="AC156" s="94">
        <f>IF(Eingabe[[#This Row],[V1]]="",IF(Eingabe[[#This Row],[Volle alternativ]]="","",Eingabe[[#This Row],[Volle alternativ]]),SUM(Eingabe[[#This Row],[V1]:[V4]]))</f>
        <v>363</v>
      </c>
      <c r="AD156" s="6">
        <f>IF(Eingabe[[#This Row],[R1]]="",IF(Eingabe[[#This Row],[Räumer alternativ]]="","",Eingabe[[#This Row],[Räumer alternativ]]),SUM(Eingabe[[#This Row],[R1]:[R4]]))</f>
        <v>143</v>
      </c>
      <c r="AE156" s="6">
        <f>IF(Eingabe[[#This Row],[F1]]="",IF(Eingabe[[#This Row],[Fehler alternativ]]="","",Eingabe[[#This Row],[Fehler alternativ]]),SUM(Eingabe[[#This Row],[F1]:[F4]]))</f>
        <v>9</v>
      </c>
      <c r="AF156" s="6">
        <f>IF(Eingabe[[#This Row],[Volle]]="","",IF(Eingabe[[#This Row],[S1]]="",Eingabe[[#This Row],[Volle]]+Eingabe[[#This Row],[Räumer]],IF(Eingabe[[#This Row],[Volle]]+Eingabe[[#This Row],[Räumer]]=Eingabe[[#This Row],[S1]]+Eingabe[[#This Row],[S2]]+Eingabe[[#This Row],[S3]]+Eingabe[[#This Row],[S4]],Eingabe[[#This Row],[Volle]]+Eingabe[[#This Row],[Räumer]],"FEHLER")))</f>
        <v>506</v>
      </c>
      <c r="AG156" s="6">
        <f>IF(Eingabe[[#This Row],[V1]]="","",Eingabe[[#This Row],[V1]]+Eingabe[[#This Row],[R1]])</f>
        <v>121</v>
      </c>
      <c r="AH156" s="6">
        <f>IF(Eingabe[[#This Row],[V2]]="","",Eingabe[[#This Row],[V2]]+Eingabe[[#This Row],[R2]])</f>
        <v>134</v>
      </c>
      <c r="AI156" s="6">
        <f>IF(Eingabe[[#This Row],[V3]]="","",Eingabe[[#This Row],[V3]]+Eingabe[[#This Row],[R3]])</f>
        <v>132</v>
      </c>
      <c r="AJ156" s="6">
        <f>IF(Eingabe[[#This Row],[V4]]="","",Eingabe[[#This Row],[V4]]+Eingabe[[#This Row],[R4]])</f>
        <v>119</v>
      </c>
      <c r="AK156" s="6">
        <f>IF(Eingabe[[#This Row],[S1P]]="","",Eingabe[[#This Row],[S1P]]+Eingabe[[#This Row],[S2P]]+Eingabe[[#This Row],[S3P]]+Eingabe[[#This Row],[S4P]])</f>
        <v>3</v>
      </c>
      <c r="AL156" s="6">
        <f>IF(Eingabe[[#This Row],[S1P]]="","",IF(Eingabe[[#This Row],[SP]]&gt;2,1,IF(Eingabe[[#This Row],[SP]]&lt;2,0,IF(Eingabe[[#This Row],[GES]]&gt;Eingabe[[#This Row],[GEGGES]],1,IF(Eingabe[[#This Row],[GES]]=Eingabe[[#This Row],[GEGGES]],0.5,0)))))</f>
        <v>1</v>
      </c>
      <c r="AM156" s="6">
        <f>IF(Eingabe[[#This Row],[MP]]="","",MOD(ROW(Eingabe[[#This Row],[Position]])-3,6)+1)</f>
        <v>4</v>
      </c>
      <c r="AN156" s="6">
        <f>STANDARDIZE(Eingabe[[#This Row],[GES]],Eingabe[[#This Row],[Schnitt]],VLOOKUP(Eingabe[[#This Row],[Name]],AuswertungG[],21,FALSE))</f>
        <v>-0.25</v>
      </c>
      <c r="AO156" s="6">
        <f>VLOOKUP(Eingabe[[#This Row],[ID]],Chronologie[[ID]:[KW]],12,FALSE)</f>
        <v>21</v>
      </c>
      <c r="AP156" s="95" t="str">
        <f>IF(Eingabe[[#This Row],[Wo]]="H",Eingabe[[#This Row],[Gegner]]&amp;" ["&amp;Eingabe[[#This Row],[Wo]]&amp;"]",Eingabe[[#This Row],[Ort]])</f>
        <v>Dresdner SV II [H]</v>
      </c>
      <c r="AQ156" s="6">
        <f>IFERROR(IF(Eingabe[[#This Row],[Wo]]="H",IF(MOD(Eingabe[[#This Row],[Position]],2)=1,Eingabe[[#This Row],[S1]],Eingabe[[#This Row],[S4]]),""),"")</f>
        <v>119</v>
      </c>
      <c r="AR156" s="6">
        <f>IFERROR(IF(Eingabe[[#This Row],[Wo]]="H",IF(Eingabe[[#This Row],[S1]]&gt;0,IF(MOD(Eingabe[[#This Row],[Position]],2)=1,Eingabe[[#This Row],[S2]],Eingabe[[#This Row],[S3]]),""),""),"")</f>
        <v>132</v>
      </c>
      <c r="AS156" s="6">
        <f>IFERROR(IF(Eingabe[[#This Row],[Wo]]="H",IF(Eingabe[[#This Row],[S1]]&gt;0,IF(MOD(ROW(Eingabe[[#This Row],[Heimbahn 3]]),2)=1,Eingabe[[#This Row],[S4]],Eingabe[[#This Row],[S1]]),""),""),"")</f>
        <v>121</v>
      </c>
      <c r="AT156" s="6">
        <f>IFERROR(IF(Eingabe[[#This Row],[Wo]]="H",IF(Eingabe[[#This Row],[S1]]&gt;0,IF(MOD(ROW(Eingabe[[#This Row],[Heimbahn 4]]),2)=1,Eingabe[[#This Row],[S3]],Eingabe[[#This Row],[S2]]),""),""),"")</f>
        <v>134</v>
      </c>
      <c r="AU156" s="22">
        <f>IF(Eingabe[[#This Row],[GES]]="","",IF(Eingabe[[#This Row],[Modus]]="L",_xlfn.RANK.EQ(Eingabe[[#This Row],[GES]],AF153:AF158),IF(Eingabe[[#This Row],[Modus]]="P",_xlfn.RANK.EQ(Eingabe[[#This Row],[GES]],AF153:AF158),"")))</f>
        <v>4</v>
      </c>
      <c r="AV156" s="6">
        <f>VLOOKUP(Eingabe[[#This Row],[Name]],AuswertungG[],8,FALSE)</f>
        <v>509</v>
      </c>
      <c r="AZ156" s="6">
        <f>IFERROR(ABS(Eingabe[[#This Row],[GES]]-Eingabe[[#This Row],[GEGGES]]),"")</f>
        <v>89</v>
      </c>
    </row>
    <row r="157" spans="1:52" ht="16.2" hidden="1" thickBot="1" x14ac:dyDescent="0.35">
      <c r="A157" s="441"/>
      <c r="B157" s="21">
        <f t="shared" si="22"/>
        <v>26</v>
      </c>
      <c r="C157" s="6" t="str">
        <f>VLOOKUP($B157,Chronologie[],7,TRUE)</f>
        <v>Dresdner SV II</v>
      </c>
      <c r="D157" s="6" t="str">
        <f>VLOOKUP($B157,Chronologie[],8,TRUE)</f>
        <v>Hirschfeld</v>
      </c>
      <c r="E157" s="240" t="str">
        <f>VLOOKUP($B157,Chronologie[],9,TRUE)</f>
        <v>H</v>
      </c>
      <c r="F157" s="6" t="str">
        <f>VLOOKUP($B157,Chronologie[],COLUMN(F158)-2,TRUE)</f>
        <v>F</v>
      </c>
      <c r="G157" s="6" t="str">
        <f>VLOOKUP($B157,Chronologie[],COLUMN(G158)-2,TRUE)</f>
        <v>L</v>
      </c>
      <c r="H157" s="6">
        <f>VLOOKUP($B157,Chronologie[],COLUMN(H158)-2,TRUE)</f>
        <v>8</v>
      </c>
      <c r="I157" s="10" t="str">
        <f>VLOOKUP($B157,Chronologie[],2,TRUE)</f>
        <v>F-L-8</v>
      </c>
      <c r="J157" s="243">
        <f>VLOOKUP($B157,Chronologie[],3,TRUE)</f>
        <v>46040</v>
      </c>
      <c r="K157" s="237" t="s">
        <v>592</v>
      </c>
      <c r="L157" s="237">
        <v>82</v>
      </c>
      <c r="M157" s="237">
        <v>91</v>
      </c>
      <c r="N157" s="237">
        <v>81</v>
      </c>
      <c r="O157" s="237">
        <v>88</v>
      </c>
      <c r="P157" s="237">
        <v>36</v>
      </c>
      <c r="Q157" s="237">
        <v>36</v>
      </c>
      <c r="R157" s="237">
        <v>35</v>
      </c>
      <c r="S157" s="237">
        <v>34</v>
      </c>
      <c r="T157" s="237">
        <v>2</v>
      </c>
      <c r="U157" s="237">
        <v>5</v>
      </c>
      <c r="V157" s="237">
        <v>1</v>
      </c>
      <c r="W157" s="237">
        <v>3</v>
      </c>
      <c r="X157" s="38">
        <v>0</v>
      </c>
      <c r="Y157" s="38">
        <v>0</v>
      </c>
      <c r="Z157" s="38">
        <v>0</v>
      </c>
      <c r="AA157" s="38">
        <v>1</v>
      </c>
      <c r="AB157" s="91">
        <v>504</v>
      </c>
      <c r="AC157" s="94">
        <f>IF(Eingabe[[#This Row],[V1]]="",IF(Eingabe[[#This Row],[Volle alternativ]]="","",Eingabe[[#This Row],[Volle alternativ]]),SUM(Eingabe[[#This Row],[V1]:[V4]]))</f>
        <v>342</v>
      </c>
      <c r="AD157" s="6">
        <f>IF(Eingabe[[#This Row],[R1]]="",IF(Eingabe[[#This Row],[Räumer alternativ]]="","",Eingabe[[#This Row],[Räumer alternativ]]),SUM(Eingabe[[#This Row],[R1]:[R4]]))</f>
        <v>141</v>
      </c>
      <c r="AE157" s="6">
        <f>IF(Eingabe[[#This Row],[F1]]="",IF(Eingabe[[#This Row],[Fehler alternativ]]="","",Eingabe[[#This Row],[Fehler alternativ]]),SUM(Eingabe[[#This Row],[F1]:[F4]]))</f>
        <v>11</v>
      </c>
      <c r="AF157" s="6">
        <f>IF(Eingabe[[#This Row],[Volle]]="","",IF(Eingabe[[#This Row],[S1]]="",Eingabe[[#This Row],[Volle]]+Eingabe[[#This Row],[Räumer]],IF(Eingabe[[#This Row],[Volle]]+Eingabe[[#This Row],[Räumer]]=Eingabe[[#This Row],[S1]]+Eingabe[[#This Row],[S2]]+Eingabe[[#This Row],[S3]]+Eingabe[[#This Row],[S4]],Eingabe[[#This Row],[Volle]]+Eingabe[[#This Row],[Räumer]],"FEHLER")))</f>
        <v>483</v>
      </c>
      <c r="AG157" s="6">
        <f>IF(Eingabe[[#This Row],[V1]]="","",Eingabe[[#This Row],[V1]]+Eingabe[[#This Row],[R1]])</f>
        <v>118</v>
      </c>
      <c r="AH157" s="6">
        <f>IF(Eingabe[[#This Row],[V2]]="","",Eingabe[[#This Row],[V2]]+Eingabe[[#This Row],[R2]])</f>
        <v>127</v>
      </c>
      <c r="AI157" s="6">
        <f>IF(Eingabe[[#This Row],[V3]]="","",Eingabe[[#This Row],[V3]]+Eingabe[[#This Row],[R3]])</f>
        <v>116</v>
      </c>
      <c r="AJ157" s="6">
        <f>IF(Eingabe[[#This Row],[V4]]="","",Eingabe[[#This Row],[V4]]+Eingabe[[#This Row],[R4]])</f>
        <v>122</v>
      </c>
      <c r="AK157" s="6">
        <f>IF(Eingabe[[#This Row],[S1P]]="","",Eingabe[[#This Row],[S1P]]+Eingabe[[#This Row],[S2P]]+Eingabe[[#This Row],[S3P]]+Eingabe[[#This Row],[S4P]])</f>
        <v>1</v>
      </c>
      <c r="AL157" s="6">
        <f>IF(Eingabe[[#This Row],[S1P]]="","",IF(Eingabe[[#This Row],[SP]]&gt;2,1,IF(Eingabe[[#This Row],[SP]]&lt;2,0,IF(Eingabe[[#This Row],[GES]]&gt;Eingabe[[#This Row],[GEGGES]],1,IF(Eingabe[[#This Row],[GES]]=Eingabe[[#This Row],[GEGGES]],0.5,0)))))</f>
        <v>0</v>
      </c>
      <c r="AM157" s="6">
        <f>IF(Eingabe[[#This Row],[MP]]="","",MOD(ROW(Eingabe[[#This Row],[Position]])-3,6)+1)</f>
        <v>5</v>
      </c>
      <c r="AN157" s="6">
        <f>STANDARDIZE(Eingabe[[#This Row],[GES]],Eingabe[[#This Row],[Schnitt]],VLOOKUP(Eingabe[[#This Row],[Name]],AuswertungG[],21,FALSE))</f>
        <v>-0.93333333333333335</v>
      </c>
      <c r="AO157" s="6">
        <f>VLOOKUP(Eingabe[[#This Row],[ID]],Chronologie[[ID]:[KW]],12,FALSE)</f>
        <v>21</v>
      </c>
      <c r="AP157" s="95" t="str">
        <f>IF(Eingabe[[#This Row],[Wo]]="H",Eingabe[[#This Row],[Gegner]]&amp;" ["&amp;Eingabe[[#This Row],[Wo]]&amp;"]",Eingabe[[#This Row],[Ort]])</f>
        <v>Dresdner SV II [H]</v>
      </c>
      <c r="AQ157" s="6">
        <f>IFERROR(IF(Eingabe[[#This Row],[Wo]]="H",IF(MOD(Eingabe[[#This Row],[Position]],2)=1,Eingabe[[#This Row],[S1]],Eingabe[[#This Row],[S4]]),""),"")</f>
        <v>118</v>
      </c>
      <c r="AR157" s="6">
        <f>IFERROR(IF(Eingabe[[#This Row],[Wo]]="H",IF(Eingabe[[#This Row],[S1]]&gt;0,IF(MOD(Eingabe[[#This Row],[Position]],2)=1,Eingabe[[#This Row],[S2]],Eingabe[[#This Row],[S3]]),""),""),"")</f>
        <v>127</v>
      </c>
      <c r="AS157" s="6">
        <f>IFERROR(IF(Eingabe[[#This Row],[Wo]]="H",IF(Eingabe[[#This Row],[S1]]&gt;0,IF(MOD(ROW(Eingabe[[#This Row],[Heimbahn 3]]),2)=1,Eingabe[[#This Row],[S4]],Eingabe[[#This Row],[S1]]),""),""),"")</f>
        <v>122</v>
      </c>
      <c r="AT157" s="6">
        <f>IFERROR(IF(Eingabe[[#This Row],[Wo]]="H",IF(Eingabe[[#This Row],[S1]]&gt;0,IF(MOD(ROW(Eingabe[[#This Row],[Heimbahn 4]]),2)=1,Eingabe[[#This Row],[S3]],Eingabe[[#This Row],[S2]]),""),""),"")</f>
        <v>116</v>
      </c>
      <c r="AU157" s="22">
        <f>IF(Eingabe[[#This Row],[GES]]="","",IF(Eingabe[[#This Row],[Modus]]="L",_xlfn.RANK.EQ(Eingabe[[#This Row],[GES]],AF153:AF158),IF(Eingabe[[#This Row],[Modus]]="P",_xlfn.RANK.EQ(Eingabe[[#This Row],[GES]],AF153:AF158),"")))</f>
        <v>6</v>
      </c>
      <c r="AV157" s="6">
        <f>VLOOKUP(Eingabe[[#This Row],[Name]],AuswertungG[],8,FALSE)</f>
        <v>511</v>
      </c>
      <c r="AZ157" s="6">
        <f>IFERROR(ABS(Eingabe[[#This Row],[GES]]-Eingabe[[#This Row],[GEGGES]]),"")</f>
        <v>21</v>
      </c>
    </row>
    <row r="158" spans="1:52" ht="16.2" hidden="1" thickBot="1" x14ac:dyDescent="0.35">
      <c r="A158" s="442"/>
      <c r="B158" s="56">
        <f t="shared" si="22"/>
        <v>26</v>
      </c>
      <c r="C158" s="23" t="str">
        <f>VLOOKUP($B158,Chronologie[],7,TRUE)</f>
        <v>Dresdner SV II</v>
      </c>
      <c r="D158" s="23" t="str">
        <f>VLOOKUP($B158,Chronologie[],8,TRUE)</f>
        <v>Hirschfeld</v>
      </c>
      <c r="E158" s="39" t="str">
        <f>VLOOKUP($B158,Chronologie[],9,TRUE)</f>
        <v>H</v>
      </c>
      <c r="F158" s="23" t="str">
        <f>VLOOKUP($B158,Chronologie[],COLUMN(F159)-2,TRUE)</f>
        <v>F</v>
      </c>
      <c r="G158" s="23" t="str">
        <f>VLOOKUP($B158,Chronologie[],COLUMN(G159)-2,TRUE)</f>
        <v>L</v>
      </c>
      <c r="H158" s="23">
        <f>VLOOKUP($B158,Chronologie[],COLUMN(H159)-2,TRUE)</f>
        <v>8</v>
      </c>
      <c r="I158" s="13" t="str">
        <f>VLOOKUP($B158,Chronologie[],2,TRUE)</f>
        <v>F-L-8</v>
      </c>
      <c r="J158" s="244">
        <f>VLOOKUP($B158,Chronologie[],3,TRUE)</f>
        <v>46040</v>
      </c>
      <c r="K158" s="239" t="s">
        <v>492</v>
      </c>
      <c r="L158" s="239">
        <v>100</v>
      </c>
      <c r="M158" s="239">
        <v>74</v>
      </c>
      <c r="N158" s="239">
        <v>92</v>
      </c>
      <c r="O158" s="239">
        <v>103</v>
      </c>
      <c r="P158" s="239">
        <v>51</v>
      </c>
      <c r="Q158" s="239">
        <v>36</v>
      </c>
      <c r="R158" s="239">
        <v>43</v>
      </c>
      <c r="S158" s="239">
        <v>44</v>
      </c>
      <c r="T158" s="239">
        <v>0</v>
      </c>
      <c r="U158" s="239">
        <v>1</v>
      </c>
      <c r="V158" s="239">
        <v>0</v>
      </c>
      <c r="W158" s="239">
        <v>3</v>
      </c>
      <c r="X158" s="40">
        <v>1</v>
      </c>
      <c r="Y158" s="40">
        <v>1</v>
      </c>
      <c r="Z158" s="40">
        <v>1</v>
      </c>
      <c r="AA158" s="40">
        <v>1</v>
      </c>
      <c r="AB158" s="92">
        <v>460</v>
      </c>
      <c r="AC158" s="96">
        <f>IF(Eingabe[[#This Row],[V1]]="",IF(Eingabe[[#This Row],[Volle alternativ]]="","",Eingabe[[#This Row],[Volle alternativ]]),SUM(Eingabe[[#This Row],[V1]:[V4]]))</f>
        <v>369</v>
      </c>
      <c r="AD158" s="23">
        <f>IF(Eingabe[[#This Row],[R1]]="",IF(Eingabe[[#This Row],[Räumer alternativ]]="","",Eingabe[[#This Row],[Räumer alternativ]]),SUM(Eingabe[[#This Row],[R1]:[R4]]))</f>
        <v>174</v>
      </c>
      <c r="AE158" s="23">
        <f>IF(Eingabe[[#This Row],[F1]]="",IF(Eingabe[[#This Row],[Fehler alternativ]]="","",Eingabe[[#This Row],[Fehler alternativ]]),SUM(Eingabe[[#This Row],[F1]:[F4]]))</f>
        <v>4</v>
      </c>
      <c r="AF158" s="23">
        <f>IF(Eingabe[[#This Row],[Volle]]="","",IF(Eingabe[[#This Row],[S1]]="",Eingabe[[#This Row],[Volle]]+Eingabe[[#This Row],[Räumer]],IF(Eingabe[[#This Row],[Volle]]+Eingabe[[#This Row],[Räumer]]=Eingabe[[#This Row],[S1]]+Eingabe[[#This Row],[S2]]+Eingabe[[#This Row],[S3]]+Eingabe[[#This Row],[S4]],Eingabe[[#This Row],[Volle]]+Eingabe[[#This Row],[Räumer]],"FEHLER")))</f>
        <v>543</v>
      </c>
      <c r="AG158" s="23">
        <f>IF(Eingabe[[#This Row],[V1]]="","",Eingabe[[#This Row],[V1]]+Eingabe[[#This Row],[R1]])</f>
        <v>151</v>
      </c>
      <c r="AH158" s="23">
        <f>IF(Eingabe[[#This Row],[V2]]="","",Eingabe[[#This Row],[V2]]+Eingabe[[#This Row],[R2]])</f>
        <v>110</v>
      </c>
      <c r="AI158" s="23">
        <f>IF(Eingabe[[#This Row],[V3]]="","",Eingabe[[#This Row],[V3]]+Eingabe[[#This Row],[R3]])</f>
        <v>135</v>
      </c>
      <c r="AJ158" s="23">
        <f>IF(Eingabe[[#This Row],[V4]]="","",Eingabe[[#This Row],[V4]]+Eingabe[[#This Row],[R4]])</f>
        <v>147</v>
      </c>
      <c r="AK158" s="23">
        <f>IF(Eingabe[[#This Row],[S1P]]="","",Eingabe[[#This Row],[S1P]]+Eingabe[[#This Row],[S2P]]+Eingabe[[#This Row],[S3P]]+Eingabe[[#This Row],[S4P]])</f>
        <v>4</v>
      </c>
      <c r="AL158" s="23">
        <f>IF(Eingabe[[#This Row],[S1P]]="","",IF(Eingabe[[#This Row],[SP]]&gt;2,1,IF(Eingabe[[#This Row],[SP]]&lt;2,0,IF(Eingabe[[#This Row],[GES]]&gt;Eingabe[[#This Row],[GEGGES]],1,IF(Eingabe[[#This Row],[GES]]=Eingabe[[#This Row],[GEGGES]],0.5,0)))))</f>
        <v>1</v>
      </c>
      <c r="AM158" s="23">
        <f>IF(Eingabe[[#This Row],[MP]]="","",MOD(ROW(Eingabe[[#This Row],[Position]])-3,6)+1)</f>
        <v>6</v>
      </c>
      <c r="AN158" s="23">
        <f>STANDARDIZE(Eingabe[[#This Row],[GES]],Eingabe[[#This Row],[Schnitt]],VLOOKUP(Eingabe[[#This Row],[Name]],AuswertungG[],21,FALSE))</f>
        <v>1</v>
      </c>
      <c r="AO158" s="23">
        <f>VLOOKUP(Eingabe[[#This Row],[ID]],Chronologie[[ID]:[KW]],12,FALSE)</f>
        <v>21</v>
      </c>
      <c r="AP158" s="59" t="str">
        <f>IF(Eingabe[[#This Row],[Wo]]="H",Eingabe[[#This Row],[Gegner]]&amp;" ["&amp;Eingabe[[#This Row],[Wo]]&amp;"]",Eingabe[[#This Row],[Ort]])</f>
        <v>Dresdner SV II [H]</v>
      </c>
      <c r="AQ158" s="23">
        <f>IFERROR(IF(Eingabe[[#This Row],[Wo]]="H",IF(MOD(Eingabe[[#This Row],[Position]],2)=1,Eingabe[[#This Row],[S1]],Eingabe[[#This Row],[S4]]),""),"")</f>
        <v>147</v>
      </c>
      <c r="AR158" s="23">
        <f>IFERROR(IF(Eingabe[[#This Row],[Wo]]="H",IF(Eingabe[[#This Row],[S1]]&gt;0,IF(MOD(Eingabe[[#This Row],[Position]],2)=1,Eingabe[[#This Row],[S2]],Eingabe[[#This Row],[S3]]),""),""),"")</f>
        <v>135</v>
      </c>
      <c r="AS158" s="23">
        <f>IFERROR(IF(Eingabe[[#This Row],[Wo]]="H",IF(Eingabe[[#This Row],[S1]]&gt;0,IF(MOD(ROW(Eingabe[[#This Row],[Heimbahn 3]]),2)=1,Eingabe[[#This Row],[S4]],Eingabe[[#This Row],[S1]]),""),""),"")</f>
        <v>151</v>
      </c>
      <c r="AT158" s="23">
        <f>IFERROR(IF(Eingabe[[#This Row],[Wo]]="H",IF(Eingabe[[#This Row],[S1]]&gt;0,IF(MOD(ROW(Eingabe[[#This Row],[Heimbahn 4]]),2)=1,Eingabe[[#This Row],[S3]],Eingabe[[#This Row],[S2]]),""),""),"")</f>
        <v>110</v>
      </c>
      <c r="AU158" s="89">
        <f>IF(Eingabe[[#This Row],[GES]]="","",IF(Eingabe[[#This Row],[Modus]]="L",_xlfn.RANK.EQ(Eingabe[[#This Row],[GES]],AF153:AF158),IF(Eingabe[[#This Row],[Modus]]="P",_xlfn.RANK.EQ(Eingabe[[#This Row],[GES]],AF153:AF158),"")))</f>
        <v>3</v>
      </c>
      <c r="AV158" s="6">
        <f>VLOOKUP(Eingabe[[#This Row],[Name]],AuswertungG[],8,FALSE)</f>
        <v>520</v>
      </c>
      <c r="AZ158" s="6">
        <f>IFERROR(ABS(Eingabe[[#This Row],[GES]]-Eingabe[[#This Row],[GEGGES]]),"")</f>
        <v>83</v>
      </c>
    </row>
    <row r="159" spans="1:52" ht="16.2" hidden="1" thickBot="1" x14ac:dyDescent="0.35">
      <c r="A159" s="440">
        <f t="shared" ref="A159" si="27">B159</f>
        <v>27</v>
      </c>
      <c r="B159" s="55">
        <f t="shared" si="22"/>
        <v>27</v>
      </c>
      <c r="C159" s="35" t="str">
        <f>VLOOKUP($B159,Chronologie[],7,TRUE)</f>
        <v>Thonberger SC 1931</v>
      </c>
      <c r="D159" s="35" t="str">
        <f>VLOOKUP($B159,Chronologie[],8,TRUE)</f>
        <v>Kamenz</v>
      </c>
      <c r="E159" s="36" t="str">
        <f>VLOOKUP($B159,Chronologie[],9,TRUE)</f>
        <v>A</v>
      </c>
      <c r="F159" s="35" t="str">
        <f>VLOOKUP($B159,Chronologie[],COLUMN(F160)-2,TRUE)</f>
        <v>F</v>
      </c>
      <c r="G159" s="35" t="str">
        <f>VLOOKUP($B159,Chronologie[],COLUMN(G160)-2,TRUE)</f>
        <v>L</v>
      </c>
      <c r="H159" s="35">
        <f>VLOOKUP($B159,Chronologie[],COLUMN(H160)-2,TRUE)</f>
        <v>9</v>
      </c>
      <c r="I159" s="9" t="str">
        <f>VLOOKUP($B159,Chronologie[],2,TRUE)</f>
        <v>F-L-9</v>
      </c>
      <c r="J159" s="242">
        <f>VLOOKUP($B159,Chronologie[],3,TRUE)</f>
        <v>46047</v>
      </c>
      <c r="K159" s="236"/>
      <c r="L159" s="334"/>
      <c r="M159" s="334"/>
      <c r="N159" s="334"/>
      <c r="O159" s="334"/>
      <c r="P159" s="334"/>
      <c r="Q159" s="334"/>
      <c r="R159" s="334"/>
      <c r="S159" s="334"/>
      <c r="T159" s="334"/>
      <c r="U159" s="334"/>
      <c r="V159" s="334"/>
      <c r="W159" s="334"/>
      <c r="X159" s="37"/>
      <c r="Y159" s="37"/>
      <c r="Z159" s="37"/>
      <c r="AA159" s="37"/>
      <c r="AB159" s="90"/>
      <c r="AC159" s="93" t="str">
        <f>IF(Eingabe[[#This Row],[V1]]="",IF(Eingabe[[#This Row],[Volle alternativ]]="","",Eingabe[[#This Row],[Volle alternativ]]),SUM(Eingabe[[#This Row],[V1]:[V4]]))</f>
        <v/>
      </c>
      <c r="AD159" s="35" t="str">
        <f>IF(Eingabe[[#This Row],[R1]]="",IF(Eingabe[[#This Row],[Räumer alternativ]]="","",Eingabe[[#This Row],[Räumer alternativ]]),SUM(Eingabe[[#This Row],[R1]:[R4]]))</f>
        <v/>
      </c>
      <c r="AE159" s="35" t="str">
        <f>IF(Eingabe[[#This Row],[F1]]="",IF(Eingabe[[#This Row],[Fehler alternativ]]="","",Eingabe[[#This Row],[Fehler alternativ]]),SUM(Eingabe[[#This Row],[F1]:[F4]]))</f>
        <v/>
      </c>
      <c r="AF159" s="35" t="str">
        <f>IF(Eingabe[[#This Row],[Volle]]="","",IF(Eingabe[[#This Row],[S1]]="",Eingabe[[#This Row],[Volle]]+Eingabe[[#This Row],[Räumer]],IF(Eingabe[[#This Row],[Volle]]+Eingabe[[#This Row],[Räumer]]=Eingabe[[#This Row],[S1]]+Eingabe[[#This Row],[S2]]+Eingabe[[#This Row],[S3]]+Eingabe[[#This Row],[S4]],Eingabe[[#This Row],[Volle]]+Eingabe[[#This Row],[Räumer]],"FEHLER")))</f>
        <v/>
      </c>
      <c r="AG159" s="35" t="str">
        <f>IF(Eingabe[[#This Row],[V1]]="","",Eingabe[[#This Row],[V1]]+Eingabe[[#This Row],[R1]])</f>
        <v/>
      </c>
      <c r="AH159" s="35" t="str">
        <f>IF(Eingabe[[#This Row],[V2]]="","",Eingabe[[#This Row],[V2]]+Eingabe[[#This Row],[R2]])</f>
        <v/>
      </c>
      <c r="AI159" s="35" t="str">
        <f>IF(Eingabe[[#This Row],[V3]]="","",Eingabe[[#This Row],[V3]]+Eingabe[[#This Row],[R3]])</f>
        <v/>
      </c>
      <c r="AJ159" s="35" t="str">
        <f>IF(Eingabe[[#This Row],[V4]]="","",Eingabe[[#This Row],[V4]]+Eingabe[[#This Row],[R4]])</f>
        <v/>
      </c>
      <c r="AK159" s="35" t="str">
        <f>IF(Eingabe[[#This Row],[S1P]]="","",Eingabe[[#This Row],[S1P]]+Eingabe[[#This Row],[S2P]]+Eingabe[[#This Row],[S3P]]+Eingabe[[#This Row],[S4P]])</f>
        <v/>
      </c>
      <c r="AL159" s="35" t="str">
        <f>IF(Eingabe[[#This Row],[S1P]]="","",IF(Eingabe[[#This Row],[SP]]&gt;2,1,IF(Eingabe[[#This Row],[SP]]&lt;2,0,IF(Eingabe[[#This Row],[GES]]&gt;Eingabe[[#This Row],[GEGGES]],1,IF(Eingabe[[#This Row],[GES]]=Eingabe[[#This Row],[GEGGES]],0.5,0)))))</f>
        <v/>
      </c>
      <c r="AM159" s="35" t="str">
        <f>IF(Eingabe[[#This Row],[MP]]="","",MOD(ROW(Eingabe[[#This Row],[Position]])-3,6)+1)</f>
        <v/>
      </c>
      <c r="AN159" s="35" t="e">
        <f>STANDARDIZE(Eingabe[[#This Row],[GES]],Eingabe[[#This Row],[Schnitt]],VLOOKUP(Eingabe[[#This Row],[Name]],AuswertungG[],21,FALSE))</f>
        <v>#VALUE!</v>
      </c>
      <c r="AO159" s="35">
        <f>VLOOKUP(Eingabe[[#This Row],[ID]],Chronologie[[ID]:[KW]],12,FALSE)</f>
        <v>22</v>
      </c>
      <c r="AP159" s="58" t="str">
        <f>IF(Eingabe[[#This Row],[Wo]]="H",Eingabe[[#This Row],[Gegner]]&amp;" ["&amp;Eingabe[[#This Row],[Wo]]&amp;"]",Eingabe[[#This Row],[Ort]])</f>
        <v>Kamenz</v>
      </c>
      <c r="AQ159" s="35" t="str">
        <f>IFERROR(IF(Eingabe[[#This Row],[Wo]]="H",IF(MOD(Eingabe[[#This Row],[Position]],2)=1,Eingabe[[#This Row],[S1]],Eingabe[[#This Row],[S4]]),""),"")</f>
        <v/>
      </c>
      <c r="AR159" s="35" t="str">
        <f>IFERROR(IF(Eingabe[[#This Row],[Wo]]="H",IF(Eingabe[[#This Row],[S1]]&gt;0,IF(MOD(Eingabe[[#This Row],[Position]],2)=1,Eingabe[[#This Row],[S2]],Eingabe[[#This Row],[S3]]),""),""),"")</f>
        <v/>
      </c>
      <c r="AS159" s="35" t="str">
        <f>IFERROR(IF(Eingabe[[#This Row],[Wo]]="H",IF(Eingabe[[#This Row],[S1]]&gt;0,IF(MOD(ROW(Eingabe[[#This Row],[Heimbahn 3]]),2)=1,Eingabe[[#This Row],[S4]],Eingabe[[#This Row],[S1]]),""),""),"")</f>
        <v/>
      </c>
      <c r="AT159" s="35" t="str">
        <f>IFERROR(IF(Eingabe[[#This Row],[Wo]]="H",IF(Eingabe[[#This Row],[S1]]&gt;0,IF(MOD(ROW(Eingabe[[#This Row],[Heimbahn 4]]),2)=1,Eingabe[[#This Row],[S3]],Eingabe[[#This Row],[S2]]),""),""),"")</f>
        <v/>
      </c>
      <c r="AU159" s="88" t="str">
        <f>IF(Eingabe[[#This Row],[GES]]="","",IF(Eingabe[[#This Row],[Modus]]="L",_xlfn.RANK.EQ(Eingabe[[#This Row],[GES]],AF159:AF164),IF(Eingabe[[#This Row],[Modus]]="P",_xlfn.RANK.EQ(Eingabe[[#This Row],[GES]],AF159:AF164),"")))</f>
        <v/>
      </c>
      <c r="AV159" s="6" t="e">
        <f>VLOOKUP(Eingabe[[#This Row],[Name]],AuswertungG[],8,FALSE)</f>
        <v>#N/A</v>
      </c>
      <c r="AZ159" s="6" t="str">
        <f>IFERROR(ABS(Eingabe[[#This Row],[GES]]-Eingabe[[#This Row],[GEGGES]]),"")</f>
        <v/>
      </c>
    </row>
    <row r="160" spans="1:52" ht="16.2" hidden="1" thickBot="1" x14ac:dyDescent="0.35">
      <c r="A160" s="441"/>
      <c r="B160" s="21">
        <f t="shared" si="22"/>
        <v>27</v>
      </c>
      <c r="C160" s="6" t="str">
        <f>VLOOKUP($B160,Chronologie[],7,TRUE)</f>
        <v>Thonberger SC 1931</v>
      </c>
      <c r="D160" s="6" t="str">
        <f>VLOOKUP($B160,Chronologie[],8,TRUE)</f>
        <v>Kamenz</v>
      </c>
      <c r="E160" s="240" t="str">
        <f>VLOOKUP($B160,Chronologie[],9,TRUE)</f>
        <v>A</v>
      </c>
      <c r="F160" s="6" t="str">
        <f>VLOOKUP($B160,Chronologie[],COLUMN(F161)-2,TRUE)</f>
        <v>F</v>
      </c>
      <c r="G160" s="6" t="str">
        <f>VLOOKUP($B160,Chronologie[],COLUMN(G161)-2,TRUE)</f>
        <v>L</v>
      </c>
      <c r="H160" s="6">
        <f>VLOOKUP($B160,Chronologie[],COLUMN(H161)-2,TRUE)</f>
        <v>9</v>
      </c>
      <c r="I160" s="10" t="str">
        <f>VLOOKUP($B160,Chronologie[],2,TRUE)</f>
        <v>F-L-9</v>
      </c>
      <c r="J160" s="243">
        <f>VLOOKUP($B160,Chronologie[],3,TRUE)</f>
        <v>46047</v>
      </c>
      <c r="K160" s="237" t="s">
        <v>15</v>
      </c>
      <c r="L160" s="237">
        <v>81</v>
      </c>
      <c r="M160" s="237">
        <v>102</v>
      </c>
      <c r="N160" s="237">
        <v>78</v>
      </c>
      <c r="O160" s="237">
        <v>83</v>
      </c>
      <c r="P160" s="237">
        <v>24</v>
      </c>
      <c r="Q160" s="237">
        <v>33</v>
      </c>
      <c r="R160" s="237">
        <v>27</v>
      </c>
      <c r="S160" s="237">
        <v>41</v>
      </c>
      <c r="T160" s="237">
        <v>6</v>
      </c>
      <c r="U160" s="237">
        <v>4</v>
      </c>
      <c r="V160" s="237">
        <v>3</v>
      </c>
      <c r="W160" s="237">
        <v>0</v>
      </c>
      <c r="X160" s="38">
        <v>0</v>
      </c>
      <c r="Y160" s="38">
        <v>1</v>
      </c>
      <c r="Z160" s="38">
        <v>0</v>
      </c>
      <c r="AA160" s="38">
        <v>0</v>
      </c>
      <c r="AB160" s="91">
        <v>535</v>
      </c>
      <c r="AC160" s="94">
        <f>IF(Eingabe[[#This Row],[V1]]="",IF(Eingabe[[#This Row],[Volle alternativ]]="","",Eingabe[[#This Row],[Volle alternativ]]),SUM(Eingabe[[#This Row],[V1]:[V4]]))</f>
        <v>344</v>
      </c>
      <c r="AD160" s="6">
        <f>IF(Eingabe[[#This Row],[R1]]="",IF(Eingabe[[#This Row],[Räumer alternativ]]="","",Eingabe[[#This Row],[Räumer alternativ]]),SUM(Eingabe[[#This Row],[R1]:[R4]]))</f>
        <v>125</v>
      </c>
      <c r="AE160" s="6">
        <f>IF(Eingabe[[#This Row],[F1]]="",IF(Eingabe[[#This Row],[Fehler alternativ]]="","",Eingabe[[#This Row],[Fehler alternativ]]),SUM(Eingabe[[#This Row],[F1]:[F4]]))</f>
        <v>13</v>
      </c>
      <c r="AF160" s="6">
        <f>IF(Eingabe[[#This Row],[Volle]]="","",IF(Eingabe[[#This Row],[S1]]="",Eingabe[[#This Row],[Volle]]+Eingabe[[#This Row],[Räumer]],IF(Eingabe[[#This Row],[Volle]]+Eingabe[[#This Row],[Räumer]]=Eingabe[[#This Row],[S1]]+Eingabe[[#This Row],[S2]]+Eingabe[[#This Row],[S3]]+Eingabe[[#This Row],[S4]],Eingabe[[#This Row],[Volle]]+Eingabe[[#This Row],[Räumer]],"FEHLER")))</f>
        <v>469</v>
      </c>
      <c r="AG160" s="6">
        <f>IF(Eingabe[[#This Row],[V1]]="","",Eingabe[[#This Row],[V1]]+Eingabe[[#This Row],[R1]])</f>
        <v>105</v>
      </c>
      <c r="AH160" s="6">
        <f>IF(Eingabe[[#This Row],[V2]]="","",Eingabe[[#This Row],[V2]]+Eingabe[[#This Row],[R2]])</f>
        <v>135</v>
      </c>
      <c r="AI160" s="6">
        <f>IF(Eingabe[[#This Row],[V3]]="","",Eingabe[[#This Row],[V3]]+Eingabe[[#This Row],[R3]])</f>
        <v>105</v>
      </c>
      <c r="AJ160" s="6">
        <f>IF(Eingabe[[#This Row],[V4]]="","",Eingabe[[#This Row],[V4]]+Eingabe[[#This Row],[R4]])</f>
        <v>124</v>
      </c>
      <c r="AK160" s="6">
        <f>IF(Eingabe[[#This Row],[S1P]]="","",Eingabe[[#This Row],[S1P]]+Eingabe[[#This Row],[S2P]]+Eingabe[[#This Row],[S3P]]+Eingabe[[#This Row],[S4P]])</f>
        <v>1</v>
      </c>
      <c r="AL160" s="6">
        <f>IF(Eingabe[[#This Row],[S1P]]="","",IF(Eingabe[[#This Row],[SP]]&gt;2,1,IF(Eingabe[[#This Row],[SP]]&lt;2,0,IF(Eingabe[[#This Row],[GES]]&gt;Eingabe[[#This Row],[GEGGES]],1,IF(Eingabe[[#This Row],[GES]]=Eingabe[[#This Row],[GEGGES]],0.5,0)))))</f>
        <v>0</v>
      </c>
      <c r="AM160" s="6">
        <f>IF(Eingabe[[#This Row],[MP]]="","",MOD(ROW(Eingabe[[#This Row],[Position]])-3,6)+1)</f>
        <v>2</v>
      </c>
      <c r="AN160" s="6">
        <f>STANDARDIZE(Eingabe[[#This Row],[GES]],Eingabe[[#This Row],[Schnitt]],VLOOKUP(Eingabe[[#This Row],[Name]],AuswertungG[],21,FALSE))</f>
        <v>-0.20454545454545456</v>
      </c>
      <c r="AO160" s="6">
        <f>VLOOKUP(Eingabe[[#This Row],[ID]],Chronologie[[ID]:[KW]],12,FALSE)</f>
        <v>22</v>
      </c>
      <c r="AP160" s="95" t="str">
        <f>IF(Eingabe[[#This Row],[Wo]]="H",Eingabe[[#This Row],[Gegner]]&amp;" ["&amp;Eingabe[[#This Row],[Wo]]&amp;"]",Eingabe[[#This Row],[Ort]])</f>
        <v>Kamenz</v>
      </c>
      <c r="AQ160" s="6" t="str">
        <f>IFERROR(IF(Eingabe[[#This Row],[Wo]]="H",IF(MOD(Eingabe[[#This Row],[Position]],2)=1,Eingabe[[#This Row],[S1]],Eingabe[[#This Row],[S4]]),""),"")</f>
        <v/>
      </c>
      <c r="AR160" s="6" t="str">
        <f>IFERROR(IF(Eingabe[[#This Row],[Wo]]="H",IF(Eingabe[[#This Row],[S1]]&gt;0,IF(MOD(Eingabe[[#This Row],[Position]],2)=1,Eingabe[[#This Row],[S2]],Eingabe[[#This Row],[S3]]),""),""),"")</f>
        <v/>
      </c>
      <c r="AS160" s="6" t="str">
        <f>IFERROR(IF(Eingabe[[#This Row],[Wo]]="H",IF(Eingabe[[#This Row],[S1]]&gt;0,IF(MOD(ROW(Eingabe[[#This Row],[Heimbahn 3]]),2)=1,Eingabe[[#This Row],[S4]],Eingabe[[#This Row],[S1]]),""),""),"")</f>
        <v/>
      </c>
      <c r="AT160" s="6" t="str">
        <f>IFERROR(IF(Eingabe[[#This Row],[Wo]]="H",IF(Eingabe[[#This Row],[S1]]&gt;0,IF(MOD(ROW(Eingabe[[#This Row],[Heimbahn 4]]),2)=1,Eingabe[[#This Row],[S3]],Eingabe[[#This Row],[S2]]),""),""),"")</f>
        <v/>
      </c>
      <c r="AU160" s="22">
        <f>IF(Eingabe[[#This Row],[GES]]="","",IF(Eingabe[[#This Row],[Modus]]="L",_xlfn.RANK.EQ(Eingabe[[#This Row],[GES]],AF159:AF164),IF(Eingabe[[#This Row],[Modus]]="P",_xlfn.RANK.EQ(Eingabe[[#This Row],[GES]],AF159:AF164),"")))</f>
        <v>5</v>
      </c>
      <c r="AV160" s="6">
        <f>VLOOKUP(Eingabe[[#This Row],[Name]],AuswertungG[],8,FALSE)</f>
        <v>478</v>
      </c>
      <c r="AZ160" s="6">
        <f>IFERROR(ABS(Eingabe[[#This Row],[GES]]-Eingabe[[#This Row],[GEGGES]]),"")</f>
        <v>66</v>
      </c>
    </row>
    <row r="161" spans="1:52" ht="16.2" hidden="1" thickBot="1" x14ac:dyDescent="0.35">
      <c r="A161" s="441"/>
      <c r="B161" s="21">
        <f t="shared" si="22"/>
        <v>27</v>
      </c>
      <c r="C161" s="6" t="str">
        <f>VLOOKUP($B161,Chronologie[],7,TRUE)</f>
        <v>Thonberger SC 1931</v>
      </c>
      <c r="D161" s="6" t="str">
        <f>VLOOKUP($B161,Chronologie[],8,TRUE)</f>
        <v>Kamenz</v>
      </c>
      <c r="E161" s="240" t="str">
        <f>VLOOKUP($B161,Chronologie[],9,TRUE)</f>
        <v>A</v>
      </c>
      <c r="F161" s="6" t="str">
        <f>VLOOKUP($B161,Chronologie[],COLUMN(F162)-2,TRUE)</f>
        <v>F</v>
      </c>
      <c r="G161" s="6" t="str">
        <f>VLOOKUP($B161,Chronologie[],COLUMN(G162)-2,TRUE)</f>
        <v>L</v>
      </c>
      <c r="H161" s="6">
        <f>VLOOKUP($B161,Chronologie[],COLUMN(H162)-2,TRUE)</f>
        <v>9</v>
      </c>
      <c r="I161" s="10" t="str">
        <f>VLOOKUP($B161,Chronologie[],2,TRUE)</f>
        <v>F-L-9</v>
      </c>
      <c r="J161" s="243">
        <f>VLOOKUP($B161,Chronologie[],3,TRUE)</f>
        <v>46047</v>
      </c>
      <c r="K161" s="237" t="s">
        <v>480</v>
      </c>
      <c r="L161" s="237">
        <v>93</v>
      </c>
      <c r="M161" s="237">
        <v>78</v>
      </c>
      <c r="N161" s="237">
        <v>94</v>
      </c>
      <c r="O161" s="237">
        <v>100</v>
      </c>
      <c r="P161" s="237">
        <v>44</v>
      </c>
      <c r="Q161" s="237">
        <v>50</v>
      </c>
      <c r="R161" s="237">
        <v>36</v>
      </c>
      <c r="S161" s="237">
        <v>45</v>
      </c>
      <c r="T161" s="237">
        <v>1</v>
      </c>
      <c r="U161" s="237">
        <v>1</v>
      </c>
      <c r="V161" s="237">
        <v>2</v>
      </c>
      <c r="W161" s="237">
        <v>0</v>
      </c>
      <c r="X161" s="38">
        <v>1</v>
      </c>
      <c r="Y161" s="38">
        <v>0</v>
      </c>
      <c r="Z161" s="38">
        <v>0</v>
      </c>
      <c r="AA161" s="38">
        <v>1</v>
      </c>
      <c r="AB161" s="91">
        <v>510</v>
      </c>
      <c r="AC161" s="94">
        <f>IF(Eingabe[[#This Row],[V1]]="",IF(Eingabe[[#This Row],[Volle alternativ]]="","",Eingabe[[#This Row],[Volle alternativ]]),SUM(Eingabe[[#This Row],[V1]:[V4]]))</f>
        <v>365</v>
      </c>
      <c r="AD161" s="6">
        <f>IF(Eingabe[[#This Row],[R1]]="",IF(Eingabe[[#This Row],[Räumer alternativ]]="","",Eingabe[[#This Row],[Räumer alternativ]]),SUM(Eingabe[[#This Row],[R1]:[R4]]))</f>
        <v>175</v>
      </c>
      <c r="AE161" s="6">
        <f>IF(Eingabe[[#This Row],[F1]]="",IF(Eingabe[[#This Row],[Fehler alternativ]]="","",Eingabe[[#This Row],[Fehler alternativ]]),SUM(Eingabe[[#This Row],[F1]:[F4]]))</f>
        <v>4</v>
      </c>
      <c r="AF161" s="6">
        <f>IF(Eingabe[[#This Row],[Volle]]="","",IF(Eingabe[[#This Row],[S1]]="",Eingabe[[#This Row],[Volle]]+Eingabe[[#This Row],[Räumer]],IF(Eingabe[[#This Row],[Volle]]+Eingabe[[#This Row],[Räumer]]=Eingabe[[#This Row],[S1]]+Eingabe[[#This Row],[S2]]+Eingabe[[#This Row],[S3]]+Eingabe[[#This Row],[S4]],Eingabe[[#This Row],[Volle]]+Eingabe[[#This Row],[Räumer]],"FEHLER")))</f>
        <v>540</v>
      </c>
      <c r="AG161" s="6">
        <f>IF(Eingabe[[#This Row],[V1]]="","",Eingabe[[#This Row],[V1]]+Eingabe[[#This Row],[R1]])</f>
        <v>137</v>
      </c>
      <c r="AH161" s="6">
        <f>IF(Eingabe[[#This Row],[V2]]="","",Eingabe[[#This Row],[V2]]+Eingabe[[#This Row],[R2]])</f>
        <v>128</v>
      </c>
      <c r="AI161" s="6">
        <f>IF(Eingabe[[#This Row],[V3]]="","",Eingabe[[#This Row],[V3]]+Eingabe[[#This Row],[R3]])</f>
        <v>130</v>
      </c>
      <c r="AJ161" s="6">
        <f>IF(Eingabe[[#This Row],[V4]]="","",Eingabe[[#This Row],[V4]]+Eingabe[[#This Row],[R4]])</f>
        <v>145</v>
      </c>
      <c r="AK161" s="6">
        <f>IF(Eingabe[[#This Row],[S1P]]="","",Eingabe[[#This Row],[S1P]]+Eingabe[[#This Row],[S2P]]+Eingabe[[#This Row],[S3P]]+Eingabe[[#This Row],[S4P]])</f>
        <v>2</v>
      </c>
      <c r="AL161" s="6">
        <f>IF(Eingabe[[#This Row],[S1P]]="","",IF(Eingabe[[#This Row],[SP]]&gt;2,1,IF(Eingabe[[#This Row],[SP]]&lt;2,0,IF(Eingabe[[#This Row],[GES]]&gt;Eingabe[[#This Row],[GEGGES]],1,IF(Eingabe[[#This Row],[GES]]=Eingabe[[#This Row],[GEGGES]],0.5,0)))))</f>
        <v>1</v>
      </c>
      <c r="AM161" s="6">
        <f>IF(Eingabe[[#This Row],[MP]]="","",MOD(ROW(Eingabe[[#This Row],[Position]])-3,6)+1)</f>
        <v>3</v>
      </c>
      <c r="AN161" s="6">
        <f>STANDARDIZE(Eingabe[[#This Row],[GES]],Eingabe[[#This Row],[Schnitt]],VLOOKUP(Eingabe[[#This Row],[Name]],AuswertungG[],21,FALSE))</f>
        <v>2.5833333333333335</v>
      </c>
      <c r="AO161" s="6">
        <f>VLOOKUP(Eingabe[[#This Row],[ID]],Chronologie[[ID]:[KW]],12,FALSE)</f>
        <v>22</v>
      </c>
      <c r="AP161" s="95" t="str">
        <f>IF(Eingabe[[#This Row],[Wo]]="H",Eingabe[[#This Row],[Gegner]]&amp;" ["&amp;Eingabe[[#This Row],[Wo]]&amp;"]",Eingabe[[#This Row],[Ort]])</f>
        <v>Kamenz</v>
      </c>
      <c r="AQ161" s="6" t="str">
        <f>IFERROR(IF(Eingabe[[#This Row],[Wo]]="H",IF(MOD(Eingabe[[#This Row],[Position]],2)=1,Eingabe[[#This Row],[S1]],Eingabe[[#This Row],[S4]]),""),"")</f>
        <v/>
      </c>
      <c r="AR161" s="6" t="str">
        <f>IFERROR(IF(Eingabe[[#This Row],[Wo]]="H",IF(Eingabe[[#This Row],[S1]]&gt;0,IF(MOD(Eingabe[[#This Row],[Position]],2)=1,Eingabe[[#This Row],[S2]],Eingabe[[#This Row],[S3]]),""),""),"")</f>
        <v/>
      </c>
      <c r="AS161" s="6" t="str">
        <f>IFERROR(IF(Eingabe[[#This Row],[Wo]]="H",IF(Eingabe[[#This Row],[S1]]&gt;0,IF(MOD(ROW(Eingabe[[#This Row],[Heimbahn 3]]),2)=1,Eingabe[[#This Row],[S4]],Eingabe[[#This Row],[S1]]),""),""),"")</f>
        <v/>
      </c>
      <c r="AT161" s="6" t="str">
        <f>IFERROR(IF(Eingabe[[#This Row],[Wo]]="H",IF(Eingabe[[#This Row],[S1]]&gt;0,IF(MOD(ROW(Eingabe[[#This Row],[Heimbahn 4]]),2)=1,Eingabe[[#This Row],[S3]],Eingabe[[#This Row],[S2]]),""),""),"")</f>
        <v/>
      </c>
      <c r="AU161" s="22">
        <f>IF(Eingabe[[#This Row],[GES]]="","",IF(Eingabe[[#This Row],[Modus]]="L",_xlfn.RANK.EQ(Eingabe[[#This Row],[GES]],AF159:AF164),IF(Eingabe[[#This Row],[Modus]]="P",_xlfn.RANK.EQ(Eingabe[[#This Row],[GES]],AF159:AF164),"")))</f>
        <v>2</v>
      </c>
      <c r="AV161" s="6">
        <f>VLOOKUP(Eingabe[[#This Row],[Name]],AuswertungG[],8,FALSE)</f>
        <v>509</v>
      </c>
      <c r="AZ161" s="6">
        <f>IFERROR(ABS(Eingabe[[#This Row],[GES]]-Eingabe[[#This Row],[GEGGES]]),"")</f>
        <v>30</v>
      </c>
    </row>
    <row r="162" spans="1:52" ht="16.2" hidden="1" thickBot="1" x14ac:dyDescent="0.35">
      <c r="A162" s="441"/>
      <c r="B162" s="21">
        <f t="shared" si="22"/>
        <v>27</v>
      </c>
      <c r="C162" s="6" t="str">
        <f>VLOOKUP($B162,Chronologie[],7,TRUE)</f>
        <v>Thonberger SC 1931</v>
      </c>
      <c r="D162" s="6" t="str">
        <f>VLOOKUP($B162,Chronologie[],8,TRUE)</f>
        <v>Kamenz</v>
      </c>
      <c r="E162" s="240" t="str">
        <f>VLOOKUP($B162,Chronologie[],9,TRUE)</f>
        <v>A</v>
      </c>
      <c r="F162" s="6" t="str">
        <f>VLOOKUP($B162,Chronologie[],COLUMN(F163)-2,TRUE)</f>
        <v>F</v>
      </c>
      <c r="G162" s="6" t="str">
        <f>VLOOKUP($B162,Chronologie[],COLUMN(G163)-2,TRUE)</f>
        <v>L</v>
      </c>
      <c r="H162" s="6">
        <f>VLOOKUP($B162,Chronologie[],COLUMN(H163)-2,TRUE)</f>
        <v>9</v>
      </c>
      <c r="I162" s="10" t="str">
        <f>VLOOKUP($B162,Chronologie[],2,TRUE)</f>
        <v>F-L-9</v>
      </c>
      <c r="J162" s="243">
        <f>VLOOKUP($B162,Chronologie[],3,TRUE)</f>
        <v>46047</v>
      </c>
      <c r="K162" s="238" t="s">
        <v>14</v>
      </c>
      <c r="L162" s="237">
        <v>78</v>
      </c>
      <c r="M162" s="237">
        <v>87</v>
      </c>
      <c r="N162" s="237">
        <v>90</v>
      </c>
      <c r="O162" s="237">
        <v>90</v>
      </c>
      <c r="P162" s="237">
        <v>52</v>
      </c>
      <c r="Q162" s="237">
        <v>35</v>
      </c>
      <c r="R162" s="237">
        <v>48</v>
      </c>
      <c r="S162" s="237">
        <v>59</v>
      </c>
      <c r="T162" s="237">
        <v>0</v>
      </c>
      <c r="U162" s="237">
        <v>2</v>
      </c>
      <c r="V162" s="237">
        <v>2</v>
      </c>
      <c r="W162" s="237">
        <v>0</v>
      </c>
      <c r="X162" s="38">
        <v>0</v>
      </c>
      <c r="Y162" s="38">
        <v>0</v>
      </c>
      <c r="Z162" s="38">
        <v>1</v>
      </c>
      <c r="AA162" s="38">
        <v>1</v>
      </c>
      <c r="AB162" s="91">
        <v>569</v>
      </c>
      <c r="AC162" s="94">
        <f>IF(Eingabe[[#This Row],[V1]]="",IF(Eingabe[[#This Row],[Volle alternativ]]="","",Eingabe[[#This Row],[Volle alternativ]]),SUM(Eingabe[[#This Row],[V1]:[V4]]))</f>
        <v>345</v>
      </c>
      <c r="AD162" s="6">
        <f>IF(Eingabe[[#This Row],[R1]]="",IF(Eingabe[[#This Row],[Räumer alternativ]]="","",Eingabe[[#This Row],[Räumer alternativ]]),SUM(Eingabe[[#This Row],[R1]:[R4]]))</f>
        <v>194</v>
      </c>
      <c r="AE162" s="6">
        <f>IF(Eingabe[[#This Row],[F1]]="",IF(Eingabe[[#This Row],[Fehler alternativ]]="","",Eingabe[[#This Row],[Fehler alternativ]]),SUM(Eingabe[[#This Row],[F1]:[F4]]))</f>
        <v>4</v>
      </c>
      <c r="AF162" s="6">
        <f>IF(Eingabe[[#This Row],[Volle]]="","",IF(Eingabe[[#This Row],[S1]]="",Eingabe[[#This Row],[Volle]]+Eingabe[[#This Row],[Räumer]],IF(Eingabe[[#This Row],[Volle]]+Eingabe[[#This Row],[Räumer]]=Eingabe[[#This Row],[S1]]+Eingabe[[#This Row],[S2]]+Eingabe[[#This Row],[S3]]+Eingabe[[#This Row],[S4]],Eingabe[[#This Row],[Volle]]+Eingabe[[#This Row],[Räumer]],"FEHLER")))</f>
        <v>539</v>
      </c>
      <c r="AG162" s="6">
        <f>IF(Eingabe[[#This Row],[V1]]="","",Eingabe[[#This Row],[V1]]+Eingabe[[#This Row],[R1]])</f>
        <v>130</v>
      </c>
      <c r="AH162" s="6">
        <f>IF(Eingabe[[#This Row],[V2]]="","",Eingabe[[#This Row],[V2]]+Eingabe[[#This Row],[R2]])</f>
        <v>122</v>
      </c>
      <c r="AI162" s="6">
        <f>IF(Eingabe[[#This Row],[V3]]="","",Eingabe[[#This Row],[V3]]+Eingabe[[#This Row],[R3]])</f>
        <v>138</v>
      </c>
      <c r="AJ162" s="6">
        <f>IF(Eingabe[[#This Row],[V4]]="","",Eingabe[[#This Row],[V4]]+Eingabe[[#This Row],[R4]])</f>
        <v>149</v>
      </c>
      <c r="AK162" s="6">
        <f>IF(Eingabe[[#This Row],[S1P]]="","",Eingabe[[#This Row],[S1P]]+Eingabe[[#This Row],[S2P]]+Eingabe[[#This Row],[S3P]]+Eingabe[[#This Row],[S4P]])</f>
        <v>2</v>
      </c>
      <c r="AL162" s="6">
        <f>IF(Eingabe[[#This Row],[S1P]]="","",IF(Eingabe[[#This Row],[SP]]&gt;2,1,IF(Eingabe[[#This Row],[SP]]&lt;2,0,IF(Eingabe[[#This Row],[GES]]&gt;Eingabe[[#This Row],[GEGGES]],1,IF(Eingabe[[#This Row],[GES]]=Eingabe[[#This Row],[GEGGES]],0.5,0)))))</f>
        <v>0</v>
      </c>
      <c r="AM162" s="6">
        <f>IF(Eingabe[[#This Row],[MP]]="","",MOD(ROW(Eingabe[[#This Row],[Position]])-3,6)+1)</f>
        <v>4</v>
      </c>
      <c r="AN162" s="6">
        <f>STANDARDIZE(Eingabe[[#This Row],[GES]],Eingabe[[#This Row],[Schnitt]],VLOOKUP(Eingabe[[#This Row],[Name]],AuswertungG[],21,FALSE))</f>
        <v>1</v>
      </c>
      <c r="AO162" s="6">
        <f>VLOOKUP(Eingabe[[#This Row],[ID]],Chronologie[[ID]:[KW]],12,FALSE)</f>
        <v>22</v>
      </c>
      <c r="AP162" s="95" t="str">
        <f>IF(Eingabe[[#This Row],[Wo]]="H",Eingabe[[#This Row],[Gegner]]&amp;" ["&amp;Eingabe[[#This Row],[Wo]]&amp;"]",Eingabe[[#This Row],[Ort]])</f>
        <v>Kamenz</v>
      </c>
      <c r="AQ162" s="6" t="str">
        <f>IFERROR(IF(Eingabe[[#This Row],[Wo]]="H",IF(MOD(Eingabe[[#This Row],[Position]],2)=1,Eingabe[[#This Row],[S1]],Eingabe[[#This Row],[S4]]),""),"")</f>
        <v/>
      </c>
      <c r="AR162" s="6" t="str">
        <f>IFERROR(IF(Eingabe[[#This Row],[Wo]]="H",IF(Eingabe[[#This Row],[S1]]&gt;0,IF(MOD(Eingabe[[#This Row],[Position]],2)=1,Eingabe[[#This Row],[S2]],Eingabe[[#This Row],[S3]]),""),""),"")</f>
        <v/>
      </c>
      <c r="AS162" s="6" t="str">
        <f>IFERROR(IF(Eingabe[[#This Row],[Wo]]="H",IF(Eingabe[[#This Row],[S1]]&gt;0,IF(MOD(ROW(Eingabe[[#This Row],[Heimbahn 3]]),2)=1,Eingabe[[#This Row],[S4]],Eingabe[[#This Row],[S1]]),""),""),"")</f>
        <v/>
      </c>
      <c r="AT162" s="6" t="str">
        <f>IFERROR(IF(Eingabe[[#This Row],[Wo]]="H",IF(Eingabe[[#This Row],[S1]]&gt;0,IF(MOD(ROW(Eingabe[[#This Row],[Heimbahn 4]]),2)=1,Eingabe[[#This Row],[S3]],Eingabe[[#This Row],[S2]]),""),""),"")</f>
        <v/>
      </c>
      <c r="AU162" s="22">
        <f>IF(Eingabe[[#This Row],[GES]]="","",IF(Eingabe[[#This Row],[Modus]]="L",_xlfn.RANK.EQ(Eingabe[[#This Row],[GES]],AF159:AF164),IF(Eingabe[[#This Row],[Modus]]="P",_xlfn.RANK.EQ(Eingabe[[#This Row],[GES]],AF159:AF164),"")))</f>
        <v>3</v>
      </c>
      <c r="AV162" s="6">
        <f>VLOOKUP(Eingabe[[#This Row],[Name]],AuswertungG[],8,FALSE)</f>
        <v>510</v>
      </c>
      <c r="AZ162" s="6">
        <f>IFERROR(ABS(Eingabe[[#This Row],[GES]]-Eingabe[[#This Row],[GEGGES]]),"")</f>
        <v>30</v>
      </c>
    </row>
    <row r="163" spans="1:52" ht="16.2" hidden="1" thickBot="1" x14ac:dyDescent="0.35">
      <c r="A163" s="441"/>
      <c r="B163" s="21">
        <f t="shared" si="22"/>
        <v>27</v>
      </c>
      <c r="C163" s="6" t="str">
        <f>VLOOKUP($B163,Chronologie[],7,TRUE)</f>
        <v>Thonberger SC 1931</v>
      </c>
      <c r="D163" s="6" t="str">
        <f>VLOOKUP($B163,Chronologie[],8,TRUE)</f>
        <v>Kamenz</v>
      </c>
      <c r="E163" s="240" t="str">
        <f>VLOOKUP($B163,Chronologie[],9,TRUE)</f>
        <v>A</v>
      </c>
      <c r="F163" s="6" t="str">
        <f>VLOOKUP($B163,Chronologie[],COLUMN(F164)-2,TRUE)</f>
        <v>F</v>
      </c>
      <c r="G163" s="6" t="str">
        <f>VLOOKUP($B163,Chronologie[],COLUMN(G164)-2,TRUE)</f>
        <v>L</v>
      </c>
      <c r="H163" s="6">
        <f>VLOOKUP($B163,Chronologie[],COLUMN(H164)-2,TRUE)</f>
        <v>9</v>
      </c>
      <c r="I163" s="10" t="str">
        <f>VLOOKUP($B163,Chronologie[],2,TRUE)</f>
        <v>F-L-9</v>
      </c>
      <c r="J163" s="243">
        <f>VLOOKUP($B163,Chronologie[],3,TRUE)</f>
        <v>46047</v>
      </c>
      <c r="K163" s="237" t="s">
        <v>492</v>
      </c>
      <c r="L163" s="237">
        <v>85</v>
      </c>
      <c r="M163" s="237">
        <v>92</v>
      </c>
      <c r="N163" s="237">
        <v>92</v>
      </c>
      <c r="O163" s="237">
        <v>96</v>
      </c>
      <c r="P163" s="237">
        <v>43</v>
      </c>
      <c r="Q163" s="237">
        <v>60</v>
      </c>
      <c r="R163" s="237">
        <v>43</v>
      </c>
      <c r="S163" s="237">
        <v>34</v>
      </c>
      <c r="T163" s="237">
        <v>2</v>
      </c>
      <c r="U163" s="237">
        <v>0</v>
      </c>
      <c r="V163" s="237">
        <v>3</v>
      </c>
      <c r="W163" s="237">
        <v>2</v>
      </c>
      <c r="X163" s="38">
        <v>1</v>
      </c>
      <c r="Y163" s="38">
        <v>1</v>
      </c>
      <c r="Z163" s="38">
        <v>1</v>
      </c>
      <c r="AA163" s="38">
        <v>1</v>
      </c>
      <c r="AB163" s="91">
        <v>469</v>
      </c>
      <c r="AC163" s="94">
        <f>IF(Eingabe[[#This Row],[V1]]="",IF(Eingabe[[#This Row],[Volle alternativ]]="","",Eingabe[[#This Row],[Volle alternativ]]),SUM(Eingabe[[#This Row],[V1]:[V4]]))</f>
        <v>365</v>
      </c>
      <c r="AD163" s="6">
        <f>IF(Eingabe[[#This Row],[R1]]="",IF(Eingabe[[#This Row],[Räumer alternativ]]="","",Eingabe[[#This Row],[Räumer alternativ]]),SUM(Eingabe[[#This Row],[R1]:[R4]]))</f>
        <v>180</v>
      </c>
      <c r="AE163" s="6">
        <f>IF(Eingabe[[#This Row],[F1]]="",IF(Eingabe[[#This Row],[Fehler alternativ]]="","",Eingabe[[#This Row],[Fehler alternativ]]),SUM(Eingabe[[#This Row],[F1]:[F4]]))</f>
        <v>7</v>
      </c>
      <c r="AF163" s="6">
        <f>IF(Eingabe[[#This Row],[Volle]]="","",IF(Eingabe[[#This Row],[S1]]="",Eingabe[[#This Row],[Volle]]+Eingabe[[#This Row],[Räumer]],IF(Eingabe[[#This Row],[Volle]]+Eingabe[[#This Row],[Räumer]]=Eingabe[[#This Row],[S1]]+Eingabe[[#This Row],[S2]]+Eingabe[[#This Row],[S3]]+Eingabe[[#This Row],[S4]],Eingabe[[#This Row],[Volle]]+Eingabe[[#This Row],[Räumer]],"FEHLER")))</f>
        <v>545</v>
      </c>
      <c r="AG163" s="6">
        <f>IF(Eingabe[[#This Row],[V1]]="","",Eingabe[[#This Row],[V1]]+Eingabe[[#This Row],[R1]])</f>
        <v>128</v>
      </c>
      <c r="AH163" s="6">
        <f>IF(Eingabe[[#This Row],[V2]]="","",Eingabe[[#This Row],[V2]]+Eingabe[[#This Row],[R2]])</f>
        <v>152</v>
      </c>
      <c r="AI163" s="6">
        <f>IF(Eingabe[[#This Row],[V3]]="","",Eingabe[[#This Row],[V3]]+Eingabe[[#This Row],[R3]])</f>
        <v>135</v>
      </c>
      <c r="AJ163" s="6">
        <f>IF(Eingabe[[#This Row],[V4]]="","",Eingabe[[#This Row],[V4]]+Eingabe[[#This Row],[R4]])</f>
        <v>130</v>
      </c>
      <c r="AK163" s="6">
        <f>IF(Eingabe[[#This Row],[S1P]]="","",Eingabe[[#This Row],[S1P]]+Eingabe[[#This Row],[S2P]]+Eingabe[[#This Row],[S3P]]+Eingabe[[#This Row],[S4P]])</f>
        <v>4</v>
      </c>
      <c r="AL163" s="6">
        <f>IF(Eingabe[[#This Row],[S1P]]="","",IF(Eingabe[[#This Row],[SP]]&gt;2,1,IF(Eingabe[[#This Row],[SP]]&lt;2,0,IF(Eingabe[[#This Row],[GES]]&gt;Eingabe[[#This Row],[GEGGES]],1,IF(Eingabe[[#This Row],[GES]]=Eingabe[[#This Row],[GEGGES]],0.5,0)))))</f>
        <v>1</v>
      </c>
      <c r="AM163" s="6">
        <f>IF(Eingabe[[#This Row],[MP]]="","",MOD(ROW(Eingabe[[#This Row],[Position]])-3,6)+1)</f>
        <v>5</v>
      </c>
      <c r="AN163" s="6">
        <f>STANDARDIZE(Eingabe[[#This Row],[GES]],Eingabe[[#This Row],[Schnitt]],VLOOKUP(Eingabe[[#This Row],[Name]],AuswertungG[],21,FALSE))</f>
        <v>1.0869565217391304</v>
      </c>
      <c r="AO163" s="6">
        <f>VLOOKUP(Eingabe[[#This Row],[ID]],Chronologie[[ID]:[KW]],12,FALSE)</f>
        <v>22</v>
      </c>
      <c r="AP163" s="95" t="str">
        <f>IF(Eingabe[[#This Row],[Wo]]="H",Eingabe[[#This Row],[Gegner]]&amp;" ["&amp;Eingabe[[#This Row],[Wo]]&amp;"]",Eingabe[[#This Row],[Ort]])</f>
        <v>Kamenz</v>
      </c>
      <c r="AQ163" s="6" t="str">
        <f>IFERROR(IF(Eingabe[[#This Row],[Wo]]="H",IF(MOD(Eingabe[[#This Row],[Position]],2)=1,Eingabe[[#This Row],[S1]],Eingabe[[#This Row],[S4]]),""),"")</f>
        <v/>
      </c>
      <c r="AR163" s="6" t="str">
        <f>IFERROR(IF(Eingabe[[#This Row],[Wo]]="H",IF(Eingabe[[#This Row],[S1]]&gt;0,IF(MOD(Eingabe[[#This Row],[Position]],2)=1,Eingabe[[#This Row],[S2]],Eingabe[[#This Row],[S3]]),""),""),"")</f>
        <v/>
      </c>
      <c r="AS163" s="6" t="str">
        <f>IFERROR(IF(Eingabe[[#This Row],[Wo]]="H",IF(Eingabe[[#This Row],[S1]]&gt;0,IF(MOD(ROW(Eingabe[[#This Row],[Heimbahn 3]]),2)=1,Eingabe[[#This Row],[S4]],Eingabe[[#This Row],[S1]]),""),""),"")</f>
        <v/>
      </c>
      <c r="AT163" s="6" t="str">
        <f>IFERROR(IF(Eingabe[[#This Row],[Wo]]="H",IF(Eingabe[[#This Row],[S1]]&gt;0,IF(MOD(ROW(Eingabe[[#This Row],[Heimbahn 4]]),2)=1,Eingabe[[#This Row],[S3]],Eingabe[[#This Row],[S2]]),""),""),"")</f>
        <v/>
      </c>
      <c r="AU163" s="22">
        <f>IF(Eingabe[[#This Row],[GES]]="","",IF(Eingabe[[#This Row],[Modus]]="L",_xlfn.RANK.EQ(Eingabe[[#This Row],[GES]],AF159:AF164),IF(Eingabe[[#This Row],[Modus]]="P",_xlfn.RANK.EQ(Eingabe[[#This Row],[GES]],AF159:AF164),"")))</f>
        <v>1</v>
      </c>
      <c r="AV163" s="6">
        <f>VLOOKUP(Eingabe[[#This Row],[Name]],AuswertungG[],8,FALSE)</f>
        <v>520</v>
      </c>
      <c r="AZ163" s="6">
        <f>IFERROR(ABS(Eingabe[[#This Row],[GES]]-Eingabe[[#This Row],[GEGGES]]),"")</f>
        <v>76</v>
      </c>
    </row>
    <row r="164" spans="1:52" ht="16.2" hidden="1" thickBot="1" x14ac:dyDescent="0.35">
      <c r="A164" s="442"/>
      <c r="B164" s="56">
        <f t="shared" si="22"/>
        <v>27</v>
      </c>
      <c r="C164" s="23" t="str">
        <f>VLOOKUP($B164,Chronologie[],7,TRUE)</f>
        <v>Thonberger SC 1931</v>
      </c>
      <c r="D164" s="23" t="str">
        <f>VLOOKUP($B164,Chronologie[],8,TRUE)</f>
        <v>Kamenz</v>
      </c>
      <c r="E164" s="39" t="str">
        <f>VLOOKUP($B164,Chronologie[],9,TRUE)</f>
        <v>A</v>
      </c>
      <c r="F164" s="23" t="str">
        <f>VLOOKUP($B164,Chronologie[],COLUMN(F165)-2,TRUE)</f>
        <v>F</v>
      </c>
      <c r="G164" s="23" t="str">
        <f>VLOOKUP($B164,Chronologie[],COLUMN(G165)-2,TRUE)</f>
        <v>L</v>
      </c>
      <c r="H164" s="23">
        <f>VLOOKUP($B164,Chronologie[],COLUMN(H165)-2,TRUE)</f>
        <v>9</v>
      </c>
      <c r="I164" s="13" t="str">
        <f>VLOOKUP($B164,Chronologie[],2,TRUE)</f>
        <v>F-L-9</v>
      </c>
      <c r="J164" s="244">
        <f>VLOOKUP($B164,Chronologie[],3,TRUE)</f>
        <v>46047</v>
      </c>
      <c r="K164" s="237" t="s">
        <v>592</v>
      </c>
      <c r="L164" s="237">
        <v>85</v>
      </c>
      <c r="M164" s="237">
        <v>84</v>
      </c>
      <c r="N164" s="237">
        <v>80</v>
      </c>
      <c r="O164" s="237">
        <v>82</v>
      </c>
      <c r="P164" s="237">
        <v>36</v>
      </c>
      <c r="Q164" s="237">
        <v>43</v>
      </c>
      <c r="R164" s="237">
        <v>53</v>
      </c>
      <c r="S164" s="237">
        <v>45</v>
      </c>
      <c r="T164" s="237">
        <v>1</v>
      </c>
      <c r="U164" s="237">
        <v>3</v>
      </c>
      <c r="V164" s="237">
        <v>2</v>
      </c>
      <c r="W164" s="237">
        <v>0</v>
      </c>
      <c r="X164" s="38">
        <v>0</v>
      </c>
      <c r="Y164" s="38">
        <v>1</v>
      </c>
      <c r="Z164" s="38">
        <v>0</v>
      </c>
      <c r="AA164" s="38">
        <v>0</v>
      </c>
      <c r="AB164" s="91">
        <v>522</v>
      </c>
      <c r="AC164" s="96">
        <f>IF(Eingabe[[#This Row],[V1]]="",IF(Eingabe[[#This Row],[Volle alternativ]]="","",Eingabe[[#This Row],[Volle alternativ]]),SUM(Eingabe[[#This Row],[V1]:[V4]]))</f>
        <v>331</v>
      </c>
      <c r="AD164" s="23">
        <f>IF(Eingabe[[#This Row],[R1]]="",IF(Eingabe[[#This Row],[Räumer alternativ]]="","",Eingabe[[#This Row],[Räumer alternativ]]),SUM(Eingabe[[#This Row],[R1]:[R4]]))</f>
        <v>177</v>
      </c>
      <c r="AE164" s="23">
        <f>IF(Eingabe[[#This Row],[F1]]="",IF(Eingabe[[#This Row],[Fehler alternativ]]="","",Eingabe[[#This Row],[Fehler alternativ]]),SUM(Eingabe[[#This Row],[F1]:[F4]]))</f>
        <v>6</v>
      </c>
      <c r="AF164" s="23">
        <f>IF(Eingabe[[#This Row],[Volle]]="","",IF(Eingabe[[#This Row],[S1]]="",Eingabe[[#This Row],[Volle]]+Eingabe[[#This Row],[Räumer]],IF(Eingabe[[#This Row],[Volle]]+Eingabe[[#This Row],[Räumer]]=Eingabe[[#This Row],[S1]]+Eingabe[[#This Row],[S2]]+Eingabe[[#This Row],[S3]]+Eingabe[[#This Row],[S4]],Eingabe[[#This Row],[Volle]]+Eingabe[[#This Row],[Räumer]],"FEHLER")))</f>
        <v>508</v>
      </c>
      <c r="AG164" s="23">
        <f>IF(Eingabe[[#This Row],[V1]]="","",Eingabe[[#This Row],[V1]]+Eingabe[[#This Row],[R1]])</f>
        <v>121</v>
      </c>
      <c r="AH164" s="23">
        <f>IF(Eingabe[[#This Row],[V2]]="","",Eingabe[[#This Row],[V2]]+Eingabe[[#This Row],[R2]])</f>
        <v>127</v>
      </c>
      <c r="AI164" s="23">
        <f>IF(Eingabe[[#This Row],[V3]]="","",Eingabe[[#This Row],[V3]]+Eingabe[[#This Row],[R3]])</f>
        <v>133</v>
      </c>
      <c r="AJ164" s="23">
        <f>IF(Eingabe[[#This Row],[V4]]="","",Eingabe[[#This Row],[V4]]+Eingabe[[#This Row],[R4]])</f>
        <v>127</v>
      </c>
      <c r="AK164" s="23">
        <f>IF(Eingabe[[#This Row],[S1P]]="","",Eingabe[[#This Row],[S1P]]+Eingabe[[#This Row],[S2P]]+Eingabe[[#This Row],[S3P]]+Eingabe[[#This Row],[S4P]])</f>
        <v>1</v>
      </c>
      <c r="AL164" s="23">
        <f>IF(Eingabe[[#This Row],[S1P]]="","",IF(Eingabe[[#This Row],[SP]]&gt;2,1,IF(Eingabe[[#This Row],[SP]]&lt;2,0,IF(Eingabe[[#This Row],[GES]]&gt;Eingabe[[#This Row],[GEGGES]],1,IF(Eingabe[[#This Row],[GES]]=Eingabe[[#This Row],[GEGGES]],0.5,0)))))</f>
        <v>0</v>
      </c>
      <c r="AM164" s="23">
        <f>IF(Eingabe[[#This Row],[MP]]="","",MOD(ROW(Eingabe[[#This Row],[Position]])-3,6)+1)</f>
        <v>6</v>
      </c>
      <c r="AN164" s="23">
        <f>STANDARDIZE(Eingabe[[#This Row],[GES]],Eingabe[[#This Row],[Schnitt]],VLOOKUP(Eingabe[[#This Row],[Name]],AuswertungG[],21,FALSE))</f>
        <v>-0.1</v>
      </c>
      <c r="AO164" s="23">
        <f>VLOOKUP(Eingabe[[#This Row],[ID]],Chronologie[[ID]:[KW]],12,FALSE)</f>
        <v>22</v>
      </c>
      <c r="AP164" s="59" t="str">
        <f>IF(Eingabe[[#This Row],[Wo]]="H",Eingabe[[#This Row],[Gegner]]&amp;" ["&amp;Eingabe[[#This Row],[Wo]]&amp;"]",Eingabe[[#This Row],[Ort]])</f>
        <v>Kamenz</v>
      </c>
      <c r="AQ164" s="23" t="str">
        <f>IFERROR(IF(Eingabe[[#This Row],[Wo]]="H",IF(MOD(Eingabe[[#This Row],[Position]],2)=1,Eingabe[[#This Row],[S1]],Eingabe[[#This Row],[S4]]),""),"")</f>
        <v/>
      </c>
      <c r="AR164" s="23" t="str">
        <f>IFERROR(IF(Eingabe[[#This Row],[Wo]]="H",IF(Eingabe[[#This Row],[S1]]&gt;0,IF(MOD(Eingabe[[#This Row],[Position]],2)=1,Eingabe[[#This Row],[S2]],Eingabe[[#This Row],[S3]]),""),""),"")</f>
        <v/>
      </c>
      <c r="AS164" s="23" t="str">
        <f>IFERROR(IF(Eingabe[[#This Row],[Wo]]="H",IF(Eingabe[[#This Row],[S1]]&gt;0,IF(MOD(ROW(Eingabe[[#This Row],[Heimbahn 3]]),2)=1,Eingabe[[#This Row],[S4]],Eingabe[[#This Row],[S1]]),""),""),"")</f>
        <v/>
      </c>
      <c r="AT164" s="23" t="str">
        <f>IFERROR(IF(Eingabe[[#This Row],[Wo]]="H",IF(Eingabe[[#This Row],[S1]]&gt;0,IF(MOD(ROW(Eingabe[[#This Row],[Heimbahn 4]]),2)=1,Eingabe[[#This Row],[S3]],Eingabe[[#This Row],[S2]]),""),""),"")</f>
        <v/>
      </c>
      <c r="AU164" s="89">
        <f>IF(Eingabe[[#This Row],[GES]]="","",IF(Eingabe[[#This Row],[Modus]]="L",_xlfn.RANK.EQ(Eingabe[[#This Row],[GES]],AF159:AF164),IF(Eingabe[[#This Row],[Modus]]="P",_xlfn.RANK.EQ(Eingabe[[#This Row],[GES]],AF159:AF164),"")))</f>
        <v>4</v>
      </c>
      <c r="AV164" s="6">
        <f>VLOOKUP(Eingabe[[#This Row],[Name]],AuswertungG[],8,FALSE)</f>
        <v>511</v>
      </c>
      <c r="AZ164" s="6">
        <f>IFERROR(ABS(Eingabe[[#This Row],[GES]]-Eingabe[[#This Row],[GEGGES]]),"")</f>
        <v>14</v>
      </c>
    </row>
    <row r="165" spans="1:52" ht="16.2" hidden="1" thickBot="1" x14ac:dyDescent="0.35">
      <c r="A165" s="440">
        <f t="shared" ref="A165" si="28">B165</f>
        <v>28</v>
      </c>
      <c r="B165" s="55">
        <f t="shared" si="22"/>
        <v>28</v>
      </c>
      <c r="C165" s="35" t="str">
        <f>VLOOKUP($B165,Chronologie[],7,TRUE)</f>
        <v>KSV Dresden-Leuben</v>
      </c>
      <c r="D165" s="35" t="str">
        <f>VLOOKUP($B165,Chronologie[],8,TRUE)</f>
        <v>Hirschfeld</v>
      </c>
      <c r="E165" s="36" t="str">
        <f>VLOOKUP($B165,Chronologie[],9,TRUE)</f>
        <v>H</v>
      </c>
      <c r="F165" s="35" t="str">
        <f>VLOOKUP($B165,Chronologie[],COLUMN(F166)-2,TRUE)</f>
        <v>F</v>
      </c>
      <c r="G165" s="35" t="str">
        <f>VLOOKUP($B165,Chronologie[],COLUMN(G166)-2,TRUE)</f>
        <v>L</v>
      </c>
      <c r="H165" s="35">
        <f>VLOOKUP($B165,Chronologie[],COLUMN(H166)-2,TRUE)</f>
        <v>10</v>
      </c>
      <c r="I165" s="9" t="str">
        <f>VLOOKUP($B165,Chronologie[],2,TRUE)</f>
        <v>F-L-10</v>
      </c>
      <c r="J165" s="242">
        <f>VLOOKUP($B165,Chronologie[],3,TRUE)</f>
        <v>46075</v>
      </c>
      <c r="K165" s="236"/>
      <c r="L165" s="334"/>
      <c r="M165" s="334"/>
      <c r="N165" s="334"/>
      <c r="O165" s="334"/>
      <c r="P165" s="334"/>
      <c r="Q165" s="334"/>
      <c r="R165" s="334"/>
      <c r="S165" s="334"/>
      <c r="T165" s="334"/>
      <c r="U165" s="334"/>
      <c r="V165" s="334"/>
      <c r="W165" s="334"/>
      <c r="X165" s="37"/>
      <c r="Y165" s="37"/>
      <c r="Z165" s="37"/>
      <c r="AA165" s="37"/>
      <c r="AB165" s="90"/>
      <c r="AC165" s="93" t="str">
        <f>IF(Eingabe[[#This Row],[V1]]="",IF(Eingabe[[#This Row],[Volle alternativ]]="","",Eingabe[[#This Row],[Volle alternativ]]),SUM(Eingabe[[#This Row],[V1]:[V4]]))</f>
        <v/>
      </c>
      <c r="AD165" s="35" t="str">
        <f>IF(Eingabe[[#This Row],[R1]]="",IF(Eingabe[[#This Row],[Räumer alternativ]]="","",Eingabe[[#This Row],[Räumer alternativ]]),SUM(Eingabe[[#This Row],[R1]:[R4]]))</f>
        <v/>
      </c>
      <c r="AE165" s="35" t="str">
        <f>IF(Eingabe[[#This Row],[F1]]="",IF(Eingabe[[#This Row],[Fehler alternativ]]="","",Eingabe[[#This Row],[Fehler alternativ]]),SUM(Eingabe[[#This Row],[F1]:[F4]]))</f>
        <v/>
      </c>
      <c r="AF165" s="35" t="str">
        <f>IF(Eingabe[[#This Row],[Volle]]="","",IF(Eingabe[[#This Row],[S1]]="",Eingabe[[#This Row],[Volle]]+Eingabe[[#This Row],[Räumer]],IF(Eingabe[[#This Row],[Volle]]+Eingabe[[#This Row],[Räumer]]=Eingabe[[#This Row],[S1]]+Eingabe[[#This Row],[S2]]+Eingabe[[#This Row],[S3]]+Eingabe[[#This Row],[S4]],Eingabe[[#This Row],[Volle]]+Eingabe[[#This Row],[Räumer]],"FEHLER")))</f>
        <v/>
      </c>
      <c r="AG165" s="35" t="str">
        <f>IF(Eingabe[[#This Row],[V1]]="","",Eingabe[[#This Row],[V1]]+Eingabe[[#This Row],[R1]])</f>
        <v/>
      </c>
      <c r="AH165" s="35" t="str">
        <f>IF(Eingabe[[#This Row],[V2]]="","",Eingabe[[#This Row],[V2]]+Eingabe[[#This Row],[R2]])</f>
        <v/>
      </c>
      <c r="AI165" s="35" t="str">
        <f>IF(Eingabe[[#This Row],[V3]]="","",Eingabe[[#This Row],[V3]]+Eingabe[[#This Row],[R3]])</f>
        <v/>
      </c>
      <c r="AJ165" s="35" t="str">
        <f>IF(Eingabe[[#This Row],[V4]]="","",Eingabe[[#This Row],[V4]]+Eingabe[[#This Row],[R4]])</f>
        <v/>
      </c>
      <c r="AK165" s="35" t="str">
        <f>IF(Eingabe[[#This Row],[S1P]]="","",Eingabe[[#This Row],[S1P]]+Eingabe[[#This Row],[S2P]]+Eingabe[[#This Row],[S3P]]+Eingabe[[#This Row],[S4P]])</f>
        <v/>
      </c>
      <c r="AL165" s="35" t="str">
        <f>IF(Eingabe[[#This Row],[S1P]]="","",IF(Eingabe[[#This Row],[SP]]&gt;2,1,IF(Eingabe[[#This Row],[SP]]&lt;2,0,IF(Eingabe[[#This Row],[GES]]&gt;Eingabe[[#This Row],[GEGGES]],1,IF(Eingabe[[#This Row],[GES]]=Eingabe[[#This Row],[GEGGES]],0.5,0)))))</f>
        <v/>
      </c>
      <c r="AM165" s="35" t="str">
        <f>IF(Eingabe[[#This Row],[MP]]="","",MOD(ROW(Eingabe[[#This Row],[Position]])-3,6)+1)</f>
        <v/>
      </c>
      <c r="AN165" s="35" t="e">
        <f>STANDARDIZE(Eingabe[[#This Row],[GES]],Eingabe[[#This Row],[Schnitt]],VLOOKUP(Eingabe[[#This Row],[Name]],AuswertungG[],21,FALSE))</f>
        <v>#VALUE!</v>
      </c>
      <c r="AO165" s="35">
        <f>VLOOKUP(Eingabe[[#This Row],[ID]],Chronologie[[ID]:[KW]],12,FALSE)</f>
        <v>26</v>
      </c>
      <c r="AP165" s="58" t="str">
        <f>IF(Eingabe[[#This Row],[Wo]]="H",Eingabe[[#This Row],[Gegner]]&amp;" ["&amp;Eingabe[[#This Row],[Wo]]&amp;"]",Eingabe[[#This Row],[Ort]])</f>
        <v>KSV Dresden-Leuben [H]</v>
      </c>
      <c r="AQ165" s="35" t="str">
        <f>IFERROR(IF(Eingabe[[#This Row],[Wo]]="H",IF(MOD(Eingabe[[#This Row],[Position]],2)=1,Eingabe[[#This Row],[S1]],Eingabe[[#This Row],[S4]]),""),"")</f>
        <v/>
      </c>
      <c r="AR165" s="35" t="str">
        <f>IFERROR(IF(Eingabe[[#This Row],[Wo]]="H",IF(Eingabe[[#This Row],[S1]]&gt;0,IF(MOD(Eingabe[[#This Row],[Position]],2)=1,Eingabe[[#This Row],[S2]],Eingabe[[#This Row],[S3]]),""),""),"")</f>
        <v/>
      </c>
      <c r="AS165" s="35" t="str">
        <f>IFERROR(IF(Eingabe[[#This Row],[Wo]]="H",IF(Eingabe[[#This Row],[S1]]&gt;0,IF(MOD(ROW(Eingabe[[#This Row],[Heimbahn 3]]),2)=1,Eingabe[[#This Row],[S4]],Eingabe[[#This Row],[S1]]),""),""),"")</f>
        <v/>
      </c>
      <c r="AT165" s="35" t="str">
        <f>IFERROR(IF(Eingabe[[#This Row],[Wo]]="H",IF(Eingabe[[#This Row],[S1]]&gt;0,IF(MOD(ROW(Eingabe[[#This Row],[Heimbahn 4]]),2)=1,Eingabe[[#This Row],[S3]],Eingabe[[#This Row],[S2]]),""),""),"")</f>
        <v/>
      </c>
      <c r="AU165" s="88" t="str">
        <f>IF(Eingabe[[#This Row],[GES]]="","",IF(Eingabe[[#This Row],[Modus]]="L",_xlfn.RANK.EQ(Eingabe[[#This Row],[GES]],AF165:AF170),IF(Eingabe[[#This Row],[Modus]]="P",_xlfn.RANK.EQ(Eingabe[[#This Row],[GES]],AF165:AF170),"")))</f>
        <v/>
      </c>
      <c r="AV165" s="6" t="e">
        <f>VLOOKUP(Eingabe[[#This Row],[Name]],AuswertungG[],8,FALSE)</f>
        <v>#N/A</v>
      </c>
      <c r="AZ165" s="6" t="str">
        <f>IFERROR(ABS(Eingabe[[#This Row],[GES]]-Eingabe[[#This Row],[GEGGES]]),"")</f>
        <v/>
      </c>
    </row>
    <row r="166" spans="1:52" ht="16.2" hidden="1" thickBot="1" x14ac:dyDescent="0.35">
      <c r="A166" s="441"/>
      <c r="B166" s="21">
        <f t="shared" si="22"/>
        <v>28</v>
      </c>
      <c r="C166" s="6" t="str">
        <f>VLOOKUP($B166,Chronologie[],7,TRUE)</f>
        <v>KSV Dresden-Leuben</v>
      </c>
      <c r="D166" s="6" t="str">
        <f>VLOOKUP($B166,Chronologie[],8,TRUE)</f>
        <v>Hirschfeld</v>
      </c>
      <c r="E166" s="240" t="str">
        <f>VLOOKUP($B166,Chronologie[],9,TRUE)</f>
        <v>H</v>
      </c>
      <c r="F166" s="6" t="str">
        <f>VLOOKUP($B166,Chronologie[],COLUMN(F167)-2,TRUE)</f>
        <v>F</v>
      </c>
      <c r="G166" s="6" t="str">
        <f>VLOOKUP($B166,Chronologie[],COLUMN(G167)-2,TRUE)</f>
        <v>L</v>
      </c>
      <c r="H166" s="6">
        <f>VLOOKUP($B166,Chronologie[],COLUMN(H167)-2,TRUE)</f>
        <v>10</v>
      </c>
      <c r="I166" s="10" t="str">
        <f>VLOOKUP($B166,Chronologie[],2,TRUE)</f>
        <v>F-L-10</v>
      </c>
      <c r="J166" s="243">
        <f>VLOOKUP($B166,Chronologie[],3,TRUE)</f>
        <v>46075</v>
      </c>
      <c r="K166" s="237"/>
      <c r="L166" s="237"/>
      <c r="M166" s="237"/>
      <c r="N166" s="237"/>
      <c r="O166" s="237"/>
      <c r="P166" s="237"/>
      <c r="Q166" s="237"/>
      <c r="R166" s="237"/>
      <c r="S166" s="237"/>
      <c r="T166" s="237"/>
      <c r="U166" s="237"/>
      <c r="V166" s="237"/>
      <c r="W166" s="237"/>
      <c r="X166" s="38"/>
      <c r="Y166" s="38"/>
      <c r="Z166" s="38"/>
      <c r="AA166" s="38"/>
      <c r="AB166" s="91"/>
      <c r="AC166" s="94" t="str">
        <f>IF(Eingabe[[#This Row],[V1]]="",IF(Eingabe[[#This Row],[Volle alternativ]]="","",Eingabe[[#This Row],[Volle alternativ]]),SUM(Eingabe[[#This Row],[V1]:[V4]]))</f>
        <v/>
      </c>
      <c r="AD166" s="6" t="str">
        <f>IF(Eingabe[[#This Row],[R1]]="",IF(Eingabe[[#This Row],[Räumer alternativ]]="","",Eingabe[[#This Row],[Räumer alternativ]]),SUM(Eingabe[[#This Row],[R1]:[R4]]))</f>
        <v/>
      </c>
      <c r="AE166" s="6" t="str">
        <f>IF(Eingabe[[#This Row],[F1]]="",IF(Eingabe[[#This Row],[Fehler alternativ]]="","",Eingabe[[#This Row],[Fehler alternativ]]),SUM(Eingabe[[#This Row],[F1]:[F4]]))</f>
        <v/>
      </c>
      <c r="AF166" s="6" t="str">
        <f>IF(Eingabe[[#This Row],[Volle]]="","",IF(Eingabe[[#This Row],[S1]]="",Eingabe[[#This Row],[Volle]]+Eingabe[[#This Row],[Räumer]],IF(Eingabe[[#This Row],[Volle]]+Eingabe[[#This Row],[Räumer]]=Eingabe[[#This Row],[S1]]+Eingabe[[#This Row],[S2]]+Eingabe[[#This Row],[S3]]+Eingabe[[#This Row],[S4]],Eingabe[[#This Row],[Volle]]+Eingabe[[#This Row],[Räumer]],"FEHLER")))</f>
        <v/>
      </c>
      <c r="AG166" s="6" t="str">
        <f>IF(Eingabe[[#This Row],[V1]]="","",Eingabe[[#This Row],[V1]]+Eingabe[[#This Row],[R1]])</f>
        <v/>
      </c>
      <c r="AH166" s="6" t="str">
        <f>IF(Eingabe[[#This Row],[V2]]="","",Eingabe[[#This Row],[V2]]+Eingabe[[#This Row],[R2]])</f>
        <v/>
      </c>
      <c r="AI166" s="6" t="str">
        <f>IF(Eingabe[[#This Row],[V3]]="","",Eingabe[[#This Row],[V3]]+Eingabe[[#This Row],[R3]])</f>
        <v/>
      </c>
      <c r="AJ166" s="6" t="str">
        <f>IF(Eingabe[[#This Row],[V4]]="","",Eingabe[[#This Row],[V4]]+Eingabe[[#This Row],[R4]])</f>
        <v/>
      </c>
      <c r="AK166" s="6" t="str">
        <f>IF(Eingabe[[#This Row],[S1P]]="","",Eingabe[[#This Row],[S1P]]+Eingabe[[#This Row],[S2P]]+Eingabe[[#This Row],[S3P]]+Eingabe[[#This Row],[S4P]])</f>
        <v/>
      </c>
      <c r="AL166" s="6" t="str">
        <f>IF(Eingabe[[#This Row],[S1P]]="","",IF(Eingabe[[#This Row],[SP]]&gt;2,1,IF(Eingabe[[#This Row],[SP]]&lt;2,0,IF(Eingabe[[#This Row],[GES]]&gt;Eingabe[[#This Row],[GEGGES]],1,IF(Eingabe[[#This Row],[GES]]=Eingabe[[#This Row],[GEGGES]],0.5,0)))))</f>
        <v/>
      </c>
      <c r="AM166" s="6" t="str">
        <f>IF(Eingabe[[#This Row],[MP]]="","",MOD(ROW(Eingabe[[#This Row],[Position]])-3,6)+1)</f>
        <v/>
      </c>
      <c r="AN166" s="6" t="e">
        <f>STANDARDIZE(Eingabe[[#This Row],[GES]],Eingabe[[#This Row],[Schnitt]],VLOOKUP(Eingabe[[#This Row],[Name]],AuswertungG[],21,FALSE))</f>
        <v>#VALUE!</v>
      </c>
      <c r="AO166" s="6">
        <f>VLOOKUP(Eingabe[[#This Row],[ID]],Chronologie[[ID]:[KW]],12,FALSE)</f>
        <v>26</v>
      </c>
      <c r="AP166" s="95" t="str">
        <f>IF(Eingabe[[#This Row],[Wo]]="H",Eingabe[[#This Row],[Gegner]]&amp;" ["&amp;Eingabe[[#This Row],[Wo]]&amp;"]",Eingabe[[#This Row],[Ort]])</f>
        <v>KSV Dresden-Leuben [H]</v>
      </c>
      <c r="AQ166" s="6" t="str">
        <f>IFERROR(IF(Eingabe[[#This Row],[Wo]]="H",IF(MOD(Eingabe[[#This Row],[Position]],2)=1,Eingabe[[#This Row],[S1]],Eingabe[[#This Row],[S4]]),""),"")</f>
        <v/>
      </c>
      <c r="AR166" s="6" t="str">
        <f>IFERROR(IF(Eingabe[[#This Row],[Wo]]="H",IF(Eingabe[[#This Row],[S1]]&gt;0,IF(MOD(Eingabe[[#This Row],[Position]],2)=1,Eingabe[[#This Row],[S2]],Eingabe[[#This Row],[S3]]),""),""),"")</f>
        <v/>
      </c>
      <c r="AS166" s="6" t="str">
        <f>IFERROR(IF(Eingabe[[#This Row],[Wo]]="H",IF(Eingabe[[#This Row],[S1]]&gt;0,IF(MOD(ROW(Eingabe[[#This Row],[Heimbahn 3]]),2)=1,Eingabe[[#This Row],[S4]],Eingabe[[#This Row],[S1]]),""),""),"")</f>
        <v/>
      </c>
      <c r="AT166" s="6" t="str">
        <f>IFERROR(IF(Eingabe[[#This Row],[Wo]]="H",IF(Eingabe[[#This Row],[S1]]&gt;0,IF(MOD(ROW(Eingabe[[#This Row],[Heimbahn 4]]),2)=1,Eingabe[[#This Row],[S3]],Eingabe[[#This Row],[S2]]),""),""),"")</f>
        <v/>
      </c>
      <c r="AU166" s="22" t="str">
        <f>IF(Eingabe[[#This Row],[GES]]="","",IF(Eingabe[[#This Row],[Modus]]="L",_xlfn.RANK.EQ(Eingabe[[#This Row],[GES]],AF165:AF170),IF(Eingabe[[#This Row],[Modus]]="P",_xlfn.RANK.EQ(Eingabe[[#This Row],[GES]],AF165:AF170),"")))</f>
        <v/>
      </c>
      <c r="AV166" s="6" t="e">
        <f>VLOOKUP(Eingabe[[#This Row],[Name]],AuswertungG[],8,FALSE)</f>
        <v>#N/A</v>
      </c>
      <c r="AZ166" s="6" t="str">
        <f>IFERROR(ABS(Eingabe[[#This Row],[GES]]-Eingabe[[#This Row],[GEGGES]]),"")</f>
        <v/>
      </c>
    </row>
    <row r="167" spans="1:52" ht="16.2" hidden="1" thickBot="1" x14ac:dyDescent="0.35">
      <c r="A167" s="441"/>
      <c r="B167" s="21">
        <f t="shared" si="22"/>
        <v>28</v>
      </c>
      <c r="C167" s="6" t="str">
        <f>VLOOKUP($B167,Chronologie[],7,TRUE)</f>
        <v>KSV Dresden-Leuben</v>
      </c>
      <c r="D167" s="6" t="str">
        <f>VLOOKUP($B167,Chronologie[],8,TRUE)</f>
        <v>Hirschfeld</v>
      </c>
      <c r="E167" s="240" t="str">
        <f>VLOOKUP($B167,Chronologie[],9,TRUE)</f>
        <v>H</v>
      </c>
      <c r="F167" s="6" t="str">
        <f>VLOOKUP($B167,Chronologie[],COLUMN(F168)-2,TRUE)</f>
        <v>F</v>
      </c>
      <c r="G167" s="6" t="str">
        <f>VLOOKUP($B167,Chronologie[],COLUMN(G168)-2,TRUE)</f>
        <v>L</v>
      </c>
      <c r="H167" s="6">
        <f>VLOOKUP($B167,Chronologie[],COLUMN(H168)-2,TRUE)</f>
        <v>10</v>
      </c>
      <c r="I167" s="10" t="str">
        <f>VLOOKUP($B167,Chronologie[],2,TRUE)</f>
        <v>F-L-10</v>
      </c>
      <c r="J167" s="243">
        <f>VLOOKUP($B167,Chronologie[],3,TRUE)</f>
        <v>46075</v>
      </c>
      <c r="K167" s="237"/>
      <c r="L167" s="237"/>
      <c r="M167" s="237"/>
      <c r="N167" s="237"/>
      <c r="O167" s="237"/>
      <c r="P167" s="237"/>
      <c r="Q167" s="237"/>
      <c r="R167" s="237"/>
      <c r="S167" s="237"/>
      <c r="T167" s="237"/>
      <c r="U167" s="237"/>
      <c r="V167" s="237"/>
      <c r="W167" s="237"/>
      <c r="X167" s="38"/>
      <c r="Y167" s="38"/>
      <c r="Z167" s="38"/>
      <c r="AA167" s="38"/>
      <c r="AB167" s="91"/>
      <c r="AC167" s="94" t="str">
        <f>IF(Eingabe[[#This Row],[V1]]="",IF(Eingabe[[#This Row],[Volle alternativ]]="","",Eingabe[[#This Row],[Volle alternativ]]),SUM(Eingabe[[#This Row],[V1]:[V4]]))</f>
        <v/>
      </c>
      <c r="AD167" s="6" t="str">
        <f>IF(Eingabe[[#This Row],[R1]]="",IF(Eingabe[[#This Row],[Räumer alternativ]]="","",Eingabe[[#This Row],[Räumer alternativ]]),SUM(Eingabe[[#This Row],[R1]:[R4]]))</f>
        <v/>
      </c>
      <c r="AE167" s="6" t="str">
        <f>IF(Eingabe[[#This Row],[F1]]="",IF(Eingabe[[#This Row],[Fehler alternativ]]="","",Eingabe[[#This Row],[Fehler alternativ]]),SUM(Eingabe[[#This Row],[F1]:[F4]]))</f>
        <v/>
      </c>
      <c r="AF167" s="6" t="str">
        <f>IF(Eingabe[[#This Row],[Volle]]="","",IF(Eingabe[[#This Row],[S1]]="",Eingabe[[#This Row],[Volle]]+Eingabe[[#This Row],[Räumer]],IF(Eingabe[[#This Row],[Volle]]+Eingabe[[#This Row],[Räumer]]=Eingabe[[#This Row],[S1]]+Eingabe[[#This Row],[S2]]+Eingabe[[#This Row],[S3]]+Eingabe[[#This Row],[S4]],Eingabe[[#This Row],[Volle]]+Eingabe[[#This Row],[Räumer]],"FEHLER")))</f>
        <v/>
      </c>
      <c r="AG167" s="6" t="str">
        <f>IF(Eingabe[[#This Row],[V1]]="","",Eingabe[[#This Row],[V1]]+Eingabe[[#This Row],[R1]])</f>
        <v/>
      </c>
      <c r="AH167" s="6" t="str">
        <f>IF(Eingabe[[#This Row],[V2]]="","",Eingabe[[#This Row],[V2]]+Eingabe[[#This Row],[R2]])</f>
        <v/>
      </c>
      <c r="AI167" s="6" t="str">
        <f>IF(Eingabe[[#This Row],[V3]]="","",Eingabe[[#This Row],[V3]]+Eingabe[[#This Row],[R3]])</f>
        <v/>
      </c>
      <c r="AJ167" s="6" t="str">
        <f>IF(Eingabe[[#This Row],[V4]]="","",Eingabe[[#This Row],[V4]]+Eingabe[[#This Row],[R4]])</f>
        <v/>
      </c>
      <c r="AK167" s="6" t="str">
        <f>IF(Eingabe[[#This Row],[S1P]]="","",Eingabe[[#This Row],[S1P]]+Eingabe[[#This Row],[S2P]]+Eingabe[[#This Row],[S3P]]+Eingabe[[#This Row],[S4P]])</f>
        <v/>
      </c>
      <c r="AL167" s="6" t="str">
        <f>IF(Eingabe[[#This Row],[S1P]]="","",IF(Eingabe[[#This Row],[SP]]&gt;2,1,IF(Eingabe[[#This Row],[SP]]&lt;2,0,IF(Eingabe[[#This Row],[GES]]&gt;Eingabe[[#This Row],[GEGGES]],1,IF(Eingabe[[#This Row],[GES]]=Eingabe[[#This Row],[GEGGES]],0.5,0)))))</f>
        <v/>
      </c>
      <c r="AM167" s="6" t="str">
        <f>IF(Eingabe[[#This Row],[MP]]="","",MOD(ROW(Eingabe[[#This Row],[Position]])-3,6)+1)</f>
        <v/>
      </c>
      <c r="AN167" s="6" t="e">
        <f>STANDARDIZE(Eingabe[[#This Row],[GES]],Eingabe[[#This Row],[Schnitt]],VLOOKUP(Eingabe[[#This Row],[Name]],AuswertungG[],21,FALSE))</f>
        <v>#VALUE!</v>
      </c>
      <c r="AO167" s="6">
        <f>VLOOKUP(Eingabe[[#This Row],[ID]],Chronologie[[ID]:[KW]],12,FALSE)</f>
        <v>26</v>
      </c>
      <c r="AP167" s="95" t="str">
        <f>IF(Eingabe[[#This Row],[Wo]]="H",Eingabe[[#This Row],[Gegner]]&amp;" ["&amp;Eingabe[[#This Row],[Wo]]&amp;"]",Eingabe[[#This Row],[Ort]])</f>
        <v>KSV Dresden-Leuben [H]</v>
      </c>
      <c r="AQ167" s="6" t="str">
        <f>IFERROR(IF(Eingabe[[#This Row],[Wo]]="H",IF(MOD(Eingabe[[#This Row],[Position]],2)=1,Eingabe[[#This Row],[S1]],Eingabe[[#This Row],[S4]]),""),"")</f>
        <v/>
      </c>
      <c r="AR167" s="6" t="str">
        <f>IFERROR(IF(Eingabe[[#This Row],[Wo]]="H",IF(Eingabe[[#This Row],[S1]]&gt;0,IF(MOD(Eingabe[[#This Row],[Position]],2)=1,Eingabe[[#This Row],[S2]],Eingabe[[#This Row],[S3]]),""),""),"")</f>
        <v/>
      </c>
      <c r="AS167" s="6" t="str">
        <f>IFERROR(IF(Eingabe[[#This Row],[Wo]]="H",IF(Eingabe[[#This Row],[S1]]&gt;0,IF(MOD(ROW(Eingabe[[#This Row],[Heimbahn 3]]),2)=1,Eingabe[[#This Row],[S4]],Eingabe[[#This Row],[S1]]),""),""),"")</f>
        <v/>
      </c>
      <c r="AT167" s="6" t="str">
        <f>IFERROR(IF(Eingabe[[#This Row],[Wo]]="H",IF(Eingabe[[#This Row],[S1]]&gt;0,IF(MOD(ROW(Eingabe[[#This Row],[Heimbahn 4]]),2)=1,Eingabe[[#This Row],[S3]],Eingabe[[#This Row],[S2]]),""),""),"")</f>
        <v/>
      </c>
      <c r="AU167" s="22" t="str">
        <f>IF(Eingabe[[#This Row],[GES]]="","",IF(Eingabe[[#This Row],[Modus]]="L",_xlfn.RANK.EQ(Eingabe[[#This Row],[GES]],AF165:AF170),IF(Eingabe[[#This Row],[Modus]]="P",_xlfn.RANK.EQ(Eingabe[[#This Row],[GES]],AF165:AF170),"")))</f>
        <v/>
      </c>
      <c r="AV167" s="6" t="e">
        <f>VLOOKUP(Eingabe[[#This Row],[Name]],AuswertungG[],8,FALSE)</f>
        <v>#N/A</v>
      </c>
      <c r="AZ167" s="6" t="str">
        <f>IFERROR(ABS(Eingabe[[#This Row],[GES]]-Eingabe[[#This Row],[GEGGES]]),"")</f>
        <v/>
      </c>
    </row>
    <row r="168" spans="1:52" ht="16.2" hidden="1" thickBot="1" x14ac:dyDescent="0.35">
      <c r="A168" s="441"/>
      <c r="B168" s="21">
        <f t="shared" si="22"/>
        <v>28</v>
      </c>
      <c r="C168" s="6" t="str">
        <f>VLOOKUP($B168,Chronologie[],7,TRUE)</f>
        <v>KSV Dresden-Leuben</v>
      </c>
      <c r="D168" s="6" t="str">
        <f>VLOOKUP($B168,Chronologie[],8,TRUE)</f>
        <v>Hirschfeld</v>
      </c>
      <c r="E168" s="240" t="str">
        <f>VLOOKUP($B168,Chronologie[],9,TRUE)</f>
        <v>H</v>
      </c>
      <c r="F168" s="6" t="str">
        <f>VLOOKUP($B168,Chronologie[],COLUMN(F169)-2,TRUE)</f>
        <v>F</v>
      </c>
      <c r="G168" s="6" t="str">
        <f>VLOOKUP($B168,Chronologie[],COLUMN(G169)-2,TRUE)</f>
        <v>L</v>
      </c>
      <c r="H168" s="6">
        <f>VLOOKUP($B168,Chronologie[],COLUMN(H169)-2,TRUE)</f>
        <v>10</v>
      </c>
      <c r="I168" s="10" t="str">
        <f>VLOOKUP($B168,Chronologie[],2,TRUE)</f>
        <v>F-L-10</v>
      </c>
      <c r="J168" s="243">
        <f>VLOOKUP($B168,Chronologie[],3,TRUE)</f>
        <v>46075</v>
      </c>
      <c r="K168" s="238"/>
      <c r="L168" s="237"/>
      <c r="M168" s="237"/>
      <c r="N168" s="237"/>
      <c r="O168" s="237"/>
      <c r="P168" s="237"/>
      <c r="Q168" s="237"/>
      <c r="R168" s="237"/>
      <c r="S168" s="237"/>
      <c r="T168" s="237"/>
      <c r="U168" s="237"/>
      <c r="V168" s="237"/>
      <c r="W168" s="237"/>
      <c r="X168" s="38"/>
      <c r="Y168" s="38"/>
      <c r="Z168" s="38"/>
      <c r="AA168" s="38"/>
      <c r="AB168" s="91"/>
      <c r="AC168" s="94" t="str">
        <f>IF(Eingabe[[#This Row],[V1]]="",IF(Eingabe[[#This Row],[Volle alternativ]]="","",Eingabe[[#This Row],[Volle alternativ]]),SUM(Eingabe[[#This Row],[V1]:[V4]]))</f>
        <v/>
      </c>
      <c r="AD168" s="6" t="str">
        <f>IF(Eingabe[[#This Row],[R1]]="",IF(Eingabe[[#This Row],[Räumer alternativ]]="","",Eingabe[[#This Row],[Räumer alternativ]]),SUM(Eingabe[[#This Row],[R1]:[R4]]))</f>
        <v/>
      </c>
      <c r="AE168" s="6" t="str">
        <f>IF(Eingabe[[#This Row],[F1]]="",IF(Eingabe[[#This Row],[Fehler alternativ]]="","",Eingabe[[#This Row],[Fehler alternativ]]),SUM(Eingabe[[#This Row],[F1]:[F4]]))</f>
        <v/>
      </c>
      <c r="AF168" s="6" t="str">
        <f>IF(Eingabe[[#This Row],[Volle]]="","",IF(Eingabe[[#This Row],[S1]]="",Eingabe[[#This Row],[Volle]]+Eingabe[[#This Row],[Räumer]],IF(Eingabe[[#This Row],[Volle]]+Eingabe[[#This Row],[Räumer]]=Eingabe[[#This Row],[S1]]+Eingabe[[#This Row],[S2]]+Eingabe[[#This Row],[S3]]+Eingabe[[#This Row],[S4]],Eingabe[[#This Row],[Volle]]+Eingabe[[#This Row],[Räumer]],"FEHLER")))</f>
        <v/>
      </c>
      <c r="AG168" s="6" t="str">
        <f>IF(Eingabe[[#This Row],[V1]]="","",Eingabe[[#This Row],[V1]]+Eingabe[[#This Row],[R1]])</f>
        <v/>
      </c>
      <c r="AH168" s="6" t="str">
        <f>IF(Eingabe[[#This Row],[V2]]="","",Eingabe[[#This Row],[V2]]+Eingabe[[#This Row],[R2]])</f>
        <v/>
      </c>
      <c r="AI168" s="6" t="str">
        <f>IF(Eingabe[[#This Row],[V3]]="","",Eingabe[[#This Row],[V3]]+Eingabe[[#This Row],[R3]])</f>
        <v/>
      </c>
      <c r="AJ168" s="6" t="str">
        <f>IF(Eingabe[[#This Row],[V4]]="","",Eingabe[[#This Row],[V4]]+Eingabe[[#This Row],[R4]])</f>
        <v/>
      </c>
      <c r="AK168" s="6" t="str">
        <f>IF(Eingabe[[#This Row],[S1P]]="","",Eingabe[[#This Row],[S1P]]+Eingabe[[#This Row],[S2P]]+Eingabe[[#This Row],[S3P]]+Eingabe[[#This Row],[S4P]])</f>
        <v/>
      </c>
      <c r="AL168" s="6" t="str">
        <f>IF(Eingabe[[#This Row],[S1P]]="","",IF(Eingabe[[#This Row],[SP]]&gt;2,1,IF(Eingabe[[#This Row],[SP]]&lt;2,0,IF(Eingabe[[#This Row],[GES]]&gt;Eingabe[[#This Row],[GEGGES]],1,IF(Eingabe[[#This Row],[GES]]=Eingabe[[#This Row],[GEGGES]],0.5,0)))))</f>
        <v/>
      </c>
      <c r="AM168" s="6" t="str">
        <f>IF(Eingabe[[#This Row],[MP]]="","",MOD(ROW(Eingabe[[#This Row],[Position]])-3,6)+1)</f>
        <v/>
      </c>
      <c r="AN168" s="6" t="e">
        <f>STANDARDIZE(Eingabe[[#This Row],[GES]],Eingabe[[#This Row],[Schnitt]],VLOOKUP(Eingabe[[#This Row],[Name]],AuswertungG[],21,FALSE))</f>
        <v>#VALUE!</v>
      </c>
      <c r="AO168" s="6">
        <f>VLOOKUP(Eingabe[[#This Row],[ID]],Chronologie[[ID]:[KW]],12,FALSE)</f>
        <v>26</v>
      </c>
      <c r="AP168" s="95" t="str">
        <f>IF(Eingabe[[#This Row],[Wo]]="H",Eingabe[[#This Row],[Gegner]]&amp;" ["&amp;Eingabe[[#This Row],[Wo]]&amp;"]",Eingabe[[#This Row],[Ort]])</f>
        <v>KSV Dresden-Leuben [H]</v>
      </c>
      <c r="AQ168" s="6" t="str">
        <f>IFERROR(IF(Eingabe[[#This Row],[Wo]]="H",IF(MOD(Eingabe[[#This Row],[Position]],2)=1,Eingabe[[#This Row],[S1]],Eingabe[[#This Row],[S4]]),""),"")</f>
        <v/>
      </c>
      <c r="AR168" s="6" t="str">
        <f>IFERROR(IF(Eingabe[[#This Row],[Wo]]="H",IF(Eingabe[[#This Row],[S1]]&gt;0,IF(MOD(Eingabe[[#This Row],[Position]],2)=1,Eingabe[[#This Row],[S2]],Eingabe[[#This Row],[S3]]),""),""),"")</f>
        <v/>
      </c>
      <c r="AS168" s="6" t="str">
        <f>IFERROR(IF(Eingabe[[#This Row],[Wo]]="H",IF(Eingabe[[#This Row],[S1]]&gt;0,IF(MOD(ROW(Eingabe[[#This Row],[Heimbahn 3]]),2)=1,Eingabe[[#This Row],[S4]],Eingabe[[#This Row],[S1]]),""),""),"")</f>
        <v/>
      </c>
      <c r="AT168" s="6" t="str">
        <f>IFERROR(IF(Eingabe[[#This Row],[Wo]]="H",IF(Eingabe[[#This Row],[S1]]&gt;0,IF(MOD(ROW(Eingabe[[#This Row],[Heimbahn 4]]),2)=1,Eingabe[[#This Row],[S3]],Eingabe[[#This Row],[S2]]),""),""),"")</f>
        <v/>
      </c>
      <c r="AU168" s="22" t="str">
        <f>IF(Eingabe[[#This Row],[GES]]="","",IF(Eingabe[[#This Row],[Modus]]="L",_xlfn.RANK.EQ(Eingabe[[#This Row],[GES]],AF165:AF170),IF(Eingabe[[#This Row],[Modus]]="P",_xlfn.RANK.EQ(Eingabe[[#This Row],[GES]],AF165:AF170),"")))</f>
        <v/>
      </c>
      <c r="AV168" s="6" t="e">
        <f>VLOOKUP(Eingabe[[#This Row],[Name]],AuswertungG[],8,FALSE)</f>
        <v>#N/A</v>
      </c>
      <c r="AZ168" s="6" t="str">
        <f>IFERROR(ABS(Eingabe[[#This Row],[GES]]-Eingabe[[#This Row],[GEGGES]]),"")</f>
        <v/>
      </c>
    </row>
    <row r="169" spans="1:52" ht="16.2" hidden="1" thickBot="1" x14ac:dyDescent="0.35">
      <c r="A169" s="441"/>
      <c r="B169" s="21">
        <f t="shared" si="22"/>
        <v>28</v>
      </c>
      <c r="C169" s="6" t="str">
        <f>VLOOKUP($B169,Chronologie[],7,TRUE)</f>
        <v>KSV Dresden-Leuben</v>
      </c>
      <c r="D169" s="6" t="str">
        <f>VLOOKUP($B169,Chronologie[],8,TRUE)</f>
        <v>Hirschfeld</v>
      </c>
      <c r="E169" s="240" t="str">
        <f>VLOOKUP($B169,Chronologie[],9,TRUE)</f>
        <v>H</v>
      </c>
      <c r="F169" s="6" t="str">
        <f>VLOOKUP($B169,Chronologie[],COLUMN(F170)-2,TRUE)</f>
        <v>F</v>
      </c>
      <c r="G169" s="6" t="str">
        <f>VLOOKUP($B169,Chronologie[],COLUMN(G170)-2,TRUE)</f>
        <v>L</v>
      </c>
      <c r="H169" s="6">
        <f>VLOOKUP($B169,Chronologie[],COLUMN(H170)-2,TRUE)</f>
        <v>10</v>
      </c>
      <c r="I169" s="10" t="str">
        <f>VLOOKUP($B169,Chronologie[],2,TRUE)</f>
        <v>F-L-10</v>
      </c>
      <c r="J169" s="243">
        <f>VLOOKUP($B169,Chronologie[],3,TRUE)</f>
        <v>46075</v>
      </c>
      <c r="K169" s="237"/>
      <c r="L169" s="237"/>
      <c r="M169" s="237"/>
      <c r="N169" s="237"/>
      <c r="O169" s="237"/>
      <c r="P169" s="237"/>
      <c r="Q169" s="237"/>
      <c r="R169" s="237"/>
      <c r="S169" s="237"/>
      <c r="T169" s="237"/>
      <c r="U169" s="237"/>
      <c r="V169" s="237"/>
      <c r="W169" s="237"/>
      <c r="X169" s="38"/>
      <c r="Y169" s="38"/>
      <c r="Z169" s="38"/>
      <c r="AA169" s="38"/>
      <c r="AB169" s="91"/>
      <c r="AC169" s="94" t="str">
        <f>IF(Eingabe[[#This Row],[V1]]="",IF(Eingabe[[#This Row],[Volle alternativ]]="","",Eingabe[[#This Row],[Volle alternativ]]),SUM(Eingabe[[#This Row],[V1]:[V4]]))</f>
        <v/>
      </c>
      <c r="AD169" s="6" t="str">
        <f>IF(Eingabe[[#This Row],[R1]]="",IF(Eingabe[[#This Row],[Räumer alternativ]]="","",Eingabe[[#This Row],[Räumer alternativ]]),SUM(Eingabe[[#This Row],[R1]:[R4]]))</f>
        <v/>
      </c>
      <c r="AE169" s="6" t="str">
        <f>IF(Eingabe[[#This Row],[F1]]="",IF(Eingabe[[#This Row],[Fehler alternativ]]="","",Eingabe[[#This Row],[Fehler alternativ]]),SUM(Eingabe[[#This Row],[F1]:[F4]]))</f>
        <v/>
      </c>
      <c r="AF169" s="6" t="str">
        <f>IF(Eingabe[[#This Row],[Volle]]="","",IF(Eingabe[[#This Row],[S1]]="",Eingabe[[#This Row],[Volle]]+Eingabe[[#This Row],[Räumer]],IF(Eingabe[[#This Row],[Volle]]+Eingabe[[#This Row],[Räumer]]=Eingabe[[#This Row],[S1]]+Eingabe[[#This Row],[S2]]+Eingabe[[#This Row],[S3]]+Eingabe[[#This Row],[S4]],Eingabe[[#This Row],[Volle]]+Eingabe[[#This Row],[Räumer]],"FEHLER")))</f>
        <v/>
      </c>
      <c r="AG169" s="6" t="str">
        <f>IF(Eingabe[[#This Row],[V1]]="","",Eingabe[[#This Row],[V1]]+Eingabe[[#This Row],[R1]])</f>
        <v/>
      </c>
      <c r="AH169" s="6" t="str">
        <f>IF(Eingabe[[#This Row],[V2]]="","",Eingabe[[#This Row],[V2]]+Eingabe[[#This Row],[R2]])</f>
        <v/>
      </c>
      <c r="AI169" s="6" t="str">
        <f>IF(Eingabe[[#This Row],[V3]]="","",Eingabe[[#This Row],[V3]]+Eingabe[[#This Row],[R3]])</f>
        <v/>
      </c>
      <c r="AJ169" s="6" t="str">
        <f>IF(Eingabe[[#This Row],[V4]]="","",Eingabe[[#This Row],[V4]]+Eingabe[[#This Row],[R4]])</f>
        <v/>
      </c>
      <c r="AK169" s="6" t="str">
        <f>IF(Eingabe[[#This Row],[S1P]]="","",Eingabe[[#This Row],[S1P]]+Eingabe[[#This Row],[S2P]]+Eingabe[[#This Row],[S3P]]+Eingabe[[#This Row],[S4P]])</f>
        <v/>
      </c>
      <c r="AL169" s="6" t="str">
        <f>IF(Eingabe[[#This Row],[S1P]]="","",IF(Eingabe[[#This Row],[SP]]&gt;2,1,IF(Eingabe[[#This Row],[SP]]&lt;2,0,IF(Eingabe[[#This Row],[GES]]&gt;Eingabe[[#This Row],[GEGGES]],1,IF(Eingabe[[#This Row],[GES]]=Eingabe[[#This Row],[GEGGES]],0.5,0)))))</f>
        <v/>
      </c>
      <c r="AM169" s="6" t="str">
        <f>IF(Eingabe[[#This Row],[MP]]="","",MOD(ROW(Eingabe[[#This Row],[Position]])-3,6)+1)</f>
        <v/>
      </c>
      <c r="AN169" s="6" t="e">
        <f>STANDARDIZE(Eingabe[[#This Row],[GES]],Eingabe[[#This Row],[Schnitt]],VLOOKUP(Eingabe[[#This Row],[Name]],AuswertungG[],21,FALSE))</f>
        <v>#VALUE!</v>
      </c>
      <c r="AO169" s="6">
        <f>VLOOKUP(Eingabe[[#This Row],[ID]],Chronologie[[ID]:[KW]],12,FALSE)</f>
        <v>26</v>
      </c>
      <c r="AP169" s="95" t="str">
        <f>IF(Eingabe[[#This Row],[Wo]]="H",Eingabe[[#This Row],[Gegner]]&amp;" ["&amp;Eingabe[[#This Row],[Wo]]&amp;"]",Eingabe[[#This Row],[Ort]])</f>
        <v>KSV Dresden-Leuben [H]</v>
      </c>
      <c r="AQ169" s="6" t="str">
        <f>IFERROR(IF(Eingabe[[#This Row],[Wo]]="H",IF(MOD(Eingabe[[#This Row],[Position]],2)=1,Eingabe[[#This Row],[S1]],Eingabe[[#This Row],[S4]]),""),"")</f>
        <v/>
      </c>
      <c r="AR169" s="6" t="str">
        <f>IFERROR(IF(Eingabe[[#This Row],[Wo]]="H",IF(Eingabe[[#This Row],[S1]]&gt;0,IF(MOD(Eingabe[[#This Row],[Position]],2)=1,Eingabe[[#This Row],[S2]],Eingabe[[#This Row],[S3]]),""),""),"")</f>
        <v/>
      </c>
      <c r="AS169" s="6" t="str">
        <f>IFERROR(IF(Eingabe[[#This Row],[Wo]]="H",IF(Eingabe[[#This Row],[S1]]&gt;0,IF(MOD(ROW(Eingabe[[#This Row],[Heimbahn 3]]),2)=1,Eingabe[[#This Row],[S4]],Eingabe[[#This Row],[S1]]),""),""),"")</f>
        <v/>
      </c>
      <c r="AT169" s="6" t="str">
        <f>IFERROR(IF(Eingabe[[#This Row],[Wo]]="H",IF(Eingabe[[#This Row],[S1]]&gt;0,IF(MOD(ROW(Eingabe[[#This Row],[Heimbahn 4]]),2)=1,Eingabe[[#This Row],[S3]],Eingabe[[#This Row],[S2]]),""),""),"")</f>
        <v/>
      </c>
      <c r="AU169" s="22" t="str">
        <f>IF(Eingabe[[#This Row],[GES]]="","",IF(Eingabe[[#This Row],[Modus]]="L",_xlfn.RANK.EQ(Eingabe[[#This Row],[GES]],AF165:AF170),IF(Eingabe[[#This Row],[Modus]]="P",_xlfn.RANK.EQ(Eingabe[[#This Row],[GES]],AF165:AF170),"")))</f>
        <v/>
      </c>
      <c r="AV169" s="6" t="e">
        <f>VLOOKUP(Eingabe[[#This Row],[Name]],AuswertungG[],8,FALSE)</f>
        <v>#N/A</v>
      </c>
      <c r="AZ169" s="6" t="str">
        <f>IFERROR(ABS(Eingabe[[#This Row],[GES]]-Eingabe[[#This Row],[GEGGES]]),"")</f>
        <v/>
      </c>
    </row>
    <row r="170" spans="1:52" ht="16.2" hidden="1" thickBot="1" x14ac:dyDescent="0.35">
      <c r="A170" s="442"/>
      <c r="B170" s="56">
        <f t="shared" si="22"/>
        <v>28</v>
      </c>
      <c r="C170" s="23" t="str">
        <f>VLOOKUP($B170,Chronologie[],7,TRUE)</f>
        <v>KSV Dresden-Leuben</v>
      </c>
      <c r="D170" s="23" t="str">
        <f>VLOOKUP($B170,Chronologie[],8,TRUE)</f>
        <v>Hirschfeld</v>
      </c>
      <c r="E170" s="39" t="str">
        <f>VLOOKUP($B170,Chronologie[],9,TRUE)</f>
        <v>H</v>
      </c>
      <c r="F170" s="23" t="str">
        <f>VLOOKUP($B170,Chronologie[],COLUMN(F171)-2,TRUE)</f>
        <v>F</v>
      </c>
      <c r="G170" s="23" t="str">
        <f>VLOOKUP($B170,Chronologie[],COLUMN(G171)-2,TRUE)</f>
        <v>L</v>
      </c>
      <c r="H170" s="23">
        <f>VLOOKUP($B170,Chronologie[],COLUMN(H171)-2,TRUE)</f>
        <v>10</v>
      </c>
      <c r="I170" s="13" t="str">
        <f>VLOOKUP($B170,Chronologie[],2,TRUE)</f>
        <v>F-L-10</v>
      </c>
      <c r="J170" s="244">
        <f>VLOOKUP($B170,Chronologie[],3,TRUE)</f>
        <v>46075</v>
      </c>
      <c r="K170" s="239"/>
      <c r="L170" s="239"/>
      <c r="M170" s="239"/>
      <c r="N170" s="239"/>
      <c r="O170" s="239"/>
      <c r="P170" s="239"/>
      <c r="Q170" s="239"/>
      <c r="R170" s="239"/>
      <c r="S170" s="239"/>
      <c r="T170" s="239"/>
      <c r="U170" s="239"/>
      <c r="V170" s="239"/>
      <c r="W170" s="239"/>
      <c r="X170" s="40"/>
      <c r="Y170" s="40"/>
      <c r="Z170" s="40"/>
      <c r="AA170" s="40"/>
      <c r="AB170" s="92"/>
      <c r="AC170" s="96" t="str">
        <f>IF(Eingabe[[#This Row],[V1]]="",IF(Eingabe[[#This Row],[Volle alternativ]]="","",Eingabe[[#This Row],[Volle alternativ]]),SUM(Eingabe[[#This Row],[V1]:[V4]]))</f>
        <v/>
      </c>
      <c r="AD170" s="23" t="str">
        <f>IF(Eingabe[[#This Row],[R1]]="",IF(Eingabe[[#This Row],[Räumer alternativ]]="","",Eingabe[[#This Row],[Räumer alternativ]]),SUM(Eingabe[[#This Row],[R1]:[R4]]))</f>
        <v/>
      </c>
      <c r="AE170" s="23" t="str">
        <f>IF(Eingabe[[#This Row],[F1]]="",IF(Eingabe[[#This Row],[Fehler alternativ]]="","",Eingabe[[#This Row],[Fehler alternativ]]),SUM(Eingabe[[#This Row],[F1]:[F4]]))</f>
        <v/>
      </c>
      <c r="AF170" s="23" t="str">
        <f>IF(Eingabe[[#This Row],[Volle]]="","",IF(Eingabe[[#This Row],[S1]]="",Eingabe[[#This Row],[Volle]]+Eingabe[[#This Row],[Räumer]],IF(Eingabe[[#This Row],[Volle]]+Eingabe[[#This Row],[Räumer]]=Eingabe[[#This Row],[S1]]+Eingabe[[#This Row],[S2]]+Eingabe[[#This Row],[S3]]+Eingabe[[#This Row],[S4]],Eingabe[[#This Row],[Volle]]+Eingabe[[#This Row],[Räumer]],"FEHLER")))</f>
        <v/>
      </c>
      <c r="AG170" s="23" t="str">
        <f>IF(Eingabe[[#This Row],[V1]]="","",Eingabe[[#This Row],[V1]]+Eingabe[[#This Row],[R1]])</f>
        <v/>
      </c>
      <c r="AH170" s="23" t="str">
        <f>IF(Eingabe[[#This Row],[V2]]="","",Eingabe[[#This Row],[V2]]+Eingabe[[#This Row],[R2]])</f>
        <v/>
      </c>
      <c r="AI170" s="23" t="str">
        <f>IF(Eingabe[[#This Row],[V3]]="","",Eingabe[[#This Row],[V3]]+Eingabe[[#This Row],[R3]])</f>
        <v/>
      </c>
      <c r="AJ170" s="23" t="str">
        <f>IF(Eingabe[[#This Row],[V4]]="","",Eingabe[[#This Row],[V4]]+Eingabe[[#This Row],[R4]])</f>
        <v/>
      </c>
      <c r="AK170" s="23" t="str">
        <f>IF(Eingabe[[#This Row],[S1P]]="","",Eingabe[[#This Row],[S1P]]+Eingabe[[#This Row],[S2P]]+Eingabe[[#This Row],[S3P]]+Eingabe[[#This Row],[S4P]])</f>
        <v/>
      </c>
      <c r="AL170" s="23" t="str">
        <f>IF(Eingabe[[#This Row],[S1P]]="","",IF(Eingabe[[#This Row],[SP]]&gt;2,1,IF(Eingabe[[#This Row],[SP]]&lt;2,0,IF(Eingabe[[#This Row],[GES]]&gt;Eingabe[[#This Row],[GEGGES]],1,IF(Eingabe[[#This Row],[GES]]=Eingabe[[#This Row],[GEGGES]],0.5,0)))))</f>
        <v/>
      </c>
      <c r="AM170" s="23" t="str">
        <f>IF(Eingabe[[#This Row],[MP]]="","",MOD(ROW(Eingabe[[#This Row],[Position]])-3,6)+1)</f>
        <v/>
      </c>
      <c r="AN170" s="23" t="e">
        <f>STANDARDIZE(Eingabe[[#This Row],[GES]],Eingabe[[#This Row],[Schnitt]],VLOOKUP(Eingabe[[#This Row],[Name]],AuswertungG[],21,FALSE))</f>
        <v>#VALUE!</v>
      </c>
      <c r="AO170" s="23">
        <f>VLOOKUP(Eingabe[[#This Row],[ID]],Chronologie[[ID]:[KW]],12,FALSE)</f>
        <v>26</v>
      </c>
      <c r="AP170" s="59" t="str">
        <f>IF(Eingabe[[#This Row],[Wo]]="H",Eingabe[[#This Row],[Gegner]]&amp;" ["&amp;Eingabe[[#This Row],[Wo]]&amp;"]",Eingabe[[#This Row],[Ort]])</f>
        <v>KSV Dresden-Leuben [H]</v>
      </c>
      <c r="AQ170" s="23" t="str">
        <f>IFERROR(IF(Eingabe[[#This Row],[Wo]]="H",IF(MOD(Eingabe[[#This Row],[Position]],2)=1,Eingabe[[#This Row],[S1]],Eingabe[[#This Row],[S4]]),""),"")</f>
        <v/>
      </c>
      <c r="AR170" s="23" t="str">
        <f>IFERROR(IF(Eingabe[[#This Row],[Wo]]="H",IF(Eingabe[[#This Row],[S1]]&gt;0,IF(MOD(Eingabe[[#This Row],[Position]],2)=1,Eingabe[[#This Row],[S2]],Eingabe[[#This Row],[S3]]),""),""),"")</f>
        <v/>
      </c>
      <c r="AS170" s="23" t="str">
        <f>IFERROR(IF(Eingabe[[#This Row],[Wo]]="H",IF(Eingabe[[#This Row],[S1]]&gt;0,IF(MOD(ROW(Eingabe[[#This Row],[Heimbahn 3]]),2)=1,Eingabe[[#This Row],[S4]],Eingabe[[#This Row],[S1]]),""),""),"")</f>
        <v/>
      </c>
      <c r="AT170" s="23" t="str">
        <f>IFERROR(IF(Eingabe[[#This Row],[Wo]]="H",IF(Eingabe[[#This Row],[S1]]&gt;0,IF(MOD(ROW(Eingabe[[#This Row],[Heimbahn 4]]),2)=1,Eingabe[[#This Row],[S3]],Eingabe[[#This Row],[S2]]),""),""),"")</f>
        <v/>
      </c>
      <c r="AU170" s="89" t="str">
        <f>IF(Eingabe[[#This Row],[GES]]="","",IF(Eingabe[[#This Row],[Modus]]="L",_xlfn.RANK.EQ(Eingabe[[#This Row],[GES]],AF165:AF170),IF(Eingabe[[#This Row],[Modus]]="P",_xlfn.RANK.EQ(Eingabe[[#This Row],[GES]],AF165:AF170),"")))</f>
        <v/>
      </c>
      <c r="AV170" s="6" t="e">
        <f>VLOOKUP(Eingabe[[#This Row],[Name]],AuswertungG[],8,FALSE)</f>
        <v>#N/A</v>
      </c>
      <c r="AZ170" s="6" t="str">
        <f>IFERROR(ABS(Eingabe[[#This Row],[GES]]-Eingabe[[#This Row],[GEGGES]]),"")</f>
        <v/>
      </c>
    </row>
    <row r="171" spans="1:52" ht="16.2" hidden="1" thickBot="1" x14ac:dyDescent="0.35">
      <c r="A171" s="440">
        <f t="shared" ref="A171" si="29">B171</f>
        <v>29</v>
      </c>
      <c r="B171" s="55">
        <f t="shared" si="22"/>
        <v>29</v>
      </c>
      <c r="C171" s="35" t="str">
        <f>VLOOKUP($B171,Chronologie[],7,TRUE)</f>
        <v>KSV 66 Steinitz</v>
      </c>
      <c r="D171" s="35" t="str">
        <f>VLOOKUP($B171,Chronologie[],8,TRUE)</f>
        <v>Königswartha</v>
      </c>
      <c r="E171" s="36" t="str">
        <f>VLOOKUP($B171,Chronologie[],9,TRUE)</f>
        <v>A</v>
      </c>
      <c r="F171" s="35" t="str">
        <f>VLOOKUP($B171,Chronologie[],COLUMN(F172)-2,TRUE)</f>
        <v>F</v>
      </c>
      <c r="G171" s="35" t="str">
        <f>VLOOKUP($B171,Chronologie[],COLUMN(G172)-2,TRUE)</f>
        <v>L</v>
      </c>
      <c r="H171" s="35">
        <f>VLOOKUP($B171,Chronologie[],COLUMN(H172)-2,TRUE)</f>
        <v>11</v>
      </c>
      <c r="I171" s="9" t="str">
        <f>VLOOKUP($B171,Chronologie[],2,TRUE)</f>
        <v>F-L-11</v>
      </c>
      <c r="J171" s="242">
        <f>VLOOKUP($B171,Chronologie[],3,TRUE)</f>
        <v>46082</v>
      </c>
      <c r="K171" s="236"/>
      <c r="L171" s="334"/>
      <c r="M171" s="334"/>
      <c r="N171" s="334"/>
      <c r="O171" s="334"/>
      <c r="P171" s="334"/>
      <c r="Q171" s="334"/>
      <c r="R171" s="334"/>
      <c r="S171" s="334"/>
      <c r="T171" s="334"/>
      <c r="U171" s="334"/>
      <c r="V171" s="334"/>
      <c r="W171" s="334"/>
      <c r="X171" s="37"/>
      <c r="Y171" s="37"/>
      <c r="Z171" s="37"/>
      <c r="AA171" s="37"/>
      <c r="AB171" s="90"/>
      <c r="AC171" s="93" t="str">
        <f>IF(Eingabe[[#This Row],[V1]]="",IF(Eingabe[[#This Row],[Volle alternativ]]="","",Eingabe[[#This Row],[Volle alternativ]]),SUM(Eingabe[[#This Row],[V1]:[V4]]))</f>
        <v/>
      </c>
      <c r="AD171" s="35" t="str">
        <f>IF(Eingabe[[#This Row],[R1]]="",IF(Eingabe[[#This Row],[Räumer alternativ]]="","",Eingabe[[#This Row],[Räumer alternativ]]),SUM(Eingabe[[#This Row],[R1]:[R4]]))</f>
        <v/>
      </c>
      <c r="AE171" s="35" t="str">
        <f>IF(Eingabe[[#This Row],[F1]]="",IF(Eingabe[[#This Row],[Fehler alternativ]]="","",Eingabe[[#This Row],[Fehler alternativ]]),SUM(Eingabe[[#This Row],[F1]:[F4]]))</f>
        <v/>
      </c>
      <c r="AF171" s="35" t="str">
        <f>IF(Eingabe[[#This Row],[Volle]]="","",IF(Eingabe[[#This Row],[S1]]="",Eingabe[[#This Row],[Volle]]+Eingabe[[#This Row],[Räumer]],IF(Eingabe[[#This Row],[Volle]]+Eingabe[[#This Row],[Räumer]]=Eingabe[[#This Row],[S1]]+Eingabe[[#This Row],[S2]]+Eingabe[[#This Row],[S3]]+Eingabe[[#This Row],[S4]],Eingabe[[#This Row],[Volle]]+Eingabe[[#This Row],[Räumer]],"FEHLER")))</f>
        <v/>
      </c>
      <c r="AG171" s="35" t="str">
        <f>IF(Eingabe[[#This Row],[V1]]="","",Eingabe[[#This Row],[V1]]+Eingabe[[#This Row],[R1]])</f>
        <v/>
      </c>
      <c r="AH171" s="35" t="str">
        <f>IF(Eingabe[[#This Row],[V2]]="","",Eingabe[[#This Row],[V2]]+Eingabe[[#This Row],[R2]])</f>
        <v/>
      </c>
      <c r="AI171" s="35" t="str">
        <f>IF(Eingabe[[#This Row],[V3]]="","",Eingabe[[#This Row],[V3]]+Eingabe[[#This Row],[R3]])</f>
        <v/>
      </c>
      <c r="AJ171" s="35" t="str">
        <f>IF(Eingabe[[#This Row],[V4]]="","",Eingabe[[#This Row],[V4]]+Eingabe[[#This Row],[R4]])</f>
        <v/>
      </c>
      <c r="AK171" s="35" t="str">
        <f>IF(Eingabe[[#This Row],[S1P]]="","",Eingabe[[#This Row],[S1P]]+Eingabe[[#This Row],[S2P]]+Eingabe[[#This Row],[S3P]]+Eingabe[[#This Row],[S4P]])</f>
        <v/>
      </c>
      <c r="AL171" s="35" t="str">
        <f>IF(Eingabe[[#This Row],[S1P]]="","",IF(Eingabe[[#This Row],[SP]]&gt;2,1,IF(Eingabe[[#This Row],[SP]]&lt;2,0,IF(Eingabe[[#This Row],[GES]]&gt;Eingabe[[#This Row],[GEGGES]],1,IF(Eingabe[[#This Row],[GES]]=Eingabe[[#This Row],[GEGGES]],0.5,0)))))</f>
        <v/>
      </c>
      <c r="AM171" s="35" t="str">
        <f>IF(Eingabe[[#This Row],[MP]]="","",MOD(ROW(Eingabe[[#This Row],[Position]])-3,6)+1)</f>
        <v/>
      </c>
      <c r="AN171" s="35" t="e">
        <f>STANDARDIZE(Eingabe[[#This Row],[GES]],Eingabe[[#This Row],[Schnitt]],VLOOKUP(Eingabe[[#This Row],[Name]],AuswertungG[],21,FALSE))</f>
        <v>#VALUE!</v>
      </c>
      <c r="AO171" s="35">
        <f>VLOOKUP(Eingabe[[#This Row],[ID]],Chronologie[[ID]:[KW]],12,FALSE)</f>
        <v>27</v>
      </c>
      <c r="AP171" s="58" t="str">
        <f>IF(Eingabe[[#This Row],[Wo]]="H",Eingabe[[#This Row],[Gegner]]&amp;" ["&amp;Eingabe[[#This Row],[Wo]]&amp;"]",Eingabe[[#This Row],[Ort]])</f>
        <v>Königswartha</v>
      </c>
      <c r="AQ171" s="35" t="str">
        <f>IFERROR(IF(Eingabe[[#This Row],[Wo]]="H",IF(MOD(Eingabe[[#This Row],[Position]],2)=1,Eingabe[[#This Row],[S1]],Eingabe[[#This Row],[S4]]),""),"")</f>
        <v/>
      </c>
      <c r="AR171" s="35" t="str">
        <f>IFERROR(IF(Eingabe[[#This Row],[Wo]]="H",IF(Eingabe[[#This Row],[S1]]&gt;0,IF(MOD(Eingabe[[#This Row],[Position]],2)=1,Eingabe[[#This Row],[S2]],Eingabe[[#This Row],[S3]]),""),""),"")</f>
        <v/>
      </c>
      <c r="AS171" s="35" t="str">
        <f>IFERROR(IF(Eingabe[[#This Row],[Wo]]="H",IF(Eingabe[[#This Row],[S1]]&gt;0,IF(MOD(ROW(Eingabe[[#This Row],[Heimbahn 3]]),2)=1,Eingabe[[#This Row],[S4]],Eingabe[[#This Row],[S1]]),""),""),"")</f>
        <v/>
      </c>
      <c r="AT171" s="35" t="str">
        <f>IFERROR(IF(Eingabe[[#This Row],[Wo]]="H",IF(Eingabe[[#This Row],[S1]]&gt;0,IF(MOD(ROW(Eingabe[[#This Row],[Heimbahn 4]]),2)=1,Eingabe[[#This Row],[S3]],Eingabe[[#This Row],[S2]]),""),""),"")</f>
        <v/>
      </c>
      <c r="AU171" s="88" t="str">
        <f>IF(Eingabe[[#This Row],[GES]]="","",IF(Eingabe[[#This Row],[Modus]]="L",_xlfn.RANK.EQ(Eingabe[[#This Row],[GES]],AF171:AF176),IF(Eingabe[[#This Row],[Modus]]="P",_xlfn.RANK.EQ(Eingabe[[#This Row],[GES]],AF171:AF176),"")))</f>
        <v/>
      </c>
      <c r="AV171" s="6" t="e">
        <f>VLOOKUP(Eingabe[[#This Row],[Name]],AuswertungG[],8,FALSE)</f>
        <v>#N/A</v>
      </c>
      <c r="AZ171" s="6" t="str">
        <f>IFERROR(ABS(Eingabe[[#This Row],[GES]]-Eingabe[[#This Row],[GEGGES]]),"")</f>
        <v/>
      </c>
    </row>
    <row r="172" spans="1:52" ht="16.2" hidden="1" thickBot="1" x14ac:dyDescent="0.35">
      <c r="A172" s="441"/>
      <c r="B172" s="21">
        <f t="shared" si="22"/>
        <v>29</v>
      </c>
      <c r="C172" s="6" t="str">
        <f>VLOOKUP($B172,Chronologie[],7,TRUE)</f>
        <v>KSV 66 Steinitz</v>
      </c>
      <c r="D172" s="6" t="str">
        <f>VLOOKUP($B172,Chronologie[],8,TRUE)</f>
        <v>Königswartha</v>
      </c>
      <c r="E172" s="240" t="str">
        <f>VLOOKUP($B172,Chronologie[],9,TRUE)</f>
        <v>A</v>
      </c>
      <c r="F172" s="6" t="str">
        <f>VLOOKUP($B172,Chronologie[],COLUMN(F173)-2,TRUE)</f>
        <v>F</v>
      </c>
      <c r="G172" s="6" t="str">
        <f>VLOOKUP($B172,Chronologie[],COLUMN(G173)-2,TRUE)</f>
        <v>L</v>
      </c>
      <c r="H172" s="6">
        <f>VLOOKUP($B172,Chronologie[],COLUMN(H173)-2,TRUE)</f>
        <v>11</v>
      </c>
      <c r="I172" s="10" t="str">
        <f>VLOOKUP($B172,Chronologie[],2,TRUE)</f>
        <v>F-L-11</v>
      </c>
      <c r="J172" s="243">
        <f>VLOOKUP($B172,Chronologie[],3,TRUE)</f>
        <v>46082</v>
      </c>
      <c r="K172" s="237"/>
      <c r="L172" s="237"/>
      <c r="M172" s="237"/>
      <c r="N172" s="237"/>
      <c r="O172" s="237"/>
      <c r="P172" s="237"/>
      <c r="Q172" s="237"/>
      <c r="R172" s="237"/>
      <c r="S172" s="237"/>
      <c r="T172" s="237"/>
      <c r="U172" s="237"/>
      <c r="V172" s="237"/>
      <c r="W172" s="237"/>
      <c r="X172" s="38"/>
      <c r="Y172" s="38"/>
      <c r="Z172" s="38"/>
      <c r="AA172" s="38"/>
      <c r="AB172" s="91"/>
      <c r="AC172" s="94" t="str">
        <f>IF(Eingabe[[#This Row],[V1]]="",IF(Eingabe[[#This Row],[Volle alternativ]]="","",Eingabe[[#This Row],[Volle alternativ]]),SUM(Eingabe[[#This Row],[V1]:[V4]]))</f>
        <v/>
      </c>
      <c r="AD172" s="6" t="str">
        <f>IF(Eingabe[[#This Row],[R1]]="",IF(Eingabe[[#This Row],[Räumer alternativ]]="","",Eingabe[[#This Row],[Räumer alternativ]]),SUM(Eingabe[[#This Row],[R1]:[R4]]))</f>
        <v/>
      </c>
      <c r="AE172" s="6" t="str">
        <f>IF(Eingabe[[#This Row],[F1]]="",IF(Eingabe[[#This Row],[Fehler alternativ]]="","",Eingabe[[#This Row],[Fehler alternativ]]),SUM(Eingabe[[#This Row],[F1]:[F4]]))</f>
        <v/>
      </c>
      <c r="AF172" s="6" t="str">
        <f>IF(Eingabe[[#This Row],[Volle]]="","",IF(Eingabe[[#This Row],[S1]]="",Eingabe[[#This Row],[Volle]]+Eingabe[[#This Row],[Räumer]],IF(Eingabe[[#This Row],[Volle]]+Eingabe[[#This Row],[Räumer]]=Eingabe[[#This Row],[S1]]+Eingabe[[#This Row],[S2]]+Eingabe[[#This Row],[S3]]+Eingabe[[#This Row],[S4]],Eingabe[[#This Row],[Volle]]+Eingabe[[#This Row],[Räumer]],"FEHLER")))</f>
        <v/>
      </c>
      <c r="AG172" s="6" t="str">
        <f>IF(Eingabe[[#This Row],[V1]]="","",Eingabe[[#This Row],[V1]]+Eingabe[[#This Row],[R1]])</f>
        <v/>
      </c>
      <c r="AH172" s="6" t="str">
        <f>IF(Eingabe[[#This Row],[V2]]="","",Eingabe[[#This Row],[V2]]+Eingabe[[#This Row],[R2]])</f>
        <v/>
      </c>
      <c r="AI172" s="6" t="str">
        <f>IF(Eingabe[[#This Row],[V3]]="","",Eingabe[[#This Row],[V3]]+Eingabe[[#This Row],[R3]])</f>
        <v/>
      </c>
      <c r="AJ172" s="6" t="str">
        <f>IF(Eingabe[[#This Row],[V4]]="","",Eingabe[[#This Row],[V4]]+Eingabe[[#This Row],[R4]])</f>
        <v/>
      </c>
      <c r="AK172" s="6" t="str">
        <f>IF(Eingabe[[#This Row],[S1P]]="","",Eingabe[[#This Row],[S1P]]+Eingabe[[#This Row],[S2P]]+Eingabe[[#This Row],[S3P]]+Eingabe[[#This Row],[S4P]])</f>
        <v/>
      </c>
      <c r="AL172" s="6" t="str">
        <f>IF(Eingabe[[#This Row],[S1P]]="","",IF(Eingabe[[#This Row],[SP]]&gt;2,1,IF(Eingabe[[#This Row],[SP]]&lt;2,0,IF(Eingabe[[#This Row],[GES]]&gt;Eingabe[[#This Row],[GEGGES]],1,IF(Eingabe[[#This Row],[GES]]=Eingabe[[#This Row],[GEGGES]],0.5,0)))))</f>
        <v/>
      </c>
      <c r="AM172" s="6" t="str">
        <f>IF(Eingabe[[#This Row],[MP]]="","",MOD(ROW(Eingabe[[#This Row],[Position]])-3,6)+1)</f>
        <v/>
      </c>
      <c r="AN172" s="6" t="e">
        <f>STANDARDIZE(Eingabe[[#This Row],[GES]],Eingabe[[#This Row],[Schnitt]],VLOOKUP(Eingabe[[#This Row],[Name]],AuswertungG[],21,FALSE))</f>
        <v>#VALUE!</v>
      </c>
      <c r="AO172" s="6">
        <f>VLOOKUP(Eingabe[[#This Row],[ID]],Chronologie[[ID]:[KW]],12,FALSE)</f>
        <v>27</v>
      </c>
      <c r="AP172" s="95" t="str">
        <f>IF(Eingabe[[#This Row],[Wo]]="H",Eingabe[[#This Row],[Gegner]]&amp;" ["&amp;Eingabe[[#This Row],[Wo]]&amp;"]",Eingabe[[#This Row],[Ort]])</f>
        <v>Königswartha</v>
      </c>
      <c r="AQ172" s="6" t="str">
        <f>IFERROR(IF(Eingabe[[#This Row],[Wo]]="H",IF(MOD(Eingabe[[#This Row],[Position]],2)=1,Eingabe[[#This Row],[S1]],Eingabe[[#This Row],[S4]]),""),"")</f>
        <v/>
      </c>
      <c r="AR172" s="6" t="str">
        <f>IFERROR(IF(Eingabe[[#This Row],[Wo]]="H",IF(Eingabe[[#This Row],[S1]]&gt;0,IF(MOD(Eingabe[[#This Row],[Position]],2)=1,Eingabe[[#This Row],[S2]],Eingabe[[#This Row],[S3]]),""),""),"")</f>
        <v/>
      </c>
      <c r="AS172" s="6" t="str">
        <f>IFERROR(IF(Eingabe[[#This Row],[Wo]]="H",IF(Eingabe[[#This Row],[S1]]&gt;0,IF(MOD(ROW(Eingabe[[#This Row],[Heimbahn 3]]),2)=1,Eingabe[[#This Row],[S4]],Eingabe[[#This Row],[S1]]),""),""),"")</f>
        <v/>
      </c>
      <c r="AT172" s="6" t="str">
        <f>IFERROR(IF(Eingabe[[#This Row],[Wo]]="H",IF(Eingabe[[#This Row],[S1]]&gt;0,IF(MOD(ROW(Eingabe[[#This Row],[Heimbahn 4]]),2)=1,Eingabe[[#This Row],[S3]],Eingabe[[#This Row],[S2]]),""),""),"")</f>
        <v/>
      </c>
      <c r="AU172" s="22" t="str">
        <f>IF(Eingabe[[#This Row],[GES]]="","",IF(Eingabe[[#This Row],[Modus]]="L",_xlfn.RANK.EQ(Eingabe[[#This Row],[GES]],AF171:AF176),IF(Eingabe[[#This Row],[Modus]]="P",_xlfn.RANK.EQ(Eingabe[[#This Row],[GES]],AF171:AF176),"")))</f>
        <v/>
      </c>
      <c r="AV172" s="6" t="e">
        <f>VLOOKUP(Eingabe[[#This Row],[Name]],AuswertungG[],8,FALSE)</f>
        <v>#N/A</v>
      </c>
      <c r="AZ172" s="6" t="str">
        <f>IFERROR(ABS(Eingabe[[#This Row],[GES]]-Eingabe[[#This Row],[GEGGES]]),"")</f>
        <v/>
      </c>
    </row>
    <row r="173" spans="1:52" ht="16.2" hidden="1" thickBot="1" x14ac:dyDescent="0.35">
      <c r="A173" s="441"/>
      <c r="B173" s="21">
        <f t="shared" si="22"/>
        <v>29</v>
      </c>
      <c r="C173" s="6" t="str">
        <f>VLOOKUP($B173,Chronologie[],7,TRUE)</f>
        <v>KSV 66 Steinitz</v>
      </c>
      <c r="D173" s="6" t="str">
        <f>VLOOKUP($B173,Chronologie[],8,TRUE)</f>
        <v>Königswartha</v>
      </c>
      <c r="E173" s="240" t="str">
        <f>VLOOKUP($B173,Chronologie[],9,TRUE)</f>
        <v>A</v>
      </c>
      <c r="F173" s="6" t="str">
        <f>VLOOKUP($B173,Chronologie[],COLUMN(F174)-2,TRUE)</f>
        <v>F</v>
      </c>
      <c r="G173" s="6" t="str">
        <f>VLOOKUP($B173,Chronologie[],COLUMN(G174)-2,TRUE)</f>
        <v>L</v>
      </c>
      <c r="H173" s="6">
        <f>VLOOKUP($B173,Chronologie[],COLUMN(H174)-2,TRUE)</f>
        <v>11</v>
      </c>
      <c r="I173" s="10" t="str">
        <f>VLOOKUP($B173,Chronologie[],2,TRUE)</f>
        <v>F-L-11</v>
      </c>
      <c r="J173" s="243">
        <f>VLOOKUP($B173,Chronologie[],3,TRUE)</f>
        <v>46082</v>
      </c>
      <c r="K173" s="237"/>
      <c r="L173" s="237"/>
      <c r="M173" s="237"/>
      <c r="N173" s="237"/>
      <c r="O173" s="237"/>
      <c r="P173" s="237"/>
      <c r="Q173" s="237"/>
      <c r="R173" s="237"/>
      <c r="S173" s="237"/>
      <c r="T173" s="237"/>
      <c r="U173" s="237"/>
      <c r="V173" s="237"/>
      <c r="W173" s="237"/>
      <c r="X173" s="38"/>
      <c r="Y173" s="38"/>
      <c r="Z173" s="38"/>
      <c r="AA173" s="38"/>
      <c r="AB173" s="91"/>
      <c r="AC173" s="94" t="str">
        <f>IF(Eingabe[[#This Row],[V1]]="",IF(Eingabe[[#This Row],[Volle alternativ]]="","",Eingabe[[#This Row],[Volle alternativ]]),SUM(Eingabe[[#This Row],[V1]:[V4]]))</f>
        <v/>
      </c>
      <c r="AD173" s="6" t="str">
        <f>IF(Eingabe[[#This Row],[R1]]="",IF(Eingabe[[#This Row],[Räumer alternativ]]="","",Eingabe[[#This Row],[Räumer alternativ]]),SUM(Eingabe[[#This Row],[R1]:[R4]]))</f>
        <v/>
      </c>
      <c r="AE173" s="6" t="str">
        <f>IF(Eingabe[[#This Row],[F1]]="",IF(Eingabe[[#This Row],[Fehler alternativ]]="","",Eingabe[[#This Row],[Fehler alternativ]]),SUM(Eingabe[[#This Row],[F1]:[F4]]))</f>
        <v/>
      </c>
      <c r="AF173" s="6" t="str">
        <f>IF(Eingabe[[#This Row],[Volle]]="","",IF(Eingabe[[#This Row],[S1]]="",Eingabe[[#This Row],[Volle]]+Eingabe[[#This Row],[Räumer]],IF(Eingabe[[#This Row],[Volle]]+Eingabe[[#This Row],[Räumer]]=Eingabe[[#This Row],[S1]]+Eingabe[[#This Row],[S2]]+Eingabe[[#This Row],[S3]]+Eingabe[[#This Row],[S4]],Eingabe[[#This Row],[Volle]]+Eingabe[[#This Row],[Räumer]],"FEHLER")))</f>
        <v/>
      </c>
      <c r="AG173" s="6" t="str">
        <f>IF(Eingabe[[#This Row],[V1]]="","",Eingabe[[#This Row],[V1]]+Eingabe[[#This Row],[R1]])</f>
        <v/>
      </c>
      <c r="AH173" s="6" t="str">
        <f>IF(Eingabe[[#This Row],[V2]]="","",Eingabe[[#This Row],[V2]]+Eingabe[[#This Row],[R2]])</f>
        <v/>
      </c>
      <c r="AI173" s="6" t="str">
        <f>IF(Eingabe[[#This Row],[V3]]="","",Eingabe[[#This Row],[V3]]+Eingabe[[#This Row],[R3]])</f>
        <v/>
      </c>
      <c r="AJ173" s="6" t="str">
        <f>IF(Eingabe[[#This Row],[V4]]="","",Eingabe[[#This Row],[V4]]+Eingabe[[#This Row],[R4]])</f>
        <v/>
      </c>
      <c r="AK173" s="6" t="str">
        <f>IF(Eingabe[[#This Row],[S1P]]="","",Eingabe[[#This Row],[S1P]]+Eingabe[[#This Row],[S2P]]+Eingabe[[#This Row],[S3P]]+Eingabe[[#This Row],[S4P]])</f>
        <v/>
      </c>
      <c r="AL173" s="6" t="str">
        <f>IF(Eingabe[[#This Row],[S1P]]="","",IF(Eingabe[[#This Row],[SP]]&gt;2,1,IF(Eingabe[[#This Row],[SP]]&lt;2,0,IF(Eingabe[[#This Row],[GES]]&gt;Eingabe[[#This Row],[GEGGES]],1,IF(Eingabe[[#This Row],[GES]]=Eingabe[[#This Row],[GEGGES]],0.5,0)))))</f>
        <v/>
      </c>
      <c r="AM173" s="6" t="str">
        <f>IF(Eingabe[[#This Row],[MP]]="","",MOD(ROW(Eingabe[[#This Row],[Position]])-3,6)+1)</f>
        <v/>
      </c>
      <c r="AN173" s="6" t="e">
        <f>STANDARDIZE(Eingabe[[#This Row],[GES]],Eingabe[[#This Row],[Schnitt]],VLOOKUP(Eingabe[[#This Row],[Name]],AuswertungG[],21,FALSE))</f>
        <v>#VALUE!</v>
      </c>
      <c r="AO173" s="6">
        <f>VLOOKUP(Eingabe[[#This Row],[ID]],Chronologie[[ID]:[KW]],12,FALSE)</f>
        <v>27</v>
      </c>
      <c r="AP173" s="95" t="str">
        <f>IF(Eingabe[[#This Row],[Wo]]="H",Eingabe[[#This Row],[Gegner]]&amp;" ["&amp;Eingabe[[#This Row],[Wo]]&amp;"]",Eingabe[[#This Row],[Ort]])</f>
        <v>Königswartha</v>
      </c>
      <c r="AQ173" s="6" t="str">
        <f>IFERROR(IF(Eingabe[[#This Row],[Wo]]="H",IF(MOD(Eingabe[[#This Row],[Position]],2)=1,Eingabe[[#This Row],[S1]],Eingabe[[#This Row],[S4]]),""),"")</f>
        <v/>
      </c>
      <c r="AR173" s="6" t="str">
        <f>IFERROR(IF(Eingabe[[#This Row],[Wo]]="H",IF(Eingabe[[#This Row],[S1]]&gt;0,IF(MOD(Eingabe[[#This Row],[Position]],2)=1,Eingabe[[#This Row],[S2]],Eingabe[[#This Row],[S3]]),""),""),"")</f>
        <v/>
      </c>
      <c r="AS173" s="6" t="str">
        <f>IFERROR(IF(Eingabe[[#This Row],[Wo]]="H",IF(Eingabe[[#This Row],[S1]]&gt;0,IF(MOD(ROW(Eingabe[[#This Row],[Heimbahn 3]]),2)=1,Eingabe[[#This Row],[S4]],Eingabe[[#This Row],[S1]]),""),""),"")</f>
        <v/>
      </c>
      <c r="AT173" s="6" t="str">
        <f>IFERROR(IF(Eingabe[[#This Row],[Wo]]="H",IF(Eingabe[[#This Row],[S1]]&gt;0,IF(MOD(ROW(Eingabe[[#This Row],[Heimbahn 4]]),2)=1,Eingabe[[#This Row],[S3]],Eingabe[[#This Row],[S2]]),""),""),"")</f>
        <v/>
      </c>
      <c r="AU173" s="22" t="str">
        <f>IF(Eingabe[[#This Row],[GES]]="","",IF(Eingabe[[#This Row],[Modus]]="L",_xlfn.RANK.EQ(Eingabe[[#This Row],[GES]],AF171:AF176),IF(Eingabe[[#This Row],[Modus]]="P",_xlfn.RANK.EQ(Eingabe[[#This Row],[GES]],AF171:AF176),"")))</f>
        <v/>
      </c>
      <c r="AV173" s="6" t="e">
        <f>VLOOKUP(Eingabe[[#This Row],[Name]],AuswertungG[],8,FALSE)</f>
        <v>#N/A</v>
      </c>
      <c r="AZ173" s="6" t="str">
        <f>IFERROR(ABS(Eingabe[[#This Row],[GES]]-Eingabe[[#This Row],[GEGGES]]),"")</f>
        <v/>
      </c>
    </row>
    <row r="174" spans="1:52" ht="16.2" hidden="1" thickBot="1" x14ac:dyDescent="0.35">
      <c r="A174" s="441"/>
      <c r="B174" s="21">
        <f t="shared" si="22"/>
        <v>29</v>
      </c>
      <c r="C174" s="6" t="str">
        <f>VLOOKUP($B174,Chronologie[],7,TRUE)</f>
        <v>KSV 66 Steinitz</v>
      </c>
      <c r="D174" s="6" t="str">
        <f>VLOOKUP($B174,Chronologie[],8,TRUE)</f>
        <v>Königswartha</v>
      </c>
      <c r="E174" s="240" t="str">
        <f>VLOOKUP($B174,Chronologie[],9,TRUE)</f>
        <v>A</v>
      </c>
      <c r="F174" s="6" t="str">
        <f>VLOOKUP($B174,Chronologie[],COLUMN(F175)-2,TRUE)</f>
        <v>F</v>
      </c>
      <c r="G174" s="6" t="str">
        <f>VLOOKUP($B174,Chronologie[],COLUMN(G175)-2,TRUE)</f>
        <v>L</v>
      </c>
      <c r="H174" s="6">
        <f>VLOOKUP($B174,Chronologie[],COLUMN(H175)-2,TRUE)</f>
        <v>11</v>
      </c>
      <c r="I174" s="10" t="str">
        <f>VLOOKUP($B174,Chronologie[],2,TRUE)</f>
        <v>F-L-11</v>
      </c>
      <c r="J174" s="243">
        <f>VLOOKUP($B174,Chronologie[],3,TRUE)</f>
        <v>46082</v>
      </c>
      <c r="K174" s="238"/>
      <c r="L174" s="237"/>
      <c r="M174" s="237"/>
      <c r="N174" s="237"/>
      <c r="O174" s="237"/>
      <c r="P174" s="237"/>
      <c r="Q174" s="237"/>
      <c r="R174" s="237"/>
      <c r="S174" s="237"/>
      <c r="T174" s="237"/>
      <c r="U174" s="237"/>
      <c r="V174" s="237"/>
      <c r="W174" s="237"/>
      <c r="X174" s="38"/>
      <c r="Y174" s="38"/>
      <c r="Z174" s="38"/>
      <c r="AA174" s="38"/>
      <c r="AB174" s="91"/>
      <c r="AC174" s="94" t="str">
        <f>IF(Eingabe[[#This Row],[V1]]="",IF(Eingabe[[#This Row],[Volle alternativ]]="","",Eingabe[[#This Row],[Volle alternativ]]),SUM(Eingabe[[#This Row],[V1]:[V4]]))</f>
        <v/>
      </c>
      <c r="AD174" s="6" t="str">
        <f>IF(Eingabe[[#This Row],[R1]]="",IF(Eingabe[[#This Row],[Räumer alternativ]]="","",Eingabe[[#This Row],[Räumer alternativ]]),SUM(Eingabe[[#This Row],[R1]:[R4]]))</f>
        <v/>
      </c>
      <c r="AE174" s="6" t="str">
        <f>IF(Eingabe[[#This Row],[F1]]="",IF(Eingabe[[#This Row],[Fehler alternativ]]="","",Eingabe[[#This Row],[Fehler alternativ]]),SUM(Eingabe[[#This Row],[F1]:[F4]]))</f>
        <v/>
      </c>
      <c r="AF174" s="6" t="str">
        <f>IF(Eingabe[[#This Row],[Volle]]="","",IF(Eingabe[[#This Row],[S1]]="",Eingabe[[#This Row],[Volle]]+Eingabe[[#This Row],[Räumer]],IF(Eingabe[[#This Row],[Volle]]+Eingabe[[#This Row],[Räumer]]=Eingabe[[#This Row],[S1]]+Eingabe[[#This Row],[S2]]+Eingabe[[#This Row],[S3]]+Eingabe[[#This Row],[S4]],Eingabe[[#This Row],[Volle]]+Eingabe[[#This Row],[Räumer]],"FEHLER")))</f>
        <v/>
      </c>
      <c r="AG174" s="6" t="str">
        <f>IF(Eingabe[[#This Row],[V1]]="","",Eingabe[[#This Row],[V1]]+Eingabe[[#This Row],[R1]])</f>
        <v/>
      </c>
      <c r="AH174" s="6" t="str">
        <f>IF(Eingabe[[#This Row],[V2]]="","",Eingabe[[#This Row],[V2]]+Eingabe[[#This Row],[R2]])</f>
        <v/>
      </c>
      <c r="AI174" s="6" t="str">
        <f>IF(Eingabe[[#This Row],[V3]]="","",Eingabe[[#This Row],[V3]]+Eingabe[[#This Row],[R3]])</f>
        <v/>
      </c>
      <c r="AJ174" s="6" t="str">
        <f>IF(Eingabe[[#This Row],[V4]]="","",Eingabe[[#This Row],[V4]]+Eingabe[[#This Row],[R4]])</f>
        <v/>
      </c>
      <c r="AK174" s="6" t="str">
        <f>IF(Eingabe[[#This Row],[S1P]]="","",Eingabe[[#This Row],[S1P]]+Eingabe[[#This Row],[S2P]]+Eingabe[[#This Row],[S3P]]+Eingabe[[#This Row],[S4P]])</f>
        <v/>
      </c>
      <c r="AL174" s="6" t="str">
        <f>IF(Eingabe[[#This Row],[S1P]]="","",IF(Eingabe[[#This Row],[SP]]&gt;2,1,IF(Eingabe[[#This Row],[SP]]&lt;2,0,IF(Eingabe[[#This Row],[GES]]&gt;Eingabe[[#This Row],[GEGGES]],1,IF(Eingabe[[#This Row],[GES]]=Eingabe[[#This Row],[GEGGES]],0.5,0)))))</f>
        <v/>
      </c>
      <c r="AM174" s="6" t="str">
        <f>IF(Eingabe[[#This Row],[MP]]="","",MOD(ROW(Eingabe[[#This Row],[Position]])-3,6)+1)</f>
        <v/>
      </c>
      <c r="AN174" s="6" t="e">
        <f>STANDARDIZE(Eingabe[[#This Row],[GES]],Eingabe[[#This Row],[Schnitt]],VLOOKUP(Eingabe[[#This Row],[Name]],AuswertungG[],21,FALSE))</f>
        <v>#VALUE!</v>
      </c>
      <c r="AO174" s="6">
        <f>VLOOKUP(Eingabe[[#This Row],[ID]],Chronologie[[ID]:[KW]],12,FALSE)</f>
        <v>27</v>
      </c>
      <c r="AP174" s="95" t="str">
        <f>IF(Eingabe[[#This Row],[Wo]]="H",Eingabe[[#This Row],[Gegner]]&amp;" ["&amp;Eingabe[[#This Row],[Wo]]&amp;"]",Eingabe[[#This Row],[Ort]])</f>
        <v>Königswartha</v>
      </c>
      <c r="AQ174" s="6" t="str">
        <f>IFERROR(IF(Eingabe[[#This Row],[Wo]]="H",IF(MOD(Eingabe[[#This Row],[Position]],2)=1,Eingabe[[#This Row],[S1]],Eingabe[[#This Row],[S4]]),""),"")</f>
        <v/>
      </c>
      <c r="AR174" s="6" t="str">
        <f>IFERROR(IF(Eingabe[[#This Row],[Wo]]="H",IF(Eingabe[[#This Row],[S1]]&gt;0,IF(MOD(Eingabe[[#This Row],[Position]],2)=1,Eingabe[[#This Row],[S2]],Eingabe[[#This Row],[S3]]),""),""),"")</f>
        <v/>
      </c>
      <c r="AS174" s="6" t="str">
        <f>IFERROR(IF(Eingabe[[#This Row],[Wo]]="H",IF(Eingabe[[#This Row],[S1]]&gt;0,IF(MOD(ROW(Eingabe[[#This Row],[Heimbahn 3]]),2)=1,Eingabe[[#This Row],[S4]],Eingabe[[#This Row],[S1]]),""),""),"")</f>
        <v/>
      </c>
      <c r="AT174" s="6" t="str">
        <f>IFERROR(IF(Eingabe[[#This Row],[Wo]]="H",IF(Eingabe[[#This Row],[S1]]&gt;0,IF(MOD(ROW(Eingabe[[#This Row],[Heimbahn 4]]),2)=1,Eingabe[[#This Row],[S3]],Eingabe[[#This Row],[S2]]),""),""),"")</f>
        <v/>
      </c>
      <c r="AU174" s="22" t="str">
        <f>IF(Eingabe[[#This Row],[GES]]="","",IF(Eingabe[[#This Row],[Modus]]="L",_xlfn.RANK.EQ(Eingabe[[#This Row],[GES]],AF171:AF176),IF(Eingabe[[#This Row],[Modus]]="P",_xlfn.RANK.EQ(Eingabe[[#This Row],[GES]],AF171:AF176),"")))</f>
        <v/>
      </c>
      <c r="AV174" s="6" t="e">
        <f>VLOOKUP(Eingabe[[#This Row],[Name]],AuswertungG[],8,FALSE)</f>
        <v>#N/A</v>
      </c>
      <c r="AZ174" s="6" t="str">
        <f>IFERROR(ABS(Eingabe[[#This Row],[GES]]-Eingabe[[#This Row],[GEGGES]]),"")</f>
        <v/>
      </c>
    </row>
    <row r="175" spans="1:52" ht="16.2" hidden="1" thickBot="1" x14ac:dyDescent="0.35">
      <c r="A175" s="441"/>
      <c r="B175" s="21">
        <f t="shared" si="22"/>
        <v>29</v>
      </c>
      <c r="C175" s="6" t="str">
        <f>VLOOKUP($B175,Chronologie[],7,TRUE)</f>
        <v>KSV 66 Steinitz</v>
      </c>
      <c r="D175" s="6" t="str">
        <f>VLOOKUP($B175,Chronologie[],8,TRUE)</f>
        <v>Königswartha</v>
      </c>
      <c r="E175" s="240" t="str">
        <f>VLOOKUP($B175,Chronologie[],9,TRUE)</f>
        <v>A</v>
      </c>
      <c r="F175" s="6" t="str">
        <f>VLOOKUP($B175,Chronologie[],COLUMN(F176)-2,TRUE)</f>
        <v>F</v>
      </c>
      <c r="G175" s="6" t="str">
        <f>VLOOKUP($B175,Chronologie[],COLUMN(G176)-2,TRUE)</f>
        <v>L</v>
      </c>
      <c r="H175" s="6">
        <f>VLOOKUP($B175,Chronologie[],COLUMN(H176)-2,TRUE)</f>
        <v>11</v>
      </c>
      <c r="I175" s="10" t="str">
        <f>VLOOKUP($B175,Chronologie[],2,TRUE)</f>
        <v>F-L-11</v>
      </c>
      <c r="J175" s="243">
        <f>VLOOKUP($B175,Chronologie[],3,TRUE)</f>
        <v>46082</v>
      </c>
      <c r="K175" s="237"/>
      <c r="L175" s="237"/>
      <c r="M175" s="237"/>
      <c r="N175" s="237"/>
      <c r="O175" s="237"/>
      <c r="P175" s="237"/>
      <c r="Q175" s="237"/>
      <c r="R175" s="237"/>
      <c r="S175" s="237"/>
      <c r="T175" s="237"/>
      <c r="U175" s="237"/>
      <c r="V175" s="237"/>
      <c r="W175" s="237"/>
      <c r="X175" s="38"/>
      <c r="Y175" s="38"/>
      <c r="Z175" s="38"/>
      <c r="AA175" s="38"/>
      <c r="AB175" s="91"/>
      <c r="AC175" s="94" t="str">
        <f>IF(Eingabe[[#This Row],[V1]]="",IF(Eingabe[[#This Row],[Volle alternativ]]="","",Eingabe[[#This Row],[Volle alternativ]]),SUM(Eingabe[[#This Row],[V1]:[V4]]))</f>
        <v/>
      </c>
      <c r="AD175" s="6" t="str">
        <f>IF(Eingabe[[#This Row],[R1]]="",IF(Eingabe[[#This Row],[Räumer alternativ]]="","",Eingabe[[#This Row],[Räumer alternativ]]),SUM(Eingabe[[#This Row],[R1]:[R4]]))</f>
        <v/>
      </c>
      <c r="AE175" s="6" t="str">
        <f>IF(Eingabe[[#This Row],[F1]]="",IF(Eingabe[[#This Row],[Fehler alternativ]]="","",Eingabe[[#This Row],[Fehler alternativ]]),SUM(Eingabe[[#This Row],[F1]:[F4]]))</f>
        <v/>
      </c>
      <c r="AF175" s="6" t="str">
        <f>IF(Eingabe[[#This Row],[Volle]]="","",IF(Eingabe[[#This Row],[S1]]="",Eingabe[[#This Row],[Volle]]+Eingabe[[#This Row],[Räumer]],IF(Eingabe[[#This Row],[Volle]]+Eingabe[[#This Row],[Räumer]]=Eingabe[[#This Row],[S1]]+Eingabe[[#This Row],[S2]]+Eingabe[[#This Row],[S3]]+Eingabe[[#This Row],[S4]],Eingabe[[#This Row],[Volle]]+Eingabe[[#This Row],[Räumer]],"FEHLER")))</f>
        <v/>
      </c>
      <c r="AG175" s="6" t="str">
        <f>IF(Eingabe[[#This Row],[V1]]="","",Eingabe[[#This Row],[V1]]+Eingabe[[#This Row],[R1]])</f>
        <v/>
      </c>
      <c r="AH175" s="6" t="str">
        <f>IF(Eingabe[[#This Row],[V2]]="","",Eingabe[[#This Row],[V2]]+Eingabe[[#This Row],[R2]])</f>
        <v/>
      </c>
      <c r="AI175" s="6" t="str">
        <f>IF(Eingabe[[#This Row],[V3]]="","",Eingabe[[#This Row],[V3]]+Eingabe[[#This Row],[R3]])</f>
        <v/>
      </c>
      <c r="AJ175" s="6" t="str">
        <f>IF(Eingabe[[#This Row],[V4]]="","",Eingabe[[#This Row],[V4]]+Eingabe[[#This Row],[R4]])</f>
        <v/>
      </c>
      <c r="AK175" s="6" t="str">
        <f>IF(Eingabe[[#This Row],[S1P]]="","",Eingabe[[#This Row],[S1P]]+Eingabe[[#This Row],[S2P]]+Eingabe[[#This Row],[S3P]]+Eingabe[[#This Row],[S4P]])</f>
        <v/>
      </c>
      <c r="AL175" s="6" t="str">
        <f>IF(Eingabe[[#This Row],[S1P]]="","",IF(Eingabe[[#This Row],[SP]]&gt;2,1,IF(Eingabe[[#This Row],[SP]]&lt;2,0,IF(Eingabe[[#This Row],[GES]]&gt;Eingabe[[#This Row],[GEGGES]],1,IF(Eingabe[[#This Row],[GES]]=Eingabe[[#This Row],[GEGGES]],0.5,0)))))</f>
        <v/>
      </c>
      <c r="AM175" s="6" t="str">
        <f>IF(Eingabe[[#This Row],[MP]]="","",MOD(ROW(Eingabe[[#This Row],[Position]])-3,6)+1)</f>
        <v/>
      </c>
      <c r="AN175" s="6" t="e">
        <f>STANDARDIZE(Eingabe[[#This Row],[GES]],Eingabe[[#This Row],[Schnitt]],VLOOKUP(Eingabe[[#This Row],[Name]],AuswertungG[],21,FALSE))</f>
        <v>#VALUE!</v>
      </c>
      <c r="AO175" s="6">
        <f>VLOOKUP(Eingabe[[#This Row],[ID]],Chronologie[[ID]:[KW]],12,FALSE)</f>
        <v>27</v>
      </c>
      <c r="AP175" s="95" t="str">
        <f>IF(Eingabe[[#This Row],[Wo]]="H",Eingabe[[#This Row],[Gegner]]&amp;" ["&amp;Eingabe[[#This Row],[Wo]]&amp;"]",Eingabe[[#This Row],[Ort]])</f>
        <v>Königswartha</v>
      </c>
      <c r="AQ175" s="6" t="str">
        <f>IFERROR(IF(Eingabe[[#This Row],[Wo]]="H",IF(MOD(Eingabe[[#This Row],[Position]],2)=1,Eingabe[[#This Row],[S1]],Eingabe[[#This Row],[S4]]),""),"")</f>
        <v/>
      </c>
      <c r="AR175" s="6" t="str">
        <f>IFERROR(IF(Eingabe[[#This Row],[Wo]]="H",IF(Eingabe[[#This Row],[S1]]&gt;0,IF(MOD(Eingabe[[#This Row],[Position]],2)=1,Eingabe[[#This Row],[S2]],Eingabe[[#This Row],[S3]]),""),""),"")</f>
        <v/>
      </c>
      <c r="AS175" s="6" t="str">
        <f>IFERROR(IF(Eingabe[[#This Row],[Wo]]="H",IF(Eingabe[[#This Row],[S1]]&gt;0,IF(MOD(ROW(Eingabe[[#This Row],[Heimbahn 3]]),2)=1,Eingabe[[#This Row],[S4]],Eingabe[[#This Row],[S1]]),""),""),"")</f>
        <v/>
      </c>
      <c r="AT175" s="6" t="str">
        <f>IFERROR(IF(Eingabe[[#This Row],[Wo]]="H",IF(Eingabe[[#This Row],[S1]]&gt;0,IF(MOD(ROW(Eingabe[[#This Row],[Heimbahn 4]]),2)=1,Eingabe[[#This Row],[S3]],Eingabe[[#This Row],[S2]]),""),""),"")</f>
        <v/>
      </c>
      <c r="AU175" s="22" t="str">
        <f>IF(Eingabe[[#This Row],[GES]]="","",IF(Eingabe[[#This Row],[Modus]]="L",_xlfn.RANK.EQ(Eingabe[[#This Row],[GES]],AF171:AF176),IF(Eingabe[[#This Row],[Modus]]="P",_xlfn.RANK.EQ(Eingabe[[#This Row],[GES]],AF171:AF176),"")))</f>
        <v/>
      </c>
      <c r="AV175" s="6" t="e">
        <f>VLOOKUP(Eingabe[[#This Row],[Name]],AuswertungG[],8,FALSE)</f>
        <v>#N/A</v>
      </c>
      <c r="AZ175" s="6" t="str">
        <f>IFERROR(ABS(Eingabe[[#This Row],[GES]]-Eingabe[[#This Row],[GEGGES]]),"")</f>
        <v/>
      </c>
    </row>
    <row r="176" spans="1:52" ht="16.2" hidden="1" thickBot="1" x14ac:dyDescent="0.35">
      <c r="A176" s="442"/>
      <c r="B176" s="56">
        <f t="shared" si="22"/>
        <v>29</v>
      </c>
      <c r="C176" s="23" t="str">
        <f>VLOOKUP($B176,Chronologie[],7,TRUE)</f>
        <v>KSV 66 Steinitz</v>
      </c>
      <c r="D176" s="23" t="str">
        <f>VLOOKUP($B176,Chronologie[],8,TRUE)</f>
        <v>Königswartha</v>
      </c>
      <c r="E176" s="39" t="str">
        <f>VLOOKUP($B176,Chronologie[],9,TRUE)</f>
        <v>A</v>
      </c>
      <c r="F176" s="23" t="str">
        <f>VLOOKUP($B176,Chronologie[],COLUMN(F177)-2,TRUE)</f>
        <v>F</v>
      </c>
      <c r="G176" s="23" t="str">
        <f>VLOOKUP($B176,Chronologie[],COLUMN(G177)-2,TRUE)</f>
        <v>L</v>
      </c>
      <c r="H176" s="23">
        <f>VLOOKUP($B176,Chronologie[],COLUMN(H177)-2,TRUE)</f>
        <v>11</v>
      </c>
      <c r="I176" s="13" t="str">
        <f>VLOOKUP($B176,Chronologie[],2,TRUE)</f>
        <v>F-L-11</v>
      </c>
      <c r="J176" s="244">
        <f>VLOOKUP($B176,Chronologie[],3,TRUE)</f>
        <v>46082</v>
      </c>
      <c r="K176" s="239"/>
      <c r="L176" s="239"/>
      <c r="M176" s="239"/>
      <c r="N176" s="239"/>
      <c r="O176" s="239"/>
      <c r="P176" s="239"/>
      <c r="Q176" s="239"/>
      <c r="R176" s="239"/>
      <c r="S176" s="239"/>
      <c r="T176" s="239"/>
      <c r="U176" s="239"/>
      <c r="V176" s="239"/>
      <c r="W176" s="239"/>
      <c r="X176" s="40"/>
      <c r="Y176" s="40"/>
      <c r="Z176" s="40"/>
      <c r="AA176" s="40"/>
      <c r="AB176" s="92"/>
      <c r="AC176" s="96" t="str">
        <f>IF(Eingabe[[#This Row],[V1]]="",IF(Eingabe[[#This Row],[Volle alternativ]]="","",Eingabe[[#This Row],[Volle alternativ]]),SUM(Eingabe[[#This Row],[V1]:[V4]]))</f>
        <v/>
      </c>
      <c r="AD176" s="23" t="str">
        <f>IF(Eingabe[[#This Row],[R1]]="",IF(Eingabe[[#This Row],[Räumer alternativ]]="","",Eingabe[[#This Row],[Räumer alternativ]]),SUM(Eingabe[[#This Row],[R1]:[R4]]))</f>
        <v/>
      </c>
      <c r="AE176" s="23" t="str">
        <f>IF(Eingabe[[#This Row],[F1]]="",IF(Eingabe[[#This Row],[Fehler alternativ]]="","",Eingabe[[#This Row],[Fehler alternativ]]),SUM(Eingabe[[#This Row],[F1]:[F4]]))</f>
        <v/>
      </c>
      <c r="AF176" s="23" t="str">
        <f>IF(Eingabe[[#This Row],[Volle]]="","",IF(Eingabe[[#This Row],[S1]]="",Eingabe[[#This Row],[Volle]]+Eingabe[[#This Row],[Räumer]],IF(Eingabe[[#This Row],[Volle]]+Eingabe[[#This Row],[Räumer]]=Eingabe[[#This Row],[S1]]+Eingabe[[#This Row],[S2]]+Eingabe[[#This Row],[S3]]+Eingabe[[#This Row],[S4]],Eingabe[[#This Row],[Volle]]+Eingabe[[#This Row],[Räumer]],"FEHLER")))</f>
        <v/>
      </c>
      <c r="AG176" s="23" t="str">
        <f>IF(Eingabe[[#This Row],[V1]]="","",Eingabe[[#This Row],[V1]]+Eingabe[[#This Row],[R1]])</f>
        <v/>
      </c>
      <c r="AH176" s="23" t="str">
        <f>IF(Eingabe[[#This Row],[V2]]="","",Eingabe[[#This Row],[V2]]+Eingabe[[#This Row],[R2]])</f>
        <v/>
      </c>
      <c r="AI176" s="23" t="str">
        <f>IF(Eingabe[[#This Row],[V3]]="","",Eingabe[[#This Row],[V3]]+Eingabe[[#This Row],[R3]])</f>
        <v/>
      </c>
      <c r="AJ176" s="23" t="str">
        <f>IF(Eingabe[[#This Row],[V4]]="","",Eingabe[[#This Row],[V4]]+Eingabe[[#This Row],[R4]])</f>
        <v/>
      </c>
      <c r="AK176" s="23" t="str">
        <f>IF(Eingabe[[#This Row],[S1P]]="","",Eingabe[[#This Row],[S1P]]+Eingabe[[#This Row],[S2P]]+Eingabe[[#This Row],[S3P]]+Eingabe[[#This Row],[S4P]])</f>
        <v/>
      </c>
      <c r="AL176" s="23" t="str">
        <f>IF(Eingabe[[#This Row],[S1P]]="","",IF(Eingabe[[#This Row],[SP]]&gt;2,1,IF(Eingabe[[#This Row],[SP]]&lt;2,0,IF(Eingabe[[#This Row],[GES]]&gt;Eingabe[[#This Row],[GEGGES]],1,IF(Eingabe[[#This Row],[GES]]=Eingabe[[#This Row],[GEGGES]],0.5,0)))))</f>
        <v/>
      </c>
      <c r="AM176" s="23" t="str">
        <f>IF(Eingabe[[#This Row],[MP]]="","",MOD(ROW(Eingabe[[#This Row],[Position]])-3,6)+1)</f>
        <v/>
      </c>
      <c r="AN176" s="23" t="e">
        <f>STANDARDIZE(Eingabe[[#This Row],[GES]],Eingabe[[#This Row],[Schnitt]],VLOOKUP(Eingabe[[#This Row],[Name]],AuswertungG[],21,FALSE))</f>
        <v>#VALUE!</v>
      </c>
      <c r="AO176" s="23">
        <f>VLOOKUP(Eingabe[[#This Row],[ID]],Chronologie[[ID]:[KW]],12,FALSE)</f>
        <v>27</v>
      </c>
      <c r="AP176" s="59" t="str">
        <f>IF(Eingabe[[#This Row],[Wo]]="H",Eingabe[[#This Row],[Gegner]]&amp;" ["&amp;Eingabe[[#This Row],[Wo]]&amp;"]",Eingabe[[#This Row],[Ort]])</f>
        <v>Königswartha</v>
      </c>
      <c r="AQ176" s="23" t="str">
        <f>IFERROR(IF(Eingabe[[#This Row],[Wo]]="H",IF(MOD(Eingabe[[#This Row],[Position]],2)=1,Eingabe[[#This Row],[S1]],Eingabe[[#This Row],[S4]]),""),"")</f>
        <v/>
      </c>
      <c r="AR176" s="23" t="str">
        <f>IFERROR(IF(Eingabe[[#This Row],[Wo]]="H",IF(Eingabe[[#This Row],[S1]]&gt;0,IF(MOD(Eingabe[[#This Row],[Position]],2)=1,Eingabe[[#This Row],[S2]],Eingabe[[#This Row],[S3]]),""),""),"")</f>
        <v/>
      </c>
      <c r="AS176" s="23" t="str">
        <f>IFERROR(IF(Eingabe[[#This Row],[Wo]]="H",IF(Eingabe[[#This Row],[S1]]&gt;0,IF(MOD(ROW(Eingabe[[#This Row],[Heimbahn 3]]),2)=1,Eingabe[[#This Row],[S4]],Eingabe[[#This Row],[S1]]),""),""),"")</f>
        <v/>
      </c>
      <c r="AT176" s="23" t="str">
        <f>IFERROR(IF(Eingabe[[#This Row],[Wo]]="H",IF(Eingabe[[#This Row],[S1]]&gt;0,IF(MOD(ROW(Eingabe[[#This Row],[Heimbahn 4]]),2)=1,Eingabe[[#This Row],[S3]],Eingabe[[#This Row],[S2]]),""),""),"")</f>
        <v/>
      </c>
      <c r="AU176" s="89" t="str">
        <f>IF(Eingabe[[#This Row],[GES]]="","",IF(Eingabe[[#This Row],[Modus]]="L",_xlfn.RANK.EQ(Eingabe[[#This Row],[GES]],AF171:AF176),IF(Eingabe[[#This Row],[Modus]]="P",_xlfn.RANK.EQ(Eingabe[[#This Row],[GES]],AF171:AF176),"")))</f>
        <v/>
      </c>
      <c r="AV176" s="6" t="e">
        <f>VLOOKUP(Eingabe[[#This Row],[Name]],AuswertungG[],8,FALSE)</f>
        <v>#N/A</v>
      </c>
      <c r="AZ176" s="6" t="str">
        <f>IFERROR(ABS(Eingabe[[#This Row],[GES]]-Eingabe[[#This Row],[GEGGES]]),"")</f>
        <v/>
      </c>
    </row>
    <row r="177" spans="1:52" ht="16.2" hidden="1" thickBot="1" x14ac:dyDescent="0.35">
      <c r="A177" s="440">
        <f t="shared" ref="A177" si="30">B177</f>
        <v>30</v>
      </c>
      <c r="B177" s="55">
        <f t="shared" si="22"/>
        <v>30</v>
      </c>
      <c r="C177" s="35" t="str">
        <f>VLOOKUP($B177,Chronologie[],7,TRUE)</f>
        <v>KSC Stahl Rietschen</v>
      </c>
      <c r="D177" s="35" t="str">
        <f>VLOOKUP($B177,Chronologie[],8,TRUE)</f>
        <v>Hirschfeld</v>
      </c>
      <c r="E177" s="36" t="str">
        <f>VLOOKUP($B177,Chronologie[],9,TRUE)</f>
        <v>H</v>
      </c>
      <c r="F177" s="35" t="str">
        <f>VLOOKUP($B177,Chronologie[],COLUMN(F178)-2,TRUE)</f>
        <v>F</v>
      </c>
      <c r="G177" s="35" t="str">
        <f>VLOOKUP($B177,Chronologie[],COLUMN(G178)-2,TRUE)</f>
        <v>L</v>
      </c>
      <c r="H177" s="35">
        <f>VLOOKUP($B177,Chronologie[],COLUMN(H178)-2,TRUE)</f>
        <v>12</v>
      </c>
      <c r="I177" s="9" t="str">
        <f>VLOOKUP($B177,Chronologie[],2,TRUE)</f>
        <v>F-L-12</v>
      </c>
      <c r="J177" s="242">
        <f>VLOOKUP($B177,Chronologie[],3,TRUE)</f>
        <v>46096</v>
      </c>
      <c r="K177" s="236"/>
      <c r="L177" s="334"/>
      <c r="M177" s="334"/>
      <c r="N177" s="334"/>
      <c r="O177" s="334"/>
      <c r="P177" s="334"/>
      <c r="Q177" s="334"/>
      <c r="R177" s="334"/>
      <c r="S177" s="334"/>
      <c r="T177" s="334"/>
      <c r="U177" s="334"/>
      <c r="V177" s="334"/>
      <c r="W177" s="334"/>
      <c r="X177" s="37"/>
      <c r="Y177" s="37"/>
      <c r="Z177" s="37"/>
      <c r="AA177" s="37"/>
      <c r="AB177" s="90"/>
      <c r="AC177" s="93" t="str">
        <f>IF(Eingabe[[#This Row],[V1]]="",IF(Eingabe[[#This Row],[Volle alternativ]]="","",Eingabe[[#This Row],[Volle alternativ]]),SUM(Eingabe[[#This Row],[V1]:[V4]]))</f>
        <v/>
      </c>
      <c r="AD177" s="35" t="str">
        <f>IF(Eingabe[[#This Row],[R1]]="",IF(Eingabe[[#This Row],[Räumer alternativ]]="","",Eingabe[[#This Row],[Räumer alternativ]]),SUM(Eingabe[[#This Row],[R1]:[R4]]))</f>
        <v/>
      </c>
      <c r="AE177" s="35" t="str">
        <f>IF(Eingabe[[#This Row],[F1]]="",IF(Eingabe[[#This Row],[Fehler alternativ]]="","",Eingabe[[#This Row],[Fehler alternativ]]),SUM(Eingabe[[#This Row],[F1]:[F4]]))</f>
        <v/>
      </c>
      <c r="AF177" s="35" t="str">
        <f>IF(Eingabe[[#This Row],[Volle]]="","",IF(Eingabe[[#This Row],[S1]]="",Eingabe[[#This Row],[Volle]]+Eingabe[[#This Row],[Räumer]],IF(Eingabe[[#This Row],[Volle]]+Eingabe[[#This Row],[Räumer]]=Eingabe[[#This Row],[S1]]+Eingabe[[#This Row],[S2]]+Eingabe[[#This Row],[S3]]+Eingabe[[#This Row],[S4]],Eingabe[[#This Row],[Volle]]+Eingabe[[#This Row],[Räumer]],"FEHLER")))</f>
        <v/>
      </c>
      <c r="AG177" s="35" t="str">
        <f>IF(Eingabe[[#This Row],[V1]]="","",Eingabe[[#This Row],[V1]]+Eingabe[[#This Row],[R1]])</f>
        <v/>
      </c>
      <c r="AH177" s="35" t="str">
        <f>IF(Eingabe[[#This Row],[V2]]="","",Eingabe[[#This Row],[V2]]+Eingabe[[#This Row],[R2]])</f>
        <v/>
      </c>
      <c r="AI177" s="35" t="str">
        <f>IF(Eingabe[[#This Row],[V3]]="","",Eingabe[[#This Row],[V3]]+Eingabe[[#This Row],[R3]])</f>
        <v/>
      </c>
      <c r="AJ177" s="35" t="str">
        <f>IF(Eingabe[[#This Row],[V4]]="","",Eingabe[[#This Row],[V4]]+Eingabe[[#This Row],[R4]])</f>
        <v/>
      </c>
      <c r="AK177" s="35" t="str">
        <f>IF(Eingabe[[#This Row],[S1P]]="","",Eingabe[[#This Row],[S1P]]+Eingabe[[#This Row],[S2P]]+Eingabe[[#This Row],[S3P]]+Eingabe[[#This Row],[S4P]])</f>
        <v/>
      </c>
      <c r="AL177" s="35" t="str">
        <f>IF(Eingabe[[#This Row],[S1P]]="","",IF(Eingabe[[#This Row],[SP]]&gt;2,1,IF(Eingabe[[#This Row],[SP]]&lt;2,0,IF(Eingabe[[#This Row],[GES]]&gt;Eingabe[[#This Row],[GEGGES]],1,IF(Eingabe[[#This Row],[GES]]=Eingabe[[#This Row],[GEGGES]],0.5,0)))))</f>
        <v/>
      </c>
      <c r="AM177" s="35" t="str">
        <f>IF(Eingabe[[#This Row],[MP]]="","",MOD(ROW(Eingabe[[#This Row],[Position]])-3,6)+1)</f>
        <v/>
      </c>
      <c r="AN177" s="35" t="e">
        <f>STANDARDIZE(Eingabe[[#This Row],[GES]],Eingabe[[#This Row],[Schnitt]],VLOOKUP(Eingabe[[#This Row],[Name]],AuswertungG[],21,FALSE))</f>
        <v>#VALUE!</v>
      </c>
      <c r="AO177" s="35">
        <f>VLOOKUP(Eingabe[[#This Row],[ID]],Chronologie[[ID]:[KW]],12,FALSE)</f>
        <v>29</v>
      </c>
      <c r="AP177" s="58" t="str">
        <f>IF(Eingabe[[#This Row],[Wo]]="H",Eingabe[[#This Row],[Gegner]]&amp;" ["&amp;Eingabe[[#This Row],[Wo]]&amp;"]",Eingabe[[#This Row],[Ort]])</f>
        <v>KSC Stahl Rietschen [H]</v>
      </c>
      <c r="AQ177" s="35" t="str">
        <f>IFERROR(IF(Eingabe[[#This Row],[Wo]]="H",IF(MOD(Eingabe[[#This Row],[Position]],2)=1,Eingabe[[#This Row],[S1]],Eingabe[[#This Row],[S4]]),""),"")</f>
        <v/>
      </c>
      <c r="AR177" s="35" t="str">
        <f>IFERROR(IF(Eingabe[[#This Row],[Wo]]="H",IF(Eingabe[[#This Row],[S1]]&gt;0,IF(MOD(Eingabe[[#This Row],[Position]],2)=1,Eingabe[[#This Row],[S2]],Eingabe[[#This Row],[S3]]),""),""),"")</f>
        <v/>
      </c>
      <c r="AS177" s="35" t="str">
        <f>IFERROR(IF(Eingabe[[#This Row],[Wo]]="H",IF(Eingabe[[#This Row],[S1]]&gt;0,IF(MOD(ROW(Eingabe[[#This Row],[Heimbahn 3]]),2)=1,Eingabe[[#This Row],[S4]],Eingabe[[#This Row],[S1]]),""),""),"")</f>
        <v/>
      </c>
      <c r="AT177" s="35" t="str">
        <f>IFERROR(IF(Eingabe[[#This Row],[Wo]]="H",IF(Eingabe[[#This Row],[S1]]&gt;0,IF(MOD(ROW(Eingabe[[#This Row],[Heimbahn 4]]),2)=1,Eingabe[[#This Row],[S3]],Eingabe[[#This Row],[S2]]),""),""),"")</f>
        <v/>
      </c>
      <c r="AU177" s="88" t="str">
        <f>IF(Eingabe[[#This Row],[GES]]="","",IF(Eingabe[[#This Row],[Modus]]="L",_xlfn.RANK.EQ(Eingabe[[#This Row],[GES]],AF177:AF182),IF(Eingabe[[#This Row],[Modus]]="P",_xlfn.RANK.EQ(Eingabe[[#This Row],[GES]],AF177:AF182),"")))</f>
        <v/>
      </c>
      <c r="AV177" s="6" t="e">
        <f>VLOOKUP(Eingabe[[#This Row],[Name]],AuswertungG[],8,FALSE)</f>
        <v>#N/A</v>
      </c>
      <c r="AZ177" s="6" t="str">
        <f>IFERROR(ABS(Eingabe[[#This Row],[GES]]-Eingabe[[#This Row],[GEGGES]]),"")</f>
        <v/>
      </c>
    </row>
    <row r="178" spans="1:52" ht="16.2" hidden="1" thickBot="1" x14ac:dyDescent="0.35">
      <c r="A178" s="441"/>
      <c r="B178" s="21">
        <f t="shared" si="22"/>
        <v>30</v>
      </c>
      <c r="C178" s="6" t="str">
        <f>VLOOKUP($B178,Chronologie[],7,TRUE)</f>
        <v>KSC Stahl Rietschen</v>
      </c>
      <c r="D178" s="6" t="str">
        <f>VLOOKUP($B178,Chronologie[],8,TRUE)</f>
        <v>Hirschfeld</v>
      </c>
      <c r="E178" s="240" t="str">
        <f>VLOOKUP($B178,Chronologie[],9,TRUE)</f>
        <v>H</v>
      </c>
      <c r="F178" s="6" t="str">
        <f>VLOOKUP($B178,Chronologie[],COLUMN(F179)-2,TRUE)</f>
        <v>F</v>
      </c>
      <c r="G178" s="6" t="str">
        <f>VLOOKUP($B178,Chronologie[],COLUMN(G179)-2,TRUE)</f>
        <v>L</v>
      </c>
      <c r="H178" s="6">
        <f>VLOOKUP($B178,Chronologie[],COLUMN(H179)-2,TRUE)</f>
        <v>12</v>
      </c>
      <c r="I178" s="10" t="str">
        <f>VLOOKUP($B178,Chronologie[],2,TRUE)</f>
        <v>F-L-12</v>
      </c>
      <c r="J178" s="243">
        <f>VLOOKUP($B178,Chronologie[],3,TRUE)</f>
        <v>46096</v>
      </c>
      <c r="K178" s="237"/>
      <c r="L178" s="237"/>
      <c r="M178" s="237"/>
      <c r="N178" s="237"/>
      <c r="O178" s="237"/>
      <c r="P178" s="237"/>
      <c r="Q178" s="237"/>
      <c r="R178" s="237"/>
      <c r="S178" s="237"/>
      <c r="T178" s="237"/>
      <c r="U178" s="237"/>
      <c r="V178" s="237"/>
      <c r="W178" s="237"/>
      <c r="X178" s="38"/>
      <c r="Y178" s="38"/>
      <c r="Z178" s="38"/>
      <c r="AA178" s="38"/>
      <c r="AB178" s="91"/>
      <c r="AC178" s="94" t="str">
        <f>IF(Eingabe[[#This Row],[V1]]="",IF(Eingabe[[#This Row],[Volle alternativ]]="","",Eingabe[[#This Row],[Volle alternativ]]),SUM(Eingabe[[#This Row],[V1]:[V4]]))</f>
        <v/>
      </c>
      <c r="AD178" s="6" t="str">
        <f>IF(Eingabe[[#This Row],[R1]]="",IF(Eingabe[[#This Row],[Räumer alternativ]]="","",Eingabe[[#This Row],[Räumer alternativ]]),SUM(Eingabe[[#This Row],[R1]:[R4]]))</f>
        <v/>
      </c>
      <c r="AE178" s="6" t="str">
        <f>IF(Eingabe[[#This Row],[F1]]="",IF(Eingabe[[#This Row],[Fehler alternativ]]="","",Eingabe[[#This Row],[Fehler alternativ]]),SUM(Eingabe[[#This Row],[F1]:[F4]]))</f>
        <v/>
      </c>
      <c r="AF178" s="6" t="str">
        <f>IF(Eingabe[[#This Row],[Volle]]="","",IF(Eingabe[[#This Row],[S1]]="",Eingabe[[#This Row],[Volle]]+Eingabe[[#This Row],[Räumer]],IF(Eingabe[[#This Row],[Volle]]+Eingabe[[#This Row],[Räumer]]=Eingabe[[#This Row],[S1]]+Eingabe[[#This Row],[S2]]+Eingabe[[#This Row],[S3]]+Eingabe[[#This Row],[S4]],Eingabe[[#This Row],[Volle]]+Eingabe[[#This Row],[Räumer]],"FEHLER")))</f>
        <v/>
      </c>
      <c r="AG178" s="6" t="str">
        <f>IF(Eingabe[[#This Row],[V1]]="","",Eingabe[[#This Row],[V1]]+Eingabe[[#This Row],[R1]])</f>
        <v/>
      </c>
      <c r="AH178" s="6" t="str">
        <f>IF(Eingabe[[#This Row],[V2]]="","",Eingabe[[#This Row],[V2]]+Eingabe[[#This Row],[R2]])</f>
        <v/>
      </c>
      <c r="AI178" s="6" t="str">
        <f>IF(Eingabe[[#This Row],[V3]]="","",Eingabe[[#This Row],[V3]]+Eingabe[[#This Row],[R3]])</f>
        <v/>
      </c>
      <c r="AJ178" s="6" t="str">
        <f>IF(Eingabe[[#This Row],[V4]]="","",Eingabe[[#This Row],[V4]]+Eingabe[[#This Row],[R4]])</f>
        <v/>
      </c>
      <c r="AK178" s="6" t="str">
        <f>IF(Eingabe[[#This Row],[S1P]]="","",Eingabe[[#This Row],[S1P]]+Eingabe[[#This Row],[S2P]]+Eingabe[[#This Row],[S3P]]+Eingabe[[#This Row],[S4P]])</f>
        <v/>
      </c>
      <c r="AL178" s="6" t="str">
        <f>IF(Eingabe[[#This Row],[S1P]]="","",IF(Eingabe[[#This Row],[SP]]&gt;2,1,IF(Eingabe[[#This Row],[SP]]&lt;2,0,IF(Eingabe[[#This Row],[GES]]&gt;Eingabe[[#This Row],[GEGGES]],1,IF(Eingabe[[#This Row],[GES]]=Eingabe[[#This Row],[GEGGES]],0.5,0)))))</f>
        <v/>
      </c>
      <c r="AM178" s="6" t="str">
        <f>IF(Eingabe[[#This Row],[MP]]="","",MOD(ROW(Eingabe[[#This Row],[Position]])-3,6)+1)</f>
        <v/>
      </c>
      <c r="AN178" s="6" t="e">
        <f>STANDARDIZE(Eingabe[[#This Row],[GES]],Eingabe[[#This Row],[Schnitt]],VLOOKUP(Eingabe[[#This Row],[Name]],AuswertungG[],21,FALSE))</f>
        <v>#VALUE!</v>
      </c>
      <c r="AO178" s="6">
        <f>VLOOKUP(Eingabe[[#This Row],[ID]],Chronologie[[ID]:[KW]],12,FALSE)</f>
        <v>29</v>
      </c>
      <c r="AP178" s="95" t="str">
        <f>IF(Eingabe[[#This Row],[Wo]]="H",Eingabe[[#This Row],[Gegner]]&amp;" ["&amp;Eingabe[[#This Row],[Wo]]&amp;"]",Eingabe[[#This Row],[Ort]])</f>
        <v>KSC Stahl Rietschen [H]</v>
      </c>
      <c r="AQ178" s="6" t="str">
        <f>IFERROR(IF(Eingabe[[#This Row],[Wo]]="H",IF(MOD(Eingabe[[#This Row],[Position]],2)=1,Eingabe[[#This Row],[S1]],Eingabe[[#This Row],[S4]]),""),"")</f>
        <v/>
      </c>
      <c r="AR178" s="6" t="str">
        <f>IFERROR(IF(Eingabe[[#This Row],[Wo]]="H",IF(Eingabe[[#This Row],[S1]]&gt;0,IF(MOD(Eingabe[[#This Row],[Position]],2)=1,Eingabe[[#This Row],[S2]],Eingabe[[#This Row],[S3]]),""),""),"")</f>
        <v/>
      </c>
      <c r="AS178" s="6" t="str">
        <f>IFERROR(IF(Eingabe[[#This Row],[Wo]]="H",IF(Eingabe[[#This Row],[S1]]&gt;0,IF(MOD(ROW(Eingabe[[#This Row],[Heimbahn 3]]),2)=1,Eingabe[[#This Row],[S4]],Eingabe[[#This Row],[S1]]),""),""),"")</f>
        <v/>
      </c>
      <c r="AT178" s="6" t="str">
        <f>IFERROR(IF(Eingabe[[#This Row],[Wo]]="H",IF(Eingabe[[#This Row],[S1]]&gt;0,IF(MOD(ROW(Eingabe[[#This Row],[Heimbahn 4]]),2)=1,Eingabe[[#This Row],[S3]],Eingabe[[#This Row],[S2]]),""),""),"")</f>
        <v/>
      </c>
      <c r="AU178" s="22" t="str">
        <f>IF(Eingabe[[#This Row],[GES]]="","",IF(Eingabe[[#This Row],[Modus]]="L",_xlfn.RANK.EQ(Eingabe[[#This Row],[GES]],AF177:AF182),IF(Eingabe[[#This Row],[Modus]]="P",_xlfn.RANK.EQ(Eingabe[[#This Row],[GES]],AF177:AF182),"")))</f>
        <v/>
      </c>
      <c r="AV178" s="6" t="e">
        <f>VLOOKUP(Eingabe[[#This Row],[Name]],AuswertungG[],8,FALSE)</f>
        <v>#N/A</v>
      </c>
      <c r="AZ178" s="6" t="str">
        <f>IFERROR(ABS(Eingabe[[#This Row],[GES]]-Eingabe[[#This Row],[GEGGES]]),"")</f>
        <v/>
      </c>
    </row>
    <row r="179" spans="1:52" ht="16.2" hidden="1" thickBot="1" x14ac:dyDescent="0.35">
      <c r="A179" s="441"/>
      <c r="B179" s="21">
        <f t="shared" si="22"/>
        <v>30</v>
      </c>
      <c r="C179" s="6" t="str">
        <f>VLOOKUP($B179,Chronologie[],7,TRUE)</f>
        <v>KSC Stahl Rietschen</v>
      </c>
      <c r="D179" s="6" t="str">
        <f>VLOOKUP($B179,Chronologie[],8,TRUE)</f>
        <v>Hirschfeld</v>
      </c>
      <c r="E179" s="240" t="str">
        <f>VLOOKUP($B179,Chronologie[],9,TRUE)</f>
        <v>H</v>
      </c>
      <c r="F179" s="6" t="str">
        <f>VLOOKUP($B179,Chronologie[],COLUMN(F180)-2,TRUE)</f>
        <v>F</v>
      </c>
      <c r="G179" s="6" t="str">
        <f>VLOOKUP($B179,Chronologie[],COLUMN(G180)-2,TRUE)</f>
        <v>L</v>
      </c>
      <c r="H179" s="6">
        <f>VLOOKUP($B179,Chronologie[],COLUMN(H180)-2,TRUE)</f>
        <v>12</v>
      </c>
      <c r="I179" s="10" t="str">
        <f>VLOOKUP($B179,Chronologie[],2,TRUE)</f>
        <v>F-L-12</v>
      </c>
      <c r="J179" s="243">
        <f>VLOOKUP($B179,Chronologie[],3,TRUE)</f>
        <v>46096</v>
      </c>
      <c r="K179" s="237"/>
      <c r="L179" s="237"/>
      <c r="M179" s="237"/>
      <c r="N179" s="237"/>
      <c r="O179" s="237"/>
      <c r="P179" s="237"/>
      <c r="Q179" s="237"/>
      <c r="R179" s="237"/>
      <c r="S179" s="237"/>
      <c r="T179" s="237"/>
      <c r="U179" s="237"/>
      <c r="V179" s="237"/>
      <c r="W179" s="237"/>
      <c r="X179" s="38"/>
      <c r="Y179" s="38"/>
      <c r="Z179" s="38"/>
      <c r="AA179" s="38"/>
      <c r="AB179" s="91"/>
      <c r="AC179" s="94" t="str">
        <f>IF(Eingabe[[#This Row],[V1]]="",IF(Eingabe[[#This Row],[Volle alternativ]]="","",Eingabe[[#This Row],[Volle alternativ]]),SUM(Eingabe[[#This Row],[V1]:[V4]]))</f>
        <v/>
      </c>
      <c r="AD179" s="6" t="str">
        <f>IF(Eingabe[[#This Row],[R1]]="",IF(Eingabe[[#This Row],[Räumer alternativ]]="","",Eingabe[[#This Row],[Räumer alternativ]]),SUM(Eingabe[[#This Row],[R1]:[R4]]))</f>
        <v/>
      </c>
      <c r="AE179" s="6" t="str">
        <f>IF(Eingabe[[#This Row],[F1]]="",IF(Eingabe[[#This Row],[Fehler alternativ]]="","",Eingabe[[#This Row],[Fehler alternativ]]),SUM(Eingabe[[#This Row],[F1]:[F4]]))</f>
        <v/>
      </c>
      <c r="AF179" s="6" t="str">
        <f>IF(Eingabe[[#This Row],[Volle]]="","",IF(Eingabe[[#This Row],[S1]]="",Eingabe[[#This Row],[Volle]]+Eingabe[[#This Row],[Räumer]],IF(Eingabe[[#This Row],[Volle]]+Eingabe[[#This Row],[Räumer]]=Eingabe[[#This Row],[S1]]+Eingabe[[#This Row],[S2]]+Eingabe[[#This Row],[S3]]+Eingabe[[#This Row],[S4]],Eingabe[[#This Row],[Volle]]+Eingabe[[#This Row],[Räumer]],"FEHLER")))</f>
        <v/>
      </c>
      <c r="AG179" s="6" t="str">
        <f>IF(Eingabe[[#This Row],[V1]]="","",Eingabe[[#This Row],[V1]]+Eingabe[[#This Row],[R1]])</f>
        <v/>
      </c>
      <c r="AH179" s="6" t="str">
        <f>IF(Eingabe[[#This Row],[V2]]="","",Eingabe[[#This Row],[V2]]+Eingabe[[#This Row],[R2]])</f>
        <v/>
      </c>
      <c r="AI179" s="6" t="str">
        <f>IF(Eingabe[[#This Row],[V3]]="","",Eingabe[[#This Row],[V3]]+Eingabe[[#This Row],[R3]])</f>
        <v/>
      </c>
      <c r="AJ179" s="6" t="str">
        <f>IF(Eingabe[[#This Row],[V4]]="","",Eingabe[[#This Row],[V4]]+Eingabe[[#This Row],[R4]])</f>
        <v/>
      </c>
      <c r="AK179" s="6" t="str">
        <f>IF(Eingabe[[#This Row],[S1P]]="","",Eingabe[[#This Row],[S1P]]+Eingabe[[#This Row],[S2P]]+Eingabe[[#This Row],[S3P]]+Eingabe[[#This Row],[S4P]])</f>
        <v/>
      </c>
      <c r="AL179" s="6" t="str">
        <f>IF(Eingabe[[#This Row],[S1P]]="","",IF(Eingabe[[#This Row],[SP]]&gt;2,1,IF(Eingabe[[#This Row],[SP]]&lt;2,0,IF(Eingabe[[#This Row],[GES]]&gt;Eingabe[[#This Row],[GEGGES]],1,IF(Eingabe[[#This Row],[GES]]=Eingabe[[#This Row],[GEGGES]],0.5,0)))))</f>
        <v/>
      </c>
      <c r="AM179" s="6" t="str">
        <f>IF(Eingabe[[#This Row],[MP]]="","",MOD(ROW(Eingabe[[#This Row],[Position]])-3,6)+1)</f>
        <v/>
      </c>
      <c r="AN179" s="6" t="e">
        <f>STANDARDIZE(Eingabe[[#This Row],[GES]],Eingabe[[#This Row],[Schnitt]],VLOOKUP(Eingabe[[#This Row],[Name]],AuswertungG[],21,FALSE))</f>
        <v>#VALUE!</v>
      </c>
      <c r="AO179" s="6">
        <f>VLOOKUP(Eingabe[[#This Row],[ID]],Chronologie[[ID]:[KW]],12,FALSE)</f>
        <v>29</v>
      </c>
      <c r="AP179" s="95" t="str">
        <f>IF(Eingabe[[#This Row],[Wo]]="H",Eingabe[[#This Row],[Gegner]]&amp;" ["&amp;Eingabe[[#This Row],[Wo]]&amp;"]",Eingabe[[#This Row],[Ort]])</f>
        <v>KSC Stahl Rietschen [H]</v>
      </c>
      <c r="AQ179" s="6" t="str">
        <f>IFERROR(IF(Eingabe[[#This Row],[Wo]]="H",IF(MOD(Eingabe[[#This Row],[Position]],2)=1,Eingabe[[#This Row],[S1]],Eingabe[[#This Row],[S4]]),""),"")</f>
        <v/>
      </c>
      <c r="AR179" s="6" t="str">
        <f>IFERROR(IF(Eingabe[[#This Row],[Wo]]="H",IF(Eingabe[[#This Row],[S1]]&gt;0,IF(MOD(Eingabe[[#This Row],[Position]],2)=1,Eingabe[[#This Row],[S2]],Eingabe[[#This Row],[S3]]),""),""),"")</f>
        <v/>
      </c>
      <c r="AS179" s="6" t="str">
        <f>IFERROR(IF(Eingabe[[#This Row],[Wo]]="H",IF(Eingabe[[#This Row],[S1]]&gt;0,IF(MOD(ROW(Eingabe[[#This Row],[Heimbahn 3]]),2)=1,Eingabe[[#This Row],[S4]],Eingabe[[#This Row],[S1]]),""),""),"")</f>
        <v/>
      </c>
      <c r="AT179" s="6" t="str">
        <f>IFERROR(IF(Eingabe[[#This Row],[Wo]]="H",IF(Eingabe[[#This Row],[S1]]&gt;0,IF(MOD(ROW(Eingabe[[#This Row],[Heimbahn 4]]),2)=1,Eingabe[[#This Row],[S3]],Eingabe[[#This Row],[S2]]),""),""),"")</f>
        <v/>
      </c>
      <c r="AU179" s="22" t="str">
        <f>IF(Eingabe[[#This Row],[GES]]="","",IF(Eingabe[[#This Row],[Modus]]="L",_xlfn.RANK.EQ(Eingabe[[#This Row],[GES]],AF177:AF182),IF(Eingabe[[#This Row],[Modus]]="P",_xlfn.RANK.EQ(Eingabe[[#This Row],[GES]],AF177:AF182),"")))</f>
        <v/>
      </c>
      <c r="AV179" s="6" t="e">
        <f>VLOOKUP(Eingabe[[#This Row],[Name]],AuswertungG[],8,FALSE)</f>
        <v>#N/A</v>
      </c>
      <c r="AZ179" s="6" t="str">
        <f>IFERROR(ABS(Eingabe[[#This Row],[GES]]-Eingabe[[#This Row],[GEGGES]]),"")</f>
        <v/>
      </c>
    </row>
    <row r="180" spans="1:52" ht="16.2" hidden="1" thickBot="1" x14ac:dyDescent="0.35">
      <c r="A180" s="441"/>
      <c r="B180" s="21">
        <f t="shared" si="22"/>
        <v>30</v>
      </c>
      <c r="C180" s="6" t="str">
        <f>VLOOKUP($B180,Chronologie[],7,TRUE)</f>
        <v>KSC Stahl Rietschen</v>
      </c>
      <c r="D180" s="6" t="str">
        <f>VLOOKUP($B180,Chronologie[],8,TRUE)</f>
        <v>Hirschfeld</v>
      </c>
      <c r="E180" s="240" t="str">
        <f>VLOOKUP($B180,Chronologie[],9,TRUE)</f>
        <v>H</v>
      </c>
      <c r="F180" s="6" t="str">
        <f>VLOOKUP($B180,Chronologie[],COLUMN(F181)-2,TRUE)</f>
        <v>F</v>
      </c>
      <c r="G180" s="6" t="str">
        <f>VLOOKUP($B180,Chronologie[],COLUMN(G181)-2,TRUE)</f>
        <v>L</v>
      </c>
      <c r="H180" s="6">
        <f>VLOOKUP($B180,Chronologie[],COLUMN(H181)-2,TRUE)</f>
        <v>12</v>
      </c>
      <c r="I180" s="10" t="str">
        <f>VLOOKUP($B180,Chronologie[],2,TRUE)</f>
        <v>F-L-12</v>
      </c>
      <c r="J180" s="243">
        <f>VLOOKUP($B180,Chronologie[],3,TRUE)</f>
        <v>46096</v>
      </c>
      <c r="K180" s="238"/>
      <c r="L180" s="237"/>
      <c r="M180" s="237"/>
      <c r="N180" s="237"/>
      <c r="O180" s="237"/>
      <c r="P180" s="237"/>
      <c r="Q180" s="237"/>
      <c r="R180" s="237"/>
      <c r="S180" s="237"/>
      <c r="T180" s="237"/>
      <c r="U180" s="237"/>
      <c r="V180" s="237"/>
      <c r="W180" s="237"/>
      <c r="X180" s="38"/>
      <c r="Y180" s="38"/>
      <c r="Z180" s="38"/>
      <c r="AA180" s="38"/>
      <c r="AB180" s="91"/>
      <c r="AC180" s="94" t="str">
        <f>IF(Eingabe[[#This Row],[V1]]="",IF(Eingabe[[#This Row],[Volle alternativ]]="","",Eingabe[[#This Row],[Volle alternativ]]),SUM(Eingabe[[#This Row],[V1]:[V4]]))</f>
        <v/>
      </c>
      <c r="AD180" s="6" t="str">
        <f>IF(Eingabe[[#This Row],[R1]]="",IF(Eingabe[[#This Row],[Räumer alternativ]]="","",Eingabe[[#This Row],[Räumer alternativ]]),SUM(Eingabe[[#This Row],[R1]:[R4]]))</f>
        <v/>
      </c>
      <c r="AE180" s="6" t="str">
        <f>IF(Eingabe[[#This Row],[F1]]="",IF(Eingabe[[#This Row],[Fehler alternativ]]="","",Eingabe[[#This Row],[Fehler alternativ]]),SUM(Eingabe[[#This Row],[F1]:[F4]]))</f>
        <v/>
      </c>
      <c r="AF180" s="6" t="str">
        <f>IF(Eingabe[[#This Row],[Volle]]="","",IF(Eingabe[[#This Row],[S1]]="",Eingabe[[#This Row],[Volle]]+Eingabe[[#This Row],[Räumer]],IF(Eingabe[[#This Row],[Volle]]+Eingabe[[#This Row],[Räumer]]=Eingabe[[#This Row],[S1]]+Eingabe[[#This Row],[S2]]+Eingabe[[#This Row],[S3]]+Eingabe[[#This Row],[S4]],Eingabe[[#This Row],[Volle]]+Eingabe[[#This Row],[Räumer]],"FEHLER")))</f>
        <v/>
      </c>
      <c r="AG180" s="6" t="str">
        <f>IF(Eingabe[[#This Row],[V1]]="","",Eingabe[[#This Row],[V1]]+Eingabe[[#This Row],[R1]])</f>
        <v/>
      </c>
      <c r="AH180" s="6" t="str">
        <f>IF(Eingabe[[#This Row],[V2]]="","",Eingabe[[#This Row],[V2]]+Eingabe[[#This Row],[R2]])</f>
        <v/>
      </c>
      <c r="AI180" s="6" t="str">
        <f>IF(Eingabe[[#This Row],[V3]]="","",Eingabe[[#This Row],[V3]]+Eingabe[[#This Row],[R3]])</f>
        <v/>
      </c>
      <c r="AJ180" s="6" t="str">
        <f>IF(Eingabe[[#This Row],[V4]]="","",Eingabe[[#This Row],[V4]]+Eingabe[[#This Row],[R4]])</f>
        <v/>
      </c>
      <c r="AK180" s="6" t="str">
        <f>IF(Eingabe[[#This Row],[S1P]]="","",Eingabe[[#This Row],[S1P]]+Eingabe[[#This Row],[S2P]]+Eingabe[[#This Row],[S3P]]+Eingabe[[#This Row],[S4P]])</f>
        <v/>
      </c>
      <c r="AL180" s="6" t="str">
        <f>IF(Eingabe[[#This Row],[S1P]]="","",IF(Eingabe[[#This Row],[SP]]&gt;2,1,IF(Eingabe[[#This Row],[SP]]&lt;2,0,IF(Eingabe[[#This Row],[GES]]&gt;Eingabe[[#This Row],[GEGGES]],1,IF(Eingabe[[#This Row],[GES]]=Eingabe[[#This Row],[GEGGES]],0.5,0)))))</f>
        <v/>
      </c>
      <c r="AM180" s="6" t="str">
        <f>IF(Eingabe[[#This Row],[MP]]="","",MOD(ROW(Eingabe[[#This Row],[Position]])-3,6)+1)</f>
        <v/>
      </c>
      <c r="AN180" s="6" t="e">
        <f>STANDARDIZE(Eingabe[[#This Row],[GES]],Eingabe[[#This Row],[Schnitt]],VLOOKUP(Eingabe[[#This Row],[Name]],AuswertungG[],21,FALSE))</f>
        <v>#VALUE!</v>
      </c>
      <c r="AO180" s="6">
        <f>VLOOKUP(Eingabe[[#This Row],[ID]],Chronologie[[ID]:[KW]],12,FALSE)</f>
        <v>29</v>
      </c>
      <c r="AP180" s="95" t="str">
        <f>IF(Eingabe[[#This Row],[Wo]]="H",Eingabe[[#This Row],[Gegner]]&amp;" ["&amp;Eingabe[[#This Row],[Wo]]&amp;"]",Eingabe[[#This Row],[Ort]])</f>
        <v>KSC Stahl Rietschen [H]</v>
      </c>
      <c r="AQ180" s="6" t="str">
        <f>IFERROR(IF(Eingabe[[#This Row],[Wo]]="H",IF(MOD(Eingabe[[#This Row],[Position]],2)=1,Eingabe[[#This Row],[S1]],Eingabe[[#This Row],[S4]]),""),"")</f>
        <v/>
      </c>
      <c r="AR180" s="6" t="str">
        <f>IFERROR(IF(Eingabe[[#This Row],[Wo]]="H",IF(Eingabe[[#This Row],[S1]]&gt;0,IF(MOD(Eingabe[[#This Row],[Position]],2)=1,Eingabe[[#This Row],[S2]],Eingabe[[#This Row],[S3]]),""),""),"")</f>
        <v/>
      </c>
      <c r="AS180" s="6" t="str">
        <f>IFERROR(IF(Eingabe[[#This Row],[Wo]]="H",IF(Eingabe[[#This Row],[S1]]&gt;0,IF(MOD(ROW(Eingabe[[#This Row],[Heimbahn 3]]),2)=1,Eingabe[[#This Row],[S4]],Eingabe[[#This Row],[S1]]),""),""),"")</f>
        <v/>
      </c>
      <c r="AT180" s="6" t="str">
        <f>IFERROR(IF(Eingabe[[#This Row],[Wo]]="H",IF(Eingabe[[#This Row],[S1]]&gt;0,IF(MOD(ROW(Eingabe[[#This Row],[Heimbahn 4]]),2)=1,Eingabe[[#This Row],[S3]],Eingabe[[#This Row],[S2]]),""),""),"")</f>
        <v/>
      </c>
      <c r="AU180" s="22" t="str">
        <f>IF(Eingabe[[#This Row],[GES]]="","",IF(Eingabe[[#This Row],[Modus]]="L",_xlfn.RANK.EQ(Eingabe[[#This Row],[GES]],AF177:AF182),IF(Eingabe[[#This Row],[Modus]]="P",_xlfn.RANK.EQ(Eingabe[[#This Row],[GES]],AF177:AF182),"")))</f>
        <v/>
      </c>
      <c r="AV180" s="6" t="e">
        <f>VLOOKUP(Eingabe[[#This Row],[Name]],AuswertungG[],8,FALSE)</f>
        <v>#N/A</v>
      </c>
      <c r="AZ180" s="6" t="str">
        <f>IFERROR(ABS(Eingabe[[#This Row],[GES]]-Eingabe[[#This Row],[GEGGES]]),"")</f>
        <v/>
      </c>
    </row>
    <row r="181" spans="1:52" ht="16.2" hidden="1" thickBot="1" x14ac:dyDescent="0.35">
      <c r="A181" s="441"/>
      <c r="B181" s="21">
        <f t="shared" si="22"/>
        <v>30</v>
      </c>
      <c r="C181" s="6" t="str">
        <f>VLOOKUP($B181,Chronologie[],7,TRUE)</f>
        <v>KSC Stahl Rietschen</v>
      </c>
      <c r="D181" s="6" t="str">
        <f>VLOOKUP($B181,Chronologie[],8,TRUE)</f>
        <v>Hirschfeld</v>
      </c>
      <c r="E181" s="240" t="str">
        <f>VLOOKUP($B181,Chronologie[],9,TRUE)</f>
        <v>H</v>
      </c>
      <c r="F181" s="6" t="str">
        <f>VLOOKUP($B181,Chronologie[],COLUMN(F182)-2,TRUE)</f>
        <v>F</v>
      </c>
      <c r="G181" s="6" t="str">
        <f>VLOOKUP($B181,Chronologie[],COLUMN(G182)-2,TRUE)</f>
        <v>L</v>
      </c>
      <c r="H181" s="6">
        <f>VLOOKUP($B181,Chronologie[],COLUMN(H182)-2,TRUE)</f>
        <v>12</v>
      </c>
      <c r="I181" s="10" t="str">
        <f>VLOOKUP($B181,Chronologie[],2,TRUE)</f>
        <v>F-L-12</v>
      </c>
      <c r="J181" s="243">
        <f>VLOOKUP($B181,Chronologie[],3,TRUE)</f>
        <v>46096</v>
      </c>
      <c r="K181" s="237"/>
      <c r="L181" s="237"/>
      <c r="M181" s="237"/>
      <c r="N181" s="237"/>
      <c r="O181" s="237"/>
      <c r="P181" s="237"/>
      <c r="Q181" s="237"/>
      <c r="R181" s="237"/>
      <c r="S181" s="237"/>
      <c r="T181" s="237"/>
      <c r="U181" s="237"/>
      <c r="V181" s="237"/>
      <c r="W181" s="237"/>
      <c r="X181" s="38"/>
      <c r="Y181" s="38"/>
      <c r="Z181" s="38"/>
      <c r="AA181" s="38"/>
      <c r="AB181" s="91"/>
      <c r="AC181" s="94" t="str">
        <f>IF(Eingabe[[#This Row],[V1]]="",IF(Eingabe[[#This Row],[Volle alternativ]]="","",Eingabe[[#This Row],[Volle alternativ]]),SUM(Eingabe[[#This Row],[V1]:[V4]]))</f>
        <v/>
      </c>
      <c r="AD181" s="6" t="str">
        <f>IF(Eingabe[[#This Row],[R1]]="",IF(Eingabe[[#This Row],[Räumer alternativ]]="","",Eingabe[[#This Row],[Räumer alternativ]]),SUM(Eingabe[[#This Row],[R1]:[R4]]))</f>
        <v/>
      </c>
      <c r="AE181" s="6" t="str">
        <f>IF(Eingabe[[#This Row],[F1]]="",IF(Eingabe[[#This Row],[Fehler alternativ]]="","",Eingabe[[#This Row],[Fehler alternativ]]),SUM(Eingabe[[#This Row],[F1]:[F4]]))</f>
        <v/>
      </c>
      <c r="AF181" s="6" t="str">
        <f>IF(Eingabe[[#This Row],[Volle]]="","",IF(Eingabe[[#This Row],[S1]]="",Eingabe[[#This Row],[Volle]]+Eingabe[[#This Row],[Räumer]],IF(Eingabe[[#This Row],[Volle]]+Eingabe[[#This Row],[Räumer]]=Eingabe[[#This Row],[S1]]+Eingabe[[#This Row],[S2]]+Eingabe[[#This Row],[S3]]+Eingabe[[#This Row],[S4]],Eingabe[[#This Row],[Volle]]+Eingabe[[#This Row],[Räumer]],"FEHLER")))</f>
        <v/>
      </c>
      <c r="AG181" s="6" t="str">
        <f>IF(Eingabe[[#This Row],[V1]]="","",Eingabe[[#This Row],[V1]]+Eingabe[[#This Row],[R1]])</f>
        <v/>
      </c>
      <c r="AH181" s="6" t="str">
        <f>IF(Eingabe[[#This Row],[V2]]="","",Eingabe[[#This Row],[V2]]+Eingabe[[#This Row],[R2]])</f>
        <v/>
      </c>
      <c r="AI181" s="6" t="str">
        <f>IF(Eingabe[[#This Row],[V3]]="","",Eingabe[[#This Row],[V3]]+Eingabe[[#This Row],[R3]])</f>
        <v/>
      </c>
      <c r="AJ181" s="6" t="str">
        <f>IF(Eingabe[[#This Row],[V4]]="","",Eingabe[[#This Row],[V4]]+Eingabe[[#This Row],[R4]])</f>
        <v/>
      </c>
      <c r="AK181" s="6" t="str">
        <f>IF(Eingabe[[#This Row],[S1P]]="","",Eingabe[[#This Row],[S1P]]+Eingabe[[#This Row],[S2P]]+Eingabe[[#This Row],[S3P]]+Eingabe[[#This Row],[S4P]])</f>
        <v/>
      </c>
      <c r="AL181" s="6" t="str">
        <f>IF(Eingabe[[#This Row],[S1P]]="","",IF(Eingabe[[#This Row],[SP]]&gt;2,1,IF(Eingabe[[#This Row],[SP]]&lt;2,0,IF(Eingabe[[#This Row],[GES]]&gt;Eingabe[[#This Row],[GEGGES]],1,IF(Eingabe[[#This Row],[GES]]=Eingabe[[#This Row],[GEGGES]],0.5,0)))))</f>
        <v/>
      </c>
      <c r="AM181" s="6" t="str">
        <f>IF(Eingabe[[#This Row],[MP]]="","",MOD(ROW(Eingabe[[#This Row],[Position]])-3,6)+1)</f>
        <v/>
      </c>
      <c r="AN181" s="6" t="e">
        <f>STANDARDIZE(Eingabe[[#This Row],[GES]],Eingabe[[#This Row],[Schnitt]],VLOOKUP(Eingabe[[#This Row],[Name]],AuswertungG[],21,FALSE))</f>
        <v>#VALUE!</v>
      </c>
      <c r="AO181" s="6">
        <f>VLOOKUP(Eingabe[[#This Row],[ID]],Chronologie[[ID]:[KW]],12,FALSE)</f>
        <v>29</v>
      </c>
      <c r="AP181" s="95" t="str">
        <f>IF(Eingabe[[#This Row],[Wo]]="H",Eingabe[[#This Row],[Gegner]]&amp;" ["&amp;Eingabe[[#This Row],[Wo]]&amp;"]",Eingabe[[#This Row],[Ort]])</f>
        <v>KSC Stahl Rietschen [H]</v>
      </c>
      <c r="AQ181" s="6" t="str">
        <f>IFERROR(IF(Eingabe[[#This Row],[Wo]]="H",IF(MOD(Eingabe[[#This Row],[Position]],2)=1,Eingabe[[#This Row],[S1]],Eingabe[[#This Row],[S4]]),""),"")</f>
        <v/>
      </c>
      <c r="AR181" s="6" t="str">
        <f>IFERROR(IF(Eingabe[[#This Row],[Wo]]="H",IF(Eingabe[[#This Row],[S1]]&gt;0,IF(MOD(Eingabe[[#This Row],[Position]],2)=1,Eingabe[[#This Row],[S2]],Eingabe[[#This Row],[S3]]),""),""),"")</f>
        <v/>
      </c>
      <c r="AS181" s="6" t="str">
        <f>IFERROR(IF(Eingabe[[#This Row],[Wo]]="H",IF(Eingabe[[#This Row],[S1]]&gt;0,IF(MOD(ROW(Eingabe[[#This Row],[Heimbahn 3]]),2)=1,Eingabe[[#This Row],[S4]],Eingabe[[#This Row],[S1]]),""),""),"")</f>
        <v/>
      </c>
      <c r="AT181" s="6" t="str">
        <f>IFERROR(IF(Eingabe[[#This Row],[Wo]]="H",IF(Eingabe[[#This Row],[S1]]&gt;0,IF(MOD(ROW(Eingabe[[#This Row],[Heimbahn 4]]),2)=1,Eingabe[[#This Row],[S3]],Eingabe[[#This Row],[S2]]),""),""),"")</f>
        <v/>
      </c>
      <c r="AU181" s="22" t="str">
        <f>IF(Eingabe[[#This Row],[GES]]="","",IF(Eingabe[[#This Row],[Modus]]="L",_xlfn.RANK.EQ(Eingabe[[#This Row],[GES]],AF177:AF182),IF(Eingabe[[#This Row],[Modus]]="P",_xlfn.RANK.EQ(Eingabe[[#This Row],[GES]],AF177:AF182),"")))</f>
        <v/>
      </c>
      <c r="AV181" s="6" t="e">
        <f>VLOOKUP(Eingabe[[#This Row],[Name]],AuswertungG[],8,FALSE)</f>
        <v>#N/A</v>
      </c>
      <c r="AZ181" s="6" t="str">
        <f>IFERROR(ABS(Eingabe[[#This Row],[GES]]-Eingabe[[#This Row],[GEGGES]]),"")</f>
        <v/>
      </c>
    </row>
    <row r="182" spans="1:52" ht="16.2" hidden="1" thickBot="1" x14ac:dyDescent="0.35">
      <c r="A182" s="442"/>
      <c r="B182" s="56">
        <f t="shared" si="22"/>
        <v>30</v>
      </c>
      <c r="C182" s="23" t="str">
        <f>VLOOKUP($B182,Chronologie[],7,TRUE)</f>
        <v>KSC Stahl Rietschen</v>
      </c>
      <c r="D182" s="23" t="str">
        <f>VLOOKUP($B182,Chronologie[],8,TRUE)</f>
        <v>Hirschfeld</v>
      </c>
      <c r="E182" s="39" t="str">
        <f>VLOOKUP($B182,Chronologie[],9,TRUE)</f>
        <v>H</v>
      </c>
      <c r="F182" s="23" t="str">
        <f>VLOOKUP($B182,Chronologie[],COLUMN(F183)-2,TRUE)</f>
        <v>F</v>
      </c>
      <c r="G182" s="23" t="str">
        <f>VLOOKUP($B182,Chronologie[],COLUMN(G183)-2,TRUE)</f>
        <v>L</v>
      </c>
      <c r="H182" s="23">
        <f>VLOOKUP($B182,Chronologie[],COLUMN(H183)-2,TRUE)</f>
        <v>12</v>
      </c>
      <c r="I182" s="13" t="str">
        <f>VLOOKUP($B182,Chronologie[],2,TRUE)</f>
        <v>F-L-12</v>
      </c>
      <c r="J182" s="244">
        <f>VLOOKUP($B182,Chronologie[],3,TRUE)</f>
        <v>46096</v>
      </c>
      <c r="K182" s="239"/>
      <c r="L182" s="239"/>
      <c r="M182" s="239"/>
      <c r="N182" s="239"/>
      <c r="O182" s="239"/>
      <c r="P182" s="239"/>
      <c r="Q182" s="239"/>
      <c r="R182" s="239"/>
      <c r="S182" s="239"/>
      <c r="T182" s="239"/>
      <c r="U182" s="239"/>
      <c r="V182" s="239"/>
      <c r="W182" s="239"/>
      <c r="X182" s="40"/>
      <c r="Y182" s="40"/>
      <c r="Z182" s="40"/>
      <c r="AA182" s="40"/>
      <c r="AB182" s="92"/>
      <c r="AC182" s="96" t="str">
        <f>IF(Eingabe[[#This Row],[V1]]="",IF(Eingabe[[#This Row],[Volle alternativ]]="","",Eingabe[[#This Row],[Volle alternativ]]),SUM(Eingabe[[#This Row],[V1]:[V4]]))</f>
        <v/>
      </c>
      <c r="AD182" s="23" t="str">
        <f>IF(Eingabe[[#This Row],[R1]]="",IF(Eingabe[[#This Row],[Räumer alternativ]]="","",Eingabe[[#This Row],[Räumer alternativ]]),SUM(Eingabe[[#This Row],[R1]:[R4]]))</f>
        <v/>
      </c>
      <c r="AE182" s="23" t="str">
        <f>IF(Eingabe[[#This Row],[F1]]="",IF(Eingabe[[#This Row],[Fehler alternativ]]="","",Eingabe[[#This Row],[Fehler alternativ]]),SUM(Eingabe[[#This Row],[F1]:[F4]]))</f>
        <v/>
      </c>
      <c r="AF182" s="23" t="str">
        <f>IF(Eingabe[[#This Row],[Volle]]="","",IF(Eingabe[[#This Row],[S1]]="",Eingabe[[#This Row],[Volle]]+Eingabe[[#This Row],[Räumer]],IF(Eingabe[[#This Row],[Volle]]+Eingabe[[#This Row],[Räumer]]=Eingabe[[#This Row],[S1]]+Eingabe[[#This Row],[S2]]+Eingabe[[#This Row],[S3]]+Eingabe[[#This Row],[S4]],Eingabe[[#This Row],[Volle]]+Eingabe[[#This Row],[Räumer]],"FEHLER")))</f>
        <v/>
      </c>
      <c r="AG182" s="23" t="str">
        <f>IF(Eingabe[[#This Row],[V1]]="","",Eingabe[[#This Row],[V1]]+Eingabe[[#This Row],[R1]])</f>
        <v/>
      </c>
      <c r="AH182" s="23" t="str">
        <f>IF(Eingabe[[#This Row],[V2]]="","",Eingabe[[#This Row],[V2]]+Eingabe[[#This Row],[R2]])</f>
        <v/>
      </c>
      <c r="AI182" s="23" t="str">
        <f>IF(Eingabe[[#This Row],[V3]]="","",Eingabe[[#This Row],[V3]]+Eingabe[[#This Row],[R3]])</f>
        <v/>
      </c>
      <c r="AJ182" s="23" t="str">
        <f>IF(Eingabe[[#This Row],[V4]]="","",Eingabe[[#This Row],[V4]]+Eingabe[[#This Row],[R4]])</f>
        <v/>
      </c>
      <c r="AK182" s="23" t="str">
        <f>IF(Eingabe[[#This Row],[S1P]]="","",Eingabe[[#This Row],[S1P]]+Eingabe[[#This Row],[S2P]]+Eingabe[[#This Row],[S3P]]+Eingabe[[#This Row],[S4P]])</f>
        <v/>
      </c>
      <c r="AL182" s="23" t="str">
        <f>IF(Eingabe[[#This Row],[S1P]]="","",IF(Eingabe[[#This Row],[SP]]&gt;2,1,IF(Eingabe[[#This Row],[SP]]&lt;2,0,IF(Eingabe[[#This Row],[GES]]&gt;Eingabe[[#This Row],[GEGGES]],1,IF(Eingabe[[#This Row],[GES]]=Eingabe[[#This Row],[GEGGES]],0.5,0)))))</f>
        <v/>
      </c>
      <c r="AM182" s="23" t="str">
        <f>IF(Eingabe[[#This Row],[MP]]="","",MOD(ROW(Eingabe[[#This Row],[Position]])-3,6)+1)</f>
        <v/>
      </c>
      <c r="AN182" s="23" t="e">
        <f>STANDARDIZE(Eingabe[[#This Row],[GES]],Eingabe[[#This Row],[Schnitt]],VLOOKUP(Eingabe[[#This Row],[Name]],AuswertungG[],21,FALSE))</f>
        <v>#VALUE!</v>
      </c>
      <c r="AO182" s="23">
        <f>VLOOKUP(Eingabe[[#This Row],[ID]],Chronologie[[ID]:[KW]],12,FALSE)</f>
        <v>29</v>
      </c>
      <c r="AP182" s="59" t="str">
        <f>IF(Eingabe[[#This Row],[Wo]]="H",Eingabe[[#This Row],[Gegner]]&amp;" ["&amp;Eingabe[[#This Row],[Wo]]&amp;"]",Eingabe[[#This Row],[Ort]])</f>
        <v>KSC Stahl Rietschen [H]</v>
      </c>
      <c r="AQ182" s="23" t="str">
        <f>IFERROR(IF(Eingabe[[#This Row],[Wo]]="H",IF(MOD(Eingabe[[#This Row],[Position]],2)=1,Eingabe[[#This Row],[S1]],Eingabe[[#This Row],[S4]]),""),"")</f>
        <v/>
      </c>
      <c r="AR182" s="23" t="str">
        <f>IFERROR(IF(Eingabe[[#This Row],[Wo]]="H",IF(Eingabe[[#This Row],[S1]]&gt;0,IF(MOD(Eingabe[[#This Row],[Position]],2)=1,Eingabe[[#This Row],[S2]],Eingabe[[#This Row],[S3]]),""),""),"")</f>
        <v/>
      </c>
      <c r="AS182" s="23" t="str">
        <f>IFERROR(IF(Eingabe[[#This Row],[Wo]]="H",IF(Eingabe[[#This Row],[S1]]&gt;0,IF(MOD(ROW(Eingabe[[#This Row],[Heimbahn 3]]),2)=1,Eingabe[[#This Row],[S4]],Eingabe[[#This Row],[S1]]),""),""),"")</f>
        <v/>
      </c>
      <c r="AT182" s="23" t="str">
        <f>IFERROR(IF(Eingabe[[#This Row],[Wo]]="H",IF(Eingabe[[#This Row],[S1]]&gt;0,IF(MOD(ROW(Eingabe[[#This Row],[Heimbahn 4]]),2)=1,Eingabe[[#This Row],[S3]],Eingabe[[#This Row],[S2]]),""),""),"")</f>
        <v/>
      </c>
      <c r="AU182" s="89" t="str">
        <f>IF(Eingabe[[#This Row],[GES]]="","",IF(Eingabe[[#This Row],[Modus]]="L",_xlfn.RANK.EQ(Eingabe[[#This Row],[GES]],AF177:AF182),IF(Eingabe[[#This Row],[Modus]]="P",_xlfn.RANK.EQ(Eingabe[[#This Row],[GES]],AF177:AF182),"")))</f>
        <v/>
      </c>
      <c r="AV182" s="6" t="e">
        <f>VLOOKUP(Eingabe[[#This Row],[Name]],AuswertungG[],8,FALSE)</f>
        <v>#N/A</v>
      </c>
      <c r="AZ182" s="6" t="str">
        <f>IFERROR(ABS(Eingabe[[#This Row],[GES]]-Eingabe[[#This Row],[GEGGES]]),"")</f>
        <v/>
      </c>
    </row>
    <row r="183" spans="1:52" ht="16.2" hidden="1" thickBot="1" x14ac:dyDescent="0.35">
      <c r="A183" s="440">
        <f t="shared" ref="A183" si="31">B183</f>
        <v>31</v>
      </c>
      <c r="B183" s="55">
        <f t="shared" si="22"/>
        <v>31</v>
      </c>
      <c r="C183" s="35" t="str">
        <f>VLOOKUP($B183,Chronologie[],7,TRUE)</f>
        <v>ISG Hagenwerder</v>
      </c>
      <c r="D183" s="35" t="str">
        <f>VLOOKUP($B183,Chronologie[],8,TRUE)</f>
        <v>Hirschfeld</v>
      </c>
      <c r="E183" s="36" t="str">
        <f>VLOOKUP($B183,Chronologie[],9,TRUE)</f>
        <v>H</v>
      </c>
      <c r="F183" s="35" t="str">
        <f>VLOOKUP($B183,Chronologie[],COLUMN(F184)-2,TRUE)</f>
        <v>F</v>
      </c>
      <c r="G183" s="35" t="str">
        <f>VLOOKUP($B183,Chronologie[],COLUMN(G184)-2,TRUE)</f>
        <v>L</v>
      </c>
      <c r="H183" s="35">
        <f>VLOOKUP($B183,Chronologie[],COLUMN(H184)-2,TRUE)</f>
        <v>13</v>
      </c>
      <c r="I183" s="9" t="str">
        <f>VLOOKUP($B183,Chronologie[],2,TRUE)</f>
        <v>F-L-13</v>
      </c>
      <c r="J183" s="242">
        <f>VLOOKUP($B183,Chronologie[],3,TRUE)</f>
        <v>46103</v>
      </c>
      <c r="K183" s="236"/>
      <c r="L183" s="334"/>
      <c r="M183" s="334"/>
      <c r="N183" s="334"/>
      <c r="O183" s="334"/>
      <c r="P183" s="334"/>
      <c r="Q183" s="334"/>
      <c r="R183" s="334"/>
      <c r="S183" s="334"/>
      <c r="T183" s="334"/>
      <c r="U183" s="334"/>
      <c r="V183" s="334"/>
      <c r="W183" s="334"/>
      <c r="X183" s="37"/>
      <c r="Y183" s="37"/>
      <c r="Z183" s="37"/>
      <c r="AA183" s="37"/>
      <c r="AB183" s="90"/>
      <c r="AC183" s="93" t="str">
        <f>IF(Eingabe[[#This Row],[V1]]="",IF(Eingabe[[#This Row],[Volle alternativ]]="","",Eingabe[[#This Row],[Volle alternativ]]),SUM(Eingabe[[#This Row],[V1]:[V4]]))</f>
        <v/>
      </c>
      <c r="AD183" s="35" t="str">
        <f>IF(Eingabe[[#This Row],[R1]]="",IF(Eingabe[[#This Row],[Räumer alternativ]]="","",Eingabe[[#This Row],[Räumer alternativ]]),SUM(Eingabe[[#This Row],[R1]:[R4]]))</f>
        <v/>
      </c>
      <c r="AE183" s="35" t="str">
        <f>IF(Eingabe[[#This Row],[F1]]="",IF(Eingabe[[#This Row],[Fehler alternativ]]="","",Eingabe[[#This Row],[Fehler alternativ]]),SUM(Eingabe[[#This Row],[F1]:[F4]]))</f>
        <v/>
      </c>
      <c r="AF183" s="35" t="str">
        <f>IF(Eingabe[[#This Row],[Volle]]="","",IF(Eingabe[[#This Row],[S1]]="",Eingabe[[#This Row],[Volle]]+Eingabe[[#This Row],[Räumer]],IF(Eingabe[[#This Row],[Volle]]+Eingabe[[#This Row],[Räumer]]=Eingabe[[#This Row],[S1]]+Eingabe[[#This Row],[S2]]+Eingabe[[#This Row],[S3]]+Eingabe[[#This Row],[S4]],Eingabe[[#This Row],[Volle]]+Eingabe[[#This Row],[Räumer]],"FEHLER")))</f>
        <v/>
      </c>
      <c r="AG183" s="35" t="str">
        <f>IF(Eingabe[[#This Row],[V1]]="","",Eingabe[[#This Row],[V1]]+Eingabe[[#This Row],[R1]])</f>
        <v/>
      </c>
      <c r="AH183" s="35" t="str">
        <f>IF(Eingabe[[#This Row],[V2]]="","",Eingabe[[#This Row],[V2]]+Eingabe[[#This Row],[R2]])</f>
        <v/>
      </c>
      <c r="AI183" s="35" t="str">
        <f>IF(Eingabe[[#This Row],[V3]]="","",Eingabe[[#This Row],[V3]]+Eingabe[[#This Row],[R3]])</f>
        <v/>
      </c>
      <c r="AJ183" s="35" t="str">
        <f>IF(Eingabe[[#This Row],[V4]]="","",Eingabe[[#This Row],[V4]]+Eingabe[[#This Row],[R4]])</f>
        <v/>
      </c>
      <c r="AK183" s="35" t="str">
        <f>IF(Eingabe[[#This Row],[S1P]]="","",Eingabe[[#This Row],[S1P]]+Eingabe[[#This Row],[S2P]]+Eingabe[[#This Row],[S3P]]+Eingabe[[#This Row],[S4P]])</f>
        <v/>
      </c>
      <c r="AL183" s="35" t="str">
        <f>IF(Eingabe[[#This Row],[S1P]]="","",IF(Eingabe[[#This Row],[SP]]&gt;2,1,IF(Eingabe[[#This Row],[SP]]&lt;2,0,IF(Eingabe[[#This Row],[GES]]&gt;Eingabe[[#This Row],[GEGGES]],1,IF(Eingabe[[#This Row],[GES]]=Eingabe[[#This Row],[GEGGES]],0.5,0)))))</f>
        <v/>
      </c>
      <c r="AM183" s="35" t="str">
        <f>IF(Eingabe[[#This Row],[MP]]="","",MOD(ROW(Eingabe[[#This Row],[Position]])-3,6)+1)</f>
        <v/>
      </c>
      <c r="AN183" s="35" t="e">
        <f>STANDARDIZE(Eingabe[[#This Row],[GES]],Eingabe[[#This Row],[Schnitt]],VLOOKUP(Eingabe[[#This Row],[Name]],AuswertungG[],21,FALSE))</f>
        <v>#VALUE!</v>
      </c>
      <c r="AO183" s="35">
        <f>VLOOKUP(Eingabe[[#This Row],[ID]],Chronologie[[ID]:[KW]],12,FALSE)</f>
        <v>30</v>
      </c>
      <c r="AP183" s="58" t="str">
        <f>IF(Eingabe[[#This Row],[Wo]]="H",Eingabe[[#This Row],[Gegner]]&amp;" ["&amp;Eingabe[[#This Row],[Wo]]&amp;"]",Eingabe[[#This Row],[Ort]])</f>
        <v>ISG Hagenwerder [H]</v>
      </c>
      <c r="AQ183" s="35" t="str">
        <f>IFERROR(IF(Eingabe[[#This Row],[Wo]]="H",IF(MOD(Eingabe[[#This Row],[Position]],2)=1,Eingabe[[#This Row],[S1]],Eingabe[[#This Row],[S4]]),""),"")</f>
        <v/>
      </c>
      <c r="AR183" s="35" t="str">
        <f>IFERROR(IF(Eingabe[[#This Row],[Wo]]="H",IF(Eingabe[[#This Row],[S1]]&gt;0,IF(MOD(Eingabe[[#This Row],[Position]],2)=1,Eingabe[[#This Row],[S2]],Eingabe[[#This Row],[S3]]),""),""),"")</f>
        <v/>
      </c>
      <c r="AS183" s="35" t="str">
        <f>IFERROR(IF(Eingabe[[#This Row],[Wo]]="H",IF(Eingabe[[#This Row],[S1]]&gt;0,IF(MOD(ROW(Eingabe[[#This Row],[Heimbahn 3]]),2)=1,Eingabe[[#This Row],[S4]],Eingabe[[#This Row],[S1]]),""),""),"")</f>
        <v/>
      </c>
      <c r="AT183" s="35" t="str">
        <f>IFERROR(IF(Eingabe[[#This Row],[Wo]]="H",IF(Eingabe[[#This Row],[S1]]&gt;0,IF(MOD(ROW(Eingabe[[#This Row],[Heimbahn 4]]),2)=1,Eingabe[[#This Row],[S3]],Eingabe[[#This Row],[S2]]),""),""),"")</f>
        <v/>
      </c>
      <c r="AU183" s="88" t="str">
        <f>IF(Eingabe[[#This Row],[GES]]="","",IF(Eingabe[[#This Row],[Modus]]="L",_xlfn.RANK.EQ(Eingabe[[#This Row],[GES]],AF183:AF188),IF(Eingabe[[#This Row],[Modus]]="P",_xlfn.RANK.EQ(Eingabe[[#This Row],[GES]],AF183:AF188),"")))</f>
        <v/>
      </c>
      <c r="AV183" s="6" t="e">
        <f>VLOOKUP(Eingabe[[#This Row],[Name]],AuswertungG[],8,FALSE)</f>
        <v>#N/A</v>
      </c>
      <c r="AZ183" s="6" t="str">
        <f>IFERROR(ABS(Eingabe[[#This Row],[GES]]-Eingabe[[#This Row],[GEGGES]]),"")</f>
        <v/>
      </c>
    </row>
    <row r="184" spans="1:52" ht="16.2" hidden="1" thickBot="1" x14ac:dyDescent="0.35">
      <c r="A184" s="441"/>
      <c r="B184" s="21">
        <f t="shared" si="22"/>
        <v>31</v>
      </c>
      <c r="C184" s="6" t="str">
        <f>VLOOKUP($B184,Chronologie[],7,TRUE)</f>
        <v>ISG Hagenwerder</v>
      </c>
      <c r="D184" s="6" t="str">
        <f>VLOOKUP($B184,Chronologie[],8,TRUE)</f>
        <v>Hirschfeld</v>
      </c>
      <c r="E184" s="240" t="str">
        <f>VLOOKUP($B184,Chronologie[],9,TRUE)</f>
        <v>H</v>
      </c>
      <c r="F184" s="6" t="str">
        <f>VLOOKUP($B184,Chronologie[],COLUMN(F185)-2,TRUE)</f>
        <v>F</v>
      </c>
      <c r="G184" s="6" t="str">
        <f>VLOOKUP($B184,Chronologie[],COLUMN(G185)-2,TRUE)</f>
        <v>L</v>
      </c>
      <c r="H184" s="6">
        <f>VLOOKUP($B184,Chronologie[],COLUMN(H185)-2,TRUE)</f>
        <v>13</v>
      </c>
      <c r="I184" s="10" t="str">
        <f>VLOOKUP($B184,Chronologie[],2,TRUE)</f>
        <v>F-L-13</v>
      </c>
      <c r="J184" s="243">
        <f>VLOOKUP($B184,Chronologie[],3,TRUE)</f>
        <v>46103</v>
      </c>
      <c r="K184" s="237"/>
      <c r="L184" s="237"/>
      <c r="M184" s="237"/>
      <c r="N184" s="237"/>
      <c r="O184" s="237"/>
      <c r="P184" s="237"/>
      <c r="Q184" s="237"/>
      <c r="R184" s="237"/>
      <c r="S184" s="237"/>
      <c r="T184" s="237"/>
      <c r="U184" s="237"/>
      <c r="V184" s="237"/>
      <c r="W184" s="237"/>
      <c r="X184" s="38"/>
      <c r="Y184" s="38"/>
      <c r="Z184" s="38"/>
      <c r="AA184" s="38"/>
      <c r="AB184" s="91"/>
      <c r="AC184" s="94" t="str">
        <f>IF(Eingabe[[#This Row],[V1]]="",IF(Eingabe[[#This Row],[Volle alternativ]]="","",Eingabe[[#This Row],[Volle alternativ]]),SUM(Eingabe[[#This Row],[V1]:[V4]]))</f>
        <v/>
      </c>
      <c r="AD184" s="6" t="str">
        <f>IF(Eingabe[[#This Row],[R1]]="",IF(Eingabe[[#This Row],[Räumer alternativ]]="","",Eingabe[[#This Row],[Räumer alternativ]]),SUM(Eingabe[[#This Row],[R1]:[R4]]))</f>
        <v/>
      </c>
      <c r="AE184" s="6" t="str">
        <f>IF(Eingabe[[#This Row],[F1]]="",IF(Eingabe[[#This Row],[Fehler alternativ]]="","",Eingabe[[#This Row],[Fehler alternativ]]),SUM(Eingabe[[#This Row],[F1]:[F4]]))</f>
        <v/>
      </c>
      <c r="AF184" s="6" t="str">
        <f>IF(Eingabe[[#This Row],[Volle]]="","",IF(Eingabe[[#This Row],[S1]]="",Eingabe[[#This Row],[Volle]]+Eingabe[[#This Row],[Räumer]],IF(Eingabe[[#This Row],[Volle]]+Eingabe[[#This Row],[Räumer]]=Eingabe[[#This Row],[S1]]+Eingabe[[#This Row],[S2]]+Eingabe[[#This Row],[S3]]+Eingabe[[#This Row],[S4]],Eingabe[[#This Row],[Volle]]+Eingabe[[#This Row],[Räumer]],"FEHLER")))</f>
        <v/>
      </c>
      <c r="AG184" s="6" t="str">
        <f>IF(Eingabe[[#This Row],[V1]]="","",Eingabe[[#This Row],[V1]]+Eingabe[[#This Row],[R1]])</f>
        <v/>
      </c>
      <c r="AH184" s="6" t="str">
        <f>IF(Eingabe[[#This Row],[V2]]="","",Eingabe[[#This Row],[V2]]+Eingabe[[#This Row],[R2]])</f>
        <v/>
      </c>
      <c r="AI184" s="6" t="str">
        <f>IF(Eingabe[[#This Row],[V3]]="","",Eingabe[[#This Row],[V3]]+Eingabe[[#This Row],[R3]])</f>
        <v/>
      </c>
      <c r="AJ184" s="6" t="str">
        <f>IF(Eingabe[[#This Row],[V4]]="","",Eingabe[[#This Row],[V4]]+Eingabe[[#This Row],[R4]])</f>
        <v/>
      </c>
      <c r="AK184" s="6" t="str">
        <f>IF(Eingabe[[#This Row],[S1P]]="","",Eingabe[[#This Row],[S1P]]+Eingabe[[#This Row],[S2P]]+Eingabe[[#This Row],[S3P]]+Eingabe[[#This Row],[S4P]])</f>
        <v/>
      </c>
      <c r="AL184" s="6" t="str">
        <f>IF(Eingabe[[#This Row],[S1P]]="","",IF(Eingabe[[#This Row],[SP]]&gt;2,1,IF(Eingabe[[#This Row],[SP]]&lt;2,0,IF(Eingabe[[#This Row],[GES]]&gt;Eingabe[[#This Row],[GEGGES]],1,IF(Eingabe[[#This Row],[GES]]=Eingabe[[#This Row],[GEGGES]],0.5,0)))))</f>
        <v/>
      </c>
      <c r="AM184" s="6" t="str">
        <f>IF(Eingabe[[#This Row],[MP]]="","",MOD(ROW(Eingabe[[#This Row],[Position]])-3,6)+1)</f>
        <v/>
      </c>
      <c r="AN184" s="6" t="e">
        <f>STANDARDIZE(Eingabe[[#This Row],[GES]],Eingabe[[#This Row],[Schnitt]],VLOOKUP(Eingabe[[#This Row],[Name]],AuswertungG[],21,FALSE))</f>
        <v>#VALUE!</v>
      </c>
      <c r="AO184" s="6">
        <f>VLOOKUP(Eingabe[[#This Row],[ID]],Chronologie[[ID]:[KW]],12,FALSE)</f>
        <v>30</v>
      </c>
      <c r="AP184" s="95" t="str">
        <f>IF(Eingabe[[#This Row],[Wo]]="H",Eingabe[[#This Row],[Gegner]]&amp;" ["&amp;Eingabe[[#This Row],[Wo]]&amp;"]",Eingabe[[#This Row],[Ort]])</f>
        <v>ISG Hagenwerder [H]</v>
      </c>
      <c r="AQ184" s="6" t="str">
        <f>IFERROR(IF(Eingabe[[#This Row],[Wo]]="H",IF(MOD(Eingabe[[#This Row],[Position]],2)=1,Eingabe[[#This Row],[S1]],Eingabe[[#This Row],[S4]]),""),"")</f>
        <v/>
      </c>
      <c r="AR184" s="6" t="str">
        <f>IFERROR(IF(Eingabe[[#This Row],[Wo]]="H",IF(Eingabe[[#This Row],[S1]]&gt;0,IF(MOD(Eingabe[[#This Row],[Position]],2)=1,Eingabe[[#This Row],[S2]],Eingabe[[#This Row],[S3]]),""),""),"")</f>
        <v/>
      </c>
      <c r="AS184" s="6" t="str">
        <f>IFERROR(IF(Eingabe[[#This Row],[Wo]]="H",IF(Eingabe[[#This Row],[S1]]&gt;0,IF(MOD(ROW(Eingabe[[#This Row],[Heimbahn 3]]),2)=1,Eingabe[[#This Row],[S4]],Eingabe[[#This Row],[S1]]),""),""),"")</f>
        <v/>
      </c>
      <c r="AT184" s="6" t="str">
        <f>IFERROR(IF(Eingabe[[#This Row],[Wo]]="H",IF(Eingabe[[#This Row],[S1]]&gt;0,IF(MOD(ROW(Eingabe[[#This Row],[Heimbahn 4]]),2)=1,Eingabe[[#This Row],[S3]],Eingabe[[#This Row],[S2]]),""),""),"")</f>
        <v/>
      </c>
      <c r="AU184" s="22" t="str">
        <f>IF(Eingabe[[#This Row],[GES]]="","",IF(Eingabe[[#This Row],[Modus]]="L",_xlfn.RANK.EQ(Eingabe[[#This Row],[GES]],AF183:AF188),IF(Eingabe[[#This Row],[Modus]]="P",_xlfn.RANK.EQ(Eingabe[[#This Row],[GES]],AF183:AF188),"")))</f>
        <v/>
      </c>
      <c r="AV184" s="6" t="e">
        <f>VLOOKUP(Eingabe[[#This Row],[Name]],AuswertungG[],8,FALSE)</f>
        <v>#N/A</v>
      </c>
      <c r="AZ184" s="6" t="str">
        <f>IFERROR(ABS(Eingabe[[#This Row],[GES]]-Eingabe[[#This Row],[GEGGES]]),"")</f>
        <v/>
      </c>
    </row>
    <row r="185" spans="1:52" ht="16.2" hidden="1" thickBot="1" x14ac:dyDescent="0.35">
      <c r="A185" s="441"/>
      <c r="B185" s="21">
        <f t="shared" si="22"/>
        <v>31</v>
      </c>
      <c r="C185" s="6" t="str">
        <f>VLOOKUP($B185,Chronologie[],7,TRUE)</f>
        <v>ISG Hagenwerder</v>
      </c>
      <c r="D185" s="6" t="str">
        <f>VLOOKUP($B185,Chronologie[],8,TRUE)</f>
        <v>Hirschfeld</v>
      </c>
      <c r="E185" s="240" t="str">
        <f>VLOOKUP($B185,Chronologie[],9,TRUE)</f>
        <v>H</v>
      </c>
      <c r="F185" s="6" t="str">
        <f>VLOOKUP($B185,Chronologie[],COLUMN(F186)-2,TRUE)</f>
        <v>F</v>
      </c>
      <c r="G185" s="6" t="str">
        <f>VLOOKUP($B185,Chronologie[],COLUMN(G186)-2,TRUE)</f>
        <v>L</v>
      </c>
      <c r="H185" s="6">
        <f>VLOOKUP($B185,Chronologie[],COLUMN(H186)-2,TRUE)</f>
        <v>13</v>
      </c>
      <c r="I185" s="10" t="str">
        <f>VLOOKUP($B185,Chronologie[],2,TRUE)</f>
        <v>F-L-13</v>
      </c>
      <c r="J185" s="243">
        <f>VLOOKUP($B185,Chronologie[],3,TRUE)</f>
        <v>46103</v>
      </c>
      <c r="K185" s="237"/>
      <c r="L185" s="237"/>
      <c r="M185" s="237"/>
      <c r="N185" s="237"/>
      <c r="O185" s="237"/>
      <c r="P185" s="237"/>
      <c r="Q185" s="237"/>
      <c r="R185" s="237"/>
      <c r="S185" s="237"/>
      <c r="T185" s="237"/>
      <c r="U185" s="237"/>
      <c r="V185" s="237"/>
      <c r="W185" s="237"/>
      <c r="X185" s="38"/>
      <c r="Y185" s="38"/>
      <c r="Z185" s="38"/>
      <c r="AA185" s="38"/>
      <c r="AB185" s="91"/>
      <c r="AC185" s="94" t="str">
        <f>IF(Eingabe[[#This Row],[V1]]="",IF(Eingabe[[#This Row],[Volle alternativ]]="","",Eingabe[[#This Row],[Volle alternativ]]),SUM(Eingabe[[#This Row],[V1]:[V4]]))</f>
        <v/>
      </c>
      <c r="AD185" s="6" t="str">
        <f>IF(Eingabe[[#This Row],[R1]]="",IF(Eingabe[[#This Row],[Räumer alternativ]]="","",Eingabe[[#This Row],[Räumer alternativ]]),SUM(Eingabe[[#This Row],[R1]:[R4]]))</f>
        <v/>
      </c>
      <c r="AE185" s="6" t="str">
        <f>IF(Eingabe[[#This Row],[F1]]="",IF(Eingabe[[#This Row],[Fehler alternativ]]="","",Eingabe[[#This Row],[Fehler alternativ]]),SUM(Eingabe[[#This Row],[F1]:[F4]]))</f>
        <v/>
      </c>
      <c r="AF185" s="6" t="str">
        <f>IF(Eingabe[[#This Row],[Volle]]="","",IF(Eingabe[[#This Row],[S1]]="",Eingabe[[#This Row],[Volle]]+Eingabe[[#This Row],[Räumer]],IF(Eingabe[[#This Row],[Volle]]+Eingabe[[#This Row],[Räumer]]=Eingabe[[#This Row],[S1]]+Eingabe[[#This Row],[S2]]+Eingabe[[#This Row],[S3]]+Eingabe[[#This Row],[S4]],Eingabe[[#This Row],[Volle]]+Eingabe[[#This Row],[Räumer]],"FEHLER")))</f>
        <v/>
      </c>
      <c r="AG185" s="6" t="str">
        <f>IF(Eingabe[[#This Row],[V1]]="","",Eingabe[[#This Row],[V1]]+Eingabe[[#This Row],[R1]])</f>
        <v/>
      </c>
      <c r="AH185" s="6" t="str">
        <f>IF(Eingabe[[#This Row],[V2]]="","",Eingabe[[#This Row],[V2]]+Eingabe[[#This Row],[R2]])</f>
        <v/>
      </c>
      <c r="AI185" s="6" t="str">
        <f>IF(Eingabe[[#This Row],[V3]]="","",Eingabe[[#This Row],[V3]]+Eingabe[[#This Row],[R3]])</f>
        <v/>
      </c>
      <c r="AJ185" s="6" t="str">
        <f>IF(Eingabe[[#This Row],[V4]]="","",Eingabe[[#This Row],[V4]]+Eingabe[[#This Row],[R4]])</f>
        <v/>
      </c>
      <c r="AK185" s="6" t="str">
        <f>IF(Eingabe[[#This Row],[S1P]]="","",Eingabe[[#This Row],[S1P]]+Eingabe[[#This Row],[S2P]]+Eingabe[[#This Row],[S3P]]+Eingabe[[#This Row],[S4P]])</f>
        <v/>
      </c>
      <c r="AL185" s="6" t="str">
        <f>IF(Eingabe[[#This Row],[S1P]]="","",IF(Eingabe[[#This Row],[SP]]&gt;2,1,IF(Eingabe[[#This Row],[SP]]&lt;2,0,IF(Eingabe[[#This Row],[GES]]&gt;Eingabe[[#This Row],[GEGGES]],1,IF(Eingabe[[#This Row],[GES]]=Eingabe[[#This Row],[GEGGES]],0.5,0)))))</f>
        <v/>
      </c>
      <c r="AM185" s="6" t="str">
        <f>IF(Eingabe[[#This Row],[MP]]="","",MOD(ROW(Eingabe[[#This Row],[Position]])-3,6)+1)</f>
        <v/>
      </c>
      <c r="AN185" s="6" t="e">
        <f>STANDARDIZE(Eingabe[[#This Row],[GES]],Eingabe[[#This Row],[Schnitt]],VLOOKUP(Eingabe[[#This Row],[Name]],AuswertungG[],21,FALSE))</f>
        <v>#VALUE!</v>
      </c>
      <c r="AO185" s="6">
        <f>VLOOKUP(Eingabe[[#This Row],[ID]],Chronologie[[ID]:[KW]],12,FALSE)</f>
        <v>30</v>
      </c>
      <c r="AP185" s="95" t="str">
        <f>IF(Eingabe[[#This Row],[Wo]]="H",Eingabe[[#This Row],[Gegner]]&amp;" ["&amp;Eingabe[[#This Row],[Wo]]&amp;"]",Eingabe[[#This Row],[Ort]])</f>
        <v>ISG Hagenwerder [H]</v>
      </c>
      <c r="AQ185" s="6" t="str">
        <f>IFERROR(IF(Eingabe[[#This Row],[Wo]]="H",IF(MOD(Eingabe[[#This Row],[Position]],2)=1,Eingabe[[#This Row],[S1]],Eingabe[[#This Row],[S4]]),""),"")</f>
        <v/>
      </c>
      <c r="AR185" s="6" t="str">
        <f>IFERROR(IF(Eingabe[[#This Row],[Wo]]="H",IF(Eingabe[[#This Row],[S1]]&gt;0,IF(MOD(Eingabe[[#This Row],[Position]],2)=1,Eingabe[[#This Row],[S2]],Eingabe[[#This Row],[S3]]),""),""),"")</f>
        <v/>
      </c>
      <c r="AS185" s="6" t="str">
        <f>IFERROR(IF(Eingabe[[#This Row],[Wo]]="H",IF(Eingabe[[#This Row],[S1]]&gt;0,IF(MOD(ROW(Eingabe[[#This Row],[Heimbahn 3]]),2)=1,Eingabe[[#This Row],[S4]],Eingabe[[#This Row],[S1]]),""),""),"")</f>
        <v/>
      </c>
      <c r="AT185" s="6" t="str">
        <f>IFERROR(IF(Eingabe[[#This Row],[Wo]]="H",IF(Eingabe[[#This Row],[S1]]&gt;0,IF(MOD(ROW(Eingabe[[#This Row],[Heimbahn 4]]),2)=1,Eingabe[[#This Row],[S3]],Eingabe[[#This Row],[S2]]),""),""),"")</f>
        <v/>
      </c>
      <c r="AU185" s="22" t="str">
        <f>IF(Eingabe[[#This Row],[GES]]="","",IF(Eingabe[[#This Row],[Modus]]="L",_xlfn.RANK.EQ(Eingabe[[#This Row],[GES]],AF183:AF188),IF(Eingabe[[#This Row],[Modus]]="P",_xlfn.RANK.EQ(Eingabe[[#This Row],[GES]],AF183:AF188),"")))</f>
        <v/>
      </c>
      <c r="AV185" s="6" t="e">
        <f>VLOOKUP(Eingabe[[#This Row],[Name]],AuswertungG[],8,FALSE)</f>
        <v>#N/A</v>
      </c>
      <c r="AZ185" s="6" t="str">
        <f>IFERROR(ABS(Eingabe[[#This Row],[GES]]-Eingabe[[#This Row],[GEGGES]]),"")</f>
        <v/>
      </c>
    </row>
    <row r="186" spans="1:52" ht="16.2" hidden="1" thickBot="1" x14ac:dyDescent="0.35">
      <c r="A186" s="441"/>
      <c r="B186" s="21">
        <f t="shared" si="22"/>
        <v>31</v>
      </c>
      <c r="C186" s="6" t="str">
        <f>VLOOKUP($B186,Chronologie[],7,TRUE)</f>
        <v>ISG Hagenwerder</v>
      </c>
      <c r="D186" s="6" t="str">
        <f>VLOOKUP($B186,Chronologie[],8,TRUE)</f>
        <v>Hirschfeld</v>
      </c>
      <c r="E186" s="240" t="str">
        <f>VLOOKUP($B186,Chronologie[],9,TRUE)</f>
        <v>H</v>
      </c>
      <c r="F186" s="6" t="str">
        <f>VLOOKUP($B186,Chronologie[],COLUMN(F187)-2,TRUE)</f>
        <v>F</v>
      </c>
      <c r="G186" s="6" t="str">
        <f>VLOOKUP($B186,Chronologie[],COLUMN(G187)-2,TRUE)</f>
        <v>L</v>
      </c>
      <c r="H186" s="6">
        <f>VLOOKUP($B186,Chronologie[],COLUMN(H187)-2,TRUE)</f>
        <v>13</v>
      </c>
      <c r="I186" s="10" t="str">
        <f>VLOOKUP($B186,Chronologie[],2,TRUE)</f>
        <v>F-L-13</v>
      </c>
      <c r="J186" s="243">
        <f>VLOOKUP($B186,Chronologie[],3,TRUE)</f>
        <v>46103</v>
      </c>
      <c r="K186" s="238"/>
      <c r="L186" s="237"/>
      <c r="M186" s="237"/>
      <c r="N186" s="237"/>
      <c r="O186" s="237"/>
      <c r="P186" s="237"/>
      <c r="Q186" s="237"/>
      <c r="R186" s="237"/>
      <c r="S186" s="237"/>
      <c r="T186" s="237"/>
      <c r="U186" s="237"/>
      <c r="V186" s="237"/>
      <c r="W186" s="237"/>
      <c r="X186" s="38"/>
      <c r="Y186" s="38"/>
      <c r="Z186" s="38"/>
      <c r="AA186" s="38"/>
      <c r="AB186" s="91"/>
      <c r="AC186" s="94" t="str">
        <f>IF(Eingabe[[#This Row],[V1]]="",IF(Eingabe[[#This Row],[Volle alternativ]]="","",Eingabe[[#This Row],[Volle alternativ]]),SUM(Eingabe[[#This Row],[V1]:[V4]]))</f>
        <v/>
      </c>
      <c r="AD186" s="6" t="str">
        <f>IF(Eingabe[[#This Row],[R1]]="",IF(Eingabe[[#This Row],[Räumer alternativ]]="","",Eingabe[[#This Row],[Räumer alternativ]]),SUM(Eingabe[[#This Row],[R1]:[R4]]))</f>
        <v/>
      </c>
      <c r="AE186" s="6" t="str">
        <f>IF(Eingabe[[#This Row],[F1]]="",IF(Eingabe[[#This Row],[Fehler alternativ]]="","",Eingabe[[#This Row],[Fehler alternativ]]),SUM(Eingabe[[#This Row],[F1]:[F4]]))</f>
        <v/>
      </c>
      <c r="AF186" s="6" t="str">
        <f>IF(Eingabe[[#This Row],[Volle]]="","",IF(Eingabe[[#This Row],[S1]]="",Eingabe[[#This Row],[Volle]]+Eingabe[[#This Row],[Räumer]],IF(Eingabe[[#This Row],[Volle]]+Eingabe[[#This Row],[Räumer]]=Eingabe[[#This Row],[S1]]+Eingabe[[#This Row],[S2]]+Eingabe[[#This Row],[S3]]+Eingabe[[#This Row],[S4]],Eingabe[[#This Row],[Volle]]+Eingabe[[#This Row],[Räumer]],"FEHLER")))</f>
        <v/>
      </c>
      <c r="AG186" s="6" t="str">
        <f>IF(Eingabe[[#This Row],[V1]]="","",Eingabe[[#This Row],[V1]]+Eingabe[[#This Row],[R1]])</f>
        <v/>
      </c>
      <c r="AH186" s="6" t="str">
        <f>IF(Eingabe[[#This Row],[V2]]="","",Eingabe[[#This Row],[V2]]+Eingabe[[#This Row],[R2]])</f>
        <v/>
      </c>
      <c r="AI186" s="6" t="str">
        <f>IF(Eingabe[[#This Row],[V3]]="","",Eingabe[[#This Row],[V3]]+Eingabe[[#This Row],[R3]])</f>
        <v/>
      </c>
      <c r="AJ186" s="6" t="str">
        <f>IF(Eingabe[[#This Row],[V4]]="","",Eingabe[[#This Row],[V4]]+Eingabe[[#This Row],[R4]])</f>
        <v/>
      </c>
      <c r="AK186" s="6" t="str">
        <f>IF(Eingabe[[#This Row],[S1P]]="","",Eingabe[[#This Row],[S1P]]+Eingabe[[#This Row],[S2P]]+Eingabe[[#This Row],[S3P]]+Eingabe[[#This Row],[S4P]])</f>
        <v/>
      </c>
      <c r="AL186" s="6" t="str">
        <f>IF(Eingabe[[#This Row],[S1P]]="","",IF(Eingabe[[#This Row],[SP]]&gt;2,1,IF(Eingabe[[#This Row],[SP]]&lt;2,0,IF(Eingabe[[#This Row],[GES]]&gt;Eingabe[[#This Row],[GEGGES]],1,IF(Eingabe[[#This Row],[GES]]=Eingabe[[#This Row],[GEGGES]],0.5,0)))))</f>
        <v/>
      </c>
      <c r="AM186" s="6" t="str">
        <f>IF(Eingabe[[#This Row],[MP]]="","",MOD(ROW(Eingabe[[#This Row],[Position]])-3,6)+1)</f>
        <v/>
      </c>
      <c r="AN186" s="6" t="e">
        <f>STANDARDIZE(Eingabe[[#This Row],[GES]],Eingabe[[#This Row],[Schnitt]],VLOOKUP(Eingabe[[#This Row],[Name]],AuswertungG[],21,FALSE))</f>
        <v>#VALUE!</v>
      </c>
      <c r="AO186" s="6">
        <f>VLOOKUP(Eingabe[[#This Row],[ID]],Chronologie[[ID]:[KW]],12,FALSE)</f>
        <v>30</v>
      </c>
      <c r="AP186" s="95" t="str">
        <f>IF(Eingabe[[#This Row],[Wo]]="H",Eingabe[[#This Row],[Gegner]]&amp;" ["&amp;Eingabe[[#This Row],[Wo]]&amp;"]",Eingabe[[#This Row],[Ort]])</f>
        <v>ISG Hagenwerder [H]</v>
      </c>
      <c r="AQ186" s="6" t="str">
        <f>IFERROR(IF(Eingabe[[#This Row],[Wo]]="H",IF(MOD(Eingabe[[#This Row],[Position]],2)=1,Eingabe[[#This Row],[S1]],Eingabe[[#This Row],[S4]]),""),"")</f>
        <v/>
      </c>
      <c r="AR186" s="6" t="str">
        <f>IFERROR(IF(Eingabe[[#This Row],[Wo]]="H",IF(Eingabe[[#This Row],[S1]]&gt;0,IF(MOD(Eingabe[[#This Row],[Position]],2)=1,Eingabe[[#This Row],[S2]],Eingabe[[#This Row],[S3]]),""),""),"")</f>
        <v/>
      </c>
      <c r="AS186" s="6" t="str">
        <f>IFERROR(IF(Eingabe[[#This Row],[Wo]]="H",IF(Eingabe[[#This Row],[S1]]&gt;0,IF(MOD(ROW(Eingabe[[#This Row],[Heimbahn 3]]),2)=1,Eingabe[[#This Row],[S4]],Eingabe[[#This Row],[S1]]),""),""),"")</f>
        <v/>
      </c>
      <c r="AT186" s="6" t="str">
        <f>IFERROR(IF(Eingabe[[#This Row],[Wo]]="H",IF(Eingabe[[#This Row],[S1]]&gt;0,IF(MOD(ROW(Eingabe[[#This Row],[Heimbahn 4]]),2)=1,Eingabe[[#This Row],[S3]],Eingabe[[#This Row],[S2]]),""),""),"")</f>
        <v/>
      </c>
      <c r="AU186" s="22" t="str">
        <f>IF(Eingabe[[#This Row],[GES]]="","",IF(Eingabe[[#This Row],[Modus]]="L",_xlfn.RANK.EQ(Eingabe[[#This Row],[GES]],AF183:AF188),IF(Eingabe[[#This Row],[Modus]]="P",_xlfn.RANK.EQ(Eingabe[[#This Row],[GES]],AF183:AF188),"")))</f>
        <v/>
      </c>
      <c r="AV186" s="6" t="e">
        <f>VLOOKUP(Eingabe[[#This Row],[Name]],AuswertungG[],8,FALSE)</f>
        <v>#N/A</v>
      </c>
      <c r="AZ186" s="6" t="str">
        <f>IFERROR(ABS(Eingabe[[#This Row],[GES]]-Eingabe[[#This Row],[GEGGES]]),"")</f>
        <v/>
      </c>
    </row>
    <row r="187" spans="1:52" ht="16.2" hidden="1" thickBot="1" x14ac:dyDescent="0.35">
      <c r="A187" s="441"/>
      <c r="B187" s="21">
        <f t="shared" si="22"/>
        <v>31</v>
      </c>
      <c r="C187" s="6" t="str">
        <f>VLOOKUP($B187,Chronologie[],7,TRUE)</f>
        <v>ISG Hagenwerder</v>
      </c>
      <c r="D187" s="6" t="str">
        <f>VLOOKUP($B187,Chronologie[],8,TRUE)</f>
        <v>Hirschfeld</v>
      </c>
      <c r="E187" s="240" t="str">
        <f>VLOOKUP($B187,Chronologie[],9,TRUE)</f>
        <v>H</v>
      </c>
      <c r="F187" s="6" t="str">
        <f>VLOOKUP($B187,Chronologie[],COLUMN(F188)-2,TRUE)</f>
        <v>F</v>
      </c>
      <c r="G187" s="6" t="str">
        <f>VLOOKUP($B187,Chronologie[],COLUMN(G188)-2,TRUE)</f>
        <v>L</v>
      </c>
      <c r="H187" s="6">
        <f>VLOOKUP($B187,Chronologie[],COLUMN(H188)-2,TRUE)</f>
        <v>13</v>
      </c>
      <c r="I187" s="10" t="str">
        <f>VLOOKUP($B187,Chronologie[],2,TRUE)</f>
        <v>F-L-13</v>
      </c>
      <c r="J187" s="243">
        <f>VLOOKUP($B187,Chronologie[],3,TRUE)</f>
        <v>46103</v>
      </c>
      <c r="K187" s="237"/>
      <c r="L187" s="237"/>
      <c r="M187" s="237"/>
      <c r="N187" s="237"/>
      <c r="O187" s="237"/>
      <c r="P187" s="237"/>
      <c r="Q187" s="237"/>
      <c r="R187" s="237"/>
      <c r="S187" s="237"/>
      <c r="T187" s="237"/>
      <c r="U187" s="237"/>
      <c r="V187" s="237"/>
      <c r="W187" s="237"/>
      <c r="X187" s="38"/>
      <c r="Y187" s="38"/>
      <c r="Z187" s="38"/>
      <c r="AA187" s="38"/>
      <c r="AB187" s="91"/>
      <c r="AC187" s="94" t="str">
        <f>IF(Eingabe[[#This Row],[V1]]="",IF(Eingabe[[#This Row],[Volle alternativ]]="","",Eingabe[[#This Row],[Volle alternativ]]),SUM(Eingabe[[#This Row],[V1]:[V4]]))</f>
        <v/>
      </c>
      <c r="AD187" s="6" t="str">
        <f>IF(Eingabe[[#This Row],[R1]]="",IF(Eingabe[[#This Row],[Räumer alternativ]]="","",Eingabe[[#This Row],[Räumer alternativ]]),SUM(Eingabe[[#This Row],[R1]:[R4]]))</f>
        <v/>
      </c>
      <c r="AE187" s="6" t="str">
        <f>IF(Eingabe[[#This Row],[F1]]="",IF(Eingabe[[#This Row],[Fehler alternativ]]="","",Eingabe[[#This Row],[Fehler alternativ]]),SUM(Eingabe[[#This Row],[F1]:[F4]]))</f>
        <v/>
      </c>
      <c r="AF187" s="6" t="str">
        <f>IF(Eingabe[[#This Row],[Volle]]="","",IF(Eingabe[[#This Row],[S1]]="",Eingabe[[#This Row],[Volle]]+Eingabe[[#This Row],[Räumer]],IF(Eingabe[[#This Row],[Volle]]+Eingabe[[#This Row],[Räumer]]=Eingabe[[#This Row],[S1]]+Eingabe[[#This Row],[S2]]+Eingabe[[#This Row],[S3]]+Eingabe[[#This Row],[S4]],Eingabe[[#This Row],[Volle]]+Eingabe[[#This Row],[Räumer]],"FEHLER")))</f>
        <v/>
      </c>
      <c r="AG187" s="6" t="str">
        <f>IF(Eingabe[[#This Row],[V1]]="","",Eingabe[[#This Row],[V1]]+Eingabe[[#This Row],[R1]])</f>
        <v/>
      </c>
      <c r="AH187" s="6" t="str">
        <f>IF(Eingabe[[#This Row],[V2]]="","",Eingabe[[#This Row],[V2]]+Eingabe[[#This Row],[R2]])</f>
        <v/>
      </c>
      <c r="AI187" s="6" t="str">
        <f>IF(Eingabe[[#This Row],[V3]]="","",Eingabe[[#This Row],[V3]]+Eingabe[[#This Row],[R3]])</f>
        <v/>
      </c>
      <c r="AJ187" s="6" t="str">
        <f>IF(Eingabe[[#This Row],[V4]]="","",Eingabe[[#This Row],[V4]]+Eingabe[[#This Row],[R4]])</f>
        <v/>
      </c>
      <c r="AK187" s="6" t="str">
        <f>IF(Eingabe[[#This Row],[S1P]]="","",Eingabe[[#This Row],[S1P]]+Eingabe[[#This Row],[S2P]]+Eingabe[[#This Row],[S3P]]+Eingabe[[#This Row],[S4P]])</f>
        <v/>
      </c>
      <c r="AL187" s="6" t="str">
        <f>IF(Eingabe[[#This Row],[S1P]]="","",IF(Eingabe[[#This Row],[SP]]&gt;2,1,IF(Eingabe[[#This Row],[SP]]&lt;2,0,IF(Eingabe[[#This Row],[GES]]&gt;Eingabe[[#This Row],[GEGGES]],1,IF(Eingabe[[#This Row],[GES]]=Eingabe[[#This Row],[GEGGES]],0.5,0)))))</f>
        <v/>
      </c>
      <c r="AM187" s="6" t="str">
        <f>IF(Eingabe[[#This Row],[MP]]="","",MOD(ROW(Eingabe[[#This Row],[Position]])-3,6)+1)</f>
        <v/>
      </c>
      <c r="AN187" s="6" t="e">
        <f>STANDARDIZE(Eingabe[[#This Row],[GES]],Eingabe[[#This Row],[Schnitt]],VLOOKUP(Eingabe[[#This Row],[Name]],AuswertungG[],21,FALSE))</f>
        <v>#VALUE!</v>
      </c>
      <c r="AO187" s="6">
        <f>VLOOKUP(Eingabe[[#This Row],[ID]],Chronologie[[ID]:[KW]],12,FALSE)</f>
        <v>30</v>
      </c>
      <c r="AP187" s="95" t="str">
        <f>IF(Eingabe[[#This Row],[Wo]]="H",Eingabe[[#This Row],[Gegner]]&amp;" ["&amp;Eingabe[[#This Row],[Wo]]&amp;"]",Eingabe[[#This Row],[Ort]])</f>
        <v>ISG Hagenwerder [H]</v>
      </c>
      <c r="AQ187" s="6" t="str">
        <f>IFERROR(IF(Eingabe[[#This Row],[Wo]]="H",IF(MOD(Eingabe[[#This Row],[Position]],2)=1,Eingabe[[#This Row],[S1]],Eingabe[[#This Row],[S4]]),""),"")</f>
        <v/>
      </c>
      <c r="AR187" s="6" t="str">
        <f>IFERROR(IF(Eingabe[[#This Row],[Wo]]="H",IF(Eingabe[[#This Row],[S1]]&gt;0,IF(MOD(Eingabe[[#This Row],[Position]],2)=1,Eingabe[[#This Row],[S2]],Eingabe[[#This Row],[S3]]),""),""),"")</f>
        <v/>
      </c>
      <c r="AS187" s="6" t="str">
        <f>IFERROR(IF(Eingabe[[#This Row],[Wo]]="H",IF(Eingabe[[#This Row],[S1]]&gt;0,IF(MOD(ROW(Eingabe[[#This Row],[Heimbahn 3]]),2)=1,Eingabe[[#This Row],[S4]],Eingabe[[#This Row],[S1]]),""),""),"")</f>
        <v/>
      </c>
      <c r="AT187" s="6" t="str">
        <f>IFERROR(IF(Eingabe[[#This Row],[Wo]]="H",IF(Eingabe[[#This Row],[S1]]&gt;0,IF(MOD(ROW(Eingabe[[#This Row],[Heimbahn 4]]),2)=1,Eingabe[[#This Row],[S3]],Eingabe[[#This Row],[S2]]),""),""),"")</f>
        <v/>
      </c>
      <c r="AU187" s="22" t="str">
        <f>IF(Eingabe[[#This Row],[GES]]="","",IF(Eingabe[[#This Row],[Modus]]="L",_xlfn.RANK.EQ(Eingabe[[#This Row],[GES]],AF183:AF188),IF(Eingabe[[#This Row],[Modus]]="P",_xlfn.RANK.EQ(Eingabe[[#This Row],[GES]],AF183:AF188),"")))</f>
        <v/>
      </c>
      <c r="AV187" s="6" t="e">
        <f>VLOOKUP(Eingabe[[#This Row],[Name]],AuswertungG[],8,FALSE)</f>
        <v>#N/A</v>
      </c>
      <c r="AZ187" s="6" t="str">
        <f>IFERROR(ABS(Eingabe[[#This Row],[GES]]-Eingabe[[#This Row],[GEGGES]]),"")</f>
        <v/>
      </c>
    </row>
    <row r="188" spans="1:52" ht="16.2" hidden="1" thickBot="1" x14ac:dyDescent="0.35">
      <c r="A188" s="442"/>
      <c r="B188" s="56">
        <f t="shared" si="22"/>
        <v>31</v>
      </c>
      <c r="C188" s="23" t="str">
        <f>VLOOKUP($B188,Chronologie[],7,TRUE)</f>
        <v>ISG Hagenwerder</v>
      </c>
      <c r="D188" s="23" t="str">
        <f>VLOOKUP($B188,Chronologie[],8,TRUE)</f>
        <v>Hirschfeld</v>
      </c>
      <c r="E188" s="39" t="str">
        <f>VLOOKUP($B188,Chronologie[],9,TRUE)</f>
        <v>H</v>
      </c>
      <c r="F188" s="23" t="str">
        <f>VLOOKUP($B188,Chronologie[],COLUMN(F189)-2,TRUE)</f>
        <v>F</v>
      </c>
      <c r="G188" s="23" t="str">
        <f>VLOOKUP($B188,Chronologie[],COLUMN(G189)-2,TRUE)</f>
        <v>L</v>
      </c>
      <c r="H188" s="23">
        <f>VLOOKUP($B188,Chronologie[],COLUMN(H189)-2,TRUE)</f>
        <v>13</v>
      </c>
      <c r="I188" s="13" t="str">
        <f>VLOOKUP($B188,Chronologie[],2,TRUE)</f>
        <v>F-L-13</v>
      </c>
      <c r="J188" s="244">
        <f>VLOOKUP($B188,Chronologie[],3,TRUE)</f>
        <v>46103</v>
      </c>
      <c r="K188" s="239"/>
      <c r="L188" s="239"/>
      <c r="M188" s="239"/>
      <c r="N188" s="239"/>
      <c r="O188" s="239"/>
      <c r="P188" s="239"/>
      <c r="Q188" s="239"/>
      <c r="R188" s="239"/>
      <c r="S188" s="239"/>
      <c r="T188" s="239"/>
      <c r="U188" s="239"/>
      <c r="V188" s="239"/>
      <c r="W188" s="239"/>
      <c r="X188" s="40"/>
      <c r="Y188" s="40"/>
      <c r="Z188" s="40"/>
      <c r="AA188" s="40"/>
      <c r="AB188" s="92"/>
      <c r="AC188" s="96" t="str">
        <f>IF(Eingabe[[#This Row],[V1]]="",IF(Eingabe[[#This Row],[Volle alternativ]]="","",Eingabe[[#This Row],[Volle alternativ]]),SUM(Eingabe[[#This Row],[V1]:[V4]]))</f>
        <v/>
      </c>
      <c r="AD188" s="23" t="str">
        <f>IF(Eingabe[[#This Row],[R1]]="",IF(Eingabe[[#This Row],[Räumer alternativ]]="","",Eingabe[[#This Row],[Räumer alternativ]]),SUM(Eingabe[[#This Row],[R1]:[R4]]))</f>
        <v/>
      </c>
      <c r="AE188" s="23" t="str">
        <f>IF(Eingabe[[#This Row],[F1]]="",IF(Eingabe[[#This Row],[Fehler alternativ]]="","",Eingabe[[#This Row],[Fehler alternativ]]),SUM(Eingabe[[#This Row],[F1]:[F4]]))</f>
        <v/>
      </c>
      <c r="AF188" s="23" t="str">
        <f>IF(Eingabe[[#This Row],[Volle]]="","",IF(Eingabe[[#This Row],[S1]]="",Eingabe[[#This Row],[Volle]]+Eingabe[[#This Row],[Räumer]],IF(Eingabe[[#This Row],[Volle]]+Eingabe[[#This Row],[Räumer]]=Eingabe[[#This Row],[S1]]+Eingabe[[#This Row],[S2]]+Eingabe[[#This Row],[S3]]+Eingabe[[#This Row],[S4]],Eingabe[[#This Row],[Volle]]+Eingabe[[#This Row],[Räumer]],"FEHLER")))</f>
        <v/>
      </c>
      <c r="AG188" s="23" t="str">
        <f>IF(Eingabe[[#This Row],[V1]]="","",Eingabe[[#This Row],[V1]]+Eingabe[[#This Row],[R1]])</f>
        <v/>
      </c>
      <c r="AH188" s="23" t="str">
        <f>IF(Eingabe[[#This Row],[V2]]="","",Eingabe[[#This Row],[V2]]+Eingabe[[#This Row],[R2]])</f>
        <v/>
      </c>
      <c r="AI188" s="23" t="str">
        <f>IF(Eingabe[[#This Row],[V3]]="","",Eingabe[[#This Row],[V3]]+Eingabe[[#This Row],[R3]])</f>
        <v/>
      </c>
      <c r="AJ188" s="23" t="str">
        <f>IF(Eingabe[[#This Row],[V4]]="","",Eingabe[[#This Row],[V4]]+Eingabe[[#This Row],[R4]])</f>
        <v/>
      </c>
      <c r="AK188" s="23" t="str">
        <f>IF(Eingabe[[#This Row],[S1P]]="","",Eingabe[[#This Row],[S1P]]+Eingabe[[#This Row],[S2P]]+Eingabe[[#This Row],[S3P]]+Eingabe[[#This Row],[S4P]])</f>
        <v/>
      </c>
      <c r="AL188" s="23" t="str">
        <f>IF(Eingabe[[#This Row],[S1P]]="","",IF(Eingabe[[#This Row],[SP]]&gt;2,1,IF(Eingabe[[#This Row],[SP]]&lt;2,0,IF(Eingabe[[#This Row],[GES]]&gt;Eingabe[[#This Row],[GEGGES]],1,IF(Eingabe[[#This Row],[GES]]=Eingabe[[#This Row],[GEGGES]],0.5,0)))))</f>
        <v/>
      </c>
      <c r="AM188" s="23" t="str">
        <f>IF(Eingabe[[#This Row],[MP]]="","",MOD(ROW(Eingabe[[#This Row],[Position]])-3,6)+1)</f>
        <v/>
      </c>
      <c r="AN188" s="23" t="e">
        <f>STANDARDIZE(Eingabe[[#This Row],[GES]],Eingabe[[#This Row],[Schnitt]],VLOOKUP(Eingabe[[#This Row],[Name]],AuswertungG[],21,FALSE))</f>
        <v>#VALUE!</v>
      </c>
      <c r="AO188" s="23">
        <f>VLOOKUP(Eingabe[[#This Row],[ID]],Chronologie[[ID]:[KW]],12,FALSE)</f>
        <v>30</v>
      </c>
      <c r="AP188" s="59" t="str">
        <f>IF(Eingabe[[#This Row],[Wo]]="H",Eingabe[[#This Row],[Gegner]]&amp;" ["&amp;Eingabe[[#This Row],[Wo]]&amp;"]",Eingabe[[#This Row],[Ort]])</f>
        <v>ISG Hagenwerder [H]</v>
      </c>
      <c r="AQ188" s="23" t="str">
        <f>IFERROR(IF(Eingabe[[#This Row],[Wo]]="H",IF(MOD(Eingabe[[#This Row],[Position]],2)=1,Eingabe[[#This Row],[S1]],Eingabe[[#This Row],[S4]]),""),"")</f>
        <v/>
      </c>
      <c r="AR188" s="23" t="str">
        <f>IFERROR(IF(Eingabe[[#This Row],[Wo]]="H",IF(Eingabe[[#This Row],[S1]]&gt;0,IF(MOD(Eingabe[[#This Row],[Position]],2)=1,Eingabe[[#This Row],[S2]],Eingabe[[#This Row],[S3]]),""),""),"")</f>
        <v/>
      </c>
      <c r="AS188" s="23" t="str">
        <f>IFERROR(IF(Eingabe[[#This Row],[Wo]]="H",IF(Eingabe[[#This Row],[S1]]&gt;0,IF(MOD(ROW(Eingabe[[#This Row],[Heimbahn 3]]),2)=1,Eingabe[[#This Row],[S4]],Eingabe[[#This Row],[S1]]),""),""),"")</f>
        <v/>
      </c>
      <c r="AT188" s="23" t="str">
        <f>IFERROR(IF(Eingabe[[#This Row],[Wo]]="H",IF(Eingabe[[#This Row],[S1]]&gt;0,IF(MOD(ROW(Eingabe[[#This Row],[Heimbahn 4]]),2)=1,Eingabe[[#This Row],[S3]],Eingabe[[#This Row],[S2]]),""),""),"")</f>
        <v/>
      </c>
      <c r="AU188" s="89" t="str">
        <f>IF(Eingabe[[#This Row],[GES]]="","",IF(Eingabe[[#This Row],[Modus]]="L",_xlfn.RANK.EQ(Eingabe[[#This Row],[GES]],AF183:AF188),IF(Eingabe[[#This Row],[Modus]]="P",_xlfn.RANK.EQ(Eingabe[[#This Row],[GES]],AF183:AF188),"")))</f>
        <v/>
      </c>
      <c r="AV188" s="6" t="e">
        <f>VLOOKUP(Eingabe[[#This Row],[Name]],AuswertungG[],8,FALSE)</f>
        <v>#N/A</v>
      </c>
      <c r="AZ188" s="6" t="str">
        <f>IFERROR(ABS(Eingabe[[#This Row],[GES]]-Eingabe[[#This Row],[GEGGES]]),"")</f>
        <v/>
      </c>
    </row>
    <row r="189" spans="1:52" ht="16.2" hidden="1" thickBot="1" x14ac:dyDescent="0.35">
      <c r="A189" s="440">
        <f t="shared" ref="A189" si="32">B189</f>
        <v>32</v>
      </c>
      <c r="B189" s="55">
        <f t="shared" si="22"/>
        <v>32</v>
      </c>
      <c r="C189" s="35">
        <f>VLOOKUP($B189,Chronologie[],7,TRUE)</f>
        <v>0</v>
      </c>
      <c r="D189" s="35">
        <f>VLOOKUP($B189,Chronologie[],8,TRUE)</f>
        <v>0</v>
      </c>
      <c r="E189" s="36">
        <f>VLOOKUP($B189,Chronologie[],9,TRUE)</f>
        <v>0</v>
      </c>
      <c r="F189" s="35" t="str">
        <f>VLOOKUP($B189,Chronologie[],COLUMN(F190)-2,TRUE)</f>
        <v>F</v>
      </c>
      <c r="G189" s="35" t="str">
        <f>VLOOKUP($B189,Chronologie[],COLUMN(G190)-2,TRUE)</f>
        <v>L</v>
      </c>
      <c r="H189" s="35">
        <f>VLOOKUP($B189,Chronologie[],COLUMN(H190)-2,TRUE)</f>
        <v>14</v>
      </c>
      <c r="I189" s="9" t="str">
        <f>VLOOKUP($B189,Chronologie[],2,TRUE)</f>
        <v>F-L-14</v>
      </c>
      <c r="J189" s="242">
        <f>VLOOKUP($B189,Chronologie[],3,TRUE)</f>
        <v>0</v>
      </c>
      <c r="K189" s="236"/>
      <c r="L189" s="334"/>
      <c r="M189" s="334"/>
      <c r="N189" s="334"/>
      <c r="O189" s="334"/>
      <c r="P189" s="334"/>
      <c r="Q189" s="334"/>
      <c r="R189" s="334"/>
      <c r="S189" s="334"/>
      <c r="T189" s="334"/>
      <c r="U189" s="334"/>
      <c r="V189" s="334"/>
      <c r="W189" s="334"/>
      <c r="X189" s="37"/>
      <c r="Y189" s="37"/>
      <c r="Z189" s="37"/>
      <c r="AA189" s="37"/>
      <c r="AB189" s="90"/>
      <c r="AC189" s="93" t="str">
        <f>IF(Eingabe[[#This Row],[V1]]="",IF(Eingabe[[#This Row],[Volle alternativ]]="","",Eingabe[[#This Row],[Volle alternativ]]),SUM(Eingabe[[#This Row],[V1]:[V4]]))</f>
        <v/>
      </c>
      <c r="AD189" s="35" t="str">
        <f>IF(Eingabe[[#This Row],[R1]]="",IF(Eingabe[[#This Row],[Räumer alternativ]]="","",Eingabe[[#This Row],[Räumer alternativ]]),SUM(Eingabe[[#This Row],[R1]:[R4]]))</f>
        <v/>
      </c>
      <c r="AE189" s="35" t="str">
        <f>IF(Eingabe[[#This Row],[F1]]="",IF(Eingabe[[#This Row],[Fehler alternativ]]="","",Eingabe[[#This Row],[Fehler alternativ]]),SUM(Eingabe[[#This Row],[F1]:[F4]]))</f>
        <v/>
      </c>
      <c r="AF189" s="35" t="str">
        <f>IF(Eingabe[[#This Row],[Volle]]="","",IF(Eingabe[[#This Row],[S1]]="",Eingabe[[#This Row],[Volle]]+Eingabe[[#This Row],[Räumer]],IF(Eingabe[[#This Row],[Volle]]+Eingabe[[#This Row],[Räumer]]=Eingabe[[#This Row],[S1]]+Eingabe[[#This Row],[S2]]+Eingabe[[#This Row],[S3]]+Eingabe[[#This Row],[S4]],Eingabe[[#This Row],[Volle]]+Eingabe[[#This Row],[Räumer]],"FEHLER")))</f>
        <v/>
      </c>
      <c r="AG189" s="35" t="str">
        <f>IF(Eingabe[[#This Row],[V1]]="","",Eingabe[[#This Row],[V1]]+Eingabe[[#This Row],[R1]])</f>
        <v/>
      </c>
      <c r="AH189" s="35" t="str">
        <f>IF(Eingabe[[#This Row],[V2]]="","",Eingabe[[#This Row],[V2]]+Eingabe[[#This Row],[R2]])</f>
        <v/>
      </c>
      <c r="AI189" s="35" t="str">
        <f>IF(Eingabe[[#This Row],[V3]]="","",Eingabe[[#This Row],[V3]]+Eingabe[[#This Row],[R3]])</f>
        <v/>
      </c>
      <c r="AJ189" s="35" t="str">
        <f>IF(Eingabe[[#This Row],[V4]]="","",Eingabe[[#This Row],[V4]]+Eingabe[[#This Row],[R4]])</f>
        <v/>
      </c>
      <c r="AK189" s="35" t="str">
        <f>IF(Eingabe[[#This Row],[S1P]]="","",Eingabe[[#This Row],[S1P]]+Eingabe[[#This Row],[S2P]]+Eingabe[[#This Row],[S3P]]+Eingabe[[#This Row],[S4P]])</f>
        <v/>
      </c>
      <c r="AL189" s="35" t="str">
        <f>IF(Eingabe[[#This Row],[S1P]]="","",IF(Eingabe[[#This Row],[SP]]&gt;2,1,IF(Eingabe[[#This Row],[SP]]&lt;2,0,IF(Eingabe[[#This Row],[GES]]&gt;Eingabe[[#This Row],[GEGGES]],1,IF(Eingabe[[#This Row],[GES]]=Eingabe[[#This Row],[GEGGES]],0.5,0)))))</f>
        <v/>
      </c>
      <c r="AM189" s="35" t="str">
        <f>IF(Eingabe[[#This Row],[MP]]="","",MOD(ROW(Eingabe[[#This Row],[Position]])-3,6)+1)</f>
        <v/>
      </c>
      <c r="AN189" s="35" t="e">
        <f>STANDARDIZE(Eingabe[[#This Row],[GES]],Eingabe[[#This Row],[Schnitt]],VLOOKUP(Eingabe[[#This Row],[Name]],AuswertungG[],21,FALSE))</f>
        <v>#VALUE!</v>
      </c>
      <c r="AO189" s="35" t="str">
        <f>VLOOKUP(Eingabe[[#This Row],[ID]],Chronologie[[ID]:[KW]],12,FALSE)</f>
        <v/>
      </c>
      <c r="AP189" s="58">
        <f>IF(Eingabe[[#This Row],[Wo]]="H",Eingabe[[#This Row],[Gegner]]&amp;" ["&amp;Eingabe[[#This Row],[Wo]]&amp;"]",Eingabe[[#This Row],[Ort]])</f>
        <v>0</v>
      </c>
      <c r="AQ189" s="35" t="str">
        <f>IFERROR(IF(Eingabe[[#This Row],[Wo]]="H",IF(MOD(Eingabe[[#This Row],[Position]],2)=1,Eingabe[[#This Row],[S1]],Eingabe[[#This Row],[S4]]),""),"")</f>
        <v/>
      </c>
      <c r="AR189" s="35" t="str">
        <f>IFERROR(IF(Eingabe[[#This Row],[Wo]]="H",IF(Eingabe[[#This Row],[S1]]&gt;0,IF(MOD(Eingabe[[#This Row],[Position]],2)=1,Eingabe[[#This Row],[S2]],Eingabe[[#This Row],[S3]]),""),""),"")</f>
        <v/>
      </c>
      <c r="AS189" s="35" t="str">
        <f>IFERROR(IF(Eingabe[[#This Row],[Wo]]="H",IF(Eingabe[[#This Row],[S1]]&gt;0,IF(MOD(ROW(Eingabe[[#This Row],[Heimbahn 3]]),2)=1,Eingabe[[#This Row],[S4]],Eingabe[[#This Row],[S1]]),""),""),"")</f>
        <v/>
      </c>
      <c r="AT189" s="35" t="str">
        <f>IFERROR(IF(Eingabe[[#This Row],[Wo]]="H",IF(Eingabe[[#This Row],[S1]]&gt;0,IF(MOD(ROW(Eingabe[[#This Row],[Heimbahn 4]]),2)=1,Eingabe[[#This Row],[S3]],Eingabe[[#This Row],[S2]]),""),""),"")</f>
        <v/>
      </c>
      <c r="AU189" s="88" t="str">
        <f>IF(Eingabe[[#This Row],[GES]]="","",IF(Eingabe[[#This Row],[Modus]]="L",_xlfn.RANK.EQ(Eingabe[[#This Row],[GES]],AF189:AF194),IF(Eingabe[[#This Row],[Modus]]="P",_xlfn.RANK.EQ(Eingabe[[#This Row],[GES]],AF189:AF194),"")))</f>
        <v/>
      </c>
      <c r="AV189" s="6" t="e">
        <f>VLOOKUP(Eingabe[[#This Row],[Name]],AuswertungG[],8,FALSE)</f>
        <v>#N/A</v>
      </c>
      <c r="AZ189" s="6" t="str">
        <f>IFERROR(ABS(Eingabe[[#This Row],[GES]]-Eingabe[[#This Row],[GEGGES]]),"")</f>
        <v/>
      </c>
    </row>
    <row r="190" spans="1:52" ht="16.2" hidden="1" thickBot="1" x14ac:dyDescent="0.35">
      <c r="A190" s="441"/>
      <c r="B190" s="21">
        <f t="shared" si="22"/>
        <v>32</v>
      </c>
      <c r="C190" s="6">
        <f>VLOOKUP($B190,Chronologie[],7,TRUE)</f>
        <v>0</v>
      </c>
      <c r="D190" s="6">
        <f>VLOOKUP($B190,Chronologie[],8,TRUE)</f>
        <v>0</v>
      </c>
      <c r="E190" s="240">
        <f>VLOOKUP($B190,Chronologie[],9,TRUE)</f>
        <v>0</v>
      </c>
      <c r="F190" s="6" t="str">
        <f>VLOOKUP($B190,Chronologie[],COLUMN(F191)-2,TRUE)</f>
        <v>F</v>
      </c>
      <c r="G190" s="6" t="str">
        <f>VLOOKUP($B190,Chronologie[],COLUMN(G191)-2,TRUE)</f>
        <v>L</v>
      </c>
      <c r="H190" s="6">
        <f>VLOOKUP($B190,Chronologie[],COLUMN(H191)-2,TRUE)</f>
        <v>14</v>
      </c>
      <c r="I190" s="10" t="str">
        <f>VLOOKUP($B190,Chronologie[],2,TRUE)</f>
        <v>F-L-14</v>
      </c>
      <c r="J190" s="243">
        <f>VLOOKUP($B190,Chronologie[],3,TRUE)</f>
        <v>0</v>
      </c>
      <c r="K190" s="237"/>
      <c r="L190" s="237"/>
      <c r="M190" s="237"/>
      <c r="N190" s="237"/>
      <c r="O190" s="237"/>
      <c r="P190" s="237"/>
      <c r="Q190" s="237"/>
      <c r="R190" s="237"/>
      <c r="S190" s="237"/>
      <c r="T190" s="237"/>
      <c r="U190" s="237"/>
      <c r="V190" s="237"/>
      <c r="W190" s="237"/>
      <c r="X190" s="38"/>
      <c r="Y190" s="38"/>
      <c r="Z190" s="38"/>
      <c r="AA190" s="38"/>
      <c r="AB190" s="91"/>
      <c r="AC190" s="94" t="str">
        <f>IF(Eingabe[[#This Row],[V1]]="",IF(Eingabe[[#This Row],[Volle alternativ]]="","",Eingabe[[#This Row],[Volle alternativ]]),SUM(Eingabe[[#This Row],[V1]:[V4]]))</f>
        <v/>
      </c>
      <c r="AD190" s="6" t="str">
        <f>IF(Eingabe[[#This Row],[R1]]="",IF(Eingabe[[#This Row],[Räumer alternativ]]="","",Eingabe[[#This Row],[Räumer alternativ]]),SUM(Eingabe[[#This Row],[R1]:[R4]]))</f>
        <v/>
      </c>
      <c r="AE190" s="6" t="str">
        <f>IF(Eingabe[[#This Row],[F1]]="",IF(Eingabe[[#This Row],[Fehler alternativ]]="","",Eingabe[[#This Row],[Fehler alternativ]]),SUM(Eingabe[[#This Row],[F1]:[F4]]))</f>
        <v/>
      </c>
      <c r="AF190" s="6" t="str">
        <f>IF(Eingabe[[#This Row],[Volle]]="","",IF(Eingabe[[#This Row],[S1]]="",Eingabe[[#This Row],[Volle]]+Eingabe[[#This Row],[Räumer]],IF(Eingabe[[#This Row],[Volle]]+Eingabe[[#This Row],[Räumer]]=Eingabe[[#This Row],[S1]]+Eingabe[[#This Row],[S2]]+Eingabe[[#This Row],[S3]]+Eingabe[[#This Row],[S4]],Eingabe[[#This Row],[Volle]]+Eingabe[[#This Row],[Räumer]],"FEHLER")))</f>
        <v/>
      </c>
      <c r="AG190" s="6" t="str">
        <f>IF(Eingabe[[#This Row],[V1]]="","",Eingabe[[#This Row],[V1]]+Eingabe[[#This Row],[R1]])</f>
        <v/>
      </c>
      <c r="AH190" s="6" t="str">
        <f>IF(Eingabe[[#This Row],[V2]]="","",Eingabe[[#This Row],[V2]]+Eingabe[[#This Row],[R2]])</f>
        <v/>
      </c>
      <c r="AI190" s="6" t="str">
        <f>IF(Eingabe[[#This Row],[V3]]="","",Eingabe[[#This Row],[V3]]+Eingabe[[#This Row],[R3]])</f>
        <v/>
      </c>
      <c r="AJ190" s="6" t="str">
        <f>IF(Eingabe[[#This Row],[V4]]="","",Eingabe[[#This Row],[V4]]+Eingabe[[#This Row],[R4]])</f>
        <v/>
      </c>
      <c r="AK190" s="6" t="str">
        <f>IF(Eingabe[[#This Row],[S1P]]="","",Eingabe[[#This Row],[S1P]]+Eingabe[[#This Row],[S2P]]+Eingabe[[#This Row],[S3P]]+Eingabe[[#This Row],[S4P]])</f>
        <v/>
      </c>
      <c r="AL190" s="6" t="str">
        <f>IF(Eingabe[[#This Row],[S1P]]="","",IF(Eingabe[[#This Row],[SP]]&gt;2,1,IF(Eingabe[[#This Row],[SP]]&lt;2,0,IF(Eingabe[[#This Row],[GES]]&gt;Eingabe[[#This Row],[GEGGES]],1,IF(Eingabe[[#This Row],[GES]]=Eingabe[[#This Row],[GEGGES]],0.5,0)))))</f>
        <v/>
      </c>
      <c r="AM190" s="6" t="str">
        <f>IF(Eingabe[[#This Row],[MP]]="","",MOD(ROW(Eingabe[[#This Row],[Position]])-3,6)+1)</f>
        <v/>
      </c>
      <c r="AN190" s="6" t="e">
        <f>STANDARDIZE(Eingabe[[#This Row],[GES]],Eingabe[[#This Row],[Schnitt]],VLOOKUP(Eingabe[[#This Row],[Name]],AuswertungG[],21,FALSE))</f>
        <v>#VALUE!</v>
      </c>
      <c r="AO190" s="6" t="str">
        <f>VLOOKUP(Eingabe[[#This Row],[ID]],Chronologie[[ID]:[KW]],12,FALSE)</f>
        <v/>
      </c>
      <c r="AP190" s="95">
        <f>IF(Eingabe[[#This Row],[Wo]]="H",Eingabe[[#This Row],[Gegner]]&amp;" ["&amp;Eingabe[[#This Row],[Wo]]&amp;"]",Eingabe[[#This Row],[Ort]])</f>
        <v>0</v>
      </c>
      <c r="AQ190" s="6" t="str">
        <f>IFERROR(IF(Eingabe[[#This Row],[Wo]]="H",IF(MOD(Eingabe[[#This Row],[Position]],2)=1,Eingabe[[#This Row],[S1]],Eingabe[[#This Row],[S4]]),""),"")</f>
        <v/>
      </c>
      <c r="AR190" s="6" t="str">
        <f>IFERROR(IF(Eingabe[[#This Row],[Wo]]="H",IF(Eingabe[[#This Row],[S1]]&gt;0,IF(MOD(Eingabe[[#This Row],[Position]],2)=1,Eingabe[[#This Row],[S2]],Eingabe[[#This Row],[S3]]),""),""),"")</f>
        <v/>
      </c>
      <c r="AS190" s="6" t="str">
        <f>IFERROR(IF(Eingabe[[#This Row],[Wo]]="H",IF(Eingabe[[#This Row],[S1]]&gt;0,IF(MOD(ROW(Eingabe[[#This Row],[Heimbahn 3]]),2)=1,Eingabe[[#This Row],[S4]],Eingabe[[#This Row],[S1]]),""),""),"")</f>
        <v/>
      </c>
      <c r="AT190" s="6" t="str">
        <f>IFERROR(IF(Eingabe[[#This Row],[Wo]]="H",IF(Eingabe[[#This Row],[S1]]&gt;0,IF(MOD(ROW(Eingabe[[#This Row],[Heimbahn 4]]),2)=1,Eingabe[[#This Row],[S3]],Eingabe[[#This Row],[S2]]),""),""),"")</f>
        <v/>
      </c>
      <c r="AU190" s="22" t="str">
        <f>IF(Eingabe[[#This Row],[GES]]="","",IF(Eingabe[[#This Row],[Modus]]="L",_xlfn.RANK.EQ(Eingabe[[#This Row],[GES]],AF189:AF194),IF(Eingabe[[#This Row],[Modus]]="P",_xlfn.RANK.EQ(Eingabe[[#This Row],[GES]],AF189:AF194),"")))</f>
        <v/>
      </c>
      <c r="AV190" s="6" t="e">
        <f>VLOOKUP(Eingabe[[#This Row],[Name]],AuswertungG[],8,FALSE)</f>
        <v>#N/A</v>
      </c>
      <c r="AZ190" s="6" t="str">
        <f>IFERROR(ABS(Eingabe[[#This Row],[GES]]-Eingabe[[#This Row],[GEGGES]]),"")</f>
        <v/>
      </c>
    </row>
    <row r="191" spans="1:52" ht="16.2" hidden="1" thickBot="1" x14ac:dyDescent="0.35">
      <c r="A191" s="441"/>
      <c r="B191" s="21">
        <f t="shared" si="22"/>
        <v>32</v>
      </c>
      <c r="C191" s="6">
        <f>VLOOKUP($B191,Chronologie[],7,TRUE)</f>
        <v>0</v>
      </c>
      <c r="D191" s="6">
        <f>VLOOKUP($B191,Chronologie[],8,TRUE)</f>
        <v>0</v>
      </c>
      <c r="E191" s="240">
        <f>VLOOKUP($B191,Chronologie[],9,TRUE)</f>
        <v>0</v>
      </c>
      <c r="F191" s="6" t="str">
        <f>VLOOKUP($B191,Chronologie[],COLUMN(F192)-2,TRUE)</f>
        <v>F</v>
      </c>
      <c r="G191" s="6" t="str">
        <f>VLOOKUP($B191,Chronologie[],COLUMN(G192)-2,TRUE)</f>
        <v>L</v>
      </c>
      <c r="H191" s="6">
        <f>VLOOKUP($B191,Chronologie[],COLUMN(H192)-2,TRUE)</f>
        <v>14</v>
      </c>
      <c r="I191" s="10" t="str">
        <f>VLOOKUP($B191,Chronologie[],2,TRUE)</f>
        <v>F-L-14</v>
      </c>
      <c r="J191" s="243">
        <f>VLOOKUP($B191,Chronologie[],3,TRUE)</f>
        <v>0</v>
      </c>
      <c r="K191" s="237"/>
      <c r="L191" s="237"/>
      <c r="M191" s="237"/>
      <c r="N191" s="237"/>
      <c r="O191" s="237"/>
      <c r="P191" s="237"/>
      <c r="Q191" s="237"/>
      <c r="R191" s="237"/>
      <c r="S191" s="237"/>
      <c r="T191" s="237"/>
      <c r="U191" s="237"/>
      <c r="V191" s="237"/>
      <c r="W191" s="237"/>
      <c r="X191" s="38"/>
      <c r="Y191" s="38"/>
      <c r="Z191" s="38"/>
      <c r="AA191" s="38"/>
      <c r="AB191" s="91"/>
      <c r="AC191" s="94" t="str">
        <f>IF(Eingabe[[#This Row],[V1]]="",IF(Eingabe[[#This Row],[Volle alternativ]]="","",Eingabe[[#This Row],[Volle alternativ]]),SUM(Eingabe[[#This Row],[V1]:[V4]]))</f>
        <v/>
      </c>
      <c r="AD191" s="6" t="str">
        <f>IF(Eingabe[[#This Row],[R1]]="",IF(Eingabe[[#This Row],[Räumer alternativ]]="","",Eingabe[[#This Row],[Räumer alternativ]]),SUM(Eingabe[[#This Row],[R1]:[R4]]))</f>
        <v/>
      </c>
      <c r="AE191" s="6" t="str">
        <f>IF(Eingabe[[#This Row],[F1]]="",IF(Eingabe[[#This Row],[Fehler alternativ]]="","",Eingabe[[#This Row],[Fehler alternativ]]),SUM(Eingabe[[#This Row],[F1]:[F4]]))</f>
        <v/>
      </c>
      <c r="AF191" s="6" t="str">
        <f>IF(Eingabe[[#This Row],[Volle]]="","",IF(Eingabe[[#This Row],[S1]]="",Eingabe[[#This Row],[Volle]]+Eingabe[[#This Row],[Räumer]],IF(Eingabe[[#This Row],[Volle]]+Eingabe[[#This Row],[Räumer]]=Eingabe[[#This Row],[S1]]+Eingabe[[#This Row],[S2]]+Eingabe[[#This Row],[S3]]+Eingabe[[#This Row],[S4]],Eingabe[[#This Row],[Volle]]+Eingabe[[#This Row],[Räumer]],"FEHLER")))</f>
        <v/>
      </c>
      <c r="AG191" s="6" t="str">
        <f>IF(Eingabe[[#This Row],[V1]]="","",Eingabe[[#This Row],[V1]]+Eingabe[[#This Row],[R1]])</f>
        <v/>
      </c>
      <c r="AH191" s="6" t="str">
        <f>IF(Eingabe[[#This Row],[V2]]="","",Eingabe[[#This Row],[V2]]+Eingabe[[#This Row],[R2]])</f>
        <v/>
      </c>
      <c r="AI191" s="6" t="str">
        <f>IF(Eingabe[[#This Row],[V3]]="","",Eingabe[[#This Row],[V3]]+Eingabe[[#This Row],[R3]])</f>
        <v/>
      </c>
      <c r="AJ191" s="6" t="str">
        <f>IF(Eingabe[[#This Row],[V4]]="","",Eingabe[[#This Row],[V4]]+Eingabe[[#This Row],[R4]])</f>
        <v/>
      </c>
      <c r="AK191" s="6" t="str">
        <f>IF(Eingabe[[#This Row],[S1P]]="","",Eingabe[[#This Row],[S1P]]+Eingabe[[#This Row],[S2P]]+Eingabe[[#This Row],[S3P]]+Eingabe[[#This Row],[S4P]])</f>
        <v/>
      </c>
      <c r="AL191" s="6" t="str">
        <f>IF(Eingabe[[#This Row],[S1P]]="","",IF(Eingabe[[#This Row],[SP]]&gt;2,1,IF(Eingabe[[#This Row],[SP]]&lt;2,0,IF(Eingabe[[#This Row],[GES]]&gt;Eingabe[[#This Row],[GEGGES]],1,IF(Eingabe[[#This Row],[GES]]=Eingabe[[#This Row],[GEGGES]],0.5,0)))))</f>
        <v/>
      </c>
      <c r="AM191" s="6" t="str">
        <f>IF(Eingabe[[#This Row],[MP]]="","",MOD(ROW(Eingabe[[#This Row],[Position]])-3,6)+1)</f>
        <v/>
      </c>
      <c r="AN191" s="6" t="e">
        <f>STANDARDIZE(Eingabe[[#This Row],[GES]],Eingabe[[#This Row],[Schnitt]],VLOOKUP(Eingabe[[#This Row],[Name]],AuswertungG[],21,FALSE))</f>
        <v>#VALUE!</v>
      </c>
      <c r="AO191" s="6" t="str">
        <f>VLOOKUP(Eingabe[[#This Row],[ID]],Chronologie[[ID]:[KW]],12,FALSE)</f>
        <v/>
      </c>
      <c r="AP191" s="95">
        <f>IF(Eingabe[[#This Row],[Wo]]="H",Eingabe[[#This Row],[Gegner]]&amp;" ["&amp;Eingabe[[#This Row],[Wo]]&amp;"]",Eingabe[[#This Row],[Ort]])</f>
        <v>0</v>
      </c>
      <c r="AQ191" s="6" t="str">
        <f>IFERROR(IF(Eingabe[[#This Row],[Wo]]="H",IF(MOD(Eingabe[[#This Row],[Position]],2)=1,Eingabe[[#This Row],[S1]],Eingabe[[#This Row],[S4]]),""),"")</f>
        <v/>
      </c>
      <c r="AR191" s="6" t="str">
        <f>IFERROR(IF(Eingabe[[#This Row],[Wo]]="H",IF(Eingabe[[#This Row],[S1]]&gt;0,IF(MOD(Eingabe[[#This Row],[Position]],2)=1,Eingabe[[#This Row],[S2]],Eingabe[[#This Row],[S3]]),""),""),"")</f>
        <v/>
      </c>
      <c r="AS191" s="6" t="str">
        <f>IFERROR(IF(Eingabe[[#This Row],[Wo]]="H",IF(Eingabe[[#This Row],[S1]]&gt;0,IF(MOD(ROW(Eingabe[[#This Row],[Heimbahn 3]]),2)=1,Eingabe[[#This Row],[S4]],Eingabe[[#This Row],[S1]]),""),""),"")</f>
        <v/>
      </c>
      <c r="AT191" s="6" t="str">
        <f>IFERROR(IF(Eingabe[[#This Row],[Wo]]="H",IF(Eingabe[[#This Row],[S1]]&gt;0,IF(MOD(ROW(Eingabe[[#This Row],[Heimbahn 4]]),2)=1,Eingabe[[#This Row],[S3]],Eingabe[[#This Row],[S2]]),""),""),"")</f>
        <v/>
      </c>
      <c r="AU191" s="22" t="str">
        <f>IF(Eingabe[[#This Row],[GES]]="","",IF(Eingabe[[#This Row],[Modus]]="L",_xlfn.RANK.EQ(Eingabe[[#This Row],[GES]],AF189:AF194),IF(Eingabe[[#This Row],[Modus]]="P",_xlfn.RANK.EQ(Eingabe[[#This Row],[GES]],AF189:AF194),"")))</f>
        <v/>
      </c>
      <c r="AV191" s="6" t="e">
        <f>VLOOKUP(Eingabe[[#This Row],[Name]],AuswertungG[],8,FALSE)</f>
        <v>#N/A</v>
      </c>
      <c r="AZ191" s="6" t="str">
        <f>IFERROR(ABS(Eingabe[[#This Row],[GES]]-Eingabe[[#This Row],[GEGGES]]),"")</f>
        <v/>
      </c>
    </row>
    <row r="192" spans="1:52" ht="16.2" hidden="1" thickBot="1" x14ac:dyDescent="0.35">
      <c r="A192" s="441"/>
      <c r="B192" s="21">
        <f t="shared" si="22"/>
        <v>32</v>
      </c>
      <c r="C192" s="6">
        <f>VLOOKUP($B192,Chronologie[],7,TRUE)</f>
        <v>0</v>
      </c>
      <c r="D192" s="6">
        <f>VLOOKUP($B192,Chronologie[],8,TRUE)</f>
        <v>0</v>
      </c>
      <c r="E192" s="240">
        <f>VLOOKUP($B192,Chronologie[],9,TRUE)</f>
        <v>0</v>
      </c>
      <c r="F192" s="6" t="str">
        <f>VLOOKUP($B192,Chronologie[],COLUMN(F193)-2,TRUE)</f>
        <v>F</v>
      </c>
      <c r="G192" s="6" t="str">
        <f>VLOOKUP($B192,Chronologie[],COLUMN(G193)-2,TRUE)</f>
        <v>L</v>
      </c>
      <c r="H192" s="6">
        <f>VLOOKUP($B192,Chronologie[],COLUMN(H193)-2,TRUE)</f>
        <v>14</v>
      </c>
      <c r="I192" s="10" t="str">
        <f>VLOOKUP($B192,Chronologie[],2,TRUE)</f>
        <v>F-L-14</v>
      </c>
      <c r="J192" s="243">
        <f>VLOOKUP($B192,Chronologie[],3,TRUE)</f>
        <v>0</v>
      </c>
      <c r="K192" s="238"/>
      <c r="L192" s="237"/>
      <c r="M192" s="237"/>
      <c r="N192" s="237"/>
      <c r="O192" s="237"/>
      <c r="P192" s="237"/>
      <c r="Q192" s="237"/>
      <c r="R192" s="237"/>
      <c r="S192" s="237"/>
      <c r="T192" s="237"/>
      <c r="U192" s="237"/>
      <c r="V192" s="237"/>
      <c r="W192" s="237"/>
      <c r="X192" s="38"/>
      <c r="Y192" s="38"/>
      <c r="Z192" s="38"/>
      <c r="AA192" s="38"/>
      <c r="AB192" s="91"/>
      <c r="AC192" s="94" t="str">
        <f>IF(Eingabe[[#This Row],[V1]]="",IF(Eingabe[[#This Row],[Volle alternativ]]="","",Eingabe[[#This Row],[Volle alternativ]]),SUM(Eingabe[[#This Row],[V1]:[V4]]))</f>
        <v/>
      </c>
      <c r="AD192" s="6" t="str">
        <f>IF(Eingabe[[#This Row],[R1]]="",IF(Eingabe[[#This Row],[Räumer alternativ]]="","",Eingabe[[#This Row],[Räumer alternativ]]),SUM(Eingabe[[#This Row],[R1]:[R4]]))</f>
        <v/>
      </c>
      <c r="AE192" s="6" t="str">
        <f>IF(Eingabe[[#This Row],[F1]]="",IF(Eingabe[[#This Row],[Fehler alternativ]]="","",Eingabe[[#This Row],[Fehler alternativ]]),SUM(Eingabe[[#This Row],[F1]:[F4]]))</f>
        <v/>
      </c>
      <c r="AF192" s="6" t="str">
        <f>IF(Eingabe[[#This Row],[Volle]]="","",IF(Eingabe[[#This Row],[S1]]="",Eingabe[[#This Row],[Volle]]+Eingabe[[#This Row],[Räumer]],IF(Eingabe[[#This Row],[Volle]]+Eingabe[[#This Row],[Räumer]]=Eingabe[[#This Row],[S1]]+Eingabe[[#This Row],[S2]]+Eingabe[[#This Row],[S3]]+Eingabe[[#This Row],[S4]],Eingabe[[#This Row],[Volle]]+Eingabe[[#This Row],[Räumer]],"FEHLER")))</f>
        <v/>
      </c>
      <c r="AG192" s="6" t="str">
        <f>IF(Eingabe[[#This Row],[V1]]="","",Eingabe[[#This Row],[V1]]+Eingabe[[#This Row],[R1]])</f>
        <v/>
      </c>
      <c r="AH192" s="6" t="str">
        <f>IF(Eingabe[[#This Row],[V2]]="","",Eingabe[[#This Row],[V2]]+Eingabe[[#This Row],[R2]])</f>
        <v/>
      </c>
      <c r="AI192" s="6" t="str">
        <f>IF(Eingabe[[#This Row],[V3]]="","",Eingabe[[#This Row],[V3]]+Eingabe[[#This Row],[R3]])</f>
        <v/>
      </c>
      <c r="AJ192" s="6" t="str">
        <f>IF(Eingabe[[#This Row],[V4]]="","",Eingabe[[#This Row],[V4]]+Eingabe[[#This Row],[R4]])</f>
        <v/>
      </c>
      <c r="AK192" s="6" t="str">
        <f>IF(Eingabe[[#This Row],[S1P]]="","",Eingabe[[#This Row],[S1P]]+Eingabe[[#This Row],[S2P]]+Eingabe[[#This Row],[S3P]]+Eingabe[[#This Row],[S4P]])</f>
        <v/>
      </c>
      <c r="AL192" s="6" t="str">
        <f>IF(Eingabe[[#This Row],[S1P]]="","",IF(Eingabe[[#This Row],[SP]]&gt;2,1,IF(Eingabe[[#This Row],[SP]]&lt;2,0,IF(Eingabe[[#This Row],[GES]]&gt;Eingabe[[#This Row],[GEGGES]],1,IF(Eingabe[[#This Row],[GES]]=Eingabe[[#This Row],[GEGGES]],0.5,0)))))</f>
        <v/>
      </c>
      <c r="AM192" s="6" t="str">
        <f>IF(Eingabe[[#This Row],[MP]]="","",MOD(ROW(Eingabe[[#This Row],[Position]])-3,6)+1)</f>
        <v/>
      </c>
      <c r="AN192" s="6" t="e">
        <f>STANDARDIZE(Eingabe[[#This Row],[GES]],Eingabe[[#This Row],[Schnitt]],VLOOKUP(Eingabe[[#This Row],[Name]],AuswertungG[],21,FALSE))</f>
        <v>#VALUE!</v>
      </c>
      <c r="AO192" s="6" t="str">
        <f>VLOOKUP(Eingabe[[#This Row],[ID]],Chronologie[[ID]:[KW]],12,FALSE)</f>
        <v/>
      </c>
      <c r="AP192" s="95">
        <f>IF(Eingabe[[#This Row],[Wo]]="H",Eingabe[[#This Row],[Gegner]]&amp;" ["&amp;Eingabe[[#This Row],[Wo]]&amp;"]",Eingabe[[#This Row],[Ort]])</f>
        <v>0</v>
      </c>
      <c r="AQ192" s="6" t="str">
        <f>IFERROR(IF(Eingabe[[#This Row],[Wo]]="H",IF(MOD(Eingabe[[#This Row],[Position]],2)=1,Eingabe[[#This Row],[S1]],Eingabe[[#This Row],[S4]]),""),"")</f>
        <v/>
      </c>
      <c r="AR192" s="6" t="str">
        <f>IFERROR(IF(Eingabe[[#This Row],[Wo]]="H",IF(Eingabe[[#This Row],[S1]]&gt;0,IF(MOD(Eingabe[[#This Row],[Position]],2)=1,Eingabe[[#This Row],[S2]],Eingabe[[#This Row],[S3]]),""),""),"")</f>
        <v/>
      </c>
      <c r="AS192" s="6" t="str">
        <f>IFERROR(IF(Eingabe[[#This Row],[Wo]]="H",IF(Eingabe[[#This Row],[S1]]&gt;0,IF(MOD(ROW(Eingabe[[#This Row],[Heimbahn 3]]),2)=1,Eingabe[[#This Row],[S4]],Eingabe[[#This Row],[S1]]),""),""),"")</f>
        <v/>
      </c>
      <c r="AT192" s="6" t="str">
        <f>IFERROR(IF(Eingabe[[#This Row],[Wo]]="H",IF(Eingabe[[#This Row],[S1]]&gt;0,IF(MOD(ROW(Eingabe[[#This Row],[Heimbahn 4]]),2)=1,Eingabe[[#This Row],[S3]],Eingabe[[#This Row],[S2]]),""),""),"")</f>
        <v/>
      </c>
      <c r="AU192" s="22" t="str">
        <f>IF(Eingabe[[#This Row],[GES]]="","",IF(Eingabe[[#This Row],[Modus]]="L",_xlfn.RANK.EQ(Eingabe[[#This Row],[GES]],AF189:AF194),IF(Eingabe[[#This Row],[Modus]]="P",_xlfn.RANK.EQ(Eingabe[[#This Row],[GES]],AF189:AF194),"")))</f>
        <v/>
      </c>
      <c r="AV192" s="6" t="e">
        <f>VLOOKUP(Eingabe[[#This Row],[Name]],AuswertungG[],8,FALSE)</f>
        <v>#N/A</v>
      </c>
      <c r="AZ192" s="6" t="str">
        <f>IFERROR(ABS(Eingabe[[#This Row],[GES]]-Eingabe[[#This Row],[GEGGES]]),"")</f>
        <v/>
      </c>
    </row>
    <row r="193" spans="1:52" ht="16.2" hidden="1" thickBot="1" x14ac:dyDescent="0.35">
      <c r="A193" s="441"/>
      <c r="B193" s="21">
        <f t="shared" si="22"/>
        <v>32</v>
      </c>
      <c r="C193" s="6">
        <f>VLOOKUP($B193,Chronologie[],7,TRUE)</f>
        <v>0</v>
      </c>
      <c r="D193" s="6">
        <f>VLOOKUP($B193,Chronologie[],8,TRUE)</f>
        <v>0</v>
      </c>
      <c r="E193" s="240">
        <f>VLOOKUP($B193,Chronologie[],9,TRUE)</f>
        <v>0</v>
      </c>
      <c r="F193" s="6" t="str">
        <f>VLOOKUP($B193,Chronologie[],COLUMN(F194)-2,TRUE)</f>
        <v>F</v>
      </c>
      <c r="G193" s="6" t="str">
        <f>VLOOKUP($B193,Chronologie[],COLUMN(G194)-2,TRUE)</f>
        <v>L</v>
      </c>
      <c r="H193" s="6">
        <f>VLOOKUP($B193,Chronologie[],COLUMN(H194)-2,TRUE)</f>
        <v>14</v>
      </c>
      <c r="I193" s="10" t="str">
        <f>VLOOKUP($B193,Chronologie[],2,TRUE)</f>
        <v>F-L-14</v>
      </c>
      <c r="J193" s="243">
        <f>VLOOKUP($B193,Chronologie[],3,TRUE)</f>
        <v>0</v>
      </c>
      <c r="K193" s="237"/>
      <c r="L193" s="237"/>
      <c r="M193" s="237"/>
      <c r="N193" s="237"/>
      <c r="O193" s="237"/>
      <c r="P193" s="237"/>
      <c r="Q193" s="237"/>
      <c r="R193" s="237"/>
      <c r="S193" s="237"/>
      <c r="T193" s="237"/>
      <c r="U193" s="237"/>
      <c r="V193" s="237"/>
      <c r="W193" s="237"/>
      <c r="X193" s="38"/>
      <c r="Y193" s="38"/>
      <c r="Z193" s="38"/>
      <c r="AA193" s="38"/>
      <c r="AB193" s="91"/>
      <c r="AC193" s="94" t="str">
        <f>IF(Eingabe[[#This Row],[V1]]="",IF(Eingabe[[#This Row],[Volle alternativ]]="","",Eingabe[[#This Row],[Volle alternativ]]),SUM(Eingabe[[#This Row],[V1]:[V4]]))</f>
        <v/>
      </c>
      <c r="AD193" s="6" t="str">
        <f>IF(Eingabe[[#This Row],[R1]]="",IF(Eingabe[[#This Row],[Räumer alternativ]]="","",Eingabe[[#This Row],[Räumer alternativ]]),SUM(Eingabe[[#This Row],[R1]:[R4]]))</f>
        <v/>
      </c>
      <c r="AE193" s="6" t="str">
        <f>IF(Eingabe[[#This Row],[F1]]="",IF(Eingabe[[#This Row],[Fehler alternativ]]="","",Eingabe[[#This Row],[Fehler alternativ]]),SUM(Eingabe[[#This Row],[F1]:[F4]]))</f>
        <v/>
      </c>
      <c r="AF193" s="6" t="str">
        <f>IF(Eingabe[[#This Row],[Volle]]="","",IF(Eingabe[[#This Row],[S1]]="",Eingabe[[#This Row],[Volle]]+Eingabe[[#This Row],[Räumer]],IF(Eingabe[[#This Row],[Volle]]+Eingabe[[#This Row],[Räumer]]=Eingabe[[#This Row],[S1]]+Eingabe[[#This Row],[S2]]+Eingabe[[#This Row],[S3]]+Eingabe[[#This Row],[S4]],Eingabe[[#This Row],[Volle]]+Eingabe[[#This Row],[Räumer]],"FEHLER")))</f>
        <v/>
      </c>
      <c r="AG193" s="6" t="str">
        <f>IF(Eingabe[[#This Row],[V1]]="","",Eingabe[[#This Row],[V1]]+Eingabe[[#This Row],[R1]])</f>
        <v/>
      </c>
      <c r="AH193" s="6" t="str">
        <f>IF(Eingabe[[#This Row],[V2]]="","",Eingabe[[#This Row],[V2]]+Eingabe[[#This Row],[R2]])</f>
        <v/>
      </c>
      <c r="AI193" s="6" t="str">
        <f>IF(Eingabe[[#This Row],[V3]]="","",Eingabe[[#This Row],[V3]]+Eingabe[[#This Row],[R3]])</f>
        <v/>
      </c>
      <c r="AJ193" s="6" t="str">
        <f>IF(Eingabe[[#This Row],[V4]]="","",Eingabe[[#This Row],[V4]]+Eingabe[[#This Row],[R4]])</f>
        <v/>
      </c>
      <c r="AK193" s="6" t="str">
        <f>IF(Eingabe[[#This Row],[S1P]]="","",Eingabe[[#This Row],[S1P]]+Eingabe[[#This Row],[S2P]]+Eingabe[[#This Row],[S3P]]+Eingabe[[#This Row],[S4P]])</f>
        <v/>
      </c>
      <c r="AL193" s="6" t="str">
        <f>IF(Eingabe[[#This Row],[S1P]]="","",IF(Eingabe[[#This Row],[SP]]&gt;2,1,IF(Eingabe[[#This Row],[SP]]&lt;2,0,IF(Eingabe[[#This Row],[GES]]&gt;Eingabe[[#This Row],[GEGGES]],1,IF(Eingabe[[#This Row],[GES]]=Eingabe[[#This Row],[GEGGES]],0.5,0)))))</f>
        <v/>
      </c>
      <c r="AM193" s="6" t="str">
        <f>IF(Eingabe[[#This Row],[MP]]="","",MOD(ROW(Eingabe[[#This Row],[Position]])-3,6)+1)</f>
        <v/>
      </c>
      <c r="AN193" s="6" t="e">
        <f>STANDARDIZE(Eingabe[[#This Row],[GES]],Eingabe[[#This Row],[Schnitt]],VLOOKUP(Eingabe[[#This Row],[Name]],AuswertungG[],21,FALSE))</f>
        <v>#VALUE!</v>
      </c>
      <c r="AO193" s="6" t="str">
        <f>VLOOKUP(Eingabe[[#This Row],[ID]],Chronologie[[ID]:[KW]],12,FALSE)</f>
        <v/>
      </c>
      <c r="AP193" s="95">
        <f>IF(Eingabe[[#This Row],[Wo]]="H",Eingabe[[#This Row],[Gegner]]&amp;" ["&amp;Eingabe[[#This Row],[Wo]]&amp;"]",Eingabe[[#This Row],[Ort]])</f>
        <v>0</v>
      </c>
      <c r="AQ193" s="6" t="str">
        <f>IFERROR(IF(Eingabe[[#This Row],[Wo]]="H",IF(MOD(Eingabe[[#This Row],[Position]],2)=1,Eingabe[[#This Row],[S1]],Eingabe[[#This Row],[S4]]),""),"")</f>
        <v/>
      </c>
      <c r="AR193" s="6" t="str">
        <f>IFERROR(IF(Eingabe[[#This Row],[Wo]]="H",IF(Eingabe[[#This Row],[S1]]&gt;0,IF(MOD(Eingabe[[#This Row],[Position]],2)=1,Eingabe[[#This Row],[S2]],Eingabe[[#This Row],[S3]]),""),""),"")</f>
        <v/>
      </c>
      <c r="AS193" s="6" t="str">
        <f>IFERROR(IF(Eingabe[[#This Row],[Wo]]="H",IF(Eingabe[[#This Row],[S1]]&gt;0,IF(MOD(ROW(Eingabe[[#This Row],[Heimbahn 3]]),2)=1,Eingabe[[#This Row],[S4]],Eingabe[[#This Row],[S1]]),""),""),"")</f>
        <v/>
      </c>
      <c r="AT193" s="6" t="str">
        <f>IFERROR(IF(Eingabe[[#This Row],[Wo]]="H",IF(Eingabe[[#This Row],[S1]]&gt;0,IF(MOD(ROW(Eingabe[[#This Row],[Heimbahn 4]]),2)=1,Eingabe[[#This Row],[S3]],Eingabe[[#This Row],[S2]]),""),""),"")</f>
        <v/>
      </c>
      <c r="AU193" s="22" t="str">
        <f>IF(Eingabe[[#This Row],[GES]]="","",IF(Eingabe[[#This Row],[Modus]]="L",_xlfn.RANK.EQ(Eingabe[[#This Row],[GES]],AF189:AF194),IF(Eingabe[[#This Row],[Modus]]="P",_xlfn.RANK.EQ(Eingabe[[#This Row],[GES]],AF189:AF194),"")))</f>
        <v/>
      </c>
      <c r="AV193" s="6" t="e">
        <f>VLOOKUP(Eingabe[[#This Row],[Name]],AuswertungG[],8,FALSE)</f>
        <v>#N/A</v>
      </c>
      <c r="AZ193" s="6" t="str">
        <f>IFERROR(ABS(Eingabe[[#This Row],[GES]]-Eingabe[[#This Row],[GEGGES]]),"")</f>
        <v/>
      </c>
    </row>
    <row r="194" spans="1:52" ht="16.2" hidden="1" thickBot="1" x14ac:dyDescent="0.35">
      <c r="A194" s="442"/>
      <c r="B194" s="56">
        <f t="shared" si="22"/>
        <v>32</v>
      </c>
      <c r="C194" s="23">
        <f>VLOOKUP($B194,Chronologie[],7,TRUE)</f>
        <v>0</v>
      </c>
      <c r="D194" s="23">
        <f>VLOOKUP($B194,Chronologie[],8,TRUE)</f>
        <v>0</v>
      </c>
      <c r="E194" s="39">
        <f>VLOOKUP($B194,Chronologie[],9,TRUE)</f>
        <v>0</v>
      </c>
      <c r="F194" s="23" t="str">
        <f>VLOOKUP($B194,Chronologie[],COLUMN(F195)-2,TRUE)</f>
        <v>F</v>
      </c>
      <c r="G194" s="23" t="str">
        <f>VLOOKUP($B194,Chronologie[],COLUMN(G195)-2,TRUE)</f>
        <v>L</v>
      </c>
      <c r="H194" s="23">
        <f>VLOOKUP($B194,Chronologie[],COLUMN(H195)-2,TRUE)</f>
        <v>14</v>
      </c>
      <c r="I194" s="13" t="str">
        <f>VLOOKUP($B194,Chronologie[],2,TRUE)</f>
        <v>F-L-14</v>
      </c>
      <c r="J194" s="244">
        <f>VLOOKUP($B194,Chronologie[],3,TRUE)</f>
        <v>0</v>
      </c>
      <c r="K194" s="239"/>
      <c r="L194" s="239"/>
      <c r="M194" s="239"/>
      <c r="N194" s="239"/>
      <c r="O194" s="239"/>
      <c r="P194" s="239"/>
      <c r="Q194" s="239"/>
      <c r="R194" s="239"/>
      <c r="S194" s="239"/>
      <c r="T194" s="239"/>
      <c r="U194" s="239"/>
      <c r="V194" s="239"/>
      <c r="W194" s="239"/>
      <c r="X194" s="40"/>
      <c r="Y194" s="40"/>
      <c r="Z194" s="40"/>
      <c r="AA194" s="40"/>
      <c r="AB194" s="92"/>
      <c r="AC194" s="96" t="str">
        <f>IF(Eingabe[[#This Row],[V1]]="",IF(Eingabe[[#This Row],[Volle alternativ]]="","",Eingabe[[#This Row],[Volle alternativ]]),SUM(Eingabe[[#This Row],[V1]:[V4]]))</f>
        <v/>
      </c>
      <c r="AD194" s="23" t="str">
        <f>IF(Eingabe[[#This Row],[R1]]="",IF(Eingabe[[#This Row],[Räumer alternativ]]="","",Eingabe[[#This Row],[Räumer alternativ]]),SUM(Eingabe[[#This Row],[R1]:[R4]]))</f>
        <v/>
      </c>
      <c r="AE194" s="23" t="str">
        <f>IF(Eingabe[[#This Row],[F1]]="",IF(Eingabe[[#This Row],[Fehler alternativ]]="","",Eingabe[[#This Row],[Fehler alternativ]]),SUM(Eingabe[[#This Row],[F1]:[F4]]))</f>
        <v/>
      </c>
      <c r="AF194" s="23" t="str">
        <f>IF(Eingabe[[#This Row],[Volle]]="","",IF(Eingabe[[#This Row],[S1]]="",Eingabe[[#This Row],[Volle]]+Eingabe[[#This Row],[Räumer]],IF(Eingabe[[#This Row],[Volle]]+Eingabe[[#This Row],[Räumer]]=Eingabe[[#This Row],[S1]]+Eingabe[[#This Row],[S2]]+Eingabe[[#This Row],[S3]]+Eingabe[[#This Row],[S4]],Eingabe[[#This Row],[Volle]]+Eingabe[[#This Row],[Räumer]],"FEHLER")))</f>
        <v/>
      </c>
      <c r="AG194" s="23" t="str">
        <f>IF(Eingabe[[#This Row],[V1]]="","",Eingabe[[#This Row],[V1]]+Eingabe[[#This Row],[R1]])</f>
        <v/>
      </c>
      <c r="AH194" s="23" t="str">
        <f>IF(Eingabe[[#This Row],[V2]]="","",Eingabe[[#This Row],[V2]]+Eingabe[[#This Row],[R2]])</f>
        <v/>
      </c>
      <c r="AI194" s="23" t="str">
        <f>IF(Eingabe[[#This Row],[V3]]="","",Eingabe[[#This Row],[V3]]+Eingabe[[#This Row],[R3]])</f>
        <v/>
      </c>
      <c r="AJ194" s="23" t="str">
        <f>IF(Eingabe[[#This Row],[V4]]="","",Eingabe[[#This Row],[V4]]+Eingabe[[#This Row],[R4]])</f>
        <v/>
      </c>
      <c r="AK194" s="23" t="str">
        <f>IF(Eingabe[[#This Row],[S1P]]="","",Eingabe[[#This Row],[S1P]]+Eingabe[[#This Row],[S2P]]+Eingabe[[#This Row],[S3P]]+Eingabe[[#This Row],[S4P]])</f>
        <v/>
      </c>
      <c r="AL194" s="23" t="str">
        <f>IF(Eingabe[[#This Row],[S1P]]="","",IF(Eingabe[[#This Row],[SP]]&gt;2,1,IF(Eingabe[[#This Row],[SP]]&lt;2,0,IF(Eingabe[[#This Row],[GES]]&gt;Eingabe[[#This Row],[GEGGES]],1,IF(Eingabe[[#This Row],[GES]]=Eingabe[[#This Row],[GEGGES]],0.5,0)))))</f>
        <v/>
      </c>
      <c r="AM194" s="23" t="str">
        <f>IF(Eingabe[[#This Row],[MP]]="","",MOD(ROW(Eingabe[[#This Row],[Position]])-3,6)+1)</f>
        <v/>
      </c>
      <c r="AN194" s="23" t="e">
        <f>STANDARDIZE(Eingabe[[#This Row],[GES]],Eingabe[[#This Row],[Schnitt]],VLOOKUP(Eingabe[[#This Row],[Name]],AuswertungG[],21,FALSE))</f>
        <v>#VALUE!</v>
      </c>
      <c r="AO194" s="23" t="str">
        <f>VLOOKUP(Eingabe[[#This Row],[ID]],Chronologie[[ID]:[KW]],12,FALSE)</f>
        <v/>
      </c>
      <c r="AP194" s="59">
        <f>IF(Eingabe[[#This Row],[Wo]]="H",Eingabe[[#This Row],[Gegner]]&amp;" ["&amp;Eingabe[[#This Row],[Wo]]&amp;"]",Eingabe[[#This Row],[Ort]])</f>
        <v>0</v>
      </c>
      <c r="AQ194" s="23" t="str">
        <f>IFERROR(IF(Eingabe[[#This Row],[Wo]]="H",IF(MOD(Eingabe[[#This Row],[Position]],2)=1,Eingabe[[#This Row],[S1]],Eingabe[[#This Row],[S4]]),""),"")</f>
        <v/>
      </c>
      <c r="AR194" s="23" t="str">
        <f>IFERROR(IF(Eingabe[[#This Row],[Wo]]="H",IF(Eingabe[[#This Row],[S1]]&gt;0,IF(MOD(Eingabe[[#This Row],[Position]],2)=1,Eingabe[[#This Row],[S2]],Eingabe[[#This Row],[S3]]),""),""),"")</f>
        <v/>
      </c>
      <c r="AS194" s="23" t="str">
        <f>IFERROR(IF(Eingabe[[#This Row],[Wo]]="H",IF(Eingabe[[#This Row],[S1]]&gt;0,IF(MOD(ROW(Eingabe[[#This Row],[Heimbahn 3]]),2)=1,Eingabe[[#This Row],[S4]],Eingabe[[#This Row],[S1]]),""),""),"")</f>
        <v/>
      </c>
      <c r="AT194" s="23" t="str">
        <f>IFERROR(IF(Eingabe[[#This Row],[Wo]]="H",IF(Eingabe[[#This Row],[S1]]&gt;0,IF(MOD(ROW(Eingabe[[#This Row],[Heimbahn 4]]),2)=1,Eingabe[[#This Row],[S3]],Eingabe[[#This Row],[S2]]),""),""),"")</f>
        <v/>
      </c>
      <c r="AU194" s="89" t="str">
        <f>IF(Eingabe[[#This Row],[GES]]="","",IF(Eingabe[[#This Row],[Modus]]="L",_xlfn.RANK.EQ(Eingabe[[#This Row],[GES]],AF189:AF194),IF(Eingabe[[#This Row],[Modus]]="P",_xlfn.RANK.EQ(Eingabe[[#This Row],[GES]],AF189:AF194),"")))</f>
        <v/>
      </c>
      <c r="AV194" s="6" t="e">
        <f>VLOOKUP(Eingabe[[#This Row],[Name]],AuswertungG[],8,FALSE)</f>
        <v>#N/A</v>
      </c>
      <c r="AZ194" s="6" t="str">
        <f>IFERROR(ABS(Eingabe[[#This Row],[GES]]-Eingabe[[#This Row],[GEGGES]]),"")</f>
        <v/>
      </c>
    </row>
    <row r="195" spans="1:52" ht="16.2" hidden="1" thickBot="1" x14ac:dyDescent="0.35">
      <c r="A195" s="440">
        <f t="shared" ref="A195" si="33">B195</f>
        <v>33</v>
      </c>
      <c r="B195" s="55">
        <f t="shared" si="22"/>
        <v>33</v>
      </c>
      <c r="C195" s="35" t="str">
        <f>VLOOKUP($B195,Chronologie[],7,TRUE)</f>
        <v>SV Fortschritt Pirna</v>
      </c>
      <c r="D195" s="35" t="str">
        <f>VLOOKUP($B195,Chronologie[],8,TRUE)</f>
        <v>Pirna</v>
      </c>
      <c r="E195" s="36" t="str">
        <f>VLOOKUP($B195,Chronologie[],9,TRUE)</f>
        <v>A</v>
      </c>
      <c r="F195" s="35" t="str">
        <f>VLOOKUP($B195,Chronologie[],COLUMN(F196)-2,TRUE)</f>
        <v>U19</v>
      </c>
      <c r="G195" s="35" t="str">
        <f>VLOOKUP($B195,Chronologie[],COLUMN(G196)-2,TRUE)</f>
        <v>L</v>
      </c>
      <c r="H195" s="35">
        <f>VLOOKUP($B195,Chronologie[],COLUMN(H196)-2,TRUE)</f>
        <v>1</v>
      </c>
      <c r="I195" s="9" t="str">
        <f>VLOOKUP($B195,Chronologie[],2,TRUE)</f>
        <v>U19-L-1</v>
      </c>
      <c r="J195" s="242">
        <f>VLOOKUP($B195,Chronologie[],3,TRUE)</f>
        <v>45892</v>
      </c>
      <c r="K195" s="236" t="s">
        <v>474</v>
      </c>
      <c r="L195" s="334">
        <v>86</v>
      </c>
      <c r="M195" s="334">
        <v>91</v>
      </c>
      <c r="N195" s="334">
        <v>101</v>
      </c>
      <c r="O195" s="334">
        <v>80</v>
      </c>
      <c r="P195" s="334">
        <v>36</v>
      </c>
      <c r="Q195" s="334">
        <v>36</v>
      </c>
      <c r="R195" s="334">
        <v>34</v>
      </c>
      <c r="S195" s="334">
        <v>51</v>
      </c>
      <c r="T195" s="334">
        <v>3</v>
      </c>
      <c r="U195" s="334">
        <v>1</v>
      </c>
      <c r="V195" s="334">
        <v>3</v>
      </c>
      <c r="W195" s="334">
        <v>2</v>
      </c>
      <c r="X195" s="37"/>
      <c r="Y195" s="37"/>
      <c r="Z195" s="37"/>
      <c r="AA195" s="37"/>
      <c r="AB195" s="90"/>
      <c r="AC195" s="93">
        <f>IF(Eingabe[[#This Row],[V1]]="",IF(Eingabe[[#This Row],[Volle alternativ]]="","",Eingabe[[#This Row],[Volle alternativ]]),SUM(Eingabe[[#This Row],[V1]:[V4]]))</f>
        <v>358</v>
      </c>
      <c r="AD195" s="35">
        <f>IF(Eingabe[[#This Row],[R1]]="",IF(Eingabe[[#This Row],[Räumer alternativ]]="","",Eingabe[[#This Row],[Räumer alternativ]]),SUM(Eingabe[[#This Row],[R1]:[R4]]))</f>
        <v>157</v>
      </c>
      <c r="AE195" s="35">
        <f>IF(Eingabe[[#This Row],[F1]]="",IF(Eingabe[[#This Row],[Fehler alternativ]]="","",Eingabe[[#This Row],[Fehler alternativ]]),SUM(Eingabe[[#This Row],[F1]:[F4]]))</f>
        <v>9</v>
      </c>
      <c r="AF195" s="35">
        <f>IF(Eingabe[[#This Row],[Volle]]="","",IF(Eingabe[[#This Row],[S1]]="",Eingabe[[#This Row],[Volle]]+Eingabe[[#This Row],[Räumer]],IF(Eingabe[[#This Row],[Volle]]+Eingabe[[#This Row],[Räumer]]=Eingabe[[#This Row],[S1]]+Eingabe[[#This Row],[S2]]+Eingabe[[#This Row],[S3]]+Eingabe[[#This Row],[S4]],Eingabe[[#This Row],[Volle]]+Eingabe[[#This Row],[Räumer]],"FEHLER")))</f>
        <v>515</v>
      </c>
      <c r="AG195" s="35">
        <f>IF(Eingabe[[#This Row],[V1]]="","",Eingabe[[#This Row],[V1]]+Eingabe[[#This Row],[R1]])</f>
        <v>122</v>
      </c>
      <c r="AH195" s="35">
        <f>IF(Eingabe[[#This Row],[V2]]="","",Eingabe[[#This Row],[V2]]+Eingabe[[#This Row],[R2]])</f>
        <v>127</v>
      </c>
      <c r="AI195" s="35">
        <f>IF(Eingabe[[#This Row],[V3]]="","",Eingabe[[#This Row],[V3]]+Eingabe[[#This Row],[R3]])</f>
        <v>135</v>
      </c>
      <c r="AJ195" s="35">
        <f>IF(Eingabe[[#This Row],[V4]]="","",Eingabe[[#This Row],[V4]]+Eingabe[[#This Row],[R4]])</f>
        <v>131</v>
      </c>
      <c r="AK195" s="35" t="str">
        <f>IF(Eingabe[[#This Row],[S1P]]="","",Eingabe[[#This Row],[S1P]]+Eingabe[[#This Row],[S2P]]+Eingabe[[#This Row],[S3P]]+Eingabe[[#This Row],[S4P]])</f>
        <v/>
      </c>
      <c r="AL195" s="35" t="str">
        <f>IF(Eingabe[[#This Row],[S1P]]="","",IF(Eingabe[[#This Row],[SP]]&gt;2,1,IF(Eingabe[[#This Row],[SP]]&lt;2,0,IF(Eingabe[[#This Row],[GES]]&gt;Eingabe[[#This Row],[GEGGES]],1,IF(Eingabe[[#This Row],[GES]]=Eingabe[[#This Row],[GEGGES]],0.5,0)))))</f>
        <v/>
      </c>
      <c r="AM195" s="35" t="str">
        <f>IF(Eingabe[[#This Row],[MP]]="","",MOD(ROW(Eingabe[[#This Row],[Position]])-3,6)+1)</f>
        <v/>
      </c>
      <c r="AN195" s="35">
        <f>STANDARDIZE(Eingabe[[#This Row],[GES]],Eingabe[[#This Row],[Schnitt]],VLOOKUP(Eingabe[[#This Row],[Name]],AuswertungG[],21,FALSE))</f>
        <v>0.45161290322580644</v>
      </c>
      <c r="AO195" s="35">
        <f>VLOOKUP(Eingabe[[#This Row],[ID]],Chronologie[[ID]:[KW]],12,FALSE)</f>
        <v>0</v>
      </c>
      <c r="AP195" s="58" t="str">
        <f>IF(Eingabe[[#This Row],[Wo]]="H",Eingabe[[#This Row],[Gegner]]&amp;" ["&amp;Eingabe[[#This Row],[Wo]]&amp;"]",Eingabe[[#This Row],[Ort]])</f>
        <v>Pirna</v>
      </c>
      <c r="AQ195" s="35" t="str">
        <f>IFERROR(IF(Eingabe[[#This Row],[Wo]]="H",IF(MOD(Eingabe[[#This Row],[Position]],2)=1,Eingabe[[#This Row],[S1]],Eingabe[[#This Row],[S4]]),""),"")</f>
        <v/>
      </c>
      <c r="AR195" s="35" t="str">
        <f>IFERROR(IF(Eingabe[[#This Row],[Wo]]="H",IF(Eingabe[[#This Row],[S1]]&gt;0,IF(MOD(Eingabe[[#This Row],[Position]],2)=1,Eingabe[[#This Row],[S2]],Eingabe[[#This Row],[S3]]),""),""),"")</f>
        <v/>
      </c>
      <c r="AS195" s="35" t="str">
        <f>IFERROR(IF(Eingabe[[#This Row],[Wo]]="H",IF(Eingabe[[#This Row],[S1]]&gt;0,IF(MOD(ROW(Eingabe[[#This Row],[Heimbahn 3]]),2)=1,Eingabe[[#This Row],[S4]],Eingabe[[#This Row],[S1]]),""),""),"")</f>
        <v/>
      </c>
      <c r="AT195" s="35" t="str">
        <f>IFERROR(IF(Eingabe[[#This Row],[Wo]]="H",IF(Eingabe[[#This Row],[S1]]&gt;0,IF(MOD(ROW(Eingabe[[#This Row],[Heimbahn 4]]),2)=1,Eingabe[[#This Row],[S3]],Eingabe[[#This Row],[S2]]),""),""),"")</f>
        <v/>
      </c>
      <c r="AU195" s="88">
        <f>IF(Eingabe[[#This Row],[GES]]="","",IF(Eingabe[[#This Row],[Modus]]="L",_xlfn.RANK.EQ(Eingabe[[#This Row],[GES]],AF195:AF200),IF(Eingabe[[#This Row],[Modus]]="P",_xlfn.RANK.EQ(Eingabe[[#This Row],[GES]],AF195:AF200),"")))</f>
        <v>3</v>
      </c>
      <c r="AV195" s="6">
        <f>VLOOKUP(Eingabe[[#This Row],[Name]],AuswertungG[],8,FALSE)</f>
        <v>501</v>
      </c>
      <c r="AZ195" s="6">
        <f>IFERROR(ABS(Eingabe[[#This Row],[GES]]-Eingabe[[#This Row],[GEGGES]]),"")</f>
        <v>515</v>
      </c>
    </row>
    <row r="196" spans="1:52" ht="16.2" hidden="1" thickBot="1" x14ac:dyDescent="0.35">
      <c r="A196" s="441"/>
      <c r="B196" s="21">
        <f t="shared" ref="B196:B259" si="34">ROUNDUP((ROW(B196)-2)/6,0)</f>
        <v>33</v>
      </c>
      <c r="C196" s="6" t="str">
        <f>VLOOKUP($B196,Chronologie[],7,TRUE)</f>
        <v>SV Fortschritt Pirna</v>
      </c>
      <c r="D196" s="6" t="str">
        <f>VLOOKUP($B196,Chronologie[],8,TRUE)</f>
        <v>Pirna</v>
      </c>
      <c r="E196" s="240" t="str">
        <f>VLOOKUP($B196,Chronologie[],9,TRUE)</f>
        <v>A</v>
      </c>
      <c r="F196" s="6" t="str">
        <f>VLOOKUP($B196,Chronologie[],COLUMN(F197)-2,TRUE)</f>
        <v>U19</v>
      </c>
      <c r="G196" s="6" t="str">
        <f>VLOOKUP($B196,Chronologie[],COLUMN(G197)-2,TRUE)</f>
        <v>L</v>
      </c>
      <c r="H196" s="6">
        <f>VLOOKUP($B196,Chronologie[],COLUMN(H197)-2,TRUE)</f>
        <v>1</v>
      </c>
      <c r="I196" s="10" t="str">
        <f>VLOOKUP($B196,Chronologie[],2,TRUE)</f>
        <v>U19-L-1</v>
      </c>
      <c r="J196" s="243">
        <f>VLOOKUP($B196,Chronologie[],3,TRUE)</f>
        <v>45892</v>
      </c>
      <c r="K196" s="237" t="s">
        <v>485</v>
      </c>
      <c r="L196" s="237">
        <v>80</v>
      </c>
      <c r="M196" s="237">
        <v>90</v>
      </c>
      <c r="N196" s="237">
        <v>88</v>
      </c>
      <c r="O196" s="237">
        <v>94</v>
      </c>
      <c r="P196" s="237">
        <v>53</v>
      </c>
      <c r="Q196" s="237">
        <v>27</v>
      </c>
      <c r="R196" s="237">
        <v>17</v>
      </c>
      <c r="S196" s="237">
        <v>36</v>
      </c>
      <c r="T196" s="237">
        <v>3</v>
      </c>
      <c r="U196" s="237">
        <v>4</v>
      </c>
      <c r="V196" s="237">
        <v>6</v>
      </c>
      <c r="W196" s="237">
        <v>5</v>
      </c>
      <c r="X196" s="38"/>
      <c r="Y196" s="38"/>
      <c r="Z196" s="38"/>
      <c r="AA196" s="38"/>
      <c r="AB196" s="91"/>
      <c r="AC196" s="94">
        <f>IF(Eingabe[[#This Row],[V1]]="",IF(Eingabe[[#This Row],[Volle alternativ]]="","",Eingabe[[#This Row],[Volle alternativ]]),SUM(Eingabe[[#This Row],[V1]:[V4]]))</f>
        <v>352</v>
      </c>
      <c r="AD196" s="6">
        <f>IF(Eingabe[[#This Row],[R1]]="",IF(Eingabe[[#This Row],[Räumer alternativ]]="","",Eingabe[[#This Row],[Räumer alternativ]]),SUM(Eingabe[[#This Row],[R1]:[R4]]))</f>
        <v>133</v>
      </c>
      <c r="AE196" s="6">
        <f>IF(Eingabe[[#This Row],[F1]]="",IF(Eingabe[[#This Row],[Fehler alternativ]]="","",Eingabe[[#This Row],[Fehler alternativ]]),SUM(Eingabe[[#This Row],[F1]:[F4]]))</f>
        <v>18</v>
      </c>
      <c r="AF196" s="6">
        <f>IF(Eingabe[[#This Row],[Volle]]="","",IF(Eingabe[[#This Row],[S1]]="",Eingabe[[#This Row],[Volle]]+Eingabe[[#This Row],[Räumer]],IF(Eingabe[[#This Row],[Volle]]+Eingabe[[#This Row],[Räumer]]=Eingabe[[#This Row],[S1]]+Eingabe[[#This Row],[S2]]+Eingabe[[#This Row],[S3]]+Eingabe[[#This Row],[S4]],Eingabe[[#This Row],[Volle]]+Eingabe[[#This Row],[Räumer]],"FEHLER")))</f>
        <v>485</v>
      </c>
      <c r="AG196" s="6">
        <f>IF(Eingabe[[#This Row],[V1]]="","",Eingabe[[#This Row],[V1]]+Eingabe[[#This Row],[R1]])</f>
        <v>133</v>
      </c>
      <c r="AH196" s="6">
        <f>IF(Eingabe[[#This Row],[V2]]="","",Eingabe[[#This Row],[V2]]+Eingabe[[#This Row],[R2]])</f>
        <v>117</v>
      </c>
      <c r="AI196" s="6">
        <f>IF(Eingabe[[#This Row],[V3]]="","",Eingabe[[#This Row],[V3]]+Eingabe[[#This Row],[R3]])</f>
        <v>105</v>
      </c>
      <c r="AJ196" s="6">
        <f>IF(Eingabe[[#This Row],[V4]]="","",Eingabe[[#This Row],[V4]]+Eingabe[[#This Row],[R4]])</f>
        <v>130</v>
      </c>
      <c r="AK196" s="6" t="str">
        <f>IF(Eingabe[[#This Row],[S1P]]="","",Eingabe[[#This Row],[S1P]]+Eingabe[[#This Row],[S2P]]+Eingabe[[#This Row],[S3P]]+Eingabe[[#This Row],[S4P]])</f>
        <v/>
      </c>
      <c r="AL196" s="6" t="str">
        <f>IF(Eingabe[[#This Row],[S1P]]="","",IF(Eingabe[[#This Row],[SP]]&gt;2,1,IF(Eingabe[[#This Row],[SP]]&lt;2,0,IF(Eingabe[[#This Row],[GES]]&gt;Eingabe[[#This Row],[GEGGES]],1,IF(Eingabe[[#This Row],[GES]]=Eingabe[[#This Row],[GEGGES]],0.5,0)))))</f>
        <v/>
      </c>
      <c r="AM196" s="6" t="str">
        <f>IF(Eingabe[[#This Row],[MP]]="","",MOD(ROW(Eingabe[[#This Row],[Position]])-3,6)+1)</f>
        <v/>
      </c>
      <c r="AN196" s="6">
        <f>STANDARDIZE(Eingabe[[#This Row],[GES]],Eingabe[[#This Row],[Schnitt]],VLOOKUP(Eingabe[[#This Row],[Name]],AuswertungG[],21,FALSE))</f>
        <v>0.82758620689655171</v>
      </c>
      <c r="AO196" s="6">
        <f>VLOOKUP(Eingabe[[#This Row],[ID]],Chronologie[[ID]:[KW]],12,FALSE)</f>
        <v>0</v>
      </c>
      <c r="AP196" s="95" t="str">
        <f>IF(Eingabe[[#This Row],[Wo]]="H",Eingabe[[#This Row],[Gegner]]&amp;" ["&amp;Eingabe[[#This Row],[Wo]]&amp;"]",Eingabe[[#This Row],[Ort]])</f>
        <v>Pirna</v>
      </c>
      <c r="AQ196" s="6" t="str">
        <f>IFERROR(IF(Eingabe[[#This Row],[Wo]]="H",IF(MOD(Eingabe[[#This Row],[Position]],2)=1,Eingabe[[#This Row],[S1]],Eingabe[[#This Row],[S4]]),""),"")</f>
        <v/>
      </c>
      <c r="AR196" s="6" t="str">
        <f>IFERROR(IF(Eingabe[[#This Row],[Wo]]="H",IF(Eingabe[[#This Row],[S1]]&gt;0,IF(MOD(Eingabe[[#This Row],[Position]],2)=1,Eingabe[[#This Row],[S2]],Eingabe[[#This Row],[S3]]),""),""),"")</f>
        <v/>
      </c>
      <c r="AS196" s="6" t="str">
        <f>IFERROR(IF(Eingabe[[#This Row],[Wo]]="H",IF(Eingabe[[#This Row],[S1]]&gt;0,IF(MOD(ROW(Eingabe[[#This Row],[Heimbahn 3]]),2)=1,Eingabe[[#This Row],[S4]],Eingabe[[#This Row],[S1]]),""),""),"")</f>
        <v/>
      </c>
      <c r="AT196" s="6" t="str">
        <f>IFERROR(IF(Eingabe[[#This Row],[Wo]]="H",IF(Eingabe[[#This Row],[S1]]&gt;0,IF(MOD(ROW(Eingabe[[#This Row],[Heimbahn 4]]),2)=1,Eingabe[[#This Row],[S3]],Eingabe[[#This Row],[S2]]),""),""),"")</f>
        <v/>
      </c>
      <c r="AU196" s="22">
        <f>IF(Eingabe[[#This Row],[GES]]="","",IF(Eingabe[[#This Row],[Modus]]="L",_xlfn.RANK.EQ(Eingabe[[#This Row],[GES]],AF195:AF200),IF(Eingabe[[#This Row],[Modus]]="P",_xlfn.RANK.EQ(Eingabe[[#This Row],[GES]],AF195:AF200),"")))</f>
        <v>4</v>
      </c>
      <c r="AV196" s="6">
        <f>VLOOKUP(Eingabe[[#This Row],[Name]],AuswertungG[],8,FALSE)</f>
        <v>461</v>
      </c>
      <c r="AZ196" s="6">
        <f>IFERROR(ABS(Eingabe[[#This Row],[GES]]-Eingabe[[#This Row],[GEGGES]]),"")</f>
        <v>485</v>
      </c>
    </row>
    <row r="197" spans="1:52" ht="16.2" hidden="1" thickBot="1" x14ac:dyDescent="0.35">
      <c r="A197" s="441"/>
      <c r="B197" s="21">
        <f t="shared" si="34"/>
        <v>33</v>
      </c>
      <c r="C197" s="6" t="str">
        <f>VLOOKUP($B197,Chronologie[],7,TRUE)</f>
        <v>SV Fortschritt Pirna</v>
      </c>
      <c r="D197" s="6" t="str">
        <f>VLOOKUP($B197,Chronologie[],8,TRUE)</f>
        <v>Pirna</v>
      </c>
      <c r="E197" s="240" t="str">
        <f>VLOOKUP($B197,Chronologie[],9,TRUE)</f>
        <v>A</v>
      </c>
      <c r="F197" s="6" t="str">
        <f>VLOOKUP($B197,Chronologie[],COLUMN(F198)-2,TRUE)</f>
        <v>U19</v>
      </c>
      <c r="G197" s="6" t="str">
        <f>VLOOKUP($B197,Chronologie[],COLUMN(G198)-2,TRUE)</f>
        <v>L</v>
      </c>
      <c r="H197" s="6">
        <f>VLOOKUP($B197,Chronologie[],COLUMN(H198)-2,TRUE)</f>
        <v>1</v>
      </c>
      <c r="I197" s="10" t="str">
        <f>VLOOKUP($B197,Chronologie[],2,TRUE)</f>
        <v>U19-L-1</v>
      </c>
      <c r="J197" s="243">
        <f>VLOOKUP($B197,Chronologie[],3,TRUE)</f>
        <v>45892</v>
      </c>
      <c r="K197" s="237" t="s">
        <v>477</v>
      </c>
      <c r="L197" s="237">
        <v>90</v>
      </c>
      <c r="M197" s="237">
        <v>82</v>
      </c>
      <c r="N197" s="237">
        <v>96</v>
      </c>
      <c r="O197" s="237">
        <v>82</v>
      </c>
      <c r="P197" s="237">
        <v>54</v>
      </c>
      <c r="Q197" s="237">
        <v>54</v>
      </c>
      <c r="R197" s="237">
        <v>43</v>
      </c>
      <c r="S197" s="237">
        <v>35</v>
      </c>
      <c r="T197" s="237">
        <v>0</v>
      </c>
      <c r="U197" s="237">
        <v>0</v>
      </c>
      <c r="V197" s="237">
        <v>0</v>
      </c>
      <c r="W197" s="237">
        <v>2</v>
      </c>
      <c r="X197" s="38"/>
      <c r="Y197" s="38"/>
      <c r="Z197" s="38"/>
      <c r="AA197" s="38"/>
      <c r="AB197" s="91"/>
      <c r="AC197" s="94">
        <f>IF(Eingabe[[#This Row],[V1]]="",IF(Eingabe[[#This Row],[Volle alternativ]]="","",Eingabe[[#This Row],[Volle alternativ]]),SUM(Eingabe[[#This Row],[V1]:[V4]]))</f>
        <v>350</v>
      </c>
      <c r="AD197" s="6">
        <f>IF(Eingabe[[#This Row],[R1]]="",IF(Eingabe[[#This Row],[Räumer alternativ]]="","",Eingabe[[#This Row],[Räumer alternativ]]),SUM(Eingabe[[#This Row],[R1]:[R4]]))</f>
        <v>186</v>
      </c>
      <c r="AE197" s="6">
        <f>IF(Eingabe[[#This Row],[F1]]="",IF(Eingabe[[#This Row],[Fehler alternativ]]="","",Eingabe[[#This Row],[Fehler alternativ]]),SUM(Eingabe[[#This Row],[F1]:[F4]]))</f>
        <v>2</v>
      </c>
      <c r="AF197" s="6">
        <f>IF(Eingabe[[#This Row],[Volle]]="","",IF(Eingabe[[#This Row],[S1]]="",Eingabe[[#This Row],[Volle]]+Eingabe[[#This Row],[Räumer]],IF(Eingabe[[#This Row],[Volle]]+Eingabe[[#This Row],[Räumer]]=Eingabe[[#This Row],[S1]]+Eingabe[[#This Row],[S2]]+Eingabe[[#This Row],[S3]]+Eingabe[[#This Row],[S4]],Eingabe[[#This Row],[Volle]]+Eingabe[[#This Row],[Räumer]],"FEHLER")))</f>
        <v>536</v>
      </c>
      <c r="AG197" s="6">
        <f>IF(Eingabe[[#This Row],[V1]]="","",Eingabe[[#This Row],[V1]]+Eingabe[[#This Row],[R1]])</f>
        <v>144</v>
      </c>
      <c r="AH197" s="6">
        <f>IF(Eingabe[[#This Row],[V2]]="","",Eingabe[[#This Row],[V2]]+Eingabe[[#This Row],[R2]])</f>
        <v>136</v>
      </c>
      <c r="AI197" s="6">
        <f>IF(Eingabe[[#This Row],[V3]]="","",Eingabe[[#This Row],[V3]]+Eingabe[[#This Row],[R3]])</f>
        <v>139</v>
      </c>
      <c r="AJ197" s="6">
        <f>IF(Eingabe[[#This Row],[V4]]="","",Eingabe[[#This Row],[V4]]+Eingabe[[#This Row],[R4]])</f>
        <v>117</v>
      </c>
      <c r="AK197" s="6" t="str">
        <f>IF(Eingabe[[#This Row],[S1P]]="","",Eingabe[[#This Row],[S1P]]+Eingabe[[#This Row],[S2P]]+Eingabe[[#This Row],[S3P]]+Eingabe[[#This Row],[S4P]])</f>
        <v/>
      </c>
      <c r="AL197" s="6" t="str">
        <f>IF(Eingabe[[#This Row],[S1P]]="","",IF(Eingabe[[#This Row],[SP]]&gt;2,1,IF(Eingabe[[#This Row],[SP]]&lt;2,0,IF(Eingabe[[#This Row],[GES]]&gt;Eingabe[[#This Row],[GEGGES]],1,IF(Eingabe[[#This Row],[GES]]=Eingabe[[#This Row],[GEGGES]],0.5,0)))))</f>
        <v/>
      </c>
      <c r="AM197" s="6" t="str">
        <f>IF(Eingabe[[#This Row],[MP]]="","",MOD(ROW(Eingabe[[#This Row],[Position]])-3,6)+1)</f>
        <v/>
      </c>
      <c r="AN197" s="6">
        <f>STANDARDIZE(Eingabe[[#This Row],[GES]],Eingabe[[#This Row],[Schnitt]],VLOOKUP(Eingabe[[#This Row],[Name]],AuswertungG[],21,FALSE))</f>
        <v>0.16</v>
      </c>
      <c r="AO197" s="6">
        <f>VLOOKUP(Eingabe[[#This Row],[ID]],Chronologie[[ID]:[KW]],12,FALSE)</f>
        <v>0</v>
      </c>
      <c r="AP197" s="95" t="str">
        <f>IF(Eingabe[[#This Row],[Wo]]="H",Eingabe[[#This Row],[Gegner]]&amp;" ["&amp;Eingabe[[#This Row],[Wo]]&amp;"]",Eingabe[[#This Row],[Ort]])</f>
        <v>Pirna</v>
      </c>
      <c r="AQ197" s="6" t="str">
        <f>IFERROR(IF(Eingabe[[#This Row],[Wo]]="H",IF(MOD(Eingabe[[#This Row],[Position]],2)=1,Eingabe[[#This Row],[S1]],Eingabe[[#This Row],[S4]]),""),"")</f>
        <v/>
      </c>
      <c r="AR197" s="6" t="str">
        <f>IFERROR(IF(Eingabe[[#This Row],[Wo]]="H",IF(Eingabe[[#This Row],[S1]]&gt;0,IF(MOD(Eingabe[[#This Row],[Position]],2)=1,Eingabe[[#This Row],[S2]],Eingabe[[#This Row],[S3]]),""),""),"")</f>
        <v/>
      </c>
      <c r="AS197" s="6" t="str">
        <f>IFERROR(IF(Eingabe[[#This Row],[Wo]]="H",IF(Eingabe[[#This Row],[S1]]&gt;0,IF(MOD(ROW(Eingabe[[#This Row],[Heimbahn 3]]),2)=1,Eingabe[[#This Row],[S4]],Eingabe[[#This Row],[S1]]),""),""),"")</f>
        <v/>
      </c>
      <c r="AT197" s="6" t="str">
        <f>IFERROR(IF(Eingabe[[#This Row],[Wo]]="H",IF(Eingabe[[#This Row],[S1]]&gt;0,IF(MOD(ROW(Eingabe[[#This Row],[Heimbahn 4]]),2)=1,Eingabe[[#This Row],[S3]],Eingabe[[#This Row],[S2]]),""),""),"")</f>
        <v/>
      </c>
      <c r="AU197" s="22">
        <f>IF(Eingabe[[#This Row],[GES]]="","",IF(Eingabe[[#This Row],[Modus]]="L",_xlfn.RANK.EQ(Eingabe[[#This Row],[GES]],AF195:AF200),IF(Eingabe[[#This Row],[Modus]]="P",_xlfn.RANK.EQ(Eingabe[[#This Row],[GES]],AF195:AF200),"")))</f>
        <v>2</v>
      </c>
      <c r="AV197" s="6">
        <f>VLOOKUP(Eingabe[[#This Row],[Name]],AuswertungG[],8,FALSE)</f>
        <v>532</v>
      </c>
      <c r="AZ197" s="6">
        <f>IFERROR(ABS(Eingabe[[#This Row],[GES]]-Eingabe[[#This Row],[GEGGES]]),"")</f>
        <v>536</v>
      </c>
    </row>
    <row r="198" spans="1:52" ht="16.2" hidden="1" thickBot="1" x14ac:dyDescent="0.35">
      <c r="A198" s="441"/>
      <c r="B198" s="21">
        <f t="shared" si="34"/>
        <v>33</v>
      </c>
      <c r="C198" s="6" t="str">
        <f>VLOOKUP($B198,Chronologie[],7,TRUE)</f>
        <v>SV Fortschritt Pirna</v>
      </c>
      <c r="D198" s="6" t="str">
        <f>VLOOKUP($B198,Chronologie[],8,TRUE)</f>
        <v>Pirna</v>
      </c>
      <c r="E198" s="240" t="str">
        <f>VLOOKUP($B198,Chronologie[],9,TRUE)</f>
        <v>A</v>
      </c>
      <c r="F198" s="6" t="str">
        <f>VLOOKUP($B198,Chronologie[],COLUMN(F199)-2,TRUE)</f>
        <v>U19</v>
      </c>
      <c r="G198" s="6" t="str">
        <f>VLOOKUP($B198,Chronologie[],COLUMN(G199)-2,TRUE)</f>
        <v>L</v>
      </c>
      <c r="H198" s="6">
        <f>VLOOKUP($B198,Chronologie[],COLUMN(H199)-2,TRUE)</f>
        <v>1</v>
      </c>
      <c r="I198" s="10" t="str">
        <f>VLOOKUP($B198,Chronologie[],2,TRUE)</f>
        <v>U19-L-1</v>
      </c>
      <c r="J198" s="243">
        <f>VLOOKUP($B198,Chronologie[],3,TRUE)</f>
        <v>45892</v>
      </c>
      <c r="K198" s="238" t="s">
        <v>458</v>
      </c>
      <c r="L198" s="237">
        <v>87</v>
      </c>
      <c r="M198" s="237">
        <v>86</v>
      </c>
      <c r="N198" s="237">
        <v>94</v>
      </c>
      <c r="O198" s="237">
        <v>89</v>
      </c>
      <c r="P198" s="237">
        <v>45</v>
      </c>
      <c r="Q198" s="237">
        <v>51</v>
      </c>
      <c r="R198" s="237">
        <v>45</v>
      </c>
      <c r="S198" s="237">
        <v>45</v>
      </c>
      <c r="T198" s="237">
        <v>4</v>
      </c>
      <c r="U198" s="237">
        <v>0</v>
      </c>
      <c r="V198" s="237">
        <v>1</v>
      </c>
      <c r="W198" s="237">
        <v>0</v>
      </c>
      <c r="X198" s="38"/>
      <c r="Y198" s="38"/>
      <c r="Z198" s="38"/>
      <c r="AA198" s="38"/>
      <c r="AB198" s="91"/>
      <c r="AC198" s="94">
        <f>IF(Eingabe[[#This Row],[V1]]="",IF(Eingabe[[#This Row],[Volle alternativ]]="","",Eingabe[[#This Row],[Volle alternativ]]),SUM(Eingabe[[#This Row],[V1]:[V4]]))</f>
        <v>356</v>
      </c>
      <c r="AD198" s="6">
        <f>IF(Eingabe[[#This Row],[R1]]="",IF(Eingabe[[#This Row],[Räumer alternativ]]="","",Eingabe[[#This Row],[Räumer alternativ]]),SUM(Eingabe[[#This Row],[R1]:[R4]]))</f>
        <v>186</v>
      </c>
      <c r="AE198" s="6">
        <f>IF(Eingabe[[#This Row],[F1]]="",IF(Eingabe[[#This Row],[Fehler alternativ]]="","",Eingabe[[#This Row],[Fehler alternativ]]),SUM(Eingabe[[#This Row],[F1]:[F4]]))</f>
        <v>5</v>
      </c>
      <c r="AF198" s="6">
        <f>IF(Eingabe[[#This Row],[Volle]]="","",IF(Eingabe[[#This Row],[S1]]="",Eingabe[[#This Row],[Volle]]+Eingabe[[#This Row],[Räumer]],IF(Eingabe[[#This Row],[Volle]]+Eingabe[[#This Row],[Räumer]]=Eingabe[[#This Row],[S1]]+Eingabe[[#This Row],[S2]]+Eingabe[[#This Row],[S3]]+Eingabe[[#This Row],[S4]],Eingabe[[#This Row],[Volle]]+Eingabe[[#This Row],[Räumer]],"FEHLER")))</f>
        <v>542</v>
      </c>
      <c r="AG198" s="6">
        <f>IF(Eingabe[[#This Row],[V1]]="","",Eingabe[[#This Row],[V1]]+Eingabe[[#This Row],[R1]])</f>
        <v>132</v>
      </c>
      <c r="AH198" s="6">
        <f>IF(Eingabe[[#This Row],[V2]]="","",Eingabe[[#This Row],[V2]]+Eingabe[[#This Row],[R2]])</f>
        <v>137</v>
      </c>
      <c r="AI198" s="6">
        <f>IF(Eingabe[[#This Row],[V3]]="","",Eingabe[[#This Row],[V3]]+Eingabe[[#This Row],[R3]])</f>
        <v>139</v>
      </c>
      <c r="AJ198" s="6">
        <f>IF(Eingabe[[#This Row],[V4]]="","",Eingabe[[#This Row],[V4]]+Eingabe[[#This Row],[R4]])</f>
        <v>134</v>
      </c>
      <c r="AK198" s="6" t="str">
        <f>IF(Eingabe[[#This Row],[S1P]]="","",Eingabe[[#This Row],[S1P]]+Eingabe[[#This Row],[S2P]]+Eingabe[[#This Row],[S3P]]+Eingabe[[#This Row],[S4P]])</f>
        <v/>
      </c>
      <c r="AL198" s="6" t="str">
        <f>IF(Eingabe[[#This Row],[S1P]]="","",IF(Eingabe[[#This Row],[SP]]&gt;2,1,IF(Eingabe[[#This Row],[SP]]&lt;2,0,IF(Eingabe[[#This Row],[GES]]&gt;Eingabe[[#This Row],[GEGGES]],1,IF(Eingabe[[#This Row],[GES]]=Eingabe[[#This Row],[GEGGES]],0.5,0)))))</f>
        <v/>
      </c>
      <c r="AM198" s="6" t="str">
        <f>IF(Eingabe[[#This Row],[MP]]="","",MOD(ROW(Eingabe[[#This Row],[Position]])-3,6)+1)</f>
        <v/>
      </c>
      <c r="AN198" s="6">
        <f>STANDARDIZE(Eingabe[[#This Row],[GES]],Eingabe[[#This Row],[Schnitt]],VLOOKUP(Eingabe[[#This Row],[Name]],AuswertungG[],21,FALSE))</f>
        <v>1.7</v>
      </c>
      <c r="AO198" s="6">
        <f>VLOOKUP(Eingabe[[#This Row],[ID]],Chronologie[[ID]:[KW]],12,FALSE)</f>
        <v>0</v>
      </c>
      <c r="AP198" s="95" t="str">
        <f>IF(Eingabe[[#This Row],[Wo]]="H",Eingabe[[#This Row],[Gegner]]&amp;" ["&amp;Eingabe[[#This Row],[Wo]]&amp;"]",Eingabe[[#This Row],[Ort]])</f>
        <v>Pirna</v>
      </c>
      <c r="AQ198" s="6" t="str">
        <f>IFERROR(IF(Eingabe[[#This Row],[Wo]]="H",IF(MOD(Eingabe[[#This Row],[Position]],2)=1,Eingabe[[#This Row],[S1]],Eingabe[[#This Row],[S4]]),""),"")</f>
        <v/>
      </c>
      <c r="AR198" s="6" t="str">
        <f>IFERROR(IF(Eingabe[[#This Row],[Wo]]="H",IF(Eingabe[[#This Row],[S1]]&gt;0,IF(MOD(Eingabe[[#This Row],[Position]],2)=1,Eingabe[[#This Row],[S2]],Eingabe[[#This Row],[S3]]),""),""),"")</f>
        <v/>
      </c>
      <c r="AS198" s="6" t="str">
        <f>IFERROR(IF(Eingabe[[#This Row],[Wo]]="H",IF(Eingabe[[#This Row],[S1]]&gt;0,IF(MOD(ROW(Eingabe[[#This Row],[Heimbahn 3]]),2)=1,Eingabe[[#This Row],[S4]],Eingabe[[#This Row],[S1]]),""),""),"")</f>
        <v/>
      </c>
      <c r="AT198" s="6" t="str">
        <f>IFERROR(IF(Eingabe[[#This Row],[Wo]]="H",IF(Eingabe[[#This Row],[S1]]&gt;0,IF(MOD(ROW(Eingabe[[#This Row],[Heimbahn 4]]),2)=1,Eingabe[[#This Row],[S3]],Eingabe[[#This Row],[S2]]),""),""),"")</f>
        <v/>
      </c>
      <c r="AU198" s="22">
        <f>IF(Eingabe[[#This Row],[GES]]="","",IF(Eingabe[[#This Row],[Modus]]="L",_xlfn.RANK.EQ(Eingabe[[#This Row],[GES]],AF195:AF200),IF(Eingabe[[#This Row],[Modus]]="P",_xlfn.RANK.EQ(Eingabe[[#This Row],[GES]],AF195:AF200),"")))</f>
        <v>1</v>
      </c>
      <c r="AV198" s="6">
        <f>VLOOKUP(Eingabe[[#This Row],[Name]],AuswertungG[],8,FALSE)</f>
        <v>508</v>
      </c>
      <c r="AZ198" s="6">
        <f>IFERROR(ABS(Eingabe[[#This Row],[GES]]-Eingabe[[#This Row],[GEGGES]]),"")</f>
        <v>542</v>
      </c>
    </row>
    <row r="199" spans="1:52" ht="16.2" hidden="1" thickBot="1" x14ac:dyDescent="0.35">
      <c r="A199" s="441"/>
      <c r="B199" s="21">
        <f t="shared" si="34"/>
        <v>33</v>
      </c>
      <c r="C199" s="6" t="str">
        <f>VLOOKUP($B199,Chronologie[],7,TRUE)</f>
        <v>SV Fortschritt Pirna</v>
      </c>
      <c r="D199" s="6" t="str">
        <f>VLOOKUP($B199,Chronologie[],8,TRUE)</f>
        <v>Pirna</v>
      </c>
      <c r="E199" s="240" t="str">
        <f>VLOOKUP($B199,Chronologie[],9,TRUE)</f>
        <v>A</v>
      </c>
      <c r="F199" s="6" t="str">
        <f>VLOOKUP($B199,Chronologie[],COLUMN(F200)-2,TRUE)</f>
        <v>U19</v>
      </c>
      <c r="G199" s="6" t="str">
        <f>VLOOKUP($B199,Chronologie[],COLUMN(G200)-2,TRUE)</f>
        <v>L</v>
      </c>
      <c r="H199" s="6">
        <f>VLOOKUP($B199,Chronologie[],COLUMN(H200)-2,TRUE)</f>
        <v>1</v>
      </c>
      <c r="I199" s="10" t="str">
        <f>VLOOKUP($B199,Chronologie[],2,TRUE)</f>
        <v>U19-L-1</v>
      </c>
      <c r="J199" s="243">
        <f>VLOOKUP($B199,Chronologie[],3,TRUE)</f>
        <v>45892</v>
      </c>
      <c r="K199" s="237"/>
      <c r="L199" s="237"/>
      <c r="M199" s="237"/>
      <c r="N199" s="237"/>
      <c r="O199" s="237"/>
      <c r="P199" s="237"/>
      <c r="Q199" s="237"/>
      <c r="R199" s="237"/>
      <c r="S199" s="237"/>
      <c r="T199" s="237"/>
      <c r="U199" s="237"/>
      <c r="V199" s="237"/>
      <c r="W199" s="237"/>
      <c r="X199" s="38"/>
      <c r="Y199" s="38"/>
      <c r="Z199" s="38"/>
      <c r="AA199" s="38"/>
      <c r="AB199" s="91"/>
      <c r="AC199" s="94" t="str">
        <f>IF(Eingabe[[#This Row],[V1]]="",IF(Eingabe[[#This Row],[Volle alternativ]]="","",Eingabe[[#This Row],[Volle alternativ]]),SUM(Eingabe[[#This Row],[V1]:[V4]]))</f>
        <v/>
      </c>
      <c r="AD199" s="6" t="str">
        <f>IF(Eingabe[[#This Row],[R1]]="",IF(Eingabe[[#This Row],[Räumer alternativ]]="","",Eingabe[[#This Row],[Räumer alternativ]]),SUM(Eingabe[[#This Row],[R1]:[R4]]))</f>
        <v/>
      </c>
      <c r="AE199" s="6" t="str">
        <f>IF(Eingabe[[#This Row],[F1]]="",IF(Eingabe[[#This Row],[Fehler alternativ]]="","",Eingabe[[#This Row],[Fehler alternativ]]),SUM(Eingabe[[#This Row],[F1]:[F4]]))</f>
        <v/>
      </c>
      <c r="AF199" s="6" t="str">
        <f>IF(Eingabe[[#This Row],[Volle]]="","",IF(Eingabe[[#This Row],[S1]]="",Eingabe[[#This Row],[Volle]]+Eingabe[[#This Row],[Räumer]],IF(Eingabe[[#This Row],[Volle]]+Eingabe[[#This Row],[Räumer]]=Eingabe[[#This Row],[S1]]+Eingabe[[#This Row],[S2]]+Eingabe[[#This Row],[S3]]+Eingabe[[#This Row],[S4]],Eingabe[[#This Row],[Volle]]+Eingabe[[#This Row],[Räumer]],"FEHLER")))</f>
        <v/>
      </c>
      <c r="AG199" s="6" t="str">
        <f>IF(Eingabe[[#This Row],[V1]]="","",Eingabe[[#This Row],[V1]]+Eingabe[[#This Row],[R1]])</f>
        <v/>
      </c>
      <c r="AH199" s="6" t="str">
        <f>IF(Eingabe[[#This Row],[V2]]="","",Eingabe[[#This Row],[V2]]+Eingabe[[#This Row],[R2]])</f>
        <v/>
      </c>
      <c r="AI199" s="6" t="str">
        <f>IF(Eingabe[[#This Row],[V3]]="","",Eingabe[[#This Row],[V3]]+Eingabe[[#This Row],[R3]])</f>
        <v/>
      </c>
      <c r="AJ199" s="6" t="str">
        <f>IF(Eingabe[[#This Row],[V4]]="","",Eingabe[[#This Row],[V4]]+Eingabe[[#This Row],[R4]])</f>
        <v/>
      </c>
      <c r="AK199" s="6" t="str">
        <f>IF(Eingabe[[#This Row],[S1P]]="","",Eingabe[[#This Row],[S1P]]+Eingabe[[#This Row],[S2P]]+Eingabe[[#This Row],[S3P]]+Eingabe[[#This Row],[S4P]])</f>
        <v/>
      </c>
      <c r="AL199" s="6" t="str">
        <f>IF(Eingabe[[#This Row],[S1P]]="","",IF(Eingabe[[#This Row],[SP]]&gt;2,1,IF(Eingabe[[#This Row],[SP]]&lt;2,0,IF(Eingabe[[#This Row],[GES]]&gt;Eingabe[[#This Row],[GEGGES]],1,IF(Eingabe[[#This Row],[GES]]=Eingabe[[#This Row],[GEGGES]],0.5,0)))))</f>
        <v/>
      </c>
      <c r="AM199" s="6" t="str">
        <f>IF(Eingabe[[#This Row],[MP]]="","",MOD(ROW(Eingabe[[#This Row],[Position]])-3,6)+1)</f>
        <v/>
      </c>
      <c r="AN199" s="6" t="e">
        <f>STANDARDIZE(Eingabe[[#This Row],[GES]],Eingabe[[#This Row],[Schnitt]],VLOOKUP(Eingabe[[#This Row],[Name]],AuswertungG[],21,FALSE))</f>
        <v>#VALUE!</v>
      </c>
      <c r="AO199" s="6">
        <f>VLOOKUP(Eingabe[[#This Row],[ID]],Chronologie[[ID]:[KW]],12,FALSE)</f>
        <v>0</v>
      </c>
      <c r="AP199" s="95" t="str">
        <f>IF(Eingabe[[#This Row],[Wo]]="H",Eingabe[[#This Row],[Gegner]]&amp;" ["&amp;Eingabe[[#This Row],[Wo]]&amp;"]",Eingabe[[#This Row],[Ort]])</f>
        <v>Pirna</v>
      </c>
      <c r="AQ199" s="6" t="str">
        <f>IFERROR(IF(Eingabe[[#This Row],[Wo]]="H",IF(MOD(Eingabe[[#This Row],[Position]],2)=1,Eingabe[[#This Row],[S1]],Eingabe[[#This Row],[S4]]),""),"")</f>
        <v/>
      </c>
      <c r="AR199" s="6" t="str">
        <f>IFERROR(IF(Eingabe[[#This Row],[Wo]]="H",IF(Eingabe[[#This Row],[S1]]&gt;0,IF(MOD(Eingabe[[#This Row],[Position]],2)=1,Eingabe[[#This Row],[S2]],Eingabe[[#This Row],[S3]]),""),""),"")</f>
        <v/>
      </c>
      <c r="AS199" s="6" t="str">
        <f>IFERROR(IF(Eingabe[[#This Row],[Wo]]="H",IF(Eingabe[[#This Row],[S1]]&gt;0,IF(MOD(ROW(Eingabe[[#This Row],[Heimbahn 3]]),2)=1,Eingabe[[#This Row],[S4]],Eingabe[[#This Row],[S1]]),""),""),"")</f>
        <v/>
      </c>
      <c r="AT199" s="6" t="str">
        <f>IFERROR(IF(Eingabe[[#This Row],[Wo]]="H",IF(Eingabe[[#This Row],[S1]]&gt;0,IF(MOD(ROW(Eingabe[[#This Row],[Heimbahn 4]]),2)=1,Eingabe[[#This Row],[S3]],Eingabe[[#This Row],[S2]]),""),""),"")</f>
        <v/>
      </c>
      <c r="AU199" s="22" t="str">
        <f>IF(Eingabe[[#This Row],[GES]]="","",IF(Eingabe[[#This Row],[Modus]]="L",_xlfn.RANK.EQ(Eingabe[[#This Row],[GES]],AF195:AF200),IF(Eingabe[[#This Row],[Modus]]="P",_xlfn.RANK.EQ(Eingabe[[#This Row],[GES]],AF195:AF200),"")))</f>
        <v/>
      </c>
      <c r="AV199" s="6" t="e">
        <f>VLOOKUP(Eingabe[[#This Row],[Name]],AuswertungG[],8,FALSE)</f>
        <v>#N/A</v>
      </c>
      <c r="AZ199" s="6" t="str">
        <f>IFERROR(ABS(Eingabe[[#This Row],[GES]]-Eingabe[[#This Row],[GEGGES]]),"")</f>
        <v/>
      </c>
    </row>
    <row r="200" spans="1:52" ht="16.2" hidden="1" thickBot="1" x14ac:dyDescent="0.35">
      <c r="A200" s="442"/>
      <c r="B200" s="56">
        <f t="shared" si="34"/>
        <v>33</v>
      </c>
      <c r="C200" s="23" t="str">
        <f>VLOOKUP($B200,Chronologie[],7,TRUE)</f>
        <v>SV Fortschritt Pirna</v>
      </c>
      <c r="D200" s="23" t="str">
        <f>VLOOKUP($B200,Chronologie[],8,TRUE)</f>
        <v>Pirna</v>
      </c>
      <c r="E200" s="39" t="str">
        <f>VLOOKUP($B200,Chronologie[],9,TRUE)</f>
        <v>A</v>
      </c>
      <c r="F200" s="23" t="str">
        <f>VLOOKUP($B200,Chronologie[],COLUMN(F201)-2,TRUE)</f>
        <v>U19</v>
      </c>
      <c r="G200" s="23" t="str">
        <f>VLOOKUP($B200,Chronologie[],COLUMN(G201)-2,TRUE)</f>
        <v>L</v>
      </c>
      <c r="H200" s="23">
        <f>VLOOKUP($B200,Chronologie[],COLUMN(H201)-2,TRUE)</f>
        <v>1</v>
      </c>
      <c r="I200" s="13" t="str">
        <f>VLOOKUP($B200,Chronologie[],2,TRUE)</f>
        <v>U19-L-1</v>
      </c>
      <c r="J200" s="244">
        <f>VLOOKUP($B200,Chronologie[],3,TRUE)</f>
        <v>45892</v>
      </c>
      <c r="K200" s="239"/>
      <c r="L200" s="239"/>
      <c r="M200" s="239"/>
      <c r="N200" s="239"/>
      <c r="O200" s="239"/>
      <c r="P200" s="239"/>
      <c r="Q200" s="239"/>
      <c r="R200" s="239"/>
      <c r="S200" s="239"/>
      <c r="T200" s="239"/>
      <c r="U200" s="239"/>
      <c r="V200" s="239"/>
      <c r="W200" s="239"/>
      <c r="X200" s="40"/>
      <c r="Y200" s="40"/>
      <c r="Z200" s="40"/>
      <c r="AA200" s="40"/>
      <c r="AB200" s="92"/>
      <c r="AC200" s="96" t="str">
        <f>IF(Eingabe[[#This Row],[V1]]="",IF(Eingabe[[#This Row],[Volle alternativ]]="","",Eingabe[[#This Row],[Volle alternativ]]),SUM(Eingabe[[#This Row],[V1]:[V4]]))</f>
        <v/>
      </c>
      <c r="AD200" s="23" t="str">
        <f>IF(Eingabe[[#This Row],[R1]]="",IF(Eingabe[[#This Row],[Räumer alternativ]]="","",Eingabe[[#This Row],[Räumer alternativ]]),SUM(Eingabe[[#This Row],[R1]:[R4]]))</f>
        <v/>
      </c>
      <c r="AE200" s="23" t="str">
        <f>IF(Eingabe[[#This Row],[F1]]="",IF(Eingabe[[#This Row],[Fehler alternativ]]="","",Eingabe[[#This Row],[Fehler alternativ]]),SUM(Eingabe[[#This Row],[F1]:[F4]]))</f>
        <v/>
      </c>
      <c r="AF200" s="23" t="str">
        <f>IF(Eingabe[[#This Row],[Volle]]="","",IF(Eingabe[[#This Row],[S1]]="",Eingabe[[#This Row],[Volle]]+Eingabe[[#This Row],[Räumer]],IF(Eingabe[[#This Row],[Volle]]+Eingabe[[#This Row],[Räumer]]=Eingabe[[#This Row],[S1]]+Eingabe[[#This Row],[S2]]+Eingabe[[#This Row],[S3]]+Eingabe[[#This Row],[S4]],Eingabe[[#This Row],[Volle]]+Eingabe[[#This Row],[Räumer]],"FEHLER")))</f>
        <v/>
      </c>
      <c r="AG200" s="23" t="str">
        <f>IF(Eingabe[[#This Row],[V1]]="","",Eingabe[[#This Row],[V1]]+Eingabe[[#This Row],[R1]])</f>
        <v/>
      </c>
      <c r="AH200" s="23" t="str">
        <f>IF(Eingabe[[#This Row],[V2]]="","",Eingabe[[#This Row],[V2]]+Eingabe[[#This Row],[R2]])</f>
        <v/>
      </c>
      <c r="AI200" s="23" t="str">
        <f>IF(Eingabe[[#This Row],[V3]]="","",Eingabe[[#This Row],[V3]]+Eingabe[[#This Row],[R3]])</f>
        <v/>
      </c>
      <c r="AJ200" s="23" t="str">
        <f>IF(Eingabe[[#This Row],[V4]]="","",Eingabe[[#This Row],[V4]]+Eingabe[[#This Row],[R4]])</f>
        <v/>
      </c>
      <c r="AK200" s="23" t="str">
        <f>IF(Eingabe[[#This Row],[S1P]]="","",Eingabe[[#This Row],[S1P]]+Eingabe[[#This Row],[S2P]]+Eingabe[[#This Row],[S3P]]+Eingabe[[#This Row],[S4P]])</f>
        <v/>
      </c>
      <c r="AL200" s="23" t="str">
        <f>IF(Eingabe[[#This Row],[S1P]]="","",IF(Eingabe[[#This Row],[SP]]&gt;2,1,IF(Eingabe[[#This Row],[SP]]&lt;2,0,IF(Eingabe[[#This Row],[GES]]&gt;Eingabe[[#This Row],[GEGGES]],1,IF(Eingabe[[#This Row],[GES]]=Eingabe[[#This Row],[GEGGES]],0.5,0)))))</f>
        <v/>
      </c>
      <c r="AM200" s="23" t="str">
        <f>IF(Eingabe[[#This Row],[MP]]="","",MOD(ROW(Eingabe[[#This Row],[Position]])-3,6)+1)</f>
        <v/>
      </c>
      <c r="AN200" s="23" t="e">
        <f>STANDARDIZE(Eingabe[[#This Row],[GES]],Eingabe[[#This Row],[Schnitt]],VLOOKUP(Eingabe[[#This Row],[Name]],AuswertungG[],21,FALSE))</f>
        <v>#VALUE!</v>
      </c>
      <c r="AO200" s="23">
        <f>VLOOKUP(Eingabe[[#This Row],[ID]],Chronologie[[ID]:[KW]],12,FALSE)</f>
        <v>0</v>
      </c>
      <c r="AP200" s="59" t="str">
        <f>IF(Eingabe[[#This Row],[Wo]]="H",Eingabe[[#This Row],[Gegner]]&amp;" ["&amp;Eingabe[[#This Row],[Wo]]&amp;"]",Eingabe[[#This Row],[Ort]])</f>
        <v>Pirna</v>
      </c>
      <c r="AQ200" s="23" t="str">
        <f>IFERROR(IF(Eingabe[[#This Row],[Wo]]="H",IF(MOD(Eingabe[[#This Row],[Position]],2)=1,Eingabe[[#This Row],[S1]],Eingabe[[#This Row],[S4]]),""),"")</f>
        <v/>
      </c>
      <c r="AR200" s="23" t="str">
        <f>IFERROR(IF(Eingabe[[#This Row],[Wo]]="H",IF(Eingabe[[#This Row],[S1]]&gt;0,IF(MOD(Eingabe[[#This Row],[Position]],2)=1,Eingabe[[#This Row],[S2]],Eingabe[[#This Row],[S3]]),""),""),"")</f>
        <v/>
      </c>
      <c r="AS200" s="23" t="str">
        <f>IFERROR(IF(Eingabe[[#This Row],[Wo]]="H",IF(Eingabe[[#This Row],[S1]]&gt;0,IF(MOD(ROW(Eingabe[[#This Row],[Heimbahn 3]]),2)=1,Eingabe[[#This Row],[S4]],Eingabe[[#This Row],[S1]]),""),""),"")</f>
        <v/>
      </c>
      <c r="AT200" s="23" t="str">
        <f>IFERROR(IF(Eingabe[[#This Row],[Wo]]="H",IF(Eingabe[[#This Row],[S1]]&gt;0,IF(MOD(ROW(Eingabe[[#This Row],[Heimbahn 4]]),2)=1,Eingabe[[#This Row],[S3]],Eingabe[[#This Row],[S2]]),""),""),"")</f>
        <v/>
      </c>
      <c r="AU200" s="89" t="str">
        <f>IF(Eingabe[[#This Row],[GES]]="","",IF(Eingabe[[#This Row],[Modus]]="L",_xlfn.RANK.EQ(Eingabe[[#This Row],[GES]],AF195:AF200),IF(Eingabe[[#This Row],[Modus]]="P",_xlfn.RANK.EQ(Eingabe[[#This Row],[GES]],AF195:AF200),"")))</f>
        <v/>
      </c>
      <c r="AV200" s="6" t="e">
        <f>VLOOKUP(Eingabe[[#This Row],[Name]],AuswertungG[],8,FALSE)</f>
        <v>#N/A</v>
      </c>
      <c r="AZ200" s="6" t="str">
        <f>IFERROR(ABS(Eingabe[[#This Row],[GES]]-Eingabe[[#This Row],[GEGGES]]),"")</f>
        <v/>
      </c>
    </row>
    <row r="201" spans="1:52" ht="16.2" hidden="1" thickBot="1" x14ac:dyDescent="0.35">
      <c r="A201" s="440">
        <f t="shared" ref="A201" si="35">B201</f>
        <v>34</v>
      </c>
      <c r="B201" s="55">
        <f t="shared" si="34"/>
        <v>34</v>
      </c>
      <c r="C201" s="35" t="str">
        <f>VLOOKUP($B201,Chronologie[],7,TRUE)</f>
        <v>MSV Bautzen 04</v>
      </c>
      <c r="D201" s="35" t="str">
        <f>VLOOKUP($B201,Chronologie[],8,TRUE)</f>
        <v>Bautzen</v>
      </c>
      <c r="E201" s="36" t="str">
        <f>VLOOKUP($B201,Chronologie[],9,TRUE)</f>
        <v>A</v>
      </c>
      <c r="F201" s="35" t="str">
        <f>VLOOKUP($B201,Chronologie[],COLUMN(F202)-2,TRUE)</f>
        <v>U19</v>
      </c>
      <c r="G201" s="35" t="str">
        <f>VLOOKUP($B201,Chronologie[],COLUMN(G202)-2,TRUE)</f>
        <v>L</v>
      </c>
      <c r="H201" s="35">
        <f>VLOOKUP($B201,Chronologie[],COLUMN(H202)-2,TRUE)</f>
        <v>2</v>
      </c>
      <c r="I201" s="9" t="str">
        <f>VLOOKUP($B201,Chronologie[],2,TRUE)</f>
        <v>U19-L-2</v>
      </c>
      <c r="J201" s="242">
        <f>VLOOKUP($B201,Chronologie[],3,TRUE)</f>
        <v>45899</v>
      </c>
      <c r="K201" s="236" t="s">
        <v>458</v>
      </c>
      <c r="L201" s="334">
        <v>94</v>
      </c>
      <c r="M201" s="334">
        <v>87</v>
      </c>
      <c r="N201" s="334">
        <v>83</v>
      </c>
      <c r="O201" s="334">
        <v>86</v>
      </c>
      <c r="P201" s="334">
        <v>25</v>
      </c>
      <c r="Q201" s="334">
        <v>18</v>
      </c>
      <c r="R201" s="334">
        <v>35</v>
      </c>
      <c r="S201" s="334">
        <v>49</v>
      </c>
      <c r="T201" s="334">
        <v>5</v>
      </c>
      <c r="U201" s="334">
        <v>7</v>
      </c>
      <c r="V201" s="334">
        <v>3</v>
      </c>
      <c r="W201" s="334">
        <v>2</v>
      </c>
      <c r="X201" s="37"/>
      <c r="Y201" s="37"/>
      <c r="Z201" s="37"/>
      <c r="AA201" s="37"/>
      <c r="AB201" s="90"/>
      <c r="AC201" s="93">
        <f>IF(Eingabe[[#This Row],[V1]]="",IF(Eingabe[[#This Row],[Volle alternativ]]="","",Eingabe[[#This Row],[Volle alternativ]]),SUM(Eingabe[[#This Row],[V1]:[V4]]))</f>
        <v>350</v>
      </c>
      <c r="AD201" s="35">
        <f>IF(Eingabe[[#This Row],[R1]]="",IF(Eingabe[[#This Row],[Räumer alternativ]]="","",Eingabe[[#This Row],[Räumer alternativ]]),SUM(Eingabe[[#This Row],[R1]:[R4]]))</f>
        <v>127</v>
      </c>
      <c r="AE201" s="35">
        <f>IF(Eingabe[[#This Row],[F1]]="",IF(Eingabe[[#This Row],[Fehler alternativ]]="","",Eingabe[[#This Row],[Fehler alternativ]]),SUM(Eingabe[[#This Row],[F1]:[F4]]))</f>
        <v>17</v>
      </c>
      <c r="AF201" s="35">
        <f>IF(Eingabe[[#This Row],[Volle]]="","",IF(Eingabe[[#This Row],[S1]]="",Eingabe[[#This Row],[Volle]]+Eingabe[[#This Row],[Räumer]],IF(Eingabe[[#This Row],[Volle]]+Eingabe[[#This Row],[Räumer]]=Eingabe[[#This Row],[S1]]+Eingabe[[#This Row],[S2]]+Eingabe[[#This Row],[S3]]+Eingabe[[#This Row],[S4]],Eingabe[[#This Row],[Volle]]+Eingabe[[#This Row],[Räumer]],"FEHLER")))</f>
        <v>477</v>
      </c>
      <c r="AG201" s="35">
        <f>IF(Eingabe[[#This Row],[V1]]="","",Eingabe[[#This Row],[V1]]+Eingabe[[#This Row],[R1]])</f>
        <v>119</v>
      </c>
      <c r="AH201" s="35">
        <f>IF(Eingabe[[#This Row],[V2]]="","",Eingabe[[#This Row],[V2]]+Eingabe[[#This Row],[R2]])</f>
        <v>105</v>
      </c>
      <c r="AI201" s="35">
        <f>IF(Eingabe[[#This Row],[V3]]="","",Eingabe[[#This Row],[V3]]+Eingabe[[#This Row],[R3]])</f>
        <v>118</v>
      </c>
      <c r="AJ201" s="35">
        <f>IF(Eingabe[[#This Row],[V4]]="","",Eingabe[[#This Row],[V4]]+Eingabe[[#This Row],[R4]])</f>
        <v>135</v>
      </c>
      <c r="AK201" s="35" t="str">
        <f>IF(Eingabe[[#This Row],[S1P]]="","",Eingabe[[#This Row],[S1P]]+Eingabe[[#This Row],[S2P]]+Eingabe[[#This Row],[S3P]]+Eingabe[[#This Row],[S4P]])</f>
        <v/>
      </c>
      <c r="AL201" s="35" t="str">
        <f>IF(Eingabe[[#This Row],[S1P]]="","",IF(Eingabe[[#This Row],[SP]]&gt;2,1,IF(Eingabe[[#This Row],[SP]]&lt;2,0,IF(Eingabe[[#This Row],[GES]]&gt;Eingabe[[#This Row],[GEGGES]],1,IF(Eingabe[[#This Row],[GES]]=Eingabe[[#This Row],[GEGGES]],0.5,0)))))</f>
        <v/>
      </c>
      <c r="AM201" s="35" t="str">
        <f>IF(Eingabe[[#This Row],[MP]]="","",MOD(ROW(Eingabe[[#This Row],[Position]])-3,6)+1)</f>
        <v/>
      </c>
      <c r="AN201" s="35">
        <f>STANDARDIZE(Eingabe[[#This Row],[GES]],Eingabe[[#This Row],[Schnitt]],VLOOKUP(Eingabe[[#This Row],[Name]],AuswertungG[],21,FALSE))</f>
        <v>-1.55</v>
      </c>
      <c r="AO201" s="35">
        <f>VLOOKUP(Eingabe[[#This Row],[ID]],Chronologie[[ID]:[KW]],12,FALSE)</f>
        <v>1</v>
      </c>
      <c r="AP201" s="58" t="str">
        <f>IF(Eingabe[[#This Row],[Wo]]="H",Eingabe[[#This Row],[Gegner]]&amp;" ["&amp;Eingabe[[#This Row],[Wo]]&amp;"]",Eingabe[[#This Row],[Ort]])</f>
        <v>Bautzen</v>
      </c>
      <c r="AQ201" s="35" t="str">
        <f>IFERROR(IF(Eingabe[[#This Row],[Wo]]="H",IF(MOD(Eingabe[[#This Row],[Position]],2)=1,Eingabe[[#This Row],[S1]],Eingabe[[#This Row],[S4]]),""),"")</f>
        <v/>
      </c>
      <c r="AR201" s="35" t="str">
        <f>IFERROR(IF(Eingabe[[#This Row],[Wo]]="H",IF(Eingabe[[#This Row],[S1]]&gt;0,IF(MOD(Eingabe[[#This Row],[Position]],2)=1,Eingabe[[#This Row],[S2]],Eingabe[[#This Row],[S3]]),""),""),"")</f>
        <v/>
      </c>
      <c r="AS201" s="35" t="str">
        <f>IFERROR(IF(Eingabe[[#This Row],[Wo]]="H",IF(Eingabe[[#This Row],[S1]]&gt;0,IF(MOD(ROW(Eingabe[[#This Row],[Heimbahn 3]]),2)=1,Eingabe[[#This Row],[S4]],Eingabe[[#This Row],[S1]]),""),""),"")</f>
        <v/>
      </c>
      <c r="AT201" s="35" t="str">
        <f>IFERROR(IF(Eingabe[[#This Row],[Wo]]="H",IF(Eingabe[[#This Row],[S1]]&gt;0,IF(MOD(ROW(Eingabe[[#This Row],[Heimbahn 4]]),2)=1,Eingabe[[#This Row],[S3]],Eingabe[[#This Row],[S2]]),""),""),"")</f>
        <v/>
      </c>
      <c r="AU201" s="88">
        <f>IF(Eingabe[[#This Row],[GES]]="","",IF(Eingabe[[#This Row],[Modus]]="L",_xlfn.RANK.EQ(Eingabe[[#This Row],[GES]],AF201:AF206),IF(Eingabe[[#This Row],[Modus]]="P",_xlfn.RANK.EQ(Eingabe[[#This Row],[GES]],AF201:AF206),"")))</f>
        <v>2</v>
      </c>
      <c r="AV201" s="6">
        <f>VLOOKUP(Eingabe[[#This Row],[Name]],AuswertungG[],8,FALSE)</f>
        <v>508</v>
      </c>
      <c r="AZ201" s="6">
        <f>IFERROR(ABS(Eingabe[[#This Row],[GES]]-Eingabe[[#This Row],[GEGGES]]),"")</f>
        <v>477</v>
      </c>
    </row>
    <row r="202" spans="1:52" ht="16.2" hidden="1" thickBot="1" x14ac:dyDescent="0.35">
      <c r="A202" s="441"/>
      <c r="B202" s="21">
        <f t="shared" si="34"/>
        <v>34</v>
      </c>
      <c r="C202" s="6" t="str">
        <f>VLOOKUP($B202,Chronologie[],7,TRUE)</f>
        <v>MSV Bautzen 04</v>
      </c>
      <c r="D202" s="6" t="str">
        <f>VLOOKUP($B202,Chronologie[],8,TRUE)</f>
        <v>Bautzen</v>
      </c>
      <c r="E202" s="240" t="str">
        <f>VLOOKUP($B202,Chronologie[],9,TRUE)</f>
        <v>A</v>
      </c>
      <c r="F202" s="6" t="str">
        <f>VLOOKUP($B202,Chronologie[],COLUMN(F203)-2,TRUE)</f>
        <v>U19</v>
      </c>
      <c r="G202" s="6" t="str">
        <f>VLOOKUP($B202,Chronologie[],COLUMN(G203)-2,TRUE)</f>
        <v>L</v>
      </c>
      <c r="H202" s="6">
        <f>VLOOKUP($B202,Chronologie[],COLUMN(H203)-2,TRUE)</f>
        <v>2</v>
      </c>
      <c r="I202" s="10" t="str">
        <f>VLOOKUP($B202,Chronologie[],2,TRUE)</f>
        <v>U19-L-2</v>
      </c>
      <c r="J202" s="243">
        <f>VLOOKUP($B202,Chronologie[],3,TRUE)</f>
        <v>45899</v>
      </c>
      <c r="K202" s="237" t="s">
        <v>474</v>
      </c>
      <c r="L202" s="237">
        <v>88</v>
      </c>
      <c r="M202" s="237">
        <v>92</v>
      </c>
      <c r="N202" s="237">
        <v>86</v>
      </c>
      <c r="O202" s="237">
        <v>70</v>
      </c>
      <c r="P202" s="237">
        <v>44</v>
      </c>
      <c r="Q202" s="237">
        <v>43</v>
      </c>
      <c r="R202" s="237">
        <v>17</v>
      </c>
      <c r="S202" s="237">
        <v>25</v>
      </c>
      <c r="T202" s="237">
        <v>3</v>
      </c>
      <c r="U202" s="237">
        <v>4</v>
      </c>
      <c r="V202" s="237">
        <v>9</v>
      </c>
      <c r="W202" s="237">
        <v>7</v>
      </c>
      <c r="X202" s="38"/>
      <c r="Y202" s="38"/>
      <c r="Z202" s="38"/>
      <c r="AA202" s="38"/>
      <c r="AB202" s="91"/>
      <c r="AC202" s="94">
        <f>IF(Eingabe[[#This Row],[V1]]="",IF(Eingabe[[#This Row],[Volle alternativ]]="","",Eingabe[[#This Row],[Volle alternativ]]),SUM(Eingabe[[#This Row],[V1]:[V4]]))</f>
        <v>336</v>
      </c>
      <c r="AD202" s="6">
        <f>IF(Eingabe[[#This Row],[R1]]="",IF(Eingabe[[#This Row],[Räumer alternativ]]="","",Eingabe[[#This Row],[Räumer alternativ]]),SUM(Eingabe[[#This Row],[R1]:[R4]]))</f>
        <v>129</v>
      </c>
      <c r="AE202" s="6">
        <f>IF(Eingabe[[#This Row],[F1]]="",IF(Eingabe[[#This Row],[Fehler alternativ]]="","",Eingabe[[#This Row],[Fehler alternativ]]),SUM(Eingabe[[#This Row],[F1]:[F4]]))</f>
        <v>23</v>
      </c>
      <c r="AF202" s="6">
        <f>IF(Eingabe[[#This Row],[Volle]]="","",IF(Eingabe[[#This Row],[S1]]="",Eingabe[[#This Row],[Volle]]+Eingabe[[#This Row],[Räumer]],IF(Eingabe[[#This Row],[Volle]]+Eingabe[[#This Row],[Räumer]]=Eingabe[[#This Row],[S1]]+Eingabe[[#This Row],[S2]]+Eingabe[[#This Row],[S3]]+Eingabe[[#This Row],[S4]],Eingabe[[#This Row],[Volle]]+Eingabe[[#This Row],[Räumer]],"FEHLER")))</f>
        <v>465</v>
      </c>
      <c r="AG202" s="6">
        <f>IF(Eingabe[[#This Row],[V1]]="","",Eingabe[[#This Row],[V1]]+Eingabe[[#This Row],[R1]])</f>
        <v>132</v>
      </c>
      <c r="AH202" s="6">
        <f>IF(Eingabe[[#This Row],[V2]]="","",Eingabe[[#This Row],[V2]]+Eingabe[[#This Row],[R2]])</f>
        <v>135</v>
      </c>
      <c r="AI202" s="6">
        <f>IF(Eingabe[[#This Row],[V3]]="","",Eingabe[[#This Row],[V3]]+Eingabe[[#This Row],[R3]])</f>
        <v>103</v>
      </c>
      <c r="AJ202" s="6">
        <f>IF(Eingabe[[#This Row],[V4]]="","",Eingabe[[#This Row],[V4]]+Eingabe[[#This Row],[R4]])</f>
        <v>95</v>
      </c>
      <c r="AK202" s="6" t="str">
        <f>IF(Eingabe[[#This Row],[S1P]]="","",Eingabe[[#This Row],[S1P]]+Eingabe[[#This Row],[S2P]]+Eingabe[[#This Row],[S3P]]+Eingabe[[#This Row],[S4P]])</f>
        <v/>
      </c>
      <c r="AL202" s="6" t="str">
        <f>IF(Eingabe[[#This Row],[S1P]]="","",IF(Eingabe[[#This Row],[SP]]&gt;2,1,IF(Eingabe[[#This Row],[SP]]&lt;2,0,IF(Eingabe[[#This Row],[GES]]&gt;Eingabe[[#This Row],[GEGGES]],1,IF(Eingabe[[#This Row],[GES]]=Eingabe[[#This Row],[GEGGES]],0.5,0)))))</f>
        <v/>
      </c>
      <c r="AM202" s="6" t="str">
        <f>IF(Eingabe[[#This Row],[MP]]="","",MOD(ROW(Eingabe[[#This Row],[Position]])-3,6)+1)</f>
        <v/>
      </c>
      <c r="AN202" s="6">
        <f>STANDARDIZE(Eingabe[[#This Row],[GES]],Eingabe[[#This Row],[Schnitt]],VLOOKUP(Eingabe[[#This Row],[Name]],AuswertungG[],21,FALSE))</f>
        <v>-1.1612903225806452</v>
      </c>
      <c r="AO202" s="6">
        <f>VLOOKUP(Eingabe[[#This Row],[ID]],Chronologie[[ID]:[KW]],12,FALSE)</f>
        <v>1</v>
      </c>
      <c r="AP202" s="95" t="str">
        <f>IF(Eingabe[[#This Row],[Wo]]="H",Eingabe[[#This Row],[Gegner]]&amp;" ["&amp;Eingabe[[#This Row],[Wo]]&amp;"]",Eingabe[[#This Row],[Ort]])</f>
        <v>Bautzen</v>
      </c>
      <c r="AQ202" s="6" t="str">
        <f>IFERROR(IF(Eingabe[[#This Row],[Wo]]="H",IF(MOD(Eingabe[[#This Row],[Position]],2)=1,Eingabe[[#This Row],[S1]],Eingabe[[#This Row],[S4]]),""),"")</f>
        <v/>
      </c>
      <c r="AR202" s="6" t="str">
        <f>IFERROR(IF(Eingabe[[#This Row],[Wo]]="H",IF(Eingabe[[#This Row],[S1]]&gt;0,IF(MOD(Eingabe[[#This Row],[Position]],2)=1,Eingabe[[#This Row],[S2]],Eingabe[[#This Row],[S3]]),""),""),"")</f>
        <v/>
      </c>
      <c r="AS202" s="6" t="str">
        <f>IFERROR(IF(Eingabe[[#This Row],[Wo]]="H",IF(Eingabe[[#This Row],[S1]]&gt;0,IF(MOD(ROW(Eingabe[[#This Row],[Heimbahn 3]]),2)=1,Eingabe[[#This Row],[S4]],Eingabe[[#This Row],[S1]]),""),""),"")</f>
        <v/>
      </c>
      <c r="AT202" s="6" t="str">
        <f>IFERROR(IF(Eingabe[[#This Row],[Wo]]="H",IF(Eingabe[[#This Row],[S1]]&gt;0,IF(MOD(ROW(Eingabe[[#This Row],[Heimbahn 4]]),2)=1,Eingabe[[#This Row],[S3]],Eingabe[[#This Row],[S2]]),""),""),"")</f>
        <v/>
      </c>
      <c r="AU202" s="22">
        <f>IF(Eingabe[[#This Row],[GES]]="","",IF(Eingabe[[#This Row],[Modus]]="L",_xlfn.RANK.EQ(Eingabe[[#This Row],[GES]],AF201:AF206),IF(Eingabe[[#This Row],[Modus]]="P",_xlfn.RANK.EQ(Eingabe[[#This Row],[GES]],AF201:AF206),"")))</f>
        <v>3</v>
      </c>
      <c r="AV202" s="6">
        <f>VLOOKUP(Eingabe[[#This Row],[Name]],AuswertungG[],8,FALSE)</f>
        <v>501</v>
      </c>
      <c r="AZ202" s="6">
        <f>IFERROR(ABS(Eingabe[[#This Row],[GES]]-Eingabe[[#This Row],[GEGGES]]),"")</f>
        <v>465</v>
      </c>
    </row>
    <row r="203" spans="1:52" ht="16.2" hidden="1" thickBot="1" x14ac:dyDescent="0.35">
      <c r="A203" s="441"/>
      <c r="B203" s="21">
        <f t="shared" si="34"/>
        <v>34</v>
      </c>
      <c r="C203" s="6" t="str">
        <f>VLOOKUP($B203,Chronologie[],7,TRUE)</f>
        <v>MSV Bautzen 04</v>
      </c>
      <c r="D203" s="6" t="str">
        <f>VLOOKUP($B203,Chronologie[],8,TRUE)</f>
        <v>Bautzen</v>
      </c>
      <c r="E203" s="240" t="str">
        <f>VLOOKUP($B203,Chronologie[],9,TRUE)</f>
        <v>A</v>
      </c>
      <c r="F203" s="6" t="str">
        <f>VLOOKUP($B203,Chronologie[],COLUMN(F204)-2,TRUE)</f>
        <v>U19</v>
      </c>
      <c r="G203" s="6" t="str">
        <f>VLOOKUP($B203,Chronologie[],COLUMN(G204)-2,TRUE)</f>
        <v>L</v>
      </c>
      <c r="H203" s="6">
        <f>VLOOKUP($B203,Chronologie[],COLUMN(H204)-2,TRUE)</f>
        <v>2</v>
      </c>
      <c r="I203" s="10" t="str">
        <f>VLOOKUP($B203,Chronologie[],2,TRUE)</f>
        <v>U19-L-2</v>
      </c>
      <c r="J203" s="243">
        <f>VLOOKUP($B203,Chronologie[],3,TRUE)</f>
        <v>45899</v>
      </c>
      <c r="K203" s="237" t="s">
        <v>485</v>
      </c>
      <c r="L203" s="237">
        <v>90</v>
      </c>
      <c r="M203" s="237">
        <v>88</v>
      </c>
      <c r="N203" s="237">
        <v>71</v>
      </c>
      <c r="O203" s="237">
        <v>66</v>
      </c>
      <c r="P203" s="237">
        <v>27</v>
      </c>
      <c r="Q203" s="237">
        <v>27</v>
      </c>
      <c r="R203" s="237">
        <v>9</v>
      </c>
      <c r="S203" s="237">
        <v>25</v>
      </c>
      <c r="T203" s="237">
        <v>4</v>
      </c>
      <c r="U203" s="237">
        <v>4</v>
      </c>
      <c r="V203" s="237">
        <v>10</v>
      </c>
      <c r="W203" s="237">
        <v>6</v>
      </c>
      <c r="X203" s="38"/>
      <c r="Y203" s="38"/>
      <c r="Z203" s="38"/>
      <c r="AA203" s="38"/>
      <c r="AB203" s="91"/>
      <c r="AC203" s="94">
        <f>IF(Eingabe[[#This Row],[V1]]="",IF(Eingabe[[#This Row],[Volle alternativ]]="","",Eingabe[[#This Row],[Volle alternativ]]),SUM(Eingabe[[#This Row],[V1]:[V4]]))</f>
        <v>315</v>
      </c>
      <c r="AD203" s="6">
        <f>IF(Eingabe[[#This Row],[R1]]="",IF(Eingabe[[#This Row],[Räumer alternativ]]="","",Eingabe[[#This Row],[Räumer alternativ]]),SUM(Eingabe[[#This Row],[R1]:[R4]]))</f>
        <v>88</v>
      </c>
      <c r="AE203" s="6">
        <f>IF(Eingabe[[#This Row],[F1]]="",IF(Eingabe[[#This Row],[Fehler alternativ]]="","",Eingabe[[#This Row],[Fehler alternativ]]),SUM(Eingabe[[#This Row],[F1]:[F4]]))</f>
        <v>24</v>
      </c>
      <c r="AF203" s="6">
        <f>IF(Eingabe[[#This Row],[Volle]]="","",IF(Eingabe[[#This Row],[S1]]="",Eingabe[[#This Row],[Volle]]+Eingabe[[#This Row],[Räumer]],IF(Eingabe[[#This Row],[Volle]]+Eingabe[[#This Row],[Räumer]]=Eingabe[[#This Row],[S1]]+Eingabe[[#This Row],[S2]]+Eingabe[[#This Row],[S3]]+Eingabe[[#This Row],[S4]],Eingabe[[#This Row],[Volle]]+Eingabe[[#This Row],[Räumer]],"FEHLER")))</f>
        <v>403</v>
      </c>
      <c r="AG203" s="6">
        <f>IF(Eingabe[[#This Row],[V1]]="","",Eingabe[[#This Row],[V1]]+Eingabe[[#This Row],[R1]])</f>
        <v>117</v>
      </c>
      <c r="AH203" s="6">
        <f>IF(Eingabe[[#This Row],[V2]]="","",Eingabe[[#This Row],[V2]]+Eingabe[[#This Row],[R2]])</f>
        <v>115</v>
      </c>
      <c r="AI203" s="6">
        <f>IF(Eingabe[[#This Row],[V3]]="","",Eingabe[[#This Row],[V3]]+Eingabe[[#This Row],[R3]])</f>
        <v>80</v>
      </c>
      <c r="AJ203" s="6">
        <f>IF(Eingabe[[#This Row],[V4]]="","",Eingabe[[#This Row],[V4]]+Eingabe[[#This Row],[R4]])</f>
        <v>91</v>
      </c>
      <c r="AK203" s="6" t="str">
        <f>IF(Eingabe[[#This Row],[S1P]]="","",Eingabe[[#This Row],[S1P]]+Eingabe[[#This Row],[S2P]]+Eingabe[[#This Row],[S3P]]+Eingabe[[#This Row],[S4P]])</f>
        <v/>
      </c>
      <c r="AL203" s="6" t="str">
        <f>IF(Eingabe[[#This Row],[S1P]]="","",IF(Eingabe[[#This Row],[SP]]&gt;2,1,IF(Eingabe[[#This Row],[SP]]&lt;2,0,IF(Eingabe[[#This Row],[GES]]&gt;Eingabe[[#This Row],[GEGGES]],1,IF(Eingabe[[#This Row],[GES]]=Eingabe[[#This Row],[GEGGES]],0.5,0)))))</f>
        <v/>
      </c>
      <c r="AM203" s="6" t="str">
        <f>IF(Eingabe[[#This Row],[MP]]="","",MOD(ROW(Eingabe[[#This Row],[Position]])-3,6)+1)</f>
        <v/>
      </c>
      <c r="AN203" s="6">
        <f>STANDARDIZE(Eingabe[[#This Row],[GES]],Eingabe[[#This Row],[Schnitt]],VLOOKUP(Eingabe[[#This Row],[Name]],AuswertungG[],21,FALSE))</f>
        <v>-2</v>
      </c>
      <c r="AO203" s="6">
        <f>VLOOKUP(Eingabe[[#This Row],[ID]],Chronologie[[ID]:[KW]],12,FALSE)</f>
        <v>1</v>
      </c>
      <c r="AP203" s="95" t="str">
        <f>IF(Eingabe[[#This Row],[Wo]]="H",Eingabe[[#This Row],[Gegner]]&amp;" ["&amp;Eingabe[[#This Row],[Wo]]&amp;"]",Eingabe[[#This Row],[Ort]])</f>
        <v>Bautzen</v>
      </c>
      <c r="AQ203" s="6" t="str">
        <f>IFERROR(IF(Eingabe[[#This Row],[Wo]]="H",IF(MOD(Eingabe[[#This Row],[Position]],2)=1,Eingabe[[#This Row],[S1]],Eingabe[[#This Row],[S4]]),""),"")</f>
        <v/>
      </c>
      <c r="AR203" s="6" t="str">
        <f>IFERROR(IF(Eingabe[[#This Row],[Wo]]="H",IF(Eingabe[[#This Row],[S1]]&gt;0,IF(MOD(Eingabe[[#This Row],[Position]],2)=1,Eingabe[[#This Row],[S2]],Eingabe[[#This Row],[S3]]),""),""),"")</f>
        <v/>
      </c>
      <c r="AS203" s="6" t="str">
        <f>IFERROR(IF(Eingabe[[#This Row],[Wo]]="H",IF(Eingabe[[#This Row],[S1]]&gt;0,IF(MOD(ROW(Eingabe[[#This Row],[Heimbahn 3]]),2)=1,Eingabe[[#This Row],[S4]],Eingabe[[#This Row],[S1]]),""),""),"")</f>
        <v/>
      </c>
      <c r="AT203" s="6" t="str">
        <f>IFERROR(IF(Eingabe[[#This Row],[Wo]]="H",IF(Eingabe[[#This Row],[S1]]&gt;0,IF(MOD(ROW(Eingabe[[#This Row],[Heimbahn 4]]),2)=1,Eingabe[[#This Row],[S3]],Eingabe[[#This Row],[S2]]),""),""),"")</f>
        <v/>
      </c>
      <c r="AU203" s="22">
        <f>IF(Eingabe[[#This Row],[GES]]="","",IF(Eingabe[[#This Row],[Modus]]="L",_xlfn.RANK.EQ(Eingabe[[#This Row],[GES]],AF201:AF206),IF(Eingabe[[#This Row],[Modus]]="P",_xlfn.RANK.EQ(Eingabe[[#This Row],[GES]],AF201:AF206),"")))</f>
        <v>4</v>
      </c>
      <c r="AV203" s="6">
        <f>VLOOKUP(Eingabe[[#This Row],[Name]],AuswertungG[],8,FALSE)</f>
        <v>461</v>
      </c>
      <c r="AZ203" s="6">
        <f>IFERROR(ABS(Eingabe[[#This Row],[GES]]-Eingabe[[#This Row],[GEGGES]]),"")</f>
        <v>403</v>
      </c>
    </row>
    <row r="204" spans="1:52" ht="16.2" hidden="1" thickBot="1" x14ac:dyDescent="0.35">
      <c r="A204" s="441"/>
      <c r="B204" s="21">
        <f t="shared" si="34"/>
        <v>34</v>
      </c>
      <c r="C204" s="6" t="str">
        <f>VLOOKUP($B204,Chronologie[],7,TRUE)</f>
        <v>MSV Bautzen 04</v>
      </c>
      <c r="D204" s="6" t="str">
        <f>VLOOKUP($B204,Chronologie[],8,TRUE)</f>
        <v>Bautzen</v>
      </c>
      <c r="E204" s="240" t="str">
        <f>VLOOKUP($B204,Chronologie[],9,TRUE)</f>
        <v>A</v>
      </c>
      <c r="F204" s="6" t="str">
        <f>VLOOKUP($B204,Chronologie[],COLUMN(F205)-2,TRUE)</f>
        <v>U19</v>
      </c>
      <c r="G204" s="6" t="str">
        <f>VLOOKUP($B204,Chronologie[],COLUMN(G205)-2,TRUE)</f>
        <v>L</v>
      </c>
      <c r="H204" s="6">
        <f>VLOOKUP($B204,Chronologie[],COLUMN(H205)-2,TRUE)</f>
        <v>2</v>
      </c>
      <c r="I204" s="10" t="str">
        <f>VLOOKUP($B204,Chronologie[],2,TRUE)</f>
        <v>U19-L-2</v>
      </c>
      <c r="J204" s="243">
        <f>VLOOKUP($B204,Chronologie[],3,TRUE)</f>
        <v>45899</v>
      </c>
      <c r="K204" s="238" t="s">
        <v>477</v>
      </c>
      <c r="L204" s="237">
        <v>89</v>
      </c>
      <c r="M204" s="237">
        <v>112</v>
      </c>
      <c r="N204" s="237">
        <v>84</v>
      </c>
      <c r="O204" s="237">
        <v>88</v>
      </c>
      <c r="P204" s="237">
        <v>33</v>
      </c>
      <c r="Q204" s="237">
        <v>35</v>
      </c>
      <c r="R204" s="237">
        <v>42</v>
      </c>
      <c r="S204" s="237">
        <v>43</v>
      </c>
      <c r="T204" s="237">
        <v>2</v>
      </c>
      <c r="U204" s="237">
        <v>0</v>
      </c>
      <c r="V204" s="237">
        <v>2</v>
      </c>
      <c r="W204" s="237">
        <v>1</v>
      </c>
      <c r="X204" s="38"/>
      <c r="Y204" s="38"/>
      <c r="Z204" s="38"/>
      <c r="AA204" s="38"/>
      <c r="AB204" s="91"/>
      <c r="AC204" s="94">
        <f>IF(Eingabe[[#This Row],[V1]]="",IF(Eingabe[[#This Row],[Volle alternativ]]="","",Eingabe[[#This Row],[Volle alternativ]]),SUM(Eingabe[[#This Row],[V1]:[V4]]))</f>
        <v>373</v>
      </c>
      <c r="AD204" s="6">
        <f>IF(Eingabe[[#This Row],[R1]]="",IF(Eingabe[[#This Row],[Räumer alternativ]]="","",Eingabe[[#This Row],[Räumer alternativ]]),SUM(Eingabe[[#This Row],[R1]:[R4]]))</f>
        <v>153</v>
      </c>
      <c r="AE204" s="6">
        <f>IF(Eingabe[[#This Row],[F1]]="",IF(Eingabe[[#This Row],[Fehler alternativ]]="","",Eingabe[[#This Row],[Fehler alternativ]]),SUM(Eingabe[[#This Row],[F1]:[F4]]))</f>
        <v>5</v>
      </c>
      <c r="AF204" s="6">
        <f>IF(Eingabe[[#This Row],[Volle]]="","",IF(Eingabe[[#This Row],[S1]]="",Eingabe[[#This Row],[Volle]]+Eingabe[[#This Row],[Räumer]],IF(Eingabe[[#This Row],[Volle]]+Eingabe[[#This Row],[Räumer]]=Eingabe[[#This Row],[S1]]+Eingabe[[#This Row],[S2]]+Eingabe[[#This Row],[S3]]+Eingabe[[#This Row],[S4]],Eingabe[[#This Row],[Volle]]+Eingabe[[#This Row],[Räumer]],"FEHLER")))</f>
        <v>526</v>
      </c>
      <c r="AG204" s="6">
        <f>IF(Eingabe[[#This Row],[V1]]="","",Eingabe[[#This Row],[V1]]+Eingabe[[#This Row],[R1]])</f>
        <v>122</v>
      </c>
      <c r="AH204" s="6">
        <f>IF(Eingabe[[#This Row],[V2]]="","",Eingabe[[#This Row],[V2]]+Eingabe[[#This Row],[R2]])</f>
        <v>147</v>
      </c>
      <c r="AI204" s="6">
        <f>IF(Eingabe[[#This Row],[V3]]="","",Eingabe[[#This Row],[V3]]+Eingabe[[#This Row],[R3]])</f>
        <v>126</v>
      </c>
      <c r="AJ204" s="6">
        <f>IF(Eingabe[[#This Row],[V4]]="","",Eingabe[[#This Row],[V4]]+Eingabe[[#This Row],[R4]])</f>
        <v>131</v>
      </c>
      <c r="AK204" s="6" t="str">
        <f>IF(Eingabe[[#This Row],[S1P]]="","",Eingabe[[#This Row],[S1P]]+Eingabe[[#This Row],[S2P]]+Eingabe[[#This Row],[S3P]]+Eingabe[[#This Row],[S4P]])</f>
        <v/>
      </c>
      <c r="AL204" s="6" t="str">
        <f>IF(Eingabe[[#This Row],[S1P]]="","",IF(Eingabe[[#This Row],[SP]]&gt;2,1,IF(Eingabe[[#This Row],[SP]]&lt;2,0,IF(Eingabe[[#This Row],[GES]]&gt;Eingabe[[#This Row],[GEGGES]],1,IF(Eingabe[[#This Row],[GES]]=Eingabe[[#This Row],[GEGGES]],0.5,0)))))</f>
        <v/>
      </c>
      <c r="AM204" s="6" t="str">
        <f>IF(Eingabe[[#This Row],[MP]]="","",MOD(ROW(Eingabe[[#This Row],[Position]])-3,6)+1)</f>
        <v/>
      </c>
      <c r="AN204" s="6">
        <f>STANDARDIZE(Eingabe[[#This Row],[GES]],Eingabe[[#This Row],[Schnitt]],VLOOKUP(Eingabe[[#This Row],[Name]],AuswertungG[],21,FALSE))</f>
        <v>-0.24</v>
      </c>
      <c r="AO204" s="6">
        <f>VLOOKUP(Eingabe[[#This Row],[ID]],Chronologie[[ID]:[KW]],12,FALSE)</f>
        <v>1</v>
      </c>
      <c r="AP204" s="95" t="str">
        <f>IF(Eingabe[[#This Row],[Wo]]="H",Eingabe[[#This Row],[Gegner]]&amp;" ["&amp;Eingabe[[#This Row],[Wo]]&amp;"]",Eingabe[[#This Row],[Ort]])</f>
        <v>Bautzen</v>
      </c>
      <c r="AQ204" s="6" t="str">
        <f>IFERROR(IF(Eingabe[[#This Row],[Wo]]="H",IF(MOD(Eingabe[[#This Row],[Position]],2)=1,Eingabe[[#This Row],[S1]],Eingabe[[#This Row],[S4]]),""),"")</f>
        <v/>
      </c>
      <c r="AR204" s="6" t="str">
        <f>IFERROR(IF(Eingabe[[#This Row],[Wo]]="H",IF(Eingabe[[#This Row],[S1]]&gt;0,IF(MOD(Eingabe[[#This Row],[Position]],2)=1,Eingabe[[#This Row],[S2]],Eingabe[[#This Row],[S3]]),""),""),"")</f>
        <v/>
      </c>
      <c r="AS204" s="6" t="str">
        <f>IFERROR(IF(Eingabe[[#This Row],[Wo]]="H",IF(Eingabe[[#This Row],[S1]]&gt;0,IF(MOD(ROW(Eingabe[[#This Row],[Heimbahn 3]]),2)=1,Eingabe[[#This Row],[S4]],Eingabe[[#This Row],[S1]]),""),""),"")</f>
        <v/>
      </c>
      <c r="AT204" s="6" t="str">
        <f>IFERROR(IF(Eingabe[[#This Row],[Wo]]="H",IF(Eingabe[[#This Row],[S1]]&gt;0,IF(MOD(ROW(Eingabe[[#This Row],[Heimbahn 4]]),2)=1,Eingabe[[#This Row],[S3]],Eingabe[[#This Row],[S2]]),""),""),"")</f>
        <v/>
      </c>
      <c r="AU204" s="22">
        <f>IF(Eingabe[[#This Row],[GES]]="","",IF(Eingabe[[#This Row],[Modus]]="L",_xlfn.RANK.EQ(Eingabe[[#This Row],[GES]],AF201:AF206),IF(Eingabe[[#This Row],[Modus]]="P",_xlfn.RANK.EQ(Eingabe[[#This Row],[GES]],AF201:AF206),"")))</f>
        <v>1</v>
      </c>
      <c r="AV204" s="6">
        <f>VLOOKUP(Eingabe[[#This Row],[Name]],AuswertungG[],8,FALSE)</f>
        <v>532</v>
      </c>
      <c r="AZ204" s="6">
        <f>IFERROR(ABS(Eingabe[[#This Row],[GES]]-Eingabe[[#This Row],[GEGGES]]),"")</f>
        <v>526</v>
      </c>
    </row>
    <row r="205" spans="1:52" ht="16.2" hidden="1" thickBot="1" x14ac:dyDescent="0.35">
      <c r="A205" s="441"/>
      <c r="B205" s="21">
        <f t="shared" si="34"/>
        <v>34</v>
      </c>
      <c r="C205" s="6" t="str">
        <f>VLOOKUP($B205,Chronologie[],7,TRUE)</f>
        <v>MSV Bautzen 04</v>
      </c>
      <c r="D205" s="6" t="str">
        <f>VLOOKUP($B205,Chronologie[],8,TRUE)</f>
        <v>Bautzen</v>
      </c>
      <c r="E205" s="240" t="str">
        <f>VLOOKUP($B205,Chronologie[],9,TRUE)</f>
        <v>A</v>
      </c>
      <c r="F205" s="6" t="str">
        <f>VLOOKUP($B205,Chronologie[],COLUMN(F206)-2,TRUE)</f>
        <v>U19</v>
      </c>
      <c r="G205" s="6" t="str">
        <f>VLOOKUP($B205,Chronologie[],COLUMN(G206)-2,TRUE)</f>
        <v>L</v>
      </c>
      <c r="H205" s="6">
        <f>VLOOKUP($B205,Chronologie[],COLUMN(H206)-2,TRUE)</f>
        <v>2</v>
      </c>
      <c r="I205" s="10" t="str">
        <f>VLOOKUP($B205,Chronologie[],2,TRUE)</f>
        <v>U19-L-2</v>
      </c>
      <c r="J205" s="243">
        <f>VLOOKUP($B205,Chronologie[],3,TRUE)</f>
        <v>45899</v>
      </c>
      <c r="K205" s="237"/>
      <c r="L205" s="237"/>
      <c r="M205" s="237"/>
      <c r="N205" s="237"/>
      <c r="O205" s="237"/>
      <c r="P205" s="237"/>
      <c r="Q205" s="237"/>
      <c r="R205" s="237"/>
      <c r="S205" s="237"/>
      <c r="T205" s="237"/>
      <c r="U205" s="237"/>
      <c r="V205" s="237"/>
      <c r="W205" s="237"/>
      <c r="X205" s="38"/>
      <c r="Y205" s="38"/>
      <c r="Z205" s="38"/>
      <c r="AA205" s="38"/>
      <c r="AB205" s="91"/>
      <c r="AC205" s="94" t="str">
        <f>IF(Eingabe[[#This Row],[V1]]="",IF(Eingabe[[#This Row],[Volle alternativ]]="","",Eingabe[[#This Row],[Volle alternativ]]),SUM(Eingabe[[#This Row],[V1]:[V4]]))</f>
        <v/>
      </c>
      <c r="AD205" s="6" t="str">
        <f>IF(Eingabe[[#This Row],[R1]]="",IF(Eingabe[[#This Row],[Räumer alternativ]]="","",Eingabe[[#This Row],[Räumer alternativ]]),SUM(Eingabe[[#This Row],[R1]:[R4]]))</f>
        <v/>
      </c>
      <c r="AE205" s="6" t="str">
        <f>IF(Eingabe[[#This Row],[F1]]="",IF(Eingabe[[#This Row],[Fehler alternativ]]="","",Eingabe[[#This Row],[Fehler alternativ]]),SUM(Eingabe[[#This Row],[F1]:[F4]]))</f>
        <v/>
      </c>
      <c r="AF205" s="6" t="str">
        <f>IF(Eingabe[[#This Row],[Volle]]="","",IF(Eingabe[[#This Row],[S1]]="",Eingabe[[#This Row],[Volle]]+Eingabe[[#This Row],[Räumer]],IF(Eingabe[[#This Row],[Volle]]+Eingabe[[#This Row],[Räumer]]=Eingabe[[#This Row],[S1]]+Eingabe[[#This Row],[S2]]+Eingabe[[#This Row],[S3]]+Eingabe[[#This Row],[S4]],Eingabe[[#This Row],[Volle]]+Eingabe[[#This Row],[Räumer]],"FEHLER")))</f>
        <v/>
      </c>
      <c r="AG205" s="6" t="str">
        <f>IF(Eingabe[[#This Row],[V1]]="","",Eingabe[[#This Row],[V1]]+Eingabe[[#This Row],[R1]])</f>
        <v/>
      </c>
      <c r="AH205" s="6" t="str">
        <f>IF(Eingabe[[#This Row],[V2]]="","",Eingabe[[#This Row],[V2]]+Eingabe[[#This Row],[R2]])</f>
        <v/>
      </c>
      <c r="AI205" s="6" t="str">
        <f>IF(Eingabe[[#This Row],[V3]]="","",Eingabe[[#This Row],[V3]]+Eingabe[[#This Row],[R3]])</f>
        <v/>
      </c>
      <c r="AJ205" s="6" t="str">
        <f>IF(Eingabe[[#This Row],[V4]]="","",Eingabe[[#This Row],[V4]]+Eingabe[[#This Row],[R4]])</f>
        <v/>
      </c>
      <c r="AK205" s="6" t="str">
        <f>IF(Eingabe[[#This Row],[S1P]]="","",Eingabe[[#This Row],[S1P]]+Eingabe[[#This Row],[S2P]]+Eingabe[[#This Row],[S3P]]+Eingabe[[#This Row],[S4P]])</f>
        <v/>
      </c>
      <c r="AL205" s="6" t="str">
        <f>IF(Eingabe[[#This Row],[S1P]]="","",IF(Eingabe[[#This Row],[SP]]&gt;2,1,IF(Eingabe[[#This Row],[SP]]&lt;2,0,IF(Eingabe[[#This Row],[GES]]&gt;Eingabe[[#This Row],[GEGGES]],1,IF(Eingabe[[#This Row],[GES]]=Eingabe[[#This Row],[GEGGES]],0.5,0)))))</f>
        <v/>
      </c>
      <c r="AM205" s="6" t="str">
        <f>IF(Eingabe[[#This Row],[MP]]="","",MOD(ROW(Eingabe[[#This Row],[Position]])-3,6)+1)</f>
        <v/>
      </c>
      <c r="AN205" s="6" t="e">
        <f>STANDARDIZE(Eingabe[[#This Row],[GES]],Eingabe[[#This Row],[Schnitt]],VLOOKUP(Eingabe[[#This Row],[Name]],AuswertungG[],21,FALSE))</f>
        <v>#VALUE!</v>
      </c>
      <c r="AO205" s="6">
        <f>VLOOKUP(Eingabe[[#This Row],[ID]],Chronologie[[ID]:[KW]],12,FALSE)</f>
        <v>1</v>
      </c>
      <c r="AP205" s="95" t="str">
        <f>IF(Eingabe[[#This Row],[Wo]]="H",Eingabe[[#This Row],[Gegner]]&amp;" ["&amp;Eingabe[[#This Row],[Wo]]&amp;"]",Eingabe[[#This Row],[Ort]])</f>
        <v>Bautzen</v>
      </c>
      <c r="AQ205" s="6" t="str">
        <f>IFERROR(IF(Eingabe[[#This Row],[Wo]]="H",IF(MOD(Eingabe[[#This Row],[Position]],2)=1,Eingabe[[#This Row],[S1]],Eingabe[[#This Row],[S4]]),""),"")</f>
        <v/>
      </c>
      <c r="AR205" s="6" t="str">
        <f>IFERROR(IF(Eingabe[[#This Row],[Wo]]="H",IF(Eingabe[[#This Row],[S1]]&gt;0,IF(MOD(Eingabe[[#This Row],[Position]],2)=1,Eingabe[[#This Row],[S2]],Eingabe[[#This Row],[S3]]),""),""),"")</f>
        <v/>
      </c>
      <c r="AS205" s="6" t="str">
        <f>IFERROR(IF(Eingabe[[#This Row],[Wo]]="H",IF(Eingabe[[#This Row],[S1]]&gt;0,IF(MOD(ROW(Eingabe[[#This Row],[Heimbahn 3]]),2)=1,Eingabe[[#This Row],[S4]],Eingabe[[#This Row],[S1]]),""),""),"")</f>
        <v/>
      </c>
      <c r="AT205" s="6" t="str">
        <f>IFERROR(IF(Eingabe[[#This Row],[Wo]]="H",IF(Eingabe[[#This Row],[S1]]&gt;0,IF(MOD(ROW(Eingabe[[#This Row],[Heimbahn 4]]),2)=1,Eingabe[[#This Row],[S3]],Eingabe[[#This Row],[S2]]),""),""),"")</f>
        <v/>
      </c>
      <c r="AU205" s="22" t="str">
        <f>IF(Eingabe[[#This Row],[GES]]="","",IF(Eingabe[[#This Row],[Modus]]="L",_xlfn.RANK.EQ(Eingabe[[#This Row],[GES]],AF201:AF206),IF(Eingabe[[#This Row],[Modus]]="P",_xlfn.RANK.EQ(Eingabe[[#This Row],[GES]],AF201:AF206),"")))</f>
        <v/>
      </c>
      <c r="AV205" s="6" t="e">
        <f>VLOOKUP(Eingabe[[#This Row],[Name]],AuswertungG[],8,FALSE)</f>
        <v>#N/A</v>
      </c>
      <c r="AZ205" s="6" t="str">
        <f>IFERROR(ABS(Eingabe[[#This Row],[GES]]-Eingabe[[#This Row],[GEGGES]]),"")</f>
        <v/>
      </c>
    </row>
    <row r="206" spans="1:52" ht="16.2" hidden="1" thickBot="1" x14ac:dyDescent="0.35">
      <c r="A206" s="442"/>
      <c r="B206" s="56">
        <f t="shared" si="34"/>
        <v>34</v>
      </c>
      <c r="C206" s="23" t="str">
        <f>VLOOKUP($B206,Chronologie[],7,TRUE)</f>
        <v>MSV Bautzen 04</v>
      </c>
      <c r="D206" s="23" t="str">
        <f>VLOOKUP($B206,Chronologie[],8,TRUE)</f>
        <v>Bautzen</v>
      </c>
      <c r="E206" s="39" t="str">
        <f>VLOOKUP($B206,Chronologie[],9,TRUE)</f>
        <v>A</v>
      </c>
      <c r="F206" s="23" t="str">
        <f>VLOOKUP($B206,Chronologie[],COLUMN(F207)-2,TRUE)</f>
        <v>U19</v>
      </c>
      <c r="G206" s="23" t="str">
        <f>VLOOKUP($B206,Chronologie[],COLUMN(G207)-2,TRUE)</f>
        <v>L</v>
      </c>
      <c r="H206" s="23">
        <f>VLOOKUP($B206,Chronologie[],COLUMN(H207)-2,TRUE)</f>
        <v>2</v>
      </c>
      <c r="I206" s="13" t="str">
        <f>VLOOKUP($B206,Chronologie[],2,TRUE)</f>
        <v>U19-L-2</v>
      </c>
      <c r="J206" s="244">
        <f>VLOOKUP($B206,Chronologie[],3,TRUE)</f>
        <v>45899</v>
      </c>
      <c r="K206" s="239"/>
      <c r="L206" s="239"/>
      <c r="M206" s="239"/>
      <c r="N206" s="239"/>
      <c r="O206" s="239"/>
      <c r="P206" s="239"/>
      <c r="Q206" s="239"/>
      <c r="R206" s="239"/>
      <c r="S206" s="239"/>
      <c r="T206" s="239"/>
      <c r="U206" s="239"/>
      <c r="V206" s="239"/>
      <c r="W206" s="239"/>
      <c r="X206" s="40"/>
      <c r="Y206" s="40"/>
      <c r="Z206" s="40"/>
      <c r="AA206" s="40"/>
      <c r="AB206" s="92"/>
      <c r="AC206" s="96" t="str">
        <f>IF(Eingabe[[#This Row],[V1]]="",IF(Eingabe[[#This Row],[Volle alternativ]]="","",Eingabe[[#This Row],[Volle alternativ]]),SUM(Eingabe[[#This Row],[V1]:[V4]]))</f>
        <v/>
      </c>
      <c r="AD206" s="23" t="str">
        <f>IF(Eingabe[[#This Row],[R1]]="",IF(Eingabe[[#This Row],[Räumer alternativ]]="","",Eingabe[[#This Row],[Räumer alternativ]]),SUM(Eingabe[[#This Row],[R1]:[R4]]))</f>
        <v/>
      </c>
      <c r="AE206" s="23" t="str">
        <f>IF(Eingabe[[#This Row],[F1]]="",IF(Eingabe[[#This Row],[Fehler alternativ]]="","",Eingabe[[#This Row],[Fehler alternativ]]),SUM(Eingabe[[#This Row],[F1]:[F4]]))</f>
        <v/>
      </c>
      <c r="AF206" s="23" t="str">
        <f>IF(Eingabe[[#This Row],[Volle]]="","",IF(Eingabe[[#This Row],[S1]]="",Eingabe[[#This Row],[Volle]]+Eingabe[[#This Row],[Räumer]],IF(Eingabe[[#This Row],[Volle]]+Eingabe[[#This Row],[Räumer]]=Eingabe[[#This Row],[S1]]+Eingabe[[#This Row],[S2]]+Eingabe[[#This Row],[S3]]+Eingabe[[#This Row],[S4]],Eingabe[[#This Row],[Volle]]+Eingabe[[#This Row],[Räumer]],"FEHLER")))</f>
        <v/>
      </c>
      <c r="AG206" s="23" t="str">
        <f>IF(Eingabe[[#This Row],[V1]]="","",Eingabe[[#This Row],[V1]]+Eingabe[[#This Row],[R1]])</f>
        <v/>
      </c>
      <c r="AH206" s="23" t="str">
        <f>IF(Eingabe[[#This Row],[V2]]="","",Eingabe[[#This Row],[V2]]+Eingabe[[#This Row],[R2]])</f>
        <v/>
      </c>
      <c r="AI206" s="23" t="str">
        <f>IF(Eingabe[[#This Row],[V3]]="","",Eingabe[[#This Row],[V3]]+Eingabe[[#This Row],[R3]])</f>
        <v/>
      </c>
      <c r="AJ206" s="23" t="str">
        <f>IF(Eingabe[[#This Row],[V4]]="","",Eingabe[[#This Row],[V4]]+Eingabe[[#This Row],[R4]])</f>
        <v/>
      </c>
      <c r="AK206" s="23" t="str">
        <f>IF(Eingabe[[#This Row],[S1P]]="","",Eingabe[[#This Row],[S1P]]+Eingabe[[#This Row],[S2P]]+Eingabe[[#This Row],[S3P]]+Eingabe[[#This Row],[S4P]])</f>
        <v/>
      </c>
      <c r="AL206" s="23" t="str">
        <f>IF(Eingabe[[#This Row],[S1P]]="","",IF(Eingabe[[#This Row],[SP]]&gt;2,1,IF(Eingabe[[#This Row],[SP]]&lt;2,0,IF(Eingabe[[#This Row],[GES]]&gt;Eingabe[[#This Row],[GEGGES]],1,IF(Eingabe[[#This Row],[GES]]=Eingabe[[#This Row],[GEGGES]],0.5,0)))))</f>
        <v/>
      </c>
      <c r="AM206" s="23" t="str">
        <f>IF(Eingabe[[#This Row],[MP]]="","",MOD(ROW(Eingabe[[#This Row],[Position]])-3,6)+1)</f>
        <v/>
      </c>
      <c r="AN206" s="23" t="e">
        <f>STANDARDIZE(Eingabe[[#This Row],[GES]],Eingabe[[#This Row],[Schnitt]],VLOOKUP(Eingabe[[#This Row],[Name]],AuswertungG[],21,FALSE))</f>
        <v>#VALUE!</v>
      </c>
      <c r="AO206" s="23">
        <f>VLOOKUP(Eingabe[[#This Row],[ID]],Chronologie[[ID]:[KW]],12,FALSE)</f>
        <v>1</v>
      </c>
      <c r="AP206" s="59" t="str">
        <f>IF(Eingabe[[#This Row],[Wo]]="H",Eingabe[[#This Row],[Gegner]]&amp;" ["&amp;Eingabe[[#This Row],[Wo]]&amp;"]",Eingabe[[#This Row],[Ort]])</f>
        <v>Bautzen</v>
      </c>
      <c r="AQ206" s="23" t="str">
        <f>IFERROR(IF(Eingabe[[#This Row],[Wo]]="H",IF(MOD(Eingabe[[#This Row],[Position]],2)=1,Eingabe[[#This Row],[S1]],Eingabe[[#This Row],[S4]]),""),"")</f>
        <v/>
      </c>
      <c r="AR206" s="23" t="str">
        <f>IFERROR(IF(Eingabe[[#This Row],[Wo]]="H",IF(Eingabe[[#This Row],[S1]]&gt;0,IF(MOD(Eingabe[[#This Row],[Position]],2)=1,Eingabe[[#This Row],[S2]],Eingabe[[#This Row],[S3]]),""),""),"")</f>
        <v/>
      </c>
      <c r="AS206" s="23" t="str">
        <f>IFERROR(IF(Eingabe[[#This Row],[Wo]]="H",IF(Eingabe[[#This Row],[S1]]&gt;0,IF(MOD(ROW(Eingabe[[#This Row],[Heimbahn 3]]),2)=1,Eingabe[[#This Row],[S4]],Eingabe[[#This Row],[S1]]),""),""),"")</f>
        <v/>
      </c>
      <c r="AT206" s="23" t="str">
        <f>IFERROR(IF(Eingabe[[#This Row],[Wo]]="H",IF(Eingabe[[#This Row],[S1]]&gt;0,IF(MOD(ROW(Eingabe[[#This Row],[Heimbahn 4]]),2)=1,Eingabe[[#This Row],[S3]],Eingabe[[#This Row],[S2]]),""),""),"")</f>
        <v/>
      </c>
      <c r="AU206" s="89" t="str">
        <f>IF(Eingabe[[#This Row],[GES]]="","",IF(Eingabe[[#This Row],[Modus]]="L",_xlfn.RANK.EQ(Eingabe[[#This Row],[GES]],AF201:AF206),IF(Eingabe[[#This Row],[Modus]]="P",_xlfn.RANK.EQ(Eingabe[[#This Row],[GES]],AF201:AF206),"")))</f>
        <v/>
      </c>
      <c r="AV206" s="6" t="e">
        <f>VLOOKUP(Eingabe[[#This Row],[Name]],AuswertungG[],8,FALSE)</f>
        <v>#N/A</v>
      </c>
      <c r="AZ206" s="6" t="str">
        <f>IFERROR(ABS(Eingabe[[#This Row],[GES]]-Eingabe[[#This Row],[GEGGES]]),"")</f>
        <v/>
      </c>
    </row>
    <row r="207" spans="1:52" ht="16.2" hidden="1" thickBot="1" x14ac:dyDescent="0.35">
      <c r="A207" s="440">
        <f t="shared" ref="A207" si="36">B207</f>
        <v>35</v>
      </c>
      <c r="B207" s="55">
        <f t="shared" si="34"/>
        <v>35</v>
      </c>
      <c r="C207" s="35" t="str">
        <f>VLOOKUP($B207,Chronologie[],7,TRUE)</f>
        <v>Hirschfelder SV</v>
      </c>
      <c r="D207" s="35" t="str">
        <f>VLOOKUP($B207,Chronologie[],8,TRUE)</f>
        <v>Hirschfeld</v>
      </c>
      <c r="E207" s="36" t="str">
        <f>VLOOKUP($B207,Chronologie[],9,TRUE)</f>
        <v>H</v>
      </c>
      <c r="F207" s="35" t="str">
        <f>VLOOKUP($B207,Chronologie[],COLUMN(F208)-2,TRUE)</f>
        <v>U19</v>
      </c>
      <c r="G207" s="35" t="str">
        <f>VLOOKUP($B207,Chronologie[],COLUMN(G208)-2,TRUE)</f>
        <v>L</v>
      </c>
      <c r="H207" s="35">
        <f>VLOOKUP($B207,Chronologie[],COLUMN(H208)-2,TRUE)</f>
        <v>3</v>
      </c>
      <c r="I207" s="9" t="str">
        <f>VLOOKUP($B207,Chronologie[],2,TRUE)</f>
        <v>U19-L-3</v>
      </c>
      <c r="J207" s="242">
        <f>VLOOKUP($B207,Chronologie[],3,TRUE)</f>
        <v>45920</v>
      </c>
      <c r="K207" s="236" t="s">
        <v>474</v>
      </c>
      <c r="L207" s="334">
        <v>86</v>
      </c>
      <c r="M207" s="334">
        <v>85</v>
      </c>
      <c r="N207" s="334">
        <v>87</v>
      </c>
      <c r="O207" s="334">
        <v>95</v>
      </c>
      <c r="P207" s="334">
        <v>45</v>
      </c>
      <c r="Q207" s="334">
        <v>61</v>
      </c>
      <c r="R207" s="334">
        <v>36</v>
      </c>
      <c r="S207" s="334">
        <v>33</v>
      </c>
      <c r="T207" s="334">
        <v>1</v>
      </c>
      <c r="U207" s="334">
        <v>0</v>
      </c>
      <c r="V207" s="334">
        <v>2</v>
      </c>
      <c r="W207" s="334">
        <v>2</v>
      </c>
      <c r="X207" s="37"/>
      <c r="Y207" s="37"/>
      <c r="Z207" s="37"/>
      <c r="AA207" s="37"/>
      <c r="AB207" s="90"/>
      <c r="AC207" s="93">
        <f>IF(Eingabe[[#This Row],[V1]]="",IF(Eingabe[[#This Row],[Volle alternativ]]="","",Eingabe[[#This Row],[Volle alternativ]]),SUM(Eingabe[[#This Row],[V1]:[V4]]))</f>
        <v>353</v>
      </c>
      <c r="AD207" s="35">
        <f>IF(Eingabe[[#This Row],[R1]]="",IF(Eingabe[[#This Row],[Räumer alternativ]]="","",Eingabe[[#This Row],[Räumer alternativ]]),SUM(Eingabe[[#This Row],[R1]:[R4]]))</f>
        <v>175</v>
      </c>
      <c r="AE207" s="35">
        <f>IF(Eingabe[[#This Row],[F1]]="",IF(Eingabe[[#This Row],[Fehler alternativ]]="","",Eingabe[[#This Row],[Fehler alternativ]]),SUM(Eingabe[[#This Row],[F1]:[F4]]))</f>
        <v>5</v>
      </c>
      <c r="AF207" s="35">
        <f>IF(Eingabe[[#This Row],[Volle]]="","",IF(Eingabe[[#This Row],[S1]]="",Eingabe[[#This Row],[Volle]]+Eingabe[[#This Row],[Räumer]],IF(Eingabe[[#This Row],[Volle]]+Eingabe[[#This Row],[Räumer]]=Eingabe[[#This Row],[S1]]+Eingabe[[#This Row],[S2]]+Eingabe[[#This Row],[S3]]+Eingabe[[#This Row],[S4]],Eingabe[[#This Row],[Volle]]+Eingabe[[#This Row],[Räumer]],"FEHLER")))</f>
        <v>528</v>
      </c>
      <c r="AG207" s="35">
        <f>IF(Eingabe[[#This Row],[V1]]="","",Eingabe[[#This Row],[V1]]+Eingabe[[#This Row],[R1]])</f>
        <v>131</v>
      </c>
      <c r="AH207" s="35">
        <f>IF(Eingabe[[#This Row],[V2]]="","",Eingabe[[#This Row],[V2]]+Eingabe[[#This Row],[R2]])</f>
        <v>146</v>
      </c>
      <c r="AI207" s="35">
        <f>IF(Eingabe[[#This Row],[V3]]="","",Eingabe[[#This Row],[V3]]+Eingabe[[#This Row],[R3]])</f>
        <v>123</v>
      </c>
      <c r="AJ207" s="35">
        <f>IF(Eingabe[[#This Row],[V4]]="","",Eingabe[[#This Row],[V4]]+Eingabe[[#This Row],[R4]])</f>
        <v>128</v>
      </c>
      <c r="AK207" s="35" t="str">
        <f>IF(Eingabe[[#This Row],[S1P]]="","",Eingabe[[#This Row],[S1P]]+Eingabe[[#This Row],[S2P]]+Eingabe[[#This Row],[S3P]]+Eingabe[[#This Row],[S4P]])</f>
        <v/>
      </c>
      <c r="AL207" s="35" t="str">
        <f>IF(Eingabe[[#This Row],[S1P]]="","",IF(Eingabe[[#This Row],[SP]]&gt;2,1,IF(Eingabe[[#This Row],[SP]]&lt;2,0,IF(Eingabe[[#This Row],[GES]]&gt;Eingabe[[#This Row],[GEGGES]],1,IF(Eingabe[[#This Row],[GES]]=Eingabe[[#This Row],[GEGGES]],0.5,0)))))</f>
        <v/>
      </c>
      <c r="AM207" s="35" t="str">
        <f>IF(Eingabe[[#This Row],[MP]]="","",MOD(ROW(Eingabe[[#This Row],[Position]])-3,6)+1)</f>
        <v/>
      </c>
      <c r="AN207" s="35">
        <f>STANDARDIZE(Eingabe[[#This Row],[GES]],Eingabe[[#This Row],[Schnitt]],VLOOKUP(Eingabe[[#This Row],[Name]],AuswertungG[],21,FALSE))</f>
        <v>0.87096774193548387</v>
      </c>
      <c r="AO207" s="35">
        <f>VLOOKUP(Eingabe[[#This Row],[ID]],Chronologie[[ID]:[KW]],12,FALSE)</f>
        <v>4</v>
      </c>
      <c r="AP207" s="58" t="str">
        <f>IF(Eingabe[[#This Row],[Wo]]="H",Eingabe[[#This Row],[Gegner]]&amp;" ["&amp;Eingabe[[#This Row],[Wo]]&amp;"]",Eingabe[[#This Row],[Ort]])</f>
        <v>Hirschfelder SV [H]</v>
      </c>
      <c r="AQ207" s="35" t="str">
        <f>IFERROR(IF(Eingabe[[#This Row],[Wo]]="H",IF(MOD(Eingabe[[#This Row],[Position]],2)=1,Eingabe[[#This Row],[S1]],Eingabe[[#This Row],[S4]]),""),"")</f>
        <v/>
      </c>
      <c r="AR207" s="35" t="str">
        <f>IFERROR(IF(Eingabe[[#This Row],[Wo]]="H",IF(Eingabe[[#This Row],[S1]]&gt;0,IF(MOD(Eingabe[[#This Row],[Position]],2)=1,Eingabe[[#This Row],[S2]],Eingabe[[#This Row],[S3]]),""),""),"")</f>
        <v/>
      </c>
      <c r="AS207" s="35">
        <f>IFERROR(IF(Eingabe[[#This Row],[Wo]]="H",IF(Eingabe[[#This Row],[S1]]&gt;0,IF(MOD(ROW(Eingabe[[#This Row],[Heimbahn 3]]),2)=1,Eingabe[[#This Row],[S4]],Eingabe[[#This Row],[S1]]),""),""),"")</f>
        <v>128</v>
      </c>
      <c r="AT207" s="35">
        <f>IFERROR(IF(Eingabe[[#This Row],[Wo]]="H",IF(Eingabe[[#This Row],[S1]]&gt;0,IF(MOD(ROW(Eingabe[[#This Row],[Heimbahn 4]]),2)=1,Eingabe[[#This Row],[S3]],Eingabe[[#This Row],[S2]]),""),""),"")</f>
        <v>123</v>
      </c>
      <c r="AU207" s="88">
        <f>IF(Eingabe[[#This Row],[GES]]="","",IF(Eingabe[[#This Row],[Modus]]="L",_xlfn.RANK.EQ(Eingabe[[#This Row],[GES]],AF207:AF212),IF(Eingabe[[#This Row],[Modus]]="P",_xlfn.RANK.EQ(Eingabe[[#This Row],[GES]],AF207:AF212),"")))</f>
        <v>1</v>
      </c>
      <c r="AV207" s="6">
        <f>VLOOKUP(Eingabe[[#This Row],[Name]],AuswertungG[],8,FALSE)</f>
        <v>501</v>
      </c>
      <c r="AZ207" s="6">
        <f>IFERROR(ABS(Eingabe[[#This Row],[GES]]-Eingabe[[#This Row],[GEGGES]]),"")</f>
        <v>528</v>
      </c>
    </row>
    <row r="208" spans="1:52" ht="16.2" hidden="1" thickBot="1" x14ac:dyDescent="0.35">
      <c r="A208" s="441"/>
      <c r="B208" s="21">
        <f t="shared" si="34"/>
        <v>35</v>
      </c>
      <c r="C208" s="6" t="str">
        <f>VLOOKUP($B208,Chronologie[],7,TRUE)</f>
        <v>Hirschfelder SV</v>
      </c>
      <c r="D208" s="6" t="str">
        <f>VLOOKUP($B208,Chronologie[],8,TRUE)</f>
        <v>Hirschfeld</v>
      </c>
      <c r="E208" s="240" t="str">
        <f>VLOOKUP($B208,Chronologie[],9,TRUE)</f>
        <v>H</v>
      </c>
      <c r="F208" s="6" t="str">
        <f>VLOOKUP($B208,Chronologie[],COLUMN(F209)-2,TRUE)</f>
        <v>U19</v>
      </c>
      <c r="G208" s="6" t="str">
        <f>VLOOKUP($B208,Chronologie[],COLUMN(G209)-2,TRUE)</f>
        <v>L</v>
      </c>
      <c r="H208" s="6">
        <f>VLOOKUP($B208,Chronologie[],COLUMN(H209)-2,TRUE)</f>
        <v>3</v>
      </c>
      <c r="I208" s="10" t="str">
        <f>VLOOKUP($B208,Chronologie[],2,TRUE)</f>
        <v>U19-L-3</v>
      </c>
      <c r="J208" s="243">
        <f>VLOOKUP($B208,Chronologie[],3,TRUE)</f>
        <v>45920</v>
      </c>
      <c r="K208" s="237" t="s">
        <v>485</v>
      </c>
      <c r="L208" s="237">
        <v>74</v>
      </c>
      <c r="M208" s="237">
        <v>80</v>
      </c>
      <c r="N208" s="237">
        <v>75</v>
      </c>
      <c r="O208" s="237">
        <v>83</v>
      </c>
      <c r="P208" s="237">
        <v>42</v>
      </c>
      <c r="Q208" s="237">
        <v>43</v>
      </c>
      <c r="R208" s="237">
        <v>22</v>
      </c>
      <c r="S208" s="237">
        <v>35</v>
      </c>
      <c r="T208" s="237">
        <v>1</v>
      </c>
      <c r="U208" s="237">
        <v>2</v>
      </c>
      <c r="V208" s="237">
        <v>5</v>
      </c>
      <c r="W208" s="237">
        <v>2</v>
      </c>
      <c r="X208" s="38"/>
      <c r="Y208" s="38"/>
      <c r="Z208" s="38"/>
      <c r="AA208" s="38"/>
      <c r="AB208" s="91"/>
      <c r="AC208" s="94">
        <f>IF(Eingabe[[#This Row],[V1]]="",IF(Eingabe[[#This Row],[Volle alternativ]]="","",Eingabe[[#This Row],[Volle alternativ]]),SUM(Eingabe[[#This Row],[V1]:[V4]]))</f>
        <v>312</v>
      </c>
      <c r="AD208" s="6">
        <f>IF(Eingabe[[#This Row],[R1]]="",IF(Eingabe[[#This Row],[Räumer alternativ]]="","",Eingabe[[#This Row],[Räumer alternativ]]),SUM(Eingabe[[#This Row],[R1]:[R4]]))</f>
        <v>142</v>
      </c>
      <c r="AE208" s="6">
        <f>IF(Eingabe[[#This Row],[F1]]="",IF(Eingabe[[#This Row],[Fehler alternativ]]="","",Eingabe[[#This Row],[Fehler alternativ]]),SUM(Eingabe[[#This Row],[F1]:[F4]]))</f>
        <v>10</v>
      </c>
      <c r="AF208" s="6">
        <f>IF(Eingabe[[#This Row],[Volle]]="","",IF(Eingabe[[#This Row],[S1]]="",Eingabe[[#This Row],[Volle]]+Eingabe[[#This Row],[Räumer]],IF(Eingabe[[#This Row],[Volle]]+Eingabe[[#This Row],[Räumer]]=Eingabe[[#This Row],[S1]]+Eingabe[[#This Row],[S2]]+Eingabe[[#This Row],[S3]]+Eingabe[[#This Row],[S4]],Eingabe[[#This Row],[Volle]]+Eingabe[[#This Row],[Räumer]],"FEHLER")))</f>
        <v>454</v>
      </c>
      <c r="AG208" s="6">
        <f>IF(Eingabe[[#This Row],[V1]]="","",Eingabe[[#This Row],[V1]]+Eingabe[[#This Row],[R1]])</f>
        <v>116</v>
      </c>
      <c r="AH208" s="6">
        <f>IF(Eingabe[[#This Row],[V2]]="","",Eingabe[[#This Row],[V2]]+Eingabe[[#This Row],[R2]])</f>
        <v>123</v>
      </c>
      <c r="AI208" s="6">
        <f>IF(Eingabe[[#This Row],[V3]]="","",Eingabe[[#This Row],[V3]]+Eingabe[[#This Row],[R3]])</f>
        <v>97</v>
      </c>
      <c r="AJ208" s="6">
        <f>IF(Eingabe[[#This Row],[V4]]="","",Eingabe[[#This Row],[V4]]+Eingabe[[#This Row],[R4]])</f>
        <v>118</v>
      </c>
      <c r="AK208" s="6" t="str">
        <f>IF(Eingabe[[#This Row],[S1P]]="","",Eingabe[[#This Row],[S1P]]+Eingabe[[#This Row],[S2P]]+Eingabe[[#This Row],[S3P]]+Eingabe[[#This Row],[S4P]])</f>
        <v/>
      </c>
      <c r="AL208" s="6" t="str">
        <f>IF(Eingabe[[#This Row],[S1P]]="","",IF(Eingabe[[#This Row],[SP]]&gt;2,1,IF(Eingabe[[#This Row],[SP]]&lt;2,0,IF(Eingabe[[#This Row],[GES]]&gt;Eingabe[[#This Row],[GEGGES]],1,IF(Eingabe[[#This Row],[GES]]=Eingabe[[#This Row],[GEGGES]],0.5,0)))))</f>
        <v/>
      </c>
      <c r="AM208" s="6" t="str">
        <f>IF(Eingabe[[#This Row],[MP]]="","",MOD(ROW(Eingabe[[#This Row],[Position]])-3,6)+1)</f>
        <v/>
      </c>
      <c r="AN208" s="6">
        <f>STANDARDIZE(Eingabe[[#This Row],[GES]],Eingabe[[#This Row],[Schnitt]],VLOOKUP(Eingabe[[#This Row],[Name]],AuswertungG[],21,FALSE))</f>
        <v>-0.2413793103448276</v>
      </c>
      <c r="AO208" s="6">
        <f>VLOOKUP(Eingabe[[#This Row],[ID]],Chronologie[[ID]:[KW]],12,FALSE)</f>
        <v>4</v>
      </c>
      <c r="AP208" s="95" t="str">
        <f>IF(Eingabe[[#This Row],[Wo]]="H",Eingabe[[#This Row],[Gegner]]&amp;" ["&amp;Eingabe[[#This Row],[Wo]]&amp;"]",Eingabe[[#This Row],[Ort]])</f>
        <v>Hirschfelder SV [H]</v>
      </c>
      <c r="AQ208" s="6" t="str">
        <f>IFERROR(IF(Eingabe[[#This Row],[Wo]]="H",IF(MOD(Eingabe[[#This Row],[Position]],2)=1,Eingabe[[#This Row],[S1]],Eingabe[[#This Row],[S4]]),""),"")</f>
        <v/>
      </c>
      <c r="AR208" s="6" t="str">
        <f>IFERROR(IF(Eingabe[[#This Row],[Wo]]="H",IF(Eingabe[[#This Row],[S1]]&gt;0,IF(MOD(Eingabe[[#This Row],[Position]],2)=1,Eingabe[[#This Row],[S2]],Eingabe[[#This Row],[S3]]),""),""),"")</f>
        <v/>
      </c>
      <c r="AS208" s="6">
        <f>IFERROR(IF(Eingabe[[#This Row],[Wo]]="H",IF(Eingabe[[#This Row],[S1]]&gt;0,IF(MOD(ROW(Eingabe[[#This Row],[Heimbahn 3]]),2)=1,Eingabe[[#This Row],[S4]],Eingabe[[#This Row],[S1]]),""),""),"")</f>
        <v>116</v>
      </c>
      <c r="AT208" s="6">
        <f>IFERROR(IF(Eingabe[[#This Row],[Wo]]="H",IF(Eingabe[[#This Row],[S1]]&gt;0,IF(MOD(ROW(Eingabe[[#This Row],[Heimbahn 4]]),2)=1,Eingabe[[#This Row],[S3]],Eingabe[[#This Row],[S2]]),""),""),"")</f>
        <v>123</v>
      </c>
      <c r="AU208" s="22">
        <f>IF(Eingabe[[#This Row],[GES]]="","",IF(Eingabe[[#This Row],[Modus]]="L",_xlfn.RANK.EQ(Eingabe[[#This Row],[GES]],AF207:AF212),IF(Eingabe[[#This Row],[Modus]]="P",_xlfn.RANK.EQ(Eingabe[[#This Row],[GES]],AF207:AF212),"")))</f>
        <v>4</v>
      </c>
      <c r="AV208" s="6">
        <f>VLOOKUP(Eingabe[[#This Row],[Name]],AuswertungG[],8,FALSE)</f>
        <v>461</v>
      </c>
      <c r="AZ208" s="6">
        <f>IFERROR(ABS(Eingabe[[#This Row],[GES]]-Eingabe[[#This Row],[GEGGES]]),"")</f>
        <v>454</v>
      </c>
    </row>
    <row r="209" spans="1:52" ht="16.2" hidden="1" thickBot="1" x14ac:dyDescent="0.35">
      <c r="A209" s="441"/>
      <c r="B209" s="21">
        <f t="shared" si="34"/>
        <v>35</v>
      </c>
      <c r="C209" s="6" t="str">
        <f>VLOOKUP($B209,Chronologie[],7,TRUE)</f>
        <v>Hirschfelder SV</v>
      </c>
      <c r="D209" s="6" t="str">
        <f>VLOOKUP($B209,Chronologie[],8,TRUE)</f>
        <v>Hirschfeld</v>
      </c>
      <c r="E209" s="240" t="str">
        <f>VLOOKUP($B209,Chronologie[],9,TRUE)</f>
        <v>H</v>
      </c>
      <c r="F209" s="6" t="str">
        <f>VLOOKUP($B209,Chronologie[],COLUMN(F210)-2,TRUE)</f>
        <v>U19</v>
      </c>
      <c r="G209" s="6" t="str">
        <f>VLOOKUP($B209,Chronologie[],COLUMN(G210)-2,TRUE)</f>
        <v>L</v>
      </c>
      <c r="H209" s="6">
        <f>VLOOKUP($B209,Chronologie[],COLUMN(H210)-2,TRUE)</f>
        <v>3</v>
      </c>
      <c r="I209" s="10" t="str">
        <f>VLOOKUP($B209,Chronologie[],2,TRUE)</f>
        <v>U19-L-3</v>
      </c>
      <c r="J209" s="243">
        <f>VLOOKUP($B209,Chronologie[],3,TRUE)</f>
        <v>45920</v>
      </c>
      <c r="K209" s="237" t="s">
        <v>477</v>
      </c>
      <c r="L209" s="237">
        <v>94</v>
      </c>
      <c r="M209" s="237">
        <v>92</v>
      </c>
      <c r="N209" s="237">
        <v>73</v>
      </c>
      <c r="O209" s="237">
        <v>89</v>
      </c>
      <c r="P209" s="237">
        <v>33</v>
      </c>
      <c r="Q209" s="237">
        <v>33</v>
      </c>
      <c r="R209" s="237">
        <v>42</v>
      </c>
      <c r="S209" s="237">
        <v>36</v>
      </c>
      <c r="T209" s="237">
        <v>3</v>
      </c>
      <c r="U209" s="237">
        <v>3</v>
      </c>
      <c r="V209" s="237">
        <v>2</v>
      </c>
      <c r="W209" s="237">
        <v>0</v>
      </c>
      <c r="X209" s="38"/>
      <c r="Y209" s="38"/>
      <c r="Z209" s="38"/>
      <c r="AA209" s="38"/>
      <c r="AB209" s="91"/>
      <c r="AC209" s="94">
        <f>IF(Eingabe[[#This Row],[V1]]="",IF(Eingabe[[#This Row],[Volle alternativ]]="","",Eingabe[[#This Row],[Volle alternativ]]),SUM(Eingabe[[#This Row],[V1]:[V4]]))</f>
        <v>348</v>
      </c>
      <c r="AD209" s="6">
        <f>IF(Eingabe[[#This Row],[R1]]="",IF(Eingabe[[#This Row],[Räumer alternativ]]="","",Eingabe[[#This Row],[Räumer alternativ]]),SUM(Eingabe[[#This Row],[R1]:[R4]]))</f>
        <v>144</v>
      </c>
      <c r="AE209" s="6">
        <f>IF(Eingabe[[#This Row],[F1]]="",IF(Eingabe[[#This Row],[Fehler alternativ]]="","",Eingabe[[#This Row],[Fehler alternativ]]),SUM(Eingabe[[#This Row],[F1]:[F4]]))</f>
        <v>8</v>
      </c>
      <c r="AF209" s="6">
        <f>IF(Eingabe[[#This Row],[Volle]]="","",IF(Eingabe[[#This Row],[S1]]="",Eingabe[[#This Row],[Volle]]+Eingabe[[#This Row],[Räumer]],IF(Eingabe[[#This Row],[Volle]]+Eingabe[[#This Row],[Räumer]]=Eingabe[[#This Row],[S1]]+Eingabe[[#This Row],[S2]]+Eingabe[[#This Row],[S3]]+Eingabe[[#This Row],[S4]],Eingabe[[#This Row],[Volle]]+Eingabe[[#This Row],[Räumer]],"FEHLER")))</f>
        <v>492</v>
      </c>
      <c r="AG209" s="6">
        <f>IF(Eingabe[[#This Row],[V1]]="","",Eingabe[[#This Row],[V1]]+Eingabe[[#This Row],[R1]])</f>
        <v>127</v>
      </c>
      <c r="AH209" s="6">
        <f>IF(Eingabe[[#This Row],[V2]]="","",Eingabe[[#This Row],[V2]]+Eingabe[[#This Row],[R2]])</f>
        <v>125</v>
      </c>
      <c r="AI209" s="6">
        <f>IF(Eingabe[[#This Row],[V3]]="","",Eingabe[[#This Row],[V3]]+Eingabe[[#This Row],[R3]])</f>
        <v>115</v>
      </c>
      <c r="AJ209" s="6">
        <f>IF(Eingabe[[#This Row],[V4]]="","",Eingabe[[#This Row],[V4]]+Eingabe[[#This Row],[R4]])</f>
        <v>125</v>
      </c>
      <c r="AK209" s="6" t="str">
        <f>IF(Eingabe[[#This Row],[S1P]]="","",Eingabe[[#This Row],[S1P]]+Eingabe[[#This Row],[S2P]]+Eingabe[[#This Row],[S3P]]+Eingabe[[#This Row],[S4P]])</f>
        <v/>
      </c>
      <c r="AL209" s="6" t="str">
        <f>IF(Eingabe[[#This Row],[S1P]]="","",IF(Eingabe[[#This Row],[SP]]&gt;2,1,IF(Eingabe[[#This Row],[SP]]&lt;2,0,IF(Eingabe[[#This Row],[GES]]&gt;Eingabe[[#This Row],[GEGGES]],1,IF(Eingabe[[#This Row],[GES]]=Eingabe[[#This Row],[GEGGES]],0.5,0)))))</f>
        <v/>
      </c>
      <c r="AM209" s="6" t="str">
        <f>IF(Eingabe[[#This Row],[MP]]="","",MOD(ROW(Eingabe[[#This Row],[Position]])-3,6)+1)</f>
        <v/>
      </c>
      <c r="AN209" s="6">
        <f>STANDARDIZE(Eingabe[[#This Row],[GES]],Eingabe[[#This Row],[Schnitt]],VLOOKUP(Eingabe[[#This Row],[Name]],AuswertungG[],21,FALSE))</f>
        <v>-1.6</v>
      </c>
      <c r="AO209" s="6">
        <f>VLOOKUP(Eingabe[[#This Row],[ID]],Chronologie[[ID]:[KW]],12,FALSE)</f>
        <v>4</v>
      </c>
      <c r="AP209" s="95" t="str">
        <f>IF(Eingabe[[#This Row],[Wo]]="H",Eingabe[[#This Row],[Gegner]]&amp;" ["&amp;Eingabe[[#This Row],[Wo]]&amp;"]",Eingabe[[#This Row],[Ort]])</f>
        <v>Hirschfelder SV [H]</v>
      </c>
      <c r="AQ209" s="6" t="str">
        <f>IFERROR(IF(Eingabe[[#This Row],[Wo]]="H",IF(MOD(Eingabe[[#This Row],[Position]],2)=1,Eingabe[[#This Row],[S1]],Eingabe[[#This Row],[S4]]),""),"")</f>
        <v/>
      </c>
      <c r="AR209" s="6" t="str">
        <f>IFERROR(IF(Eingabe[[#This Row],[Wo]]="H",IF(Eingabe[[#This Row],[S1]]&gt;0,IF(MOD(Eingabe[[#This Row],[Position]],2)=1,Eingabe[[#This Row],[S2]],Eingabe[[#This Row],[S3]]),""),""),"")</f>
        <v/>
      </c>
      <c r="AS209" s="6">
        <f>IFERROR(IF(Eingabe[[#This Row],[Wo]]="H",IF(Eingabe[[#This Row],[S1]]&gt;0,IF(MOD(ROW(Eingabe[[#This Row],[Heimbahn 3]]),2)=1,Eingabe[[#This Row],[S4]],Eingabe[[#This Row],[S1]]),""),""),"")</f>
        <v>125</v>
      </c>
      <c r="AT209" s="6">
        <f>IFERROR(IF(Eingabe[[#This Row],[Wo]]="H",IF(Eingabe[[#This Row],[S1]]&gt;0,IF(MOD(ROW(Eingabe[[#This Row],[Heimbahn 4]]),2)=1,Eingabe[[#This Row],[S3]],Eingabe[[#This Row],[S2]]),""),""),"")</f>
        <v>115</v>
      </c>
      <c r="AU209" s="22">
        <f>IF(Eingabe[[#This Row],[GES]]="","",IF(Eingabe[[#This Row],[Modus]]="L",_xlfn.RANK.EQ(Eingabe[[#This Row],[GES]],AF207:AF212),IF(Eingabe[[#This Row],[Modus]]="P",_xlfn.RANK.EQ(Eingabe[[#This Row],[GES]],AF207:AF212),"")))</f>
        <v>3</v>
      </c>
      <c r="AV209" s="6">
        <f>VLOOKUP(Eingabe[[#This Row],[Name]],AuswertungG[],8,FALSE)</f>
        <v>532</v>
      </c>
      <c r="AZ209" s="6">
        <f>IFERROR(ABS(Eingabe[[#This Row],[GES]]-Eingabe[[#This Row],[GEGGES]]),"")</f>
        <v>492</v>
      </c>
    </row>
    <row r="210" spans="1:52" ht="16.2" hidden="1" thickBot="1" x14ac:dyDescent="0.35">
      <c r="A210" s="441"/>
      <c r="B210" s="21">
        <f t="shared" si="34"/>
        <v>35</v>
      </c>
      <c r="C210" s="6" t="str">
        <f>VLOOKUP($B210,Chronologie[],7,TRUE)</f>
        <v>Hirschfelder SV</v>
      </c>
      <c r="D210" s="6" t="str">
        <f>VLOOKUP($B210,Chronologie[],8,TRUE)</f>
        <v>Hirschfeld</v>
      </c>
      <c r="E210" s="240" t="str">
        <f>VLOOKUP($B210,Chronologie[],9,TRUE)</f>
        <v>H</v>
      </c>
      <c r="F210" s="6" t="str">
        <f>VLOOKUP($B210,Chronologie[],COLUMN(F211)-2,TRUE)</f>
        <v>U19</v>
      </c>
      <c r="G210" s="6" t="str">
        <f>VLOOKUP($B210,Chronologie[],COLUMN(G211)-2,TRUE)</f>
        <v>L</v>
      </c>
      <c r="H210" s="6">
        <f>VLOOKUP($B210,Chronologie[],COLUMN(H211)-2,TRUE)</f>
        <v>3</v>
      </c>
      <c r="I210" s="10" t="str">
        <f>VLOOKUP($B210,Chronologie[],2,TRUE)</f>
        <v>U19-L-3</v>
      </c>
      <c r="J210" s="243">
        <f>VLOOKUP($B210,Chronologie[],3,TRUE)</f>
        <v>45920</v>
      </c>
      <c r="K210" s="238" t="s">
        <v>458</v>
      </c>
      <c r="L210" s="237">
        <v>80</v>
      </c>
      <c r="M210" s="237">
        <v>91</v>
      </c>
      <c r="N210" s="237">
        <v>89</v>
      </c>
      <c r="O210" s="237">
        <v>79</v>
      </c>
      <c r="P210" s="237">
        <v>43</v>
      </c>
      <c r="Q210" s="237">
        <v>33</v>
      </c>
      <c r="R210" s="237">
        <v>41</v>
      </c>
      <c r="S210" s="237">
        <v>41</v>
      </c>
      <c r="T210" s="237">
        <v>4</v>
      </c>
      <c r="U210" s="237">
        <v>4</v>
      </c>
      <c r="V210" s="237">
        <v>3</v>
      </c>
      <c r="W210" s="237">
        <v>2</v>
      </c>
      <c r="X210" s="38"/>
      <c r="Y210" s="38"/>
      <c r="Z210" s="38"/>
      <c r="AA210" s="38"/>
      <c r="AB210" s="91"/>
      <c r="AC210" s="94">
        <f>IF(Eingabe[[#This Row],[V1]]="",IF(Eingabe[[#This Row],[Volle alternativ]]="","",Eingabe[[#This Row],[Volle alternativ]]),SUM(Eingabe[[#This Row],[V1]:[V4]]))</f>
        <v>339</v>
      </c>
      <c r="AD210" s="6">
        <f>IF(Eingabe[[#This Row],[R1]]="",IF(Eingabe[[#This Row],[Räumer alternativ]]="","",Eingabe[[#This Row],[Räumer alternativ]]),SUM(Eingabe[[#This Row],[R1]:[R4]]))</f>
        <v>158</v>
      </c>
      <c r="AE210" s="6">
        <f>IF(Eingabe[[#This Row],[F1]]="",IF(Eingabe[[#This Row],[Fehler alternativ]]="","",Eingabe[[#This Row],[Fehler alternativ]]),SUM(Eingabe[[#This Row],[F1]:[F4]]))</f>
        <v>13</v>
      </c>
      <c r="AF210" s="6">
        <f>IF(Eingabe[[#This Row],[Volle]]="","",IF(Eingabe[[#This Row],[S1]]="",Eingabe[[#This Row],[Volle]]+Eingabe[[#This Row],[Räumer]],IF(Eingabe[[#This Row],[Volle]]+Eingabe[[#This Row],[Räumer]]=Eingabe[[#This Row],[S1]]+Eingabe[[#This Row],[S2]]+Eingabe[[#This Row],[S3]]+Eingabe[[#This Row],[S4]],Eingabe[[#This Row],[Volle]]+Eingabe[[#This Row],[Räumer]],"FEHLER")))</f>
        <v>497</v>
      </c>
      <c r="AG210" s="6">
        <f>IF(Eingabe[[#This Row],[V1]]="","",Eingabe[[#This Row],[V1]]+Eingabe[[#This Row],[R1]])</f>
        <v>123</v>
      </c>
      <c r="AH210" s="6">
        <f>IF(Eingabe[[#This Row],[V2]]="","",Eingabe[[#This Row],[V2]]+Eingabe[[#This Row],[R2]])</f>
        <v>124</v>
      </c>
      <c r="AI210" s="6">
        <f>IF(Eingabe[[#This Row],[V3]]="","",Eingabe[[#This Row],[V3]]+Eingabe[[#This Row],[R3]])</f>
        <v>130</v>
      </c>
      <c r="AJ210" s="6">
        <f>IF(Eingabe[[#This Row],[V4]]="","",Eingabe[[#This Row],[V4]]+Eingabe[[#This Row],[R4]])</f>
        <v>120</v>
      </c>
      <c r="AK210" s="6" t="str">
        <f>IF(Eingabe[[#This Row],[S1P]]="","",Eingabe[[#This Row],[S1P]]+Eingabe[[#This Row],[S2P]]+Eingabe[[#This Row],[S3P]]+Eingabe[[#This Row],[S4P]])</f>
        <v/>
      </c>
      <c r="AL210" s="6" t="str">
        <f>IF(Eingabe[[#This Row],[S1P]]="","",IF(Eingabe[[#This Row],[SP]]&gt;2,1,IF(Eingabe[[#This Row],[SP]]&lt;2,0,IF(Eingabe[[#This Row],[GES]]&gt;Eingabe[[#This Row],[GEGGES]],1,IF(Eingabe[[#This Row],[GES]]=Eingabe[[#This Row],[GEGGES]],0.5,0)))))</f>
        <v/>
      </c>
      <c r="AM210" s="6" t="str">
        <f>IF(Eingabe[[#This Row],[MP]]="","",MOD(ROW(Eingabe[[#This Row],[Position]])-3,6)+1)</f>
        <v/>
      </c>
      <c r="AN210" s="6">
        <f>STANDARDIZE(Eingabe[[#This Row],[GES]],Eingabe[[#This Row],[Schnitt]],VLOOKUP(Eingabe[[#This Row],[Name]],AuswertungG[],21,FALSE))</f>
        <v>-0.55000000000000004</v>
      </c>
      <c r="AO210" s="6">
        <f>VLOOKUP(Eingabe[[#This Row],[ID]],Chronologie[[ID]:[KW]],12,FALSE)</f>
        <v>4</v>
      </c>
      <c r="AP210" s="95" t="str">
        <f>IF(Eingabe[[#This Row],[Wo]]="H",Eingabe[[#This Row],[Gegner]]&amp;" ["&amp;Eingabe[[#This Row],[Wo]]&amp;"]",Eingabe[[#This Row],[Ort]])</f>
        <v>Hirschfelder SV [H]</v>
      </c>
      <c r="AQ210" s="6" t="str">
        <f>IFERROR(IF(Eingabe[[#This Row],[Wo]]="H",IF(MOD(Eingabe[[#This Row],[Position]],2)=1,Eingabe[[#This Row],[S1]],Eingabe[[#This Row],[S4]]),""),"")</f>
        <v/>
      </c>
      <c r="AR210" s="6" t="str">
        <f>IFERROR(IF(Eingabe[[#This Row],[Wo]]="H",IF(Eingabe[[#This Row],[S1]]&gt;0,IF(MOD(Eingabe[[#This Row],[Position]],2)=1,Eingabe[[#This Row],[S2]],Eingabe[[#This Row],[S3]]),""),""),"")</f>
        <v/>
      </c>
      <c r="AS210" s="6">
        <f>IFERROR(IF(Eingabe[[#This Row],[Wo]]="H",IF(Eingabe[[#This Row],[S1]]&gt;0,IF(MOD(ROW(Eingabe[[#This Row],[Heimbahn 3]]),2)=1,Eingabe[[#This Row],[S4]],Eingabe[[#This Row],[S1]]),""),""),"")</f>
        <v>123</v>
      </c>
      <c r="AT210" s="6">
        <f>IFERROR(IF(Eingabe[[#This Row],[Wo]]="H",IF(Eingabe[[#This Row],[S1]]&gt;0,IF(MOD(ROW(Eingabe[[#This Row],[Heimbahn 4]]),2)=1,Eingabe[[#This Row],[S3]],Eingabe[[#This Row],[S2]]),""),""),"")</f>
        <v>124</v>
      </c>
      <c r="AU210" s="22">
        <f>IF(Eingabe[[#This Row],[GES]]="","",IF(Eingabe[[#This Row],[Modus]]="L",_xlfn.RANK.EQ(Eingabe[[#This Row],[GES]],AF207:AF212),IF(Eingabe[[#This Row],[Modus]]="P",_xlfn.RANK.EQ(Eingabe[[#This Row],[GES]],AF207:AF212),"")))</f>
        <v>2</v>
      </c>
      <c r="AV210" s="6">
        <f>VLOOKUP(Eingabe[[#This Row],[Name]],AuswertungG[],8,FALSE)</f>
        <v>508</v>
      </c>
      <c r="AZ210" s="6">
        <f>IFERROR(ABS(Eingabe[[#This Row],[GES]]-Eingabe[[#This Row],[GEGGES]]),"")</f>
        <v>497</v>
      </c>
    </row>
    <row r="211" spans="1:52" ht="16.2" hidden="1" thickBot="1" x14ac:dyDescent="0.35">
      <c r="A211" s="441"/>
      <c r="B211" s="21">
        <f t="shared" si="34"/>
        <v>35</v>
      </c>
      <c r="C211" s="6" t="str">
        <f>VLOOKUP($B211,Chronologie[],7,TRUE)</f>
        <v>Hirschfelder SV</v>
      </c>
      <c r="D211" s="6" t="str">
        <f>VLOOKUP($B211,Chronologie[],8,TRUE)</f>
        <v>Hirschfeld</v>
      </c>
      <c r="E211" s="240" t="str">
        <f>VLOOKUP($B211,Chronologie[],9,TRUE)</f>
        <v>H</v>
      </c>
      <c r="F211" s="6" t="str">
        <f>VLOOKUP($B211,Chronologie[],COLUMN(F212)-2,TRUE)</f>
        <v>U19</v>
      </c>
      <c r="G211" s="6" t="str">
        <f>VLOOKUP($B211,Chronologie[],COLUMN(G212)-2,TRUE)</f>
        <v>L</v>
      </c>
      <c r="H211" s="6">
        <f>VLOOKUP($B211,Chronologie[],COLUMN(H212)-2,TRUE)</f>
        <v>3</v>
      </c>
      <c r="I211" s="10" t="str">
        <f>VLOOKUP($B211,Chronologie[],2,TRUE)</f>
        <v>U19-L-3</v>
      </c>
      <c r="J211" s="243">
        <f>VLOOKUP($B211,Chronologie[],3,TRUE)</f>
        <v>45920</v>
      </c>
      <c r="K211" s="237"/>
      <c r="L211" s="237"/>
      <c r="M211" s="237"/>
      <c r="N211" s="237"/>
      <c r="O211" s="237"/>
      <c r="P211" s="237"/>
      <c r="Q211" s="237"/>
      <c r="R211" s="237"/>
      <c r="S211" s="237"/>
      <c r="T211" s="237"/>
      <c r="U211" s="237"/>
      <c r="V211" s="237"/>
      <c r="W211" s="237"/>
      <c r="X211" s="38"/>
      <c r="Y211" s="38"/>
      <c r="Z211" s="38"/>
      <c r="AA211" s="38"/>
      <c r="AB211" s="91"/>
      <c r="AC211" s="94" t="str">
        <f>IF(Eingabe[[#This Row],[V1]]="",IF(Eingabe[[#This Row],[Volle alternativ]]="","",Eingabe[[#This Row],[Volle alternativ]]),SUM(Eingabe[[#This Row],[V1]:[V4]]))</f>
        <v/>
      </c>
      <c r="AD211" s="6" t="str">
        <f>IF(Eingabe[[#This Row],[R1]]="",IF(Eingabe[[#This Row],[Räumer alternativ]]="","",Eingabe[[#This Row],[Räumer alternativ]]),SUM(Eingabe[[#This Row],[R1]:[R4]]))</f>
        <v/>
      </c>
      <c r="AE211" s="6" t="str">
        <f>IF(Eingabe[[#This Row],[F1]]="",IF(Eingabe[[#This Row],[Fehler alternativ]]="","",Eingabe[[#This Row],[Fehler alternativ]]),SUM(Eingabe[[#This Row],[F1]:[F4]]))</f>
        <v/>
      </c>
      <c r="AF211" s="6" t="str">
        <f>IF(Eingabe[[#This Row],[Volle]]="","",IF(Eingabe[[#This Row],[S1]]="",Eingabe[[#This Row],[Volle]]+Eingabe[[#This Row],[Räumer]],IF(Eingabe[[#This Row],[Volle]]+Eingabe[[#This Row],[Räumer]]=Eingabe[[#This Row],[S1]]+Eingabe[[#This Row],[S2]]+Eingabe[[#This Row],[S3]]+Eingabe[[#This Row],[S4]],Eingabe[[#This Row],[Volle]]+Eingabe[[#This Row],[Räumer]],"FEHLER")))</f>
        <v/>
      </c>
      <c r="AG211" s="6" t="str">
        <f>IF(Eingabe[[#This Row],[V1]]="","",Eingabe[[#This Row],[V1]]+Eingabe[[#This Row],[R1]])</f>
        <v/>
      </c>
      <c r="AH211" s="6" t="str">
        <f>IF(Eingabe[[#This Row],[V2]]="","",Eingabe[[#This Row],[V2]]+Eingabe[[#This Row],[R2]])</f>
        <v/>
      </c>
      <c r="AI211" s="6" t="str">
        <f>IF(Eingabe[[#This Row],[V3]]="","",Eingabe[[#This Row],[V3]]+Eingabe[[#This Row],[R3]])</f>
        <v/>
      </c>
      <c r="AJ211" s="6" t="str">
        <f>IF(Eingabe[[#This Row],[V4]]="","",Eingabe[[#This Row],[V4]]+Eingabe[[#This Row],[R4]])</f>
        <v/>
      </c>
      <c r="AK211" s="6" t="str">
        <f>IF(Eingabe[[#This Row],[S1P]]="","",Eingabe[[#This Row],[S1P]]+Eingabe[[#This Row],[S2P]]+Eingabe[[#This Row],[S3P]]+Eingabe[[#This Row],[S4P]])</f>
        <v/>
      </c>
      <c r="AL211" s="6" t="str">
        <f>IF(Eingabe[[#This Row],[S1P]]="","",IF(Eingabe[[#This Row],[SP]]&gt;2,1,IF(Eingabe[[#This Row],[SP]]&lt;2,0,IF(Eingabe[[#This Row],[GES]]&gt;Eingabe[[#This Row],[GEGGES]],1,IF(Eingabe[[#This Row],[GES]]=Eingabe[[#This Row],[GEGGES]],0.5,0)))))</f>
        <v/>
      </c>
      <c r="AM211" s="6" t="str">
        <f>IF(Eingabe[[#This Row],[MP]]="","",MOD(ROW(Eingabe[[#This Row],[Position]])-3,6)+1)</f>
        <v/>
      </c>
      <c r="AN211" s="6" t="e">
        <f>STANDARDIZE(Eingabe[[#This Row],[GES]],Eingabe[[#This Row],[Schnitt]],VLOOKUP(Eingabe[[#This Row],[Name]],AuswertungG[],21,FALSE))</f>
        <v>#VALUE!</v>
      </c>
      <c r="AO211" s="6">
        <f>VLOOKUP(Eingabe[[#This Row],[ID]],Chronologie[[ID]:[KW]],12,FALSE)</f>
        <v>4</v>
      </c>
      <c r="AP211" s="95" t="str">
        <f>IF(Eingabe[[#This Row],[Wo]]="H",Eingabe[[#This Row],[Gegner]]&amp;" ["&amp;Eingabe[[#This Row],[Wo]]&amp;"]",Eingabe[[#This Row],[Ort]])</f>
        <v>Hirschfelder SV [H]</v>
      </c>
      <c r="AQ211" s="6" t="str">
        <f>IFERROR(IF(Eingabe[[#This Row],[Wo]]="H",IF(MOD(Eingabe[[#This Row],[Position]],2)=1,Eingabe[[#This Row],[S1]],Eingabe[[#This Row],[S4]]),""),"")</f>
        <v/>
      </c>
      <c r="AR211" s="6" t="str">
        <f>IFERROR(IF(Eingabe[[#This Row],[Wo]]="H",IF(Eingabe[[#This Row],[S1]]&gt;0,IF(MOD(Eingabe[[#This Row],[Position]],2)=1,Eingabe[[#This Row],[S2]],Eingabe[[#This Row],[S3]]),""),""),"")</f>
        <v/>
      </c>
      <c r="AS211" s="6" t="str">
        <f>IFERROR(IF(Eingabe[[#This Row],[Wo]]="H",IF(Eingabe[[#This Row],[S1]]&gt;0,IF(MOD(ROW(Eingabe[[#This Row],[Heimbahn 3]]),2)=1,Eingabe[[#This Row],[S4]],Eingabe[[#This Row],[S1]]),""),""),"")</f>
        <v/>
      </c>
      <c r="AT211" s="6" t="str">
        <f>IFERROR(IF(Eingabe[[#This Row],[Wo]]="H",IF(Eingabe[[#This Row],[S1]]&gt;0,IF(MOD(ROW(Eingabe[[#This Row],[Heimbahn 4]]),2)=1,Eingabe[[#This Row],[S3]],Eingabe[[#This Row],[S2]]),""),""),"")</f>
        <v/>
      </c>
      <c r="AU211" s="22" t="str">
        <f>IF(Eingabe[[#This Row],[GES]]="","",IF(Eingabe[[#This Row],[Modus]]="L",_xlfn.RANK.EQ(Eingabe[[#This Row],[GES]],AF207:AF212),IF(Eingabe[[#This Row],[Modus]]="P",_xlfn.RANK.EQ(Eingabe[[#This Row],[GES]],AF207:AF212),"")))</f>
        <v/>
      </c>
      <c r="AV211" s="6" t="e">
        <f>VLOOKUP(Eingabe[[#This Row],[Name]],AuswertungG[],8,FALSE)</f>
        <v>#N/A</v>
      </c>
      <c r="AZ211" s="6" t="str">
        <f>IFERROR(ABS(Eingabe[[#This Row],[GES]]-Eingabe[[#This Row],[GEGGES]]),"")</f>
        <v/>
      </c>
    </row>
    <row r="212" spans="1:52" ht="16.2" hidden="1" thickBot="1" x14ac:dyDescent="0.35">
      <c r="A212" s="442"/>
      <c r="B212" s="56">
        <f t="shared" si="34"/>
        <v>35</v>
      </c>
      <c r="C212" s="23" t="str">
        <f>VLOOKUP($B212,Chronologie[],7,TRUE)</f>
        <v>Hirschfelder SV</v>
      </c>
      <c r="D212" s="23" t="str">
        <f>VLOOKUP($B212,Chronologie[],8,TRUE)</f>
        <v>Hirschfeld</v>
      </c>
      <c r="E212" s="39" t="str">
        <f>VLOOKUP($B212,Chronologie[],9,TRUE)</f>
        <v>H</v>
      </c>
      <c r="F212" s="23" t="str">
        <f>VLOOKUP($B212,Chronologie[],COLUMN(F213)-2,TRUE)</f>
        <v>U19</v>
      </c>
      <c r="G212" s="23" t="str">
        <f>VLOOKUP($B212,Chronologie[],COLUMN(G213)-2,TRUE)</f>
        <v>L</v>
      </c>
      <c r="H212" s="23">
        <f>VLOOKUP($B212,Chronologie[],COLUMN(H213)-2,TRUE)</f>
        <v>3</v>
      </c>
      <c r="I212" s="13" t="str">
        <f>VLOOKUP($B212,Chronologie[],2,TRUE)</f>
        <v>U19-L-3</v>
      </c>
      <c r="J212" s="244">
        <f>VLOOKUP($B212,Chronologie[],3,TRUE)</f>
        <v>45920</v>
      </c>
      <c r="K212" s="239"/>
      <c r="L212" s="239"/>
      <c r="M212" s="239"/>
      <c r="N212" s="239"/>
      <c r="O212" s="239"/>
      <c r="P212" s="239"/>
      <c r="Q212" s="239"/>
      <c r="R212" s="239"/>
      <c r="S212" s="239"/>
      <c r="T212" s="239"/>
      <c r="U212" s="239"/>
      <c r="V212" s="239"/>
      <c r="W212" s="239"/>
      <c r="X212" s="40"/>
      <c r="Y212" s="40"/>
      <c r="Z212" s="40"/>
      <c r="AA212" s="40"/>
      <c r="AB212" s="92"/>
      <c r="AC212" s="96" t="str">
        <f>IF(Eingabe[[#This Row],[V1]]="",IF(Eingabe[[#This Row],[Volle alternativ]]="","",Eingabe[[#This Row],[Volle alternativ]]),SUM(Eingabe[[#This Row],[V1]:[V4]]))</f>
        <v/>
      </c>
      <c r="AD212" s="23" t="str">
        <f>IF(Eingabe[[#This Row],[R1]]="",IF(Eingabe[[#This Row],[Räumer alternativ]]="","",Eingabe[[#This Row],[Räumer alternativ]]),SUM(Eingabe[[#This Row],[R1]:[R4]]))</f>
        <v/>
      </c>
      <c r="AE212" s="23" t="str">
        <f>IF(Eingabe[[#This Row],[F1]]="",IF(Eingabe[[#This Row],[Fehler alternativ]]="","",Eingabe[[#This Row],[Fehler alternativ]]),SUM(Eingabe[[#This Row],[F1]:[F4]]))</f>
        <v/>
      </c>
      <c r="AF212" s="23" t="str">
        <f>IF(Eingabe[[#This Row],[Volle]]="","",IF(Eingabe[[#This Row],[S1]]="",Eingabe[[#This Row],[Volle]]+Eingabe[[#This Row],[Räumer]],IF(Eingabe[[#This Row],[Volle]]+Eingabe[[#This Row],[Räumer]]=Eingabe[[#This Row],[S1]]+Eingabe[[#This Row],[S2]]+Eingabe[[#This Row],[S3]]+Eingabe[[#This Row],[S4]],Eingabe[[#This Row],[Volle]]+Eingabe[[#This Row],[Räumer]],"FEHLER")))</f>
        <v/>
      </c>
      <c r="AG212" s="23" t="str">
        <f>IF(Eingabe[[#This Row],[V1]]="","",Eingabe[[#This Row],[V1]]+Eingabe[[#This Row],[R1]])</f>
        <v/>
      </c>
      <c r="AH212" s="23" t="str">
        <f>IF(Eingabe[[#This Row],[V2]]="","",Eingabe[[#This Row],[V2]]+Eingabe[[#This Row],[R2]])</f>
        <v/>
      </c>
      <c r="AI212" s="23" t="str">
        <f>IF(Eingabe[[#This Row],[V3]]="","",Eingabe[[#This Row],[V3]]+Eingabe[[#This Row],[R3]])</f>
        <v/>
      </c>
      <c r="AJ212" s="23" t="str">
        <f>IF(Eingabe[[#This Row],[V4]]="","",Eingabe[[#This Row],[V4]]+Eingabe[[#This Row],[R4]])</f>
        <v/>
      </c>
      <c r="AK212" s="23" t="str">
        <f>IF(Eingabe[[#This Row],[S1P]]="","",Eingabe[[#This Row],[S1P]]+Eingabe[[#This Row],[S2P]]+Eingabe[[#This Row],[S3P]]+Eingabe[[#This Row],[S4P]])</f>
        <v/>
      </c>
      <c r="AL212" s="23" t="str">
        <f>IF(Eingabe[[#This Row],[S1P]]="","",IF(Eingabe[[#This Row],[SP]]&gt;2,1,IF(Eingabe[[#This Row],[SP]]&lt;2,0,IF(Eingabe[[#This Row],[GES]]&gt;Eingabe[[#This Row],[GEGGES]],1,IF(Eingabe[[#This Row],[GES]]=Eingabe[[#This Row],[GEGGES]],0.5,0)))))</f>
        <v/>
      </c>
      <c r="AM212" s="23" t="str">
        <f>IF(Eingabe[[#This Row],[MP]]="","",MOD(ROW(Eingabe[[#This Row],[Position]])-3,6)+1)</f>
        <v/>
      </c>
      <c r="AN212" s="23" t="e">
        <f>STANDARDIZE(Eingabe[[#This Row],[GES]],Eingabe[[#This Row],[Schnitt]],VLOOKUP(Eingabe[[#This Row],[Name]],AuswertungG[],21,FALSE))</f>
        <v>#VALUE!</v>
      </c>
      <c r="AO212" s="23">
        <f>VLOOKUP(Eingabe[[#This Row],[ID]],Chronologie[[ID]:[KW]],12,FALSE)</f>
        <v>4</v>
      </c>
      <c r="AP212" s="59" t="str">
        <f>IF(Eingabe[[#This Row],[Wo]]="H",Eingabe[[#This Row],[Gegner]]&amp;" ["&amp;Eingabe[[#This Row],[Wo]]&amp;"]",Eingabe[[#This Row],[Ort]])</f>
        <v>Hirschfelder SV [H]</v>
      </c>
      <c r="AQ212" s="23" t="str">
        <f>IFERROR(IF(Eingabe[[#This Row],[Wo]]="H",IF(MOD(Eingabe[[#This Row],[Position]],2)=1,Eingabe[[#This Row],[S1]],Eingabe[[#This Row],[S4]]),""),"")</f>
        <v/>
      </c>
      <c r="AR212" s="23" t="str">
        <f>IFERROR(IF(Eingabe[[#This Row],[Wo]]="H",IF(Eingabe[[#This Row],[S1]]&gt;0,IF(MOD(Eingabe[[#This Row],[Position]],2)=1,Eingabe[[#This Row],[S2]],Eingabe[[#This Row],[S3]]),""),""),"")</f>
        <v/>
      </c>
      <c r="AS212" s="23" t="str">
        <f>IFERROR(IF(Eingabe[[#This Row],[Wo]]="H",IF(Eingabe[[#This Row],[S1]]&gt;0,IF(MOD(ROW(Eingabe[[#This Row],[Heimbahn 3]]),2)=1,Eingabe[[#This Row],[S4]],Eingabe[[#This Row],[S1]]),""),""),"")</f>
        <v/>
      </c>
      <c r="AT212" s="23" t="str">
        <f>IFERROR(IF(Eingabe[[#This Row],[Wo]]="H",IF(Eingabe[[#This Row],[S1]]&gt;0,IF(MOD(ROW(Eingabe[[#This Row],[Heimbahn 4]]),2)=1,Eingabe[[#This Row],[S3]],Eingabe[[#This Row],[S2]]),""),""),"")</f>
        <v/>
      </c>
      <c r="AU212" s="89" t="str">
        <f>IF(Eingabe[[#This Row],[GES]]="","",IF(Eingabe[[#This Row],[Modus]]="L",_xlfn.RANK.EQ(Eingabe[[#This Row],[GES]],AF207:AF212),IF(Eingabe[[#This Row],[Modus]]="P",_xlfn.RANK.EQ(Eingabe[[#This Row],[GES]],AF207:AF212),"")))</f>
        <v/>
      </c>
      <c r="AV212" s="6" t="e">
        <f>VLOOKUP(Eingabe[[#This Row],[Name]],AuswertungG[],8,FALSE)</f>
        <v>#N/A</v>
      </c>
      <c r="AZ212" s="6" t="str">
        <f>IFERROR(ABS(Eingabe[[#This Row],[GES]]-Eingabe[[#This Row],[GEGGES]]),"")</f>
        <v/>
      </c>
    </row>
    <row r="213" spans="1:52" ht="16.2" hidden="1" thickBot="1" x14ac:dyDescent="0.35">
      <c r="A213" s="440">
        <f t="shared" ref="A213" si="37">B213</f>
        <v>36</v>
      </c>
      <c r="B213" s="55">
        <f t="shared" si="34"/>
        <v>36</v>
      </c>
      <c r="C213" s="35">
        <f>VLOOKUP($B213,Chronologie[],7,TRUE)</f>
        <v>0</v>
      </c>
      <c r="D213" s="35">
        <f>VLOOKUP($B213,Chronologie[],8,TRUE)</f>
        <v>0</v>
      </c>
      <c r="E213" s="36">
        <f>VLOOKUP($B213,Chronologie[],9,TRUE)</f>
        <v>0</v>
      </c>
      <c r="F213" s="35" t="str">
        <f>VLOOKUP($B213,Chronologie[],COLUMN(F214)-2,TRUE)</f>
        <v>U19</v>
      </c>
      <c r="G213" s="35" t="str">
        <f>VLOOKUP($B213,Chronologie[],COLUMN(G214)-2,TRUE)</f>
        <v>L</v>
      </c>
      <c r="H213" s="35">
        <f>VLOOKUP($B213,Chronologie[],COLUMN(H214)-2,TRUE)</f>
        <v>4</v>
      </c>
      <c r="I213" s="9" t="str">
        <f>VLOOKUP($B213,Chronologie[],2,TRUE)</f>
        <v>U19-L-4</v>
      </c>
      <c r="J213" s="242">
        <f>VLOOKUP($B213,Chronologie[],3,TRUE)</f>
        <v>0</v>
      </c>
      <c r="K213" s="236"/>
      <c r="L213" s="334"/>
      <c r="M213" s="334"/>
      <c r="N213" s="334"/>
      <c r="O213" s="334"/>
      <c r="P213" s="334"/>
      <c r="Q213" s="334"/>
      <c r="R213" s="334"/>
      <c r="S213" s="334"/>
      <c r="T213" s="334"/>
      <c r="U213" s="334"/>
      <c r="V213" s="334"/>
      <c r="W213" s="334"/>
      <c r="X213" s="37"/>
      <c r="Y213" s="37"/>
      <c r="Z213" s="37"/>
      <c r="AA213" s="37"/>
      <c r="AB213" s="90"/>
      <c r="AC213" s="93" t="str">
        <f>IF(Eingabe[[#This Row],[V1]]="",IF(Eingabe[[#This Row],[Volle alternativ]]="","",Eingabe[[#This Row],[Volle alternativ]]),SUM(Eingabe[[#This Row],[V1]:[V4]]))</f>
        <v/>
      </c>
      <c r="AD213" s="35" t="str">
        <f>IF(Eingabe[[#This Row],[R1]]="",IF(Eingabe[[#This Row],[Räumer alternativ]]="","",Eingabe[[#This Row],[Räumer alternativ]]),SUM(Eingabe[[#This Row],[R1]:[R4]]))</f>
        <v/>
      </c>
      <c r="AE213" s="35" t="str">
        <f>IF(Eingabe[[#This Row],[F1]]="",IF(Eingabe[[#This Row],[Fehler alternativ]]="","",Eingabe[[#This Row],[Fehler alternativ]]),SUM(Eingabe[[#This Row],[F1]:[F4]]))</f>
        <v/>
      </c>
      <c r="AF213" s="35" t="str">
        <f>IF(Eingabe[[#This Row],[Volle]]="","",IF(Eingabe[[#This Row],[S1]]="",Eingabe[[#This Row],[Volle]]+Eingabe[[#This Row],[Räumer]],IF(Eingabe[[#This Row],[Volle]]+Eingabe[[#This Row],[Räumer]]=Eingabe[[#This Row],[S1]]+Eingabe[[#This Row],[S2]]+Eingabe[[#This Row],[S3]]+Eingabe[[#This Row],[S4]],Eingabe[[#This Row],[Volle]]+Eingabe[[#This Row],[Räumer]],"FEHLER")))</f>
        <v/>
      </c>
      <c r="AG213" s="35" t="str">
        <f>IF(Eingabe[[#This Row],[V1]]="","",Eingabe[[#This Row],[V1]]+Eingabe[[#This Row],[R1]])</f>
        <v/>
      </c>
      <c r="AH213" s="35" t="str">
        <f>IF(Eingabe[[#This Row],[V2]]="","",Eingabe[[#This Row],[V2]]+Eingabe[[#This Row],[R2]])</f>
        <v/>
      </c>
      <c r="AI213" s="35" t="str">
        <f>IF(Eingabe[[#This Row],[V3]]="","",Eingabe[[#This Row],[V3]]+Eingabe[[#This Row],[R3]])</f>
        <v/>
      </c>
      <c r="AJ213" s="35" t="str">
        <f>IF(Eingabe[[#This Row],[V4]]="","",Eingabe[[#This Row],[V4]]+Eingabe[[#This Row],[R4]])</f>
        <v/>
      </c>
      <c r="AK213" s="35" t="str">
        <f>IF(Eingabe[[#This Row],[S1P]]="","",Eingabe[[#This Row],[S1P]]+Eingabe[[#This Row],[S2P]]+Eingabe[[#This Row],[S3P]]+Eingabe[[#This Row],[S4P]])</f>
        <v/>
      </c>
      <c r="AL213" s="35" t="str">
        <f>IF(Eingabe[[#This Row],[S1P]]="","",IF(Eingabe[[#This Row],[SP]]&gt;2,1,IF(Eingabe[[#This Row],[SP]]&lt;2,0,IF(Eingabe[[#This Row],[GES]]&gt;Eingabe[[#This Row],[GEGGES]],1,IF(Eingabe[[#This Row],[GES]]=Eingabe[[#This Row],[GEGGES]],0.5,0)))))</f>
        <v/>
      </c>
      <c r="AM213" s="35" t="str">
        <f>IF(Eingabe[[#This Row],[MP]]="","",MOD(ROW(Eingabe[[#This Row],[Position]])-3,6)+1)</f>
        <v/>
      </c>
      <c r="AN213" s="35" t="e">
        <f>STANDARDIZE(Eingabe[[#This Row],[GES]],Eingabe[[#This Row],[Schnitt]],VLOOKUP(Eingabe[[#This Row],[Name]],AuswertungG[],21,FALSE))</f>
        <v>#VALUE!</v>
      </c>
      <c r="AO213" s="35" t="str">
        <f>VLOOKUP(Eingabe[[#This Row],[ID]],Chronologie[[ID]:[KW]],12,FALSE)</f>
        <v/>
      </c>
      <c r="AP213" s="58">
        <f>IF(Eingabe[[#This Row],[Wo]]="H",Eingabe[[#This Row],[Gegner]]&amp;" ["&amp;Eingabe[[#This Row],[Wo]]&amp;"]",Eingabe[[#This Row],[Ort]])</f>
        <v>0</v>
      </c>
      <c r="AQ213" s="35" t="str">
        <f>IFERROR(IF(Eingabe[[#This Row],[Wo]]="H",IF(MOD(Eingabe[[#This Row],[Position]],2)=1,Eingabe[[#This Row],[S1]],Eingabe[[#This Row],[S4]]),""),"")</f>
        <v/>
      </c>
      <c r="AR213" s="35" t="str">
        <f>IFERROR(IF(Eingabe[[#This Row],[Wo]]="H",IF(Eingabe[[#This Row],[S1]]&gt;0,IF(MOD(Eingabe[[#This Row],[Position]],2)=1,Eingabe[[#This Row],[S2]],Eingabe[[#This Row],[S3]]),""),""),"")</f>
        <v/>
      </c>
      <c r="AS213" s="35" t="str">
        <f>IFERROR(IF(Eingabe[[#This Row],[Wo]]="H",IF(Eingabe[[#This Row],[S1]]&gt;0,IF(MOD(ROW(Eingabe[[#This Row],[Heimbahn 3]]),2)=1,Eingabe[[#This Row],[S4]],Eingabe[[#This Row],[S1]]),""),""),"")</f>
        <v/>
      </c>
      <c r="AT213" s="35" t="str">
        <f>IFERROR(IF(Eingabe[[#This Row],[Wo]]="H",IF(Eingabe[[#This Row],[S1]]&gt;0,IF(MOD(ROW(Eingabe[[#This Row],[Heimbahn 4]]),2)=1,Eingabe[[#This Row],[S3]],Eingabe[[#This Row],[S2]]),""),""),"")</f>
        <v/>
      </c>
      <c r="AU213" s="88" t="str">
        <f>IF(Eingabe[[#This Row],[GES]]="","",IF(Eingabe[[#This Row],[Modus]]="L",_xlfn.RANK.EQ(Eingabe[[#This Row],[GES]],AF213:AF218),IF(Eingabe[[#This Row],[Modus]]="P",_xlfn.RANK.EQ(Eingabe[[#This Row],[GES]],AF213:AF218),"")))</f>
        <v/>
      </c>
      <c r="AV213" s="6" t="e">
        <f>VLOOKUP(Eingabe[[#This Row],[Name]],AuswertungG[],8,FALSE)</f>
        <v>#N/A</v>
      </c>
      <c r="AZ213" s="6" t="str">
        <f>IFERROR(ABS(Eingabe[[#This Row],[GES]]-Eingabe[[#This Row],[GEGGES]]),"")</f>
        <v/>
      </c>
    </row>
    <row r="214" spans="1:52" ht="16.2" hidden="1" thickBot="1" x14ac:dyDescent="0.35">
      <c r="A214" s="441"/>
      <c r="B214" s="21">
        <f t="shared" si="34"/>
        <v>36</v>
      </c>
      <c r="C214" s="6">
        <f>VLOOKUP($B214,Chronologie[],7,TRUE)</f>
        <v>0</v>
      </c>
      <c r="D214" s="6">
        <f>VLOOKUP($B214,Chronologie[],8,TRUE)</f>
        <v>0</v>
      </c>
      <c r="E214" s="240">
        <f>VLOOKUP($B214,Chronologie[],9,TRUE)</f>
        <v>0</v>
      </c>
      <c r="F214" s="6" t="str">
        <f>VLOOKUP($B214,Chronologie[],COLUMN(F215)-2,TRUE)</f>
        <v>U19</v>
      </c>
      <c r="G214" s="6" t="str">
        <f>VLOOKUP($B214,Chronologie[],COLUMN(G215)-2,TRUE)</f>
        <v>L</v>
      </c>
      <c r="H214" s="6">
        <f>VLOOKUP($B214,Chronologie[],COLUMN(H215)-2,TRUE)</f>
        <v>4</v>
      </c>
      <c r="I214" s="10" t="str">
        <f>VLOOKUP($B214,Chronologie[],2,TRUE)</f>
        <v>U19-L-4</v>
      </c>
      <c r="J214" s="243">
        <f>VLOOKUP($B214,Chronologie[],3,TRUE)</f>
        <v>0</v>
      </c>
      <c r="K214" s="237"/>
      <c r="L214" s="237"/>
      <c r="M214" s="237"/>
      <c r="N214" s="237"/>
      <c r="O214" s="237"/>
      <c r="P214" s="237"/>
      <c r="Q214" s="237"/>
      <c r="R214" s="237"/>
      <c r="S214" s="237"/>
      <c r="T214" s="237"/>
      <c r="U214" s="237"/>
      <c r="V214" s="237"/>
      <c r="W214" s="237"/>
      <c r="X214" s="38"/>
      <c r="Y214" s="38"/>
      <c r="Z214" s="38"/>
      <c r="AA214" s="38"/>
      <c r="AB214" s="91"/>
      <c r="AC214" s="94" t="str">
        <f>IF(Eingabe[[#This Row],[V1]]="",IF(Eingabe[[#This Row],[Volle alternativ]]="","",Eingabe[[#This Row],[Volle alternativ]]),SUM(Eingabe[[#This Row],[V1]:[V4]]))</f>
        <v/>
      </c>
      <c r="AD214" s="6" t="str">
        <f>IF(Eingabe[[#This Row],[R1]]="",IF(Eingabe[[#This Row],[Räumer alternativ]]="","",Eingabe[[#This Row],[Räumer alternativ]]),SUM(Eingabe[[#This Row],[R1]:[R4]]))</f>
        <v/>
      </c>
      <c r="AE214" s="6" t="str">
        <f>IF(Eingabe[[#This Row],[F1]]="",IF(Eingabe[[#This Row],[Fehler alternativ]]="","",Eingabe[[#This Row],[Fehler alternativ]]),SUM(Eingabe[[#This Row],[F1]:[F4]]))</f>
        <v/>
      </c>
      <c r="AF214" s="6" t="str">
        <f>IF(Eingabe[[#This Row],[Volle]]="","",IF(Eingabe[[#This Row],[S1]]="",Eingabe[[#This Row],[Volle]]+Eingabe[[#This Row],[Räumer]],IF(Eingabe[[#This Row],[Volle]]+Eingabe[[#This Row],[Räumer]]=Eingabe[[#This Row],[S1]]+Eingabe[[#This Row],[S2]]+Eingabe[[#This Row],[S3]]+Eingabe[[#This Row],[S4]],Eingabe[[#This Row],[Volle]]+Eingabe[[#This Row],[Räumer]],"FEHLER")))</f>
        <v/>
      </c>
      <c r="AG214" s="6" t="str">
        <f>IF(Eingabe[[#This Row],[V1]]="","",Eingabe[[#This Row],[V1]]+Eingabe[[#This Row],[R1]])</f>
        <v/>
      </c>
      <c r="AH214" s="6" t="str">
        <f>IF(Eingabe[[#This Row],[V2]]="","",Eingabe[[#This Row],[V2]]+Eingabe[[#This Row],[R2]])</f>
        <v/>
      </c>
      <c r="AI214" s="6" t="str">
        <f>IF(Eingabe[[#This Row],[V3]]="","",Eingabe[[#This Row],[V3]]+Eingabe[[#This Row],[R3]])</f>
        <v/>
      </c>
      <c r="AJ214" s="6" t="str">
        <f>IF(Eingabe[[#This Row],[V4]]="","",Eingabe[[#This Row],[V4]]+Eingabe[[#This Row],[R4]])</f>
        <v/>
      </c>
      <c r="AK214" s="6" t="str">
        <f>IF(Eingabe[[#This Row],[S1P]]="","",Eingabe[[#This Row],[S1P]]+Eingabe[[#This Row],[S2P]]+Eingabe[[#This Row],[S3P]]+Eingabe[[#This Row],[S4P]])</f>
        <v/>
      </c>
      <c r="AL214" s="6" t="str">
        <f>IF(Eingabe[[#This Row],[S1P]]="","",IF(Eingabe[[#This Row],[SP]]&gt;2,1,IF(Eingabe[[#This Row],[SP]]&lt;2,0,IF(Eingabe[[#This Row],[GES]]&gt;Eingabe[[#This Row],[GEGGES]],1,IF(Eingabe[[#This Row],[GES]]=Eingabe[[#This Row],[GEGGES]],0.5,0)))))</f>
        <v/>
      </c>
      <c r="AM214" s="6" t="str">
        <f>IF(Eingabe[[#This Row],[MP]]="","",MOD(ROW(Eingabe[[#This Row],[Position]])-3,6)+1)</f>
        <v/>
      </c>
      <c r="AN214" s="6" t="e">
        <f>STANDARDIZE(Eingabe[[#This Row],[GES]],Eingabe[[#This Row],[Schnitt]],VLOOKUP(Eingabe[[#This Row],[Name]],AuswertungG[],21,FALSE))</f>
        <v>#VALUE!</v>
      </c>
      <c r="AO214" s="6" t="str">
        <f>VLOOKUP(Eingabe[[#This Row],[ID]],Chronologie[[ID]:[KW]],12,FALSE)</f>
        <v/>
      </c>
      <c r="AP214" s="95">
        <f>IF(Eingabe[[#This Row],[Wo]]="H",Eingabe[[#This Row],[Gegner]]&amp;" ["&amp;Eingabe[[#This Row],[Wo]]&amp;"]",Eingabe[[#This Row],[Ort]])</f>
        <v>0</v>
      </c>
      <c r="AQ214" s="6" t="str">
        <f>IFERROR(IF(Eingabe[[#This Row],[Wo]]="H",IF(MOD(Eingabe[[#This Row],[Position]],2)=1,Eingabe[[#This Row],[S1]],Eingabe[[#This Row],[S4]]),""),"")</f>
        <v/>
      </c>
      <c r="AR214" s="6" t="str">
        <f>IFERROR(IF(Eingabe[[#This Row],[Wo]]="H",IF(Eingabe[[#This Row],[S1]]&gt;0,IF(MOD(Eingabe[[#This Row],[Position]],2)=1,Eingabe[[#This Row],[S2]],Eingabe[[#This Row],[S3]]),""),""),"")</f>
        <v/>
      </c>
      <c r="AS214" s="6" t="str">
        <f>IFERROR(IF(Eingabe[[#This Row],[Wo]]="H",IF(Eingabe[[#This Row],[S1]]&gt;0,IF(MOD(ROW(Eingabe[[#This Row],[Heimbahn 3]]),2)=1,Eingabe[[#This Row],[S4]],Eingabe[[#This Row],[S1]]),""),""),"")</f>
        <v/>
      </c>
      <c r="AT214" s="6" t="str">
        <f>IFERROR(IF(Eingabe[[#This Row],[Wo]]="H",IF(Eingabe[[#This Row],[S1]]&gt;0,IF(MOD(ROW(Eingabe[[#This Row],[Heimbahn 4]]),2)=1,Eingabe[[#This Row],[S3]],Eingabe[[#This Row],[S2]]),""),""),"")</f>
        <v/>
      </c>
      <c r="AU214" s="22" t="str">
        <f>IF(Eingabe[[#This Row],[GES]]="","",IF(Eingabe[[#This Row],[Modus]]="L",_xlfn.RANK.EQ(Eingabe[[#This Row],[GES]],AF213:AF218),IF(Eingabe[[#This Row],[Modus]]="P",_xlfn.RANK.EQ(Eingabe[[#This Row],[GES]],AF213:AF218),"")))</f>
        <v/>
      </c>
      <c r="AV214" s="6" t="e">
        <f>VLOOKUP(Eingabe[[#This Row],[Name]],AuswertungG[],8,FALSE)</f>
        <v>#N/A</v>
      </c>
      <c r="AZ214" s="6" t="str">
        <f>IFERROR(ABS(Eingabe[[#This Row],[GES]]-Eingabe[[#This Row],[GEGGES]]),"")</f>
        <v/>
      </c>
    </row>
    <row r="215" spans="1:52" ht="16.2" hidden="1" thickBot="1" x14ac:dyDescent="0.35">
      <c r="A215" s="441"/>
      <c r="B215" s="21">
        <f t="shared" si="34"/>
        <v>36</v>
      </c>
      <c r="C215" s="6">
        <f>VLOOKUP($B215,Chronologie[],7,TRUE)</f>
        <v>0</v>
      </c>
      <c r="D215" s="6">
        <f>VLOOKUP($B215,Chronologie[],8,TRUE)</f>
        <v>0</v>
      </c>
      <c r="E215" s="240">
        <f>VLOOKUP($B215,Chronologie[],9,TRUE)</f>
        <v>0</v>
      </c>
      <c r="F215" s="6" t="str">
        <f>VLOOKUP($B215,Chronologie[],COLUMN(F216)-2,TRUE)</f>
        <v>U19</v>
      </c>
      <c r="G215" s="6" t="str">
        <f>VLOOKUP($B215,Chronologie[],COLUMN(G216)-2,TRUE)</f>
        <v>L</v>
      </c>
      <c r="H215" s="6">
        <f>VLOOKUP($B215,Chronologie[],COLUMN(H216)-2,TRUE)</f>
        <v>4</v>
      </c>
      <c r="I215" s="10" t="str">
        <f>VLOOKUP($B215,Chronologie[],2,TRUE)</f>
        <v>U19-L-4</v>
      </c>
      <c r="J215" s="243">
        <f>VLOOKUP($B215,Chronologie[],3,TRUE)</f>
        <v>0</v>
      </c>
      <c r="K215" s="237"/>
      <c r="L215" s="237"/>
      <c r="M215" s="237"/>
      <c r="N215" s="237"/>
      <c r="O215" s="237"/>
      <c r="P215" s="237"/>
      <c r="Q215" s="237"/>
      <c r="R215" s="237"/>
      <c r="S215" s="237"/>
      <c r="T215" s="237"/>
      <c r="U215" s="237"/>
      <c r="V215" s="237"/>
      <c r="W215" s="237"/>
      <c r="X215" s="38"/>
      <c r="Y215" s="38"/>
      <c r="Z215" s="38"/>
      <c r="AA215" s="38"/>
      <c r="AB215" s="91"/>
      <c r="AC215" s="94" t="str">
        <f>IF(Eingabe[[#This Row],[V1]]="",IF(Eingabe[[#This Row],[Volle alternativ]]="","",Eingabe[[#This Row],[Volle alternativ]]),SUM(Eingabe[[#This Row],[V1]:[V4]]))</f>
        <v/>
      </c>
      <c r="AD215" s="6" t="str">
        <f>IF(Eingabe[[#This Row],[R1]]="",IF(Eingabe[[#This Row],[Räumer alternativ]]="","",Eingabe[[#This Row],[Räumer alternativ]]),SUM(Eingabe[[#This Row],[R1]:[R4]]))</f>
        <v/>
      </c>
      <c r="AE215" s="6" t="str">
        <f>IF(Eingabe[[#This Row],[F1]]="",IF(Eingabe[[#This Row],[Fehler alternativ]]="","",Eingabe[[#This Row],[Fehler alternativ]]),SUM(Eingabe[[#This Row],[F1]:[F4]]))</f>
        <v/>
      </c>
      <c r="AF215" s="6" t="str">
        <f>IF(Eingabe[[#This Row],[Volle]]="","",IF(Eingabe[[#This Row],[S1]]="",Eingabe[[#This Row],[Volle]]+Eingabe[[#This Row],[Räumer]],IF(Eingabe[[#This Row],[Volle]]+Eingabe[[#This Row],[Räumer]]=Eingabe[[#This Row],[S1]]+Eingabe[[#This Row],[S2]]+Eingabe[[#This Row],[S3]]+Eingabe[[#This Row],[S4]],Eingabe[[#This Row],[Volle]]+Eingabe[[#This Row],[Räumer]],"FEHLER")))</f>
        <v/>
      </c>
      <c r="AG215" s="6" t="str">
        <f>IF(Eingabe[[#This Row],[V1]]="","",Eingabe[[#This Row],[V1]]+Eingabe[[#This Row],[R1]])</f>
        <v/>
      </c>
      <c r="AH215" s="6" t="str">
        <f>IF(Eingabe[[#This Row],[V2]]="","",Eingabe[[#This Row],[V2]]+Eingabe[[#This Row],[R2]])</f>
        <v/>
      </c>
      <c r="AI215" s="6" t="str">
        <f>IF(Eingabe[[#This Row],[V3]]="","",Eingabe[[#This Row],[V3]]+Eingabe[[#This Row],[R3]])</f>
        <v/>
      </c>
      <c r="AJ215" s="6" t="str">
        <f>IF(Eingabe[[#This Row],[V4]]="","",Eingabe[[#This Row],[V4]]+Eingabe[[#This Row],[R4]])</f>
        <v/>
      </c>
      <c r="AK215" s="6" t="str">
        <f>IF(Eingabe[[#This Row],[S1P]]="","",Eingabe[[#This Row],[S1P]]+Eingabe[[#This Row],[S2P]]+Eingabe[[#This Row],[S3P]]+Eingabe[[#This Row],[S4P]])</f>
        <v/>
      </c>
      <c r="AL215" s="6" t="str">
        <f>IF(Eingabe[[#This Row],[S1P]]="","",IF(Eingabe[[#This Row],[SP]]&gt;2,1,IF(Eingabe[[#This Row],[SP]]&lt;2,0,IF(Eingabe[[#This Row],[GES]]&gt;Eingabe[[#This Row],[GEGGES]],1,IF(Eingabe[[#This Row],[GES]]=Eingabe[[#This Row],[GEGGES]],0.5,0)))))</f>
        <v/>
      </c>
      <c r="AM215" s="6" t="str">
        <f>IF(Eingabe[[#This Row],[MP]]="","",MOD(ROW(Eingabe[[#This Row],[Position]])-3,6)+1)</f>
        <v/>
      </c>
      <c r="AN215" s="6" t="e">
        <f>STANDARDIZE(Eingabe[[#This Row],[GES]],Eingabe[[#This Row],[Schnitt]],VLOOKUP(Eingabe[[#This Row],[Name]],AuswertungG[],21,FALSE))</f>
        <v>#VALUE!</v>
      </c>
      <c r="AO215" s="6" t="str">
        <f>VLOOKUP(Eingabe[[#This Row],[ID]],Chronologie[[ID]:[KW]],12,FALSE)</f>
        <v/>
      </c>
      <c r="AP215" s="95">
        <f>IF(Eingabe[[#This Row],[Wo]]="H",Eingabe[[#This Row],[Gegner]]&amp;" ["&amp;Eingabe[[#This Row],[Wo]]&amp;"]",Eingabe[[#This Row],[Ort]])</f>
        <v>0</v>
      </c>
      <c r="AQ215" s="6" t="str">
        <f>IFERROR(IF(Eingabe[[#This Row],[Wo]]="H",IF(MOD(Eingabe[[#This Row],[Position]],2)=1,Eingabe[[#This Row],[S1]],Eingabe[[#This Row],[S4]]),""),"")</f>
        <v/>
      </c>
      <c r="AR215" s="6" t="str">
        <f>IFERROR(IF(Eingabe[[#This Row],[Wo]]="H",IF(Eingabe[[#This Row],[S1]]&gt;0,IF(MOD(Eingabe[[#This Row],[Position]],2)=1,Eingabe[[#This Row],[S2]],Eingabe[[#This Row],[S3]]),""),""),"")</f>
        <v/>
      </c>
      <c r="AS215" s="6" t="str">
        <f>IFERROR(IF(Eingabe[[#This Row],[Wo]]="H",IF(Eingabe[[#This Row],[S1]]&gt;0,IF(MOD(ROW(Eingabe[[#This Row],[Heimbahn 3]]),2)=1,Eingabe[[#This Row],[S4]],Eingabe[[#This Row],[S1]]),""),""),"")</f>
        <v/>
      </c>
      <c r="AT215" s="6" t="str">
        <f>IFERROR(IF(Eingabe[[#This Row],[Wo]]="H",IF(Eingabe[[#This Row],[S1]]&gt;0,IF(MOD(ROW(Eingabe[[#This Row],[Heimbahn 4]]),2)=1,Eingabe[[#This Row],[S3]],Eingabe[[#This Row],[S2]]),""),""),"")</f>
        <v/>
      </c>
      <c r="AU215" s="22" t="str">
        <f>IF(Eingabe[[#This Row],[GES]]="","",IF(Eingabe[[#This Row],[Modus]]="L",_xlfn.RANK.EQ(Eingabe[[#This Row],[GES]],AF213:AF218),IF(Eingabe[[#This Row],[Modus]]="P",_xlfn.RANK.EQ(Eingabe[[#This Row],[GES]],AF213:AF218),"")))</f>
        <v/>
      </c>
      <c r="AV215" s="6" t="e">
        <f>VLOOKUP(Eingabe[[#This Row],[Name]],AuswertungG[],8,FALSE)</f>
        <v>#N/A</v>
      </c>
      <c r="AZ215" s="6" t="str">
        <f>IFERROR(ABS(Eingabe[[#This Row],[GES]]-Eingabe[[#This Row],[GEGGES]]),"")</f>
        <v/>
      </c>
    </row>
    <row r="216" spans="1:52" ht="16.2" hidden="1" thickBot="1" x14ac:dyDescent="0.35">
      <c r="A216" s="441"/>
      <c r="B216" s="21">
        <f t="shared" si="34"/>
        <v>36</v>
      </c>
      <c r="C216" s="6">
        <f>VLOOKUP($B216,Chronologie[],7,TRUE)</f>
        <v>0</v>
      </c>
      <c r="D216" s="6">
        <f>VLOOKUP($B216,Chronologie[],8,TRUE)</f>
        <v>0</v>
      </c>
      <c r="E216" s="240">
        <f>VLOOKUP($B216,Chronologie[],9,TRUE)</f>
        <v>0</v>
      </c>
      <c r="F216" s="6" t="str">
        <f>VLOOKUP($B216,Chronologie[],COLUMN(F217)-2,TRUE)</f>
        <v>U19</v>
      </c>
      <c r="G216" s="6" t="str">
        <f>VLOOKUP($B216,Chronologie[],COLUMN(G217)-2,TRUE)</f>
        <v>L</v>
      </c>
      <c r="H216" s="6">
        <f>VLOOKUP($B216,Chronologie[],COLUMN(H217)-2,TRUE)</f>
        <v>4</v>
      </c>
      <c r="I216" s="10" t="str">
        <f>VLOOKUP($B216,Chronologie[],2,TRUE)</f>
        <v>U19-L-4</v>
      </c>
      <c r="J216" s="243">
        <f>VLOOKUP($B216,Chronologie[],3,TRUE)</f>
        <v>0</v>
      </c>
      <c r="K216" s="238"/>
      <c r="L216" s="237"/>
      <c r="M216" s="237"/>
      <c r="N216" s="237"/>
      <c r="O216" s="237"/>
      <c r="P216" s="237"/>
      <c r="Q216" s="237"/>
      <c r="R216" s="237"/>
      <c r="S216" s="237"/>
      <c r="T216" s="237"/>
      <c r="U216" s="237"/>
      <c r="V216" s="237"/>
      <c r="W216" s="237"/>
      <c r="X216" s="38"/>
      <c r="Y216" s="38"/>
      <c r="Z216" s="38"/>
      <c r="AA216" s="38"/>
      <c r="AB216" s="91"/>
      <c r="AC216" s="94" t="str">
        <f>IF(Eingabe[[#This Row],[V1]]="",IF(Eingabe[[#This Row],[Volle alternativ]]="","",Eingabe[[#This Row],[Volle alternativ]]),SUM(Eingabe[[#This Row],[V1]:[V4]]))</f>
        <v/>
      </c>
      <c r="AD216" s="6" t="str">
        <f>IF(Eingabe[[#This Row],[R1]]="",IF(Eingabe[[#This Row],[Räumer alternativ]]="","",Eingabe[[#This Row],[Räumer alternativ]]),SUM(Eingabe[[#This Row],[R1]:[R4]]))</f>
        <v/>
      </c>
      <c r="AE216" s="6" t="str">
        <f>IF(Eingabe[[#This Row],[F1]]="",IF(Eingabe[[#This Row],[Fehler alternativ]]="","",Eingabe[[#This Row],[Fehler alternativ]]),SUM(Eingabe[[#This Row],[F1]:[F4]]))</f>
        <v/>
      </c>
      <c r="AF216" s="6" t="str">
        <f>IF(Eingabe[[#This Row],[Volle]]="","",IF(Eingabe[[#This Row],[S1]]="",Eingabe[[#This Row],[Volle]]+Eingabe[[#This Row],[Räumer]],IF(Eingabe[[#This Row],[Volle]]+Eingabe[[#This Row],[Räumer]]=Eingabe[[#This Row],[S1]]+Eingabe[[#This Row],[S2]]+Eingabe[[#This Row],[S3]]+Eingabe[[#This Row],[S4]],Eingabe[[#This Row],[Volle]]+Eingabe[[#This Row],[Räumer]],"FEHLER")))</f>
        <v/>
      </c>
      <c r="AG216" s="6" t="str">
        <f>IF(Eingabe[[#This Row],[V1]]="","",Eingabe[[#This Row],[V1]]+Eingabe[[#This Row],[R1]])</f>
        <v/>
      </c>
      <c r="AH216" s="6" t="str">
        <f>IF(Eingabe[[#This Row],[V2]]="","",Eingabe[[#This Row],[V2]]+Eingabe[[#This Row],[R2]])</f>
        <v/>
      </c>
      <c r="AI216" s="6" t="str">
        <f>IF(Eingabe[[#This Row],[V3]]="","",Eingabe[[#This Row],[V3]]+Eingabe[[#This Row],[R3]])</f>
        <v/>
      </c>
      <c r="AJ216" s="6" t="str">
        <f>IF(Eingabe[[#This Row],[V4]]="","",Eingabe[[#This Row],[V4]]+Eingabe[[#This Row],[R4]])</f>
        <v/>
      </c>
      <c r="AK216" s="6" t="str">
        <f>IF(Eingabe[[#This Row],[S1P]]="","",Eingabe[[#This Row],[S1P]]+Eingabe[[#This Row],[S2P]]+Eingabe[[#This Row],[S3P]]+Eingabe[[#This Row],[S4P]])</f>
        <v/>
      </c>
      <c r="AL216" s="6" t="str">
        <f>IF(Eingabe[[#This Row],[S1P]]="","",IF(Eingabe[[#This Row],[SP]]&gt;2,1,IF(Eingabe[[#This Row],[SP]]&lt;2,0,IF(Eingabe[[#This Row],[GES]]&gt;Eingabe[[#This Row],[GEGGES]],1,IF(Eingabe[[#This Row],[GES]]=Eingabe[[#This Row],[GEGGES]],0.5,0)))))</f>
        <v/>
      </c>
      <c r="AM216" s="6" t="str">
        <f>IF(Eingabe[[#This Row],[MP]]="","",MOD(ROW(Eingabe[[#This Row],[Position]])-3,6)+1)</f>
        <v/>
      </c>
      <c r="AN216" s="6" t="e">
        <f>STANDARDIZE(Eingabe[[#This Row],[GES]],Eingabe[[#This Row],[Schnitt]],VLOOKUP(Eingabe[[#This Row],[Name]],AuswertungG[],21,FALSE))</f>
        <v>#VALUE!</v>
      </c>
      <c r="AO216" s="6" t="str">
        <f>VLOOKUP(Eingabe[[#This Row],[ID]],Chronologie[[ID]:[KW]],12,FALSE)</f>
        <v/>
      </c>
      <c r="AP216" s="95">
        <f>IF(Eingabe[[#This Row],[Wo]]="H",Eingabe[[#This Row],[Gegner]]&amp;" ["&amp;Eingabe[[#This Row],[Wo]]&amp;"]",Eingabe[[#This Row],[Ort]])</f>
        <v>0</v>
      </c>
      <c r="AQ216" s="6" t="str">
        <f>IFERROR(IF(Eingabe[[#This Row],[Wo]]="H",IF(MOD(Eingabe[[#This Row],[Position]],2)=1,Eingabe[[#This Row],[S1]],Eingabe[[#This Row],[S4]]),""),"")</f>
        <v/>
      </c>
      <c r="AR216" s="6" t="str">
        <f>IFERROR(IF(Eingabe[[#This Row],[Wo]]="H",IF(Eingabe[[#This Row],[S1]]&gt;0,IF(MOD(Eingabe[[#This Row],[Position]],2)=1,Eingabe[[#This Row],[S2]],Eingabe[[#This Row],[S3]]),""),""),"")</f>
        <v/>
      </c>
      <c r="AS216" s="6" t="str">
        <f>IFERROR(IF(Eingabe[[#This Row],[Wo]]="H",IF(Eingabe[[#This Row],[S1]]&gt;0,IF(MOD(ROW(Eingabe[[#This Row],[Heimbahn 3]]),2)=1,Eingabe[[#This Row],[S4]],Eingabe[[#This Row],[S1]]),""),""),"")</f>
        <v/>
      </c>
      <c r="AT216" s="6" t="str">
        <f>IFERROR(IF(Eingabe[[#This Row],[Wo]]="H",IF(Eingabe[[#This Row],[S1]]&gt;0,IF(MOD(ROW(Eingabe[[#This Row],[Heimbahn 4]]),2)=1,Eingabe[[#This Row],[S3]],Eingabe[[#This Row],[S2]]),""),""),"")</f>
        <v/>
      </c>
      <c r="AU216" s="22" t="str">
        <f>IF(Eingabe[[#This Row],[GES]]="","",IF(Eingabe[[#This Row],[Modus]]="L",_xlfn.RANK.EQ(Eingabe[[#This Row],[GES]],AF213:AF218),IF(Eingabe[[#This Row],[Modus]]="P",_xlfn.RANK.EQ(Eingabe[[#This Row],[GES]],AF213:AF218),"")))</f>
        <v/>
      </c>
      <c r="AV216" s="6" t="e">
        <f>VLOOKUP(Eingabe[[#This Row],[Name]],AuswertungG[],8,FALSE)</f>
        <v>#N/A</v>
      </c>
      <c r="AZ216" s="6" t="str">
        <f>IFERROR(ABS(Eingabe[[#This Row],[GES]]-Eingabe[[#This Row],[GEGGES]]),"")</f>
        <v/>
      </c>
    </row>
    <row r="217" spans="1:52" ht="16.2" hidden="1" thickBot="1" x14ac:dyDescent="0.35">
      <c r="A217" s="441"/>
      <c r="B217" s="21">
        <f t="shared" si="34"/>
        <v>36</v>
      </c>
      <c r="C217" s="6">
        <f>VLOOKUP($B217,Chronologie[],7,TRUE)</f>
        <v>0</v>
      </c>
      <c r="D217" s="6">
        <f>VLOOKUP($B217,Chronologie[],8,TRUE)</f>
        <v>0</v>
      </c>
      <c r="E217" s="240">
        <f>VLOOKUP($B217,Chronologie[],9,TRUE)</f>
        <v>0</v>
      </c>
      <c r="F217" s="6" t="str">
        <f>VLOOKUP($B217,Chronologie[],COLUMN(F218)-2,TRUE)</f>
        <v>U19</v>
      </c>
      <c r="G217" s="6" t="str">
        <f>VLOOKUP($B217,Chronologie[],COLUMN(G218)-2,TRUE)</f>
        <v>L</v>
      </c>
      <c r="H217" s="6">
        <f>VLOOKUP($B217,Chronologie[],COLUMN(H218)-2,TRUE)</f>
        <v>4</v>
      </c>
      <c r="I217" s="10" t="str">
        <f>VLOOKUP($B217,Chronologie[],2,TRUE)</f>
        <v>U19-L-4</v>
      </c>
      <c r="J217" s="243">
        <f>VLOOKUP($B217,Chronologie[],3,TRUE)</f>
        <v>0</v>
      </c>
      <c r="K217" s="237"/>
      <c r="L217" s="237"/>
      <c r="M217" s="237"/>
      <c r="N217" s="237"/>
      <c r="O217" s="237"/>
      <c r="P217" s="237"/>
      <c r="Q217" s="237"/>
      <c r="R217" s="237"/>
      <c r="S217" s="237"/>
      <c r="T217" s="237"/>
      <c r="U217" s="237"/>
      <c r="V217" s="237"/>
      <c r="W217" s="237"/>
      <c r="X217" s="38"/>
      <c r="Y217" s="38"/>
      <c r="Z217" s="38"/>
      <c r="AA217" s="38"/>
      <c r="AB217" s="91"/>
      <c r="AC217" s="94" t="str">
        <f>IF(Eingabe[[#This Row],[V1]]="",IF(Eingabe[[#This Row],[Volle alternativ]]="","",Eingabe[[#This Row],[Volle alternativ]]),SUM(Eingabe[[#This Row],[V1]:[V4]]))</f>
        <v/>
      </c>
      <c r="AD217" s="6" t="str">
        <f>IF(Eingabe[[#This Row],[R1]]="",IF(Eingabe[[#This Row],[Räumer alternativ]]="","",Eingabe[[#This Row],[Räumer alternativ]]),SUM(Eingabe[[#This Row],[R1]:[R4]]))</f>
        <v/>
      </c>
      <c r="AE217" s="6" t="str">
        <f>IF(Eingabe[[#This Row],[F1]]="",IF(Eingabe[[#This Row],[Fehler alternativ]]="","",Eingabe[[#This Row],[Fehler alternativ]]),SUM(Eingabe[[#This Row],[F1]:[F4]]))</f>
        <v/>
      </c>
      <c r="AF217" s="6" t="str">
        <f>IF(Eingabe[[#This Row],[Volle]]="","",IF(Eingabe[[#This Row],[S1]]="",Eingabe[[#This Row],[Volle]]+Eingabe[[#This Row],[Räumer]],IF(Eingabe[[#This Row],[Volle]]+Eingabe[[#This Row],[Räumer]]=Eingabe[[#This Row],[S1]]+Eingabe[[#This Row],[S2]]+Eingabe[[#This Row],[S3]]+Eingabe[[#This Row],[S4]],Eingabe[[#This Row],[Volle]]+Eingabe[[#This Row],[Räumer]],"FEHLER")))</f>
        <v/>
      </c>
      <c r="AG217" s="6" t="str">
        <f>IF(Eingabe[[#This Row],[V1]]="","",Eingabe[[#This Row],[V1]]+Eingabe[[#This Row],[R1]])</f>
        <v/>
      </c>
      <c r="AH217" s="6" t="str">
        <f>IF(Eingabe[[#This Row],[V2]]="","",Eingabe[[#This Row],[V2]]+Eingabe[[#This Row],[R2]])</f>
        <v/>
      </c>
      <c r="AI217" s="6" t="str">
        <f>IF(Eingabe[[#This Row],[V3]]="","",Eingabe[[#This Row],[V3]]+Eingabe[[#This Row],[R3]])</f>
        <v/>
      </c>
      <c r="AJ217" s="6" t="str">
        <f>IF(Eingabe[[#This Row],[V4]]="","",Eingabe[[#This Row],[V4]]+Eingabe[[#This Row],[R4]])</f>
        <v/>
      </c>
      <c r="AK217" s="6" t="str">
        <f>IF(Eingabe[[#This Row],[S1P]]="","",Eingabe[[#This Row],[S1P]]+Eingabe[[#This Row],[S2P]]+Eingabe[[#This Row],[S3P]]+Eingabe[[#This Row],[S4P]])</f>
        <v/>
      </c>
      <c r="AL217" s="6" t="str">
        <f>IF(Eingabe[[#This Row],[S1P]]="","",IF(Eingabe[[#This Row],[SP]]&gt;2,1,IF(Eingabe[[#This Row],[SP]]&lt;2,0,IF(Eingabe[[#This Row],[GES]]&gt;Eingabe[[#This Row],[GEGGES]],1,IF(Eingabe[[#This Row],[GES]]=Eingabe[[#This Row],[GEGGES]],0.5,0)))))</f>
        <v/>
      </c>
      <c r="AM217" s="6" t="str">
        <f>IF(Eingabe[[#This Row],[MP]]="","",MOD(ROW(Eingabe[[#This Row],[Position]])-3,6)+1)</f>
        <v/>
      </c>
      <c r="AN217" s="6" t="e">
        <f>STANDARDIZE(Eingabe[[#This Row],[GES]],Eingabe[[#This Row],[Schnitt]],VLOOKUP(Eingabe[[#This Row],[Name]],AuswertungG[],21,FALSE))</f>
        <v>#VALUE!</v>
      </c>
      <c r="AO217" s="6" t="str">
        <f>VLOOKUP(Eingabe[[#This Row],[ID]],Chronologie[[ID]:[KW]],12,FALSE)</f>
        <v/>
      </c>
      <c r="AP217" s="95">
        <f>IF(Eingabe[[#This Row],[Wo]]="H",Eingabe[[#This Row],[Gegner]]&amp;" ["&amp;Eingabe[[#This Row],[Wo]]&amp;"]",Eingabe[[#This Row],[Ort]])</f>
        <v>0</v>
      </c>
      <c r="AQ217" s="6" t="str">
        <f>IFERROR(IF(Eingabe[[#This Row],[Wo]]="H",IF(MOD(Eingabe[[#This Row],[Position]],2)=1,Eingabe[[#This Row],[S1]],Eingabe[[#This Row],[S4]]),""),"")</f>
        <v/>
      </c>
      <c r="AR217" s="6" t="str">
        <f>IFERROR(IF(Eingabe[[#This Row],[Wo]]="H",IF(Eingabe[[#This Row],[S1]]&gt;0,IF(MOD(Eingabe[[#This Row],[Position]],2)=1,Eingabe[[#This Row],[S2]],Eingabe[[#This Row],[S3]]),""),""),"")</f>
        <v/>
      </c>
      <c r="AS217" s="6" t="str">
        <f>IFERROR(IF(Eingabe[[#This Row],[Wo]]="H",IF(Eingabe[[#This Row],[S1]]&gt;0,IF(MOD(ROW(Eingabe[[#This Row],[Heimbahn 3]]),2)=1,Eingabe[[#This Row],[S4]],Eingabe[[#This Row],[S1]]),""),""),"")</f>
        <v/>
      </c>
      <c r="AT217" s="6" t="str">
        <f>IFERROR(IF(Eingabe[[#This Row],[Wo]]="H",IF(Eingabe[[#This Row],[S1]]&gt;0,IF(MOD(ROW(Eingabe[[#This Row],[Heimbahn 4]]),2)=1,Eingabe[[#This Row],[S3]],Eingabe[[#This Row],[S2]]),""),""),"")</f>
        <v/>
      </c>
      <c r="AU217" s="22" t="str">
        <f>IF(Eingabe[[#This Row],[GES]]="","",IF(Eingabe[[#This Row],[Modus]]="L",_xlfn.RANK.EQ(Eingabe[[#This Row],[GES]],AF213:AF218),IF(Eingabe[[#This Row],[Modus]]="P",_xlfn.RANK.EQ(Eingabe[[#This Row],[GES]],AF213:AF218),"")))</f>
        <v/>
      </c>
      <c r="AV217" s="6" t="e">
        <f>VLOOKUP(Eingabe[[#This Row],[Name]],AuswertungG[],8,FALSE)</f>
        <v>#N/A</v>
      </c>
      <c r="AZ217" s="6" t="str">
        <f>IFERROR(ABS(Eingabe[[#This Row],[GES]]-Eingabe[[#This Row],[GEGGES]]),"")</f>
        <v/>
      </c>
    </row>
    <row r="218" spans="1:52" ht="16.2" hidden="1" thickBot="1" x14ac:dyDescent="0.35">
      <c r="A218" s="442"/>
      <c r="B218" s="56">
        <f t="shared" si="34"/>
        <v>36</v>
      </c>
      <c r="C218" s="23">
        <f>VLOOKUP($B218,Chronologie[],7,TRUE)</f>
        <v>0</v>
      </c>
      <c r="D218" s="23">
        <f>VLOOKUP($B218,Chronologie[],8,TRUE)</f>
        <v>0</v>
      </c>
      <c r="E218" s="39">
        <f>VLOOKUP($B218,Chronologie[],9,TRUE)</f>
        <v>0</v>
      </c>
      <c r="F218" s="23" t="str">
        <f>VLOOKUP($B218,Chronologie[],COLUMN(F219)-2,TRUE)</f>
        <v>U19</v>
      </c>
      <c r="G218" s="23" t="str">
        <f>VLOOKUP($B218,Chronologie[],COLUMN(G219)-2,TRUE)</f>
        <v>L</v>
      </c>
      <c r="H218" s="23">
        <f>VLOOKUP($B218,Chronologie[],COLUMN(H219)-2,TRUE)</f>
        <v>4</v>
      </c>
      <c r="I218" s="13" t="str">
        <f>VLOOKUP($B218,Chronologie[],2,TRUE)</f>
        <v>U19-L-4</v>
      </c>
      <c r="J218" s="244">
        <f>VLOOKUP($B218,Chronologie[],3,TRUE)</f>
        <v>0</v>
      </c>
      <c r="K218" s="239"/>
      <c r="L218" s="239"/>
      <c r="M218" s="239"/>
      <c r="N218" s="239"/>
      <c r="O218" s="239"/>
      <c r="P218" s="239"/>
      <c r="Q218" s="239"/>
      <c r="R218" s="239"/>
      <c r="S218" s="239"/>
      <c r="T218" s="239"/>
      <c r="U218" s="239"/>
      <c r="V218" s="239"/>
      <c r="W218" s="239"/>
      <c r="X218" s="40"/>
      <c r="Y218" s="40"/>
      <c r="Z218" s="40"/>
      <c r="AA218" s="40"/>
      <c r="AB218" s="92"/>
      <c r="AC218" s="96" t="str">
        <f>IF(Eingabe[[#This Row],[V1]]="",IF(Eingabe[[#This Row],[Volle alternativ]]="","",Eingabe[[#This Row],[Volle alternativ]]),SUM(Eingabe[[#This Row],[V1]:[V4]]))</f>
        <v/>
      </c>
      <c r="AD218" s="23" t="str">
        <f>IF(Eingabe[[#This Row],[R1]]="",IF(Eingabe[[#This Row],[Räumer alternativ]]="","",Eingabe[[#This Row],[Räumer alternativ]]),SUM(Eingabe[[#This Row],[R1]:[R4]]))</f>
        <v/>
      </c>
      <c r="AE218" s="23" t="str">
        <f>IF(Eingabe[[#This Row],[F1]]="",IF(Eingabe[[#This Row],[Fehler alternativ]]="","",Eingabe[[#This Row],[Fehler alternativ]]),SUM(Eingabe[[#This Row],[F1]:[F4]]))</f>
        <v/>
      </c>
      <c r="AF218" s="23" t="str">
        <f>IF(Eingabe[[#This Row],[Volle]]="","",IF(Eingabe[[#This Row],[S1]]="",Eingabe[[#This Row],[Volle]]+Eingabe[[#This Row],[Räumer]],IF(Eingabe[[#This Row],[Volle]]+Eingabe[[#This Row],[Räumer]]=Eingabe[[#This Row],[S1]]+Eingabe[[#This Row],[S2]]+Eingabe[[#This Row],[S3]]+Eingabe[[#This Row],[S4]],Eingabe[[#This Row],[Volle]]+Eingabe[[#This Row],[Räumer]],"FEHLER")))</f>
        <v/>
      </c>
      <c r="AG218" s="23" t="str">
        <f>IF(Eingabe[[#This Row],[V1]]="","",Eingabe[[#This Row],[V1]]+Eingabe[[#This Row],[R1]])</f>
        <v/>
      </c>
      <c r="AH218" s="23" t="str">
        <f>IF(Eingabe[[#This Row],[V2]]="","",Eingabe[[#This Row],[V2]]+Eingabe[[#This Row],[R2]])</f>
        <v/>
      </c>
      <c r="AI218" s="23" t="str">
        <f>IF(Eingabe[[#This Row],[V3]]="","",Eingabe[[#This Row],[V3]]+Eingabe[[#This Row],[R3]])</f>
        <v/>
      </c>
      <c r="AJ218" s="23" t="str">
        <f>IF(Eingabe[[#This Row],[V4]]="","",Eingabe[[#This Row],[V4]]+Eingabe[[#This Row],[R4]])</f>
        <v/>
      </c>
      <c r="AK218" s="23" t="str">
        <f>IF(Eingabe[[#This Row],[S1P]]="","",Eingabe[[#This Row],[S1P]]+Eingabe[[#This Row],[S2P]]+Eingabe[[#This Row],[S3P]]+Eingabe[[#This Row],[S4P]])</f>
        <v/>
      </c>
      <c r="AL218" s="23" t="str">
        <f>IF(Eingabe[[#This Row],[S1P]]="","",IF(Eingabe[[#This Row],[SP]]&gt;2,1,IF(Eingabe[[#This Row],[SP]]&lt;2,0,IF(Eingabe[[#This Row],[GES]]&gt;Eingabe[[#This Row],[GEGGES]],1,IF(Eingabe[[#This Row],[GES]]=Eingabe[[#This Row],[GEGGES]],0.5,0)))))</f>
        <v/>
      </c>
      <c r="AM218" s="23" t="str">
        <f>IF(Eingabe[[#This Row],[MP]]="","",MOD(ROW(Eingabe[[#This Row],[Position]])-3,6)+1)</f>
        <v/>
      </c>
      <c r="AN218" s="23" t="e">
        <f>STANDARDIZE(Eingabe[[#This Row],[GES]],Eingabe[[#This Row],[Schnitt]],VLOOKUP(Eingabe[[#This Row],[Name]],AuswertungG[],21,FALSE))</f>
        <v>#VALUE!</v>
      </c>
      <c r="AO218" s="23" t="str">
        <f>VLOOKUP(Eingabe[[#This Row],[ID]],Chronologie[[ID]:[KW]],12,FALSE)</f>
        <v/>
      </c>
      <c r="AP218" s="59">
        <f>IF(Eingabe[[#This Row],[Wo]]="H",Eingabe[[#This Row],[Gegner]]&amp;" ["&amp;Eingabe[[#This Row],[Wo]]&amp;"]",Eingabe[[#This Row],[Ort]])</f>
        <v>0</v>
      </c>
      <c r="AQ218" s="23" t="str">
        <f>IFERROR(IF(Eingabe[[#This Row],[Wo]]="H",IF(MOD(Eingabe[[#This Row],[Position]],2)=1,Eingabe[[#This Row],[S1]],Eingabe[[#This Row],[S4]]),""),"")</f>
        <v/>
      </c>
      <c r="AR218" s="23" t="str">
        <f>IFERROR(IF(Eingabe[[#This Row],[Wo]]="H",IF(Eingabe[[#This Row],[S1]]&gt;0,IF(MOD(Eingabe[[#This Row],[Position]],2)=1,Eingabe[[#This Row],[S2]],Eingabe[[#This Row],[S3]]),""),""),"")</f>
        <v/>
      </c>
      <c r="AS218" s="23" t="str">
        <f>IFERROR(IF(Eingabe[[#This Row],[Wo]]="H",IF(Eingabe[[#This Row],[S1]]&gt;0,IF(MOD(ROW(Eingabe[[#This Row],[Heimbahn 3]]),2)=1,Eingabe[[#This Row],[S4]],Eingabe[[#This Row],[S1]]),""),""),"")</f>
        <v/>
      </c>
      <c r="AT218" s="23" t="str">
        <f>IFERROR(IF(Eingabe[[#This Row],[Wo]]="H",IF(Eingabe[[#This Row],[S1]]&gt;0,IF(MOD(ROW(Eingabe[[#This Row],[Heimbahn 4]]),2)=1,Eingabe[[#This Row],[S3]],Eingabe[[#This Row],[S2]]),""),""),"")</f>
        <v/>
      </c>
      <c r="AU218" s="89" t="str">
        <f>IF(Eingabe[[#This Row],[GES]]="","",IF(Eingabe[[#This Row],[Modus]]="L",_xlfn.RANK.EQ(Eingabe[[#This Row],[GES]],AF213:AF218),IF(Eingabe[[#This Row],[Modus]]="P",_xlfn.RANK.EQ(Eingabe[[#This Row],[GES]],AF213:AF218),"")))</f>
        <v/>
      </c>
      <c r="AV218" s="6" t="e">
        <f>VLOOKUP(Eingabe[[#This Row],[Name]],AuswertungG[],8,FALSE)</f>
        <v>#N/A</v>
      </c>
      <c r="AZ218" s="6" t="str">
        <f>IFERROR(ABS(Eingabe[[#This Row],[GES]]-Eingabe[[#This Row],[GEGGES]]),"")</f>
        <v/>
      </c>
    </row>
    <row r="219" spans="1:52" ht="16.2" hidden="1" thickBot="1" x14ac:dyDescent="0.35">
      <c r="A219" s="440">
        <f t="shared" ref="A219" si="38">B219</f>
        <v>37</v>
      </c>
      <c r="B219" s="55">
        <f t="shared" si="34"/>
        <v>37</v>
      </c>
      <c r="C219" s="35" t="str">
        <f>VLOOKUP($B219,Chronologie[],7,TRUE)</f>
        <v>SKV 9-Pins Stollberg</v>
      </c>
      <c r="D219" s="35" t="str">
        <f>VLOOKUP($B219,Chronologie[],8,TRUE)</f>
        <v>Stollberg</v>
      </c>
      <c r="E219" s="36" t="str">
        <f>VLOOKUP($B219,Chronologie[],9,TRUE)</f>
        <v>A</v>
      </c>
      <c r="F219" s="35" t="str">
        <f>VLOOKUP($B219,Chronologie[],COLUMN(F220)-2,TRUE)</f>
        <v>U19</v>
      </c>
      <c r="G219" s="35" t="str">
        <f>VLOOKUP($B219,Chronologie[],COLUMN(G220)-2,TRUE)</f>
        <v>L</v>
      </c>
      <c r="H219" s="35">
        <f>VLOOKUP($B219,Chronologie[],COLUMN(H220)-2,TRUE)</f>
        <v>5</v>
      </c>
      <c r="I219" s="9" t="str">
        <f>VLOOKUP($B219,Chronologie[],2,TRUE)</f>
        <v>U19-L-5</v>
      </c>
      <c r="J219" s="242">
        <f>VLOOKUP($B219,Chronologie[],3,TRUE)</f>
        <v>45962</v>
      </c>
      <c r="K219" s="236" t="s">
        <v>458</v>
      </c>
      <c r="L219" s="334">
        <v>74</v>
      </c>
      <c r="M219" s="334">
        <v>86</v>
      </c>
      <c r="N219" s="334">
        <v>84</v>
      </c>
      <c r="O219" s="334">
        <v>86</v>
      </c>
      <c r="P219" s="334">
        <v>36</v>
      </c>
      <c r="Q219" s="334">
        <v>52</v>
      </c>
      <c r="R219" s="334">
        <v>35</v>
      </c>
      <c r="S219" s="334">
        <v>54</v>
      </c>
      <c r="T219" s="334">
        <v>3</v>
      </c>
      <c r="U219" s="334">
        <v>0</v>
      </c>
      <c r="V219" s="334">
        <v>5</v>
      </c>
      <c r="W219" s="334">
        <v>3</v>
      </c>
      <c r="X219" s="37"/>
      <c r="Y219" s="37"/>
      <c r="Z219" s="37"/>
      <c r="AA219" s="37"/>
      <c r="AB219" s="90"/>
      <c r="AC219" s="93">
        <f>IF(Eingabe[[#This Row],[V1]]="",IF(Eingabe[[#This Row],[Volle alternativ]]="","",Eingabe[[#This Row],[Volle alternativ]]),SUM(Eingabe[[#This Row],[V1]:[V4]]))</f>
        <v>330</v>
      </c>
      <c r="AD219" s="35">
        <f>IF(Eingabe[[#This Row],[R1]]="",IF(Eingabe[[#This Row],[Räumer alternativ]]="","",Eingabe[[#This Row],[Räumer alternativ]]),SUM(Eingabe[[#This Row],[R1]:[R4]]))</f>
        <v>177</v>
      </c>
      <c r="AE219" s="35">
        <f>IF(Eingabe[[#This Row],[F1]]="",IF(Eingabe[[#This Row],[Fehler alternativ]]="","",Eingabe[[#This Row],[Fehler alternativ]]),SUM(Eingabe[[#This Row],[F1]:[F4]]))</f>
        <v>11</v>
      </c>
      <c r="AF219" s="35">
        <f>IF(Eingabe[[#This Row],[Volle]]="","",IF(Eingabe[[#This Row],[S1]]="",Eingabe[[#This Row],[Volle]]+Eingabe[[#This Row],[Räumer]],IF(Eingabe[[#This Row],[Volle]]+Eingabe[[#This Row],[Räumer]]=Eingabe[[#This Row],[S1]]+Eingabe[[#This Row],[S2]]+Eingabe[[#This Row],[S3]]+Eingabe[[#This Row],[S4]],Eingabe[[#This Row],[Volle]]+Eingabe[[#This Row],[Räumer]],"FEHLER")))</f>
        <v>507</v>
      </c>
      <c r="AG219" s="35">
        <f>IF(Eingabe[[#This Row],[V1]]="","",Eingabe[[#This Row],[V1]]+Eingabe[[#This Row],[R1]])</f>
        <v>110</v>
      </c>
      <c r="AH219" s="35">
        <f>IF(Eingabe[[#This Row],[V2]]="","",Eingabe[[#This Row],[V2]]+Eingabe[[#This Row],[R2]])</f>
        <v>138</v>
      </c>
      <c r="AI219" s="35">
        <f>IF(Eingabe[[#This Row],[V3]]="","",Eingabe[[#This Row],[V3]]+Eingabe[[#This Row],[R3]])</f>
        <v>119</v>
      </c>
      <c r="AJ219" s="35">
        <f>IF(Eingabe[[#This Row],[V4]]="","",Eingabe[[#This Row],[V4]]+Eingabe[[#This Row],[R4]])</f>
        <v>140</v>
      </c>
      <c r="AK219" s="35" t="str">
        <f>IF(Eingabe[[#This Row],[S1P]]="","",Eingabe[[#This Row],[S1P]]+Eingabe[[#This Row],[S2P]]+Eingabe[[#This Row],[S3P]]+Eingabe[[#This Row],[S4P]])</f>
        <v/>
      </c>
      <c r="AL219" s="35" t="str">
        <f>IF(Eingabe[[#This Row],[S1P]]="","",IF(Eingabe[[#This Row],[SP]]&gt;2,1,IF(Eingabe[[#This Row],[SP]]&lt;2,0,IF(Eingabe[[#This Row],[GES]]&gt;Eingabe[[#This Row],[GEGGES]],1,IF(Eingabe[[#This Row],[GES]]=Eingabe[[#This Row],[GEGGES]],0.5,0)))))</f>
        <v/>
      </c>
      <c r="AM219" s="35" t="str">
        <f>IF(Eingabe[[#This Row],[MP]]="","",MOD(ROW(Eingabe[[#This Row],[Position]])-3,6)+1)</f>
        <v/>
      </c>
      <c r="AN219" s="35">
        <f>STANDARDIZE(Eingabe[[#This Row],[GES]],Eingabe[[#This Row],[Schnitt]],VLOOKUP(Eingabe[[#This Row],[Name]],AuswertungG[],21,FALSE))</f>
        <v>-0.05</v>
      </c>
      <c r="AO219" s="35">
        <f>VLOOKUP(Eingabe[[#This Row],[ID]],Chronologie[[ID]:[KW]],12,FALSE)</f>
        <v>10</v>
      </c>
      <c r="AP219" s="58" t="str">
        <f>IF(Eingabe[[#This Row],[Wo]]="H",Eingabe[[#This Row],[Gegner]]&amp;" ["&amp;Eingabe[[#This Row],[Wo]]&amp;"]",Eingabe[[#This Row],[Ort]])</f>
        <v>Stollberg</v>
      </c>
      <c r="AQ219" s="35" t="str">
        <f>IFERROR(IF(Eingabe[[#This Row],[Wo]]="H",IF(MOD(Eingabe[[#This Row],[Position]],2)=1,Eingabe[[#This Row],[S1]],Eingabe[[#This Row],[S4]]),""),"")</f>
        <v/>
      </c>
      <c r="AR219" s="35" t="str">
        <f>IFERROR(IF(Eingabe[[#This Row],[Wo]]="H",IF(Eingabe[[#This Row],[S1]]&gt;0,IF(MOD(Eingabe[[#This Row],[Position]],2)=1,Eingabe[[#This Row],[S2]],Eingabe[[#This Row],[S3]]),""),""),"")</f>
        <v/>
      </c>
      <c r="AS219" s="35" t="str">
        <f>IFERROR(IF(Eingabe[[#This Row],[Wo]]="H",IF(Eingabe[[#This Row],[S1]]&gt;0,IF(MOD(ROW(Eingabe[[#This Row],[Heimbahn 3]]),2)=1,Eingabe[[#This Row],[S4]],Eingabe[[#This Row],[S1]]),""),""),"")</f>
        <v/>
      </c>
      <c r="AT219" s="35" t="str">
        <f>IFERROR(IF(Eingabe[[#This Row],[Wo]]="H",IF(Eingabe[[#This Row],[S1]]&gt;0,IF(MOD(ROW(Eingabe[[#This Row],[Heimbahn 4]]),2)=1,Eingabe[[#This Row],[S3]],Eingabe[[#This Row],[S2]]),""),""),"")</f>
        <v/>
      </c>
      <c r="AU219" s="88">
        <f>IF(Eingabe[[#This Row],[GES]]="","",IF(Eingabe[[#This Row],[Modus]]="L",_xlfn.RANK.EQ(Eingabe[[#This Row],[GES]],AF219:AF224),IF(Eingabe[[#This Row],[Modus]]="P",_xlfn.RANK.EQ(Eingabe[[#This Row],[GES]],AF219:AF224),"")))</f>
        <v>3</v>
      </c>
      <c r="AV219" s="6">
        <f>VLOOKUP(Eingabe[[#This Row],[Name]],AuswertungG[],8,FALSE)</f>
        <v>508</v>
      </c>
      <c r="AZ219" s="6">
        <f>IFERROR(ABS(Eingabe[[#This Row],[GES]]-Eingabe[[#This Row],[GEGGES]]),"")</f>
        <v>507</v>
      </c>
    </row>
    <row r="220" spans="1:52" ht="16.2" hidden="1" thickBot="1" x14ac:dyDescent="0.35">
      <c r="A220" s="441"/>
      <c r="B220" s="21">
        <f t="shared" si="34"/>
        <v>37</v>
      </c>
      <c r="C220" s="6" t="str">
        <f>VLOOKUP($B220,Chronologie[],7,TRUE)</f>
        <v>SKV 9-Pins Stollberg</v>
      </c>
      <c r="D220" s="6" t="str">
        <f>VLOOKUP($B220,Chronologie[],8,TRUE)</f>
        <v>Stollberg</v>
      </c>
      <c r="E220" s="240" t="str">
        <f>VLOOKUP($B220,Chronologie[],9,TRUE)</f>
        <v>A</v>
      </c>
      <c r="F220" s="6" t="str">
        <f>VLOOKUP($B220,Chronologie[],COLUMN(F221)-2,TRUE)</f>
        <v>U19</v>
      </c>
      <c r="G220" s="6" t="str">
        <f>VLOOKUP($B220,Chronologie[],COLUMN(G221)-2,TRUE)</f>
        <v>L</v>
      </c>
      <c r="H220" s="6">
        <f>VLOOKUP($B220,Chronologie[],COLUMN(H221)-2,TRUE)</f>
        <v>5</v>
      </c>
      <c r="I220" s="10" t="str">
        <f>VLOOKUP($B220,Chronologie[],2,TRUE)</f>
        <v>U19-L-5</v>
      </c>
      <c r="J220" s="243">
        <f>VLOOKUP($B220,Chronologie[],3,TRUE)</f>
        <v>45962</v>
      </c>
      <c r="K220" s="237" t="s">
        <v>474</v>
      </c>
      <c r="L220" s="237">
        <v>95</v>
      </c>
      <c r="M220" s="237">
        <v>94</v>
      </c>
      <c r="N220" s="237">
        <v>94</v>
      </c>
      <c r="O220" s="237">
        <v>89</v>
      </c>
      <c r="P220" s="237">
        <v>45</v>
      </c>
      <c r="Q220" s="237">
        <v>33</v>
      </c>
      <c r="R220" s="237">
        <v>43</v>
      </c>
      <c r="S220" s="237">
        <v>32</v>
      </c>
      <c r="T220" s="237">
        <v>2</v>
      </c>
      <c r="U220" s="237">
        <v>1</v>
      </c>
      <c r="V220" s="237">
        <v>5</v>
      </c>
      <c r="W220" s="237">
        <v>4</v>
      </c>
      <c r="X220" s="38"/>
      <c r="Y220" s="38"/>
      <c r="Z220" s="38"/>
      <c r="AA220" s="38"/>
      <c r="AB220" s="91"/>
      <c r="AC220" s="94">
        <f>IF(Eingabe[[#This Row],[V1]]="",IF(Eingabe[[#This Row],[Volle alternativ]]="","",Eingabe[[#This Row],[Volle alternativ]]),SUM(Eingabe[[#This Row],[V1]:[V4]]))</f>
        <v>372</v>
      </c>
      <c r="AD220" s="6">
        <f>IF(Eingabe[[#This Row],[R1]]="",IF(Eingabe[[#This Row],[Räumer alternativ]]="","",Eingabe[[#This Row],[Räumer alternativ]]),SUM(Eingabe[[#This Row],[R1]:[R4]]))</f>
        <v>153</v>
      </c>
      <c r="AE220" s="6">
        <f>IF(Eingabe[[#This Row],[F1]]="",IF(Eingabe[[#This Row],[Fehler alternativ]]="","",Eingabe[[#This Row],[Fehler alternativ]]),SUM(Eingabe[[#This Row],[F1]:[F4]]))</f>
        <v>12</v>
      </c>
      <c r="AF220" s="6">
        <f>IF(Eingabe[[#This Row],[Volle]]="","",IF(Eingabe[[#This Row],[S1]]="",Eingabe[[#This Row],[Volle]]+Eingabe[[#This Row],[Räumer]],IF(Eingabe[[#This Row],[Volle]]+Eingabe[[#This Row],[Räumer]]=Eingabe[[#This Row],[S1]]+Eingabe[[#This Row],[S2]]+Eingabe[[#This Row],[S3]]+Eingabe[[#This Row],[S4]],Eingabe[[#This Row],[Volle]]+Eingabe[[#This Row],[Räumer]],"FEHLER")))</f>
        <v>525</v>
      </c>
      <c r="AG220" s="6">
        <f>IF(Eingabe[[#This Row],[V1]]="","",Eingabe[[#This Row],[V1]]+Eingabe[[#This Row],[R1]])</f>
        <v>140</v>
      </c>
      <c r="AH220" s="6">
        <f>IF(Eingabe[[#This Row],[V2]]="","",Eingabe[[#This Row],[V2]]+Eingabe[[#This Row],[R2]])</f>
        <v>127</v>
      </c>
      <c r="AI220" s="6">
        <f>IF(Eingabe[[#This Row],[V3]]="","",Eingabe[[#This Row],[V3]]+Eingabe[[#This Row],[R3]])</f>
        <v>137</v>
      </c>
      <c r="AJ220" s="6">
        <f>IF(Eingabe[[#This Row],[V4]]="","",Eingabe[[#This Row],[V4]]+Eingabe[[#This Row],[R4]])</f>
        <v>121</v>
      </c>
      <c r="AK220" s="6" t="str">
        <f>IF(Eingabe[[#This Row],[S1P]]="","",Eingabe[[#This Row],[S1P]]+Eingabe[[#This Row],[S2P]]+Eingabe[[#This Row],[S3P]]+Eingabe[[#This Row],[S4P]])</f>
        <v/>
      </c>
      <c r="AL220" s="6" t="str">
        <f>IF(Eingabe[[#This Row],[S1P]]="","",IF(Eingabe[[#This Row],[SP]]&gt;2,1,IF(Eingabe[[#This Row],[SP]]&lt;2,0,IF(Eingabe[[#This Row],[GES]]&gt;Eingabe[[#This Row],[GEGGES]],1,IF(Eingabe[[#This Row],[GES]]=Eingabe[[#This Row],[GEGGES]],0.5,0)))))</f>
        <v/>
      </c>
      <c r="AM220" s="6" t="str">
        <f>IF(Eingabe[[#This Row],[MP]]="","",MOD(ROW(Eingabe[[#This Row],[Position]])-3,6)+1)</f>
        <v/>
      </c>
      <c r="AN220" s="6">
        <f>STANDARDIZE(Eingabe[[#This Row],[GES]],Eingabe[[#This Row],[Schnitt]],VLOOKUP(Eingabe[[#This Row],[Name]],AuswertungG[],21,FALSE))</f>
        <v>0.77419354838709675</v>
      </c>
      <c r="AO220" s="6">
        <f>VLOOKUP(Eingabe[[#This Row],[ID]],Chronologie[[ID]:[KW]],12,FALSE)</f>
        <v>10</v>
      </c>
      <c r="AP220" s="95" t="str">
        <f>IF(Eingabe[[#This Row],[Wo]]="H",Eingabe[[#This Row],[Gegner]]&amp;" ["&amp;Eingabe[[#This Row],[Wo]]&amp;"]",Eingabe[[#This Row],[Ort]])</f>
        <v>Stollberg</v>
      </c>
      <c r="AQ220" s="6" t="str">
        <f>IFERROR(IF(Eingabe[[#This Row],[Wo]]="H",IF(MOD(Eingabe[[#This Row],[Position]],2)=1,Eingabe[[#This Row],[S1]],Eingabe[[#This Row],[S4]]),""),"")</f>
        <v/>
      </c>
      <c r="AR220" s="6" t="str">
        <f>IFERROR(IF(Eingabe[[#This Row],[Wo]]="H",IF(Eingabe[[#This Row],[S1]]&gt;0,IF(MOD(Eingabe[[#This Row],[Position]],2)=1,Eingabe[[#This Row],[S2]],Eingabe[[#This Row],[S3]]),""),""),"")</f>
        <v/>
      </c>
      <c r="AS220" s="6" t="str">
        <f>IFERROR(IF(Eingabe[[#This Row],[Wo]]="H",IF(Eingabe[[#This Row],[S1]]&gt;0,IF(MOD(ROW(Eingabe[[#This Row],[Heimbahn 3]]),2)=1,Eingabe[[#This Row],[S4]],Eingabe[[#This Row],[S1]]),""),""),"")</f>
        <v/>
      </c>
      <c r="AT220" s="6" t="str">
        <f>IFERROR(IF(Eingabe[[#This Row],[Wo]]="H",IF(Eingabe[[#This Row],[S1]]&gt;0,IF(MOD(ROW(Eingabe[[#This Row],[Heimbahn 4]]),2)=1,Eingabe[[#This Row],[S3]],Eingabe[[#This Row],[S2]]),""),""),"")</f>
        <v/>
      </c>
      <c r="AU220" s="22">
        <f>IF(Eingabe[[#This Row],[GES]]="","",IF(Eingabe[[#This Row],[Modus]]="L",_xlfn.RANK.EQ(Eingabe[[#This Row],[GES]],AF219:AF224),IF(Eingabe[[#This Row],[Modus]]="P",_xlfn.RANK.EQ(Eingabe[[#This Row],[GES]],AF219:AF224),"")))</f>
        <v>2</v>
      </c>
      <c r="AV220" s="6">
        <f>VLOOKUP(Eingabe[[#This Row],[Name]],AuswertungG[],8,FALSE)</f>
        <v>501</v>
      </c>
      <c r="AZ220" s="6">
        <f>IFERROR(ABS(Eingabe[[#This Row],[GES]]-Eingabe[[#This Row],[GEGGES]]),"")</f>
        <v>525</v>
      </c>
    </row>
    <row r="221" spans="1:52" ht="16.2" hidden="1" thickBot="1" x14ac:dyDescent="0.35">
      <c r="A221" s="441"/>
      <c r="B221" s="21">
        <f t="shared" si="34"/>
        <v>37</v>
      </c>
      <c r="C221" s="6" t="str">
        <f>VLOOKUP($B221,Chronologie[],7,TRUE)</f>
        <v>SKV 9-Pins Stollberg</v>
      </c>
      <c r="D221" s="6" t="str">
        <f>VLOOKUP($B221,Chronologie[],8,TRUE)</f>
        <v>Stollberg</v>
      </c>
      <c r="E221" s="240" t="str">
        <f>VLOOKUP($B221,Chronologie[],9,TRUE)</f>
        <v>A</v>
      </c>
      <c r="F221" s="6" t="str">
        <f>VLOOKUP($B221,Chronologie[],COLUMN(F222)-2,TRUE)</f>
        <v>U19</v>
      </c>
      <c r="G221" s="6" t="str">
        <f>VLOOKUP($B221,Chronologie[],COLUMN(G222)-2,TRUE)</f>
        <v>L</v>
      </c>
      <c r="H221" s="6">
        <f>VLOOKUP($B221,Chronologie[],COLUMN(H222)-2,TRUE)</f>
        <v>5</v>
      </c>
      <c r="I221" s="10" t="str">
        <f>VLOOKUP($B221,Chronologie[],2,TRUE)</f>
        <v>U19-L-5</v>
      </c>
      <c r="J221" s="243">
        <f>VLOOKUP($B221,Chronologie[],3,TRUE)</f>
        <v>45962</v>
      </c>
      <c r="K221" s="237" t="s">
        <v>485</v>
      </c>
      <c r="L221" s="237">
        <v>78</v>
      </c>
      <c r="M221" s="237">
        <v>86</v>
      </c>
      <c r="N221" s="237">
        <v>93</v>
      </c>
      <c r="O221" s="237">
        <v>78</v>
      </c>
      <c r="P221" s="237">
        <v>31</v>
      </c>
      <c r="Q221" s="237">
        <v>26</v>
      </c>
      <c r="R221" s="237">
        <v>44</v>
      </c>
      <c r="S221" s="237">
        <v>24</v>
      </c>
      <c r="T221" s="237">
        <v>4</v>
      </c>
      <c r="U221" s="237">
        <v>4</v>
      </c>
      <c r="V221" s="237">
        <v>2</v>
      </c>
      <c r="W221" s="237">
        <v>6</v>
      </c>
      <c r="X221" s="38"/>
      <c r="Y221" s="38"/>
      <c r="Z221" s="38"/>
      <c r="AA221" s="38"/>
      <c r="AB221" s="91"/>
      <c r="AC221" s="94">
        <f>IF(Eingabe[[#This Row],[V1]]="",IF(Eingabe[[#This Row],[Volle alternativ]]="","",Eingabe[[#This Row],[Volle alternativ]]),SUM(Eingabe[[#This Row],[V1]:[V4]]))</f>
        <v>335</v>
      </c>
      <c r="AD221" s="6">
        <f>IF(Eingabe[[#This Row],[R1]]="",IF(Eingabe[[#This Row],[Räumer alternativ]]="","",Eingabe[[#This Row],[Räumer alternativ]]),SUM(Eingabe[[#This Row],[R1]:[R4]]))</f>
        <v>125</v>
      </c>
      <c r="AE221" s="6">
        <f>IF(Eingabe[[#This Row],[F1]]="",IF(Eingabe[[#This Row],[Fehler alternativ]]="","",Eingabe[[#This Row],[Fehler alternativ]]),SUM(Eingabe[[#This Row],[F1]:[F4]]))</f>
        <v>16</v>
      </c>
      <c r="AF221" s="6">
        <f>IF(Eingabe[[#This Row],[Volle]]="","",IF(Eingabe[[#This Row],[S1]]="",Eingabe[[#This Row],[Volle]]+Eingabe[[#This Row],[Räumer]],IF(Eingabe[[#This Row],[Volle]]+Eingabe[[#This Row],[Räumer]]=Eingabe[[#This Row],[S1]]+Eingabe[[#This Row],[S2]]+Eingabe[[#This Row],[S3]]+Eingabe[[#This Row],[S4]],Eingabe[[#This Row],[Volle]]+Eingabe[[#This Row],[Räumer]],"FEHLER")))</f>
        <v>460</v>
      </c>
      <c r="AG221" s="6">
        <f>IF(Eingabe[[#This Row],[V1]]="","",Eingabe[[#This Row],[V1]]+Eingabe[[#This Row],[R1]])</f>
        <v>109</v>
      </c>
      <c r="AH221" s="6">
        <f>IF(Eingabe[[#This Row],[V2]]="","",Eingabe[[#This Row],[V2]]+Eingabe[[#This Row],[R2]])</f>
        <v>112</v>
      </c>
      <c r="AI221" s="6">
        <f>IF(Eingabe[[#This Row],[V3]]="","",Eingabe[[#This Row],[V3]]+Eingabe[[#This Row],[R3]])</f>
        <v>137</v>
      </c>
      <c r="AJ221" s="6">
        <f>IF(Eingabe[[#This Row],[V4]]="","",Eingabe[[#This Row],[V4]]+Eingabe[[#This Row],[R4]])</f>
        <v>102</v>
      </c>
      <c r="AK221" s="6" t="str">
        <f>IF(Eingabe[[#This Row],[S1P]]="","",Eingabe[[#This Row],[S1P]]+Eingabe[[#This Row],[S2P]]+Eingabe[[#This Row],[S3P]]+Eingabe[[#This Row],[S4P]])</f>
        <v/>
      </c>
      <c r="AL221" s="6" t="str">
        <f>IF(Eingabe[[#This Row],[S1P]]="","",IF(Eingabe[[#This Row],[SP]]&gt;2,1,IF(Eingabe[[#This Row],[SP]]&lt;2,0,IF(Eingabe[[#This Row],[GES]]&gt;Eingabe[[#This Row],[GEGGES]],1,IF(Eingabe[[#This Row],[GES]]=Eingabe[[#This Row],[GEGGES]],0.5,0)))))</f>
        <v/>
      </c>
      <c r="AM221" s="6" t="str">
        <f>IF(Eingabe[[#This Row],[MP]]="","",MOD(ROW(Eingabe[[#This Row],[Position]])-3,6)+1)</f>
        <v/>
      </c>
      <c r="AN221" s="6">
        <f>STANDARDIZE(Eingabe[[#This Row],[GES]],Eingabe[[#This Row],[Schnitt]],VLOOKUP(Eingabe[[#This Row],[Name]],AuswertungG[],21,FALSE))</f>
        <v>-3.4482758620689655E-2</v>
      </c>
      <c r="AO221" s="6">
        <f>VLOOKUP(Eingabe[[#This Row],[ID]],Chronologie[[ID]:[KW]],12,FALSE)</f>
        <v>10</v>
      </c>
      <c r="AP221" s="95" t="str">
        <f>IF(Eingabe[[#This Row],[Wo]]="H",Eingabe[[#This Row],[Gegner]]&amp;" ["&amp;Eingabe[[#This Row],[Wo]]&amp;"]",Eingabe[[#This Row],[Ort]])</f>
        <v>Stollberg</v>
      </c>
      <c r="AQ221" s="6" t="str">
        <f>IFERROR(IF(Eingabe[[#This Row],[Wo]]="H",IF(MOD(Eingabe[[#This Row],[Position]],2)=1,Eingabe[[#This Row],[S1]],Eingabe[[#This Row],[S4]]),""),"")</f>
        <v/>
      </c>
      <c r="AR221" s="6" t="str">
        <f>IFERROR(IF(Eingabe[[#This Row],[Wo]]="H",IF(Eingabe[[#This Row],[S1]]&gt;0,IF(MOD(Eingabe[[#This Row],[Position]],2)=1,Eingabe[[#This Row],[S2]],Eingabe[[#This Row],[S3]]),""),""),"")</f>
        <v/>
      </c>
      <c r="AS221" s="6" t="str">
        <f>IFERROR(IF(Eingabe[[#This Row],[Wo]]="H",IF(Eingabe[[#This Row],[S1]]&gt;0,IF(MOD(ROW(Eingabe[[#This Row],[Heimbahn 3]]),2)=1,Eingabe[[#This Row],[S4]],Eingabe[[#This Row],[S1]]),""),""),"")</f>
        <v/>
      </c>
      <c r="AT221" s="6" t="str">
        <f>IFERROR(IF(Eingabe[[#This Row],[Wo]]="H",IF(Eingabe[[#This Row],[S1]]&gt;0,IF(MOD(ROW(Eingabe[[#This Row],[Heimbahn 4]]),2)=1,Eingabe[[#This Row],[S3]],Eingabe[[#This Row],[S2]]),""),""),"")</f>
        <v/>
      </c>
      <c r="AU221" s="22">
        <f>IF(Eingabe[[#This Row],[GES]]="","",IF(Eingabe[[#This Row],[Modus]]="L",_xlfn.RANK.EQ(Eingabe[[#This Row],[GES]],AF219:AF224),IF(Eingabe[[#This Row],[Modus]]="P",_xlfn.RANK.EQ(Eingabe[[#This Row],[GES]],AF219:AF224),"")))</f>
        <v>4</v>
      </c>
      <c r="AV221" s="6">
        <f>VLOOKUP(Eingabe[[#This Row],[Name]],AuswertungG[],8,FALSE)</f>
        <v>461</v>
      </c>
      <c r="AZ221" s="6">
        <f>IFERROR(ABS(Eingabe[[#This Row],[GES]]-Eingabe[[#This Row],[GEGGES]]),"")</f>
        <v>460</v>
      </c>
    </row>
    <row r="222" spans="1:52" ht="16.2" hidden="1" thickBot="1" x14ac:dyDescent="0.35">
      <c r="A222" s="441"/>
      <c r="B222" s="21">
        <f t="shared" si="34"/>
        <v>37</v>
      </c>
      <c r="C222" s="6" t="str">
        <f>VLOOKUP($B222,Chronologie[],7,TRUE)</f>
        <v>SKV 9-Pins Stollberg</v>
      </c>
      <c r="D222" s="6" t="str">
        <f>VLOOKUP($B222,Chronologie[],8,TRUE)</f>
        <v>Stollberg</v>
      </c>
      <c r="E222" s="240" t="str">
        <f>VLOOKUP($B222,Chronologie[],9,TRUE)</f>
        <v>A</v>
      </c>
      <c r="F222" s="6" t="str">
        <f>VLOOKUP($B222,Chronologie[],COLUMN(F223)-2,TRUE)</f>
        <v>U19</v>
      </c>
      <c r="G222" s="6" t="str">
        <f>VLOOKUP($B222,Chronologie[],COLUMN(G223)-2,TRUE)</f>
        <v>L</v>
      </c>
      <c r="H222" s="6">
        <f>VLOOKUP($B222,Chronologie[],COLUMN(H223)-2,TRUE)</f>
        <v>5</v>
      </c>
      <c r="I222" s="10" t="str">
        <f>VLOOKUP($B222,Chronologie[],2,TRUE)</f>
        <v>U19-L-5</v>
      </c>
      <c r="J222" s="243">
        <f>VLOOKUP($B222,Chronologie[],3,TRUE)</f>
        <v>45962</v>
      </c>
      <c r="K222" s="238" t="s">
        <v>477</v>
      </c>
      <c r="L222" s="237">
        <v>106</v>
      </c>
      <c r="M222" s="237">
        <v>97</v>
      </c>
      <c r="N222" s="237">
        <v>93</v>
      </c>
      <c r="O222" s="237">
        <v>97</v>
      </c>
      <c r="P222" s="237">
        <v>54</v>
      </c>
      <c r="Q222" s="237">
        <v>36</v>
      </c>
      <c r="R222" s="237">
        <v>61</v>
      </c>
      <c r="S222" s="237">
        <v>43</v>
      </c>
      <c r="T222" s="237">
        <v>2</v>
      </c>
      <c r="U222" s="237">
        <v>0</v>
      </c>
      <c r="V222" s="237">
        <v>0</v>
      </c>
      <c r="W222" s="237">
        <v>1</v>
      </c>
      <c r="X222" s="38"/>
      <c r="Y222" s="38"/>
      <c r="Z222" s="38"/>
      <c r="AA222" s="38"/>
      <c r="AB222" s="91"/>
      <c r="AC222" s="94">
        <f>IF(Eingabe[[#This Row],[V1]]="",IF(Eingabe[[#This Row],[Volle alternativ]]="","",Eingabe[[#This Row],[Volle alternativ]]),SUM(Eingabe[[#This Row],[V1]:[V4]]))</f>
        <v>393</v>
      </c>
      <c r="AD222" s="6">
        <f>IF(Eingabe[[#This Row],[R1]]="",IF(Eingabe[[#This Row],[Räumer alternativ]]="","",Eingabe[[#This Row],[Räumer alternativ]]),SUM(Eingabe[[#This Row],[R1]:[R4]]))</f>
        <v>194</v>
      </c>
      <c r="AE222" s="6">
        <f>IF(Eingabe[[#This Row],[F1]]="",IF(Eingabe[[#This Row],[Fehler alternativ]]="","",Eingabe[[#This Row],[Fehler alternativ]]),SUM(Eingabe[[#This Row],[F1]:[F4]]))</f>
        <v>3</v>
      </c>
      <c r="AF222" s="6">
        <f>IF(Eingabe[[#This Row],[Volle]]="","",IF(Eingabe[[#This Row],[S1]]="",Eingabe[[#This Row],[Volle]]+Eingabe[[#This Row],[Räumer]],IF(Eingabe[[#This Row],[Volle]]+Eingabe[[#This Row],[Räumer]]=Eingabe[[#This Row],[S1]]+Eingabe[[#This Row],[S2]]+Eingabe[[#This Row],[S3]]+Eingabe[[#This Row],[S4]],Eingabe[[#This Row],[Volle]]+Eingabe[[#This Row],[Räumer]],"FEHLER")))</f>
        <v>587</v>
      </c>
      <c r="AG222" s="6">
        <f>IF(Eingabe[[#This Row],[V1]]="","",Eingabe[[#This Row],[V1]]+Eingabe[[#This Row],[R1]])</f>
        <v>160</v>
      </c>
      <c r="AH222" s="6">
        <f>IF(Eingabe[[#This Row],[V2]]="","",Eingabe[[#This Row],[V2]]+Eingabe[[#This Row],[R2]])</f>
        <v>133</v>
      </c>
      <c r="AI222" s="6">
        <f>IF(Eingabe[[#This Row],[V3]]="","",Eingabe[[#This Row],[V3]]+Eingabe[[#This Row],[R3]])</f>
        <v>154</v>
      </c>
      <c r="AJ222" s="6">
        <f>IF(Eingabe[[#This Row],[V4]]="","",Eingabe[[#This Row],[V4]]+Eingabe[[#This Row],[R4]])</f>
        <v>140</v>
      </c>
      <c r="AK222" s="6" t="str">
        <f>IF(Eingabe[[#This Row],[S1P]]="","",Eingabe[[#This Row],[S1P]]+Eingabe[[#This Row],[S2P]]+Eingabe[[#This Row],[S3P]]+Eingabe[[#This Row],[S4P]])</f>
        <v/>
      </c>
      <c r="AL222" s="6" t="str">
        <f>IF(Eingabe[[#This Row],[S1P]]="","",IF(Eingabe[[#This Row],[SP]]&gt;2,1,IF(Eingabe[[#This Row],[SP]]&lt;2,0,IF(Eingabe[[#This Row],[GES]]&gt;Eingabe[[#This Row],[GEGGES]],1,IF(Eingabe[[#This Row],[GES]]=Eingabe[[#This Row],[GEGGES]],0.5,0)))))</f>
        <v/>
      </c>
      <c r="AM222" s="6" t="str">
        <f>IF(Eingabe[[#This Row],[MP]]="","",MOD(ROW(Eingabe[[#This Row],[Position]])-3,6)+1)</f>
        <v/>
      </c>
      <c r="AN222" s="6">
        <f>STANDARDIZE(Eingabe[[#This Row],[GES]],Eingabe[[#This Row],[Schnitt]],VLOOKUP(Eingabe[[#This Row],[Name]],AuswertungG[],21,FALSE))</f>
        <v>2.2000000000000002</v>
      </c>
      <c r="AO222" s="6">
        <f>VLOOKUP(Eingabe[[#This Row],[ID]],Chronologie[[ID]:[KW]],12,FALSE)</f>
        <v>10</v>
      </c>
      <c r="AP222" s="95" t="str">
        <f>IF(Eingabe[[#This Row],[Wo]]="H",Eingabe[[#This Row],[Gegner]]&amp;" ["&amp;Eingabe[[#This Row],[Wo]]&amp;"]",Eingabe[[#This Row],[Ort]])</f>
        <v>Stollberg</v>
      </c>
      <c r="AQ222" s="6" t="str">
        <f>IFERROR(IF(Eingabe[[#This Row],[Wo]]="H",IF(MOD(Eingabe[[#This Row],[Position]],2)=1,Eingabe[[#This Row],[S1]],Eingabe[[#This Row],[S4]]),""),"")</f>
        <v/>
      </c>
      <c r="AR222" s="6" t="str">
        <f>IFERROR(IF(Eingabe[[#This Row],[Wo]]="H",IF(Eingabe[[#This Row],[S1]]&gt;0,IF(MOD(Eingabe[[#This Row],[Position]],2)=1,Eingabe[[#This Row],[S2]],Eingabe[[#This Row],[S3]]),""),""),"")</f>
        <v/>
      </c>
      <c r="AS222" s="6" t="str">
        <f>IFERROR(IF(Eingabe[[#This Row],[Wo]]="H",IF(Eingabe[[#This Row],[S1]]&gt;0,IF(MOD(ROW(Eingabe[[#This Row],[Heimbahn 3]]),2)=1,Eingabe[[#This Row],[S4]],Eingabe[[#This Row],[S1]]),""),""),"")</f>
        <v/>
      </c>
      <c r="AT222" s="6" t="str">
        <f>IFERROR(IF(Eingabe[[#This Row],[Wo]]="H",IF(Eingabe[[#This Row],[S1]]&gt;0,IF(MOD(ROW(Eingabe[[#This Row],[Heimbahn 4]]),2)=1,Eingabe[[#This Row],[S3]],Eingabe[[#This Row],[S2]]),""),""),"")</f>
        <v/>
      </c>
      <c r="AU222" s="22">
        <f>IF(Eingabe[[#This Row],[GES]]="","",IF(Eingabe[[#This Row],[Modus]]="L",_xlfn.RANK.EQ(Eingabe[[#This Row],[GES]],AF219:AF224),IF(Eingabe[[#This Row],[Modus]]="P",_xlfn.RANK.EQ(Eingabe[[#This Row],[GES]],AF219:AF224),"")))</f>
        <v>1</v>
      </c>
      <c r="AV222" s="6">
        <f>VLOOKUP(Eingabe[[#This Row],[Name]],AuswertungG[],8,FALSE)</f>
        <v>532</v>
      </c>
      <c r="AZ222" s="6">
        <f>IFERROR(ABS(Eingabe[[#This Row],[GES]]-Eingabe[[#This Row],[GEGGES]]),"")</f>
        <v>587</v>
      </c>
    </row>
    <row r="223" spans="1:52" ht="16.2" hidden="1" thickBot="1" x14ac:dyDescent="0.35">
      <c r="A223" s="441"/>
      <c r="B223" s="21">
        <f t="shared" si="34"/>
        <v>37</v>
      </c>
      <c r="C223" s="6" t="str">
        <f>VLOOKUP($B223,Chronologie[],7,TRUE)</f>
        <v>SKV 9-Pins Stollberg</v>
      </c>
      <c r="D223" s="6" t="str">
        <f>VLOOKUP($B223,Chronologie[],8,TRUE)</f>
        <v>Stollberg</v>
      </c>
      <c r="E223" s="240" t="str">
        <f>VLOOKUP($B223,Chronologie[],9,TRUE)</f>
        <v>A</v>
      </c>
      <c r="F223" s="6" t="str">
        <f>VLOOKUP($B223,Chronologie[],COLUMN(F224)-2,TRUE)</f>
        <v>U19</v>
      </c>
      <c r="G223" s="6" t="str">
        <f>VLOOKUP($B223,Chronologie[],COLUMN(G224)-2,TRUE)</f>
        <v>L</v>
      </c>
      <c r="H223" s="6">
        <f>VLOOKUP($B223,Chronologie[],COLUMN(H224)-2,TRUE)</f>
        <v>5</v>
      </c>
      <c r="I223" s="10" t="str">
        <f>VLOOKUP($B223,Chronologie[],2,TRUE)</f>
        <v>U19-L-5</v>
      </c>
      <c r="J223" s="243">
        <f>VLOOKUP($B223,Chronologie[],3,TRUE)</f>
        <v>45962</v>
      </c>
      <c r="K223" s="237"/>
      <c r="L223" s="237"/>
      <c r="M223" s="237"/>
      <c r="N223" s="237"/>
      <c r="O223" s="237"/>
      <c r="P223" s="237"/>
      <c r="Q223" s="237"/>
      <c r="R223" s="237"/>
      <c r="S223" s="237"/>
      <c r="T223" s="237"/>
      <c r="U223" s="237"/>
      <c r="V223" s="237"/>
      <c r="W223" s="237"/>
      <c r="X223" s="38"/>
      <c r="Y223" s="38"/>
      <c r="Z223" s="38"/>
      <c r="AA223" s="38"/>
      <c r="AB223" s="91"/>
      <c r="AC223" s="94" t="str">
        <f>IF(Eingabe[[#This Row],[V1]]="",IF(Eingabe[[#This Row],[Volle alternativ]]="","",Eingabe[[#This Row],[Volle alternativ]]),SUM(Eingabe[[#This Row],[V1]:[V4]]))</f>
        <v/>
      </c>
      <c r="AD223" s="6" t="str">
        <f>IF(Eingabe[[#This Row],[R1]]="",IF(Eingabe[[#This Row],[Räumer alternativ]]="","",Eingabe[[#This Row],[Räumer alternativ]]),SUM(Eingabe[[#This Row],[R1]:[R4]]))</f>
        <v/>
      </c>
      <c r="AE223" s="6" t="str">
        <f>IF(Eingabe[[#This Row],[F1]]="",IF(Eingabe[[#This Row],[Fehler alternativ]]="","",Eingabe[[#This Row],[Fehler alternativ]]),SUM(Eingabe[[#This Row],[F1]:[F4]]))</f>
        <v/>
      </c>
      <c r="AF223" s="6" t="str">
        <f>IF(Eingabe[[#This Row],[Volle]]="","",IF(Eingabe[[#This Row],[S1]]="",Eingabe[[#This Row],[Volle]]+Eingabe[[#This Row],[Räumer]],IF(Eingabe[[#This Row],[Volle]]+Eingabe[[#This Row],[Räumer]]=Eingabe[[#This Row],[S1]]+Eingabe[[#This Row],[S2]]+Eingabe[[#This Row],[S3]]+Eingabe[[#This Row],[S4]],Eingabe[[#This Row],[Volle]]+Eingabe[[#This Row],[Räumer]],"FEHLER")))</f>
        <v/>
      </c>
      <c r="AG223" s="6" t="str">
        <f>IF(Eingabe[[#This Row],[V1]]="","",Eingabe[[#This Row],[V1]]+Eingabe[[#This Row],[R1]])</f>
        <v/>
      </c>
      <c r="AH223" s="6" t="str">
        <f>IF(Eingabe[[#This Row],[V2]]="","",Eingabe[[#This Row],[V2]]+Eingabe[[#This Row],[R2]])</f>
        <v/>
      </c>
      <c r="AI223" s="6" t="str">
        <f>IF(Eingabe[[#This Row],[V3]]="","",Eingabe[[#This Row],[V3]]+Eingabe[[#This Row],[R3]])</f>
        <v/>
      </c>
      <c r="AJ223" s="6" t="str">
        <f>IF(Eingabe[[#This Row],[V4]]="","",Eingabe[[#This Row],[V4]]+Eingabe[[#This Row],[R4]])</f>
        <v/>
      </c>
      <c r="AK223" s="6" t="str">
        <f>IF(Eingabe[[#This Row],[S1P]]="","",Eingabe[[#This Row],[S1P]]+Eingabe[[#This Row],[S2P]]+Eingabe[[#This Row],[S3P]]+Eingabe[[#This Row],[S4P]])</f>
        <v/>
      </c>
      <c r="AL223" s="6" t="str">
        <f>IF(Eingabe[[#This Row],[S1P]]="","",IF(Eingabe[[#This Row],[SP]]&gt;2,1,IF(Eingabe[[#This Row],[SP]]&lt;2,0,IF(Eingabe[[#This Row],[GES]]&gt;Eingabe[[#This Row],[GEGGES]],1,IF(Eingabe[[#This Row],[GES]]=Eingabe[[#This Row],[GEGGES]],0.5,0)))))</f>
        <v/>
      </c>
      <c r="AM223" s="6" t="str">
        <f>IF(Eingabe[[#This Row],[MP]]="","",MOD(ROW(Eingabe[[#This Row],[Position]])-3,6)+1)</f>
        <v/>
      </c>
      <c r="AN223" s="6" t="e">
        <f>STANDARDIZE(Eingabe[[#This Row],[GES]],Eingabe[[#This Row],[Schnitt]],VLOOKUP(Eingabe[[#This Row],[Name]],AuswertungG[],21,FALSE))</f>
        <v>#VALUE!</v>
      </c>
      <c r="AO223" s="6">
        <f>VLOOKUP(Eingabe[[#This Row],[ID]],Chronologie[[ID]:[KW]],12,FALSE)</f>
        <v>10</v>
      </c>
      <c r="AP223" s="95" t="str">
        <f>IF(Eingabe[[#This Row],[Wo]]="H",Eingabe[[#This Row],[Gegner]]&amp;" ["&amp;Eingabe[[#This Row],[Wo]]&amp;"]",Eingabe[[#This Row],[Ort]])</f>
        <v>Stollberg</v>
      </c>
      <c r="AQ223" s="6" t="str">
        <f>IFERROR(IF(Eingabe[[#This Row],[Wo]]="H",IF(MOD(Eingabe[[#This Row],[Position]],2)=1,Eingabe[[#This Row],[S1]],Eingabe[[#This Row],[S4]]),""),"")</f>
        <v/>
      </c>
      <c r="AR223" s="6" t="str">
        <f>IFERROR(IF(Eingabe[[#This Row],[Wo]]="H",IF(Eingabe[[#This Row],[S1]]&gt;0,IF(MOD(Eingabe[[#This Row],[Position]],2)=1,Eingabe[[#This Row],[S2]],Eingabe[[#This Row],[S3]]),""),""),"")</f>
        <v/>
      </c>
      <c r="AS223" s="6" t="str">
        <f>IFERROR(IF(Eingabe[[#This Row],[Wo]]="H",IF(Eingabe[[#This Row],[S1]]&gt;0,IF(MOD(ROW(Eingabe[[#This Row],[Heimbahn 3]]),2)=1,Eingabe[[#This Row],[S4]],Eingabe[[#This Row],[S1]]),""),""),"")</f>
        <v/>
      </c>
      <c r="AT223" s="6" t="str">
        <f>IFERROR(IF(Eingabe[[#This Row],[Wo]]="H",IF(Eingabe[[#This Row],[S1]]&gt;0,IF(MOD(ROW(Eingabe[[#This Row],[Heimbahn 4]]),2)=1,Eingabe[[#This Row],[S3]],Eingabe[[#This Row],[S2]]),""),""),"")</f>
        <v/>
      </c>
      <c r="AU223" s="22" t="str">
        <f>IF(Eingabe[[#This Row],[GES]]="","",IF(Eingabe[[#This Row],[Modus]]="L",_xlfn.RANK.EQ(Eingabe[[#This Row],[GES]],AF219:AF224),IF(Eingabe[[#This Row],[Modus]]="P",_xlfn.RANK.EQ(Eingabe[[#This Row],[GES]],AF219:AF224),"")))</f>
        <v/>
      </c>
      <c r="AV223" s="6" t="e">
        <f>VLOOKUP(Eingabe[[#This Row],[Name]],AuswertungG[],8,FALSE)</f>
        <v>#N/A</v>
      </c>
      <c r="AZ223" s="6" t="str">
        <f>IFERROR(ABS(Eingabe[[#This Row],[GES]]-Eingabe[[#This Row],[GEGGES]]),"")</f>
        <v/>
      </c>
    </row>
    <row r="224" spans="1:52" ht="16.2" hidden="1" thickBot="1" x14ac:dyDescent="0.35">
      <c r="A224" s="442"/>
      <c r="B224" s="56">
        <f t="shared" si="34"/>
        <v>37</v>
      </c>
      <c r="C224" s="23" t="str">
        <f>VLOOKUP($B224,Chronologie[],7,TRUE)</f>
        <v>SKV 9-Pins Stollberg</v>
      </c>
      <c r="D224" s="23" t="str">
        <f>VLOOKUP($B224,Chronologie[],8,TRUE)</f>
        <v>Stollberg</v>
      </c>
      <c r="E224" s="39" t="str">
        <f>VLOOKUP($B224,Chronologie[],9,TRUE)</f>
        <v>A</v>
      </c>
      <c r="F224" s="23" t="str">
        <f>VLOOKUP($B224,Chronologie[],COLUMN(F225)-2,TRUE)</f>
        <v>U19</v>
      </c>
      <c r="G224" s="23" t="str">
        <f>VLOOKUP($B224,Chronologie[],COLUMN(G225)-2,TRUE)</f>
        <v>L</v>
      </c>
      <c r="H224" s="23">
        <f>VLOOKUP($B224,Chronologie[],COLUMN(H225)-2,TRUE)</f>
        <v>5</v>
      </c>
      <c r="I224" s="13" t="str">
        <f>VLOOKUP($B224,Chronologie[],2,TRUE)</f>
        <v>U19-L-5</v>
      </c>
      <c r="J224" s="244">
        <f>VLOOKUP($B224,Chronologie[],3,TRUE)</f>
        <v>45962</v>
      </c>
      <c r="K224" s="239"/>
      <c r="L224" s="239"/>
      <c r="M224" s="239"/>
      <c r="N224" s="239"/>
      <c r="O224" s="239"/>
      <c r="P224" s="239"/>
      <c r="Q224" s="239"/>
      <c r="R224" s="239"/>
      <c r="S224" s="239"/>
      <c r="T224" s="239"/>
      <c r="U224" s="239"/>
      <c r="V224" s="239"/>
      <c r="W224" s="239"/>
      <c r="X224" s="40"/>
      <c r="Y224" s="40"/>
      <c r="Z224" s="40"/>
      <c r="AA224" s="40"/>
      <c r="AB224" s="92"/>
      <c r="AC224" s="96" t="str">
        <f>IF(Eingabe[[#This Row],[V1]]="",IF(Eingabe[[#This Row],[Volle alternativ]]="","",Eingabe[[#This Row],[Volle alternativ]]),SUM(Eingabe[[#This Row],[V1]:[V4]]))</f>
        <v/>
      </c>
      <c r="AD224" s="23" t="str">
        <f>IF(Eingabe[[#This Row],[R1]]="",IF(Eingabe[[#This Row],[Räumer alternativ]]="","",Eingabe[[#This Row],[Räumer alternativ]]),SUM(Eingabe[[#This Row],[R1]:[R4]]))</f>
        <v/>
      </c>
      <c r="AE224" s="23" t="str">
        <f>IF(Eingabe[[#This Row],[F1]]="",IF(Eingabe[[#This Row],[Fehler alternativ]]="","",Eingabe[[#This Row],[Fehler alternativ]]),SUM(Eingabe[[#This Row],[F1]:[F4]]))</f>
        <v/>
      </c>
      <c r="AF224" s="23" t="str">
        <f>IF(Eingabe[[#This Row],[Volle]]="","",IF(Eingabe[[#This Row],[S1]]="",Eingabe[[#This Row],[Volle]]+Eingabe[[#This Row],[Räumer]],IF(Eingabe[[#This Row],[Volle]]+Eingabe[[#This Row],[Räumer]]=Eingabe[[#This Row],[S1]]+Eingabe[[#This Row],[S2]]+Eingabe[[#This Row],[S3]]+Eingabe[[#This Row],[S4]],Eingabe[[#This Row],[Volle]]+Eingabe[[#This Row],[Räumer]],"FEHLER")))</f>
        <v/>
      </c>
      <c r="AG224" s="23" t="str">
        <f>IF(Eingabe[[#This Row],[V1]]="","",Eingabe[[#This Row],[V1]]+Eingabe[[#This Row],[R1]])</f>
        <v/>
      </c>
      <c r="AH224" s="23" t="str">
        <f>IF(Eingabe[[#This Row],[V2]]="","",Eingabe[[#This Row],[V2]]+Eingabe[[#This Row],[R2]])</f>
        <v/>
      </c>
      <c r="AI224" s="23" t="str">
        <f>IF(Eingabe[[#This Row],[V3]]="","",Eingabe[[#This Row],[V3]]+Eingabe[[#This Row],[R3]])</f>
        <v/>
      </c>
      <c r="AJ224" s="23" t="str">
        <f>IF(Eingabe[[#This Row],[V4]]="","",Eingabe[[#This Row],[V4]]+Eingabe[[#This Row],[R4]])</f>
        <v/>
      </c>
      <c r="AK224" s="23" t="str">
        <f>IF(Eingabe[[#This Row],[S1P]]="","",Eingabe[[#This Row],[S1P]]+Eingabe[[#This Row],[S2P]]+Eingabe[[#This Row],[S3P]]+Eingabe[[#This Row],[S4P]])</f>
        <v/>
      </c>
      <c r="AL224" s="23" t="str">
        <f>IF(Eingabe[[#This Row],[S1P]]="","",IF(Eingabe[[#This Row],[SP]]&gt;2,1,IF(Eingabe[[#This Row],[SP]]&lt;2,0,IF(Eingabe[[#This Row],[GES]]&gt;Eingabe[[#This Row],[GEGGES]],1,IF(Eingabe[[#This Row],[GES]]=Eingabe[[#This Row],[GEGGES]],0.5,0)))))</f>
        <v/>
      </c>
      <c r="AM224" s="23" t="str">
        <f>IF(Eingabe[[#This Row],[MP]]="","",MOD(ROW(Eingabe[[#This Row],[Position]])-3,6)+1)</f>
        <v/>
      </c>
      <c r="AN224" s="23" t="e">
        <f>STANDARDIZE(Eingabe[[#This Row],[GES]],Eingabe[[#This Row],[Schnitt]],VLOOKUP(Eingabe[[#This Row],[Name]],AuswertungG[],21,FALSE))</f>
        <v>#VALUE!</v>
      </c>
      <c r="AO224" s="23">
        <f>VLOOKUP(Eingabe[[#This Row],[ID]],Chronologie[[ID]:[KW]],12,FALSE)</f>
        <v>10</v>
      </c>
      <c r="AP224" s="59" t="str">
        <f>IF(Eingabe[[#This Row],[Wo]]="H",Eingabe[[#This Row],[Gegner]]&amp;" ["&amp;Eingabe[[#This Row],[Wo]]&amp;"]",Eingabe[[#This Row],[Ort]])</f>
        <v>Stollberg</v>
      </c>
      <c r="AQ224" s="23" t="str">
        <f>IFERROR(IF(Eingabe[[#This Row],[Wo]]="H",IF(MOD(Eingabe[[#This Row],[Position]],2)=1,Eingabe[[#This Row],[S1]],Eingabe[[#This Row],[S4]]),""),"")</f>
        <v/>
      </c>
      <c r="AR224" s="23" t="str">
        <f>IFERROR(IF(Eingabe[[#This Row],[Wo]]="H",IF(Eingabe[[#This Row],[S1]]&gt;0,IF(MOD(Eingabe[[#This Row],[Position]],2)=1,Eingabe[[#This Row],[S2]],Eingabe[[#This Row],[S3]]),""),""),"")</f>
        <v/>
      </c>
      <c r="AS224" s="23" t="str">
        <f>IFERROR(IF(Eingabe[[#This Row],[Wo]]="H",IF(Eingabe[[#This Row],[S1]]&gt;0,IF(MOD(ROW(Eingabe[[#This Row],[Heimbahn 3]]),2)=1,Eingabe[[#This Row],[S4]],Eingabe[[#This Row],[S1]]),""),""),"")</f>
        <v/>
      </c>
      <c r="AT224" s="23" t="str">
        <f>IFERROR(IF(Eingabe[[#This Row],[Wo]]="H",IF(Eingabe[[#This Row],[S1]]&gt;0,IF(MOD(ROW(Eingabe[[#This Row],[Heimbahn 4]]),2)=1,Eingabe[[#This Row],[S3]],Eingabe[[#This Row],[S2]]),""),""),"")</f>
        <v/>
      </c>
      <c r="AU224" s="89" t="str">
        <f>IF(Eingabe[[#This Row],[GES]]="","",IF(Eingabe[[#This Row],[Modus]]="L",_xlfn.RANK.EQ(Eingabe[[#This Row],[GES]],AF219:AF224),IF(Eingabe[[#This Row],[Modus]]="P",_xlfn.RANK.EQ(Eingabe[[#This Row],[GES]],AF219:AF224),"")))</f>
        <v/>
      </c>
      <c r="AV224" s="6" t="e">
        <f>VLOOKUP(Eingabe[[#This Row],[Name]],AuswertungG[],8,FALSE)</f>
        <v>#N/A</v>
      </c>
      <c r="AZ224" s="6" t="str">
        <f>IFERROR(ABS(Eingabe[[#This Row],[GES]]-Eingabe[[#This Row],[GEGGES]]),"")</f>
        <v/>
      </c>
    </row>
    <row r="225" spans="1:52" ht="16.2" hidden="1" thickBot="1" x14ac:dyDescent="0.35">
      <c r="A225" s="440">
        <f t="shared" ref="A225" si="39">B225</f>
        <v>38</v>
      </c>
      <c r="B225" s="55">
        <f t="shared" si="34"/>
        <v>38</v>
      </c>
      <c r="C225" s="35" t="str">
        <f>VLOOKUP($B225,Chronologie[],7,TRUE)</f>
        <v>SKV 9-Pins Stollberg</v>
      </c>
      <c r="D225" s="35" t="str">
        <f>VLOOKUP($B225,Chronologie[],8,TRUE)</f>
        <v>Stollberg</v>
      </c>
      <c r="E225" s="36" t="str">
        <f>VLOOKUP($B225,Chronologie[],9,TRUE)</f>
        <v>A</v>
      </c>
      <c r="F225" s="35" t="str">
        <f>VLOOKUP($B225,Chronologie[],COLUMN(F226)-2,TRUE)</f>
        <v>U19</v>
      </c>
      <c r="G225" s="35" t="str">
        <f>VLOOKUP($B225,Chronologie[],COLUMN(G226)-2,TRUE)</f>
        <v>L</v>
      </c>
      <c r="H225" s="35">
        <f>VLOOKUP($B225,Chronologie[],COLUMN(H226)-2,TRUE)</f>
        <v>6</v>
      </c>
      <c r="I225" s="9" t="str">
        <f>VLOOKUP($B225,Chronologie[],2,TRUE)</f>
        <v>U19-L-6</v>
      </c>
      <c r="J225" s="242">
        <f>VLOOKUP($B225,Chronologie[],3,TRUE)</f>
        <v>45983</v>
      </c>
      <c r="K225" s="236" t="s">
        <v>458</v>
      </c>
      <c r="L225" s="334">
        <v>90</v>
      </c>
      <c r="M225" s="334">
        <v>99</v>
      </c>
      <c r="N225" s="334">
        <v>88</v>
      </c>
      <c r="O225" s="334">
        <v>88</v>
      </c>
      <c r="P225" s="334">
        <v>36</v>
      </c>
      <c r="Q225" s="334">
        <v>35</v>
      </c>
      <c r="R225" s="334">
        <v>43</v>
      </c>
      <c r="S225" s="334">
        <v>43</v>
      </c>
      <c r="T225" s="334">
        <v>1</v>
      </c>
      <c r="U225" s="334">
        <v>3</v>
      </c>
      <c r="V225" s="334">
        <v>2</v>
      </c>
      <c r="W225" s="334">
        <v>2</v>
      </c>
      <c r="X225" s="37"/>
      <c r="Y225" s="37"/>
      <c r="Z225" s="37"/>
      <c r="AA225" s="37"/>
      <c r="AB225" s="90"/>
      <c r="AC225" s="93">
        <f>IF(Eingabe[[#This Row],[V1]]="",IF(Eingabe[[#This Row],[Volle alternativ]]="","",Eingabe[[#This Row],[Volle alternativ]]),SUM(Eingabe[[#This Row],[V1]:[V4]]))</f>
        <v>365</v>
      </c>
      <c r="AD225" s="35">
        <f>IF(Eingabe[[#This Row],[R1]]="",IF(Eingabe[[#This Row],[Räumer alternativ]]="","",Eingabe[[#This Row],[Räumer alternativ]]),SUM(Eingabe[[#This Row],[R1]:[R4]]))</f>
        <v>157</v>
      </c>
      <c r="AE225" s="35">
        <f>IF(Eingabe[[#This Row],[F1]]="",IF(Eingabe[[#This Row],[Fehler alternativ]]="","",Eingabe[[#This Row],[Fehler alternativ]]),SUM(Eingabe[[#This Row],[F1]:[F4]]))</f>
        <v>8</v>
      </c>
      <c r="AF225" s="35">
        <f>IF(Eingabe[[#This Row],[Volle]]="","",IF(Eingabe[[#This Row],[S1]]="",Eingabe[[#This Row],[Volle]]+Eingabe[[#This Row],[Räumer]],IF(Eingabe[[#This Row],[Volle]]+Eingabe[[#This Row],[Räumer]]=Eingabe[[#This Row],[S1]]+Eingabe[[#This Row],[S2]]+Eingabe[[#This Row],[S3]]+Eingabe[[#This Row],[S4]],Eingabe[[#This Row],[Volle]]+Eingabe[[#This Row],[Räumer]],"FEHLER")))</f>
        <v>522</v>
      </c>
      <c r="AG225" s="35">
        <f>IF(Eingabe[[#This Row],[V1]]="","",Eingabe[[#This Row],[V1]]+Eingabe[[#This Row],[R1]])</f>
        <v>126</v>
      </c>
      <c r="AH225" s="35">
        <f>IF(Eingabe[[#This Row],[V2]]="","",Eingabe[[#This Row],[V2]]+Eingabe[[#This Row],[R2]])</f>
        <v>134</v>
      </c>
      <c r="AI225" s="35">
        <f>IF(Eingabe[[#This Row],[V3]]="","",Eingabe[[#This Row],[V3]]+Eingabe[[#This Row],[R3]])</f>
        <v>131</v>
      </c>
      <c r="AJ225" s="35">
        <f>IF(Eingabe[[#This Row],[V4]]="","",Eingabe[[#This Row],[V4]]+Eingabe[[#This Row],[R4]])</f>
        <v>131</v>
      </c>
      <c r="AK225" s="35" t="str">
        <f>IF(Eingabe[[#This Row],[S1P]]="","",Eingabe[[#This Row],[S1P]]+Eingabe[[#This Row],[S2P]]+Eingabe[[#This Row],[S3P]]+Eingabe[[#This Row],[S4P]])</f>
        <v/>
      </c>
      <c r="AL225" s="35" t="str">
        <f>IF(Eingabe[[#This Row],[S1P]]="","",IF(Eingabe[[#This Row],[SP]]&gt;2,1,IF(Eingabe[[#This Row],[SP]]&lt;2,0,IF(Eingabe[[#This Row],[GES]]&gt;Eingabe[[#This Row],[GEGGES]],1,IF(Eingabe[[#This Row],[GES]]=Eingabe[[#This Row],[GEGGES]],0.5,0)))))</f>
        <v/>
      </c>
      <c r="AM225" s="35" t="str">
        <f>IF(Eingabe[[#This Row],[MP]]="","",MOD(ROW(Eingabe[[#This Row],[Position]])-3,6)+1)</f>
        <v/>
      </c>
      <c r="AN225" s="35">
        <f>STANDARDIZE(Eingabe[[#This Row],[GES]],Eingabe[[#This Row],[Schnitt]],VLOOKUP(Eingabe[[#This Row],[Name]],AuswertungG[],21,FALSE))</f>
        <v>0.7</v>
      </c>
      <c r="AO225" s="35">
        <f>VLOOKUP(Eingabe[[#This Row],[ID]],Chronologie[[ID]:[KW]],12,FALSE)</f>
        <v>13</v>
      </c>
      <c r="AP225" s="58" t="str">
        <f>IF(Eingabe[[#This Row],[Wo]]="H",Eingabe[[#This Row],[Gegner]]&amp;" ["&amp;Eingabe[[#This Row],[Wo]]&amp;"]",Eingabe[[#This Row],[Ort]])</f>
        <v>Stollberg</v>
      </c>
      <c r="AQ225" s="35" t="str">
        <f>IFERROR(IF(Eingabe[[#This Row],[Wo]]="H",IF(MOD(Eingabe[[#This Row],[Position]],2)=1,Eingabe[[#This Row],[S1]],Eingabe[[#This Row],[S4]]),""),"")</f>
        <v/>
      </c>
      <c r="AR225" s="35" t="str">
        <f>IFERROR(IF(Eingabe[[#This Row],[Wo]]="H",IF(Eingabe[[#This Row],[S1]]&gt;0,IF(MOD(Eingabe[[#This Row],[Position]],2)=1,Eingabe[[#This Row],[S2]],Eingabe[[#This Row],[S3]]),""),""),"")</f>
        <v/>
      </c>
      <c r="AS225" s="35" t="str">
        <f>IFERROR(IF(Eingabe[[#This Row],[Wo]]="H",IF(Eingabe[[#This Row],[S1]]&gt;0,IF(MOD(ROW(Eingabe[[#This Row],[Heimbahn 3]]),2)=1,Eingabe[[#This Row],[S4]],Eingabe[[#This Row],[S1]]),""),""),"")</f>
        <v/>
      </c>
      <c r="AT225" s="35" t="str">
        <f>IFERROR(IF(Eingabe[[#This Row],[Wo]]="H",IF(Eingabe[[#This Row],[S1]]&gt;0,IF(MOD(ROW(Eingabe[[#This Row],[Heimbahn 4]]),2)=1,Eingabe[[#This Row],[S3]],Eingabe[[#This Row],[S2]]),""),""),"")</f>
        <v/>
      </c>
      <c r="AU225" s="88">
        <f>IF(Eingabe[[#This Row],[GES]]="","",IF(Eingabe[[#This Row],[Modus]]="L",_xlfn.RANK.EQ(Eingabe[[#This Row],[GES]],AF225:AF230),IF(Eingabe[[#This Row],[Modus]]="P",_xlfn.RANK.EQ(Eingabe[[#This Row],[GES]],AF225:AF230),"")))</f>
        <v>2</v>
      </c>
      <c r="AV225" s="6">
        <f>VLOOKUP(Eingabe[[#This Row],[Name]],AuswertungG[],8,FALSE)</f>
        <v>508</v>
      </c>
      <c r="AZ225" s="6">
        <f>IFERROR(ABS(Eingabe[[#This Row],[GES]]-Eingabe[[#This Row],[GEGGES]]),"")</f>
        <v>522</v>
      </c>
    </row>
    <row r="226" spans="1:52" ht="16.2" hidden="1" thickBot="1" x14ac:dyDescent="0.35">
      <c r="A226" s="441"/>
      <c r="B226" s="21">
        <f t="shared" si="34"/>
        <v>38</v>
      </c>
      <c r="C226" s="6" t="str">
        <f>VLOOKUP($B226,Chronologie[],7,TRUE)</f>
        <v>SKV 9-Pins Stollberg</v>
      </c>
      <c r="D226" s="6" t="str">
        <f>VLOOKUP($B226,Chronologie[],8,TRUE)</f>
        <v>Stollberg</v>
      </c>
      <c r="E226" s="240" t="str">
        <f>VLOOKUP($B226,Chronologie[],9,TRUE)</f>
        <v>A</v>
      </c>
      <c r="F226" s="6" t="str">
        <f>VLOOKUP($B226,Chronologie[],COLUMN(F227)-2,TRUE)</f>
        <v>U19</v>
      </c>
      <c r="G226" s="6" t="str">
        <f>VLOOKUP($B226,Chronologie[],COLUMN(G227)-2,TRUE)</f>
        <v>L</v>
      </c>
      <c r="H226" s="6">
        <f>VLOOKUP($B226,Chronologie[],COLUMN(H227)-2,TRUE)</f>
        <v>6</v>
      </c>
      <c r="I226" s="10" t="str">
        <f>VLOOKUP($B226,Chronologie[],2,TRUE)</f>
        <v>U19-L-6</v>
      </c>
      <c r="J226" s="243">
        <f>VLOOKUP($B226,Chronologie[],3,TRUE)</f>
        <v>45983</v>
      </c>
      <c r="K226" s="237" t="s">
        <v>477</v>
      </c>
      <c r="L226" s="237">
        <v>88</v>
      </c>
      <c r="M226" s="237">
        <v>84</v>
      </c>
      <c r="N226" s="237">
        <v>103</v>
      </c>
      <c r="O226" s="237">
        <v>92</v>
      </c>
      <c r="P226" s="237">
        <v>45</v>
      </c>
      <c r="Q226" s="237">
        <v>53</v>
      </c>
      <c r="R226" s="237">
        <v>41</v>
      </c>
      <c r="S226" s="237">
        <v>41</v>
      </c>
      <c r="T226" s="237">
        <v>1</v>
      </c>
      <c r="U226" s="237">
        <v>0</v>
      </c>
      <c r="V226" s="237">
        <v>2</v>
      </c>
      <c r="W226" s="237">
        <v>1</v>
      </c>
      <c r="X226" s="38"/>
      <c r="Y226" s="38"/>
      <c r="Z226" s="38"/>
      <c r="AA226" s="38"/>
      <c r="AB226" s="91"/>
      <c r="AC226" s="94">
        <f>IF(Eingabe[[#This Row],[V1]]="",IF(Eingabe[[#This Row],[Volle alternativ]]="","",Eingabe[[#This Row],[Volle alternativ]]),SUM(Eingabe[[#This Row],[V1]:[V4]]))</f>
        <v>367</v>
      </c>
      <c r="AD226" s="6">
        <f>IF(Eingabe[[#This Row],[R1]]="",IF(Eingabe[[#This Row],[Räumer alternativ]]="","",Eingabe[[#This Row],[Räumer alternativ]]),SUM(Eingabe[[#This Row],[R1]:[R4]]))</f>
        <v>180</v>
      </c>
      <c r="AE226" s="6">
        <f>IF(Eingabe[[#This Row],[F1]]="",IF(Eingabe[[#This Row],[Fehler alternativ]]="","",Eingabe[[#This Row],[Fehler alternativ]]),SUM(Eingabe[[#This Row],[F1]:[F4]]))</f>
        <v>4</v>
      </c>
      <c r="AF226" s="6">
        <f>IF(Eingabe[[#This Row],[Volle]]="","",IF(Eingabe[[#This Row],[S1]]="",Eingabe[[#This Row],[Volle]]+Eingabe[[#This Row],[Räumer]],IF(Eingabe[[#This Row],[Volle]]+Eingabe[[#This Row],[Räumer]]=Eingabe[[#This Row],[S1]]+Eingabe[[#This Row],[S2]]+Eingabe[[#This Row],[S3]]+Eingabe[[#This Row],[S4]],Eingabe[[#This Row],[Volle]]+Eingabe[[#This Row],[Räumer]],"FEHLER")))</f>
        <v>547</v>
      </c>
      <c r="AG226" s="6">
        <f>IF(Eingabe[[#This Row],[V1]]="","",Eingabe[[#This Row],[V1]]+Eingabe[[#This Row],[R1]])</f>
        <v>133</v>
      </c>
      <c r="AH226" s="6">
        <f>IF(Eingabe[[#This Row],[V2]]="","",Eingabe[[#This Row],[V2]]+Eingabe[[#This Row],[R2]])</f>
        <v>137</v>
      </c>
      <c r="AI226" s="6">
        <f>IF(Eingabe[[#This Row],[V3]]="","",Eingabe[[#This Row],[V3]]+Eingabe[[#This Row],[R3]])</f>
        <v>144</v>
      </c>
      <c r="AJ226" s="6">
        <f>IF(Eingabe[[#This Row],[V4]]="","",Eingabe[[#This Row],[V4]]+Eingabe[[#This Row],[R4]])</f>
        <v>133</v>
      </c>
      <c r="AK226" s="6" t="str">
        <f>IF(Eingabe[[#This Row],[S1P]]="","",Eingabe[[#This Row],[S1P]]+Eingabe[[#This Row],[S2P]]+Eingabe[[#This Row],[S3P]]+Eingabe[[#This Row],[S4P]])</f>
        <v/>
      </c>
      <c r="AL226" s="6" t="str">
        <f>IF(Eingabe[[#This Row],[S1P]]="","",IF(Eingabe[[#This Row],[SP]]&gt;2,1,IF(Eingabe[[#This Row],[SP]]&lt;2,0,IF(Eingabe[[#This Row],[GES]]&gt;Eingabe[[#This Row],[GEGGES]],1,IF(Eingabe[[#This Row],[GES]]=Eingabe[[#This Row],[GEGGES]],0.5,0)))))</f>
        <v/>
      </c>
      <c r="AM226" s="6" t="str">
        <f>IF(Eingabe[[#This Row],[MP]]="","",MOD(ROW(Eingabe[[#This Row],[Position]])-3,6)+1)</f>
        <v/>
      </c>
      <c r="AN226" s="6">
        <f>STANDARDIZE(Eingabe[[#This Row],[GES]],Eingabe[[#This Row],[Schnitt]],VLOOKUP(Eingabe[[#This Row],[Name]],AuswertungG[],21,FALSE))</f>
        <v>0.6</v>
      </c>
      <c r="AO226" s="6">
        <f>VLOOKUP(Eingabe[[#This Row],[ID]],Chronologie[[ID]:[KW]],12,FALSE)</f>
        <v>13</v>
      </c>
      <c r="AP226" s="95" t="str">
        <f>IF(Eingabe[[#This Row],[Wo]]="H",Eingabe[[#This Row],[Gegner]]&amp;" ["&amp;Eingabe[[#This Row],[Wo]]&amp;"]",Eingabe[[#This Row],[Ort]])</f>
        <v>Stollberg</v>
      </c>
      <c r="AQ226" s="6" t="str">
        <f>IFERROR(IF(Eingabe[[#This Row],[Wo]]="H",IF(MOD(Eingabe[[#This Row],[Position]],2)=1,Eingabe[[#This Row],[S1]],Eingabe[[#This Row],[S4]]),""),"")</f>
        <v/>
      </c>
      <c r="AR226" s="6" t="str">
        <f>IFERROR(IF(Eingabe[[#This Row],[Wo]]="H",IF(Eingabe[[#This Row],[S1]]&gt;0,IF(MOD(Eingabe[[#This Row],[Position]],2)=1,Eingabe[[#This Row],[S2]],Eingabe[[#This Row],[S3]]),""),""),"")</f>
        <v/>
      </c>
      <c r="AS226" s="6" t="str">
        <f>IFERROR(IF(Eingabe[[#This Row],[Wo]]="H",IF(Eingabe[[#This Row],[S1]]&gt;0,IF(MOD(ROW(Eingabe[[#This Row],[Heimbahn 3]]),2)=1,Eingabe[[#This Row],[S4]],Eingabe[[#This Row],[S1]]),""),""),"")</f>
        <v/>
      </c>
      <c r="AT226" s="6" t="str">
        <f>IFERROR(IF(Eingabe[[#This Row],[Wo]]="H",IF(Eingabe[[#This Row],[S1]]&gt;0,IF(MOD(ROW(Eingabe[[#This Row],[Heimbahn 4]]),2)=1,Eingabe[[#This Row],[S3]],Eingabe[[#This Row],[S2]]),""),""),"")</f>
        <v/>
      </c>
      <c r="AU226" s="22">
        <f>IF(Eingabe[[#This Row],[GES]]="","",IF(Eingabe[[#This Row],[Modus]]="L",_xlfn.RANK.EQ(Eingabe[[#This Row],[GES]],AF225:AF230),IF(Eingabe[[#This Row],[Modus]]="P",_xlfn.RANK.EQ(Eingabe[[#This Row],[GES]],AF225:AF230),"")))</f>
        <v>1</v>
      </c>
      <c r="AV226" s="6">
        <f>VLOOKUP(Eingabe[[#This Row],[Name]],AuswertungG[],8,FALSE)</f>
        <v>532</v>
      </c>
      <c r="AZ226" s="6">
        <f>IFERROR(ABS(Eingabe[[#This Row],[GES]]-Eingabe[[#This Row],[GEGGES]]),"")</f>
        <v>547</v>
      </c>
    </row>
    <row r="227" spans="1:52" ht="16.2" hidden="1" thickBot="1" x14ac:dyDescent="0.35">
      <c r="A227" s="441"/>
      <c r="B227" s="21">
        <f t="shared" si="34"/>
        <v>38</v>
      </c>
      <c r="C227" s="6" t="str">
        <f>VLOOKUP($B227,Chronologie[],7,TRUE)</f>
        <v>SKV 9-Pins Stollberg</v>
      </c>
      <c r="D227" s="6" t="str">
        <f>VLOOKUP($B227,Chronologie[],8,TRUE)</f>
        <v>Stollberg</v>
      </c>
      <c r="E227" s="240" t="str">
        <f>VLOOKUP($B227,Chronologie[],9,TRUE)</f>
        <v>A</v>
      </c>
      <c r="F227" s="6" t="str">
        <f>VLOOKUP($B227,Chronologie[],COLUMN(F228)-2,TRUE)</f>
        <v>U19</v>
      </c>
      <c r="G227" s="6" t="str">
        <f>VLOOKUP($B227,Chronologie[],COLUMN(G228)-2,TRUE)</f>
        <v>L</v>
      </c>
      <c r="H227" s="6">
        <f>VLOOKUP($B227,Chronologie[],COLUMN(H228)-2,TRUE)</f>
        <v>6</v>
      </c>
      <c r="I227" s="10" t="str">
        <f>VLOOKUP($B227,Chronologie[],2,TRUE)</f>
        <v>U19-L-6</v>
      </c>
      <c r="J227" s="243">
        <f>VLOOKUP($B227,Chronologie[],3,TRUE)</f>
        <v>45983</v>
      </c>
      <c r="K227" s="237" t="s">
        <v>485</v>
      </c>
      <c r="L227" s="237">
        <v>89</v>
      </c>
      <c r="M227" s="237">
        <v>75</v>
      </c>
      <c r="N227" s="237">
        <v>78</v>
      </c>
      <c r="O227" s="237">
        <v>77</v>
      </c>
      <c r="P227" s="237">
        <v>26</v>
      </c>
      <c r="Q227" s="237">
        <v>34</v>
      </c>
      <c r="R227" s="237">
        <v>41</v>
      </c>
      <c r="S227" s="237">
        <v>47</v>
      </c>
      <c r="T227" s="237">
        <v>4</v>
      </c>
      <c r="U227" s="237">
        <v>4</v>
      </c>
      <c r="V227" s="237">
        <v>0</v>
      </c>
      <c r="W227" s="237">
        <v>1</v>
      </c>
      <c r="X227" s="38"/>
      <c r="Y227" s="38"/>
      <c r="Z227" s="38"/>
      <c r="AA227" s="38"/>
      <c r="AB227" s="91"/>
      <c r="AC227" s="94">
        <f>IF(Eingabe[[#This Row],[V1]]="",IF(Eingabe[[#This Row],[Volle alternativ]]="","",Eingabe[[#This Row],[Volle alternativ]]),SUM(Eingabe[[#This Row],[V1]:[V4]]))</f>
        <v>319</v>
      </c>
      <c r="AD227" s="6">
        <f>IF(Eingabe[[#This Row],[R1]]="",IF(Eingabe[[#This Row],[Räumer alternativ]]="","",Eingabe[[#This Row],[Räumer alternativ]]),SUM(Eingabe[[#This Row],[R1]:[R4]]))</f>
        <v>148</v>
      </c>
      <c r="AE227" s="6">
        <f>IF(Eingabe[[#This Row],[F1]]="",IF(Eingabe[[#This Row],[Fehler alternativ]]="","",Eingabe[[#This Row],[Fehler alternativ]]),SUM(Eingabe[[#This Row],[F1]:[F4]]))</f>
        <v>9</v>
      </c>
      <c r="AF227" s="6">
        <f>IF(Eingabe[[#This Row],[Volle]]="","",IF(Eingabe[[#This Row],[S1]]="",Eingabe[[#This Row],[Volle]]+Eingabe[[#This Row],[Räumer]],IF(Eingabe[[#This Row],[Volle]]+Eingabe[[#This Row],[Räumer]]=Eingabe[[#This Row],[S1]]+Eingabe[[#This Row],[S2]]+Eingabe[[#This Row],[S3]]+Eingabe[[#This Row],[S4]],Eingabe[[#This Row],[Volle]]+Eingabe[[#This Row],[Räumer]],"FEHLER")))</f>
        <v>467</v>
      </c>
      <c r="AG227" s="6">
        <f>IF(Eingabe[[#This Row],[V1]]="","",Eingabe[[#This Row],[V1]]+Eingabe[[#This Row],[R1]])</f>
        <v>115</v>
      </c>
      <c r="AH227" s="6">
        <f>IF(Eingabe[[#This Row],[V2]]="","",Eingabe[[#This Row],[V2]]+Eingabe[[#This Row],[R2]])</f>
        <v>109</v>
      </c>
      <c r="AI227" s="6">
        <f>IF(Eingabe[[#This Row],[V3]]="","",Eingabe[[#This Row],[V3]]+Eingabe[[#This Row],[R3]])</f>
        <v>119</v>
      </c>
      <c r="AJ227" s="6">
        <f>IF(Eingabe[[#This Row],[V4]]="","",Eingabe[[#This Row],[V4]]+Eingabe[[#This Row],[R4]])</f>
        <v>124</v>
      </c>
      <c r="AK227" s="6" t="str">
        <f>IF(Eingabe[[#This Row],[S1P]]="","",Eingabe[[#This Row],[S1P]]+Eingabe[[#This Row],[S2P]]+Eingabe[[#This Row],[S3P]]+Eingabe[[#This Row],[S4P]])</f>
        <v/>
      </c>
      <c r="AL227" s="6" t="str">
        <f>IF(Eingabe[[#This Row],[S1P]]="","",IF(Eingabe[[#This Row],[SP]]&gt;2,1,IF(Eingabe[[#This Row],[SP]]&lt;2,0,IF(Eingabe[[#This Row],[GES]]&gt;Eingabe[[#This Row],[GEGGES]],1,IF(Eingabe[[#This Row],[GES]]=Eingabe[[#This Row],[GEGGES]],0.5,0)))))</f>
        <v/>
      </c>
      <c r="AM227" s="6" t="str">
        <f>IF(Eingabe[[#This Row],[MP]]="","",MOD(ROW(Eingabe[[#This Row],[Position]])-3,6)+1)</f>
        <v/>
      </c>
      <c r="AN227" s="6">
        <f>STANDARDIZE(Eingabe[[#This Row],[GES]],Eingabe[[#This Row],[Schnitt]],VLOOKUP(Eingabe[[#This Row],[Name]],AuswertungG[],21,FALSE))</f>
        <v>0.20689655172413793</v>
      </c>
      <c r="AO227" s="6">
        <f>VLOOKUP(Eingabe[[#This Row],[ID]],Chronologie[[ID]:[KW]],12,FALSE)</f>
        <v>13</v>
      </c>
      <c r="AP227" s="95" t="str">
        <f>IF(Eingabe[[#This Row],[Wo]]="H",Eingabe[[#This Row],[Gegner]]&amp;" ["&amp;Eingabe[[#This Row],[Wo]]&amp;"]",Eingabe[[#This Row],[Ort]])</f>
        <v>Stollberg</v>
      </c>
      <c r="AQ227" s="6" t="str">
        <f>IFERROR(IF(Eingabe[[#This Row],[Wo]]="H",IF(MOD(Eingabe[[#This Row],[Position]],2)=1,Eingabe[[#This Row],[S1]],Eingabe[[#This Row],[S4]]),""),"")</f>
        <v/>
      </c>
      <c r="AR227" s="6" t="str">
        <f>IFERROR(IF(Eingabe[[#This Row],[Wo]]="H",IF(Eingabe[[#This Row],[S1]]&gt;0,IF(MOD(Eingabe[[#This Row],[Position]],2)=1,Eingabe[[#This Row],[S2]],Eingabe[[#This Row],[S3]]),""),""),"")</f>
        <v/>
      </c>
      <c r="AS227" s="6" t="str">
        <f>IFERROR(IF(Eingabe[[#This Row],[Wo]]="H",IF(Eingabe[[#This Row],[S1]]&gt;0,IF(MOD(ROW(Eingabe[[#This Row],[Heimbahn 3]]),2)=1,Eingabe[[#This Row],[S4]],Eingabe[[#This Row],[S1]]),""),""),"")</f>
        <v/>
      </c>
      <c r="AT227" s="6" t="str">
        <f>IFERROR(IF(Eingabe[[#This Row],[Wo]]="H",IF(Eingabe[[#This Row],[S1]]&gt;0,IF(MOD(ROW(Eingabe[[#This Row],[Heimbahn 4]]),2)=1,Eingabe[[#This Row],[S3]],Eingabe[[#This Row],[S2]]),""),""),"")</f>
        <v/>
      </c>
      <c r="AU227" s="22">
        <f>IF(Eingabe[[#This Row],[GES]]="","",IF(Eingabe[[#This Row],[Modus]]="L",_xlfn.RANK.EQ(Eingabe[[#This Row],[GES]],AF225:AF230),IF(Eingabe[[#This Row],[Modus]]="P",_xlfn.RANK.EQ(Eingabe[[#This Row],[GES]],AF225:AF230),"")))</f>
        <v>4</v>
      </c>
      <c r="AV227" s="6">
        <f>VLOOKUP(Eingabe[[#This Row],[Name]],AuswertungG[],8,FALSE)</f>
        <v>461</v>
      </c>
      <c r="AZ227" s="6">
        <f>IFERROR(ABS(Eingabe[[#This Row],[GES]]-Eingabe[[#This Row],[GEGGES]]),"")</f>
        <v>467</v>
      </c>
    </row>
    <row r="228" spans="1:52" ht="16.2" hidden="1" thickBot="1" x14ac:dyDescent="0.35">
      <c r="A228" s="441"/>
      <c r="B228" s="21">
        <f t="shared" si="34"/>
        <v>38</v>
      </c>
      <c r="C228" s="6" t="str">
        <f>VLOOKUP($B228,Chronologie[],7,TRUE)</f>
        <v>SKV 9-Pins Stollberg</v>
      </c>
      <c r="D228" s="6" t="str">
        <f>VLOOKUP($B228,Chronologie[],8,TRUE)</f>
        <v>Stollberg</v>
      </c>
      <c r="E228" s="240" t="str">
        <f>VLOOKUP($B228,Chronologie[],9,TRUE)</f>
        <v>A</v>
      </c>
      <c r="F228" s="6" t="str">
        <f>VLOOKUP($B228,Chronologie[],COLUMN(F229)-2,TRUE)</f>
        <v>U19</v>
      </c>
      <c r="G228" s="6" t="str">
        <f>VLOOKUP($B228,Chronologie[],COLUMN(G229)-2,TRUE)</f>
        <v>L</v>
      </c>
      <c r="H228" s="6">
        <f>VLOOKUP($B228,Chronologie[],COLUMN(H229)-2,TRUE)</f>
        <v>6</v>
      </c>
      <c r="I228" s="10" t="str">
        <f>VLOOKUP($B228,Chronologie[],2,TRUE)</f>
        <v>U19-L-6</v>
      </c>
      <c r="J228" s="243">
        <f>VLOOKUP($B228,Chronologie[],3,TRUE)</f>
        <v>45983</v>
      </c>
      <c r="K228" s="238" t="s">
        <v>474</v>
      </c>
      <c r="L228" s="237">
        <v>98</v>
      </c>
      <c r="M228" s="237">
        <v>86</v>
      </c>
      <c r="N228" s="237">
        <v>82</v>
      </c>
      <c r="O228" s="237">
        <v>93</v>
      </c>
      <c r="P228" s="237">
        <v>33</v>
      </c>
      <c r="Q228" s="237">
        <v>36</v>
      </c>
      <c r="R228" s="237">
        <v>52</v>
      </c>
      <c r="S228" s="237">
        <v>33</v>
      </c>
      <c r="T228" s="237">
        <v>3</v>
      </c>
      <c r="U228" s="237">
        <v>3</v>
      </c>
      <c r="V228" s="237">
        <v>1</v>
      </c>
      <c r="W228" s="237">
        <v>3</v>
      </c>
      <c r="X228" s="38"/>
      <c r="Y228" s="38"/>
      <c r="Z228" s="38"/>
      <c r="AA228" s="38"/>
      <c r="AB228" s="91"/>
      <c r="AC228" s="94">
        <f>IF(Eingabe[[#This Row],[V1]]="",IF(Eingabe[[#This Row],[Volle alternativ]]="","",Eingabe[[#This Row],[Volle alternativ]]),SUM(Eingabe[[#This Row],[V1]:[V4]]))</f>
        <v>359</v>
      </c>
      <c r="AD228" s="6">
        <f>IF(Eingabe[[#This Row],[R1]]="",IF(Eingabe[[#This Row],[Räumer alternativ]]="","",Eingabe[[#This Row],[Räumer alternativ]]),SUM(Eingabe[[#This Row],[R1]:[R4]]))</f>
        <v>154</v>
      </c>
      <c r="AE228" s="6">
        <f>IF(Eingabe[[#This Row],[F1]]="",IF(Eingabe[[#This Row],[Fehler alternativ]]="","",Eingabe[[#This Row],[Fehler alternativ]]),SUM(Eingabe[[#This Row],[F1]:[F4]]))</f>
        <v>10</v>
      </c>
      <c r="AF228" s="6">
        <f>IF(Eingabe[[#This Row],[Volle]]="","",IF(Eingabe[[#This Row],[S1]]="",Eingabe[[#This Row],[Volle]]+Eingabe[[#This Row],[Räumer]],IF(Eingabe[[#This Row],[Volle]]+Eingabe[[#This Row],[Räumer]]=Eingabe[[#This Row],[S1]]+Eingabe[[#This Row],[S2]]+Eingabe[[#This Row],[S3]]+Eingabe[[#This Row],[S4]],Eingabe[[#This Row],[Volle]]+Eingabe[[#This Row],[Räumer]],"FEHLER")))</f>
        <v>513</v>
      </c>
      <c r="AG228" s="6">
        <f>IF(Eingabe[[#This Row],[V1]]="","",Eingabe[[#This Row],[V1]]+Eingabe[[#This Row],[R1]])</f>
        <v>131</v>
      </c>
      <c r="AH228" s="6">
        <f>IF(Eingabe[[#This Row],[V2]]="","",Eingabe[[#This Row],[V2]]+Eingabe[[#This Row],[R2]])</f>
        <v>122</v>
      </c>
      <c r="AI228" s="6">
        <f>IF(Eingabe[[#This Row],[V3]]="","",Eingabe[[#This Row],[V3]]+Eingabe[[#This Row],[R3]])</f>
        <v>134</v>
      </c>
      <c r="AJ228" s="6">
        <f>IF(Eingabe[[#This Row],[V4]]="","",Eingabe[[#This Row],[V4]]+Eingabe[[#This Row],[R4]])</f>
        <v>126</v>
      </c>
      <c r="AK228" s="6" t="str">
        <f>IF(Eingabe[[#This Row],[S1P]]="","",Eingabe[[#This Row],[S1P]]+Eingabe[[#This Row],[S2P]]+Eingabe[[#This Row],[S3P]]+Eingabe[[#This Row],[S4P]])</f>
        <v/>
      </c>
      <c r="AL228" s="6" t="str">
        <f>IF(Eingabe[[#This Row],[S1P]]="","",IF(Eingabe[[#This Row],[SP]]&gt;2,1,IF(Eingabe[[#This Row],[SP]]&lt;2,0,IF(Eingabe[[#This Row],[GES]]&gt;Eingabe[[#This Row],[GEGGES]],1,IF(Eingabe[[#This Row],[GES]]=Eingabe[[#This Row],[GEGGES]],0.5,0)))))</f>
        <v/>
      </c>
      <c r="AM228" s="6" t="str">
        <f>IF(Eingabe[[#This Row],[MP]]="","",MOD(ROW(Eingabe[[#This Row],[Position]])-3,6)+1)</f>
        <v/>
      </c>
      <c r="AN228" s="6">
        <f>STANDARDIZE(Eingabe[[#This Row],[GES]],Eingabe[[#This Row],[Schnitt]],VLOOKUP(Eingabe[[#This Row],[Name]],AuswertungG[],21,FALSE))</f>
        <v>0.38709677419354838</v>
      </c>
      <c r="AO228" s="6">
        <f>VLOOKUP(Eingabe[[#This Row],[ID]],Chronologie[[ID]:[KW]],12,FALSE)</f>
        <v>13</v>
      </c>
      <c r="AP228" s="95" t="str">
        <f>IF(Eingabe[[#This Row],[Wo]]="H",Eingabe[[#This Row],[Gegner]]&amp;" ["&amp;Eingabe[[#This Row],[Wo]]&amp;"]",Eingabe[[#This Row],[Ort]])</f>
        <v>Stollberg</v>
      </c>
      <c r="AQ228" s="6" t="str">
        <f>IFERROR(IF(Eingabe[[#This Row],[Wo]]="H",IF(MOD(Eingabe[[#This Row],[Position]],2)=1,Eingabe[[#This Row],[S1]],Eingabe[[#This Row],[S4]]),""),"")</f>
        <v/>
      </c>
      <c r="AR228" s="6" t="str">
        <f>IFERROR(IF(Eingabe[[#This Row],[Wo]]="H",IF(Eingabe[[#This Row],[S1]]&gt;0,IF(MOD(Eingabe[[#This Row],[Position]],2)=1,Eingabe[[#This Row],[S2]],Eingabe[[#This Row],[S3]]),""),""),"")</f>
        <v/>
      </c>
      <c r="AS228" s="6" t="str">
        <f>IFERROR(IF(Eingabe[[#This Row],[Wo]]="H",IF(Eingabe[[#This Row],[S1]]&gt;0,IF(MOD(ROW(Eingabe[[#This Row],[Heimbahn 3]]),2)=1,Eingabe[[#This Row],[S4]],Eingabe[[#This Row],[S1]]),""),""),"")</f>
        <v/>
      </c>
      <c r="AT228" s="6" t="str">
        <f>IFERROR(IF(Eingabe[[#This Row],[Wo]]="H",IF(Eingabe[[#This Row],[S1]]&gt;0,IF(MOD(ROW(Eingabe[[#This Row],[Heimbahn 4]]),2)=1,Eingabe[[#This Row],[S3]],Eingabe[[#This Row],[S2]]),""),""),"")</f>
        <v/>
      </c>
      <c r="AU228" s="22">
        <f>IF(Eingabe[[#This Row],[GES]]="","",IF(Eingabe[[#This Row],[Modus]]="L",_xlfn.RANK.EQ(Eingabe[[#This Row],[GES]],AF225:AF230),IF(Eingabe[[#This Row],[Modus]]="P",_xlfn.RANK.EQ(Eingabe[[#This Row],[GES]],AF225:AF230),"")))</f>
        <v>3</v>
      </c>
      <c r="AV228" s="6">
        <f>VLOOKUP(Eingabe[[#This Row],[Name]],AuswertungG[],8,FALSE)</f>
        <v>501</v>
      </c>
      <c r="AZ228" s="6">
        <f>IFERROR(ABS(Eingabe[[#This Row],[GES]]-Eingabe[[#This Row],[GEGGES]]),"")</f>
        <v>513</v>
      </c>
    </row>
    <row r="229" spans="1:52" ht="16.2" hidden="1" thickBot="1" x14ac:dyDescent="0.35">
      <c r="A229" s="441"/>
      <c r="B229" s="21">
        <f t="shared" si="34"/>
        <v>38</v>
      </c>
      <c r="C229" s="6" t="str">
        <f>VLOOKUP($B229,Chronologie[],7,TRUE)</f>
        <v>SKV 9-Pins Stollberg</v>
      </c>
      <c r="D229" s="6" t="str">
        <f>VLOOKUP($B229,Chronologie[],8,TRUE)</f>
        <v>Stollberg</v>
      </c>
      <c r="E229" s="240" t="str">
        <f>VLOOKUP($B229,Chronologie[],9,TRUE)</f>
        <v>A</v>
      </c>
      <c r="F229" s="6" t="str">
        <f>VLOOKUP($B229,Chronologie[],COLUMN(F230)-2,TRUE)</f>
        <v>U19</v>
      </c>
      <c r="G229" s="6" t="str">
        <f>VLOOKUP($B229,Chronologie[],COLUMN(G230)-2,TRUE)</f>
        <v>L</v>
      </c>
      <c r="H229" s="6">
        <f>VLOOKUP($B229,Chronologie[],COLUMN(H230)-2,TRUE)</f>
        <v>6</v>
      </c>
      <c r="I229" s="10" t="str">
        <f>VLOOKUP($B229,Chronologie[],2,TRUE)</f>
        <v>U19-L-6</v>
      </c>
      <c r="J229" s="243">
        <f>VLOOKUP($B229,Chronologie[],3,TRUE)</f>
        <v>45983</v>
      </c>
      <c r="K229" s="237"/>
      <c r="L229" s="237"/>
      <c r="M229" s="237"/>
      <c r="N229" s="237"/>
      <c r="O229" s="237"/>
      <c r="P229" s="237"/>
      <c r="Q229" s="237"/>
      <c r="R229" s="237"/>
      <c r="S229" s="237"/>
      <c r="T229" s="237"/>
      <c r="U229" s="237"/>
      <c r="V229" s="237"/>
      <c r="W229" s="237"/>
      <c r="X229" s="38"/>
      <c r="Y229" s="38"/>
      <c r="Z229" s="38"/>
      <c r="AA229" s="38"/>
      <c r="AB229" s="91"/>
      <c r="AC229" s="94" t="str">
        <f>IF(Eingabe[[#This Row],[V1]]="",IF(Eingabe[[#This Row],[Volle alternativ]]="","",Eingabe[[#This Row],[Volle alternativ]]),SUM(Eingabe[[#This Row],[V1]:[V4]]))</f>
        <v/>
      </c>
      <c r="AD229" s="6" t="str">
        <f>IF(Eingabe[[#This Row],[R1]]="",IF(Eingabe[[#This Row],[Räumer alternativ]]="","",Eingabe[[#This Row],[Räumer alternativ]]),SUM(Eingabe[[#This Row],[R1]:[R4]]))</f>
        <v/>
      </c>
      <c r="AE229" s="6" t="str">
        <f>IF(Eingabe[[#This Row],[F1]]="",IF(Eingabe[[#This Row],[Fehler alternativ]]="","",Eingabe[[#This Row],[Fehler alternativ]]),SUM(Eingabe[[#This Row],[F1]:[F4]]))</f>
        <v/>
      </c>
      <c r="AF229" s="6" t="str">
        <f>IF(Eingabe[[#This Row],[Volle]]="","",IF(Eingabe[[#This Row],[S1]]="",Eingabe[[#This Row],[Volle]]+Eingabe[[#This Row],[Räumer]],IF(Eingabe[[#This Row],[Volle]]+Eingabe[[#This Row],[Räumer]]=Eingabe[[#This Row],[S1]]+Eingabe[[#This Row],[S2]]+Eingabe[[#This Row],[S3]]+Eingabe[[#This Row],[S4]],Eingabe[[#This Row],[Volle]]+Eingabe[[#This Row],[Räumer]],"FEHLER")))</f>
        <v/>
      </c>
      <c r="AG229" s="6" t="str">
        <f>IF(Eingabe[[#This Row],[V1]]="","",Eingabe[[#This Row],[V1]]+Eingabe[[#This Row],[R1]])</f>
        <v/>
      </c>
      <c r="AH229" s="6" t="str">
        <f>IF(Eingabe[[#This Row],[V2]]="","",Eingabe[[#This Row],[V2]]+Eingabe[[#This Row],[R2]])</f>
        <v/>
      </c>
      <c r="AI229" s="6" t="str">
        <f>IF(Eingabe[[#This Row],[V3]]="","",Eingabe[[#This Row],[V3]]+Eingabe[[#This Row],[R3]])</f>
        <v/>
      </c>
      <c r="AJ229" s="6" t="str">
        <f>IF(Eingabe[[#This Row],[V4]]="","",Eingabe[[#This Row],[V4]]+Eingabe[[#This Row],[R4]])</f>
        <v/>
      </c>
      <c r="AK229" s="6" t="str">
        <f>IF(Eingabe[[#This Row],[S1P]]="","",Eingabe[[#This Row],[S1P]]+Eingabe[[#This Row],[S2P]]+Eingabe[[#This Row],[S3P]]+Eingabe[[#This Row],[S4P]])</f>
        <v/>
      </c>
      <c r="AL229" s="6" t="str">
        <f>IF(Eingabe[[#This Row],[S1P]]="","",IF(Eingabe[[#This Row],[SP]]&gt;2,1,IF(Eingabe[[#This Row],[SP]]&lt;2,0,IF(Eingabe[[#This Row],[GES]]&gt;Eingabe[[#This Row],[GEGGES]],1,IF(Eingabe[[#This Row],[GES]]=Eingabe[[#This Row],[GEGGES]],0.5,0)))))</f>
        <v/>
      </c>
      <c r="AM229" s="6" t="str">
        <f>IF(Eingabe[[#This Row],[MP]]="","",MOD(ROW(Eingabe[[#This Row],[Position]])-3,6)+1)</f>
        <v/>
      </c>
      <c r="AN229" s="6" t="e">
        <f>STANDARDIZE(Eingabe[[#This Row],[GES]],Eingabe[[#This Row],[Schnitt]],VLOOKUP(Eingabe[[#This Row],[Name]],AuswertungG[],21,FALSE))</f>
        <v>#VALUE!</v>
      </c>
      <c r="AO229" s="6">
        <f>VLOOKUP(Eingabe[[#This Row],[ID]],Chronologie[[ID]:[KW]],12,FALSE)</f>
        <v>13</v>
      </c>
      <c r="AP229" s="95" t="str">
        <f>IF(Eingabe[[#This Row],[Wo]]="H",Eingabe[[#This Row],[Gegner]]&amp;" ["&amp;Eingabe[[#This Row],[Wo]]&amp;"]",Eingabe[[#This Row],[Ort]])</f>
        <v>Stollberg</v>
      </c>
      <c r="AQ229" s="6" t="str">
        <f>IFERROR(IF(Eingabe[[#This Row],[Wo]]="H",IF(MOD(Eingabe[[#This Row],[Position]],2)=1,Eingabe[[#This Row],[S1]],Eingabe[[#This Row],[S4]]),""),"")</f>
        <v/>
      </c>
      <c r="AR229" s="6" t="str">
        <f>IFERROR(IF(Eingabe[[#This Row],[Wo]]="H",IF(Eingabe[[#This Row],[S1]]&gt;0,IF(MOD(Eingabe[[#This Row],[Position]],2)=1,Eingabe[[#This Row],[S2]],Eingabe[[#This Row],[S3]]),""),""),"")</f>
        <v/>
      </c>
      <c r="AS229" s="6" t="str">
        <f>IFERROR(IF(Eingabe[[#This Row],[Wo]]="H",IF(Eingabe[[#This Row],[S1]]&gt;0,IF(MOD(ROW(Eingabe[[#This Row],[Heimbahn 3]]),2)=1,Eingabe[[#This Row],[S4]],Eingabe[[#This Row],[S1]]),""),""),"")</f>
        <v/>
      </c>
      <c r="AT229" s="6" t="str">
        <f>IFERROR(IF(Eingabe[[#This Row],[Wo]]="H",IF(Eingabe[[#This Row],[S1]]&gt;0,IF(MOD(ROW(Eingabe[[#This Row],[Heimbahn 4]]),2)=1,Eingabe[[#This Row],[S3]],Eingabe[[#This Row],[S2]]),""),""),"")</f>
        <v/>
      </c>
      <c r="AU229" s="22" t="str">
        <f>IF(Eingabe[[#This Row],[GES]]="","",IF(Eingabe[[#This Row],[Modus]]="L",_xlfn.RANK.EQ(Eingabe[[#This Row],[GES]],AF225:AF230),IF(Eingabe[[#This Row],[Modus]]="P",_xlfn.RANK.EQ(Eingabe[[#This Row],[GES]],AF225:AF230),"")))</f>
        <v/>
      </c>
      <c r="AV229" s="6" t="e">
        <f>VLOOKUP(Eingabe[[#This Row],[Name]],AuswertungG[],8,FALSE)</f>
        <v>#N/A</v>
      </c>
      <c r="AZ229" s="6" t="str">
        <f>IFERROR(ABS(Eingabe[[#This Row],[GES]]-Eingabe[[#This Row],[GEGGES]]),"")</f>
        <v/>
      </c>
    </row>
    <row r="230" spans="1:52" ht="16.2" hidden="1" thickBot="1" x14ac:dyDescent="0.35">
      <c r="A230" s="442"/>
      <c r="B230" s="56">
        <f t="shared" si="34"/>
        <v>38</v>
      </c>
      <c r="C230" s="23" t="str">
        <f>VLOOKUP($B230,Chronologie[],7,TRUE)</f>
        <v>SKV 9-Pins Stollberg</v>
      </c>
      <c r="D230" s="23" t="str">
        <f>VLOOKUP($B230,Chronologie[],8,TRUE)</f>
        <v>Stollberg</v>
      </c>
      <c r="E230" s="39" t="str">
        <f>VLOOKUP($B230,Chronologie[],9,TRUE)</f>
        <v>A</v>
      </c>
      <c r="F230" s="23" t="str">
        <f>VLOOKUP($B230,Chronologie[],COLUMN(F231)-2,TRUE)</f>
        <v>U19</v>
      </c>
      <c r="G230" s="23" t="str">
        <f>VLOOKUP($B230,Chronologie[],COLUMN(G231)-2,TRUE)</f>
        <v>L</v>
      </c>
      <c r="H230" s="23">
        <f>VLOOKUP($B230,Chronologie[],COLUMN(H231)-2,TRUE)</f>
        <v>6</v>
      </c>
      <c r="I230" s="13" t="str">
        <f>VLOOKUP($B230,Chronologie[],2,TRUE)</f>
        <v>U19-L-6</v>
      </c>
      <c r="J230" s="244">
        <f>VLOOKUP($B230,Chronologie[],3,TRUE)</f>
        <v>45983</v>
      </c>
      <c r="K230" s="239"/>
      <c r="L230" s="239"/>
      <c r="M230" s="239"/>
      <c r="N230" s="239"/>
      <c r="O230" s="239"/>
      <c r="P230" s="239"/>
      <c r="Q230" s="239"/>
      <c r="R230" s="239"/>
      <c r="S230" s="239"/>
      <c r="T230" s="239"/>
      <c r="U230" s="239"/>
      <c r="V230" s="239"/>
      <c r="W230" s="239"/>
      <c r="X230" s="40"/>
      <c r="Y230" s="40"/>
      <c r="Z230" s="40"/>
      <c r="AA230" s="40"/>
      <c r="AB230" s="92"/>
      <c r="AC230" s="96" t="str">
        <f>IF(Eingabe[[#This Row],[V1]]="",IF(Eingabe[[#This Row],[Volle alternativ]]="","",Eingabe[[#This Row],[Volle alternativ]]),SUM(Eingabe[[#This Row],[V1]:[V4]]))</f>
        <v/>
      </c>
      <c r="AD230" s="23" t="str">
        <f>IF(Eingabe[[#This Row],[R1]]="",IF(Eingabe[[#This Row],[Räumer alternativ]]="","",Eingabe[[#This Row],[Räumer alternativ]]),SUM(Eingabe[[#This Row],[R1]:[R4]]))</f>
        <v/>
      </c>
      <c r="AE230" s="23" t="str">
        <f>IF(Eingabe[[#This Row],[F1]]="",IF(Eingabe[[#This Row],[Fehler alternativ]]="","",Eingabe[[#This Row],[Fehler alternativ]]),SUM(Eingabe[[#This Row],[F1]:[F4]]))</f>
        <v/>
      </c>
      <c r="AF230" s="23" t="str">
        <f>IF(Eingabe[[#This Row],[Volle]]="","",IF(Eingabe[[#This Row],[S1]]="",Eingabe[[#This Row],[Volle]]+Eingabe[[#This Row],[Räumer]],IF(Eingabe[[#This Row],[Volle]]+Eingabe[[#This Row],[Räumer]]=Eingabe[[#This Row],[S1]]+Eingabe[[#This Row],[S2]]+Eingabe[[#This Row],[S3]]+Eingabe[[#This Row],[S4]],Eingabe[[#This Row],[Volle]]+Eingabe[[#This Row],[Räumer]],"FEHLER")))</f>
        <v/>
      </c>
      <c r="AG230" s="23" t="str">
        <f>IF(Eingabe[[#This Row],[V1]]="","",Eingabe[[#This Row],[V1]]+Eingabe[[#This Row],[R1]])</f>
        <v/>
      </c>
      <c r="AH230" s="23" t="str">
        <f>IF(Eingabe[[#This Row],[V2]]="","",Eingabe[[#This Row],[V2]]+Eingabe[[#This Row],[R2]])</f>
        <v/>
      </c>
      <c r="AI230" s="23" t="str">
        <f>IF(Eingabe[[#This Row],[V3]]="","",Eingabe[[#This Row],[V3]]+Eingabe[[#This Row],[R3]])</f>
        <v/>
      </c>
      <c r="AJ230" s="23" t="str">
        <f>IF(Eingabe[[#This Row],[V4]]="","",Eingabe[[#This Row],[V4]]+Eingabe[[#This Row],[R4]])</f>
        <v/>
      </c>
      <c r="AK230" s="23" t="str">
        <f>IF(Eingabe[[#This Row],[S1P]]="","",Eingabe[[#This Row],[S1P]]+Eingabe[[#This Row],[S2P]]+Eingabe[[#This Row],[S3P]]+Eingabe[[#This Row],[S4P]])</f>
        <v/>
      </c>
      <c r="AL230" s="23" t="str">
        <f>IF(Eingabe[[#This Row],[S1P]]="","",IF(Eingabe[[#This Row],[SP]]&gt;2,1,IF(Eingabe[[#This Row],[SP]]&lt;2,0,IF(Eingabe[[#This Row],[GES]]&gt;Eingabe[[#This Row],[GEGGES]],1,IF(Eingabe[[#This Row],[GES]]=Eingabe[[#This Row],[GEGGES]],0.5,0)))))</f>
        <v/>
      </c>
      <c r="AM230" s="23" t="str">
        <f>IF(Eingabe[[#This Row],[MP]]="","",MOD(ROW(Eingabe[[#This Row],[Position]])-3,6)+1)</f>
        <v/>
      </c>
      <c r="AN230" s="23" t="e">
        <f>STANDARDIZE(Eingabe[[#This Row],[GES]],Eingabe[[#This Row],[Schnitt]],VLOOKUP(Eingabe[[#This Row],[Name]],AuswertungG[],21,FALSE))</f>
        <v>#VALUE!</v>
      </c>
      <c r="AO230" s="23">
        <f>VLOOKUP(Eingabe[[#This Row],[ID]],Chronologie[[ID]:[KW]],12,FALSE)</f>
        <v>13</v>
      </c>
      <c r="AP230" s="59" t="str">
        <f>IF(Eingabe[[#This Row],[Wo]]="H",Eingabe[[#This Row],[Gegner]]&amp;" ["&amp;Eingabe[[#This Row],[Wo]]&amp;"]",Eingabe[[#This Row],[Ort]])</f>
        <v>Stollberg</v>
      </c>
      <c r="AQ230" s="23" t="str">
        <f>IFERROR(IF(Eingabe[[#This Row],[Wo]]="H",IF(MOD(Eingabe[[#This Row],[Position]],2)=1,Eingabe[[#This Row],[S1]],Eingabe[[#This Row],[S4]]),""),"")</f>
        <v/>
      </c>
      <c r="AR230" s="23" t="str">
        <f>IFERROR(IF(Eingabe[[#This Row],[Wo]]="H",IF(Eingabe[[#This Row],[S1]]&gt;0,IF(MOD(Eingabe[[#This Row],[Position]],2)=1,Eingabe[[#This Row],[S2]],Eingabe[[#This Row],[S3]]),""),""),"")</f>
        <v/>
      </c>
      <c r="AS230" s="23" t="str">
        <f>IFERROR(IF(Eingabe[[#This Row],[Wo]]="H",IF(Eingabe[[#This Row],[S1]]&gt;0,IF(MOD(ROW(Eingabe[[#This Row],[Heimbahn 3]]),2)=1,Eingabe[[#This Row],[S4]],Eingabe[[#This Row],[S1]]),""),""),"")</f>
        <v/>
      </c>
      <c r="AT230" s="23" t="str">
        <f>IFERROR(IF(Eingabe[[#This Row],[Wo]]="H",IF(Eingabe[[#This Row],[S1]]&gt;0,IF(MOD(ROW(Eingabe[[#This Row],[Heimbahn 4]]),2)=1,Eingabe[[#This Row],[S3]],Eingabe[[#This Row],[S2]]),""),""),"")</f>
        <v/>
      </c>
      <c r="AU230" s="89" t="str">
        <f>IF(Eingabe[[#This Row],[GES]]="","",IF(Eingabe[[#This Row],[Modus]]="L",_xlfn.RANK.EQ(Eingabe[[#This Row],[GES]],AF225:AF230),IF(Eingabe[[#This Row],[Modus]]="P",_xlfn.RANK.EQ(Eingabe[[#This Row],[GES]],AF225:AF230),"")))</f>
        <v/>
      </c>
      <c r="AV230" s="6" t="e">
        <f>VLOOKUP(Eingabe[[#This Row],[Name]],AuswertungG[],8,FALSE)</f>
        <v>#N/A</v>
      </c>
      <c r="AZ230" s="6" t="str">
        <f>IFERROR(ABS(Eingabe[[#This Row],[GES]]-Eingabe[[#This Row],[GEGGES]]),"")</f>
        <v/>
      </c>
    </row>
    <row r="231" spans="1:52" ht="16.2" hidden="1" thickBot="1" x14ac:dyDescent="0.35">
      <c r="A231" s="440">
        <f t="shared" ref="A231" si="40">B231</f>
        <v>39</v>
      </c>
      <c r="B231" s="55">
        <f t="shared" si="34"/>
        <v>39</v>
      </c>
      <c r="C231" s="35" t="str">
        <f>VLOOKUP($B231,Chronologie[],7,TRUE)</f>
        <v>Hirschfelder SV</v>
      </c>
      <c r="D231" s="35" t="str">
        <f>VLOOKUP($B231,Chronologie[],8,TRUE)</f>
        <v>Hirschfeld</v>
      </c>
      <c r="E231" s="36" t="str">
        <f>VLOOKUP($B231,Chronologie[],9,TRUE)</f>
        <v>H</v>
      </c>
      <c r="F231" s="35" t="str">
        <f>VLOOKUP($B231,Chronologie[],COLUMN(F232)-2,TRUE)</f>
        <v>U19</v>
      </c>
      <c r="G231" s="35" t="str">
        <f>VLOOKUP($B231,Chronologie[],COLUMN(G232)-2,TRUE)</f>
        <v>L</v>
      </c>
      <c r="H231" s="35">
        <f>VLOOKUP($B231,Chronologie[],COLUMN(H232)-2,TRUE)</f>
        <v>7</v>
      </c>
      <c r="I231" s="9" t="str">
        <f>VLOOKUP($B231,Chronologie[],2,TRUE)</f>
        <v>U19-L-7</v>
      </c>
      <c r="J231" s="242">
        <f>VLOOKUP($B231,Chronologie[],3,TRUE)</f>
        <v>45997</v>
      </c>
      <c r="K231" s="236" t="s">
        <v>474</v>
      </c>
      <c r="L231" s="334">
        <v>74</v>
      </c>
      <c r="M231" s="334">
        <v>76</v>
      </c>
      <c r="N231" s="334">
        <v>85</v>
      </c>
      <c r="O231" s="334">
        <v>99</v>
      </c>
      <c r="P231" s="334">
        <v>35</v>
      </c>
      <c r="Q231" s="334">
        <v>54</v>
      </c>
      <c r="R231" s="334">
        <v>36</v>
      </c>
      <c r="S231" s="334">
        <v>35</v>
      </c>
      <c r="T231" s="334">
        <v>4</v>
      </c>
      <c r="U231" s="334">
        <v>2</v>
      </c>
      <c r="V231" s="334">
        <v>3</v>
      </c>
      <c r="W231" s="334">
        <v>2</v>
      </c>
      <c r="X231" s="37"/>
      <c r="Y231" s="37"/>
      <c r="Z231" s="37"/>
      <c r="AA231" s="37"/>
      <c r="AB231" s="90"/>
      <c r="AC231" s="93">
        <f>IF(Eingabe[[#This Row],[V1]]="",IF(Eingabe[[#This Row],[Volle alternativ]]="","",Eingabe[[#This Row],[Volle alternativ]]),SUM(Eingabe[[#This Row],[V1]:[V4]]))</f>
        <v>334</v>
      </c>
      <c r="AD231" s="35">
        <f>IF(Eingabe[[#This Row],[R1]]="",IF(Eingabe[[#This Row],[Räumer alternativ]]="","",Eingabe[[#This Row],[Räumer alternativ]]),SUM(Eingabe[[#This Row],[R1]:[R4]]))</f>
        <v>160</v>
      </c>
      <c r="AE231" s="35">
        <f>IF(Eingabe[[#This Row],[F1]]="",IF(Eingabe[[#This Row],[Fehler alternativ]]="","",Eingabe[[#This Row],[Fehler alternativ]]),SUM(Eingabe[[#This Row],[F1]:[F4]]))</f>
        <v>11</v>
      </c>
      <c r="AF231" s="35">
        <f>IF(Eingabe[[#This Row],[Volle]]="","",IF(Eingabe[[#This Row],[S1]]="",Eingabe[[#This Row],[Volle]]+Eingabe[[#This Row],[Räumer]],IF(Eingabe[[#This Row],[Volle]]+Eingabe[[#This Row],[Räumer]]=Eingabe[[#This Row],[S1]]+Eingabe[[#This Row],[S2]]+Eingabe[[#This Row],[S3]]+Eingabe[[#This Row],[S4]],Eingabe[[#This Row],[Volle]]+Eingabe[[#This Row],[Räumer]],"FEHLER")))</f>
        <v>494</v>
      </c>
      <c r="AG231" s="35">
        <f>IF(Eingabe[[#This Row],[V1]]="","",Eingabe[[#This Row],[V1]]+Eingabe[[#This Row],[R1]])</f>
        <v>109</v>
      </c>
      <c r="AH231" s="35">
        <f>IF(Eingabe[[#This Row],[V2]]="","",Eingabe[[#This Row],[V2]]+Eingabe[[#This Row],[R2]])</f>
        <v>130</v>
      </c>
      <c r="AI231" s="35">
        <f>IF(Eingabe[[#This Row],[V3]]="","",Eingabe[[#This Row],[V3]]+Eingabe[[#This Row],[R3]])</f>
        <v>121</v>
      </c>
      <c r="AJ231" s="35">
        <f>IF(Eingabe[[#This Row],[V4]]="","",Eingabe[[#This Row],[V4]]+Eingabe[[#This Row],[R4]])</f>
        <v>134</v>
      </c>
      <c r="AK231" s="35" t="str">
        <f>IF(Eingabe[[#This Row],[S1P]]="","",Eingabe[[#This Row],[S1P]]+Eingabe[[#This Row],[S2P]]+Eingabe[[#This Row],[S3P]]+Eingabe[[#This Row],[S4P]])</f>
        <v/>
      </c>
      <c r="AL231" s="35" t="str">
        <f>IF(Eingabe[[#This Row],[S1P]]="","",IF(Eingabe[[#This Row],[SP]]&gt;2,1,IF(Eingabe[[#This Row],[SP]]&lt;2,0,IF(Eingabe[[#This Row],[GES]]&gt;Eingabe[[#This Row],[GEGGES]],1,IF(Eingabe[[#This Row],[GES]]=Eingabe[[#This Row],[GEGGES]],0.5,0)))))</f>
        <v/>
      </c>
      <c r="AM231" s="35" t="str">
        <f>IF(Eingabe[[#This Row],[MP]]="","",MOD(ROW(Eingabe[[#This Row],[Position]])-3,6)+1)</f>
        <v/>
      </c>
      <c r="AN231" s="35">
        <f>STANDARDIZE(Eingabe[[#This Row],[GES]],Eingabe[[#This Row],[Schnitt]],VLOOKUP(Eingabe[[#This Row],[Name]],AuswertungG[],21,FALSE))</f>
        <v>-0.22580645161290322</v>
      </c>
      <c r="AO231" s="35">
        <f>VLOOKUP(Eingabe[[#This Row],[ID]],Chronologie[[ID]:[KW]],12,FALSE)</f>
        <v>15</v>
      </c>
      <c r="AP231" s="58" t="str">
        <f>IF(Eingabe[[#This Row],[Wo]]="H",Eingabe[[#This Row],[Gegner]]&amp;" ["&amp;Eingabe[[#This Row],[Wo]]&amp;"]",Eingabe[[#This Row],[Ort]])</f>
        <v>Hirschfelder SV [H]</v>
      </c>
      <c r="AQ231" s="35" t="str">
        <f>IFERROR(IF(Eingabe[[#This Row],[Wo]]="H",IF(MOD(Eingabe[[#This Row],[Position]],2)=1,Eingabe[[#This Row],[S1]],Eingabe[[#This Row],[S4]]),""),"")</f>
        <v/>
      </c>
      <c r="AR231" s="35" t="str">
        <f>IFERROR(IF(Eingabe[[#This Row],[Wo]]="H",IF(Eingabe[[#This Row],[S1]]&gt;0,IF(MOD(Eingabe[[#This Row],[Position]],2)=1,Eingabe[[#This Row],[S2]],Eingabe[[#This Row],[S3]]),""),""),"")</f>
        <v/>
      </c>
      <c r="AS231" s="35">
        <f>IFERROR(IF(Eingabe[[#This Row],[Wo]]="H",IF(Eingabe[[#This Row],[S1]]&gt;0,IF(MOD(ROW(Eingabe[[#This Row],[Heimbahn 3]]),2)=1,Eingabe[[#This Row],[S4]],Eingabe[[#This Row],[S1]]),""),""),"")</f>
        <v>134</v>
      </c>
      <c r="AT231" s="35">
        <f>IFERROR(IF(Eingabe[[#This Row],[Wo]]="H",IF(Eingabe[[#This Row],[S1]]&gt;0,IF(MOD(ROW(Eingabe[[#This Row],[Heimbahn 4]]),2)=1,Eingabe[[#This Row],[S3]],Eingabe[[#This Row],[S2]]),""),""),"")</f>
        <v>121</v>
      </c>
      <c r="AU231" s="88">
        <f>IF(Eingabe[[#This Row],[GES]]="","",IF(Eingabe[[#This Row],[Modus]]="L",_xlfn.RANK.EQ(Eingabe[[#This Row],[GES]],AF231:AF236),IF(Eingabe[[#This Row],[Modus]]="P",_xlfn.RANK.EQ(Eingabe[[#This Row],[GES]],AF231:AF236),"")))</f>
        <v>2</v>
      </c>
      <c r="AV231" s="6">
        <f>VLOOKUP(Eingabe[[#This Row],[Name]],AuswertungG[],8,FALSE)</f>
        <v>501</v>
      </c>
      <c r="AZ231" s="6">
        <f>IFERROR(ABS(Eingabe[[#This Row],[GES]]-Eingabe[[#This Row],[GEGGES]]),"")</f>
        <v>494</v>
      </c>
    </row>
    <row r="232" spans="1:52" ht="16.2" hidden="1" thickBot="1" x14ac:dyDescent="0.35">
      <c r="A232" s="441"/>
      <c r="B232" s="21">
        <f t="shared" si="34"/>
        <v>39</v>
      </c>
      <c r="C232" s="6" t="str">
        <f>VLOOKUP($B232,Chronologie[],7,TRUE)</f>
        <v>Hirschfelder SV</v>
      </c>
      <c r="D232" s="6" t="str">
        <f>VLOOKUP($B232,Chronologie[],8,TRUE)</f>
        <v>Hirschfeld</v>
      </c>
      <c r="E232" s="240" t="str">
        <f>VLOOKUP($B232,Chronologie[],9,TRUE)</f>
        <v>H</v>
      </c>
      <c r="F232" s="6" t="str">
        <f>VLOOKUP($B232,Chronologie[],COLUMN(F233)-2,TRUE)</f>
        <v>U19</v>
      </c>
      <c r="G232" s="6" t="str">
        <f>VLOOKUP($B232,Chronologie[],COLUMN(G233)-2,TRUE)</f>
        <v>L</v>
      </c>
      <c r="H232" s="6">
        <f>VLOOKUP($B232,Chronologie[],COLUMN(H233)-2,TRUE)</f>
        <v>7</v>
      </c>
      <c r="I232" s="10" t="str">
        <f>VLOOKUP($B232,Chronologie[],2,TRUE)</f>
        <v>U19-L-7</v>
      </c>
      <c r="J232" s="243">
        <f>VLOOKUP($B232,Chronologie[],3,TRUE)</f>
        <v>45997</v>
      </c>
      <c r="K232" s="237" t="s">
        <v>477</v>
      </c>
      <c r="L232" s="237">
        <v>97</v>
      </c>
      <c r="M232" s="237">
        <v>89</v>
      </c>
      <c r="N232" s="237">
        <v>68</v>
      </c>
      <c r="O232" s="237">
        <v>74</v>
      </c>
      <c r="P232" s="237">
        <v>49</v>
      </c>
      <c r="Q232" s="237">
        <v>44</v>
      </c>
      <c r="R232" s="237">
        <v>36</v>
      </c>
      <c r="S232" s="237">
        <v>52</v>
      </c>
      <c r="T232" s="237">
        <v>0</v>
      </c>
      <c r="U232" s="237">
        <v>1</v>
      </c>
      <c r="V232" s="237">
        <v>4</v>
      </c>
      <c r="W232" s="237">
        <v>1</v>
      </c>
      <c r="X232" s="38"/>
      <c r="Y232" s="38"/>
      <c r="Z232" s="38"/>
      <c r="AA232" s="38"/>
      <c r="AB232" s="91"/>
      <c r="AC232" s="94">
        <f>IF(Eingabe[[#This Row],[V1]]="",IF(Eingabe[[#This Row],[Volle alternativ]]="","",Eingabe[[#This Row],[Volle alternativ]]),SUM(Eingabe[[#This Row],[V1]:[V4]]))</f>
        <v>328</v>
      </c>
      <c r="AD232" s="6">
        <f>IF(Eingabe[[#This Row],[R1]]="",IF(Eingabe[[#This Row],[Räumer alternativ]]="","",Eingabe[[#This Row],[Räumer alternativ]]),SUM(Eingabe[[#This Row],[R1]:[R4]]))</f>
        <v>181</v>
      </c>
      <c r="AE232" s="6">
        <f>IF(Eingabe[[#This Row],[F1]]="",IF(Eingabe[[#This Row],[Fehler alternativ]]="","",Eingabe[[#This Row],[Fehler alternativ]]),SUM(Eingabe[[#This Row],[F1]:[F4]]))</f>
        <v>6</v>
      </c>
      <c r="AF232" s="6">
        <f>IF(Eingabe[[#This Row],[Volle]]="","",IF(Eingabe[[#This Row],[S1]]="",Eingabe[[#This Row],[Volle]]+Eingabe[[#This Row],[Räumer]],IF(Eingabe[[#This Row],[Volle]]+Eingabe[[#This Row],[Räumer]]=Eingabe[[#This Row],[S1]]+Eingabe[[#This Row],[S2]]+Eingabe[[#This Row],[S3]]+Eingabe[[#This Row],[S4]],Eingabe[[#This Row],[Volle]]+Eingabe[[#This Row],[Räumer]],"FEHLER")))</f>
        <v>509</v>
      </c>
      <c r="AG232" s="6">
        <f>IF(Eingabe[[#This Row],[V1]]="","",Eingabe[[#This Row],[V1]]+Eingabe[[#This Row],[R1]])</f>
        <v>146</v>
      </c>
      <c r="AH232" s="6">
        <f>IF(Eingabe[[#This Row],[V2]]="","",Eingabe[[#This Row],[V2]]+Eingabe[[#This Row],[R2]])</f>
        <v>133</v>
      </c>
      <c r="AI232" s="6">
        <f>IF(Eingabe[[#This Row],[V3]]="","",Eingabe[[#This Row],[V3]]+Eingabe[[#This Row],[R3]])</f>
        <v>104</v>
      </c>
      <c r="AJ232" s="6">
        <f>IF(Eingabe[[#This Row],[V4]]="","",Eingabe[[#This Row],[V4]]+Eingabe[[#This Row],[R4]])</f>
        <v>126</v>
      </c>
      <c r="AK232" s="6" t="str">
        <f>IF(Eingabe[[#This Row],[S1P]]="","",Eingabe[[#This Row],[S1P]]+Eingabe[[#This Row],[S2P]]+Eingabe[[#This Row],[S3P]]+Eingabe[[#This Row],[S4P]])</f>
        <v/>
      </c>
      <c r="AL232" s="6" t="str">
        <f>IF(Eingabe[[#This Row],[S1P]]="","",IF(Eingabe[[#This Row],[SP]]&gt;2,1,IF(Eingabe[[#This Row],[SP]]&lt;2,0,IF(Eingabe[[#This Row],[GES]]&gt;Eingabe[[#This Row],[GEGGES]],1,IF(Eingabe[[#This Row],[GES]]=Eingabe[[#This Row],[GEGGES]],0.5,0)))))</f>
        <v/>
      </c>
      <c r="AM232" s="6" t="str">
        <f>IF(Eingabe[[#This Row],[MP]]="","",MOD(ROW(Eingabe[[#This Row],[Position]])-3,6)+1)</f>
        <v/>
      </c>
      <c r="AN232" s="6">
        <f>STANDARDIZE(Eingabe[[#This Row],[GES]],Eingabe[[#This Row],[Schnitt]],VLOOKUP(Eingabe[[#This Row],[Name]],AuswertungG[],21,FALSE))</f>
        <v>-0.92</v>
      </c>
      <c r="AO232" s="6">
        <f>VLOOKUP(Eingabe[[#This Row],[ID]],Chronologie[[ID]:[KW]],12,FALSE)</f>
        <v>15</v>
      </c>
      <c r="AP232" s="95" t="str">
        <f>IF(Eingabe[[#This Row],[Wo]]="H",Eingabe[[#This Row],[Gegner]]&amp;" ["&amp;Eingabe[[#This Row],[Wo]]&amp;"]",Eingabe[[#This Row],[Ort]])</f>
        <v>Hirschfelder SV [H]</v>
      </c>
      <c r="AQ232" s="6" t="str">
        <f>IFERROR(IF(Eingabe[[#This Row],[Wo]]="H",IF(MOD(Eingabe[[#This Row],[Position]],2)=1,Eingabe[[#This Row],[S1]],Eingabe[[#This Row],[S4]]),""),"")</f>
        <v/>
      </c>
      <c r="AR232" s="6" t="str">
        <f>IFERROR(IF(Eingabe[[#This Row],[Wo]]="H",IF(Eingabe[[#This Row],[S1]]&gt;0,IF(MOD(Eingabe[[#This Row],[Position]],2)=1,Eingabe[[#This Row],[S2]],Eingabe[[#This Row],[S3]]),""),""),"")</f>
        <v/>
      </c>
      <c r="AS232" s="6">
        <f>IFERROR(IF(Eingabe[[#This Row],[Wo]]="H",IF(Eingabe[[#This Row],[S1]]&gt;0,IF(MOD(ROW(Eingabe[[#This Row],[Heimbahn 3]]),2)=1,Eingabe[[#This Row],[S4]],Eingabe[[#This Row],[S1]]),""),""),"")</f>
        <v>146</v>
      </c>
      <c r="AT232" s="6">
        <f>IFERROR(IF(Eingabe[[#This Row],[Wo]]="H",IF(Eingabe[[#This Row],[S1]]&gt;0,IF(MOD(ROW(Eingabe[[#This Row],[Heimbahn 4]]),2)=1,Eingabe[[#This Row],[S3]],Eingabe[[#This Row],[S2]]),""),""),"")</f>
        <v>133</v>
      </c>
      <c r="AU232" s="22">
        <f>IF(Eingabe[[#This Row],[GES]]="","",IF(Eingabe[[#This Row],[Modus]]="L",_xlfn.RANK.EQ(Eingabe[[#This Row],[GES]],AF231:AF236),IF(Eingabe[[#This Row],[Modus]]="P",_xlfn.RANK.EQ(Eingabe[[#This Row],[GES]],AF231:AF236),"")))</f>
        <v>1</v>
      </c>
      <c r="AV232" s="6">
        <f>VLOOKUP(Eingabe[[#This Row],[Name]],AuswertungG[],8,FALSE)</f>
        <v>532</v>
      </c>
      <c r="AZ232" s="6">
        <f>IFERROR(ABS(Eingabe[[#This Row],[GES]]-Eingabe[[#This Row],[GEGGES]]),"")</f>
        <v>509</v>
      </c>
    </row>
    <row r="233" spans="1:52" ht="16.2" hidden="1" thickBot="1" x14ac:dyDescent="0.35">
      <c r="A233" s="441"/>
      <c r="B233" s="21">
        <f t="shared" si="34"/>
        <v>39</v>
      </c>
      <c r="C233" s="6" t="str">
        <f>VLOOKUP($B233,Chronologie[],7,TRUE)</f>
        <v>Hirschfelder SV</v>
      </c>
      <c r="D233" s="6" t="str">
        <f>VLOOKUP($B233,Chronologie[],8,TRUE)</f>
        <v>Hirschfeld</v>
      </c>
      <c r="E233" s="240" t="str">
        <f>VLOOKUP($B233,Chronologie[],9,TRUE)</f>
        <v>H</v>
      </c>
      <c r="F233" s="6" t="str">
        <f>VLOOKUP($B233,Chronologie[],COLUMN(F234)-2,TRUE)</f>
        <v>U19</v>
      </c>
      <c r="G233" s="6" t="str">
        <f>VLOOKUP($B233,Chronologie[],COLUMN(G234)-2,TRUE)</f>
        <v>L</v>
      </c>
      <c r="H233" s="6">
        <f>VLOOKUP($B233,Chronologie[],COLUMN(H234)-2,TRUE)</f>
        <v>7</v>
      </c>
      <c r="I233" s="10" t="str">
        <f>VLOOKUP($B233,Chronologie[],2,TRUE)</f>
        <v>U19-L-7</v>
      </c>
      <c r="J233" s="243">
        <f>VLOOKUP($B233,Chronologie[],3,TRUE)</f>
        <v>45997</v>
      </c>
      <c r="K233" s="237" t="s">
        <v>458</v>
      </c>
      <c r="L233" s="237">
        <v>83</v>
      </c>
      <c r="M233" s="237">
        <v>74</v>
      </c>
      <c r="N233" s="237">
        <v>88</v>
      </c>
      <c r="O233" s="237">
        <v>80</v>
      </c>
      <c r="P233" s="237">
        <v>36</v>
      </c>
      <c r="Q233" s="237">
        <v>35</v>
      </c>
      <c r="R233" s="237">
        <v>45</v>
      </c>
      <c r="S233" s="237">
        <v>53</v>
      </c>
      <c r="T233" s="237">
        <v>2</v>
      </c>
      <c r="U233" s="237">
        <v>4</v>
      </c>
      <c r="V233" s="237">
        <v>0</v>
      </c>
      <c r="W233" s="237">
        <v>0</v>
      </c>
      <c r="X233" s="38"/>
      <c r="Y233" s="38"/>
      <c r="Z233" s="38"/>
      <c r="AA233" s="38"/>
      <c r="AB233" s="91"/>
      <c r="AC233" s="94">
        <f>IF(Eingabe[[#This Row],[V1]]="",IF(Eingabe[[#This Row],[Volle alternativ]]="","",Eingabe[[#This Row],[Volle alternativ]]),SUM(Eingabe[[#This Row],[V1]:[V4]]))</f>
        <v>325</v>
      </c>
      <c r="AD233" s="6">
        <f>IF(Eingabe[[#This Row],[R1]]="",IF(Eingabe[[#This Row],[Räumer alternativ]]="","",Eingabe[[#This Row],[Räumer alternativ]]),SUM(Eingabe[[#This Row],[R1]:[R4]]))</f>
        <v>169</v>
      </c>
      <c r="AE233" s="6">
        <f>IF(Eingabe[[#This Row],[F1]]="",IF(Eingabe[[#This Row],[Fehler alternativ]]="","",Eingabe[[#This Row],[Fehler alternativ]]),SUM(Eingabe[[#This Row],[F1]:[F4]]))</f>
        <v>6</v>
      </c>
      <c r="AF233" s="6">
        <f>IF(Eingabe[[#This Row],[Volle]]="","",IF(Eingabe[[#This Row],[S1]]="",Eingabe[[#This Row],[Volle]]+Eingabe[[#This Row],[Räumer]],IF(Eingabe[[#This Row],[Volle]]+Eingabe[[#This Row],[Räumer]]=Eingabe[[#This Row],[S1]]+Eingabe[[#This Row],[S2]]+Eingabe[[#This Row],[S3]]+Eingabe[[#This Row],[S4]],Eingabe[[#This Row],[Volle]]+Eingabe[[#This Row],[Räumer]],"FEHLER")))</f>
        <v>494</v>
      </c>
      <c r="AG233" s="6">
        <f>IF(Eingabe[[#This Row],[V1]]="","",Eingabe[[#This Row],[V1]]+Eingabe[[#This Row],[R1]])</f>
        <v>119</v>
      </c>
      <c r="AH233" s="6">
        <f>IF(Eingabe[[#This Row],[V2]]="","",Eingabe[[#This Row],[V2]]+Eingabe[[#This Row],[R2]])</f>
        <v>109</v>
      </c>
      <c r="AI233" s="6">
        <f>IF(Eingabe[[#This Row],[V3]]="","",Eingabe[[#This Row],[V3]]+Eingabe[[#This Row],[R3]])</f>
        <v>133</v>
      </c>
      <c r="AJ233" s="6">
        <f>IF(Eingabe[[#This Row],[V4]]="","",Eingabe[[#This Row],[V4]]+Eingabe[[#This Row],[R4]])</f>
        <v>133</v>
      </c>
      <c r="AK233" s="6" t="str">
        <f>IF(Eingabe[[#This Row],[S1P]]="","",Eingabe[[#This Row],[S1P]]+Eingabe[[#This Row],[S2P]]+Eingabe[[#This Row],[S3P]]+Eingabe[[#This Row],[S4P]])</f>
        <v/>
      </c>
      <c r="AL233" s="6" t="str">
        <f>IF(Eingabe[[#This Row],[S1P]]="","",IF(Eingabe[[#This Row],[SP]]&gt;2,1,IF(Eingabe[[#This Row],[SP]]&lt;2,0,IF(Eingabe[[#This Row],[GES]]&gt;Eingabe[[#This Row],[GEGGES]],1,IF(Eingabe[[#This Row],[GES]]=Eingabe[[#This Row],[GEGGES]],0.5,0)))))</f>
        <v/>
      </c>
      <c r="AM233" s="6" t="str">
        <f>IF(Eingabe[[#This Row],[MP]]="","",MOD(ROW(Eingabe[[#This Row],[Position]])-3,6)+1)</f>
        <v/>
      </c>
      <c r="AN233" s="6">
        <f>STANDARDIZE(Eingabe[[#This Row],[GES]],Eingabe[[#This Row],[Schnitt]],VLOOKUP(Eingabe[[#This Row],[Name]],AuswertungG[],21,FALSE))</f>
        <v>-0.7</v>
      </c>
      <c r="AO233" s="6">
        <f>VLOOKUP(Eingabe[[#This Row],[ID]],Chronologie[[ID]:[KW]],12,FALSE)</f>
        <v>15</v>
      </c>
      <c r="AP233" s="95" t="str">
        <f>IF(Eingabe[[#This Row],[Wo]]="H",Eingabe[[#This Row],[Gegner]]&amp;" ["&amp;Eingabe[[#This Row],[Wo]]&amp;"]",Eingabe[[#This Row],[Ort]])</f>
        <v>Hirschfelder SV [H]</v>
      </c>
      <c r="AQ233" s="6" t="str">
        <f>IFERROR(IF(Eingabe[[#This Row],[Wo]]="H",IF(MOD(Eingabe[[#This Row],[Position]],2)=1,Eingabe[[#This Row],[S1]],Eingabe[[#This Row],[S4]]),""),"")</f>
        <v/>
      </c>
      <c r="AR233" s="6" t="str">
        <f>IFERROR(IF(Eingabe[[#This Row],[Wo]]="H",IF(Eingabe[[#This Row],[S1]]&gt;0,IF(MOD(Eingabe[[#This Row],[Position]],2)=1,Eingabe[[#This Row],[S2]],Eingabe[[#This Row],[S3]]),""),""),"")</f>
        <v/>
      </c>
      <c r="AS233" s="6">
        <f>IFERROR(IF(Eingabe[[#This Row],[Wo]]="H",IF(Eingabe[[#This Row],[S1]]&gt;0,IF(MOD(ROW(Eingabe[[#This Row],[Heimbahn 3]]),2)=1,Eingabe[[#This Row],[S4]],Eingabe[[#This Row],[S1]]),""),""),"")</f>
        <v>133</v>
      </c>
      <c r="AT233" s="6">
        <f>IFERROR(IF(Eingabe[[#This Row],[Wo]]="H",IF(Eingabe[[#This Row],[S1]]&gt;0,IF(MOD(ROW(Eingabe[[#This Row],[Heimbahn 4]]),2)=1,Eingabe[[#This Row],[S3]],Eingabe[[#This Row],[S2]]),""),""),"")</f>
        <v>133</v>
      </c>
      <c r="AU233" s="22">
        <f>IF(Eingabe[[#This Row],[GES]]="","",IF(Eingabe[[#This Row],[Modus]]="L",_xlfn.RANK.EQ(Eingabe[[#This Row],[GES]],AF231:AF236),IF(Eingabe[[#This Row],[Modus]]="P",_xlfn.RANK.EQ(Eingabe[[#This Row],[GES]],AF231:AF236),"")))</f>
        <v>2</v>
      </c>
      <c r="AV233" s="6">
        <f>VLOOKUP(Eingabe[[#This Row],[Name]],AuswertungG[],8,FALSE)</f>
        <v>508</v>
      </c>
      <c r="AZ233" s="6">
        <f>IFERROR(ABS(Eingabe[[#This Row],[GES]]-Eingabe[[#This Row],[GEGGES]]),"")</f>
        <v>494</v>
      </c>
    </row>
    <row r="234" spans="1:52" ht="16.2" hidden="1" thickBot="1" x14ac:dyDescent="0.35">
      <c r="A234" s="441"/>
      <c r="B234" s="21">
        <f t="shared" si="34"/>
        <v>39</v>
      </c>
      <c r="C234" s="6" t="str">
        <f>VLOOKUP($B234,Chronologie[],7,TRUE)</f>
        <v>Hirschfelder SV</v>
      </c>
      <c r="D234" s="6" t="str">
        <f>VLOOKUP($B234,Chronologie[],8,TRUE)</f>
        <v>Hirschfeld</v>
      </c>
      <c r="E234" s="240" t="str">
        <f>VLOOKUP($B234,Chronologie[],9,TRUE)</f>
        <v>H</v>
      </c>
      <c r="F234" s="6" t="str">
        <f>VLOOKUP($B234,Chronologie[],COLUMN(F235)-2,TRUE)</f>
        <v>U19</v>
      </c>
      <c r="G234" s="6" t="str">
        <f>VLOOKUP($B234,Chronologie[],COLUMN(G235)-2,TRUE)</f>
        <v>L</v>
      </c>
      <c r="H234" s="6">
        <f>VLOOKUP($B234,Chronologie[],COLUMN(H235)-2,TRUE)</f>
        <v>7</v>
      </c>
      <c r="I234" s="10" t="str">
        <f>VLOOKUP($B234,Chronologie[],2,TRUE)</f>
        <v>U19-L-7</v>
      </c>
      <c r="J234" s="243">
        <f>VLOOKUP($B234,Chronologie[],3,TRUE)</f>
        <v>45997</v>
      </c>
      <c r="K234" s="238" t="s">
        <v>485</v>
      </c>
      <c r="L234" s="237">
        <v>68</v>
      </c>
      <c r="M234" s="237">
        <v>82</v>
      </c>
      <c r="N234" s="237">
        <v>94</v>
      </c>
      <c r="O234" s="237">
        <v>78</v>
      </c>
      <c r="P234" s="237">
        <v>27</v>
      </c>
      <c r="Q234" s="237">
        <v>26</v>
      </c>
      <c r="R234" s="237">
        <v>47</v>
      </c>
      <c r="S234" s="237">
        <v>27</v>
      </c>
      <c r="T234" s="237">
        <v>2</v>
      </c>
      <c r="U234" s="237">
        <v>5</v>
      </c>
      <c r="V234" s="237">
        <v>1</v>
      </c>
      <c r="W234" s="237">
        <v>4</v>
      </c>
      <c r="X234" s="38"/>
      <c r="Y234" s="38"/>
      <c r="Z234" s="38"/>
      <c r="AA234" s="38"/>
      <c r="AB234" s="91"/>
      <c r="AC234" s="94">
        <f>IF(Eingabe[[#This Row],[V1]]="",IF(Eingabe[[#This Row],[Volle alternativ]]="","",Eingabe[[#This Row],[Volle alternativ]]),SUM(Eingabe[[#This Row],[V1]:[V4]]))</f>
        <v>322</v>
      </c>
      <c r="AD234" s="6">
        <f>IF(Eingabe[[#This Row],[R1]]="",IF(Eingabe[[#This Row],[Räumer alternativ]]="","",Eingabe[[#This Row],[Räumer alternativ]]),SUM(Eingabe[[#This Row],[R1]:[R4]]))</f>
        <v>127</v>
      </c>
      <c r="AE234" s="6">
        <f>IF(Eingabe[[#This Row],[F1]]="",IF(Eingabe[[#This Row],[Fehler alternativ]]="","",Eingabe[[#This Row],[Fehler alternativ]]),SUM(Eingabe[[#This Row],[F1]:[F4]]))</f>
        <v>12</v>
      </c>
      <c r="AF234" s="6">
        <f>IF(Eingabe[[#This Row],[Volle]]="","",IF(Eingabe[[#This Row],[S1]]="",Eingabe[[#This Row],[Volle]]+Eingabe[[#This Row],[Räumer]],IF(Eingabe[[#This Row],[Volle]]+Eingabe[[#This Row],[Räumer]]=Eingabe[[#This Row],[S1]]+Eingabe[[#This Row],[S2]]+Eingabe[[#This Row],[S3]]+Eingabe[[#This Row],[S4]],Eingabe[[#This Row],[Volle]]+Eingabe[[#This Row],[Räumer]],"FEHLER")))</f>
        <v>449</v>
      </c>
      <c r="AG234" s="6">
        <f>IF(Eingabe[[#This Row],[V1]]="","",Eingabe[[#This Row],[V1]]+Eingabe[[#This Row],[R1]])</f>
        <v>95</v>
      </c>
      <c r="AH234" s="6">
        <f>IF(Eingabe[[#This Row],[V2]]="","",Eingabe[[#This Row],[V2]]+Eingabe[[#This Row],[R2]])</f>
        <v>108</v>
      </c>
      <c r="AI234" s="6">
        <f>IF(Eingabe[[#This Row],[V3]]="","",Eingabe[[#This Row],[V3]]+Eingabe[[#This Row],[R3]])</f>
        <v>141</v>
      </c>
      <c r="AJ234" s="6">
        <f>IF(Eingabe[[#This Row],[V4]]="","",Eingabe[[#This Row],[V4]]+Eingabe[[#This Row],[R4]])</f>
        <v>105</v>
      </c>
      <c r="AK234" s="6" t="str">
        <f>IF(Eingabe[[#This Row],[S1P]]="","",Eingabe[[#This Row],[S1P]]+Eingabe[[#This Row],[S2P]]+Eingabe[[#This Row],[S3P]]+Eingabe[[#This Row],[S4P]])</f>
        <v/>
      </c>
      <c r="AL234" s="6" t="str">
        <f>IF(Eingabe[[#This Row],[S1P]]="","",IF(Eingabe[[#This Row],[SP]]&gt;2,1,IF(Eingabe[[#This Row],[SP]]&lt;2,0,IF(Eingabe[[#This Row],[GES]]&gt;Eingabe[[#This Row],[GEGGES]],1,IF(Eingabe[[#This Row],[GES]]=Eingabe[[#This Row],[GEGGES]],0.5,0)))))</f>
        <v/>
      </c>
      <c r="AM234" s="6" t="str">
        <f>IF(Eingabe[[#This Row],[MP]]="","",MOD(ROW(Eingabe[[#This Row],[Position]])-3,6)+1)</f>
        <v/>
      </c>
      <c r="AN234" s="6">
        <f>STANDARDIZE(Eingabe[[#This Row],[GES]],Eingabe[[#This Row],[Schnitt]],VLOOKUP(Eingabe[[#This Row],[Name]],AuswertungG[],21,FALSE))</f>
        <v>-0.41379310344827586</v>
      </c>
      <c r="AO234" s="6">
        <f>VLOOKUP(Eingabe[[#This Row],[ID]],Chronologie[[ID]:[KW]],12,FALSE)</f>
        <v>15</v>
      </c>
      <c r="AP234" s="95" t="str">
        <f>IF(Eingabe[[#This Row],[Wo]]="H",Eingabe[[#This Row],[Gegner]]&amp;" ["&amp;Eingabe[[#This Row],[Wo]]&amp;"]",Eingabe[[#This Row],[Ort]])</f>
        <v>Hirschfelder SV [H]</v>
      </c>
      <c r="AQ234" s="6" t="str">
        <f>IFERROR(IF(Eingabe[[#This Row],[Wo]]="H",IF(MOD(Eingabe[[#This Row],[Position]],2)=1,Eingabe[[#This Row],[S1]],Eingabe[[#This Row],[S4]]),""),"")</f>
        <v/>
      </c>
      <c r="AR234" s="6" t="str">
        <f>IFERROR(IF(Eingabe[[#This Row],[Wo]]="H",IF(Eingabe[[#This Row],[S1]]&gt;0,IF(MOD(Eingabe[[#This Row],[Position]],2)=1,Eingabe[[#This Row],[S2]],Eingabe[[#This Row],[S3]]),""),""),"")</f>
        <v/>
      </c>
      <c r="AS234" s="6">
        <f>IFERROR(IF(Eingabe[[#This Row],[Wo]]="H",IF(Eingabe[[#This Row],[S1]]&gt;0,IF(MOD(ROW(Eingabe[[#This Row],[Heimbahn 3]]),2)=1,Eingabe[[#This Row],[S4]],Eingabe[[#This Row],[S1]]),""),""),"")</f>
        <v>95</v>
      </c>
      <c r="AT234" s="6">
        <f>IFERROR(IF(Eingabe[[#This Row],[Wo]]="H",IF(Eingabe[[#This Row],[S1]]&gt;0,IF(MOD(ROW(Eingabe[[#This Row],[Heimbahn 4]]),2)=1,Eingabe[[#This Row],[S3]],Eingabe[[#This Row],[S2]]),""),""),"")</f>
        <v>108</v>
      </c>
      <c r="AU234" s="22">
        <f>IF(Eingabe[[#This Row],[GES]]="","",IF(Eingabe[[#This Row],[Modus]]="L",_xlfn.RANK.EQ(Eingabe[[#This Row],[GES]],AF231:AF236),IF(Eingabe[[#This Row],[Modus]]="P",_xlfn.RANK.EQ(Eingabe[[#This Row],[GES]],AF231:AF236),"")))</f>
        <v>4</v>
      </c>
      <c r="AV234" s="6">
        <f>VLOOKUP(Eingabe[[#This Row],[Name]],AuswertungG[],8,FALSE)</f>
        <v>461</v>
      </c>
      <c r="AZ234" s="6">
        <f>IFERROR(ABS(Eingabe[[#This Row],[GES]]-Eingabe[[#This Row],[GEGGES]]),"")</f>
        <v>449</v>
      </c>
    </row>
    <row r="235" spans="1:52" ht="16.2" hidden="1" thickBot="1" x14ac:dyDescent="0.35">
      <c r="A235" s="441"/>
      <c r="B235" s="21">
        <f t="shared" si="34"/>
        <v>39</v>
      </c>
      <c r="C235" s="6" t="str">
        <f>VLOOKUP($B235,Chronologie[],7,TRUE)</f>
        <v>Hirschfelder SV</v>
      </c>
      <c r="D235" s="6" t="str">
        <f>VLOOKUP($B235,Chronologie[],8,TRUE)</f>
        <v>Hirschfeld</v>
      </c>
      <c r="E235" s="240" t="str">
        <f>VLOOKUP($B235,Chronologie[],9,TRUE)</f>
        <v>H</v>
      </c>
      <c r="F235" s="6" t="str">
        <f>VLOOKUP($B235,Chronologie[],COLUMN(F236)-2,TRUE)</f>
        <v>U19</v>
      </c>
      <c r="G235" s="6" t="str">
        <f>VLOOKUP($B235,Chronologie[],COLUMN(G236)-2,TRUE)</f>
        <v>L</v>
      </c>
      <c r="H235" s="6">
        <f>VLOOKUP($B235,Chronologie[],COLUMN(H236)-2,TRUE)</f>
        <v>7</v>
      </c>
      <c r="I235" s="10" t="str">
        <f>VLOOKUP($B235,Chronologie[],2,TRUE)</f>
        <v>U19-L-7</v>
      </c>
      <c r="J235" s="243">
        <f>VLOOKUP($B235,Chronologie[],3,TRUE)</f>
        <v>45997</v>
      </c>
      <c r="K235" s="237"/>
      <c r="L235" s="237"/>
      <c r="M235" s="237"/>
      <c r="N235" s="237"/>
      <c r="O235" s="237"/>
      <c r="P235" s="237"/>
      <c r="Q235" s="237"/>
      <c r="R235" s="237"/>
      <c r="S235" s="237"/>
      <c r="T235" s="237"/>
      <c r="U235" s="237"/>
      <c r="V235" s="237"/>
      <c r="W235" s="237"/>
      <c r="X235" s="38"/>
      <c r="Y235" s="38"/>
      <c r="Z235" s="38"/>
      <c r="AA235" s="38"/>
      <c r="AB235" s="91"/>
      <c r="AC235" s="94" t="str">
        <f>IF(Eingabe[[#This Row],[V1]]="",IF(Eingabe[[#This Row],[Volle alternativ]]="","",Eingabe[[#This Row],[Volle alternativ]]),SUM(Eingabe[[#This Row],[V1]:[V4]]))</f>
        <v/>
      </c>
      <c r="AD235" s="6" t="str">
        <f>IF(Eingabe[[#This Row],[R1]]="",IF(Eingabe[[#This Row],[Räumer alternativ]]="","",Eingabe[[#This Row],[Räumer alternativ]]),SUM(Eingabe[[#This Row],[R1]:[R4]]))</f>
        <v/>
      </c>
      <c r="AE235" s="6" t="str">
        <f>IF(Eingabe[[#This Row],[F1]]="",IF(Eingabe[[#This Row],[Fehler alternativ]]="","",Eingabe[[#This Row],[Fehler alternativ]]),SUM(Eingabe[[#This Row],[F1]:[F4]]))</f>
        <v/>
      </c>
      <c r="AF235" s="6" t="str">
        <f>IF(Eingabe[[#This Row],[Volle]]="","",IF(Eingabe[[#This Row],[S1]]="",Eingabe[[#This Row],[Volle]]+Eingabe[[#This Row],[Räumer]],IF(Eingabe[[#This Row],[Volle]]+Eingabe[[#This Row],[Räumer]]=Eingabe[[#This Row],[S1]]+Eingabe[[#This Row],[S2]]+Eingabe[[#This Row],[S3]]+Eingabe[[#This Row],[S4]],Eingabe[[#This Row],[Volle]]+Eingabe[[#This Row],[Räumer]],"FEHLER")))</f>
        <v/>
      </c>
      <c r="AG235" s="6" t="str">
        <f>IF(Eingabe[[#This Row],[V1]]="","",Eingabe[[#This Row],[V1]]+Eingabe[[#This Row],[R1]])</f>
        <v/>
      </c>
      <c r="AH235" s="6" t="str">
        <f>IF(Eingabe[[#This Row],[V2]]="","",Eingabe[[#This Row],[V2]]+Eingabe[[#This Row],[R2]])</f>
        <v/>
      </c>
      <c r="AI235" s="6" t="str">
        <f>IF(Eingabe[[#This Row],[V3]]="","",Eingabe[[#This Row],[V3]]+Eingabe[[#This Row],[R3]])</f>
        <v/>
      </c>
      <c r="AJ235" s="6" t="str">
        <f>IF(Eingabe[[#This Row],[V4]]="","",Eingabe[[#This Row],[V4]]+Eingabe[[#This Row],[R4]])</f>
        <v/>
      </c>
      <c r="AK235" s="6" t="str">
        <f>IF(Eingabe[[#This Row],[S1P]]="","",Eingabe[[#This Row],[S1P]]+Eingabe[[#This Row],[S2P]]+Eingabe[[#This Row],[S3P]]+Eingabe[[#This Row],[S4P]])</f>
        <v/>
      </c>
      <c r="AL235" s="6" t="str">
        <f>IF(Eingabe[[#This Row],[S1P]]="","",IF(Eingabe[[#This Row],[SP]]&gt;2,1,IF(Eingabe[[#This Row],[SP]]&lt;2,0,IF(Eingabe[[#This Row],[GES]]&gt;Eingabe[[#This Row],[GEGGES]],1,IF(Eingabe[[#This Row],[GES]]=Eingabe[[#This Row],[GEGGES]],0.5,0)))))</f>
        <v/>
      </c>
      <c r="AM235" s="6" t="str">
        <f>IF(Eingabe[[#This Row],[MP]]="","",MOD(ROW(Eingabe[[#This Row],[Position]])-3,6)+1)</f>
        <v/>
      </c>
      <c r="AN235" s="6" t="e">
        <f>STANDARDIZE(Eingabe[[#This Row],[GES]],Eingabe[[#This Row],[Schnitt]],VLOOKUP(Eingabe[[#This Row],[Name]],AuswertungG[],21,FALSE))</f>
        <v>#VALUE!</v>
      </c>
      <c r="AO235" s="6">
        <f>VLOOKUP(Eingabe[[#This Row],[ID]],Chronologie[[ID]:[KW]],12,FALSE)</f>
        <v>15</v>
      </c>
      <c r="AP235" s="95" t="str">
        <f>IF(Eingabe[[#This Row],[Wo]]="H",Eingabe[[#This Row],[Gegner]]&amp;" ["&amp;Eingabe[[#This Row],[Wo]]&amp;"]",Eingabe[[#This Row],[Ort]])</f>
        <v>Hirschfelder SV [H]</v>
      </c>
      <c r="AQ235" s="6" t="str">
        <f>IFERROR(IF(Eingabe[[#This Row],[Wo]]="H",IF(MOD(Eingabe[[#This Row],[Position]],2)=1,Eingabe[[#This Row],[S1]],Eingabe[[#This Row],[S4]]),""),"")</f>
        <v/>
      </c>
      <c r="AR235" s="6" t="str">
        <f>IFERROR(IF(Eingabe[[#This Row],[Wo]]="H",IF(Eingabe[[#This Row],[S1]]&gt;0,IF(MOD(Eingabe[[#This Row],[Position]],2)=1,Eingabe[[#This Row],[S2]],Eingabe[[#This Row],[S3]]),""),""),"")</f>
        <v/>
      </c>
      <c r="AS235" s="6" t="str">
        <f>IFERROR(IF(Eingabe[[#This Row],[Wo]]="H",IF(Eingabe[[#This Row],[S1]]&gt;0,IF(MOD(ROW(Eingabe[[#This Row],[Heimbahn 3]]),2)=1,Eingabe[[#This Row],[S4]],Eingabe[[#This Row],[S1]]),""),""),"")</f>
        <v/>
      </c>
      <c r="AT235" s="6" t="str">
        <f>IFERROR(IF(Eingabe[[#This Row],[Wo]]="H",IF(Eingabe[[#This Row],[S1]]&gt;0,IF(MOD(ROW(Eingabe[[#This Row],[Heimbahn 4]]),2)=1,Eingabe[[#This Row],[S3]],Eingabe[[#This Row],[S2]]),""),""),"")</f>
        <v/>
      </c>
      <c r="AU235" s="22" t="str">
        <f>IF(Eingabe[[#This Row],[GES]]="","",IF(Eingabe[[#This Row],[Modus]]="L",_xlfn.RANK.EQ(Eingabe[[#This Row],[GES]],AF231:AF236),IF(Eingabe[[#This Row],[Modus]]="P",_xlfn.RANK.EQ(Eingabe[[#This Row],[GES]],AF231:AF236),"")))</f>
        <v/>
      </c>
      <c r="AV235" s="6" t="e">
        <f>VLOOKUP(Eingabe[[#This Row],[Name]],AuswertungG[],8,FALSE)</f>
        <v>#N/A</v>
      </c>
      <c r="AZ235" s="6" t="str">
        <f>IFERROR(ABS(Eingabe[[#This Row],[GES]]-Eingabe[[#This Row],[GEGGES]]),"")</f>
        <v/>
      </c>
    </row>
    <row r="236" spans="1:52" ht="16.2" hidden="1" thickBot="1" x14ac:dyDescent="0.35">
      <c r="A236" s="442"/>
      <c r="B236" s="56">
        <f t="shared" si="34"/>
        <v>39</v>
      </c>
      <c r="C236" s="23" t="str">
        <f>VLOOKUP($B236,Chronologie[],7,TRUE)</f>
        <v>Hirschfelder SV</v>
      </c>
      <c r="D236" s="23" t="str">
        <f>VLOOKUP($B236,Chronologie[],8,TRUE)</f>
        <v>Hirschfeld</v>
      </c>
      <c r="E236" s="39" t="str">
        <f>VLOOKUP($B236,Chronologie[],9,TRUE)</f>
        <v>H</v>
      </c>
      <c r="F236" s="23" t="str">
        <f>VLOOKUP($B236,Chronologie[],COLUMN(F237)-2,TRUE)</f>
        <v>U19</v>
      </c>
      <c r="G236" s="23" t="str">
        <f>VLOOKUP($B236,Chronologie[],COLUMN(G237)-2,TRUE)</f>
        <v>L</v>
      </c>
      <c r="H236" s="23">
        <f>VLOOKUP($B236,Chronologie[],COLUMN(H237)-2,TRUE)</f>
        <v>7</v>
      </c>
      <c r="I236" s="13" t="str">
        <f>VLOOKUP($B236,Chronologie[],2,TRUE)</f>
        <v>U19-L-7</v>
      </c>
      <c r="J236" s="244">
        <f>VLOOKUP($B236,Chronologie[],3,TRUE)</f>
        <v>45997</v>
      </c>
      <c r="K236" s="239"/>
      <c r="L236" s="239"/>
      <c r="M236" s="239"/>
      <c r="N236" s="239"/>
      <c r="O236" s="239"/>
      <c r="P236" s="239"/>
      <c r="Q236" s="239"/>
      <c r="R236" s="239"/>
      <c r="S236" s="239"/>
      <c r="T236" s="239"/>
      <c r="U236" s="239"/>
      <c r="V236" s="239"/>
      <c r="W236" s="239"/>
      <c r="X236" s="40"/>
      <c r="Y236" s="40"/>
      <c r="Z236" s="40"/>
      <c r="AA236" s="40"/>
      <c r="AB236" s="92"/>
      <c r="AC236" s="96" t="str">
        <f>IF(Eingabe[[#This Row],[V1]]="",IF(Eingabe[[#This Row],[Volle alternativ]]="","",Eingabe[[#This Row],[Volle alternativ]]),SUM(Eingabe[[#This Row],[V1]:[V4]]))</f>
        <v/>
      </c>
      <c r="AD236" s="23" t="str">
        <f>IF(Eingabe[[#This Row],[R1]]="",IF(Eingabe[[#This Row],[Räumer alternativ]]="","",Eingabe[[#This Row],[Räumer alternativ]]),SUM(Eingabe[[#This Row],[R1]:[R4]]))</f>
        <v/>
      </c>
      <c r="AE236" s="23" t="str">
        <f>IF(Eingabe[[#This Row],[F1]]="",IF(Eingabe[[#This Row],[Fehler alternativ]]="","",Eingabe[[#This Row],[Fehler alternativ]]),SUM(Eingabe[[#This Row],[F1]:[F4]]))</f>
        <v/>
      </c>
      <c r="AF236" s="23" t="str">
        <f>IF(Eingabe[[#This Row],[Volle]]="","",IF(Eingabe[[#This Row],[S1]]="",Eingabe[[#This Row],[Volle]]+Eingabe[[#This Row],[Räumer]],IF(Eingabe[[#This Row],[Volle]]+Eingabe[[#This Row],[Räumer]]=Eingabe[[#This Row],[S1]]+Eingabe[[#This Row],[S2]]+Eingabe[[#This Row],[S3]]+Eingabe[[#This Row],[S4]],Eingabe[[#This Row],[Volle]]+Eingabe[[#This Row],[Räumer]],"FEHLER")))</f>
        <v/>
      </c>
      <c r="AG236" s="23" t="str">
        <f>IF(Eingabe[[#This Row],[V1]]="","",Eingabe[[#This Row],[V1]]+Eingabe[[#This Row],[R1]])</f>
        <v/>
      </c>
      <c r="AH236" s="23" t="str">
        <f>IF(Eingabe[[#This Row],[V2]]="","",Eingabe[[#This Row],[V2]]+Eingabe[[#This Row],[R2]])</f>
        <v/>
      </c>
      <c r="AI236" s="23" t="str">
        <f>IF(Eingabe[[#This Row],[V3]]="","",Eingabe[[#This Row],[V3]]+Eingabe[[#This Row],[R3]])</f>
        <v/>
      </c>
      <c r="AJ236" s="23" t="str">
        <f>IF(Eingabe[[#This Row],[V4]]="","",Eingabe[[#This Row],[V4]]+Eingabe[[#This Row],[R4]])</f>
        <v/>
      </c>
      <c r="AK236" s="23" t="str">
        <f>IF(Eingabe[[#This Row],[S1P]]="","",Eingabe[[#This Row],[S1P]]+Eingabe[[#This Row],[S2P]]+Eingabe[[#This Row],[S3P]]+Eingabe[[#This Row],[S4P]])</f>
        <v/>
      </c>
      <c r="AL236" s="23" t="str">
        <f>IF(Eingabe[[#This Row],[S1P]]="","",IF(Eingabe[[#This Row],[SP]]&gt;2,1,IF(Eingabe[[#This Row],[SP]]&lt;2,0,IF(Eingabe[[#This Row],[GES]]&gt;Eingabe[[#This Row],[GEGGES]],1,IF(Eingabe[[#This Row],[GES]]=Eingabe[[#This Row],[GEGGES]],0.5,0)))))</f>
        <v/>
      </c>
      <c r="AM236" s="23" t="str">
        <f>IF(Eingabe[[#This Row],[MP]]="","",MOD(ROW(Eingabe[[#This Row],[Position]])-3,6)+1)</f>
        <v/>
      </c>
      <c r="AN236" s="23" t="e">
        <f>STANDARDIZE(Eingabe[[#This Row],[GES]],Eingabe[[#This Row],[Schnitt]],VLOOKUP(Eingabe[[#This Row],[Name]],AuswertungG[],21,FALSE))</f>
        <v>#VALUE!</v>
      </c>
      <c r="AO236" s="23">
        <f>VLOOKUP(Eingabe[[#This Row],[ID]],Chronologie[[ID]:[KW]],12,FALSE)</f>
        <v>15</v>
      </c>
      <c r="AP236" s="59" t="str">
        <f>IF(Eingabe[[#This Row],[Wo]]="H",Eingabe[[#This Row],[Gegner]]&amp;" ["&amp;Eingabe[[#This Row],[Wo]]&amp;"]",Eingabe[[#This Row],[Ort]])</f>
        <v>Hirschfelder SV [H]</v>
      </c>
      <c r="AQ236" s="23" t="str">
        <f>IFERROR(IF(Eingabe[[#This Row],[Wo]]="H",IF(MOD(Eingabe[[#This Row],[Position]],2)=1,Eingabe[[#This Row],[S1]],Eingabe[[#This Row],[S4]]),""),"")</f>
        <v/>
      </c>
      <c r="AR236" s="23" t="str">
        <f>IFERROR(IF(Eingabe[[#This Row],[Wo]]="H",IF(Eingabe[[#This Row],[S1]]&gt;0,IF(MOD(Eingabe[[#This Row],[Position]],2)=1,Eingabe[[#This Row],[S2]],Eingabe[[#This Row],[S3]]),""),""),"")</f>
        <v/>
      </c>
      <c r="AS236" s="23" t="str">
        <f>IFERROR(IF(Eingabe[[#This Row],[Wo]]="H",IF(Eingabe[[#This Row],[S1]]&gt;0,IF(MOD(ROW(Eingabe[[#This Row],[Heimbahn 3]]),2)=1,Eingabe[[#This Row],[S4]],Eingabe[[#This Row],[S1]]),""),""),"")</f>
        <v/>
      </c>
      <c r="AT236" s="23" t="str">
        <f>IFERROR(IF(Eingabe[[#This Row],[Wo]]="H",IF(Eingabe[[#This Row],[S1]]&gt;0,IF(MOD(ROW(Eingabe[[#This Row],[Heimbahn 4]]),2)=1,Eingabe[[#This Row],[S3]],Eingabe[[#This Row],[S2]]),""),""),"")</f>
        <v/>
      </c>
      <c r="AU236" s="89" t="str">
        <f>IF(Eingabe[[#This Row],[GES]]="","",IF(Eingabe[[#This Row],[Modus]]="L",_xlfn.RANK.EQ(Eingabe[[#This Row],[GES]],AF231:AF236),IF(Eingabe[[#This Row],[Modus]]="P",_xlfn.RANK.EQ(Eingabe[[#This Row],[GES]],AF231:AF236),"")))</f>
        <v/>
      </c>
      <c r="AV236" s="6" t="e">
        <f>VLOOKUP(Eingabe[[#This Row],[Name]],AuswertungG[],8,FALSE)</f>
        <v>#N/A</v>
      </c>
      <c r="AZ236" s="6" t="str">
        <f>IFERROR(ABS(Eingabe[[#This Row],[GES]]-Eingabe[[#This Row],[GEGGES]]),"")</f>
        <v/>
      </c>
    </row>
    <row r="237" spans="1:52" ht="16.2" hidden="1" thickBot="1" x14ac:dyDescent="0.35">
      <c r="A237" s="440">
        <f t="shared" ref="A237:A297" si="41">B237</f>
        <v>40</v>
      </c>
      <c r="B237" s="55">
        <f t="shared" si="34"/>
        <v>40</v>
      </c>
      <c r="C237" s="35" t="str">
        <f>VLOOKUP($B237,Chronologie[],7,TRUE)</f>
        <v>MSV Bautzen 04</v>
      </c>
      <c r="D237" s="35" t="str">
        <f>VLOOKUP($B237,Chronologie[],8,TRUE)</f>
        <v>Bautzen</v>
      </c>
      <c r="E237" s="36" t="str">
        <f>VLOOKUP($B237,Chronologie[],9,TRUE)</f>
        <v>A</v>
      </c>
      <c r="F237" s="35" t="str">
        <f>VLOOKUP($B237,Chronologie[],COLUMN(F238)-2,TRUE)</f>
        <v>U19</v>
      </c>
      <c r="G237" s="35" t="str">
        <f>VLOOKUP($B237,Chronologie[],COLUMN(G238)-2,TRUE)</f>
        <v>L</v>
      </c>
      <c r="H237" s="35">
        <f>VLOOKUP($B237,Chronologie[],COLUMN(H238)-2,TRUE)</f>
        <v>8</v>
      </c>
      <c r="I237" s="9" t="str">
        <f>VLOOKUP($B237,Chronologie[],2,TRUE)</f>
        <v>U19-L-8</v>
      </c>
      <c r="J237" s="242">
        <f>VLOOKUP($B237,Chronologie[],3,TRUE)</f>
        <v>46032</v>
      </c>
      <c r="K237" s="236" t="s">
        <v>474</v>
      </c>
      <c r="L237" s="334">
        <v>83</v>
      </c>
      <c r="M237" s="334">
        <v>79</v>
      </c>
      <c r="N237" s="334">
        <v>72</v>
      </c>
      <c r="O237" s="334">
        <v>86</v>
      </c>
      <c r="P237" s="334">
        <v>18</v>
      </c>
      <c r="Q237" s="334">
        <v>54</v>
      </c>
      <c r="R237" s="334">
        <v>18</v>
      </c>
      <c r="S237" s="334">
        <v>44</v>
      </c>
      <c r="T237" s="334">
        <v>4</v>
      </c>
      <c r="U237" s="334">
        <v>2</v>
      </c>
      <c r="V237" s="334">
        <v>5</v>
      </c>
      <c r="W237" s="334">
        <v>2</v>
      </c>
      <c r="X237" s="37"/>
      <c r="Y237" s="37"/>
      <c r="Z237" s="37"/>
      <c r="AA237" s="37"/>
      <c r="AB237" s="90"/>
      <c r="AC237" s="93">
        <f>IF(Eingabe[[#This Row],[V1]]="",IF(Eingabe[[#This Row],[Volle alternativ]]="","",Eingabe[[#This Row],[Volle alternativ]]),SUM(Eingabe[[#This Row],[V1]:[V4]]))</f>
        <v>320</v>
      </c>
      <c r="AD237" s="35">
        <f>IF(Eingabe[[#This Row],[R1]]="",IF(Eingabe[[#This Row],[Räumer alternativ]]="","",Eingabe[[#This Row],[Räumer alternativ]]),SUM(Eingabe[[#This Row],[R1]:[R4]]))</f>
        <v>134</v>
      </c>
      <c r="AE237" s="35">
        <f>IF(Eingabe[[#This Row],[F1]]="",IF(Eingabe[[#This Row],[Fehler alternativ]]="","",Eingabe[[#This Row],[Fehler alternativ]]),SUM(Eingabe[[#This Row],[F1]:[F4]]))</f>
        <v>13</v>
      </c>
      <c r="AF237" s="35">
        <f>IF(Eingabe[[#This Row],[Volle]]="","",IF(Eingabe[[#This Row],[S1]]="",Eingabe[[#This Row],[Volle]]+Eingabe[[#This Row],[Räumer]],IF(Eingabe[[#This Row],[Volle]]+Eingabe[[#This Row],[Räumer]]=Eingabe[[#This Row],[S1]]+Eingabe[[#This Row],[S2]]+Eingabe[[#This Row],[S3]]+Eingabe[[#This Row],[S4]],Eingabe[[#This Row],[Volle]]+Eingabe[[#This Row],[Räumer]],"FEHLER")))</f>
        <v>454</v>
      </c>
      <c r="AG237" s="35">
        <f>IF(Eingabe[[#This Row],[V1]]="","",Eingabe[[#This Row],[V1]]+Eingabe[[#This Row],[R1]])</f>
        <v>101</v>
      </c>
      <c r="AH237" s="35">
        <f>IF(Eingabe[[#This Row],[V2]]="","",Eingabe[[#This Row],[V2]]+Eingabe[[#This Row],[R2]])</f>
        <v>133</v>
      </c>
      <c r="AI237" s="35">
        <f>IF(Eingabe[[#This Row],[V3]]="","",Eingabe[[#This Row],[V3]]+Eingabe[[#This Row],[R3]])</f>
        <v>90</v>
      </c>
      <c r="AJ237" s="35">
        <f>IF(Eingabe[[#This Row],[V4]]="","",Eingabe[[#This Row],[V4]]+Eingabe[[#This Row],[R4]])</f>
        <v>130</v>
      </c>
      <c r="AK237" s="35" t="str">
        <f>IF(Eingabe[[#This Row],[S1P]]="","",Eingabe[[#This Row],[S1P]]+Eingabe[[#This Row],[S2P]]+Eingabe[[#This Row],[S3P]]+Eingabe[[#This Row],[S4P]])</f>
        <v/>
      </c>
      <c r="AL237" s="35" t="str">
        <f>IF(Eingabe[[#This Row],[S1P]]="","",IF(Eingabe[[#This Row],[SP]]&gt;2,1,IF(Eingabe[[#This Row],[SP]]&lt;2,0,IF(Eingabe[[#This Row],[GES]]&gt;Eingabe[[#This Row],[GEGGES]],1,IF(Eingabe[[#This Row],[GES]]=Eingabe[[#This Row],[GEGGES]],0.5,0)))))</f>
        <v/>
      </c>
      <c r="AM237" s="35" t="str">
        <f>IF(Eingabe[[#This Row],[MP]]="","",MOD(ROW(Eingabe[[#This Row],[Position]])-3,6)+1)</f>
        <v/>
      </c>
      <c r="AN237" s="35">
        <f>STANDARDIZE(Eingabe[[#This Row],[GES]],Eingabe[[#This Row],[Schnitt]],VLOOKUP(Eingabe[[#This Row],[Name]],AuswertungG[],21,FALSE))</f>
        <v>-1.5161290322580645</v>
      </c>
      <c r="AO237" s="35">
        <f>VLOOKUP(Eingabe[[#This Row],[ID]],Chronologie[[ID]:[KW]],12,FALSE)</f>
        <v>20</v>
      </c>
      <c r="AP237" s="58" t="str">
        <f>IF(Eingabe[[#This Row],[Wo]]="H",Eingabe[[#This Row],[Gegner]]&amp;" ["&amp;Eingabe[[#This Row],[Wo]]&amp;"]",Eingabe[[#This Row],[Ort]])</f>
        <v>Bautzen</v>
      </c>
      <c r="AQ237" s="35" t="str">
        <f>IFERROR(IF(Eingabe[[#This Row],[Wo]]="H",IF(MOD(Eingabe[[#This Row],[Position]],2)=1,Eingabe[[#This Row],[S1]],Eingabe[[#This Row],[S4]]),""),"")</f>
        <v/>
      </c>
      <c r="AR237" s="35" t="str">
        <f>IFERROR(IF(Eingabe[[#This Row],[Wo]]="H",IF(Eingabe[[#This Row],[S1]]&gt;0,IF(MOD(Eingabe[[#This Row],[Position]],2)=1,Eingabe[[#This Row],[S2]],Eingabe[[#This Row],[S3]]),""),""),"")</f>
        <v/>
      </c>
      <c r="AS237" s="35" t="str">
        <f>IFERROR(IF(Eingabe[[#This Row],[Wo]]="H",IF(Eingabe[[#This Row],[S1]]&gt;0,IF(MOD(ROW(Eingabe[[#This Row],[Heimbahn 3]]),2)=1,Eingabe[[#This Row],[S4]],Eingabe[[#This Row],[S1]]),""),""),"")</f>
        <v/>
      </c>
      <c r="AT237" s="35" t="str">
        <f>IFERROR(IF(Eingabe[[#This Row],[Wo]]="H",IF(Eingabe[[#This Row],[S1]]&gt;0,IF(MOD(ROW(Eingabe[[#This Row],[Heimbahn 4]]),2)=1,Eingabe[[#This Row],[S3]],Eingabe[[#This Row],[S2]]),""),""),"")</f>
        <v/>
      </c>
      <c r="AU237" s="88">
        <f>IF(Eingabe[[#This Row],[GES]]="","",IF(Eingabe[[#This Row],[Modus]]="L",_xlfn.RANK.EQ(Eingabe[[#This Row],[GES]],AF237:AF242),IF(Eingabe[[#This Row],[Modus]]="P",_xlfn.RANK.EQ(Eingabe[[#This Row],[GES]],AF237:AF242),"")))</f>
        <v>3</v>
      </c>
      <c r="AV237" s="6">
        <f>VLOOKUP(Eingabe[[#This Row],[Name]],AuswertungG[],8,FALSE)</f>
        <v>501</v>
      </c>
      <c r="AZ237" s="6">
        <f>IFERROR(ABS(Eingabe[[#This Row],[GES]]-Eingabe[[#This Row],[GEGGES]]),"")</f>
        <v>454</v>
      </c>
    </row>
    <row r="238" spans="1:52" ht="16.2" hidden="1" thickBot="1" x14ac:dyDescent="0.35">
      <c r="A238" s="441"/>
      <c r="B238" s="21">
        <f t="shared" si="34"/>
        <v>40</v>
      </c>
      <c r="C238" s="6" t="str">
        <f>VLOOKUP($B238,Chronologie[],7,TRUE)</f>
        <v>MSV Bautzen 04</v>
      </c>
      <c r="D238" s="6" t="str">
        <f>VLOOKUP($B238,Chronologie[],8,TRUE)</f>
        <v>Bautzen</v>
      </c>
      <c r="E238" s="240" t="str">
        <f>VLOOKUP($B238,Chronologie[],9,TRUE)</f>
        <v>A</v>
      </c>
      <c r="F238" s="6" t="str">
        <f>VLOOKUP($B238,Chronologie[],COLUMN(F239)-2,TRUE)</f>
        <v>U19</v>
      </c>
      <c r="G238" s="6" t="str">
        <f>VLOOKUP($B238,Chronologie[],COLUMN(G239)-2,TRUE)</f>
        <v>L</v>
      </c>
      <c r="H238" s="6">
        <f>VLOOKUP($B238,Chronologie[],COLUMN(H239)-2,TRUE)</f>
        <v>8</v>
      </c>
      <c r="I238" s="10" t="str">
        <f>VLOOKUP($B238,Chronologie[],2,TRUE)</f>
        <v>U19-L-8</v>
      </c>
      <c r="J238" s="243">
        <f>VLOOKUP($B238,Chronologie[],3,TRUE)</f>
        <v>46032</v>
      </c>
      <c r="K238" s="237" t="s">
        <v>485</v>
      </c>
      <c r="L238" s="237">
        <v>87</v>
      </c>
      <c r="M238" s="237">
        <v>78</v>
      </c>
      <c r="N238" s="237">
        <v>72</v>
      </c>
      <c r="O238" s="237">
        <v>72</v>
      </c>
      <c r="P238" s="237">
        <v>40</v>
      </c>
      <c r="Q238" s="237">
        <v>24</v>
      </c>
      <c r="R238" s="237">
        <v>25</v>
      </c>
      <c r="S238" s="237">
        <v>30</v>
      </c>
      <c r="T238" s="237">
        <v>2</v>
      </c>
      <c r="U238" s="237">
        <v>4</v>
      </c>
      <c r="V238" s="237">
        <v>3</v>
      </c>
      <c r="W238" s="237">
        <v>5</v>
      </c>
      <c r="X238" s="38"/>
      <c r="Y238" s="38"/>
      <c r="Z238" s="38"/>
      <c r="AA238" s="38"/>
      <c r="AB238" s="91"/>
      <c r="AC238" s="94">
        <f>IF(Eingabe[[#This Row],[V1]]="",IF(Eingabe[[#This Row],[Volle alternativ]]="","",Eingabe[[#This Row],[Volle alternativ]]),SUM(Eingabe[[#This Row],[V1]:[V4]]))</f>
        <v>309</v>
      </c>
      <c r="AD238" s="6">
        <f>IF(Eingabe[[#This Row],[R1]]="",IF(Eingabe[[#This Row],[Räumer alternativ]]="","",Eingabe[[#This Row],[Räumer alternativ]]),SUM(Eingabe[[#This Row],[R1]:[R4]]))</f>
        <v>119</v>
      </c>
      <c r="AE238" s="6">
        <f>IF(Eingabe[[#This Row],[F1]]="",IF(Eingabe[[#This Row],[Fehler alternativ]]="","",Eingabe[[#This Row],[Fehler alternativ]]),SUM(Eingabe[[#This Row],[F1]:[F4]]))</f>
        <v>14</v>
      </c>
      <c r="AF238" s="6">
        <f>IF(Eingabe[[#This Row],[Volle]]="","",IF(Eingabe[[#This Row],[S1]]="",Eingabe[[#This Row],[Volle]]+Eingabe[[#This Row],[Räumer]],IF(Eingabe[[#This Row],[Volle]]+Eingabe[[#This Row],[Räumer]]=Eingabe[[#This Row],[S1]]+Eingabe[[#This Row],[S2]]+Eingabe[[#This Row],[S3]]+Eingabe[[#This Row],[S4]],Eingabe[[#This Row],[Volle]]+Eingabe[[#This Row],[Räumer]],"FEHLER")))</f>
        <v>428</v>
      </c>
      <c r="AG238" s="6">
        <f>IF(Eingabe[[#This Row],[V1]]="","",Eingabe[[#This Row],[V1]]+Eingabe[[#This Row],[R1]])</f>
        <v>127</v>
      </c>
      <c r="AH238" s="6">
        <f>IF(Eingabe[[#This Row],[V2]]="","",Eingabe[[#This Row],[V2]]+Eingabe[[#This Row],[R2]])</f>
        <v>102</v>
      </c>
      <c r="AI238" s="6">
        <f>IF(Eingabe[[#This Row],[V3]]="","",Eingabe[[#This Row],[V3]]+Eingabe[[#This Row],[R3]])</f>
        <v>97</v>
      </c>
      <c r="AJ238" s="6">
        <f>IF(Eingabe[[#This Row],[V4]]="","",Eingabe[[#This Row],[V4]]+Eingabe[[#This Row],[R4]])</f>
        <v>102</v>
      </c>
      <c r="AK238" s="6" t="str">
        <f>IF(Eingabe[[#This Row],[S1P]]="","",Eingabe[[#This Row],[S1P]]+Eingabe[[#This Row],[S2P]]+Eingabe[[#This Row],[S3P]]+Eingabe[[#This Row],[S4P]])</f>
        <v/>
      </c>
      <c r="AL238" s="6" t="str">
        <f>IF(Eingabe[[#This Row],[S1P]]="","",IF(Eingabe[[#This Row],[SP]]&gt;2,1,IF(Eingabe[[#This Row],[SP]]&lt;2,0,IF(Eingabe[[#This Row],[GES]]&gt;Eingabe[[#This Row],[GEGGES]],1,IF(Eingabe[[#This Row],[GES]]=Eingabe[[#This Row],[GEGGES]],0.5,0)))))</f>
        <v/>
      </c>
      <c r="AM238" s="6" t="str">
        <f>IF(Eingabe[[#This Row],[MP]]="","",MOD(ROW(Eingabe[[#This Row],[Position]])-3,6)+1)</f>
        <v/>
      </c>
      <c r="AN238" s="6">
        <f>STANDARDIZE(Eingabe[[#This Row],[GES]],Eingabe[[#This Row],[Schnitt]],VLOOKUP(Eingabe[[#This Row],[Name]],AuswertungG[],21,FALSE))</f>
        <v>-1.1379310344827587</v>
      </c>
      <c r="AO238" s="6">
        <f>VLOOKUP(Eingabe[[#This Row],[ID]],Chronologie[[ID]:[KW]],12,FALSE)</f>
        <v>20</v>
      </c>
      <c r="AP238" s="95" t="str">
        <f>IF(Eingabe[[#This Row],[Wo]]="H",Eingabe[[#This Row],[Gegner]]&amp;" ["&amp;Eingabe[[#This Row],[Wo]]&amp;"]",Eingabe[[#This Row],[Ort]])</f>
        <v>Bautzen</v>
      </c>
      <c r="AQ238" s="6" t="str">
        <f>IFERROR(IF(Eingabe[[#This Row],[Wo]]="H",IF(MOD(Eingabe[[#This Row],[Position]],2)=1,Eingabe[[#This Row],[S1]],Eingabe[[#This Row],[S4]]),""),"")</f>
        <v/>
      </c>
      <c r="AR238" s="6" t="str">
        <f>IFERROR(IF(Eingabe[[#This Row],[Wo]]="H",IF(Eingabe[[#This Row],[S1]]&gt;0,IF(MOD(Eingabe[[#This Row],[Position]],2)=1,Eingabe[[#This Row],[S2]],Eingabe[[#This Row],[S3]]),""),""),"")</f>
        <v/>
      </c>
      <c r="AS238" s="6" t="str">
        <f>IFERROR(IF(Eingabe[[#This Row],[Wo]]="H",IF(Eingabe[[#This Row],[S1]]&gt;0,IF(MOD(ROW(Eingabe[[#This Row],[Heimbahn 3]]),2)=1,Eingabe[[#This Row],[S4]],Eingabe[[#This Row],[S1]]),""),""),"")</f>
        <v/>
      </c>
      <c r="AT238" s="6" t="str">
        <f>IFERROR(IF(Eingabe[[#This Row],[Wo]]="H",IF(Eingabe[[#This Row],[S1]]&gt;0,IF(MOD(ROW(Eingabe[[#This Row],[Heimbahn 4]]),2)=1,Eingabe[[#This Row],[S3]],Eingabe[[#This Row],[S2]]),""),""),"")</f>
        <v/>
      </c>
      <c r="AU238" s="22">
        <f>IF(Eingabe[[#This Row],[GES]]="","",IF(Eingabe[[#This Row],[Modus]]="L",_xlfn.RANK.EQ(Eingabe[[#This Row],[GES]],AF237:AF242),IF(Eingabe[[#This Row],[Modus]]="P",_xlfn.RANK.EQ(Eingabe[[#This Row],[GES]],AF237:AF242),"")))</f>
        <v>4</v>
      </c>
      <c r="AV238" s="6">
        <f>VLOOKUP(Eingabe[[#This Row],[Name]],AuswertungG[],8,FALSE)</f>
        <v>461</v>
      </c>
      <c r="AZ238" s="6">
        <f>IFERROR(ABS(Eingabe[[#This Row],[GES]]-Eingabe[[#This Row],[GEGGES]]),"")</f>
        <v>428</v>
      </c>
    </row>
    <row r="239" spans="1:52" ht="16.2" hidden="1" thickBot="1" x14ac:dyDescent="0.35">
      <c r="A239" s="441"/>
      <c r="B239" s="21">
        <f t="shared" si="34"/>
        <v>40</v>
      </c>
      <c r="C239" s="6" t="str">
        <f>VLOOKUP($B239,Chronologie[],7,TRUE)</f>
        <v>MSV Bautzen 04</v>
      </c>
      <c r="D239" s="6" t="str">
        <f>VLOOKUP($B239,Chronologie[],8,TRUE)</f>
        <v>Bautzen</v>
      </c>
      <c r="E239" s="240" t="str">
        <f>VLOOKUP($B239,Chronologie[],9,TRUE)</f>
        <v>A</v>
      </c>
      <c r="F239" s="6" t="str">
        <f>VLOOKUP($B239,Chronologie[],COLUMN(F240)-2,TRUE)</f>
        <v>U19</v>
      </c>
      <c r="G239" s="6" t="str">
        <f>VLOOKUP($B239,Chronologie[],COLUMN(G240)-2,TRUE)</f>
        <v>L</v>
      </c>
      <c r="H239" s="6">
        <f>VLOOKUP($B239,Chronologie[],COLUMN(H240)-2,TRUE)</f>
        <v>8</v>
      </c>
      <c r="I239" s="10" t="str">
        <f>VLOOKUP($B239,Chronologie[],2,TRUE)</f>
        <v>U19-L-8</v>
      </c>
      <c r="J239" s="243">
        <f>VLOOKUP($B239,Chronologie[],3,TRUE)</f>
        <v>46032</v>
      </c>
      <c r="K239" s="237" t="s">
        <v>477</v>
      </c>
      <c r="L239" s="237">
        <v>90</v>
      </c>
      <c r="M239" s="237">
        <v>94</v>
      </c>
      <c r="N239" s="237">
        <v>78</v>
      </c>
      <c r="O239" s="237">
        <v>100</v>
      </c>
      <c r="P239" s="237">
        <v>51</v>
      </c>
      <c r="Q239" s="237">
        <v>32</v>
      </c>
      <c r="R239" s="237">
        <v>43</v>
      </c>
      <c r="S239" s="237">
        <v>52</v>
      </c>
      <c r="T239" s="237">
        <v>2</v>
      </c>
      <c r="U239" s="237">
        <v>3</v>
      </c>
      <c r="V239" s="237">
        <v>2</v>
      </c>
      <c r="W239" s="237">
        <v>1</v>
      </c>
      <c r="X239" s="38"/>
      <c r="Y239" s="38"/>
      <c r="Z239" s="38"/>
      <c r="AA239" s="38"/>
      <c r="AB239" s="91"/>
      <c r="AC239" s="94">
        <f>IF(Eingabe[[#This Row],[V1]]="",IF(Eingabe[[#This Row],[Volle alternativ]]="","",Eingabe[[#This Row],[Volle alternativ]]),SUM(Eingabe[[#This Row],[V1]:[V4]]))</f>
        <v>362</v>
      </c>
      <c r="AD239" s="6">
        <f>IF(Eingabe[[#This Row],[R1]]="",IF(Eingabe[[#This Row],[Räumer alternativ]]="","",Eingabe[[#This Row],[Räumer alternativ]]),SUM(Eingabe[[#This Row],[R1]:[R4]]))</f>
        <v>178</v>
      </c>
      <c r="AE239" s="6">
        <f>IF(Eingabe[[#This Row],[F1]]="",IF(Eingabe[[#This Row],[Fehler alternativ]]="","",Eingabe[[#This Row],[Fehler alternativ]]),SUM(Eingabe[[#This Row],[F1]:[F4]]))</f>
        <v>8</v>
      </c>
      <c r="AF239" s="6">
        <f>IF(Eingabe[[#This Row],[Volle]]="","",IF(Eingabe[[#This Row],[S1]]="",Eingabe[[#This Row],[Volle]]+Eingabe[[#This Row],[Räumer]],IF(Eingabe[[#This Row],[Volle]]+Eingabe[[#This Row],[Räumer]]=Eingabe[[#This Row],[S1]]+Eingabe[[#This Row],[S2]]+Eingabe[[#This Row],[S3]]+Eingabe[[#This Row],[S4]],Eingabe[[#This Row],[Volle]]+Eingabe[[#This Row],[Räumer]],"FEHLER")))</f>
        <v>540</v>
      </c>
      <c r="AG239" s="6">
        <f>IF(Eingabe[[#This Row],[V1]]="","",Eingabe[[#This Row],[V1]]+Eingabe[[#This Row],[R1]])</f>
        <v>141</v>
      </c>
      <c r="AH239" s="6">
        <f>IF(Eingabe[[#This Row],[V2]]="","",Eingabe[[#This Row],[V2]]+Eingabe[[#This Row],[R2]])</f>
        <v>126</v>
      </c>
      <c r="AI239" s="6">
        <f>IF(Eingabe[[#This Row],[V3]]="","",Eingabe[[#This Row],[V3]]+Eingabe[[#This Row],[R3]])</f>
        <v>121</v>
      </c>
      <c r="AJ239" s="6">
        <f>IF(Eingabe[[#This Row],[V4]]="","",Eingabe[[#This Row],[V4]]+Eingabe[[#This Row],[R4]])</f>
        <v>152</v>
      </c>
      <c r="AK239" s="6" t="str">
        <f>IF(Eingabe[[#This Row],[S1P]]="","",Eingabe[[#This Row],[S1P]]+Eingabe[[#This Row],[S2P]]+Eingabe[[#This Row],[S3P]]+Eingabe[[#This Row],[S4P]])</f>
        <v/>
      </c>
      <c r="AL239" s="6" t="str">
        <f>IF(Eingabe[[#This Row],[S1P]]="","",IF(Eingabe[[#This Row],[SP]]&gt;2,1,IF(Eingabe[[#This Row],[SP]]&lt;2,0,IF(Eingabe[[#This Row],[GES]]&gt;Eingabe[[#This Row],[GEGGES]],1,IF(Eingabe[[#This Row],[GES]]=Eingabe[[#This Row],[GEGGES]],0.5,0)))))</f>
        <v/>
      </c>
      <c r="AM239" s="6" t="str">
        <f>IF(Eingabe[[#This Row],[MP]]="","",MOD(ROW(Eingabe[[#This Row],[Position]])-3,6)+1)</f>
        <v/>
      </c>
      <c r="AN239" s="6">
        <f>STANDARDIZE(Eingabe[[#This Row],[GES]],Eingabe[[#This Row],[Schnitt]],VLOOKUP(Eingabe[[#This Row],[Name]],AuswertungG[],21,FALSE))</f>
        <v>0.32</v>
      </c>
      <c r="AO239" s="6">
        <f>VLOOKUP(Eingabe[[#This Row],[ID]],Chronologie[[ID]:[KW]],12,FALSE)</f>
        <v>20</v>
      </c>
      <c r="AP239" s="95" t="str">
        <f>IF(Eingabe[[#This Row],[Wo]]="H",Eingabe[[#This Row],[Gegner]]&amp;" ["&amp;Eingabe[[#This Row],[Wo]]&amp;"]",Eingabe[[#This Row],[Ort]])</f>
        <v>Bautzen</v>
      </c>
      <c r="AQ239" s="6" t="str">
        <f>IFERROR(IF(Eingabe[[#This Row],[Wo]]="H",IF(MOD(Eingabe[[#This Row],[Position]],2)=1,Eingabe[[#This Row],[S1]],Eingabe[[#This Row],[S4]]),""),"")</f>
        <v/>
      </c>
      <c r="AR239" s="6" t="str">
        <f>IFERROR(IF(Eingabe[[#This Row],[Wo]]="H",IF(Eingabe[[#This Row],[S1]]&gt;0,IF(MOD(Eingabe[[#This Row],[Position]],2)=1,Eingabe[[#This Row],[S2]],Eingabe[[#This Row],[S3]]),""),""),"")</f>
        <v/>
      </c>
      <c r="AS239" s="6" t="str">
        <f>IFERROR(IF(Eingabe[[#This Row],[Wo]]="H",IF(Eingabe[[#This Row],[S1]]&gt;0,IF(MOD(ROW(Eingabe[[#This Row],[Heimbahn 3]]),2)=1,Eingabe[[#This Row],[S4]],Eingabe[[#This Row],[S1]]),""),""),"")</f>
        <v/>
      </c>
      <c r="AT239" s="6" t="str">
        <f>IFERROR(IF(Eingabe[[#This Row],[Wo]]="H",IF(Eingabe[[#This Row],[S1]]&gt;0,IF(MOD(ROW(Eingabe[[#This Row],[Heimbahn 4]]),2)=1,Eingabe[[#This Row],[S3]],Eingabe[[#This Row],[S2]]),""),""),"")</f>
        <v/>
      </c>
      <c r="AU239" s="22">
        <f>IF(Eingabe[[#This Row],[GES]]="","",IF(Eingabe[[#This Row],[Modus]]="L",_xlfn.RANK.EQ(Eingabe[[#This Row],[GES]],AF237:AF242),IF(Eingabe[[#This Row],[Modus]]="P",_xlfn.RANK.EQ(Eingabe[[#This Row],[GES]],AF237:AF242),"")))</f>
        <v>1</v>
      </c>
      <c r="AV239" s="6">
        <f>VLOOKUP(Eingabe[[#This Row],[Name]],AuswertungG[],8,FALSE)</f>
        <v>532</v>
      </c>
      <c r="AZ239" s="6">
        <f>IFERROR(ABS(Eingabe[[#This Row],[GES]]-Eingabe[[#This Row],[GEGGES]]),"")</f>
        <v>540</v>
      </c>
    </row>
    <row r="240" spans="1:52" ht="16.2" hidden="1" thickBot="1" x14ac:dyDescent="0.35">
      <c r="A240" s="441"/>
      <c r="B240" s="21">
        <f t="shared" si="34"/>
        <v>40</v>
      </c>
      <c r="C240" s="6" t="str">
        <f>VLOOKUP($B240,Chronologie[],7,TRUE)</f>
        <v>MSV Bautzen 04</v>
      </c>
      <c r="D240" s="6" t="str">
        <f>VLOOKUP($B240,Chronologie[],8,TRUE)</f>
        <v>Bautzen</v>
      </c>
      <c r="E240" s="240" t="str">
        <f>VLOOKUP($B240,Chronologie[],9,TRUE)</f>
        <v>A</v>
      </c>
      <c r="F240" s="6" t="str">
        <f>VLOOKUP($B240,Chronologie[],COLUMN(F241)-2,TRUE)</f>
        <v>U19</v>
      </c>
      <c r="G240" s="6" t="str">
        <f>VLOOKUP($B240,Chronologie[],COLUMN(G241)-2,TRUE)</f>
        <v>L</v>
      </c>
      <c r="H240" s="6">
        <f>VLOOKUP($B240,Chronologie[],COLUMN(H241)-2,TRUE)</f>
        <v>8</v>
      </c>
      <c r="I240" s="10" t="str">
        <f>VLOOKUP($B240,Chronologie[],2,TRUE)</f>
        <v>U19-L-8</v>
      </c>
      <c r="J240" s="243">
        <f>VLOOKUP($B240,Chronologie[],3,TRUE)</f>
        <v>46032</v>
      </c>
      <c r="K240" s="238" t="s">
        <v>458</v>
      </c>
      <c r="L240" s="237">
        <v>101</v>
      </c>
      <c r="M240" s="237">
        <v>84</v>
      </c>
      <c r="N240" s="237">
        <v>86</v>
      </c>
      <c r="O240" s="237">
        <v>88</v>
      </c>
      <c r="P240" s="237">
        <v>26</v>
      </c>
      <c r="Q240" s="237">
        <v>41</v>
      </c>
      <c r="R240" s="237">
        <v>35</v>
      </c>
      <c r="S240" s="237">
        <v>49</v>
      </c>
      <c r="T240" s="237">
        <v>3</v>
      </c>
      <c r="U240" s="237">
        <v>2</v>
      </c>
      <c r="V240" s="237">
        <v>3</v>
      </c>
      <c r="W240" s="237">
        <v>1</v>
      </c>
      <c r="X240" s="38"/>
      <c r="Y240" s="38"/>
      <c r="Z240" s="38"/>
      <c r="AA240" s="38"/>
      <c r="AB240" s="91"/>
      <c r="AC240" s="94">
        <f>IF(Eingabe[[#This Row],[V1]]="",IF(Eingabe[[#This Row],[Volle alternativ]]="","",Eingabe[[#This Row],[Volle alternativ]]),SUM(Eingabe[[#This Row],[V1]:[V4]]))</f>
        <v>359</v>
      </c>
      <c r="AD240" s="6">
        <f>IF(Eingabe[[#This Row],[R1]]="",IF(Eingabe[[#This Row],[Räumer alternativ]]="","",Eingabe[[#This Row],[Räumer alternativ]]),SUM(Eingabe[[#This Row],[R1]:[R4]]))</f>
        <v>151</v>
      </c>
      <c r="AE240" s="6">
        <f>IF(Eingabe[[#This Row],[F1]]="",IF(Eingabe[[#This Row],[Fehler alternativ]]="","",Eingabe[[#This Row],[Fehler alternativ]]),SUM(Eingabe[[#This Row],[F1]:[F4]]))</f>
        <v>9</v>
      </c>
      <c r="AF240" s="6">
        <f>IF(Eingabe[[#This Row],[Volle]]="","",IF(Eingabe[[#This Row],[S1]]="",Eingabe[[#This Row],[Volle]]+Eingabe[[#This Row],[Räumer]],IF(Eingabe[[#This Row],[Volle]]+Eingabe[[#This Row],[Räumer]]=Eingabe[[#This Row],[S1]]+Eingabe[[#This Row],[S2]]+Eingabe[[#This Row],[S3]]+Eingabe[[#This Row],[S4]],Eingabe[[#This Row],[Volle]]+Eingabe[[#This Row],[Räumer]],"FEHLER")))</f>
        <v>510</v>
      </c>
      <c r="AG240" s="6">
        <f>IF(Eingabe[[#This Row],[V1]]="","",Eingabe[[#This Row],[V1]]+Eingabe[[#This Row],[R1]])</f>
        <v>127</v>
      </c>
      <c r="AH240" s="6">
        <f>IF(Eingabe[[#This Row],[V2]]="","",Eingabe[[#This Row],[V2]]+Eingabe[[#This Row],[R2]])</f>
        <v>125</v>
      </c>
      <c r="AI240" s="6">
        <f>IF(Eingabe[[#This Row],[V3]]="","",Eingabe[[#This Row],[V3]]+Eingabe[[#This Row],[R3]])</f>
        <v>121</v>
      </c>
      <c r="AJ240" s="6">
        <f>IF(Eingabe[[#This Row],[V4]]="","",Eingabe[[#This Row],[V4]]+Eingabe[[#This Row],[R4]])</f>
        <v>137</v>
      </c>
      <c r="AK240" s="6" t="str">
        <f>IF(Eingabe[[#This Row],[S1P]]="","",Eingabe[[#This Row],[S1P]]+Eingabe[[#This Row],[S2P]]+Eingabe[[#This Row],[S3P]]+Eingabe[[#This Row],[S4P]])</f>
        <v/>
      </c>
      <c r="AL240" s="6" t="str">
        <f>IF(Eingabe[[#This Row],[S1P]]="","",IF(Eingabe[[#This Row],[SP]]&gt;2,1,IF(Eingabe[[#This Row],[SP]]&lt;2,0,IF(Eingabe[[#This Row],[GES]]&gt;Eingabe[[#This Row],[GEGGES]],1,IF(Eingabe[[#This Row],[GES]]=Eingabe[[#This Row],[GEGGES]],0.5,0)))))</f>
        <v/>
      </c>
      <c r="AM240" s="6" t="str">
        <f>IF(Eingabe[[#This Row],[MP]]="","",MOD(ROW(Eingabe[[#This Row],[Position]])-3,6)+1)</f>
        <v/>
      </c>
      <c r="AN240" s="6">
        <f>STANDARDIZE(Eingabe[[#This Row],[GES]],Eingabe[[#This Row],[Schnitt]],VLOOKUP(Eingabe[[#This Row],[Name]],AuswertungG[],21,FALSE))</f>
        <v>0.1</v>
      </c>
      <c r="AO240" s="6">
        <f>VLOOKUP(Eingabe[[#This Row],[ID]],Chronologie[[ID]:[KW]],12,FALSE)</f>
        <v>20</v>
      </c>
      <c r="AP240" s="95" t="str">
        <f>IF(Eingabe[[#This Row],[Wo]]="H",Eingabe[[#This Row],[Gegner]]&amp;" ["&amp;Eingabe[[#This Row],[Wo]]&amp;"]",Eingabe[[#This Row],[Ort]])</f>
        <v>Bautzen</v>
      </c>
      <c r="AQ240" s="6" t="str">
        <f>IFERROR(IF(Eingabe[[#This Row],[Wo]]="H",IF(MOD(Eingabe[[#This Row],[Position]],2)=1,Eingabe[[#This Row],[S1]],Eingabe[[#This Row],[S4]]),""),"")</f>
        <v/>
      </c>
      <c r="AR240" s="6" t="str">
        <f>IFERROR(IF(Eingabe[[#This Row],[Wo]]="H",IF(Eingabe[[#This Row],[S1]]&gt;0,IF(MOD(Eingabe[[#This Row],[Position]],2)=1,Eingabe[[#This Row],[S2]],Eingabe[[#This Row],[S3]]),""),""),"")</f>
        <v/>
      </c>
      <c r="AS240" s="6" t="str">
        <f>IFERROR(IF(Eingabe[[#This Row],[Wo]]="H",IF(Eingabe[[#This Row],[S1]]&gt;0,IF(MOD(ROW(Eingabe[[#This Row],[Heimbahn 3]]),2)=1,Eingabe[[#This Row],[S4]],Eingabe[[#This Row],[S1]]),""),""),"")</f>
        <v/>
      </c>
      <c r="AT240" s="6" t="str">
        <f>IFERROR(IF(Eingabe[[#This Row],[Wo]]="H",IF(Eingabe[[#This Row],[S1]]&gt;0,IF(MOD(ROW(Eingabe[[#This Row],[Heimbahn 4]]),2)=1,Eingabe[[#This Row],[S3]],Eingabe[[#This Row],[S2]]),""),""),"")</f>
        <v/>
      </c>
      <c r="AU240" s="22">
        <f>IF(Eingabe[[#This Row],[GES]]="","",IF(Eingabe[[#This Row],[Modus]]="L",_xlfn.RANK.EQ(Eingabe[[#This Row],[GES]],AF237:AF242),IF(Eingabe[[#This Row],[Modus]]="P",_xlfn.RANK.EQ(Eingabe[[#This Row],[GES]],AF237:AF242),"")))</f>
        <v>2</v>
      </c>
      <c r="AV240" s="6">
        <f>VLOOKUP(Eingabe[[#This Row],[Name]],AuswertungG[],8,FALSE)</f>
        <v>508</v>
      </c>
      <c r="AZ240" s="6">
        <f>IFERROR(ABS(Eingabe[[#This Row],[GES]]-Eingabe[[#This Row],[GEGGES]]),"")</f>
        <v>510</v>
      </c>
    </row>
    <row r="241" spans="1:52" ht="16.2" hidden="1" thickBot="1" x14ac:dyDescent="0.35">
      <c r="A241" s="441"/>
      <c r="B241" s="21">
        <f t="shared" si="34"/>
        <v>40</v>
      </c>
      <c r="C241" s="6" t="str">
        <f>VLOOKUP($B241,Chronologie[],7,TRUE)</f>
        <v>MSV Bautzen 04</v>
      </c>
      <c r="D241" s="6" t="str">
        <f>VLOOKUP($B241,Chronologie[],8,TRUE)</f>
        <v>Bautzen</v>
      </c>
      <c r="E241" s="240" t="str">
        <f>VLOOKUP($B241,Chronologie[],9,TRUE)</f>
        <v>A</v>
      </c>
      <c r="F241" s="6" t="str">
        <f>VLOOKUP($B241,Chronologie[],COLUMN(F242)-2,TRUE)</f>
        <v>U19</v>
      </c>
      <c r="G241" s="6" t="str">
        <f>VLOOKUP($B241,Chronologie[],COLUMN(G242)-2,TRUE)</f>
        <v>L</v>
      </c>
      <c r="H241" s="6">
        <f>VLOOKUP($B241,Chronologie[],COLUMN(H242)-2,TRUE)</f>
        <v>8</v>
      </c>
      <c r="I241" s="10" t="str">
        <f>VLOOKUP($B241,Chronologie[],2,TRUE)</f>
        <v>U19-L-8</v>
      </c>
      <c r="J241" s="243">
        <f>VLOOKUP($B241,Chronologie[],3,TRUE)</f>
        <v>46032</v>
      </c>
      <c r="K241" s="237"/>
      <c r="L241" s="237"/>
      <c r="M241" s="237"/>
      <c r="N241" s="237"/>
      <c r="O241" s="237"/>
      <c r="P241" s="237"/>
      <c r="Q241" s="237"/>
      <c r="R241" s="237"/>
      <c r="S241" s="237"/>
      <c r="T241" s="237"/>
      <c r="U241" s="237"/>
      <c r="V241" s="237"/>
      <c r="W241" s="237"/>
      <c r="X241" s="38"/>
      <c r="Y241" s="38"/>
      <c r="Z241" s="38"/>
      <c r="AA241" s="38"/>
      <c r="AB241" s="91"/>
      <c r="AC241" s="94" t="str">
        <f>IF(Eingabe[[#This Row],[V1]]="",IF(Eingabe[[#This Row],[Volle alternativ]]="","",Eingabe[[#This Row],[Volle alternativ]]),SUM(Eingabe[[#This Row],[V1]:[V4]]))</f>
        <v/>
      </c>
      <c r="AD241" s="6" t="str">
        <f>IF(Eingabe[[#This Row],[R1]]="",IF(Eingabe[[#This Row],[Räumer alternativ]]="","",Eingabe[[#This Row],[Räumer alternativ]]),SUM(Eingabe[[#This Row],[R1]:[R4]]))</f>
        <v/>
      </c>
      <c r="AE241" s="6" t="str">
        <f>IF(Eingabe[[#This Row],[F1]]="",IF(Eingabe[[#This Row],[Fehler alternativ]]="","",Eingabe[[#This Row],[Fehler alternativ]]),SUM(Eingabe[[#This Row],[F1]:[F4]]))</f>
        <v/>
      </c>
      <c r="AF241" s="6" t="str">
        <f>IF(Eingabe[[#This Row],[Volle]]="","",IF(Eingabe[[#This Row],[S1]]="",Eingabe[[#This Row],[Volle]]+Eingabe[[#This Row],[Räumer]],IF(Eingabe[[#This Row],[Volle]]+Eingabe[[#This Row],[Räumer]]=Eingabe[[#This Row],[S1]]+Eingabe[[#This Row],[S2]]+Eingabe[[#This Row],[S3]]+Eingabe[[#This Row],[S4]],Eingabe[[#This Row],[Volle]]+Eingabe[[#This Row],[Räumer]],"FEHLER")))</f>
        <v/>
      </c>
      <c r="AG241" s="6" t="str">
        <f>IF(Eingabe[[#This Row],[V1]]="","",Eingabe[[#This Row],[V1]]+Eingabe[[#This Row],[R1]])</f>
        <v/>
      </c>
      <c r="AH241" s="6" t="str">
        <f>IF(Eingabe[[#This Row],[V2]]="","",Eingabe[[#This Row],[V2]]+Eingabe[[#This Row],[R2]])</f>
        <v/>
      </c>
      <c r="AI241" s="6" t="str">
        <f>IF(Eingabe[[#This Row],[V3]]="","",Eingabe[[#This Row],[V3]]+Eingabe[[#This Row],[R3]])</f>
        <v/>
      </c>
      <c r="AJ241" s="6" t="str">
        <f>IF(Eingabe[[#This Row],[V4]]="","",Eingabe[[#This Row],[V4]]+Eingabe[[#This Row],[R4]])</f>
        <v/>
      </c>
      <c r="AK241" s="6" t="str">
        <f>IF(Eingabe[[#This Row],[S1P]]="","",Eingabe[[#This Row],[S1P]]+Eingabe[[#This Row],[S2P]]+Eingabe[[#This Row],[S3P]]+Eingabe[[#This Row],[S4P]])</f>
        <v/>
      </c>
      <c r="AL241" s="6" t="str">
        <f>IF(Eingabe[[#This Row],[S1P]]="","",IF(Eingabe[[#This Row],[SP]]&gt;2,1,IF(Eingabe[[#This Row],[SP]]&lt;2,0,IF(Eingabe[[#This Row],[GES]]&gt;Eingabe[[#This Row],[GEGGES]],1,IF(Eingabe[[#This Row],[GES]]=Eingabe[[#This Row],[GEGGES]],0.5,0)))))</f>
        <v/>
      </c>
      <c r="AM241" s="6" t="str">
        <f>IF(Eingabe[[#This Row],[MP]]="","",MOD(ROW(Eingabe[[#This Row],[Position]])-3,6)+1)</f>
        <v/>
      </c>
      <c r="AN241" s="6" t="e">
        <f>STANDARDIZE(Eingabe[[#This Row],[GES]],Eingabe[[#This Row],[Schnitt]],VLOOKUP(Eingabe[[#This Row],[Name]],AuswertungG[],21,FALSE))</f>
        <v>#VALUE!</v>
      </c>
      <c r="AO241" s="6">
        <f>VLOOKUP(Eingabe[[#This Row],[ID]],Chronologie[[ID]:[KW]],12,FALSE)</f>
        <v>20</v>
      </c>
      <c r="AP241" s="95" t="str">
        <f>IF(Eingabe[[#This Row],[Wo]]="H",Eingabe[[#This Row],[Gegner]]&amp;" ["&amp;Eingabe[[#This Row],[Wo]]&amp;"]",Eingabe[[#This Row],[Ort]])</f>
        <v>Bautzen</v>
      </c>
      <c r="AQ241" s="6" t="str">
        <f>IFERROR(IF(Eingabe[[#This Row],[Wo]]="H",IF(MOD(Eingabe[[#This Row],[Position]],2)=1,Eingabe[[#This Row],[S1]],Eingabe[[#This Row],[S4]]),""),"")</f>
        <v/>
      </c>
      <c r="AR241" s="6" t="str">
        <f>IFERROR(IF(Eingabe[[#This Row],[Wo]]="H",IF(Eingabe[[#This Row],[S1]]&gt;0,IF(MOD(Eingabe[[#This Row],[Position]],2)=1,Eingabe[[#This Row],[S2]],Eingabe[[#This Row],[S3]]),""),""),"")</f>
        <v/>
      </c>
      <c r="AS241" s="6" t="str">
        <f>IFERROR(IF(Eingabe[[#This Row],[Wo]]="H",IF(Eingabe[[#This Row],[S1]]&gt;0,IF(MOD(ROW(Eingabe[[#This Row],[Heimbahn 3]]),2)=1,Eingabe[[#This Row],[S4]],Eingabe[[#This Row],[S1]]),""),""),"")</f>
        <v/>
      </c>
      <c r="AT241" s="6" t="str">
        <f>IFERROR(IF(Eingabe[[#This Row],[Wo]]="H",IF(Eingabe[[#This Row],[S1]]&gt;0,IF(MOD(ROW(Eingabe[[#This Row],[Heimbahn 4]]),2)=1,Eingabe[[#This Row],[S3]],Eingabe[[#This Row],[S2]]),""),""),"")</f>
        <v/>
      </c>
      <c r="AU241" s="22" t="str">
        <f>IF(Eingabe[[#This Row],[GES]]="","",IF(Eingabe[[#This Row],[Modus]]="L",_xlfn.RANK.EQ(Eingabe[[#This Row],[GES]],AF237:AF242),IF(Eingabe[[#This Row],[Modus]]="P",_xlfn.RANK.EQ(Eingabe[[#This Row],[GES]],AF237:AF242),"")))</f>
        <v/>
      </c>
      <c r="AV241" s="6" t="e">
        <f>VLOOKUP(Eingabe[[#This Row],[Name]],AuswertungG[],8,FALSE)</f>
        <v>#N/A</v>
      </c>
      <c r="AZ241" s="6" t="str">
        <f>IFERROR(ABS(Eingabe[[#This Row],[GES]]-Eingabe[[#This Row],[GEGGES]]),"")</f>
        <v/>
      </c>
    </row>
    <row r="242" spans="1:52" ht="16.2" hidden="1" thickBot="1" x14ac:dyDescent="0.35">
      <c r="A242" s="442"/>
      <c r="B242" s="56">
        <f t="shared" si="34"/>
        <v>40</v>
      </c>
      <c r="C242" s="23" t="str">
        <f>VLOOKUP($B242,Chronologie[],7,TRUE)</f>
        <v>MSV Bautzen 04</v>
      </c>
      <c r="D242" s="23" t="str">
        <f>VLOOKUP($B242,Chronologie[],8,TRUE)</f>
        <v>Bautzen</v>
      </c>
      <c r="E242" s="39" t="str">
        <f>VLOOKUP($B242,Chronologie[],9,TRUE)</f>
        <v>A</v>
      </c>
      <c r="F242" s="23" t="str">
        <f>VLOOKUP($B242,Chronologie[],COLUMN(F243)-2,TRUE)</f>
        <v>U19</v>
      </c>
      <c r="G242" s="23" t="str">
        <f>VLOOKUP($B242,Chronologie[],COLUMN(G243)-2,TRUE)</f>
        <v>L</v>
      </c>
      <c r="H242" s="23">
        <f>VLOOKUP($B242,Chronologie[],COLUMN(H243)-2,TRUE)</f>
        <v>8</v>
      </c>
      <c r="I242" s="13" t="str">
        <f>VLOOKUP($B242,Chronologie[],2,TRUE)</f>
        <v>U19-L-8</v>
      </c>
      <c r="J242" s="244">
        <f>VLOOKUP($B242,Chronologie[],3,TRUE)</f>
        <v>46032</v>
      </c>
      <c r="K242" s="239"/>
      <c r="L242" s="239"/>
      <c r="M242" s="239"/>
      <c r="N242" s="239"/>
      <c r="O242" s="239"/>
      <c r="P242" s="239"/>
      <c r="Q242" s="239"/>
      <c r="R242" s="239"/>
      <c r="S242" s="239"/>
      <c r="T242" s="239"/>
      <c r="U242" s="239"/>
      <c r="V242" s="239"/>
      <c r="W242" s="239"/>
      <c r="X242" s="40"/>
      <c r="Y242" s="40"/>
      <c r="Z242" s="40"/>
      <c r="AA242" s="40"/>
      <c r="AB242" s="92"/>
      <c r="AC242" s="96" t="str">
        <f>IF(Eingabe[[#This Row],[V1]]="",IF(Eingabe[[#This Row],[Volle alternativ]]="","",Eingabe[[#This Row],[Volle alternativ]]),SUM(Eingabe[[#This Row],[V1]:[V4]]))</f>
        <v/>
      </c>
      <c r="AD242" s="23" t="str">
        <f>IF(Eingabe[[#This Row],[R1]]="",IF(Eingabe[[#This Row],[Räumer alternativ]]="","",Eingabe[[#This Row],[Räumer alternativ]]),SUM(Eingabe[[#This Row],[R1]:[R4]]))</f>
        <v/>
      </c>
      <c r="AE242" s="23" t="str">
        <f>IF(Eingabe[[#This Row],[F1]]="",IF(Eingabe[[#This Row],[Fehler alternativ]]="","",Eingabe[[#This Row],[Fehler alternativ]]),SUM(Eingabe[[#This Row],[F1]:[F4]]))</f>
        <v/>
      </c>
      <c r="AF242" s="23" t="str">
        <f>IF(Eingabe[[#This Row],[Volle]]="","",IF(Eingabe[[#This Row],[S1]]="",Eingabe[[#This Row],[Volle]]+Eingabe[[#This Row],[Räumer]],IF(Eingabe[[#This Row],[Volle]]+Eingabe[[#This Row],[Räumer]]=Eingabe[[#This Row],[S1]]+Eingabe[[#This Row],[S2]]+Eingabe[[#This Row],[S3]]+Eingabe[[#This Row],[S4]],Eingabe[[#This Row],[Volle]]+Eingabe[[#This Row],[Räumer]],"FEHLER")))</f>
        <v/>
      </c>
      <c r="AG242" s="23" t="str">
        <f>IF(Eingabe[[#This Row],[V1]]="","",Eingabe[[#This Row],[V1]]+Eingabe[[#This Row],[R1]])</f>
        <v/>
      </c>
      <c r="AH242" s="23" t="str">
        <f>IF(Eingabe[[#This Row],[V2]]="","",Eingabe[[#This Row],[V2]]+Eingabe[[#This Row],[R2]])</f>
        <v/>
      </c>
      <c r="AI242" s="23" t="str">
        <f>IF(Eingabe[[#This Row],[V3]]="","",Eingabe[[#This Row],[V3]]+Eingabe[[#This Row],[R3]])</f>
        <v/>
      </c>
      <c r="AJ242" s="23" t="str">
        <f>IF(Eingabe[[#This Row],[V4]]="","",Eingabe[[#This Row],[V4]]+Eingabe[[#This Row],[R4]])</f>
        <v/>
      </c>
      <c r="AK242" s="23" t="str">
        <f>IF(Eingabe[[#This Row],[S1P]]="","",Eingabe[[#This Row],[S1P]]+Eingabe[[#This Row],[S2P]]+Eingabe[[#This Row],[S3P]]+Eingabe[[#This Row],[S4P]])</f>
        <v/>
      </c>
      <c r="AL242" s="23" t="str">
        <f>IF(Eingabe[[#This Row],[S1P]]="","",IF(Eingabe[[#This Row],[SP]]&gt;2,1,IF(Eingabe[[#This Row],[SP]]&lt;2,0,IF(Eingabe[[#This Row],[GES]]&gt;Eingabe[[#This Row],[GEGGES]],1,IF(Eingabe[[#This Row],[GES]]=Eingabe[[#This Row],[GEGGES]],0.5,0)))))</f>
        <v/>
      </c>
      <c r="AM242" s="23" t="str">
        <f>IF(Eingabe[[#This Row],[MP]]="","",MOD(ROW(Eingabe[[#This Row],[Position]])-3,6)+1)</f>
        <v/>
      </c>
      <c r="AN242" s="23" t="e">
        <f>STANDARDIZE(Eingabe[[#This Row],[GES]],Eingabe[[#This Row],[Schnitt]],VLOOKUP(Eingabe[[#This Row],[Name]],AuswertungG[],21,FALSE))</f>
        <v>#VALUE!</v>
      </c>
      <c r="AO242" s="23">
        <f>VLOOKUP(Eingabe[[#This Row],[ID]],Chronologie[[ID]:[KW]],12,FALSE)</f>
        <v>20</v>
      </c>
      <c r="AP242" s="59" t="str">
        <f>IF(Eingabe[[#This Row],[Wo]]="H",Eingabe[[#This Row],[Gegner]]&amp;" ["&amp;Eingabe[[#This Row],[Wo]]&amp;"]",Eingabe[[#This Row],[Ort]])</f>
        <v>Bautzen</v>
      </c>
      <c r="AQ242" s="23" t="str">
        <f>IFERROR(IF(Eingabe[[#This Row],[Wo]]="H",IF(MOD(Eingabe[[#This Row],[Position]],2)=1,Eingabe[[#This Row],[S1]],Eingabe[[#This Row],[S4]]),""),"")</f>
        <v/>
      </c>
      <c r="AR242" s="23" t="str">
        <f>IFERROR(IF(Eingabe[[#This Row],[Wo]]="H",IF(Eingabe[[#This Row],[S1]]&gt;0,IF(MOD(Eingabe[[#This Row],[Position]],2)=1,Eingabe[[#This Row],[S2]],Eingabe[[#This Row],[S3]]),""),""),"")</f>
        <v/>
      </c>
      <c r="AS242" s="23" t="str">
        <f>IFERROR(IF(Eingabe[[#This Row],[Wo]]="H",IF(Eingabe[[#This Row],[S1]]&gt;0,IF(MOD(ROW(Eingabe[[#This Row],[Heimbahn 3]]),2)=1,Eingabe[[#This Row],[S4]],Eingabe[[#This Row],[S1]]),""),""),"")</f>
        <v/>
      </c>
      <c r="AT242" s="23" t="str">
        <f>IFERROR(IF(Eingabe[[#This Row],[Wo]]="H",IF(Eingabe[[#This Row],[S1]]&gt;0,IF(MOD(ROW(Eingabe[[#This Row],[Heimbahn 4]]),2)=1,Eingabe[[#This Row],[S3]],Eingabe[[#This Row],[S2]]),""),""),"")</f>
        <v/>
      </c>
      <c r="AU242" s="89" t="str">
        <f>IF(Eingabe[[#This Row],[GES]]="","",IF(Eingabe[[#This Row],[Modus]]="L",_xlfn.RANK.EQ(Eingabe[[#This Row],[GES]],AF237:AF242),IF(Eingabe[[#This Row],[Modus]]="P",_xlfn.RANK.EQ(Eingabe[[#This Row],[GES]],AF237:AF242),"")))</f>
        <v/>
      </c>
      <c r="AV242" s="6" t="e">
        <f>VLOOKUP(Eingabe[[#This Row],[Name]],AuswertungG[],8,FALSE)</f>
        <v>#N/A</v>
      </c>
      <c r="AZ242" s="6" t="str">
        <f>IFERROR(ABS(Eingabe[[#This Row],[GES]]-Eingabe[[#This Row],[GEGGES]]),"")</f>
        <v/>
      </c>
    </row>
    <row r="243" spans="1:52" ht="16.2" hidden="1" thickBot="1" x14ac:dyDescent="0.35">
      <c r="A243" s="440">
        <f t="shared" si="41"/>
        <v>41</v>
      </c>
      <c r="B243" s="55">
        <f t="shared" si="34"/>
        <v>41</v>
      </c>
      <c r="C243" s="35" t="str">
        <f>VLOOKUP($B243,Chronologie[],7,TRUE)</f>
        <v>MSV Bautzen 04</v>
      </c>
      <c r="D243" s="35" t="str">
        <f>VLOOKUP($B243,Chronologie[],8,TRUE)</f>
        <v>Bautzen</v>
      </c>
      <c r="E243" s="36" t="str">
        <f>VLOOKUP($B243,Chronologie[],9,TRUE)</f>
        <v>A</v>
      </c>
      <c r="F243" s="35" t="str">
        <f>VLOOKUP($B243,Chronologie[],COLUMN(F244)-2,TRUE)</f>
        <v>U19</v>
      </c>
      <c r="G243" s="35" t="str">
        <f>VLOOKUP($B243,Chronologie[],COLUMN(G244)-2,TRUE)</f>
        <v>L</v>
      </c>
      <c r="H243" s="35">
        <f>VLOOKUP($B243,Chronologie[],COLUMN(H244)-2,TRUE)</f>
        <v>9</v>
      </c>
      <c r="I243" s="9" t="str">
        <f>VLOOKUP($B243,Chronologie[],2,TRUE)</f>
        <v>U19-L-9</v>
      </c>
      <c r="J243" s="242">
        <f>VLOOKUP($B243,Chronologie[],3,TRUE)</f>
        <v>46039</v>
      </c>
      <c r="K243" s="236" t="s">
        <v>458</v>
      </c>
      <c r="L243" s="334">
        <v>87</v>
      </c>
      <c r="M243" s="334">
        <v>107</v>
      </c>
      <c r="N243" s="334">
        <v>67</v>
      </c>
      <c r="O243" s="334">
        <v>87</v>
      </c>
      <c r="P243" s="334">
        <v>36</v>
      </c>
      <c r="Q243" s="334">
        <v>44</v>
      </c>
      <c r="R243" s="334">
        <v>26</v>
      </c>
      <c r="S243" s="334">
        <v>34</v>
      </c>
      <c r="T243" s="334">
        <v>2</v>
      </c>
      <c r="U243" s="334">
        <v>1</v>
      </c>
      <c r="V243" s="334">
        <v>7</v>
      </c>
      <c r="W243" s="334">
        <v>3</v>
      </c>
      <c r="X243" s="37"/>
      <c r="Y243" s="37"/>
      <c r="Z243" s="37"/>
      <c r="AA243" s="37"/>
      <c r="AB243" s="90"/>
      <c r="AC243" s="93">
        <f>IF(Eingabe[[#This Row],[V1]]="",IF(Eingabe[[#This Row],[Volle alternativ]]="","",Eingabe[[#This Row],[Volle alternativ]]),SUM(Eingabe[[#This Row],[V1]:[V4]]))</f>
        <v>348</v>
      </c>
      <c r="AD243" s="35">
        <f>IF(Eingabe[[#This Row],[R1]]="",IF(Eingabe[[#This Row],[Räumer alternativ]]="","",Eingabe[[#This Row],[Räumer alternativ]]),SUM(Eingabe[[#This Row],[R1]:[R4]]))</f>
        <v>140</v>
      </c>
      <c r="AE243" s="35">
        <f>IF(Eingabe[[#This Row],[F1]]="",IF(Eingabe[[#This Row],[Fehler alternativ]]="","",Eingabe[[#This Row],[Fehler alternativ]]),SUM(Eingabe[[#This Row],[F1]:[F4]]))</f>
        <v>13</v>
      </c>
      <c r="AF243" s="35">
        <f>IF(Eingabe[[#This Row],[Volle]]="","",IF(Eingabe[[#This Row],[S1]]="",Eingabe[[#This Row],[Volle]]+Eingabe[[#This Row],[Räumer]],IF(Eingabe[[#This Row],[Volle]]+Eingabe[[#This Row],[Räumer]]=Eingabe[[#This Row],[S1]]+Eingabe[[#This Row],[S2]]+Eingabe[[#This Row],[S3]]+Eingabe[[#This Row],[S4]],Eingabe[[#This Row],[Volle]]+Eingabe[[#This Row],[Räumer]],"FEHLER")))</f>
        <v>488</v>
      </c>
      <c r="AG243" s="35">
        <f>IF(Eingabe[[#This Row],[V1]]="","",Eingabe[[#This Row],[V1]]+Eingabe[[#This Row],[R1]])</f>
        <v>123</v>
      </c>
      <c r="AH243" s="35">
        <f>IF(Eingabe[[#This Row],[V2]]="","",Eingabe[[#This Row],[V2]]+Eingabe[[#This Row],[R2]])</f>
        <v>151</v>
      </c>
      <c r="AI243" s="35">
        <f>IF(Eingabe[[#This Row],[V3]]="","",Eingabe[[#This Row],[V3]]+Eingabe[[#This Row],[R3]])</f>
        <v>93</v>
      </c>
      <c r="AJ243" s="35">
        <f>IF(Eingabe[[#This Row],[V4]]="","",Eingabe[[#This Row],[V4]]+Eingabe[[#This Row],[R4]])</f>
        <v>121</v>
      </c>
      <c r="AK243" s="35" t="str">
        <f>IF(Eingabe[[#This Row],[S1P]]="","",Eingabe[[#This Row],[S1P]]+Eingabe[[#This Row],[S2P]]+Eingabe[[#This Row],[S3P]]+Eingabe[[#This Row],[S4P]])</f>
        <v/>
      </c>
      <c r="AL243" s="35" t="str">
        <f>IF(Eingabe[[#This Row],[S1P]]="","",IF(Eingabe[[#This Row],[SP]]&gt;2,1,IF(Eingabe[[#This Row],[SP]]&lt;2,0,IF(Eingabe[[#This Row],[GES]]&gt;Eingabe[[#This Row],[GEGGES]],1,IF(Eingabe[[#This Row],[GES]]=Eingabe[[#This Row],[GEGGES]],0.5,0)))))</f>
        <v/>
      </c>
      <c r="AM243" s="35" t="str">
        <f>IF(Eingabe[[#This Row],[MP]]="","",MOD(ROW(Eingabe[[#This Row],[Position]])-3,6)+1)</f>
        <v/>
      </c>
      <c r="AN243" s="35">
        <f>STANDARDIZE(Eingabe[[#This Row],[GES]],Eingabe[[#This Row],[Schnitt]],VLOOKUP(Eingabe[[#This Row],[Name]],AuswertungG[],21,FALSE))</f>
        <v>-1</v>
      </c>
      <c r="AO243" s="35">
        <f>VLOOKUP(Eingabe[[#This Row],[ID]],Chronologie[[ID]:[KW]],12,FALSE)</f>
        <v>21</v>
      </c>
      <c r="AP243" s="58" t="str">
        <f>IF(Eingabe[[#This Row],[Wo]]="H",Eingabe[[#This Row],[Gegner]]&amp;" ["&amp;Eingabe[[#This Row],[Wo]]&amp;"]",Eingabe[[#This Row],[Ort]])</f>
        <v>Bautzen</v>
      </c>
      <c r="AQ243" s="35" t="str">
        <f>IFERROR(IF(Eingabe[[#This Row],[Wo]]="H",IF(MOD(Eingabe[[#This Row],[Position]],2)=1,Eingabe[[#This Row],[S1]],Eingabe[[#This Row],[S4]]),""),"")</f>
        <v/>
      </c>
      <c r="AR243" s="35" t="str">
        <f>IFERROR(IF(Eingabe[[#This Row],[Wo]]="H",IF(Eingabe[[#This Row],[S1]]&gt;0,IF(MOD(Eingabe[[#This Row],[Position]],2)=1,Eingabe[[#This Row],[S2]],Eingabe[[#This Row],[S3]]),""),""),"")</f>
        <v/>
      </c>
      <c r="AS243" s="35" t="str">
        <f>IFERROR(IF(Eingabe[[#This Row],[Wo]]="H",IF(Eingabe[[#This Row],[S1]]&gt;0,IF(MOD(ROW(Eingabe[[#This Row],[Heimbahn 3]]),2)=1,Eingabe[[#This Row],[S4]],Eingabe[[#This Row],[S1]]),""),""),"")</f>
        <v/>
      </c>
      <c r="AT243" s="35" t="str">
        <f>IFERROR(IF(Eingabe[[#This Row],[Wo]]="H",IF(Eingabe[[#This Row],[S1]]&gt;0,IF(MOD(ROW(Eingabe[[#This Row],[Heimbahn 4]]),2)=1,Eingabe[[#This Row],[S3]],Eingabe[[#This Row],[S2]]),""),""),"")</f>
        <v/>
      </c>
      <c r="AU243" s="88">
        <f>IF(Eingabe[[#This Row],[GES]]="","",IF(Eingabe[[#This Row],[Modus]]="L",_xlfn.RANK.EQ(Eingabe[[#This Row],[GES]],AF243:AF248),IF(Eingabe[[#This Row],[Modus]]="P",_xlfn.RANK.EQ(Eingabe[[#This Row],[GES]],AF243:AF248),"")))</f>
        <v>4</v>
      </c>
      <c r="AV243" s="6">
        <f>VLOOKUP(Eingabe[[#This Row],[Name]],AuswertungG[],8,FALSE)</f>
        <v>508</v>
      </c>
      <c r="AW243" s="6">
        <v>348</v>
      </c>
      <c r="AX243" s="6">
        <v>140</v>
      </c>
      <c r="AY243" s="6">
        <v>13</v>
      </c>
      <c r="AZ243" s="6">
        <f>IFERROR(ABS(Eingabe[[#This Row],[GES]]-Eingabe[[#This Row],[GEGGES]]),"")</f>
        <v>488</v>
      </c>
    </row>
    <row r="244" spans="1:52" ht="16.2" hidden="1" thickBot="1" x14ac:dyDescent="0.35">
      <c r="A244" s="441"/>
      <c r="B244" s="21">
        <f t="shared" si="34"/>
        <v>41</v>
      </c>
      <c r="C244" s="6" t="str">
        <f>VLOOKUP($B244,Chronologie[],7,TRUE)</f>
        <v>MSV Bautzen 04</v>
      </c>
      <c r="D244" s="6" t="str">
        <f>VLOOKUP($B244,Chronologie[],8,TRUE)</f>
        <v>Bautzen</v>
      </c>
      <c r="E244" s="240" t="str">
        <f>VLOOKUP($B244,Chronologie[],9,TRUE)</f>
        <v>A</v>
      </c>
      <c r="F244" s="6" t="str">
        <f>VLOOKUP($B244,Chronologie[],COLUMN(F245)-2,TRUE)</f>
        <v>U19</v>
      </c>
      <c r="G244" s="6" t="str">
        <f>VLOOKUP($B244,Chronologie[],COLUMN(G245)-2,TRUE)</f>
        <v>L</v>
      </c>
      <c r="H244" s="6">
        <f>VLOOKUP($B244,Chronologie[],COLUMN(H245)-2,TRUE)</f>
        <v>9</v>
      </c>
      <c r="I244" s="10" t="str">
        <f>VLOOKUP($B244,Chronologie[],2,TRUE)</f>
        <v>U19-L-9</v>
      </c>
      <c r="J244" s="243">
        <f>VLOOKUP($B244,Chronologie[],3,TRUE)</f>
        <v>46039</v>
      </c>
      <c r="K244" s="237" t="s">
        <v>474</v>
      </c>
      <c r="L244" s="237">
        <v>93</v>
      </c>
      <c r="M244" s="237">
        <v>87</v>
      </c>
      <c r="N244" s="237">
        <v>85</v>
      </c>
      <c r="O244" s="237">
        <v>94</v>
      </c>
      <c r="P244" s="237">
        <v>62</v>
      </c>
      <c r="Q244" s="237">
        <v>35</v>
      </c>
      <c r="R244" s="237">
        <v>32</v>
      </c>
      <c r="S244" s="237">
        <v>45</v>
      </c>
      <c r="T244" s="237">
        <v>2</v>
      </c>
      <c r="U244" s="237">
        <v>4</v>
      </c>
      <c r="V244" s="237">
        <v>2</v>
      </c>
      <c r="W244" s="237">
        <v>0</v>
      </c>
      <c r="X244" s="38"/>
      <c r="Y244" s="38"/>
      <c r="Z244" s="38"/>
      <c r="AA244" s="38"/>
      <c r="AB244" s="91"/>
      <c r="AC244" s="94">
        <f>IF(Eingabe[[#This Row],[V1]]="",IF(Eingabe[[#This Row],[Volle alternativ]]="","",Eingabe[[#This Row],[Volle alternativ]]),SUM(Eingabe[[#This Row],[V1]:[V4]]))</f>
        <v>359</v>
      </c>
      <c r="AD244" s="6">
        <f>IF(Eingabe[[#This Row],[R1]]="",IF(Eingabe[[#This Row],[Räumer alternativ]]="","",Eingabe[[#This Row],[Räumer alternativ]]),SUM(Eingabe[[#This Row],[R1]:[R4]]))</f>
        <v>174</v>
      </c>
      <c r="AE244" s="6">
        <f>IF(Eingabe[[#This Row],[F1]]="",IF(Eingabe[[#This Row],[Fehler alternativ]]="","",Eingabe[[#This Row],[Fehler alternativ]]),SUM(Eingabe[[#This Row],[F1]:[F4]]))</f>
        <v>8</v>
      </c>
      <c r="AF244" s="6">
        <f>IF(Eingabe[[#This Row],[Volle]]="","",IF(Eingabe[[#This Row],[S1]]="",Eingabe[[#This Row],[Volle]]+Eingabe[[#This Row],[Räumer]],IF(Eingabe[[#This Row],[Volle]]+Eingabe[[#This Row],[Räumer]]=Eingabe[[#This Row],[S1]]+Eingabe[[#This Row],[S2]]+Eingabe[[#This Row],[S3]]+Eingabe[[#This Row],[S4]],Eingabe[[#This Row],[Volle]]+Eingabe[[#This Row],[Räumer]],"FEHLER")))</f>
        <v>533</v>
      </c>
      <c r="AG244" s="6">
        <f>IF(Eingabe[[#This Row],[V1]]="","",Eingabe[[#This Row],[V1]]+Eingabe[[#This Row],[R1]])</f>
        <v>155</v>
      </c>
      <c r="AH244" s="6">
        <f>IF(Eingabe[[#This Row],[V2]]="","",Eingabe[[#This Row],[V2]]+Eingabe[[#This Row],[R2]])</f>
        <v>122</v>
      </c>
      <c r="AI244" s="6">
        <f>IF(Eingabe[[#This Row],[V3]]="","",Eingabe[[#This Row],[V3]]+Eingabe[[#This Row],[R3]])</f>
        <v>117</v>
      </c>
      <c r="AJ244" s="6">
        <f>IF(Eingabe[[#This Row],[V4]]="","",Eingabe[[#This Row],[V4]]+Eingabe[[#This Row],[R4]])</f>
        <v>139</v>
      </c>
      <c r="AK244" s="6" t="str">
        <f>IF(Eingabe[[#This Row],[S1P]]="","",Eingabe[[#This Row],[S1P]]+Eingabe[[#This Row],[S2P]]+Eingabe[[#This Row],[S3P]]+Eingabe[[#This Row],[S4P]])</f>
        <v/>
      </c>
      <c r="AL244" s="6" t="str">
        <f>IF(Eingabe[[#This Row],[S1P]]="","",IF(Eingabe[[#This Row],[SP]]&gt;2,1,IF(Eingabe[[#This Row],[SP]]&lt;2,0,IF(Eingabe[[#This Row],[GES]]&gt;Eingabe[[#This Row],[GEGGES]],1,IF(Eingabe[[#This Row],[GES]]=Eingabe[[#This Row],[GEGGES]],0.5,0)))))</f>
        <v/>
      </c>
      <c r="AM244" s="6" t="str">
        <f>IF(Eingabe[[#This Row],[MP]]="","",MOD(ROW(Eingabe[[#This Row],[Position]])-3,6)+1)</f>
        <v/>
      </c>
      <c r="AN244" s="6">
        <f>STANDARDIZE(Eingabe[[#This Row],[GES]],Eingabe[[#This Row],[Schnitt]],VLOOKUP(Eingabe[[#This Row],[Name]],AuswertungG[],21,FALSE))</f>
        <v>1.032258064516129</v>
      </c>
      <c r="AO244" s="6">
        <f>VLOOKUP(Eingabe[[#This Row],[ID]],Chronologie[[ID]:[KW]],12,FALSE)</f>
        <v>21</v>
      </c>
      <c r="AP244" s="95" t="str">
        <f>IF(Eingabe[[#This Row],[Wo]]="H",Eingabe[[#This Row],[Gegner]]&amp;" ["&amp;Eingabe[[#This Row],[Wo]]&amp;"]",Eingabe[[#This Row],[Ort]])</f>
        <v>Bautzen</v>
      </c>
      <c r="AQ244" s="6" t="str">
        <f>IFERROR(IF(Eingabe[[#This Row],[Wo]]="H",IF(MOD(Eingabe[[#This Row],[Position]],2)=1,Eingabe[[#This Row],[S1]],Eingabe[[#This Row],[S4]]),""),"")</f>
        <v/>
      </c>
      <c r="AR244" s="6" t="str">
        <f>IFERROR(IF(Eingabe[[#This Row],[Wo]]="H",IF(Eingabe[[#This Row],[S1]]&gt;0,IF(MOD(Eingabe[[#This Row],[Position]],2)=1,Eingabe[[#This Row],[S2]],Eingabe[[#This Row],[S3]]),""),""),"")</f>
        <v/>
      </c>
      <c r="AS244" s="6" t="str">
        <f>IFERROR(IF(Eingabe[[#This Row],[Wo]]="H",IF(Eingabe[[#This Row],[S1]]&gt;0,IF(MOD(ROW(Eingabe[[#This Row],[Heimbahn 3]]),2)=1,Eingabe[[#This Row],[S4]],Eingabe[[#This Row],[S1]]),""),""),"")</f>
        <v/>
      </c>
      <c r="AT244" s="6" t="str">
        <f>IFERROR(IF(Eingabe[[#This Row],[Wo]]="H",IF(Eingabe[[#This Row],[S1]]&gt;0,IF(MOD(ROW(Eingabe[[#This Row],[Heimbahn 4]]),2)=1,Eingabe[[#This Row],[S3]],Eingabe[[#This Row],[S2]]),""),""),"")</f>
        <v/>
      </c>
      <c r="AU244" s="22">
        <f>IF(Eingabe[[#This Row],[GES]]="","",IF(Eingabe[[#This Row],[Modus]]="L",_xlfn.RANK.EQ(Eingabe[[#This Row],[GES]],AF243:AF248),IF(Eingabe[[#This Row],[Modus]]="P",_xlfn.RANK.EQ(Eingabe[[#This Row],[GES]],AF243:AF248),"")))</f>
        <v>1</v>
      </c>
      <c r="AV244" s="6">
        <f>VLOOKUP(Eingabe[[#This Row],[Name]],AuswertungG[],8,FALSE)</f>
        <v>501</v>
      </c>
      <c r="AZ244" s="6">
        <f>IFERROR(ABS(Eingabe[[#This Row],[GES]]-Eingabe[[#This Row],[GEGGES]]),"")</f>
        <v>533</v>
      </c>
    </row>
    <row r="245" spans="1:52" ht="16.2" hidden="1" thickBot="1" x14ac:dyDescent="0.35">
      <c r="A245" s="441"/>
      <c r="B245" s="21">
        <f t="shared" si="34"/>
        <v>41</v>
      </c>
      <c r="C245" s="6" t="str">
        <f>VLOOKUP($B245,Chronologie[],7,TRUE)</f>
        <v>MSV Bautzen 04</v>
      </c>
      <c r="D245" s="6" t="str">
        <f>VLOOKUP($B245,Chronologie[],8,TRUE)</f>
        <v>Bautzen</v>
      </c>
      <c r="E245" s="240" t="str">
        <f>VLOOKUP($B245,Chronologie[],9,TRUE)</f>
        <v>A</v>
      </c>
      <c r="F245" s="6" t="str">
        <f>VLOOKUP($B245,Chronologie[],COLUMN(F246)-2,TRUE)</f>
        <v>U19</v>
      </c>
      <c r="G245" s="6" t="str">
        <f>VLOOKUP($B245,Chronologie[],COLUMN(G246)-2,TRUE)</f>
        <v>L</v>
      </c>
      <c r="H245" s="6">
        <f>VLOOKUP($B245,Chronologie[],COLUMN(H246)-2,TRUE)</f>
        <v>9</v>
      </c>
      <c r="I245" s="10" t="str">
        <f>VLOOKUP($B245,Chronologie[],2,TRUE)</f>
        <v>U19-L-9</v>
      </c>
      <c r="J245" s="243">
        <f>VLOOKUP($B245,Chronologie[],3,TRUE)</f>
        <v>46039</v>
      </c>
      <c r="K245" s="237" t="s">
        <v>485</v>
      </c>
      <c r="L245" s="237">
        <v>77</v>
      </c>
      <c r="M245" s="237">
        <v>96</v>
      </c>
      <c r="N245" s="237">
        <v>74</v>
      </c>
      <c r="O245" s="237">
        <v>93</v>
      </c>
      <c r="P245" s="237">
        <v>40</v>
      </c>
      <c r="Q245" s="237">
        <v>44</v>
      </c>
      <c r="R245" s="237">
        <v>43</v>
      </c>
      <c r="S245" s="237">
        <v>33</v>
      </c>
      <c r="T245" s="237">
        <v>5</v>
      </c>
      <c r="U245" s="237">
        <v>2</v>
      </c>
      <c r="V245" s="237">
        <v>4</v>
      </c>
      <c r="W245" s="237">
        <v>3</v>
      </c>
      <c r="X245" s="38"/>
      <c r="Y245" s="38"/>
      <c r="Z245" s="38"/>
      <c r="AA245" s="38"/>
      <c r="AB245" s="91"/>
      <c r="AC245" s="94">
        <f>IF(Eingabe[[#This Row],[V1]]="",IF(Eingabe[[#This Row],[Volle alternativ]]="","",Eingabe[[#This Row],[Volle alternativ]]),SUM(Eingabe[[#This Row],[V1]:[V4]]))</f>
        <v>340</v>
      </c>
      <c r="AD245" s="6">
        <f>IF(Eingabe[[#This Row],[R1]]="",IF(Eingabe[[#This Row],[Räumer alternativ]]="","",Eingabe[[#This Row],[Räumer alternativ]]),SUM(Eingabe[[#This Row],[R1]:[R4]]))</f>
        <v>160</v>
      </c>
      <c r="AE245" s="6">
        <f>IF(Eingabe[[#This Row],[F1]]="",IF(Eingabe[[#This Row],[Fehler alternativ]]="","",Eingabe[[#This Row],[Fehler alternativ]]),SUM(Eingabe[[#This Row],[F1]:[F4]]))</f>
        <v>14</v>
      </c>
      <c r="AF245" s="6">
        <f>IF(Eingabe[[#This Row],[Volle]]="","",IF(Eingabe[[#This Row],[S1]]="",Eingabe[[#This Row],[Volle]]+Eingabe[[#This Row],[Räumer]],IF(Eingabe[[#This Row],[Volle]]+Eingabe[[#This Row],[Räumer]]=Eingabe[[#This Row],[S1]]+Eingabe[[#This Row],[S2]]+Eingabe[[#This Row],[S3]]+Eingabe[[#This Row],[S4]],Eingabe[[#This Row],[Volle]]+Eingabe[[#This Row],[Räumer]],"FEHLER")))</f>
        <v>500</v>
      </c>
      <c r="AG245" s="6">
        <f>IF(Eingabe[[#This Row],[V1]]="","",Eingabe[[#This Row],[V1]]+Eingabe[[#This Row],[R1]])</f>
        <v>117</v>
      </c>
      <c r="AH245" s="6">
        <f>IF(Eingabe[[#This Row],[V2]]="","",Eingabe[[#This Row],[V2]]+Eingabe[[#This Row],[R2]])</f>
        <v>140</v>
      </c>
      <c r="AI245" s="6">
        <f>IF(Eingabe[[#This Row],[V3]]="","",Eingabe[[#This Row],[V3]]+Eingabe[[#This Row],[R3]])</f>
        <v>117</v>
      </c>
      <c r="AJ245" s="6">
        <f>IF(Eingabe[[#This Row],[V4]]="","",Eingabe[[#This Row],[V4]]+Eingabe[[#This Row],[R4]])</f>
        <v>126</v>
      </c>
      <c r="AK245" s="6" t="str">
        <f>IF(Eingabe[[#This Row],[S1P]]="","",Eingabe[[#This Row],[S1P]]+Eingabe[[#This Row],[S2P]]+Eingabe[[#This Row],[S3P]]+Eingabe[[#This Row],[S4P]])</f>
        <v/>
      </c>
      <c r="AL245" s="6" t="str">
        <f>IF(Eingabe[[#This Row],[S1P]]="","",IF(Eingabe[[#This Row],[SP]]&gt;2,1,IF(Eingabe[[#This Row],[SP]]&lt;2,0,IF(Eingabe[[#This Row],[GES]]&gt;Eingabe[[#This Row],[GEGGES]],1,IF(Eingabe[[#This Row],[GES]]=Eingabe[[#This Row],[GEGGES]],0.5,0)))))</f>
        <v/>
      </c>
      <c r="AM245" s="6" t="str">
        <f>IF(Eingabe[[#This Row],[MP]]="","",MOD(ROW(Eingabe[[#This Row],[Position]])-3,6)+1)</f>
        <v/>
      </c>
      <c r="AN245" s="6">
        <f>STANDARDIZE(Eingabe[[#This Row],[GES]],Eingabe[[#This Row],[Schnitt]],VLOOKUP(Eingabe[[#This Row],[Name]],AuswertungG[],21,FALSE))</f>
        <v>1.3448275862068966</v>
      </c>
      <c r="AO245" s="6">
        <f>VLOOKUP(Eingabe[[#This Row],[ID]],Chronologie[[ID]:[KW]],12,FALSE)</f>
        <v>21</v>
      </c>
      <c r="AP245" s="95" t="str">
        <f>IF(Eingabe[[#This Row],[Wo]]="H",Eingabe[[#This Row],[Gegner]]&amp;" ["&amp;Eingabe[[#This Row],[Wo]]&amp;"]",Eingabe[[#This Row],[Ort]])</f>
        <v>Bautzen</v>
      </c>
      <c r="AQ245" s="6" t="str">
        <f>IFERROR(IF(Eingabe[[#This Row],[Wo]]="H",IF(MOD(Eingabe[[#This Row],[Position]],2)=1,Eingabe[[#This Row],[S1]],Eingabe[[#This Row],[S4]]),""),"")</f>
        <v/>
      </c>
      <c r="AR245" s="6" t="str">
        <f>IFERROR(IF(Eingabe[[#This Row],[Wo]]="H",IF(Eingabe[[#This Row],[S1]]&gt;0,IF(MOD(Eingabe[[#This Row],[Position]],2)=1,Eingabe[[#This Row],[S2]],Eingabe[[#This Row],[S3]]),""),""),"")</f>
        <v/>
      </c>
      <c r="AS245" s="6" t="str">
        <f>IFERROR(IF(Eingabe[[#This Row],[Wo]]="H",IF(Eingabe[[#This Row],[S1]]&gt;0,IF(MOD(ROW(Eingabe[[#This Row],[Heimbahn 3]]),2)=1,Eingabe[[#This Row],[S4]],Eingabe[[#This Row],[S1]]),""),""),"")</f>
        <v/>
      </c>
      <c r="AT245" s="6" t="str">
        <f>IFERROR(IF(Eingabe[[#This Row],[Wo]]="H",IF(Eingabe[[#This Row],[S1]]&gt;0,IF(MOD(ROW(Eingabe[[#This Row],[Heimbahn 4]]),2)=1,Eingabe[[#This Row],[S3]],Eingabe[[#This Row],[S2]]),""),""),"")</f>
        <v/>
      </c>
      <c r="AU245" s="22">
        <f>IF(Eingabe[[#This Row],[GES]]="","",IF(Eingabe[[#This Row],[Modus]]="L",_xlfn.RANK.EQ(Eingabe[[#This Row],[GES]],AF243:AF248),IF(Eingabe[[#This Row],[Modus]]="P",_xlfn.RANK.EQ(Eingabe[[#This Row],[GES]],AF243:AF248),"")))</f>
        <v>3</v>
      </c>
      <c r="AV245" s="6">
        <f>VLOOKUP(Eingabe[[#This Row],[Name]],AuswertungG[],8,FALSE)</f>
        <v>461</v>
      </c>
      <c r="AZ245" s="6">
        <f>IFERROR(ABS(Eingabe[[#This Row],[GES]]-Eingabe[[#This Row],[GEGGES]]),"")</f>
        <v>500</v>
      </c>
    </row>
    <row r="246" spans="1:52" ht="16.2" hidden="1" thickBot="1" x14ac:dyDescent="0.35">
      <c r="A246" s="441"/>
      <c r="B246" s="21">
        <f t="shared" si="34"/>
        <v>41</v>
      </c>
      <c r="C246" s="6" t="str">
        <f>VLOOKUP($B246,Chronologie[],7,TRUE)</f>
        <v>MSV Bautzen 04</v>
      </c>
      <c r="D246" s="6" t="str">
        <f>VLOOKUP($B246,Chronologie[],8,TRUE)</f>
        <v>Bautzen</v>
      </c>
      <c r="E246" s="240" t="str">
        <f>VLOOKUP($B246,Chronologie[],9,TRUE)</f>
        <v>A</v>
      </c>
      <c r="F246" s="6" t="str">
        <f>VLOOKUP($B246,Chronologie[],COLUMN(F247)-2,TRUE)</f>
        <v>U19</v>
      </c>
      <c r="G246" s="6" t="str">
        <f>VLOOKUP($B246,Chronologie[],COLUMN(G247)-2,TRUE)</f>
        <v>L</v>
      </c>
      <c r="H246" s="6">
        <f>VLOOKUP($B246,Chronologie[],COLUMN(H247)-2,TRUE)</f>
        <v>9</v>
      </c>
      <c r="I246" s="10" t="str">
        <f>VLOOKUP($B246,Chronologie[],2,TRUE)</f>
        <v>U19-L-9</v>
      </c>
      <c r="J246" s="243">
        <f>VLOOKUP($B246,Chronologie[],3,TRUE)</f>
        <v>46039</v>
      </c>
      <c r="K246" s="238" t="s">
        <v>477</v>
      </c>
      <c r="L246" s="237">
        <v>106</v>
      </c>
      <c r="M246" s="237">
        <v>96</v>
      </c>
      <c r="N246" s="237">
        <v>96</v>
      </c>
      <c r="O246" s="237">
        <v>86</v>
      </c>
      <c r="P246" s="237">
        <v>50</v>
      </c>
      <c r="Q246" s="237">
        <v>36</v>
      </c>
      <c r="R246" s="237">
        <v>36</v>
      </c>
      <c r="S246" s="237">
        <v>27</v>
      </c>
      <c r="T246" s="237">
        <v>0</v>
      </c>
      <c r="U246" s="237">
        <v>0</v>
      </c>
      <c r="V246" s="237">
        <v>2</v>
      </c>
      <c r="W246" s="237">
        <v>2</v>
      </c>
      <c r="X246" s="38"/>
      <c r="Y246" s="38"/>
      <c r="Z246" s="38"/>
      <c r="AA246" s="38"/>
      <c r="AB246" s="91"/>
      <c r="AC246" s="94">
        <f>IF(Eingabe[[#This Row],[V1]]="",IF(Eingabe[[#This Row],[Volle alternativ]]="","",Eingabe[[#This Row],[Volle alternativ]]),SUM(Eingabe[[#This Row],[V1]:[V4]]))</f>
        <v>384</v>
      </c>
      <c r="AD246" s="6">
        <f>IF(Eingabe[[#This Row],[R1]]="",IF(Eingabe[[#This Row],[Räumer alternativ]]="","",Eingabe[[#This Row],[Räumer alternativ]]),SUM(Eingabe[[#This Row],[R1]:[R4]]))</f>
        <v>149</v>
      </c>
      <c r="AE246" s="6">
        <f>IF(Eingabe[[#This Row],[F1]]="",IF(Eingabe[[#This Row],[Fehler alternativ]]="","",Eingabe[[#This Row],[Fehler alternativ]]),SUM(Eingabe[[#This Row],[F1]:[F4]]))</f>
        <v>4</v>
      </c>
      <c r="AF246" s="6">
        <f>IF(Eingabe[[#This Row],[Volle]]="","",IF(Eingabe[[#This Row],[S1]]="",Eingabe[[#This Row],[Volle]]+Eingabe[[#This Row],[Räumer]],IF(Eingabe[[#This Row],[Volle]]+Eingabe[[#This Row],[Räumer]]=Eingabe[[#This Row],[S1]]+Eingabe[[#This Row],[S2]]+Eingabe[[#This Row],[S3]]+Eingabe[[#This Row],[S4]],Eingabe[[#This Row],[Volle]]+Eingabe[[#This Row],[Räumer]],"FEHLER")))</f>
        <v>533</v>
      </c>
      <c r="AG246" s="6">
        <f>IF(Eingabe[[#This Row],[V1]]="","",Eingabe[[#This Row],[V1]]+Eingabe[[#This Row],[R1]])</f>
        <v>156</v>
      </c>
      <c r="AH246" s="6">
        <f>IF(Eingabe[[#This Row],[V2]]="","",Eingabe[[#This Row],[V2]]+Eingabe[[#This Row],[R2]])</f>
        <v>132</v>
      </c>
      <c r="AI246" s="6">
        <f>IF(Eingabe[[#This Row],[V3]]="","",Eingabe[[#This Row],[V3]]+Eingabe[[#This Row],[R3]])</f>
        <v>132</v>
      </c>
      <c r="AJ246" s="6">
        <f>IF(Eingabe[[#This Row],[V4]]="","",Eingabe[[#This Row],[V4]]+Eingabe[[#This Row],[R4]])</f>
        <v>113</v>
      </c>
      <c r="AK246" s="6" t="str">
        <f>IF(Eingabe[[#This Row],[S1P]]="","",Eingabe[[#This Row],[S1P]]+Eingabe[[#This Row],[S2P]]+Eingabe[[#This Row],[S3P]]+Eingabe[[#This Row],[S4P]])</f>
        <v/>
      </c>
      <c r="AL246" s="6" t="str">
        <f>IF(Eingabe[[#This Row],[S1P]]="","",IF(Eingabe[[#This Row],[SP]]&gt;2,1,IF(Eingabe[[#This Row],[SP]]&lt;2,0,IF(Eingabe[[#This Row],[GES]]&gt;Eingabe[[#This Row],[GEGGES]],1,IF(Eingabe[[#This Row],[GES]]=Eingabe[[#This Row],[GEGGES]],0.5,0)))))</f>
        <v/>
      </c>
      <c r="AM246" s="6" t="str">
        <f>IF(Eingabe[[#This Row],[MP]]="","",MOD(ROW(Eingabe[[#This Row],[Position]])-3,6)+1)</f>
        <v/>
      </c>
      <c r="AN246" s="6">
        <f>STANDARDIZE(Eingabe[[#This Row],[GES]],Eingabe[[#This Row],[Schnitt]],VLOOKUP(Eingabe[[#This Row],[Name]],AuswertungG[],21,FALSE))</f>
        <v>0.04</v>
      </c>
      <c r="AO246" s="6">
        <f>VLOOKUP(Eingabe[[#This Row],[ID]],Chronologie[[ID]:[KW]],12,FALSE)</f>
        <v>21</v>
      </c>
      <c r="AP246" s="95" t="str">
        <f>IF(Eingabe[[#This Row],[Wo]]="H",Eingabe[[#This Row],[Gegner]]&amp;" ["&amp;Eingabe[[#This Row],[Wo]]&amp;"]",Eingabe[[#This Row],[Ort]])</f>
        <v>Bautzen</v>
      </c>
      <c r="AQ246" s="6" t="str">
        <f>IFERROR(IF(Eingabe[[#This Row],[Wo]]="H",IF(MOD(Eingabe[[#This Row],[Position]],2)=1,Eingabe[[#This Row],[S1]],Eingabe[[#This Row],[S4]]),""),"")</f>
        <v/>
      </c>
      <c r="AR246" s="6" t="str">
        <f>IFERROR(IF(Eingabe[[#This Row],[Wo]]="H",IF(Eingabe[[#This Row],[S1]]&gt;0,IF(MOD(Eingabe[[#This Row],[Position]],2)=1,Eingabe[[#This Row],[S2]],Eingabe[[#This Row],[S3]]),""),""),"")</f>
        <v/>
      </c>
      <c r="AS246" s="6" t="str">
        <f>IFERROR(IF(Eingabe[[#This Row],[Wo]]="H",IF(Eingabe[[#This Row],[S1]]&gt;0,IF(MOD(ROW(Eingabe[[#This Row],[Heimbahn 3]]),2)=1,Eingabe[[#This Row],[S4]],Eingabe[[#This Row],[S1]]),""),""),"")</f>
        <v/>
      </c>
      <c r="AT246" s="6" t="str">
        <f>IFERROR(IF(Eingabe[[#This Row],[Wo]]="H",IF(Eingabe[[#This Row],[S1]]&gt;0,IF(MOD(ROW(Eingabe[[#This Row],[Heimbahn 4]]),2)=1,Eingabe[[#This Row],[S3]],Eingabe[[#This Row],[S2]]),""),""),"")</f>
        <v/>
      </c>
      <c r="AU246" s="22">
        <f>IF(Eingabe[[#This Row],[GES]]="","",IF(Eingabe[[#This Row],[Modus]]="L",_xlfn.RANK.EQ(Eingabe[[#This Row],[GES]],AF243:AF248),IF(Eingabe[[#This Row],[Modus]]="P",_xlfn.RANK.EQ(Eingabe[[#This Row],[GES]],AF243:AF248),"")))</f>
        <v>1</v>
      </c>
      <c r="AV246" s="6">
        <f>VLOOKUP(Eingabe[[#This Row],[Name]],AuswertungG[],8,FALSE)</f>
        <v>532</v>
      </c>
      <c r="AW246" s="6">
        <v>384</v>
      </c>
      <c r="AX246" s="6">
        <v>149</v>
      </c>
      <c r="AY246" s="6">
        <v>4</v>
      </c>
      <c r="AZ246" s="6">
        <f>IFERROR(ABS(Eingabe[[#This Row],[GES]]-Eingabe[[#This Row],[GEGGES]]),"")</f>
        <v>533</v>
      </c>
    </row>
    <row r="247" spans="1:52" ht="16.2" hidden="1" thickBot="1" x14ac:dyDescent="0.35">
      <c r="A247" s="441"/>
      <c r="B247" s="21">
        <f t="shared" si="34"/>
        <v>41</v>
      </c>
      <c r="C247" s="6" t="str">
        <f>VLOOKUP($B247,Chronologie[],7,TRUE)</f>
        <v>MSV Bautzen 04</v>
      </c>
      <c r="D247" s="6" t="str">
        <f>VLOOKUP($B247,Chronologie[],8,TRUE)</f>
        <v>Bautzen</v>
      </c>
      <c r="E247" s="240" t="str">
        <f>VLOOKUP($B247,Chronologie[],9,TRUE)</f>
        <v>A</v>
      </c>
      <c r="F247" s="6" t="str">
        <f>VLOOKUP($B247,Chronologie[],COLUMN(F248)-2,TRUE)</f>
        <v>U19</v>
      </c>
      <c r="G247" s="6" t="str">
        <f>VLOOKUP($B247,Chronologie[],COLUMN(G248)-2,TRUE)</f>
        <v>L</v>
      </c>
      <c r="H247" s="6">
        <f>VLOOKUP($B247,Chronologie[],COLUMN(H248)-2,TRUE)</f>
        <v>9</v>
      </c>
      <c r="I247" s="10" t="str">
        <f>VLOOKUP($B247,Chronologie[],2,TRUE)</f>
        <v>U19-L-9</v>
      </c>
      <c r="J247" s="243">
        <f>VLOOKUP($B247,Chronologie[],3,TRUE)</f>
        <v>46039</v>
      </c>
      <c r="K247" s="237"/>
      <c r="L247" s="237"/>
      <c r="M247" s="237"/>
      <c r="N247" s="237"/>
      <c r="O247" s="237"/>
      <c r="P247" s="237"/>
      <c r="Q247" s="237"/>
      <c r="R247" s="237"/>
      <c r="S247" s="237"/>
      <c r="T247" s="237"/>
      <c r="U247" s="237"/>
      <c r="V247" s="237"/>
      <c r="W247" s="237"/>
      <c r="X247" s="38"/>
      <c r="Y247" s="38"/>
      <c r="Z247" s="38"/>
      <c r="AA247" s="38"/>
      <c r="AB247" s="91"/>
      <c r="AC247" s="94" t="str">
        <f>IF(Eingabe[[#This Row],[V1]]="",IF(Eingabe[[#This Row],[Volle alternativ]]="","",Eingabe[[#This Row],[Volle alternativ]]),SUM(Eingabe[[#This Row],[V1]:[V4]]))</f>
        <v/>
      </c>
      <c r="AD247" s="6" t="str">
        <f>IF(Eingabe[[#This Row],[R1]]="",IF(Eingabe[[#This Row],[Räumer alternativ]]="","",Eingabe[[#This Row],[Räumer alternativ]]),SUM(Eingabe[[#This Row],[R1]:[R4]]))</f>
        <v/>
      </c>
      <c r="AE247" s="6" t="str">
        <f>IF(Eingabe[[#This Row],[F1]]="",IF(Eingabe[[#This Row],[Fehler alternativ]]="","",Eingabe[[#This Row],[Fehler alternativ]]),SUM(Eingabe[[#This Row],[F1]:[F4]]))</f>
        <v/>
      </c>
      <c r="AF247" s="6" t="str">
        <f>IF(Eingabe[[#This Row],[Volle]]="","",IF(Eingabe[[#This Row],[S1]]="",Eingabe[[#This Row],[Volle]]+Eingabe[[#This Row],[Räumer]],IF(Eingabe[[#This Row],[Volle]]+Eingabe[[#This Row],[Räumer]]=Eingabe[[#This Row],[S1]]+Eingabe[[#This Row],[S2]]+Eingabe[[#This Row],[S3]]+Eingabe[[#This Row],[S4]],Eingabe[[#This Row],[Volle]]+Eingabe[[#This Row],[Räumer]],"FEHLER")))</f>
        <v/>
      </c>
      <c r="AG247" s="6" t="str">
        <f>IF(Eingabe[[#This Row],[V1]]="","",Eingabe[[#This Row],[V1]]+Eingabe[[#This Row],[R1]])</f>
        <v/>
      </c>
      <c r="AH247" s="6" t="str">
        <f>IF(Eingabe[[#This Row],[V2]]="","",Eingabe[[#This Row],[V2]]+Eingabe[[#This Row],[R2]])</f>
        <v/>
      </c>
      <c r="AI247" s="6" t="str">
        <f>IF(Eingabe[[#This Row],[V3]]="","",Eingabe[[#This Row],[V3]]+Eingabe[[#This Row],[R3]])</f>
        <v/>
      </c>
      <c r="AJ247" s="6" t="str">
        <f>IF(Eingabe[[#This Row],[V4]]="","",Eingabe[[#This Row],[V4]]+Eingabe[[#This Row],[R4]])</f>
        <v/>
      </c>
      <c r="AK247" s="6" t="str">
        <f>IF(Eingabe[[#This Row],[S1P]]="","",Eingabe[[#This Row],[S1P]]+Eingabe[[#This Row],[S2P]]+Eingabe[[#This Row],[S3P]]+Eingabe[[#This Row],[S4P]])</f>
        <v/>
      </c>
      <c r="AL247" s="6" t="str">
        <f>IF(Eingabe[[#This Row],[S1P]]="","",IF(Eingabe[[#This Row],[SP]]&gt;2,1,IF(Eingabe[[#This Row],[SP]]&lt;2,0,IF(Eingabe[[#This Row],[GES]]&gt;Eingabe[[#This Row],[GEGGES]],1,IF(Eingabe[[#This Row],[GES]]=Eingabe[[#This Row],[GEGGES]],0.5,0)))))</f>
        <v/>
      </c>
      <c r="AM247" s="6" t="str">
        <f>IF(Eingabe[[#This Row],[MP]]="","",MOD(ROW(Eingabe[[#This Row],[Position]])-3,6)+1)</f>
        <v/>
      </c>
      <c r="AN247" s="6" t="e">
        <f>STANDARDIZE(Eingabe[[#This Row],[GES]],Eingabe[[#This Row],[Schnitt]],VLOOKUP(Eingabe[[#This Row],[Name]],AuswertungG[],21,FALSE))</f>
        <v>#VALUE!</v>
      </c>
      <c r="AO247" s="6">
        <f>VLOOKUP(Eingabe[[#This Row],[ID]],Chronologie[[ID]:[KW]],12,FALSE)</f>
        <v>21</v>
      </c>
      <c r="AP247" s="95" t="str">
        <f>IF(Eingabe[[#This Row],[Wo]]="H",Eingabe[[#This Row],[Gegner]]&amp;" ["&amp;Eingabe[[#This Row],[Wo]]&amp;"]",Eingabe[[#This Row],[Ort]])</f>
        <v>Bautzen</v>
      </c>
      <c r="AQ247" s="6" t="str">
        <f>IFERROR(IF(Eingabe[[#This Row],[Wo]]="H",IF(MOD(Eingabe[[#This Row],[Position]],2)=1,Eingabe[[#This Row],[S1]],Eingabe[[#This Row],[S4]]),""),"")</f>
        <v/>
      </c>
      <c r="AR247" s="6" t="str">
        <f>IFERROR(IF(Eingabe[[#This Row],[Wo]]="H",IF(Eingabe[[#This Row],[S1]]&gt;0,IF(MOD(Eingabe[[#This Row],[Position]],2)=1,Eingabe[[#This Row],[S2]],Eingabe[[#This Row],[S3]]),""),""),"")</f>
        <v/>
      </c>
      <c r="AS247" s="6" t="str">
        <f>IFERROR(IF(Eingabe[[#This Row],[Wo]]="H",IF(Eingabe[[#This Row],[S1]]&gt;0,IF(MOD(ROW(Eingabe[[#This Row],[Heimbahn 3]]),2)=1,Eingabe[[#This Row],[S4]],Eingabe[[#This Row],[S1]]),""),""),"")</f>
        <v/>
      </c>
      <c r="AT247" s="6" t="str">
        <f>IFERROR(IF(Eingabe[[#This Row],[Wo]]="H",IF(Eingabe[[#This Row],[S1]]&gt;0,IF(MOD(ROW(Eingabe[[#This Row],[Heimbahn 4]]),2)=1,Eingabe[[#This Row],[S3]],Eingabe[[#This Row],[S2]]),""),""),"")</f>
        <v/>
      </c>
      <c r="AU247" s="22" t="str">
        <f>IF(Eingabe[[#This Row],[GES]]="","",IF(Eingabe[[#This Row],[Modus]]="L",_xlfn.RANK.EQ(Eingabe[[#This Row],[GES]],AF243:AF248),IF(Eingabe[[#This Row],[Modus]]="P",_xlfn.RANK.EQ(Eingabe[[#This Row],[GES]],AF243:AF248),"")))</f>
        <v/>
      </c>
      <c r="AV247" s="6" t="e">
        <f>VLOOKUP(Eingabe[[#This Row],[Name]],AuswertungG[],8,FALSE)</f>
        <v>#N/A</v>
      </c>
      <c r="AZ247" s="6" t="str">
        <f>IFERROR(ABS(Eingabe[[#This Row],[GES]]-Eingabe[[#This Row],[GEGGES]]),"")</f>
        <v/>
      </c>
    </row>
    <row r="248" spans="1:52" ht="16.2" hidden="1" thickBot="1" x14ac:dyDescent="0.35">
      <c r="A248" s="442"/>
      <c r="B248" s="56">
        <f t="shared" si="34"/>
        <v>41</v>
      </c>
      <c r="C248" s="23" t="str">
        <f>VLOOKUP($B248,Chronologie[],7,TRUE)</f>
        <v>MSV Bautzen 04</v>
      </c>
      <c r="D248" s="23" t="str">
        <f>VLOOKUP($B248,Chronologie[],8,TRUE)</f>
        <v>Bautzen</v>
      </c>
      <c r="E248" s="39" t="str">
        <f>VLOOKUP($B248,Chronologie[],9,TRUE)</f>
        <v>A</v>
      </c>
      <c r="F248" s="23" t="str">
        <f>VLOOKUP($B248,Chronologie[],COLUMN(F249)-2,TRUE)</f>
        <v>U19</v>
      </c>
      <c r="G248" s="23" t="str">
        <f>VLOOKUP($B248,Chronologie[],COLUMN(G249)-2,TRUE)</f>
        <v>L</v>
      </c>
      <c r="H248" s="23">
        <f>VLOOKUP($B248,Chronologie[],COLUMN(H249)-2,TRUE)</f>
        <v>9</v>
      </c>
      <c r="I248" s="13" t="str">
        <f>VLOOKUP($B248,Chronologie[],2,TRUE)</f>
        <v>U19-L-9</v>
      </c>
      <c r="J248" s="244">
        <f>VLOOKUP($B248,Chronologie[],3,TRUE)</f>
        <v>46039</v>
      </c>
      <c r="K248" s="239"/>
      <c r="L248" s="239"/>
      <c r="M248" s="239"/>
      <c r="N248" s="239"/>
      <c r="O248" s="239"/>
      <c r="P248" s="239"/>
      <c r="Q248" s="239"/>
      <c r="R248" s="239"/>
      <c r="S248" s="239"/>
      <c r="T248" s="239"/>
      <c r="U248" s="239"/>
      <c r="V248" s="239"/>
      <c r="W248" s="239"/>
      <c r="X248" s="40"/>
      <c r="Y248" s="40"/>
      <c r="Z248" s="40"/>
      <c r="AA248" s="40"/>
      <c r="AB248" s="92"/>
      <c r="AC248" s="96" t="str">
        <f>IF(Eingabe[[#This Row],[V1]]="",IF(Eingabe[[#This Row],[Volle alternativ]]="","",Eingabe[[#This Row],[Volle alternativ]]),SUM(Eingabe[[#This Row],[V1]:[V4]]))</f>
        <v/>
      </c>
      <c r="AD248" s="23" t="str">
        <f>IF(Eingabe[[#This Row],[R1]]="",IF(Eingabe[[#This Row],[Räumer alternativ]]="","",Eingabe[[#This Row],[Räumer alternativ]]),SUM(Eingabe[[#This Row],[R1]:[R4]]))</f>
        <v/>
      </c>
      <c r="AE248" s="23" t="str">
        <f>IF(Eingabe[[#This Row],[F1]]="",IF(Eingabe[[#This Row],[Fehler alternativ]]="","",Eingabe[[#This Row],[Fehler alternativ]]),SUM(Eingabe[[#This Row],[F1]:[F4]]))</f>
        <v/>
      </c>
      <c r="AF248" s="23" t="str">
        <f>IF(Eingabe[[#This Row],[Volle]]="","",IF(Eingabe[[#This Row],[S1]]="",Eingabe[[#This Row],[Volle]]+Eingabe[[#This Row],[Räumer]],IF(Eingabe[[#This Row],[Volle]]+Eingabe[[#This Row],[Räumer]]=Eingabe[[#This Row],[S1]]+Eingabe[[#This Row],[S2]]+Eingabe[[#This Row],[S3]]+Eingabe[[#This Row],[S4]],Eingabe[[#This Row],[Volle]]+Eingabe[[#This Row],[Räumer]],"FEHLER")))</f>
        <v/>
      </c>
      <c r="AG248" s="23" t="str">
        <f>IF(Eingabe[[#This Row],[V1]]="","",Eingabe[[#This Row],[V1]]+Eingabe[[#This Row],[R1]])</f>
        <v/>
      </c>
      <c r="AH248" s="23" t="str">
        <f>IF(Eingabe[[#This Row],[V2]]="","",Eingabe[[#This Row],[V2]]+Eingabe[[#This Row],[R2]])</f>
        <v/>
      </c>
      <c r="AI248" s="23" t="str">
        <f>IF(Eingabe[[#This Row],[V3]]="","",Eingabe[[#This Row],[V3]]+Eingabe[[#This Row],[R3]])</f>
        <v/>
      </c>
      <c r="AJ248" s="23" t="str">
        <f>IF(Eingabe[[#This Row],[V4]]="","",Eingabe[[#This Row],[V4]]+Eingabe[[#This Row],[R4]])</f>
        <v/>
      </c>
      <c r="AK248" s="23" t="str">
        <f>IF(Eingabe[[#This Row],[S1P]]="","",Eingabe[[#This Row],[S1P]]+Eingabe[[#This Row],[S2P]]+Eingabe[[#This Row],[S3P]]+Eingabe[[#This Row],[S4P]])</f>
        <v/>
      </c>
      <c r="AL248" s="23" t="str">
        <f>IF(Eingabe[[#This Row],[S1P]]="","",IF(Eingabe[[#This Row],[SP]]&gt;2,1,IF(Eingabe[[#This Row],[SP]]&lt;2,0,IF(Eingabe[[#This Row],[GES]]&gt;Eingabe[[#This Row],[GEGGES]],1,IF(Eingabe[[#This Row],[GES]]=Eingabe[[#This Row],[GEGGES]],0.5,0)))))</f>
        <v/>
      </c>
      <c r="AM248" s="23" t="str">
        <f>IF(Eingabe[[#This Row],[MP]]="","",MOD(ROW(Eingabe[[#This Row],[Position]])-3,6)+1)</f>
        <v/>
      </c>
      <c r="AN248" s="23" t="e">
        <f>STANDARDIZE(Eingabe[[#This Row],[GES]],Eingabe[[#This Row],[Schnitt]],VLOOKUP(Eingabe[[#This Row],[Name]],AuswertungG[],21,FALSE))</f>
        <v>#VALUE!</v>
      </c>
      <c r="AO248" s="23">
        <f>VLOOKUP(Eingabe[[#This Row],[ID]],Chronologie[[ID]:[KW]],12,FALSE)</f>
        <v>21</v>
      </c>
      <c r="AP248" s="59" t="str">
        <f>IF(Eingabe[[#This Row],[Wo]]="H",Eingabe[[#This Row],[Gegner]]&amp;" ["&amp;Eingabe[[#This Row],[Wo]]&amp;"]",Eingabe[[#This Row],[Ort]])</f>
        <v>Bautzen</v>
      </c>
      <c r="AQ248" s="23" t="str">
        <f>IFERROR(IF(Eingabe[[#This Row],[Wo]]="H",IF(MOD(Eingabe[[#This Row],[Position]],2)=1,Eingabe[[#This Row],[S1]],Eingabe[[#This Row],[S4]]),""),"")</f>
        <v/>
      </c>
      <c r="AR248" s="23" t="str">
        <f>IFERROR(IF(Eingabe[[#This Row],[Wo]]="H",IF(Eingabe[[#This Row],[S1]]&gt;0,IF(MOD(Eingabe[[#This Row],[Position]],2)=1,Eingabe[[#This Row],[S2]],Eingabe[[#This Row],[S3]]),""),""),"")</f>
        <v/>
      </c>
      <c r="AS248" s="23" t="str">
        <f>IFERROR(IF(Eingabe[[#This Row],[Wo]]="H",IF(Eingabe[[#This Row],[S1]]&gt;0,IF(MOD(ROW(Eingabe[[#This Row],[Heimbahn 3]]),2)=1,Eingabe[[#This Row],[S4]],Eingabe[[#This Row],[S1]]),""),""),"")</f>
        <v/>
      </c>
      <c r="AT248" s="23" t="str">
        <f>IFERROR(IF(Eingabe[[#This Row],[Wo]]="H",IF(Eingabe[[#This Row],[S1]]&gt;0,IF(MOD(ROW(Eingabe[[#This Row],[Heimbahn 4]]),2)=1,Eingabe[[#This Row],[S3]],Eingabe[[#This Row],[S2]]),""),""),"")</f>
        <v/>
      </c>
      <c r="AU248" s="89" t="str">
        <f>IF(Eingabe[[#This Row],[GES]]="","",IF(Eingabe[[#This Row],[Modus]]="L",_xlfn.RANK.EQ(Eingabe[[#This Row],[GES]],AF243:AF248),IF(Eingabe[[#This Row],[Modus]]="P",_xlfn.RANK.EQ(Eingabe[[#This Row],[GES]],AF243:AF248),"")))</f>
        <v/>
      </c>
      <c r="AV248" s="6" t="e">
        <f>VLOOKUP(Eingabe[[#This Row],[Name]],AuswertungG[],8,FALSE)</f>
        <v>#N/A</v>
      </c>
      <c r="AZ248" s="6" t="str">
        <f>IFERROR(ABS(Eingabe[[#This Row],[GES]]-Eingabe[[#This Row],[GEGGES]]),"")</f>
        <v/>
      </c>
    </row>
    <row r="249" spans="1:52" ht="16.2" hidden="1" thickBot="1" x14ac:dyDescent="0.35">
      <c r="A249" s="440">
        <f t="shared" si="41"/>
        <v>42</v>
      </c>
      <c r="B249" s="55">
        <f t="shared" si="34"/>
        <v>42</v>
      </c>
      <c r="C249" s="35" t="str">
        <f>VLOOKUP($B249,Chronologie[],7,TRUE)</f>
        <v>Hirschfelder SV</v>
      </c>
      <c r="D249" s="35" t="str">
        <f>VLOOKUP($B249,Chronologie[],8,TRUE)</f>
        <v>Hirschfeld</v>
      </c>
      <c r="E249" s="36" t="str">
        <f>VLOOKUP($B249,Chronologie[],9,TRUE)</f>
        <v>H</v>
      </c>
      <c r="F249" s="35" t="str">
        <f>VLOOKUP($B249,Chronologie[],COLUMN(F250)-2,TRUE)</f>
        <v>U19</v>
      </c>
      <c r="G249" s="35" t="str">
        <f>VLOOKUP($B249,Chronologie[],COLUMN(G250)-2,TRUE)</f>
        <v>L</v>
      </c>
      <c r="H249" s="35">
        <f>VLOOKUP($B249,Chronologie[],COLUMN(H250)-2,TRUE)</f>
        <v>10</v>
      </c>
      <c r="I249" s="9" t="str">
        <f>VLOOKUP($B249,Chronologie[],2,TRUE)</f>
        <v>U19-L-10</v>
      </c>
      <c r="J249" s="242">
        <f>VLOOKUP($B249,Chronologie[],3,TRUE)</f>
        <v>46053</v>
      </c>
      <c r="K249" s="236"/>
      <c r="L249" s="334"/>
      <c r="M249" s="334"/>
      <c r="N249" s="334"/>
      <c r="O249" s="334"/>
      <c r="P249" s="334"/>
      <c r="Q249" s="334"/>
      <c r="R249" s="334"/>
      <c r="S249" s="334"/>
      <c r="T249" s="334"/>
      <c r="U249" s="334"/>
      <c r="V249" s="334"/>
      <c r="W249" s="334"/>
      <c r="X249" s="37"/>
      <c r="Y249" s="37"/>
      <c r="Z249" s="37"/>
      <c r="AA249" s="37"/>
      <c r="AB249" s="90"/>
      <c r="AC249" s="93" t="str">
        <f>IF(Eingabe[[#This Row],[V1]]="",IF(Eingabe[[#This Row],[Volle alternativ]]="","",Eingabe[[#This Row],[Volle alternativ]]),SUM(Eingabe[[#This Row],[V1]:[V4]]))</f>
        <v/>
      </c>
      <c r="AD249" s="35" t="str">
        <f>IF(Eingabe[[#This Row],[R1]]="",IF(Eingabe[[#This Row],[Räumer alternativ]]="","",Eingabe[[#This Row],[Räumer alternativ]]),SUM(Eingabe[[#This Row],[R1]:[R4]]))</f>
        <v/>
      </c>
      <c r="AE249" s="35" t="str">
        <f>IF(Eingabe[[#This Row],[F1]]="",IF(Eingabe[[#This Row],[Fehler alternativ]]="","",Eingabe[[#This Row],[Fehler alternativ]]),SUM(Eingabe[[#This Row],[F1]:[F4]]))</f>
        <v/>
      </c>
      <c r="AF249" s="35" t="str">
        <f>IF(Eingabe[[#This Row],[Volle]]="","",IF(Eingabe[[#This Row],[S1]]="",Eingabe[[#This Row],[Volle]]+Eingabe[[#This Row],[Räumer]],IF(Eingabe[[#This Row],[Volle]]+Eingabe[[#This Row],[Räumer]]=Eingabe[[#This Row],[S1]]+Eingabe[[#This Row],[S2]]+Eingabe[[#This Row],[S3]]+Eingabe[[#This Row],[S4]],Eingabe[[#This Row],[Volle]]+Eingabe[[#This Row],[Räumer]],"FEHLER")))</f>
        <v/>
      </c>
      <c r="AG249" s="35" t="str">
        <f>IF(Eingabe[[#This Row],[V1]]="","",Eingabe[[#This Row],[V1]]+Eingabe[[#This Row],[R1]])</f>
        <v/>
      </c>
      <c r="AH249" s="35" t="str">
        <f>IF(Eingabe[[#This Row],[V2]]="","",Eingabe[[#This Row],[V2]]+Eingabe[[#This Row],[R2]])</f>
        <v/>
      </c>
      <c r="AI249" s="35" t="str">
        <f>IF(Eingabe[[#This Row],[V3]]="","",Eingabe[[#This Row],[V3]]+Eingabe[[#This Row],[R3]])</f>
        <v/>
      </c>
      <c r="AJ249" s="35" t="str">
        <f>IF(Eingabe[[#This Row],[V4]]="","",Eingabe[[#This Row],[V4]]+Eingabe[[#This Row],[R4]])</f>
        <v/>
      </c>
      <c r="AK249" s="35" t="str">
        <f>IF(Eingabe[[#This Row],[S1P]]="","",Eingabe[[#This Row],[S1P]]+Eingabe[[#This Row],[S2P]]+Eingabe[[#This Row],[S3P]]+Eingabe[[#This Row],[S4P]])</f>
        <v/>
      </c>
      <c r="AL249" s="35" t="str">
        <f>IF(Eingabe[[#This Row],[S1P]]="","",IF(Eingabe[[#This Row],[SP]]&gt;2,1,IF(Eingabe[[#This Row],[SP]]&lt;2,0,IF(Eingabe[[#This Row],[GES]]&gt;Eingabe[[#This Row],[GEGGES]],1,IF(Eingabe[[#This Row],[GES]]=Eingabe[[#This Row],[GEGGES]],0.5,0)))))</f>
        <v/>
      </c>
      <c r="AM249" s="35" t="str">
        <f>IF(Eingabe[[#This Row],[MP]]="","",MOD(ROW(Eingabe[[#This Row],[Position]])-3,6)+1)</f>
        <v/>
      </c>
      <c r="AN249" s="35" t="e">
        <f>STANDARDIZE(Eingabe[[#This Row],[GES]],Eingabe[[#This Row],[Schnitt]],VLOOKUP(Eingabe[[#This Row],[Name]],AuswertungG[],21,FALSE))</f>
        <v>#VALUE!</v>
      </c>
      <c r="AO249" s="35">
        <f>VLOOKUP(Eingabe[[#This Row],[ID]],Chronologie[[ID]:[KW]],12,FALSE)</f>
        <v>23</v>
      </c>
      <c r="AP249" s="58" t="str">
        <f>IF(Eingabe[[#This Row],[Wo]]="H",Eingabe[[#This Row],[Gegner]]&amp;" ["&amp;Eingabe[[#This Row],[Wo]]&amp;"]",Eingabe[[#This Row],[Ort]])</f>
        <v>Hirschfelder SV [H]</v>
      </c>
      <c r="AQ249" s="35" t="str">
        <f>IFERROR(IF(Eingabe[[#This Row],[Wo]]="H",IF(MOD(Eingabe[[#This Row],[Position]],2)=1,Eingabe[[#This Row],[S1]],Eingabe[[#This Row],[S4]]),""),"")</f>
        <v/>
      </c>
      <c r="AR249" s="35" t="str">
        <f>IFERROR(IF(Eingabe[[#This Row],[Wo]]="H",IF(Eingabe[[#This Row],[S1]]&gt;0,IF(MOD(Eingabe[[#This Row],[Position]],2)=1,Eingabe[[#This Row],[S2]],Eingabe[[#This Row],[S3]]),""),""),"")</f>
        <v/>
      </c>
      <c r="AS249" s="35" t="str">
        <f>IFERROR(IF(Eingabe[[#This Row],[Wo]]="H",IF(Eingabe[[#This Row],[S1]]&gt;0,IF(MOD(ROW(Eingabe[[#This Row],[Heimbahn 3]]),2)=1,Eingabe[[#This Row],[S4]],Eingabe[[#This Row],[S1]]),""),""),"")</f>
        <v/>
      </c>
      <c r="AT249" s="35" t="str">
        <f>IFERROR(IF(Eingabe[[#This Row],[Wo]]="H",IF(Eingabe[[#This Row],[S1]]&gt;0,IF(MOD(ROW(Eingabe[[#This Row],[Heimbahn 4]]),2)=1,Eingabe[[#This Row],[S3]],Eingabe[[#This Row],[S2]]),""),""),"")</f>
        <v/>
      </c>
      <c r="AU249" s="88" t="str">
        <f>IF(Eingabe[[#This Row],[GES]]="","",IF(Eingabe[[#This Row],[Modus]]="L",_xlfn.RANK.EQ(Eingabe[[#This Row],[GES]],AF249:AF254),IF(Eingabe[[#This Row],[Modus]]="P",_xlfn.RANK.EQ(Eingabe[[#This Row],[GES]],AF249:AF254),"")))</f>
        <v/>
      </c>
      <c r="AV249" s="6" t="e">
        <f>VLOOKUP(Eingabe[[#This Row],[Name]],AuswertungG[],8,FALSE)</f>
        <v>#N/A</v>
      </c>
      <c r="AZ249" s="6" t="str">
        <f>IFERROR(ABS(Eingabe[[#This Row],[GES]]-Eingabe[[#This Row],[GEGGES]]),"")</f>
        <v/>
      </c>
    </row>
    <row r="250" spans="1:52" ht="16.2" hidden="1" thickBot="1" x14ac:dyDescent="0.35">
      <c r="A250" s="441"/>
      <c r="B250" s="21">
        <f t="shared" si="34"/>
        <v>42</v>
      </c>
      <c r="C250" s="6" t="str">
        <f>VLOOKUP($B250,Chronologie[],7,TRUE)</f>
        <v>Hirschfelder SV</v>
      </c>
      <c r="D250" s="6" t="str">
        <f>VLOOKUP($B250,Chronologie[],8,TRUE)</f>
        <v>Hirschfeld</v>
      </c>
      <c r="E250" s="240" t="str">
        <f>VLOOKUP($B250,Chronologie[],9,TRUE)</f>
        <v>H</v>
      </c>
      <c r="F250" s="6" t="str">
        <f>VLOOKUP($B250,Chronologie[],COLUMN(F251)-2,TRUE)</f>
        <v>U19</v>
      </c>
      <c r="G250" s="6" t="str">
        <f>VLOOKUP($B250,Chronologie[],COLUMN(G251)-2,TRUE)</f>
        <v>L</v>
      </c>
      <c r="H250" s="6">
        <f>VLOOKUP($B250,Chronologie[],COLUMN(H251)-2,TRUE)</f>
        <v>10</v>
      </c>
      <c r="I250" s="10" t="str">
        <f>VLOOKUP($B250,Chronologie[],2,TRUE)</f>
        <v>U19-L-10</v>
      </c>
      <c r="J250" s="243">
        <f>VLOOKUP($B250,Chronologie[],3,TRUE)</f>
        <v>46053</v>
      </c>
      <c r="K250" s="237"/>
      <c r="L250" s="237"/>
      <c r="M250" s="237"/>
      <c r="N250" s="237"/>
      <c r="O250" s="237"/>
      <c r="P250" s="237"/>
      <c r="Q250" s="237"/>
      <c r="R250" s="237"/>
      <c r="S250" s="237"/>
      <c r="T250" s="237"/>
      <c r="U250" s="237"/>
      <c r="V250" s="237"/>
      <c r="W250" s="237"/>
      <c r="X250" s="38"/>
      <c r="Y250" s="38"/>
      <c r="Z250" s="38"/>
      <c r="AA250" s="38"/>
      <c r="AB250" s="91"/>
      <c r="AC250" s="94" t="str">
        <f>IF(Eingabe[[#This Row],[V1]]="",IF(Eingabe[[#This Row],[Volle alternativ]]="","",Eingabe[[#This Row],[Volle alternativ]]),SUM(Eingabe[[#This Row],[V1]:[V4]]))</f>
        <v/>
      </c>
      <c r="AD250" s="6" t="str">
        <f>IF(Eingabe[[#This Row],[R1]]="",IF(Eingabe[[#This Row],[Räumer alternativ]]="","",Eingabe[[#This Row],[Räumer alternativ]]),SUM(Eingabe[[#This Row],[R1]:[R4]]))</f>
        <v/>
      </c>
      <c r="AE250" s="6" t="str">
        <f>IF(Eingabe[[#This Row],[F1]]="",IF(Eingabe[[#This Row],[Fehler alternativ]]="","",Eingabe[[#This Row],[Fehler alternativ]]),SUM(Eingabe[[#This Row],[F1]:[F4]]))</f>
        <v/>
      </c>
      <c r="AF250" s="6" t="str">
        <f>IF(Eingabe[[#This Row],[Volle]]="","",IF(Eingabe[[#This Row],[S1]]="",Eingabe[[#This Row],[Volle]]+Eingabe[[#This Row],[Räumer]],IF(Eingabe[[#This Row],[Volle]]+Eingabe[[#This Row],[Räumer]]=Eingabe[[#This Row],[S1]]+Eingabe[[#This Row],[S2]]+Eingabe[[#This Row],[S3]]+Eingabe[[#This Row],[S4]],Eingabe[[#This Row],[Volle]]+Eingabe[[#This Row],[Räumer]],"FEHLER")))</f>
        <v/>
      </c>
      <c r="AG250" s="6" t="str">
        <f>IF(Eingabe[[#This Row],[V1]]="","",Eingabe[[#This Row],[V1]]+Eingabe[[#This Row],[R1]])</f>
        <v/>
      </c>
      <c r="AH250" s="6" t="str">
        <f>IF(Eingabe[[#This Row],[V2]]="","",Eingabe[[#This Row],[V2]]+Eingabe[[#This Row],[R2]])</f>
        <v/>
      </c>
      <c r="AI250" s="6" t="str">
        <f>IF(Eingabe[[#This Row],[V3]]="","",Eingabe[[#This Row],[V3]]+Eingabe[[#This Row],[R3]])</f>
        <v/>
      </c>
      <c r="AJ250" s="6" t="str">
        <f>IF(Eingabe[[#This Row],[V4]]="","",Eingabe[[#This Row],[V4]]+Eingabe[[#This Row],[R4]])</f>
        <v/>
      </c>
      <c r="AK250" s="6" t="str">
        <f>IF(Eingabe[[#This Row],[S1P]]="","",Eingabe[[#This Row],[S1P]]+Eingabe[[#This Row],[S2P]]+Eingabe[[#This Row],[S3P]]+Eingabe[[#This Row],[S4P]])</f>
        <v/>
      </c>
      <c r="AL250" s="6" t="str">
        <f>IF(Eingabe[[#This Row],[S1P]]="","",IF(Eingabe[[#This Row],[SP]]&gt;2,1,IF(Eingabe[[#This Row],[SP]]&lt;2,0,IF(Eingabe[[#This Row],[GES]]&gt;Eingabe[[#This Row],[GEGGES]],1,IF(Eingabe[[#This Row],[GES]]=Eingabe[[#This Row],[GEGGES]],0.5,0)))))</f>
        <v/>
      </c>
      <c r="AM250" s="6" t="str">
        <f>IF(Eingabe[[#This Row],[MP]]="","",MOD(ROW(Eingabe[[#This Row],[Position]])-3,6)+1)</f>
        <v/>
      </c>
      <c r="AN250" s="6" t="e">
        <f>STANDARDIZE(Eingabe[[#This Row],[GES]],Eingabe[[#This Row],[Schnitt]],VLOOKUP(Eingabe[[#This Row],[Name]],AuswertungG[],21,FALSE))</f>
        <v>#VALUE!</v>
      </c>
      <c r="AO250" s="6">
        <f>VLOOKUP(Eingabe[[#This Row],[ID]],Chronologie[[ID]:[KW]],12,FALSE)</f>
        <v>23</v>
      </c>
      <c r="AP250" s="95" t="str">
        <f>IF(Eingabe[[#This Row],[Wo]]="H",Eingabe[[#This Row],[Gegner]]&amp;" ["&amp;Eingabe[[#This Row],[Wo]]&amp;"]",Eingabe[[#This Row],[Ort]])</f>
        <v>Hirschfelder SV [H]</v>
      </c>
      <c r="AQ250" s="6" t="str">
        <f>IFERROR(IF(Eingabe[[#This Row],[Wo]]="H",IF(MOD(Eingabe[[#This Row],[Position]],2)=1,Eingabe[[#This Row],[S1]],Eingabe[[#This Row],[S4]]),""),"")</f>
        <v/>
      </c>
      <c r="AR250" s="6" t="str">
        <f>IFERROR(IF(Eingabe[[#This Row],[Wo]]="H",IF(Eingabe[[#This Row],[S1]]&gt;0,IF(MOD(Eingabe[[#This Row],[Position]],2)=1,Eingabe[[#This Row],[S2]],Eingabe[[#This Row],[S3]]),""),""),"")</f>
        <v/>
      </c>
      <c r="AS250" s="6" t="str">
        <f>IFERROR(IF(Eingabe[[#This Row],[Wo]]="H",IF(Eingabe[[#This Row],[S1]]&gt;0,IF(MOD(ROW(Eingabe[[#This Row],[Heimbahn 3]]),2)=1,Eingabe[[#This Row],[S4]],Eingabe[[#This Row],[S1]]),""),""),"")</f>
        <v/>
      </c>
      <c r="AT250" s="6" t="str">
        <f>IFERROR(IF(Eingabe[[#This Row],[Wo]]="H",IF(Eingabe[[#This Row],[S1]]&gt;0,IF(MOD(ROW(Eingabe[[#This Row],[Heimbahn 4]]),2)=1,Eingabe[[#This Row],[S3]],Eingabe[[#This Row],[S2]]),""),""),"")</f>
        <v/>
      </c>
      <c r="AU250" s="22" t="str">
        <f>IF(Eingabe[[#This Row],[GES]]="","",IF(Eingabe[[#This Row],[Modus]]="L",_xlfn.RANK.EQ(Eingabe[[#This Row],[GES]],AF249:AF254),IF(Eingabe[[#This Row],[Modus]]="P",_xlfn.RANK.EQ(Eingabe[[#This Row],[GES]],AF249:AF254),"")))</f>
        <v/>
      </c>
      <c r="AV250" s="6" t="e">
        <f>VLOOKUP(Eingabe[[#This Row],[Name]],AuswertungG[],8,FALSE)</f>
        <v>#N/A</v>
      </c>
      <c r="AZ250" s="6" t="str">
        <f>IFERROR(ABS(Eingabe[[#This Row],[GES]]-Eingabe[[#This Row],[GEGGES]]),"")</f>
        <v/>
      </c>
    </row>
    <row r="251" spans="1:52" ht="16.2" hidden="1" thickBot="1" x14ac:dyDescent="0.35">
      <c r="A251" s="441"/>
      <c r="B251" s="21">
        <f t="shared" si="34"/>
        <v>42</v>
      </c>
      <c r="C251" s="6" t="str">
        <f>VLOOKUP($B251,Chronologie[],7,TRUE)</f>
        <v>Hirschfelder SV</v>
      </c>
      <c r="D251" s="6" t="str">
        <f>VLOOKUP($B251,Chronologie[],8,TRUE)</f>
        <v>Hirschfeld</v>
      </c>
      <c r="E251" s="240" t="str">
        <f>VLOOKUP($B251,Chronologie[],9,TRUE)</f>
        <v>H</v>
      </c>
      <c r="F251" s="6" t="str">
        <f>VLOOKUP($B251,Chronologie[],COLUMN(F252)-2,TRUE)</f>
        <v>U19</v>
      </c>
      <c r="G251" s="6" t="str">
        <f>VLOOKUP($B251,Chronologie[],COLUMN(G252)-2,TRUE)</f>
        <v>L</v>
      </c>
      <c r="H251" s="6">
        <f>VLOOKUP($B251,Chronologie[],COLUMN(H252)-2,TRUE)</f>
        <v>10</v>
      </c>
      <c r="I251" s="10" t="str">
        <f>VLOOKUP($B251,Chronologie[],2,TRUE)</f>
        <v>U19-L-10</v>
      </c>
      <c r="J251" s="243">
        <f>VLOOKUP($B251,Chronologie[],3,TRUE)</f>
        <v>46053</v>
      </c>
      <c r="K251" s="237"/>
      <c r="L251" s="237"/>
      <c r="M251" s="237"/>
      <c r="N251" s="237"/>
      <c r="O251" s="237"/>
      <c r="P251" s="237"/>
      <c r="Q251" s="237"/>
      <c r="R251" s="237"/>
      <c r="S251" s="237"/>
      <c r="T251" s="237"/>
      <c r="U251" s="237"/>
      <c r="V251" s="237"/>
      <c r="W251" s="237"/>
      <c r="X251" s="38"/>
      <c r="Y251" s="38"/>
      <c r="Z251" s="38"/>
      <c r="AA251" s="38"/>
      <c r="AB251" s="91"/>
      <c r="AC251" s="94" t="str">
        <f>IF(Eingabe[[#This Row],[V1]]="",IF(Eingabe[[#This Row],[Volle alternativ]]="","",Eingabe[[#This Row],[Volle alternativ]]),SUM(Eingabe[[#This Row],[V1]:[V4]]))</f>
        <v/>
      </c>
      <c r="AD251" s="6" t="str">
        <f>IF(Eingabe[[#This Row],[R1]]="",IF(Eingabe[[#This Row],[Räumer alternativ]]="","",Eingabe[[#This Row],[Räumer alternativ]]),SUM(Eingabe[[#This Row],[R1]:[R4]]))</f>
        <v/>
      </c>
      <c r="AE251" s="6" t="str">
        <f>IF(Eingabe[[#This Row],[F1]]="",IF(Eingabe[[#This Row],[Fehler alternativ]]="","",Eingabe[[#This Row],[Fehler alternativ]]),SUM(Eingabe[[#This Row],[F1]:[F4]]))</f>
        <v/>
      </c>
      <c r="AF251" s="6" t="str">
        <f>IF(Eingabe[[#This Row],[Volle]]="","",IF(Eingabe[[#This Row],[S1]]="",Eingabe[[#This Row],[Volle]]+Eingabe[[#This Row],[Räumer]],IF(Eingabe[[#This Row],[Volle]]+Eingabe[[#This Row],[Räumer]]=Eingabe[[#This Row],[S1]]+Eingabe[[#This Row],[S2]]+Eingabe[[#This Row],[S3]]+Eingabe[[#This Row],[S4]],Eingabe[[#This Row],[Volle]]+Eingabe[[#This Row],[Räumer]],"FEHLER")))</f>
        <v/>
      </c>
      <c r="AG251" s="6" t="str">
        <f>IF(Eingabe[[#This Row],[V1]]="","",Eingabe[[#This Row],[V1]]+Eingabe[[#This Row],[R1]])</f>
        <v/>
      </c>
      <c r="AH251" s="6" t="str">
        <f>IF(Eingabe[[#This Row],[V2]]="","",Eingabe[[#This Row],[V2]]+Eingabe[[#This Row],[R2]])</f>
        <v/>
      </c>
      <c r="AI251" s="6" t="str">
        <f>IF(Eingabe[[#This Row],[V3]]="","",Eingabe[[#This Row],[V3]]+Eingabe[[#This Row],[R3]])</f>
        <v/>
      </c>
      <c r="AJ251" s="6" t="str">
        <f>IF(Eingabe[[#This Row],[V4]]="","",Eingabe[[#This Row],[V4]]+Eingabe[[#This Row],[R4]])</f>
        <v/>
      </c>
      <c r="AK251" s="6" t="str">
        <f>IF(Eingabe[[#This Row],[S1P]]="","",Eingabe[[#This Row],[S1P]]+Eingabe[[#This Row],[S2P]]+Eingabe[[#This Row],[S3P]]+Eingabe[[#This Row],[S4P]])</f>
        <v/>
      </c>
      <c r="AL251" s="6" t="str">
        <f>IF(Eingabe[[#This Row],[S1P]]="","",IF(Eingabe[[#This Row],[SP]]&gt;2,1,IF(Eingabe[[#This Row],[SP]]&lt;2,0,IF(Eingabe[[#This Row],[GES]]&gt;Eingabe[[#This Row],[GEGGES]],1,IF(Eingabe[[#This Row],[GES]]=Eingabe[[#This Row],[GEGGES]],0.5,0)))))</f>
        <v/>
      </c>
      <c r="AM251" s="6" t="str">
        <f>IF(Eingabe[[#This Row],[MP]]="","",MOD(ROW(Eingabe[[#This Row],[Position]])-3,6)+1)</f>
        <v/>
      </c>
      <c r="AN251" s="6" t="e">
        <f>STANDARDIZE(Eingabe[[#This Row],[GES]],Eingabe[[#This Row],[Schnitt]],VLOOKUP(Eingabe[[#This Row],[Name]],AuswertungG[],21,FALSE))</f>
        <v>#VALUE!</v>
      </c>
      <c r="AO251" s="6">
        <f>VLOOKUP(Eingabe[[#This Row],[ID]],Chronologie[[ID]:[KW]],12,FALSE)</f>
        <v>23</v>
      </c>
      <c r="AP251" s="95" t="str">
        <f>IF(Eingabe[[#This Row],[Wo]]="H",Eingabe[[#This Row],[Gegner]]&amp;" ["&amp;Eingabe[[#This Row],[Wo]]&amp;"]",Eingabe[[#This Row],[Ort]])</f>
        <v>Hirschfelder SV [H]</v>
      </c>
      <c r="AQ251" s="6" t="str">
        <f>IFERROR(IF(Eingabe[[#This Row],[Wo]]="H",IF(MOD(Eingabe[[#This Row],[Position]],2)=1,Eingabe[[#This Row],[S1]],Eingabe[[#This Row],[S4]]),""),"")</f>
        <v/>
      </c>
      <c r="AR251" s="6" t="str">
        <f>IFERROR(IF(Eingabe[[#This Row],[Wo]]="H",IF(Eingabe[[#This Row],[S1]]&gt;0,IF(MOD(Eingabe[[#This Row],[Position]],2)=1,Eingabe[[#This Row],[S2]],Eingabe[[#This Row],[S3]]),""),""),"")</f>
        <v/>
      </c>
      <c r="AS251" s="6" t="str">
        <f>IFERROR(IF(Eingabe[[#This Row],[Wo]]="H",IF(Eingabe[[#This Row],[S1]]&gt;0,IF(MOD(ROW(Eingabe[[#This Row],[Heimbahn 3]]),2)=1,Eingabe[[#This Row],[S4]],Eingabe[[#This Row],[S1]]),""),""),"")</f>
        <v/>
      </c>
      <c r="AT251" s="6" t="str">
        <f>IFERROR(IF(Eingabe[[#This Row],[Wo]]="H",IF(Eingabe[[#This Row],[S1]]&gt;0,IF(MOD(ROW(Eingabe[[#This Row],[Heimbahn 4]]),2)=1,Eingabe[[#This Row],[S3]],Eingabe[[#This Row],[S2]]),""),""),"")</f>
        <v/>
      </c>
      <c r="AU251" s="22" t="str">
        <f>IF(Eingabe[[#This Row],[GES]]="","",IF(Eingabe[[#This Row],[Modus]]="L",_xlfn.RANK.EQ(Eingabe[[#This Row],[GES]],AF249:AF254),IF(Eingabe[[#This Row],[Modus]]="P",_xlfn.RANK.EQ(Eingabe[[#This Row],[GES]],AF249:AF254),"")))</f>
        <v/>
      </c>
      <c r="AV251" s="6" t="e">
        <f>VLOOKUP(Eingabe[[#This Row],[Name]],AuswertungG[],8,FALSE)</f>
        <v>#N/A</v>
      </c>
      <c r="AZ251" s="6" t="str">
        <f>IFERROR(ABS(Eingabe[[#This Row],[GES]]-Eingabe[[#This Row],[GEGGES]]),"")</f>
        <v/>
      </c>
    </row>
    <row r="252" spans="1:52" ht="16.2" hidden="1" thickBot="1" x14ac:dyDescent="0.35">
      <c r="A252" s="441"/>
      <c r="B252" s="21">
        <f t="shared" si="34"/>
        <v>42</v>
      </c>
      <c r="C252" s="6" t="str">
        <f>VLOOKUP($B252,Chronologie[],7,TRUE)</f>
        <v>Hirschfelder SV</v>
      </c>
      <c r="D252" s="6" t="str">
        <f>VLOOKUP($B252,Chronologie[],8,TRUE)</f>
        <v>Hirschfeld</v>
      </c>
      <c r="E252" s="240" t="str">
        <f>VLOOKUP($B252,Chronologie[],9,TRUE)</f>
        <v>H</v>
      </c>
      <c r="F252" s="6" t="str">
        <f>VLOOKUP($B252,Chronologie[],COLUMN(F253)-2,TRUE)</f>
        <v>U19</v>
      </c>
      <c r="G252" s="6" t="str">
        <f>VLOOKUP($B252,Chronologie[],COLUMN(G253)-2,TRUE)</f>
        <v>L</v>
      </c>
      <c r="H252" s="6">
        <f>VLOOKUP($B252,Chronologie[],COLUMN(H253)-2,TRUE)</f>
        <v>10</v>
      </c>
      <c r="I252" s="10" t="str">
        <f>VLOOKUP($B252,Chronologie[],2,TRUE)</f>
        <v>U19-L-10</v>
      </c>
      <c r="J252" s="243">
        <f>VLOOKUP($B252,Chronologie[],3,TRUE)</f>
        <v>46053</v>
      </c>
      <c r="K252" s="238"/>
      <c r="L252" s="237"/>
      <c r="M252" s="237"/>
      <c r="N252" s="237"/>
      <c r="O252" s="237"/>
      <c r="P252" s="237"/>
      <c r="Q252" s="237"/>
      <c r="R252" s="237"/>
      <c r="S252" s="237"/>
      <c r="T252" s="237"/>
      <c r="U252" s="237"/>
      <c r="V252" s="237"/>
      <c r="W252" s="237"/>
      <c r="X252" s="38"/>
      <c r="Y252" s="38"/>
      <c r="Z252" s="38"/>
      <c r="AA252" s="38"/>
      <c r="AB252" s="91"/>
      <c r="AC252" s="94" t="str">
        <f>IF(Eingabe[[#This Row],[V1]]="",IF(Eingabe[[#This Row],[Volle alternativ]]="","",Eingabe[[#This Row],[Volle alternativ]]),SUM(Eingabe[[#This Row],[V1]:[V4]]))</f>
        <v/>
      </c>
      <c r="AD252" s="6" t="str">
        <f>IF(Eingabe[[#This Row],[R1]]="",IF(Eingabe[[#This Row],[Räumer alternativ]]="","",Eingabe[[#This Row],[Räumer alternativ]]),SUM(Eingabe[[#This Row],[R1]:[R4]]))</f>
        <v/>
      </c>
      <c r="AE252" s="6" t="str">
        <f>IF(Eingabe[[#This Row],[F1]]="",IF(Eingabe[[#This Row],[Fehler alternativ]]="","",Eingabe[[#This Row],[Fehler alternativ]]),SUM(Eingabe[[#This Row],[F1]:[F4]]))</f>
        <v/>
      </c>
      <c r="AF252" s="6" t="str">
        <f>IF(Eingabe[[#This Row],[Volle]]="","",IF(Eingabe[[#This Row],[S1]]="",Eingabe[[#This Row],[Volle]]+Eingabe[[#This Row],[Räumer]],IF(Eingabe[[#This Row],[Volle]]+Eingabe[[#This Row],[Räumer]]=Eingabe[[#This Row],[S1]]+Eingabe[[#This Row],[S2]]+Eingabe[[#This Row],[S3]]+Eingabe[[#This Row],[S4]],Eingabe[[#This Row],[Volle]]+Eingabe[[#This Row],[Räumer]],"FEHLER")))</f>
        <v/>
      </c>
      <c r="AG252" s="6" t="str">
        <f>IF(Eingabe[[#This Row],[V1]]="","",Eingabe[[#This Row],[V1]]+Eingabe[[#This Row],[R1]])</f>
        <v/>
      </c>
      <c r="AH252" s="6" t="str">
        <f>IF(Eingabe[[#This Row],[V2]]="","",Eingabe[[#This Row],[V2]]+Eingabe[[#This Row],[R2]])</f>
        <v/>
      </c>
      <c r="AI252" s="6" t="str">
        <f>IF(Eingabe[[#This Row],[V3]]="","",Eingabe[[#This Row],[V3]]+Eingabe[[#This Row],[R3]])</f>
        <v/>
      </c>
      <c r="AJ252" s="6" t="str">
        <f>IF(Eingabe[[#This Row],[V4]]="","",Eingabe[[#This Row],[V4]]+Eingabe[[#This Row],[R4]])</f>
        <v/>
      </c>
      <c r="AK252" s="6" t="str">
        <f>IF(Eingabe[[#This Row],[S1P]]="","",Eingabe[[#This Row],[S1P]]+Eingabe[[#This Row],[S2P]]+Eingabe[[#This Row],[S3P]]+Eingabe[[#This Row],[S4P]])</f>
        <v/>
      </c>
      <c r="AL252" s="6" t="str">
        <f>IF(Eingabe[[#This Row],[S1P]]="","",IF(Eingabe[[#This Row],[SP]]&gt;2,1,IF(Eingabe[[#This Row],[SP]]&lt;2,0,IF(Eingabe[[#This Row],[GES]]&gt;Eingabe[[#This Row],[GEGGES]],1,IF(Eingabe[[#This Row],[GES]]=Eingabe[[#This Row],[GEGGES]],0.5,0)))))</f>
        <v/>
      </c>
      <c r="AM252" s="6" t="str">
        <f>IF(Eingabe[[#This Row],[MP]]="","",MOD(ROW(Eingabe[[#This Row],[Position]])-3,6)+1)</f>
        <v/>
      </c>
      <c r="AN252" s="6" t="e">
        <f>STANDARDIZE(Eingabe[[#This Row],[GES]],Eingabe[[#This Row],[Schnitt]],VLOOKUP(Eingabe[[#This Row],[Name]],AuswertungG[],21,FALSE))</f>
        <v>#VALUE!</v>
      </c>
      <c r="AO252" s="6">
        <f>VLOOKUP(Eingabe[[#This Row],[ID]],Chronologie[[ID]:[KW]],12,FALSE)</f>
        <v>23</v>
      </c>
      <c r="AP252" s="95" t="str">
        <f>IF(Eingabe[[#This Row],[Wo]]="H",Eingabe[[#This Row],[Gegner]]&amp;" ["&amp;Eingabe[[#This Row],[Wo]]&amp;"]",Eingabe[[#This Row],[Ort]])</f>
        <v>Hirschfelder SV [H]</v>
      </c>
      <c r="AQ252" s="6" t="str">
        <f>IFERROR(IF(Eingabe[[#This Row],[Wo]]="H",IF(MOD(Eingabe[[#This Row],[Position]],2)=1,Eingabe[[#This Row],[S1]],Eingabe[[#This Row],[S4]]),""),"")</f>
        <v/>
      </c>
      <c r="AR252" s="6" t="str">
        <f>IFERROR(IF(Eingabe[[#This Row],[Wo]]="H",IF(Eingabe[[#This Row],[S1]]&gt;0,IF(MOD(Eingabe[[#This Row],[Position]],2)=1,Eingabe[[#This Row],[S2]],Eingabe[[#This Row],[S3]]),""),""),"")</f>
        <v/>
      </c>
      <c r="AS252" s="6" t="str">
        <f>IFERROR(IF(Eingabe[[#This Row],[Wo]]="H",IF(Eingabe[[#This Row],[S1]]&gt;0,IF(MOD(ROW(Eingabe[[#This Row],[Heimbahn 3]]),2)=1,Eingabe[[#This Row],[S4]],Eingabe[[#This Row],[S1]]),""),""),"")</f>
        <v/>
      </c>
      <c r="AT252" s="6" t="str">
        <f>IFERROR(IF(Eingabe[[#This Row],[Wo]]="H",IF(Eingabe[[#This Row],[S1]]&gt;0,IF(MOD(ROW(Eingabe[[#This Row],[Heimbahn 4]]),2)=1,Eingabe[[#This Row],[S3]],Eingabe[[#This Row],[S2]]),""),""),"")</f>
        <v/>
      </c>
      <c r="AU252" s="22" t="str">
        <f>IF(Eingabe[[#This Row],[GES]]="","",IF(Eingabe[[#This Row],[Modus]]="L",_xlfn.RANK.EQ(Eingabe[[#This Row],[GES]],AF249:AF254),IF(Eingabe[[#This Row],[Modus]]="P",_xlfn.RANK.EQ(Eingabe[[#This Row],[GES]],AF249:AF254),"")))</f>
        <v/>
      </c>
      <c r="AV252" s="6" t="e">
        <f>VLOOKUP(Eingabe[[#This Row],[Name]],AuswertungG[],8,FALSE)</f>
        <v>#N/A</v>
      </c>
      <c r="AZ252" s="6" t="str">
        <f>IFERROR(ABS(Eingabe[[#This Row],[GES]]-Eingabe[[#This Row],[GEGGES]]),"")</f>
        <v/>
      </c>
    </row>
    <row r="253" spans="1:52" ht="16.2" hidden="1" thickBot="1" x14ac:dyDescent="0.35">
      <c r="A253" s="441"/>
      <c r="B253" s="21">
        <f t="shared" si="34"/>
        <v>42</v>
      </c>
      <c r="C253" s="6" t="str">
        <f>VLOOKUP($B253,Chronologie[],7,TRUE)</f>
        <v>Hirschfelder SV</v>
      </c>
      <c r="D253" s="6" t="str">
        <f>VLOOKUP($B253,Chronologie[],8,TRUE)</f>
        <v>Hirschfeld</v>
      </c>
      <c r="E253" s="240" t="str">
        <f>VLOOKUP($B253,Chronologie[],9,TRUE)</f>
        <v>H</v>
      </c>
      <c r="F253" s="6" t="str">
        <f>VLOOKUP($B253,Chronologie[],COLUMN(F254)-2,TRUE)</f>
        <v>U19</v>
      </c>
      <c r="G253" s="6" t="str">
        <f>VLOOKUP($B253,Chronologie[],COLUMN(G254)-2,TRUE)</f>
        <v>L</v>
      </c>
      <c r="H253" s="6">
        <f>VLOOKUP($B253,Chronologie[],COLUMN(H254)-2,TRUE)</f>
        <v>10</v>
      </c>
      <c r="I253" s="10" t="str">
        <f>VLOOKUP($B253,Chronologie[],2,TRUE)</f>
        <v>U19-L-10</v>
      </c>
      <c r="J253" s="243">
        <f>VLOOKUP($B253,Chronologie[],3,TRUE)</f>
        <v>46053</v>
      </c>
      <c r="K253" s="237"/>
      <c r="L253" s="237"/>
      <c r="M253" s="237"/>
      <c r="N253" s="237"/>
      <c r="O253" s="237"/>
      <c r="P253" s="237"/>
      <c r="Q253" s="237"/>
      <c r="R253" s="237"/>
      <c r="S253" s="237"/>
      <c r="T253" s="237"/>
      <c r="U253" s="237"/>
      <c r="V253" s="237"/>
      <c r="W253" s="237"/>
      <c r="X253" s="38"/>
      <c r="Y253" s="38"/>
      <c r="Z253" s="38"/>
      <c r="AA253" s="38"/>
      <c r="AB253" s="91"/>
      <c r="AC253" s="94" t="str">
        <f>IF(Eingabe[[#This Row],[V1]]="",IF(Eingabe[[#This Row],[Volle alternativ]]="","",Eingabe[[#This Row],[Volle alternativ]]),SUM(Eingabe[[#This Row],[V1]:[V4]]))</f>
        <v/>
      </c>
      <c r="AD253" s="6" t="str">
        <f>IF(Eingabe[[#This Row],[R1]]="",IF(Eingabe[[#This Row],[Räumer alternativ]]="","",Eingabe[[#This Row],[Räumer alternativ]]),SUM(Eingabe[[#This Row],[R1]:[R4]]))</f>
        <v/>
      </c>
      <c r="AE253" s="6" t="str">
        <f>IF(Eingabe[[#This Row],[F1]]="",IF(Eingabe[[#This Row],[Fehler alternativ]]="","",Eingabe[[#This Row],[Fehler alternativ]]),SUM(Eingabe[[#This Row],[F1]:[F4]]))</f>
        <v/>
      </c>
      <c r="AF253" s="6" t="str">
        <f>IF(Eingabe[[#This Row],[Volle]]="","",IF(Eingabe[[#This Row],[S1]]="",Eingabe[[#This Row],[Volle]]+Eingabe[[#This Row],[Räumer]],IF(Eingabe[[#This Row],[Volle]]+Eingabe[[#This Row],[Räumer]]=Eingabe[[#This Row],[S1]]+Eingabe[[#This Row],[S2]]+Eingabe[[#This Row],[S3]]+Eingabe[[#This Row],[S4]],Eingabe[[#This Row],[Volle]]+Eingabe[[#This Row],[Räumer]],"FEHLER")))</f>
        <v/>
      </c>
      <c r="AG253" s="6" t="str">
        <f>IF(Eingabe[[#This Row],[V1]]="","",Eingabe[[#This Row],[V1]]+Eingabe[[#This Row],[R1]])</f>
        <v/>
      </c>
      <c r="AH253" s="6" t="str">
        <f>IF(Eingabe[[#This Row],[V2]]="","",Eingabe[[#This Row],[V2]]+Eingabe[[#This Row],[R2]])</f>
        <v/>
      </c>
      <c r="AI253" s="6" t="str">
        <f>IF(Eingabe[[#This Row],[V3]]="","",Eingabe[[#This Row],[V3]]+Eingabe[[#This Row],[R3]])</f>
        <v/>
      </c>
      <c r="AJ253" s="6" t="str">
        <f>IF(Eingabe[[#This Row],[V4]]="","",Eingabe[[#This Row],[V4]]+Eingabe[[#This Row],[R4]])</f>
        <v/>
      </c>
      <c r="AK253" s="6" t="str">
        <f>IF(Eingabe[[#This Row],[S1P]]="","",Eingabe[[#This Row],[S1P]]+Eingabe[[#This Row],[S2P]]+Eingabe[[#This Row],[S3P]]+Eingabe[[#This Row],[S4P]])</f>
        <v/>
      </c>
      <c r="AL253" s="6" t="str">
        <f>IF(Eingabe[[#This Row],[S1P]]="","",IF(Eingabe[[#This Row],[SP]]&gt;2,1,IF(Eingabe[[#This Row],[SP]]&lt;2,0,IF(Eingabe[[#This Row],[GES]]&gt;Eingabe[[#This Row],[GEGGES]],1,IF(Eingabe[[#This Row],[GES]]=Eingabe[[#This Row],[GEGGES]],0.5,0)))))</f>
        <v/>
      </c>
      <c r="AM253" s="6" t="str">
        <f>IF(Eingabe[[#This Row],[MP]]="","",MOD(ROW(Eingabe[[#This Row],[Position]])-3,6)+1)</f>
        <v/>
      </c>
      <c r="AN253" s="6" t="e">
        <f>STANDARDIZE(Eingabe[[#This Row],[GES]],Eingabe[[#This Row],[Schnitt]],VLOOKUP(Eingabe[[#This Row],[Name]],AuswertungG[],21,FALSE))</f>
        <v>#VALUE!</v>
      </c>
      <c r="AO253" s="6">
        <f>VLOOKUP(Eingabe[[#This Row],[ID]],Chronologie[[ID]:[KW]],12,FALSE)</f>
        <v>23</v>
      </c>
      <c r="AP253" s="95" t="str">
        <f>IF(Eingabe[[#This Row],[Wo]]="H",Eingabe[[#This Row],[Gegner]]&amp;" ["&amp;Eingabe[[#This Row],[Wo]]&amp;"]",Eingabe[[#This Row],[Ort]])</f>
        <v>Hirschfelder SV [H]</v>
      </c>
      <c r="AQ253" s="6" t="str">
        <f>IFERROR(IF(Eingabe[[#This Row],[Wo]]="H",IF(MOD(Eingabe[[#This Row],[Position]],2)=1,Eingabe[[#This Row],[S1]],Eingabe[[#This Row],[S4]]),""),"")</f>
        <v/>
      </c>
      <c r="AR253" s="6" t="str">
        <f>IFERROR(IF(Eingabe[[#This Row],[Wo]]="H",IF(Eingabe[[#This Row],[S1]]&gt;0,IF(MOD(Eingabe[[#This Row],[Position]],2)=1,Eingabe[[#This Row],[S2]],Eingabe[[#This Row],[S3]]),""),""),"")</f>
        <v/>
      </c>
      <c r="AS253" s="6" t="str">
        <f>IFERROR(IF(Eingabe[[#This Row],[Wo]]="H",IF(Eingabe[[#This Row],[S1]]&gt;0,IF(MOD(ROW(Eingabe[[#This Row],[Heimbahn 3]]),2)=1,Eingabe[[#This Row],[S4]],Eingabe[[#This Row],[S1]]),""),""),"")</f>
        <v/>
      </c>
      <c r="AT253" s="6" t="str">
        <f>IFERROR(IF(Eingabe[[#This Row],[Wo]]="H",IF(Eingabe[[#This Row],[S1]]&gt;0,IF(MOD(ROW(Eingabe[[#This Row],[Heimbahn 4]]),2)=1,Eingabe[[#This Row],[S3]],Eingabe[[#This Row],[S2]]),""),""),"")</f>
        <v/>
      </c>
      <c r="AU253" s="22" t="str">
        <f>IF(Eingabe[[#This Row],[GES]]="","",IF(Eingabe[[#This Row],[Modus]]="L",_xlfn.RANK.EQ(Eingabe[[#This Row],[GES]],AF249:AF254),IF(Eingabe[[#This Row],[Modus]]="P",_xlfn.RANK.EQ(Eingabe[[#This Row],[GES]],AF249:AF254),"")))</f>
        <v/>
      </c>
      <c r="AV253" s="6" t="e">
        <f>VLOOKUP(Eingabe[[#This Row],[Name]],AuswertungG[],8,FALSE)</f>
        <v>#N/A</v>
      </c>
      <c r="AZ253" s="6" t="str">
        <f>IFERROR(ABS(Eingabe[[#This Row],[GES]]-Eingabe[[#This Row],[GEGGES]]),"")</f>
        <v/>
      </c>
    </row>
    <row r="254" spans="1:52" ht="16.2" hidden="1" thickBot="1" x14ac:dyDescent="0.35">
      <c r="A254" s="442"/>
      <c r="B254" s="56">
        <f t="shared" si="34"/>
        <v>42</v>
      </c>
      <c r="C254" s="23" t="str">
        <f>VLOOKUP($B254,Chronologie[],7,TRUE)</f>
        <v>Hirschfelder SV</v>
      </c>
      <c r="D254" s="23" t="str">
        <f>VLOOKUP($B254,Chronologie[],8,TRUE)</f>
        <v>Hirschfeld</v>
      </c>
      <c r="E254" s="39" t="str">
        <f>VLOOKUP($B254,Chronologie[],9,TRUE)</f>
        <v>H</v>
      </c>
      <c r="F254" s="23" t="str">
        <f>VLOOKUP($B254,Chronologie[],COLUMN(F255)-2,TRUE)</f>
        <v>U19</v>
      </c>
      <c r="G254" s="23" t="str">
        <f>VLOOKUP($B254,Chronologie[],COLUMN(G255)-2,TRUE)</f>
        <v>L</v>
      </c>
      <c r="H254" s="23">
        <f>VLOOKUP($B254,Chronologie[],COLUMN(H255)-2,TRUE)</f>
        <v>10</v>
      </c>
      <c r="I254" s="13" t="str">
        <f>VLOOKUP($B254,Chronologie[],2,TRUE)</f>
        <v>U19-L-10</v>
      </c>
      <c r="J254" s="244">
        <f>VLOOKUP($B254,Chronologie[],3,TRUE)</f>
        <v>46053</v>
      </c>
      <c r="K254" s="239"/>
      <c r="L254" s="239"/>
      <c r="M254" s="239"/>
      <c r="N254" s="239"/>
      <c r="O254" s="239"/>
      <c r="P254" s="239"/>
      <c r="Q254" s="239"/>
      <c r="R254" s="239"/>
      <c r="S254" s="239"/>
      <c r="T254" s="239"/>
      <c r="U254" s="239"/>
      <c r="V254" s="239"/>
      <c r="W254" s="239"/>
      <c r="X254" s="40"/>
      <c r="Y254" s="40"/>
      <c r="Z254" s="40"/>
      <c r="AA254" s="40"/>
      <c r="AB254" s="92"/>
      <c r="AC254" s="96" t="str">
        <f>IF(Eingabe[[#This Row],[V1]]="",IF(Eingabe[[#This Row],[Volle alternativ]]="","",Eingabe[[#This Row],[Volle alternativ]]),SUM(Eingabe[[#This Row],[V1]:[V4]]))</f>
        <v/>
      </c>
      <c r="AD254" s="23" t="str">
        <f>IF(Eingabe[[#This Row],[R1]]="",IF(Eingabe[[#This Row],[Räumer alternativ]]="","",Eingabe[[#This Row],[Räumer alternativ]]),SUM(Eingabe[[#This Row],[R1]:[R4]]))</f>
        <v/>
      </c>
      <c r="AE254" s="23" t="str">
        <f>IF(Eingabe[[#This Row],[F1]]="",IF(Eingabe[[#This Row],[Fehler alternativ]]="","",Eingabe[[#This Row],[Fehler alternativ]]),SUM(Eingabe[[#This Row],[F1]:[F4]]))</f>
        <v/>
      </c>
      <c r="AF254" s="23" t="str">
        <f>IF(Eingabe[[#This Row],[Volle]]="","",IF(Eingabe[[#This Row],[S1]]="",Eingabe[[#This Row],[Volle]]+Eingabe[[#This Row],[Räumer]],IF(Eingabe[[#This Row],[Volle]]+Eingabe[[#This Row],[Räumer]]=Eingabe[[#This Row],[S1]]+Eingabe[[#This Row],[S2]]+Eingabe[[#This Row],[S3]]+Eingabe[[#This Row],[S4]],Eingabe[[#This Row],[Volle]]+Eingabe[[#This Row],[Räumer]],"FEHLER")))</f>
        <v/>
      </c>
      <c r="AG254" s="23" t="str">
        <f>IF(Eingabe[[#This Row],[V1]]="","",Eingabe[[#This Row],[V1]]+Eingabe[[#This Row],[R1]])</f>
        <v/>
      </c>
      <c r="AH254" s="23" t="str">
        <f>IF(Eingabe[[#This Row],[V2]]="","",Eingabe[[#This Row],[V2]]+Eingabe[[#This Row],[R2]])</f>
        <v/>
      </c>
      <c r="AI254" s="23" t="str">
        <f>IF(Eingabe[[#This Row],[V3]]="","",Eingabe[[#This Row],[V3]]+Eingabe[[#This Row],[R3]])</f>
        <v/>
      </c>
      <c r="AJ254" s="23" t="str">
        <f>IF(Eingabe[[#This Row],[V4]]="","",Eingabe[[#This Row],[V4]]+Eingabe[[#This Row],[R4]])</f>
        <v/>
      </c>
      <c r="AK254" s="23" t="str">
        <f>IF(Eingabe[[#This Row],[S1P]]="","",Eingabe[[#This Row],[S1P]]+Eingabe[[#This Row],[S2P]]+Eingabe[[#This Row],[S3P]]+Eingabe[[#This Row],[S4P]])</f>
        <v/>
      </c>
      <c r="AL254" s="23" t="str">
        <f>IF(Eingabe[[#This Row],[S1P]]="","",IF(Eingabe[[#This Row],[SP]]&gt;2,1,IF(Eingabe[[#This Row],[SP]]&lt;2,0,IF(Eingabe[[#This Row],[GES]]&gt;Eingabe[[#This Row],[GEGGES]],1,IF(Eingabe[[#This Row],[GES]]=Eingabe[[#This Row],[GEGGES]],0.5,0)))))</f>
        <v/>
      </c>
      <c r="AM254" s="23" t="str">
        <f>IF(Eingabe[[#This Row],[MP]]="","",MOD(ROW(Eingabe[[#This Row],[Position]])-3,6)+1)</f>
        <v/>
      </c>
      <c r="AN254" s="23" t="e">
        <f>STANDARDIZE(Eingabe[[#This Row],[GES]],Eingabe[[#This Row],[Schnitt]],VLOOKUP(Eingabe[[#This Row],[Name]],AuswertungG[],21,FALSE))</f>
        <v>#VALUE!</v>
      </c>
      <c r="AO254" s="23">
        <f>VLOOKUP(Eingabe[[#This Row],[ID]],Chronologie[[ID]:[KW]],12,FALSE)</f>
        <v>23</v>
      </c>
      <c r="AP254" s="59" t="str">
        <f>IF(Eingabe[[#This Row],[Wo]]="H",Eingabe[[#This Row],[Gegner]]&amp;" ["&amp;Eingabe[[#This Row],[Wo]]&amp;"]",Eingabe[[#This Row],[Ort]])</f>
        <v>Hirschfelder SV [H]</v>
      </c>
      <c r="AQ254" s="23" t="str">
        <f>IFERROR(IF(Eingabe[[#This Row],[Wo]]="H",IF(MOD(Eingabe[[#This Row],[Position]],2)=1,Eingabe[[#This Row],[S1]],Eingabe[[#This Row],[S4]]),""),"")</f>
        <v/>
      </c>
      <c r="AR254" s="23" t="str">
        <f>IFERROR(IF(Eingabe[[#This Row],[Wo]]="H",IF(Eingabe[[#This Row],[S1]]&gt;0,IF(MOD(Eingabe[[#This Row],[Position]],2)=1,Eingabe[[#This Row],[S2]],Eingabe[[#This Row],[S3]]),""),""),"")</f>
        <v/>
      </c>
      <c r="AS254" s="23" t="str">
        <f>IFERROR(IF(Eingabe[[#This Row],[Wo]]="H",IF(Eingabe[[#This Row],[S1]]&gt;0,IF(MOD(ROW(Eingabe[[#This Row],[Heimbahn 3]]),2)=1,Eingabe[[#This Row],[S4]],Eingabe[[#This Row],[S1]]),""),""),"")</f>
        <v/>
      </c>
      <c r="AT254" s="23" t="str">
        <f>IFERROR(IF(Eingabe[[#This Row],[Wo]]="H",IF(Eingabe[[#This Row],[S1]]&gt;0,IF(MOD(ROW(Eingabe[[#This Row],[Heimbahn 4]]),2)=1,Eingabe[[#This Row],[S3]],Eingabe[[#This Row],[S2]]),""),""),"")</f>
        <v/>
      </c>
      <c r="AU254" s="89" t="str">
        <f>IF(Eingabe[[#This Row],[GES]]="","",IF(Eingabe[[#This Row],[Modus]]="L",_xlfn.RANK.EQ(Eingabe[[#This Row],[GES]],AF249:AF254),IF(Eingabe[[#This Row],[Modus]]="P",_xlfn.RANK.EQ(Eingabe[[#This Row],[GES]],AF249:AF254),"")))</f>
        <v/>
      </c>
      <c r="AV254" s="6" t="e">
        <f>VLOOKUP(Eingabe[[#This Row],[Name]],AuswertungG[],8,FALSE)</f>
        <v>#N/A</v>
      </c>
      <c r="AZ254" s="6" t="str">
        <f>IFERROR(ABS(Eingabe[[#This Row],[GES]]-Eingabe[[#This Row],[GEGGES]]),"")</f>
        <v/>
      </c>
    </row>
    <row r="255" spans="1:52" ht="16.2" hidden="1" thickBot="1" x14ac:dyDescent="0.35">
      <c r="A255" s="440">
        <f t="shared" si="41"/>
        <v>43</v>
      </c>
      <c r="B255" s="55">
        <f t="shared" si="34"/>
        <v>43</v>
      </c>
      <c r="C255" s="35" t="str">
        <f>VLOOKUP($B255,Chronologie[],7,TRUE)</f>
        <v>SKV 9-Pins Stollberg</v>
      </c>
      <c r="D255" s="35" t="str">
        <f>VLOOKUP($B255,Chronologie[],8,TRUE)</f>
        <v>Stollberg</v>
      </c>
      <c r="E255" s="36" t="str">
        <f>VLOOKUP($B255,Chronologie[],9,TRUE)</f>
        <v>A</v>
      </c>
      <c r="F255" s="35" t="str">
        <f>VLOOKUP($B255,Chronologie[],COLUMN(F256)-2,TRUE)</f>
        <v>U19</v>
      </c>
      <c r="G255" s="35" t="str">
        <f>VLOOKUP($B255,Chronologie[],COLUMN(G256)-2,TRUE)</f>
        <v>L</v>
      </c>
      <c r="H255" s="35">
        <f>VLOOKUP($B255,Chronologie[],COLUMN(H256)-2,TRUE)</f>
        <v>11</v>
      </c>
      <c r="I255" s="9" t="str">
        <f>VLOOKUP($B255,Chronologie[],2,TRUE)</f>
        <v>U19-L-11</v>
      </c>
      <c r="J255" s="242">
        <f>VLOOKUP($B255,Chronologie[],3,TRUE)</f>
        <v>46074</v>
      </c>
      <c r="K255" s="236"/>
      <c r="L255" s="334"/>
      <c r="M255" s="334"/>
      <c r="N255" s="334"/>
      <c r="O255" s="334"/>
      <c r="P255" s="334"/>
      <c r="Q255" s="334"/>
      <c r="R255" s="334"/>
      <c r="S255" s="334"/>
      <c r="T255" s="334"/>
      <c r="U255" s="334"/>
      <c r="V255" s="334"/>
      <c r="W255" s="334"/>
      <c r="X255" s="37"/>
      <c r="Y255" s="37"/>
      <c r="Z255" s="37"/>
      <c r="AA255" s="37"/>
      <c r="AB255" s="90"/>
      <c r="AC255" s="93" t="str">
        <f>IF(Eingabe[[#This Row],[V1]]="",IF(Eingabe[[#This Row],[Volle alternativ]]="","",Eingabe[[#This Row],[Volle alternativ]]),SUM(Eingabe[[#This Row],[V1]:[V4]]))</f>
        <v/>
      </c>
      <c r="AD255" s="35" t="str">
        <f>IF(Eingabe[[#This Row],[R1]]="",IF(Eingabe[[#This Row],[Räumer alternativ]]="","",Eingabe[[#This Row],[Räumer alternativ]]),SUM(Eingabe[[#This Row],[R1]:[R4]]))</f>
        <v/>
      </c>
      <c r="AE255" s="35" t="str">
        <f>IF(Eingabe[[#This Row],[F1]]="",IF(Eingabe[[#This Row],[Fehler alternativ]]="","",Eingabe[[#This Row],[Fehler alternativ]]),SUM(Eingabe[[#This Row],[F1]:[F4]]))</f>
        <v/>
      </c>
      <c r="AF255" s="35" t="str">
        <f>IF(Eingabe[[#This Row],[Volle]]="","",IF(Eingabe[[#This Row],[S1]]="",Eingabe[[#This Row],[Volle]]+Eingabe[[#This Row],[Räumer]],IF(Eingabe[[#This Row],[Volle]]+Eingabe[[#This Row],[Räumer]]=Eingabe[[#This Row],[S1]]+Eingabe[[#This Row],[S2]]+Eingabe[[#This Row],[S3]]+Eingabe[[#This Row],[S4]],Eingabe[[#This Row],[Volle]]+Eingabe[[#This Row],[Räumer]],"FEHLER")))</f>
        <v/>
      </c>
      <c r="AG255" s="35" t="str">
        <f>IF(Eingabe[[#This Row],[V1]]="","",Eingabe[[#This Row],[V1]]+Eingabe[[#This Row],[R1]])</f>
        <v/>
      </c>
      <c r="AH255" s="35" t="str">
        <f>IF(Eingabe[[#This Row],[V2]]="","",Eingabe[[#This Row],[V2]]+Eingabe[[#This Row],[R2]])</f>
        <v/>
      </c>
      <c r="AI255" s="35" t="str">
        <f>IF(Eingabe[[#This Row],[V3]]="","",Eingabe[[#This Row],[V3]]+Eingabe[[#This Row],[R3]])</f>
        <v/>
      </c>
      <c r="AJ255" s="35" t="str">
        <f>IF(Eingabe[[#This Row],[V4]]="","",Eingabe[[#This Row],[V4]]+Eingabe[[#This Row],[R4]])</f>
        <v/>
      </c>
      <c r="AK255" s="35" t="str">
        <f>IF(Eingabe[[#This Row],[S1P]]="","",Eingabe[[#This Row],[S1P]]+Eingabe[[#This Row],[S2P]]+Eingabe[[#This Row],[S3P]]+Eingabe[[#This Row],[S4P]])</f>
        <v/>
      </c>
      <c r="AL255" s="35" t="str">
        <f>IF(Eingabe[[#This Row],[S1P]]="","",IF(Eingabe[[#This Row],[SP]]&gt;2,1,IF(Eingabe[[#This Row],[SP]]&lt;2,0,IF(Eingabe[[#This Row],[GES]]&gt;Eingabe[[#This Row],[GEGGES]],1,IF(Eingabe[[#This Row],[GES]]=Eingabe[[#This Row],[GEGGES]],0.5,0)))))</f>
        <v/>
      </c>
      <c r="AM255" s="35" t="str">
        <f>IF(Eingabe[[#This Row],[MP]]="","",MOD(ROW(Eingabe[[#This Row],[Position]])-3,6)+1)</f>
        <v/>
      </c>
      <c r="AN255" s="35" t="e">
        <f>STANDARDIZE(Eingabe[[#This Row],[GES]],Eingabe[[#This Row],[Schnitt]],VLOOKUP(Eingabe[[#This Row],[Name]],AuswertungG[],21,FALSE))</f>
        <v>#VALUE!</v>
      </c>
      <c r="AO255" s="35">
        <f>VLOOKUP(Eingabe[[#This Row],[ID]],Chronologie[[ID]:[KW]],12,FALSE)</f>
        <v>26</v>
      </c>
      <c r="AP255" s="58" t="str">
        <f>IF(Eingabe[[#This Row],[Wo]]="H",Eingabe[[#This Row],[Gegner]]&amp;" ["&amp;Eingabe[[#This Row],[Wo]]&amp;"]",Eingabe[[#This Row],[Ort]])</f>
        <v>Stollberg</v>
      </c>
      <c r="AQ255" s="35" t="str">
        <f>IFERROR(IF(Eingabe[[#This Row],[Wo]]="H",IF(MOD(Eingabe[[#This Row],[Position]],2)=1,Eingabe[[#This Row],[S1]],Eingabe[[#This Row],[S4]]),""),"")</f>
        <v/>
      </c>
      <c r="AR255" s="35" t="str">
        <f>IFERROR(IF(Eingabe[[#This Row],[Wo]]="H",IF(Eingabe[[#This Row],[S1]]&gt;0,IF(MOD(Eingabe[[#This Row],[Position]],2)=1,Eingabe[[#This Row],[S2]],Eingabe[[#This Row],[S3]]),""),""),"")</f>
        <v/>
      </c>
      <c r="AS255" s="35" t="str">
        <f>IFERROR(IF(Eingabe[[#This Row],[Wo]]="H",IF(Eingabe[[#This Row],[S1]]&gt;0,IF(MOD(ROW(Eingabe[[#This Row],[Heimbahn 3]]),2)=1,Eingabe[[#This Row],[S4]],Eingabe[[#This Row],[S1]]),""),""),"")</f>
        <v/>
      </c>
      <c r="AT255" s="35" t="str">
        <f>IFERROR(IF(Eingabe[[#This Row],[Wo]]="H",IF(Eingabe[[#This Row],[S1]]&gt;0,IF(MOD(ROW(Eingabe[[#This Row],[Heimbahn 4]]),2)=1,Eingabe[[#This Row],[S3]],Eingabe[[#This Row],[S2]]),""),""),"")</f>
        <v/>
      </c>
      <c r="AU255" s="88" t="str">
        <f>IF(Eingabe[[#This Row],[GES]]="","",IF(Eingabe[[#This Row],[Modus]]="L",_xlfn.RANK.EQ(Eingabe[[#This Row],[GES]],AF255:AF260),IF(Eingabe[[#This Row],[Modus]]="P",_xlfn.RANK.EQ(Eingabe[[#This Row],[GES]],AF255:AF260),"")))</f>
        <v/>
      </c>
      <c r="AV255" s="6" t="e">
        <f>VLOOKUP(Eingabe[[#This Row],[Name]],AuswertungG[],8,FALSE)</f>
        <v>#N/A</v>
      </c>
      <c r="AZ255" s="6" t="str">
        <f>IFERROR(ABS(Eingabe[[#This Row],[GES]]-Eingabe[[#This Row],[GEGGES]]),"")</f>
        <v/>
      </c>
    </row>
    <row r="256" spans="1:52" ht="16.2" hidden="1" thickBot="1" x14ac:dyDescent="0.35">
      <c r="A256" s="441"/>
      <c r="B256" s="21">
        <f t="shared" si="34"/>
        <v>43</v>
      </c>
      <c r="C256" s="6" t="str">
        <f>VLOOKUP($B256,Chronologie[],7,TRUE)</f>
        <v>SKV 9-Pins Stollberg</v>
      </c>
      <c r="D256" s="6" t="str">
        <f>VLOOKUP($B256,Chronologie[],8,TRUE)</f>
        <v>Stollberg</v>
      </c>
      <c r="E256" s="240" t="str">
        <f>VLOOKUP($B256,Chronologie[],9,TRUE)</f>
        <v>A</v>
      </c>
      <c r="F256" s="6" t="str">
        <f>VLOOKUP($B256,Chronologie[],COLUMN(F257)-2,TRUE)</f>
        <v>U19</v>
      </c>
      <c r="G256" s="6" t="str">
        <f>VLOOKUP($B256,Chronologie[],COLUMN(G257)-2,TRUE)</f>
        <v>L</v>
      </c>
      <c r="H256" s="6">
        <f>VLOOKUP($B256,Chronologie[],COLUMN(H257)-2,TRUE)</f>
        <v>11</v>
      </c>
      <c r="I256" s="10" t="str">
        <f>VLOOKUP($B256,Chronologie[],2,TRUE)</f>
        <v>U19-L-11</v>
      </c>
      <c r="J256" s="243">
        <f>VLOOKUP($B256,Chronologie[],3,TRUE)</f>
        <v>46074</v>
      </c>
      <c r="K256" s="237"/>
      <c r="L256" s="237"/>
      <c r="M256" s="237"/>
      <c r="N256" s="237"/>
      <c r="O256" s="237"/>
      <c r="P256" s="237"/>
      <c r="Q256" s="237"/>
      <c r="R256" s="237"/>
      <c r="S256" s="237"/>
      <c r="T256" s="237"/>
      <c r="U256" s="237"/>
      <c r="V256" s="237"/>
      <c r="W256" s="237"/>
      <c r="X256" s="38"/>
      <c r="Y256" s="38"/>
      <c r="Z256" s="38"/>
      <c r="AA256" s="38"/>
      <c r="AB256" s="91"/>
      <c r="AC256" s="94" t="str">
        <f>IF(Eingabe[[#This Row],[V1]]="",IF(Eingabe[[#This Row],[Volle alternativ]]="","",Eingabe[[#This Row],[Volle alternativ]]),SUM(Eingabe[[#This Row],[V1]:[V4]]))</f>
        <v/>
      </c>
      <c r="AD256" s="6" t="str">
        <f>IF(Eingabe[[#This Row],[R1]]="",IF(Eingabe[[#This Row],[Räumer alternativ]]="","",Eingabe[[#This Row],[Räumer alternativ]]),SUM(Eingabe[[#This Row],[R1]:[R4]]))</f>
        <v/>
      </c>
      <c r="AE256" s="6" t="str">
        <f>IF(Eingabe[[#This Row],[F1]]="",IF(Eingabe[[#This Row],[Fehler alternativ]]="","",Eingabe[[#This Row],[Fehler alternativ]]),SUM(Eingabe[[#This Row],[F1]:[F4]]))</f>
        <v/>
      </c>
      <c r="AF256" s="6" t="str">
        <f>IF(Eingabe[[#This Row],[Volle]]="","",IF(Eingabe[[#This Row],[S1]]="",Eingabe[[#This Row],[Volle]]+Eingabe[[#This Row],[Räumer]],IF(Eingabe[[#This Row],[Volle]]+Eingabe[[#This Row],[Räumer]]=Eingabe[[#This Row],[S1]]+Eingabe[[#This Row],[S2]]+Eingabe[[#This Row],[S3]]+Eingabe[[#This Row],[S4]],Eingabe[[#This Row],[Volle]]+Eingabe[[#This Row],[Räumer]],"FEHLER")))</f>
        <v/>
      </c>
      <c r="AG256" s="6" t="str">
        <f>IF(Eingabe[[#This Row],[V1]]="","",Eingabe[[#This Row],[V1]]+Eingabe[[#This Row],[R1]])</f>
        <v/>
      </c>
      <c r="AH256" s="6" t="str">
        <f>IF(Eingabe[[#This Row],[V2]]="","",Eingabe[[#This Row],[V2]]+Eingabe[[#This Row],[R2]])</f>
        <v/>
      </c>
      <c r="AI256" s="6" t="str">
        <f>IF(Eingabe[[#This Row],[V3]]="","",Eingabe[[#This Row],[V3]]+Eingabe[[#This Row],[R3]])</f>
        <v/>
      </c>
      <c r="AJ256" s="6" t="str">
        <f>IF(Eingabe[[#This Row],[V4]]="","",Eingabe[[#This Row],[V4]]+Eingabe[[#This Row],[R4]])</f>
        <v/>
      </c>
      <c r="AK256" s="6" t="str">
        <f>IF(Eingabe[[#This Row],[S1P]]="","",Eingabe[[#This Row],[S1P]]+Eingabe[[#This Row],[S2P]]+Eingabe[[#This Row],[S3P]]+Eingabe[[#This Row],[S4P]])</f>
        <v/>
      </c>
      <c r="AL256" s="6" t="str">
        <f>IF(Eingabe[[#This Row],[S1P]]="","",IF(Eingabe[[#This Row],[SP]]&gt;2,1,IF(Eingabe[[#This Row],[SP]]&lt;2,0,IF(Eingabe[[#This Row],[GES]]&gt;Eingabe[[#This Row],[GEGGES]],1,IF(Eingabe[[#This Row],[GES]]=Eingabe[[#This Row],[GEGGES]],0.5,0)))))</f>
        <v/>
      </c>
      <c r="AM256" s="6" t="str">
        <f>IF(Eingabe[[#This Row],[MP]]="","",MOD(ROW(Eingabe[[#This Row],[Position]])-3,6)+1)</f>
        <v/>
      </c>
      <c r="AN256" s="6" t="e">
        <f>STANDARDIZE(Eingabe[[#This Row],[GES]],Eingabe[[#This Row],[Schnitt]],VLOOKUP(Eingabe[[#This Row],[Name]],AuswertungG[],21,FALSE))</f>
        <v>#VALUE!</v>
      </c>
      <c r="AO256" s="6">
        <f>VLOOKUP(Eingabe[[#This Row],[ID]],Chronologie[[ID]:[KW]],12,FALSE)</f>
        <v>26</v>
      </c>
      <c r="AP256" s="95" t="str">
        <f>IF(Eingabe[[#This Row],[Wo]]="H",Eingabe[[#This Row],[Gegner]]&amp;" ["&amp;Eingabe[[#This Row],[Wo]]&amp;"]",Eingabe[[#This Row],[Ort]])</f>
        <v>Stollberg</v>
      </c>
      <c r="AQ256" s="6" t="str">
        <f>IFERROR(IF(Eingabe[[#This Row],[Wo]]="H",IF(MOD(Eingabe[[#This Row],[Position]],2)=1,Eingabe[[#This Row],[S1]],Eingabe[[#This Row],[S4]]),""),"")</f>
        <v/>
      </c>
      <c r="AR256" s="6" t="str">
        <f>IFERROR(IF(Eingabe[[#This Row],[Wo]]="H",IF(Eingabe[[#This Row],[S1]]&gt;0,IF(MOD(Eingabe[[#This Row],[Position]],2)=1,Eingabe[[#This Row],[S2]],Eingabe[[#This Row],[S3]]),""),""),"")</f>
        <v/>
      </c>
      <c r="AS256" s="6" t="str">
        <f>IFERROR(IF(Eingabe[[#This Row],[Wo]]="H",IF(Eingabe[[#This Row],[S1]]&gt;0,IF(MOD(ROW(Eingabe[[#This Row],[Heimbahn 3]]),2)=1,Eingabe[[#This Row],[S4]],Eingabe[[#This Row],[S1]]),""),""),"")</f>
        <v/>
      </c>
      <c r="AT256" s="6" t="str">
        <f>IFERROR(IF(Eingabe[[#This Row],[Wo]]="H",IF(Eingabe[[#This Row],[S1]]&gt;0,IF(MOD(ROW(Eingabe[[#This Row],[Heimbahn 4]]),2)=1,Eingabe[[#This Row],[S3]],Eingabe[[#This Row],[S2]]),""),""),"")</f>
        <v/>
      </c>
      <c r="AU256" s="22" t="str">
        <f>IF(Eingabe[[#This Row],[GES]]="","",IF(Eingabe[[#This Row],[Modus]]="L",_xlfn.RANK.EQ(Eingabe[[#This Row],[GES]],AF255:AF260),IF(Eingabe[[#This Row],[Modus]]="P",_xlfn.RANK.EQ(Eingabe[[#This Row],[GES]],AF255:AF260),"")))</f>
        <v/>
      </c>
      <c r="AV256" s="6" t="e">
        <f>VLOOKUP(Eingabe[[#This Row],[Name]],AuswertungG[],8,FALSE)</f>
        <v>#N/A</v>
      </c>
      <c r="AZ256" s="6" t="str">
        <f>IFERROR(ABS(Eingabe[[#This Row],[GES]]-Eingabe[[#This Row],[GEGGES]]),"")</f>
        <v/>
      </c>
    </row>
    <row r="257" spans="1:52" ht="16.2" hidden="1" thickBot="1" x14ac:dyDescent="0.35">
      <c r="A257" s="441"/>
      <c r="B257" s="21">
        <f t="shared" si="34"/>
        <v>43</v>
      </c>
      <c r="C257" s="6" t="str">
        <f>VLOOKUP($B257,Chronologie[],7,TRUE)</f>
        <v>SKV 9-Pins Stollberg</v>
      </c>
      <c r="D257" s="6" t="str">
        <f>VLOOKUP($B257,Chronologie[],8,TRUE)</f>
        <v>Stollberg</v>
      </c>
      <c r="E257" s="240" t="str">
        <f>VLOOKUP($B257,Chronologie[],9,TRUE)</f>
        <v>A</v>
      </c>
      <c r="F257" s="6" t="str">
        <f>VLOOKUP($B257,Chronologie[],COLUMN(F258)-2,TRUE)</f>
        <v>U19</v>
      </c>
      <c r="G257" s="6" t="str">
        <f>VLOOKUP($B257,Chronologie[],COLUMN(G258)-2,TRUE)</f>
        <v>L</v>
      </c>
      <c r="H257" s="6">
        <f>VLOOKUP($B257,Chronologie[],COLUMN(H258)-2,TRUE)</f>
        <v>11</v>
      </c>
      <c r="I257" s="10" t="str">
        <f>VLOOKUP($B257,Chronologie[],2,TRUE)</f>
        <v>U19-L-11</v>
      </c>
      <c r="J257" s="243">
        <f>VLOOKUP($B257,Chronologie[],3,TRUE)</f>
        <v>46074</v>
      </c>
      <c r="K257" s="237"/>
      <c r="L257" s="237"/>
      <c r="M257" s="237"/>
      <c r="N257" s="237"/>
      <c r="O257" s="237"/>
      <c r="P257" s="237"/>
      <c r="Q257" s="237"/>
      <c r="R257" s="237"/>
      <c r="S257" s="237"/>
      <c r="T257" s="237"/>
      <c r="U257" s="237"/>
      <c r="V257" s="237"/>
      <c r="W257" s="237"/>
      <c r="X257" s="38"/>
      <c r="Y257" s="38"/>
      <c r="Z257" s="38"/>
      <c r="AA257" s="38"/>
      <c r="AB257" s="91"/>
      <c r="AC257" s="94" t="str">
        <f>IF(Eingabe[[#This Row],[V1]]="",IF(Eingabe[[#This Row],[Volle alternativ]]="","",Eingabe[[#This Row],[Volle alternativ]]),SUM(Eingabe[[#This Row],[V1]:[V4]]))</f>
        <v/>
      </c>
      <c r="AD257" s="6" t="str">
        <f>IF(Eingabe[[#This Row],[R1]]="",IF(Eingabe[[#This Row],[Räumer alternativ]]="","",Eingabe[[#This Row],[Räumer alternativ]]),SUM(Eingabe[[#This Row],[R1]:[R4]]))</f>
        <v/>
      </c>
      <c r="AE257" s="6" t="str">
        <f>IF(Eingabe[[#This Row],[F1]]="",IF(Eingabe[[#This Row],[Fehler alternativ]]="","",Eingabe[[#This Row],[Fehler alternativ]]),SUM(Eingabe[[#This Row],[F1]:[F4]]))</f>
        <v/>
      </c>
      <c r="AF257" s="6" t="str">
        <f>IF(Eingabe[[#This Row],[Volle]]="","",IF(Eingabe[[#This Row],[S1]]="",Eingabe[[#This Row],[Volle]]+Eingabe[[#This Row],[Räumer]],IF(Eingabe[[#This Row],[Volle]]+Eingabe[[#This Row],[Räumer]]=Eingabe[[#This Row],[S1]]+Eingabe[[#This Row],[S2]]+Eingabe[[#This Row],[S3]]+Eingabe[[#This Row],[S4]],Eingabe[[#This Row],[Volle]]+Eingabe[[#This Row],[Räumer]],"FEHLER")))</f>
        <v/>
      </c>
      <c r="AG257" s="6" t="str">
        <f>IF(Eingabe[[#This Row],[V1]]="","",Eingabe[[#This Row],[V1]]+Eingabe[[#This Row],[R1]])</f>
        <v/>
      </c>
      <c r="AH257" s="6" t="str">
        <f>IF(Eingabe[[#This Row],[V2]]="","",Eingabe[[#This Row],[V2]]+Eingabe[[#This Row],[R2]])</f>
        <v/>
      </c>
      <c r="AI257" s="6" t="str">
        <f>IF(Eingabe[[#This Row],[V3]]="","",Eingabe[[#This Row],[V3]]+Eingabe[[#This Row],[R3]])</f>
        <v/>
      </c>
      <c r="AJ257" s="6" t="str">
        <f>IF(Eingabe[[#This Row],[V4]]="","",Eingabe[[#This Row],[V4]]+Eingabe[[#This Row],[R4]])</f>
        <v/>
      </c>
      <c r="AK257" s="6" t="str">
        <f>IF(Eingabe[[#This Row],[S1P]]="","",Eingabe[[#This Row],[S1P]]+Eingabe[[#This Row],[S2P]]+Eingabe[[#This Row],[S3P]]+Eingabe[[#This Row],[S4P]])</f>
        <v/>
      </c>
      <c r="AL257" s="6" t="str">
        <f>IF(Eingabe[[#This Row],[S1P]]="","",IF(Eingabe[[#This Row],[SP]]&gt;2,1,IF(Eingabe[[#This Row],[SP]]&lt;2,0,IF(Eingabe[[#This Row],[GES]]&gt;Eingabe[[#This Row],[GEGGES]],1,IF(Eingabe[[#This Row],[GES]]=Eingabe[[#This Row],[GEGGES]],0.5,0)))))</f>
        <v/>
      </c>
      <c r="AM257" s="6" t="str">
        <f>IF(Eingabe[[#This Row],[MP]]="","",MOD(ROW(Eingabe[[#This Row],[Position]])-3,6)+1)</f>
        <v/>
      </c>
      <c r="AN257" s="6" t="e">
        <f>STANDARDIZE(Eingabe[[#This Row],[GES]],Eingabe[[#This Row],[Schnitt]],VLOOKUP(Eingabe[[#This Row],[Name]],AuswertungG[],21,FALSE))</f>
        <v>#VALUE!</v>
      </c>
      <c r="AO257" s="6">
        <f>VLOOKUP(Eingabe[[#This Row],[ID]],Chronologie[[ID]:[KW]],12,FALSE)</f>
        <v>26</v>
      </c>
      <c r="AP257" s="95" t="str">
        <f>IF(Eingabe[[#This Row],[Wo]]="H",Eingabe[[#This Row],[Gegner]]&amp;" ["&amp;Eingabe[[#This Row],[Wo]]&amp;"]",Eingabe[[#This Row],[Ort]])</f>
        <v>Stollberg</v>
      </c>
      <c r="AQ257" s="6" t="str">
        <f>IFERROR(IF(Eingabe[[#This Row],[Wo]]="H",IF(MOD(Eingabe[[#This Row],[Position]],2)=1,Eingabe[[#This Row],[S1]],Eingabe[[#This Row],[S4]]),""),"")</f>
        <v/>
      </c>
      <c r="AR257" s="6" t="str">
        <f>IFERROR(IF(Eingabe[[#This Row],[Wo]]="H",IF(Eingabe[[#This Row],[S1]]&gt;0,IF(MOD(Eingabe[[#This Row],[Position]],2)=1,Eingabe[[#This Row],[S2]],Eingabe[[#This Row],[S3]]),""),""),"")</f>
        <v/>
      </c>
      <c r="AS257" s="6" t="str">
        <f>IFERROR(IF(Eingabe[[#This Row],[Wo]]="H",IF(Eingabe[[#This Row],[S1]]&gt;0,IF(MOD(ROW(Eingabe[[#This Row],[Heimbahn 3]]),2)=1,Eingabe[[#This Row],[S4]],Eingabe[[#This Row],[S1]]),""),""),"")</f>
        <v/>
      </c>
      <c r="AT257" s="6" t="str">
        <f>IFERROR(IF(Eingabe[[#This Row],[Wo]]="H",IF(Eingabe[[#This Row],[S1]]&gt;0,IF(MOD(ROW(Eingabe[[#This Row],[Heimbahn 4]]),2)=1,Eingabe[[#This Row],[S3]],Eingabe[[#This Row],[S2]]),""),""),"")</f>
        <v/>
      </c>
      <c r="AU257" s="22" t="str">
        <f>IF(Eingabe[[#This Row],[GES]]="","",IF(Eingabe[[#This Row],[Modus]]="L",_xlfn.RANK.EQ(Eingabe[[#This Row],[GES]],AF255:AF260),IF(Eingabe[[#This Row],[Modus]]="P",_xlfn.RANK.EQ(Eingabe[[#This Row],[GES]],AF255:AF260),"")))</f>
        <v/>
      </c>
      <c r="AV257" s="6" t="e">
        <f>VLOOKUP(Eingabe[[#This Row],[Name]],AuswertungG[],8,FALSE)</f>
        <v>#N/A</v>
      </c>
      <c r="AZ257" s="6" t="str">
        <f>IFERROR(ABS(Eingabe[[#This Row],[GES]]-Eingabe[[#This Row],[GEGGES]]),"")</f>
        <v/>
      </c>
    </row>
    <row r="258" spans="1:52" ht="16.2" hidden="1" thickBot="1" x14ac:dyDescent="0.35">
      <c r="A258" s="441"/>
      <c r="B258" s="21">
        <f t="shared" si="34"/>
        <v>43</v>
      </c>
      <c r="C258" s="6" t="str">
        <f>VLOOKUP($B258,Chronologie[],7,TRUE)</f>
        <v>SKV 9-Pins Stollberg</v>
      </c>
      <c r="D258" s="6" t="str">
        <f>VLOOKUP($B258,Chronologie[],8,TRUE)</f>
        <v>Stollberg</v>
      </c>
      <c r="E258" s="240" t="str">
        <f>VLOOKUP($B258,Chronologie[],9,TRUE)</f>
        <v>A</v>
      </c>
      <c r="F258" s="6" t="str">
        <f>VLOOKUP($B258,Chronologie[],COLUMN(F259)-2,TRUE)</f>
        <v>U19</v>
      </c>
      <c r="G258" s="6" t="str">
        <f>VLOOKUP($B258,Chronologie[],COLUMN(G259)-2,TRUE)</f>
        <v>L</v>
      </c>
      <c r="H258" s="6">
        <f>VLOOKUP($B258,Chronologie[],COLUMN(H259)-2,TRUE)</f>
        <v>11</v>
      </c>
      <c r="I258" s="10" t="str">
        <f>VLOOKUP($B258,Chronologie[],2,TRUE)</f>
        <v>U19-L-11</v>
      </c>
      <c r="J258" s="243">
        <f>VLOOKUP($B258,Chronologie[],3,TRUE)</f>
        <v>46074</v>
      </c>
      <c r="K258" s="238"/>
      <c r="L258" s="237"/>
      <c r="M258" s="237"/>
      <c r="N258" s="237"/>
      <c r="O258" s="237"/>
      <c r="P258" s="237"/>
      <c r="Q258" s="237"/>
      <c r="R258" s="237"/>
      <c r="S258" s="237"/>
      <c r="T258" s="237"/>
      <c r="U258" s="237"/>
      <c r="V258" s="237"/>
      <c r="W258" s="237"/>
      <c r="X258" s="38"/>
      <c r="Y258" s="38"/>
      <c r="Z258" s="38"/>
      <c r="AA258" s="38"/>
      <c r="AB258" s="91"/>
      <c r="AC258" s="94" t="str">
        <f>IF(Eingabe[[#This Row],[V1]]="",IF(Eingabe[[#This Row],[Volle alternativ]]="","",Eingabe[[#This Row],[Volle alternativ]]),SUM(Eingabe[[#This Row],[V1]:[V4]]))</f>
        <v/>
      </c>
      <c r="AD258" s="6" t="str">
        <f>IF(Eingabe[[#This Row],[R1]]="",IF(Eingabe[[#This Row],[Räumer alternativ]]="","",Eingabe[[#This Row],[Räumer alternativ]]),SUM(Eingabe[[#This Row],[R1]:[R4]]))</f>
        <v/>
      </c>
      <c r="AE258" s="6" t="str">
        <f>IF(Eingabe[[#This Row],[F1]]="",IF(Eingabe[[#This Row],[Fehler alternativ]]="","",Eingabe[[#This Row],[Fehler alternativ]]),SUM(Eingabe[[#This Row],[F1]:[F4]]))</f>
        <v/>
      </c>
      <c r="AF258" s="6" t="str">
        <f>IF(Eingabe[[#This Row],[Volle]]="","",IF(Eingabe[[#This Row],[S1]]="",Eingabe[[#This Row],[Volle]]+Eingabe[[#This Row],[Räumer]],IF(Eingabe[[#This Row],[Volle]]+Eingabe[[#This Row],[Räumer]]=Eingabe[[#This Row],[S1]]+Eingabe[[#This Row],[S2]]+Eingabe[[#This Row],[S3]]+Eingabe[[#This Row],[S4]],Eingabe[[#This Row],[Volle]]+Eingabe[[#This Row],[Räumer]],"FEHLER")))</f>
        <v/>
      </c>
      <c r="AG258" s="6" t="str">
        <f>IF(Eingabe[[#This Row],[V1]]="","",Eingabe[[#This Row],[V1]]+Eingabe[[#This Row],[R1]])</f>
        <v/>
      </c>
      <c r="AH258" s="6" t="str">
        <f>IF(Eingabe[[#This Row],[V2]]="","",Eingabe[[#This Row],[V2]]+Eingabe[[#This Row],[R2]])</f>
        <v/>
      </c>
      <c r="AI258" s="6" t="str">
        <f>IF(Eingabe[[#This Row],[V3]]="","",Eingabe[[#This Row],[V3]]+Eingabe[[#This Row],[R3]])</f>
        <v/>
      </c>
      <c r="AJ258" s="6" t="str">
        <f>IF(Eingabe[[#This Row],[V4]]="","",Eingabe[[#This Row],[V4]]+Eingabe[[#This Row],[R4]])</f>
        <v/>
      </c>
      <c r="AK258" s="6" t="str">
        <f>IF(Eingabe[[#This Row],[S1P]]="","",Eingabe[[#This Row],[S1P]]+Eingabe[[#This Row],[S2P]]+Eingabe[[#This Row],[S3P]]+Eingabe[[#This Row],[S4P]])</f>
        <v/>
      </c>
      <c r="AL258" s="6" t="str">
        <f>IF(Eingabe[[#This Row],[S1P]]="","",IF(Eingabe[[#This Row],[SP]]&gt;2,1,IF(Eingabe[[#This Row],[SP]]&lt;2,0,IF(Eingabe[[#This Row],[GES]]&gt;Eingabe[[#This Row],[GEGGES]],1,IF(Eingabe[[#This Row],[GES]]=Eingabe[[#This Row],[GEGGES]],0.5,0)))))</f>
        <v/>
      </c>
      <c r="AM258" s="6" t="str">
        <f>IF(Eingabe[[#This Row],[MP]]="","",MOD(ROW(Eingabe[[#This Row],[Position]])-3,6)+1)</f>
        <v/>
      </c>
      <c r="AN258" s="6" t="e">
        <f>STANDARDIZE(Eingabe[[#This Row],[GES]],Eingabe[[#This Row],[Schnitt]],VLOOKUP(Eingabe[[#This Row],[Name]],AuswertungG[],21,FALSE))</f>
        <v>#VALUE!</v>
      </c>
      <c r="AO258" s="6">
        <f>VLOOKUP(Eingabe[[#This Row],[ID]],Chronologie[[ID]:[KW]],12,FALSE)</f>
        <v>26</v>
      </c>
      <c r="AP258" s="95" t="str">
        <f>IF(Eingabe[[#This Row],[Wo]]="H",Eingabe[[#This Row],[Gegner]]&amp;" ["&amp;Eingabe[[#This Row],[Wo]]&amp;"]",Eingabe[[#This Row],[Ort]])</f>
        <v>Stollberg</v>
      </c>
      <c r="AQ258" s="6" t="str">
        <f>IFERROR(IF(Eingabe[[#This Row],[Wo]]="H",IF(MOD(Eingabe[[#This Row],[Position]],2)=1,Eingabe[[#This Row],[S1]],Eingabe[[#This Row],[S4]]),""),"")</f>
        <v/>
      </c>
      <c r="AR258" s="6" t="str">
        <f>IFERROR(IF(Eingabe[[#This Row],[Wo]]="H",IF(Eingabe[[#This Row],[S1]]&gt;0,IF(MOD(Eingabe[[#This Row],[Position]],2)=1,Eingabe[[#This Row],[S2]],Eingabe[[#This Row],[S3]]),""),""),"")</f>
        <v/>
      </c>
      <c r="AS258" s="6" t="str">
        <f>IFERROR(IF(Eingabe[[#This Row],[Wo]]="H",IF(Eingabe[[#This Row],[S1]]&gt;0,IF(MOD(ROW(Eingabe[[#This Row],[Heimbahn 3]]),2)=1,Eingabe[[#This Row],[S4]],Eingabe[[#This Row],[S1]]),""),""),"")</f>
        <v/>
      </c>
      <c r="AT258" s="6" t="str">
        <f>IFERROR(IF(Eingabe[[#This Row],[Wo]]="H",IF(Eingabe[[#This Row],[S1]]&gt;0,IF(MOD(ROW(Eingabe[[#This Row],[Heimbahn 4]]),2)=1,Eingabe[[#This Row],[S3]],Eingabe[[#This Row],[S2]]),""),""),"")</f>
        <v/>
      </c>
      <c r="AU258" s="22" t="str">
        <f>IF(Eingabe[[#This Row],[GES]]="","",IF(Eingabe[[#This Row],[Modus]]="L",_xlfn.RANK.EQ(Eingabe[[#This Row],[GES]],AF255:AF260),IF(Eingabe[[#This Row],[Modus]]="P",_xlfn.RANK.EQ(Eingabe[[#This Row],[GES]],AF255:AF260),"")))</f>
        <v/>
      </c>
      <c r="AV258" s="6" t="e">
        <f>VLOOKUP(Eingabe[[#This Row],[Name]],AuswertungG[],8,FALSE)</f>
        <v>#N/A</v>
      </c>
      <c r="AZ258" s="6" t="str">
        <f>IFERROR(ABS(Eingabe[[#This Row],[GES]]-Eingabe[[#This Row],[GEGGES]]),"")</f>
        <v/>
      </c>
    </row>
    <row r="259" spans="1:52" ht="16.2" hidden="1" thickBot="1" x14ac:dyDescent="0.35">
      <c r="A259" s="441"/>
      <c r="B259" s="21">
        <f t="shared" si="34"/>
        <v>43</v>
      </c>
      <c r="C259" s="6" t="str">
        <f>VLOOKUP($B259,Chronologie[],7,TRUE)</f>
        <v>SKV 9-Pins Stollberg</v>
      </c>
      <c r="D259" s="6" t="str">
        <f>VLOOKUP($B259,Chronologie[],8,TRUE)</f>
        <v>Stollberg</v>
      </c>
      <c r="E259" s="240" t="str">
        <f>VLOOKUP($B259,Chronologie[],9,TRUE)</f>
        <v>A</v>
      </c>
      <c r="F259" s="6" t="str">
        <f>VLOOKUP($B259,Chronologie[],COLUMN(F260)-2,TRUE)</f>
        <v>U19</v>
      </c>
      <c r="G259" s="6" t="str">
        <f>VLOOKUP($B259,Chronologie[],COLUMN(G260)-2,TRUE)</f>
        <v>L</v>
      </c>
      <c r="H259" s="6">
        <f>VLOOKUP($B259,Chronologie[],COLUMN(H260)-2,TRUE)</f>
        <v>11</v>
      </c>
      <c r="I259" s="10" t="str">
        <f>VLOOKUP($B259,Chronologie[],2,TRUE)</f>
        <v>U19-L-11</v>
      </c>
      <c r="J259" s="243">
        <f>VLOOKUP($B259,Chronologie[],3,TRUE)</f>
        <v>46074</v>
      </c>
      <c r="K259" s="237"/>
      <c r="L259" s="237"/>
      <c r="M259" s="237"/>
      <c r="N259" s="237"/>
      <c r="O259" s="237"/>
      <c r="P259" s="237"/>
      <c r="Q259" s="237"/>
      <c r="R259" s="237"/>
      <c r="S259" s="237"/>
      <c r="T259" s="237"/>
      <c r="U259" s="237"/>
      <c r="V259" s="237"/>
      <c r="W259" s="237"/>
      <c r="X259" s="38"/>
      <c r="Y259" s="38"/>
      <c r="Z259" s="38"/>
      <c r="AA259" s="38"/>
      <c r="AB259" s="91"/>
      <c r="AC259" s="94" t="str">
        <f>IF(Eingabe[[#This Row],[V1]]="",IF(Eingabe[[#This Row],[Volle alternativ]]="","",Eingabe[[#This Row],[Volle alternativ]]),SUM(Eingabe[[#This Row],[V1]:[V4]]))</f>
        <v/>
      </c>
      <c r="AD259" s="6" t="str">
        <f>IF(Eingabe[[#This Row],[R1]]="",IF(Eingabe[[#This Row],[Räumer alternativ]]="","",Eingabe[[#This Row],[Räumer alternativ]]),SUM(Eingabe[[#This Row],[R1]:[R4]]))</f>
        <v/>
      </c>
      <c r="AE259" s="6" t="str">
        <f>IF(Eingabe[[#This Row],[F1]]="",IF(Eingabe[[#This Row],[Fehler alternativ]]="","",Eingabe[[#This Row],[Fehler alternativ]]),SUM(Eingabe[[#This Row],[F1]:[F4]]))</f>
        <v/>
      </c>
      <c r="AF259" s="6" t="str">
        <f>IF(Eingabe[[#This Row],[Volle]]="","",IF(Eingabe[[#This Row],[S1]]="",Eingabe[[#This Row],[Volle]]+Eingabe[[#This Row],[Räumer]],IF(Eingabe[[#This Row],[Volle]]+Eingabe[[#This Row],[Räumer]]=Eingabe[[#This Row],[S1]]+Eingabe[[#This Row],[S2]]+Eingabe[[#This Row],[S3]]+Eingabe[[#This Row],[S4]],Eingabe[[#This Row],[Volle]]+Eingabe[[#This Row],[Räumer]],"FEHLER")))</f>
        <v/>
      </c>
      <c r="AG259" s="6" t="str">
        <f>IF(Eingabe[[#This Row],[V1]]="","",Eingabe[[#This Row],[V1]]+Eingabe[[#This Row],[R1]])</f>
        <v/>
      </c>
      <c r="AH259" s="6" t="str">
        <f>IF(Eingabe[[#This Row],[V2]]="","",Eingabe[[#This Row],[V2]]+Eingabe[[#This Row],[R2]])</f>
        <v/>
      </c>
      <c r="AI259" s="6" t="str">
        <f>IF(Eingabe[[#This Row],[V3]]="","",Eingabe[[#This Row],[V3]]+Eingabe[[#This Row],[R3]])</f>
        <v/>
      </c>
      <c r="AJ259" s="6" t="str">
        <f>IF(Eingabe[[#This Row],[V4]]="","",Eingabe[[#This Row],[V4]]+Eingabe[[#This Row],[R4]])</f>
        <v/>
      </c>
      <c r="AK259" s="6" t="str">
        <f>IF(Eingabe[[#This Row],[S1P]]="","",Eingabe[[#This Row],[S1P]]+Eingabe[[#This Row],[S2P]]+Eingabe[[#This Row],[S3P]]+Eingabe[[#This Row],[S4P]])</f>
        <v/>
      </c>
      <c r="AL259" s="6" t="str">
        <f>IF(Eingabe[[#This Row],[S1P]]="","",IF(Eingabe[[#This Row],[SP]]&gt;2,1,IF(Eingabe[[#This Row],[SP]]&lt;2,0,IF(Eingabe[[#This Row],[GES]]&gt;Eingabe[[#This Row],[GEGGES]],1,IF(Eingabe[[#This Row],[GES]]=Eingabe[[#This Row],[GEGGES]],0.5,0)))))</f>
        <v/>
      </c>
      <c r="AM259" s="6" t="str">
        <f>IF(Eingabe[[#This Row],[MP]]="","",MOD(ROW(Eingabe[[#This Row],[Position]])-3,6)+1)</f>
        <v/>
      </c>
      <c r="AN259" s="6" t="e">
        <f>STANDARDIZE(Eingabe[[#This Row],[GES]],Eingabe[[#This Row],[Schnitt]],VLOOKUP(Eingabe[[#This Row],[Name]],AuswertungG[],21,FALSE))</f>
        <v>#VALUE!</v>
      </c>
      <c r="AO259" s="6">
        <f>VLOOKUP(Eingabe[[#This Row],[ID]],Chronologie[[ID]:[KW]],12,FALSE)</f>
        <v>26</v>
      </c>
      <c r="AP259" s="95" t="str">
        <f>IF(Eingabe[[#This Row],[Wo]]="H",Eingabe[[#This Row],[Gegner]]&amp;" ["&amp;Eingabe[[#This Row],[Wo]]&amp;"]",Eingabe[[#This Row],[Ort]])</f>
        <v>Stollberg</v>
      </c>
      <c r="AQ259" s="6" t="str">
        <f>IFERROR(IF(Eingabe[[#This Row],[Wo]]="H",IF(MOD(Eingabe[[#This Row],[Position]],2)=1,Eingabe[[#This Row],[S1]],Eingabe[[#This Row],[S4]]),""),"")</f>
        <v/>
      </c>
      <c r="AR259" s="6" t="str">
        <f>IFERROR(IF(Eingabe[[#This Row],[Wo]]="H",IF(Eingabe[[#This Row],[S1]]&gt;0,IF(MOD(Eingabe[[#This Row],[Position]],2)=1,Eingabe[[#This Row],[S2]],Eingabe[[#This Row],[S3]]),""),""),"")</f>
        <v/>
      </c>
      <c r="AS259" s="6" t="str">
        <f>IFERROR(IF(Eingabe[[#This Row],[Wo]]="H",IF(Eingabe[[#This Row],[S1]]&gt;0,IF(MOD(ROW(Eingabe[[#This Row],[Heimbahn 3]]),2)=1,Eingabe[[#This Row],[S4]],Eingabe[[#This Row],[S1]]),""),""),"")</f>
        <v/>
      </c>
      <c r="AT259" s="6" t="str">
        <f>IFERROR(IF(Eingabe[[#This Row],[Wo]]="H",IF(Eingabe[[#This Row],[S1]]&gt;0,IF(MOD(ROW(Eingabe[[#This Row],[Heimbahn 4]]),2)=1,Eingabe[[#This Row],[S3]],Eingabe[[#This Row],[S2]]),""),""),"")</f>
        <v/>
      </c>
      <c r="AU259" s="22" t="str">
        <f>IF(Eingabe[[#This Row],[GES]]="","",IF(Eingabe[[#This Row],[Modus]]="L",_xlfn.RANK.EQ(Eingabe[[#This Row],[GES]],AF255:AF260),IF(Eingabe[[#This Row],[Modus]]="P",_xlfn.RANK.EQ(Eingabe[[#This Row],[GES]],AF255:AF260),"")))</f>
        <v/>
      </c>
      <c r="AV259" s="6" t="e">
        <f>VLOOKUP(Eingabe[[#This Row],[Name]],AuswertungG[],8,FALSE)</f>
        <v>#N/A</v>
      </c>
      <c r="AZ259" s="6" t="str">
        <f>IFERROR(ABS(Eingabe[[#This Row],[GES]]-Eingabe[[#This Row],[GEGGES]]),"")</f>
        <v/>
      </c>
    </row>
    <row r="260" spans="1:52" ht="16.2" hidden="1" thickBot="1" x14ac:dyDescent="0.35">
      <c r="A260" s="442"/>
      <c r="B260" s="56">
        <f t="shared" ref="B260:B323" si="42">ROUNDUP((ROW(B260)-2)/6,0)</f>
        <v>43</v>
      </c>
      <c r="C260" s="23" t="str">
        <f>VLOOKUP($B260,Chronologie[],7,TRUE)</f>
        <v>SKV 9-Pins Stollberg</v>
      </c>
      <c r="D260" s="23" t="str">
        <f>VLOOKUP($B260,Chronologie[],8,TRUE)</f>
        <v>Stollberg</v>
      </c>
      <c r="E260" s="39" t="str">
        <f>VLOOKUP($B260,Chronologie[],9,TRUE)</f>
        <v>A</v>
      </c>
      <c r="F260" s="23" t="str">
        <f>VLOOKUP($B260,Chronologie[],COLUMN(F261)-2,TRUE)</f>
        <v>U19</v>
      </c>
      <c r="G260" s="23" t="str">
        <f>VLOOKUP($B260,Chronologie[],COLUMN(G261)-2,TRUE)</f>
        <v>L</v>
      </c>
      <c r="H260" s="23">
        <f>VLOOKUP($B260,Chronologie[],COLUMN(H261)-2,TRUE)</f>
        <v>11</v>
      </c>
      <c r="I260" s="13" t="str">
        <f>VLOOKUP($B260,Chronologie[],2,TRUE)</f>
        <v>U19-L-11</v>
      </c>
      <c r="J260" s="244">
        <f>VLOOKUP($B260,Chronologie[],3,TRUE)</f>
        <v>46074</v>
      </c>
      <c r="K260" s="239"/>
      <c r="L260" s="239"/>
      <c r="M260" s="239"/>
      <c r="N260" s="239"/>
      <c r="O260" s="239"/>
      <c r="P260" s="239"/>
      <c r="Q260" s="239"/>
      <c r="R260" s="239"/>
      <c r="S260" s="239"/>
      <c r="T260" s="239"/>
      <c r="U260" s="239"/>
      <c r="V260" s="239"/>
      <c r="W260" s="239"/>
      <c r="X260" s="40"/>
      <c r="Y260" s="40"/>
      <c r="Z260" s="40"/>
      <c r="AA260" s="40"/>
      <c r="AB260" s="92"/>
      <c r="AC260" s="96" t="str">
        <f>IF(Eingabe[[#This Row],[V1]]="",IF(Eingabe[[#This Row],[Volle alternativ]]="","",Eingabe[[#This Row],[Volle alternativ]]),SUM(Eingabe[[#This Row],[V1]:[V4]]))</f>
        <v/>
      </c>
      <c r="AD260" s="23" t="str">
        <f>IF(Eingabe[[#This Row],[R1]]="",IF(Eingabe[[#This Row],[Räumer alternativ]]="","",Eingabe[[#This Row],[Räumer alternativ]]),SUM(Eingabe[[#This Row],[R1]:[R4]]))</f>
        <v/>
      </c>
      <c r="AE260" s="23" t="str">
        <f>IF(Eingabe[[#This Row],[F1]]="",IF(Eingabe[[#This Row],[Fehler alternativ]]="","",Eingabe[[#This Row],[Fehler alternativ]]),SUM(Eingabe[[#This Row],[F1]:[F4]]))</f>
        <v/>
      </c>
      <c r="AF260" s="23" t="str">
        <f>IF(Eingabe[[#This Row],[Volle]]="","",IF(Eingabe[[#This Row],[S1]]="",Eingabe[[#This Row],[Volle]]+Eingabe[[#This Row],[Räumer]],IF(Eingabe[[#This Row],[Volle]]+Eingabe[[#This Row],[Räumer]]=Eingabe[[#This Row],[S1]]+Eingabe[[#This Row],[S2]]+Eingabe[[#This Row],[S3]]+Eingabe[[#This Row],[S4]],Eingabe[[#This Row],[Volle]]+Eingabe[[#This Row],[Räumer]],"FEHLER")))</f>
        <v/>
      </c>
      <c r="AG260" s="23" t="str">
        <f>IF(Eingabe[[#This Row],[V1]]="","",Eingabe[[#This Row],[V1]]+Eingabe[[#This Row],[R1]])</f>
        <v/>
      </c>
      <c r="AH260" s="23" t="str">
        <f>IF(Eingabe[[#This Row],[V2]]="","",Eingabe[[#This Row],[V2]]+Eingabe[[#This Row],[R2]])</f>
        <v/>
      </c>
      <c r="AI260" s="23" t="str">
        <f>IF(Eingabe[[#This Row],[V3]]="","",Eingabe[[#This Row],[V3]]+Eingabe[[#This Row],[R3]])</f>
        <v/>
      </c>
      <c r="AJ260" s="23" t="str">
        <f>IF(Eingabe[[#This Row],[V4]]="","",Eingabe[[#This Row],[V4]]+Eingabe[[#This Row],[R4]])</f>
        <v/>
      </c>
      <c r="AK260" s="23" t="str">
        <f>IF(Eingabe[[#This Row],[S1P]]="","",Eingabe[[#This Row],[S1P]]+Eingabe[[#This Row],[S2P]]+Eingabe[[#This Row],[S3P]]+Eingabe[[#This Row],[S4P]])</f>
        <v/>
      </c>
      <c r="AL260" s="23" t="str">
        <f>IF(Eingabe[[#This Row],[S1P]]="","",IF(Eingabe[[#This Row],[SP]]&gt;2,1,IF(Eingabe[[#This Row],[SP]]&lt;2,0,IF(Eingabe[[#This Row],[GES]]&gt;Eingabe[[#This Row],[GEGGES]],1,IF(Eingabe[[#This Row],[GES]]=Eingabe[[#This Row],[GEGGES]],0.5,0)))))</f>
        <v/>
      </c>
      <c r="AM260" s="23" t="str">
        <f>IF(Eingabe[[#This Row],[MP]]="","",MOD(ROW(Eingabe[[#This Row],[Position]])-3,6)+1)</f>
        <v/>
      </c>
      <c r="AN260" s="23" t="e">
        <f>STANDARDIZE(Eingabe[[#This Row],[GES]],Eingabe[[#This Row],[Schnitt]],VLOOKUP(Eingabe[[#This Row],[Name]],AuswertungG[],21,FALSE))</f>
        <v>#VALUE!</v>
      </c>
      <c r="AO260" s="23">
        <f>VLOOKUP(Eingabe[[#This Row],[ID]],Chronologie[[ID]:[KW]],12,FALSE)</f>
        <v>26</v>
      </c>
      <c r="AP260" s="59" t="str">
        <f>IF(Eingabe[[#This Row],[Wo]]="H",Eingabe[[#This Row],[Gegner]]&amp;" ["&amp;Eingabe[[#This Row],[Wo]]&amp;"]",Eingabe[[#This Row],[Ort]])</f>
        <v>Stollberg</v>
      </c>
      <c r="AQ260" s="23" t="str">
        <f>IFERROR(IF(Eingabe[[#This Row],[Wo]]="H",IF(MOD(Eingabe[[#This Row],[Position]],2)=1,Eingabe[[#This Row],[S1]],Eingabe[[#This Row],[S4]]),""),"")</f>
        <v/>
      </c>
      <c r="AR260" s="23" t="str">
        <f>IFERROR(IF(Eingabe[[#This Row],[Wo]]="H",IF(Eingabe[[#This Row],[S1]]&gt;0,IF(MOD(Eingabe[[#This Row],[Position]],2)=1,Eingabe[[#This Row],[S2]],Eingabe[[#This Row],[S3]]),""),""),"")</f>
        <v/>
      </c>
      <c r="AS260" s="23" t="str">
        <f>IFERROR(IF(Eingabe[[#This Row],[Wo]]="H",IF(Eingabe[[#This Row],[S1]]&gt;0,IF(MOD(ROW(Eingabe[[#This Row],[Heimbahn 3]]),2)=1,Eingabe[[#This Row],[S4]],Eingabe[[#This Row],[S1]]),""),""),"")</f>
        <v/>
      </c>
      <c r="AT260" s="23" t="str">
        <f>IFERROR(IF(Eingabe[[#This Row],[Wo]]="H",IF(Eingabe[[#This Row],[S1]]&gt;0,IF(MOD(ROW(Eingabe[[#This Row],[Heimbahn 4]]),2)=1,Eingabe[[#This Row],[S3]],Eingabe[[#This Row],[S2]]),""),""),"")</f>
        <v/>
      </c>
      <c r="AU260" s="89" t="str">
        <f>IF(Eingabe[[#This Row],[GES]]="","",IF(Eingabe[[#This Row],[Modus]]="L",_xlfn.RANK.EQ(Eingabe[[#This Row],[GES]],AF255:AF260),IF(Eingabe[[#This Row],[Modus]]="P",_xlfn.RANK.EQ(Eingabe[[#This Row],[GES]],AF255:AF260),"")))</f>
        <v/>
      </c>
      <c r="AV260" s="6" t="e">
        <f>VLOOKUP(Eingabe[[#This Row],[Name]],AuswertungG[],8,FALSE)</f>
        <v>#N/A</v>
      </c>
      <c r="AZ260" s="6" t="str">
        <f>IFERROR(ABS(Eingabe[[#This Row],[GES]]-Eingabe[[#This Row],[GEGGES]]),"")</f>
        <v/>
      </c>
    </row>
    <row r="261" spans="1:52" ht="16.2" hidden="1" thickBot="1" x14ac:dyDescent="0.35">
      <c r="A261" s="440">
        <f t="shared" si="41"/>
        <v>44</v>
      </c>
      <c r="B261" s="55">
        <f t="shared" si="42"/>
        <v>44</v>
      </c>
      <c r="C261" s="35" t="str">
        <f>VLOOKUP($B261,Chronologie[],7,TRUE)</f>
        <v>KSV Heidenau</v>
      </c>
      <c r="D261" s="35" t="str">
        <f>VLOOKUP($B261,Chronologie[],8,TRUE)</f>
        <v>Heidenau</v>
      </c>
      <c r="E261" s="36" t="str">
        <f>VLOOKUP($B261,Chronologie[],9,TRUE)</f>
        <v>A</v>
      </c>
      <c r="F261" s="35" t="str">
        <f>VLOOKUP($B261,Chronologie[],COLUMN(F262)-2,TRUE)</f>
        <v>U19</v>
      </c>
      <c r="G261" s="35" t="str">
        <f>VLOOKUP($B261,Chronologie[],COLUMN(G262)-2,TRUE)</f>
        <v>L</v>
      </c>
      <c r="H261" s="35">
        <f>VLOOKUP($B261,Chronologie[],COLUMN(H262)-2,TRUE)</f>
        <v>12</v>
      </c>
      <c r="I261" s="9" t="str">
        <f>VLOOKUP($B261,Chronologie[],2,TRUE)</f>
        <v>U19-L-12</v>
      </c>
      <c r="J261" s="242">
        <f>VLOOKUP($B261,Chronologie[],3,TRUE)</f>
        <v>46095</v>
      </c>
      <c r="K261" s="236"/>
      <c r="L261" s="334"/>
      <c r="M261" s="334"/>
      <c r="N261" s="334"/>
      <c r="O261" s="334"/>
      <c r="P261" s="334"/>
      <c r="Q261" s="334"/>
      <c r="R261" s="334"/>
      <c r="S261" s="334"/>
      <c r="T261" s="334"/>
      <c r="U261" s="334"/>
      <c r="V261" s="334"/>
      <c r="W261" s="334"/>
      <c r="X261" s="37"/>
      <c r="Y261" s="37"/>
      <c r="Z261" s="37"/>
      <c r="AA261" s="37"/>
      <c r="AB261" s="90"/>
      <c r="AC261" s="93" t="str">
        <f>IF(Eingabe[[#This Row],[V1]]="",IF(Eingabe[[#This Row],[Volle alternativ]]="","",Eingabe[[#This Row],[Volle alternativ]]),SUM(Eingabe[[#This Row],[V1]:[V4]]))</f>
        <v/>
      </c>
      <c r="AD261" s="35" t="str">
        <f>IF(Eingabe[[#This Row],[R1]]="",IF(Eingabe[[#This Row],[Räumer alternativ]]="","",Eingabe[[#This Row],[Räumer alternativ]]),SUM(Eingabe[[#This Row],[R1]:[R4]]))</f>
        <v/>
      </c>
      <c r="AE261" s="35" t="str">
        <f>IF(Eingabe[[#This Row],[F1]]="",IF(Eingabe[[#This Row],[Fehler alternativ]]="","",Eingabe[[#This Row],[Fehler alternativ]]),SUM(Eingabe[[#This Row],[F1]:[F4]]))</f>
        <v/>
      </c>
      <c r="AF261" s="35" t="str">
        <f>IF(Eingabe[[#This Row],[Volle]]="","",IF(Eingabe[[#This Row],[S1]]="",Eingabe[[#This Row],[Volle]]+Eingabe[[#This Row],[Räumer]],IF(Eingabe[[#This Row],[Volle]]+Eingabe[[#This Row],[Räumer]]=Eingabe[[#This Row],[S1]]+Eingabe[[#This Row],[S2]]+Eingabe[[#This Row],[S3]]+Eingabe[[#This Row],[S4]],Eingabe[[#This Row],[Volle]]+Eingabe[[#This Row],[Räumer]],"FEHLER")))</f>
        <v/>
      </c>
      <c r="AG261" s="35" t="str">
        <f>IF(Eingabe[[#This Row],[V1]]="","",Eingabe[[#This Row],[V1]]+Eingabe[[#This Row],[R1]])</f>
        <v/>
      </c>
      <c r="AH261" s="35" t="str">
        <f>IF(Eingabe[[#This Row],[V2]]="","",Eingabe[[#This Row],[V2]]+Eingabe[[#This Row],[R2]])</f>
        <v/>
      </c>
      <c r="AI261" s="35" t="str">
        <f>IF(Eingabe[[#This Row],[V3]]="","",Eingabe[[#This Row],[V3]]+Eingabe[[#This Row],[R3]])</f>
        <v/>
      </c>
      <c r="AJ261" s="35" t="str">
        <f>IF(Eingabe[[#This Row],[V4]]="","",Eingabe[[#This Row],[V4]]+Eingabe[[#This Row],[R4]])</f>
        <v/>
      </c>
      <c r="AK261" s="35" t="str">
        <f>IF(Eingabe[[#This Row],[S1P]]="","",Eingabe[[#This Row],[S1P]]+Eingabe[[#This Row],[S2P]]+Eingabe[[#This Row],[S3P]]+Eingabe[[#This Row],[S4P]])</f>
        <v/>
      </c>
      <c r="AL261" s="35" t="str">
        <f>IF(Eingabe[[#This Row],[S1P]]="","",IF(Eingabe[[#This Row],[SP]]&gt;2,1,IF(Eingabe[[#This Row],[SP]]&lt;2,0,IF(Eingabe[[#This Row],[GES]]&gt;Eingabe[[#This Row],[GEGGES]],1,IF(Eingabe[[#This Row],[GES]]=Eingabe[[#This Row],[GEGGES]],0.5,0)))))</f>
        <v/>
      </c>
      <c r="AM261" s="35" t="str">
        <f>IF(Eingabe[[#This Row],[MP]]="","",MOD(ROW(Eingabe[[#This Row],[Position]])-3,6)+1)</f>
        <v/>
      </c>
      <c r="AN261" s="35" t="e">
        <f>STANDARDIZE(Eingabe[[#This Row],[GES]],Eingabe[[#This Row],[Schnitt]],VLOOKUP(Eingabe[[#This Row],[Name]],AuswertungG[],21,FALSE))</f>
        <v>#VALUE!</v>
      </c>
      <c r="AO261" s="35">
        <f>VLOOKUP(Eingabe[[#This Row],[ID]],Chronologie[[ID]:[KW]],12,FALSE)</f>
        <v>29</v>
      </c>
      <c r="AP261" s="58" t="str">
        <f>IF(Eingabe[[#This Row],[Wo]]="H",Eingabe[[#This Row],[Gegner]]&amp;" ["&amp;Eingabe[[#This Row],[Wo]]&amp;"]",Eingabe[[#This Row],[Ort]])</f>
        <v>Heidenau</v>
      </c>
      <c r="AQ261" s="35" t="str">
        <f>IFERROR(IF(Eingabe[[#This Row],[Wo]]="H",IF(MOD(Eingabe[[#This Row],[Position]],2)=1,Eingabe[[#This Row],[S1]],Eingabe[[#This Row],[S4]]),""),"")</f>
        <v/>
      </c>
      <c r="AR261" s="35" t="str">
        <f>IFERROR(IF(Eingabe[[#This Row],[Wo]]="H",IF(Eingabe[[#This Row],[S1]]&gt;0,IF(MOD(Eingabe[[#This Row],[Position]],2)=1,Eingabe[[#This Row],[S2]],Eingabe[[#This Row],[S3]]),""),""),"")</f>
        <v/>
      </c>
      <c r="AS261" s="35" t="str">
        <f>IFERROR(IF(Eingabe[[#This Row],[Wo]]="H",IF(Eingabe[[#This Row],[S1]]&gt;0,IF(MOD(ROW(Eingabe[[#This Row],[Heimbahn 3]]),2)=1,Eingabe[[#This Row],[S4]],Eingabe[[#This Row],[S1]]),""),""),"")</f>
        <v/>
      </c>
      <c r="AT261" s="35" t="str">
        <f>IFERROR(IF(Eingabe[[#This Row],[Wo]]="H",IF(Eingabe[[#This Row],[S1]]&gt;0,IF(MOD(ROW(Eingabe[[#This Row],[Heimbahn 4]]),2)=1,Eingabe[[#This Row],[S3]],Eingabe[[#This Row],[S2]]),""),""),"")</f>
        <v/>
      </c>
      <c r="AU261" s="88" t="str">
        <f>IF(Eingabe[[#This Row],[GES]]="","",IF(Eingabe[[#This Row],[Modus]]="L",_xlfn.RANK.EQ(Eingabe[[#This Row],[GES]],AF261:AF266),IF(Eingabe[[#This Row],[Modus]]="P",_xlfn.RANK.EQ(Eingabe[[#This Row],[GES]],AF261:AF266),"")))</f>
        <v/>
      </c>
      <c r="AV261" s="6" t="e">
        <f>VLOOKUP(Eingabe[[#This Row],[Name]],AuswertungG[],8,FALSE)</f>
        <v>#N/A</v>
      </c>
      <c r="AZ261" s="6" t="str">
        <f>IFERROR(ABS(Eingabe[[#This Row],[GES]]-Eingabe[[#This Row],[GEGGES]]),"")</f>
        <v/>
      </c>
    </row>
    <row r="262" spans="1:52" ht="16.2" hidden="1" thickBot="1" x14ac:dyDescent="0.35">
      <c r="A262" s="441"/>
      <c r="B262" s="21">
        <f t="shared" si="42"/>
        <v>44</v>
      </c>
      <c r="C262" s="6" t="str">
        <f>VLOOKUP($B262,Chronologie[],7,TRUE)</f>
        <v>KSV Heidenau</v>
      </c>
      <c r="D262" s="6" t="str">
        <f>VLOOKUP($B262,Chronologie[],8,TRUE)</f>
        <v>Heidenau</v>
      </c>
      <c r="E262" s="240" t="str">
        <f>VLOOKUP($B262,Chronologie[],9,TRUE)</f>
        <v>A</v>
      </c>
      <c r="F262" s="6" t="str">
        <f>VLOOKUP($B262,Chronologie[],COLUMN(F263)-2,TRUE)</f>
        <v>U19</v>
      </c>
      <c r="G262" s="6" t="str">
        <f>VLOOKUP($B262,Chronologie[],COLUMN(G263)-2,TRUE)</f>
        <v>L</v>
      </c>
      <c r="H262" s="6">
        <f>VLOOKUP($B262,Chronologie[],COLUMN(H263)-2,TRUE)</f>
        <v>12</v>
      </c>
      <c r="I262" s="10" t="str">
        <f>VLOOKUP($B262,Chronologie[],2,TRUE)</f>
        <v>U19-L-12</v>
      </c>
      <c r="J262" s="243">
        <f>VLOOKUP($B262,Chronologie[],3,TRUE)</f>
        <v>46095</v>
      </c>
      <c r="K262" s="237"/>
      <c r="L262" s="237"/>
      <c r="M262" s="237"/>
      <c r="N262" s="237"/>
      <c r="O262" s="237"/>
      <c r="P262" s="237"/>
      <c r="Q262" s="237"/>
      <c r="R262" s="237"/>
      <c r="S262" s="237"/>
      <c r="T262" s="237"/>
      <c r="U262" s="237"/>
      <c r="V262" s="237"/>
      <c r="W262" s="237"/>
      <c r="X262" s="38"/>
      <c r="Y262" s="38"/>
      <c r="Z262" s="38"/>
      <c r="AA262" s="38"/>
      <c r="AB262" s="91"/>
      <c r="AC262" s="94" t="str">
        <f>IF(Eingabe[[#This Row],[V1]]="",IF(Eingabe[[#This Row],[Volle alternativ]]="","",Eingabe[[#This Row],[Volle alternativ]]),SUM(Eingabe[[#This Row],[V1]:[V4]]))</f>
        <v/>
      </c>
      <c r="AD262" s="6" t="str">
        <f>IF(Eingabe[[#This Row],[R1]]="",IF(Eingabe[[#This Row],[Räumer alternativ]]="","",Eingabe[[#This Row],[Räumer alternativ]]),SUM(Eingabe[[#This Row],[R1]:[R4]]))</f>
        <v/>
      </c>
      <c r="AE262" s="6" t="str">
        <f>IF(Eingabe[[#This Row],[F1]]="",IF(Eingabe[[#This Row],[Fehler alternativ]]="","",Eingabe[[#This Row],[Fehler alternativ]]),SUM(Eingabe[[#This Row],[F1]:[F4]]))</f>
        <v/>
      </c>
      <c r="AF262" s="6" t="str">
        <f>IF(Eingabe[[#This Row],[Volle]]="","",IF(Eingabe[[#This Row],[S1]]="",Eingabe[[#This Row],[Volle]]+Eingabe[[#This Row],[Räumer]],IF(Eingabe[[#This Row],[Volle]]+Eingabe[[#This Row],[Räumer]]=Eingabe[[#This Row],[S1]]+Eingabe[[#This Row],[S2]]+Eingabe[[#This Row],[S3]]+Eingabe[[#This Row],[S4]],Eingabe[[#This Row],[Volle]]+Eingabe[[#This Row],[Räumer]],"FEHLER")))</f>
        <v/>
      </c>
      <c r="AG262" s="6" t="str">
        <f>IF(Eingabe[[#This Row],[V1]]="","",Eingabe[[#This Row],[V1]]+Eingabe[[#This Row],[R1]])</f>
        <v/>
      </c>
      <c r="AH262" s="6" t="str">
        <f>IF(Eingabe[[#This Row],[V2]]="","",Eingabe[[#This Row],[V2]]+Eingabe[[#This Row],[R2]])</f>
        <v/>
      </c>
      <c r="AI262" s="6" t="str">
        <f>IF(Eingabe[[#This Row],[V3]]="","",Eingabe[[#This Row],[V3]]+Eingabe[[#This Row],[R3]])</f>
        <v/>
      </c>
      <c r="AJ262" s="6" t="str">
        <f>IF(Eingabe[[#This Row],[V4]]="","",Eingabe[[#This Row],[V4]]+Eingabe[[#This Row],[R4]])</f>
        <v/>
      </c>
      <c r="AK262" s="6" t="str">
        <f>IF(Eingabe[[#This Row],[S1P]]="","",Eingabe[[#This Row],[S1P]]+Eingabe[[#This Row],[S2P]]+Eingabe[[#This Row],[S3P]]+Eingabe[[#This Row],[S4P]])</f>
        <v/>
      </c>
      <c r="AL262" s="6" t="str">
        <f>IF(Eingabe[[#This Row],[S1P]]="","",IF(Eingabe[[#This Row],[SP]]&gt;2,1,IF(Eingabe[[#This Row],[SP]]&lt;2,0,IF(Eingabe[[#This Row],[GES]]&gt;Eingabe[[#This Row],[GEGGES]],1,IF(Eingabe[[#This Row],[GES]]=Eingabe[[#This Row],[GEGGES]],0.5,0)))))</f>
        <v/>
      </c>
      <c r="AM262" s="6" t="str">
        <f>IF(Eingabe[[#This Row],[MP]]="","",MOD(ROW(Eingabe[[#This Row],[Position]])-3,6)+1)</f>
        <v/>
      </c>
      <c r="AN262" s="6" t="e">
        <f>STANDARDIZE(Eingabe[[#This Row],[GES]],Eingabe[[#This Row],[Schnitt]],VLOOKUP(Eingabe[[#This Row],[Name]],AuswertungG[],21,FALSE))</f>
        <v>#VALUE!</v>
      </c>
      <c r="AO262" s="6">
        <f>VLOOKUP(Eingabe[[#This Row],[ID]],Chronologie[[ID]:[KW]],12,FALSE)</f>
        <v>29</v>
      </c>
      <c r="AP262" s="95" t="str">
        <f>IF(Eingabe[[#This Row],[Wo]]="H",Eingabe[[#This Row],[Gegner]]&amp;" ["&amp;Eingabe[[#This Row],[Wo]]&amp;"]",Eingabe[[#This Row],[Ort]])</f>
        <v>Heidenau</v>
      </c>
      <c r="AQ262" s="6" t="str">
        <f>IFERROR(IF(Eingabe[[#This Row],[Wo]]="H",IF(MOD(Eingabe[[#This Row],[Position]],2)=1,Eingabe[[#This Row],[S1]],Eingabe[[#This Row],[S4]]),""),"")</f>
        <v/>
      </c>
      <c r="AR262" s="6" t="str">
        <f>IFERROR(IF(Eingabe[[#This Row],[Wo]]="H",IF(Eingabe[[#This Row],[S1]]&gt;0,IF(MOD(Eingabe[[#This Row],[Position]],2)=1,Eingabe[[#This Row],[S2]],Eingabe[[#This Row],[S3]]),""),""),"")</f>
        <v/>
      </c>
      <c r="AS262" s="6" t="str">
        <f>IFERROR(IF(Eingabe[[#This Row],[Wo]]="H",IF(Eingabe[[#This Row],[S1]]&gt;0,IF(MOD(ROW(Eingabe[[#This Row],[Heimbahn 3]]),2)=1,Eingabe[[#This Row],[S4]],Eingabe[[#This Row],[S1]]),""),""),"")</f>
        <v/>
      </c>
      <c r="AT262" s="6" t="str">
        <f>IFERROR(IF(Eingabe[[#This Row],[Wo]]="H",IF(Eingabe[[#This Row],[S1]]&gt;0,IF(MOD(ROW(Eingabe[[#This Row],[Heimbahn 4]]),2)=1,Eingabe[[#This Row],[S3]],Eingabe[[#This Row],[S2]]),""),""),"")</f>
        <v/>
      </c>
      <c r="AU262" s="22" t="str">
        <f>IF(Eingabe[[#This Row],[GES]]="","",IF(Eingabe[[#This Row],[Modus]]="L",_xlfn.RANK.EQ(Eingabe[[#This Row],[GES]],AF261:AF266),IF(Eingabe[[#This Row],[Modus]]="P",_xlfn.RANK.EQ(Eingabe[[#This Row],[GES]],AF261:AF266),"")))</f>
        <v/>
      </c>
      <c r="AV262" s="6" t="e">
        <f>VLOOKUP(Eingabe[[#This Row],[Name]],AuswertungG[],8,FALSE)</f>
        <v>#N/A</v>
      </c>
      <c r="AZ262" s="6" t="str">
        <f>IFERROR(ABS(Eingabe[[#This Row],[GES]]-Eingabe[[#This Row],[GEGGES]]),"")</f>
        <v/>
      </c>
    </row>
    <row r="263" spans="1:52" ht="16.2" hidden="1" thickBot="1" x14ac:dyDescent="0.35">
      <c r="A263" s="441"/>
      <c r="B263" s="21">
        <f t="shared" si="42"/>
        <v>44</v>
      </c>
      <c r="C263" s="6" t="str">
        <f>VLOOKUP($B263,Chronologie[],7,TRUE)</f>
        <v>KSV Heidenau</v>
      </c>
      <c r="D263" s="6" t="str">
        <f>VLOOKUP($B263,Chronologie[],8,TRUE)</f>
        <v>Heidenau</v>
      </c>
      <c r="E263" s="240" t="str">
        <f>VLOOKUP($B263,Chronologie[],9,TRUE)</f>
        <v>A</v>
      </c>
      <c r="F263" s="6" t="str">
        <f>VLOOKUP($B263,Chronologie[],COLUMN(F264)-2,TRUE)</f>
        <v>U19</v>
      </c>
      <c r="G263" s="6" t="str">
        <f>VLOOKUP($B263,Chronologie[],COLUMN(G264)-2,TRUE)</f>
        <v>L</v>
      </c>
      <c r="H263" s="6">
        <f>VLOOKUP($B263,Chronologie[],COLUMN(H264)-2,TRUE)</f>
        <v>12</v>
      </c>
      <c r="I263" s="10" t="str">
        <f>VLOOKUP($B263,Chronologie[],2,TRUE)</f>
        <v>U19-L-12</v>
      </c>
      <c r="J263" s="243">
        <f>VLOOKUP($B263,Chronologie[],3,TRUE)</f>
        <v>46095</v>
      </c>
      <c r="K263" s="237"/>
      <c r="L263" s="237"/>
      <c r="M263" s="237"/>
      <c r="N263" s="237"/>
      <c r="O263" s="237"/>
      <c r="P263" s="237"/>
      <c r="Q263" s="237"/>
      <c r="R263" s="237"/>
      <c r="S263" s="237"/>
      <c r="T263" s="237"/>
      <c r="U263" s="237"/>
      <c r="V263" s="237"/>
      <c r="W263" s="237"/>
      <c r="X263" s="38"/>
      <c r="Y263" s="38"/>
      <c r="Z263" s="38"/>
      <c r="AA263" s="38"/>
      <c r="AB263" s="91"/>
      <c r="AC263" s="94" t="str">
        <f>IF(Eingabe[[#This Row],[V1]]="",IF(Eingabe[[#This Row],[Volle alternativ]]="","",Eingabe[[#This Row],[Volle alternativ]]),SUM(Eingabe[[#This Row],[V1]:[V4]]))</f>
        <v/>
      </c>
      <c r="AD263" s="6" t="str">
        <f>IF(Eingabe[[#This Row],[R1]]="",IF(Eingabe[[#This Row],[Räumer alternativ]]="","",Eingabe[[#This Row],[Räumer alternativ]]),SUM(Eingabe[[#This Row],[R1]:[R4]]))</f>
        <v/>
      </c>
      <c r="AE263" s="6" t="str">
        <f>IF(Eingabe[[#This Row],[F1]]="",IF(Eingabe[[#This Row],[Fehler alternativ]]="","",Eingabe[[#This Row],[Fehler alternativ]]),SUM(Eingabe[[#This Row],[F1]:[F4]]))</f>
        <v/>
      </c>
      <c r="AF263" s="6" t="str">
        <f>IF(Eingabe[[#This Row],[Volle]]="","",IF(Eingabe[[#This Row],[S1]]="",Eingabe[[#This Row],[Volle]]+Eingabe[[#This Row],[Räumer]],IF(Eingabe[[#This Row],[Volle]]+Eingabe[[#This Row],[Räumer]]=Eingabe[[#This Row],[S1]]+Eingabe[[#This Row],[S2]]+Eingabe[[#This Row],[S3]]+Eingabe[[#This Row],[S4]],Eingabe[[#This Row],[Volle]]+Eingabe[[#This Row],[Räumer]],"FEHLER")))</f>
        <v/>
      </c>
      <c r="AG263" s="6" t="str">
        <f>IF(Eingabe[[#This Row],[V1]]="","",Eingabe[[#This Row],[V1]]+Eingabe[[#This Row],[R1]])</f>
        <v/>
      </c>
      <c r="AH263" s="6" t="str">
        <f>IF(Eingabe[[#This Row],[V2]]="","",Eingabe[[#This Row],[V2]]+Eingabe[[#This Row],[R2]])</f>
        <v/>
      </c>
      <c r="AI263" s="6" t="str">
        <f>IF(Eingabe[[#This Row],[V3]]="","",Eingabe[[#This Row],[V3]]+Eingabe[[#This Row],[R3]])</f>
        <v/>
      </c>
      <c r="AJ263" s="6" t="str">
        <f>IF(Eingabe[[#This Row],[V4]]="","",Eingabe[[#This Row],[V4]]+Eingabe[[#This Row],[R4]])</f>
        <v/>
      </c>
      <c r="AK263" s="6" t="str">
        <f>IF(Eingabe[[#This Row],[S1P]]="","",Eingabe[[#This Row],[S1P]]+Eingabe[[#This Row],[S2P]]+Eingabe[[#This Row],[S3P]]+Eingabe[[#This Row],[S4P]])</f>
        <v/>
      </c>
      <c r="AL263" s="6" t="str">
        <f>IF(Eingabe[[#This Row],[S1P]]="","",IF(Eingabe[[#This Row],[SP]]&gt;2,1,IF(Eingabe[[#This Row],[SP]]&lt;2,0,IF(Eingabe[[#This Row],[GES]]&gt;Eingabe[[#This Row],[GEGGES]],1,IF(Eingabe[[#This Row],[GES]]=Eingabe[[#This Row],[GEGGES]],0.5,0)))))</f>
        <v/>
      </c>
      <c r="AM263" s="6" t="str">
        <f>IF(Eingabe[[#This Row],[MP]]="","",MOD(ROW(Eingabe[[#This Row],[Position]])-3,6)+1)</f>
        <v/>
      </c>
      <c r="AN263" s="6" t="e">
        <f>STANDARDIZE(Eingabe[[#This Row],[GES]],Eingabe[[#This Row],[Schnitt]],VLOOKUP(Eingabe[[#This Row],[Name]],AuswertungG[],21,FALSE))</f>
        <v>#VALUE!</v>
      </c>
      <c r="AO263" s="6">
        <f>VLOOKUP(Eingabe[[#This Row],[ID]],Chronologie[[ID]:[KW]],12,FALSE)</f>
        <v>29</v>
      </c>
      <c r="AP263" s="95" t="str">
        <f>IF(Eingabe[[#This Row],[Wo]]="H",Eingabe[[#This Row],[Gegner]]&amp;" ["&amp;Eingabe[[#This Row],[Wo]]&amp;"]",Eingabe[[#This Row],[Ort]])</f>
        <v>Heidenau</v>
      </c>
      <c r="AQ263" s="6" t="str">
        <f>IFERROR(IF(Eingabe[[#This Row],[Wo]]="H",IF(MOD(Eingabe[[#This Row],[Position]],2)=1,Eingabe[[#This Row],[S1]],Eingabe[[#This Row],[S4]]),""),"")</f>
        <v/>
      </c>
      <c r="AR263" s="6" t="str">
        <f>IFERROR(IF(Eingabe[[#This Row],[Wo]]="H",IF(Eingabe[[#This Row],[S1]]&gt;0,IF(MOD(Eingabe[[#This Row],[Position]],2)=1,Eingabe[[#This Row],[S2]],Eingabe[[#This Row],[S3]]),""),""),"")</f>
        <v/>
      </c>
      <c r="AS263" s="6" t="str">
        <f>IFERROR(IF(Eingabe[[#This Row],[Wo]]="H",IF(Eingabe[[#This Row],[S1]]&gt;0,IF(MOD(ROW(Eingabe[[#This Row],[Heimbahn 3]]),2)=1,Eingabe[[#This Row],[S4]],Eingabe[[#This Row],[S1]]),""),""),"")</f>
        <v/>
      </c>
      <c r="AT263" s="6" t="str">
        <f>IFERROR(IF(Eingabe[[#This Row],[Wo]]="H",IF(Eingabe[[#This Row],[S1]]&gt;0,IF(MOD(ROW(Eingabe[[#This Row],[Heimbahn 4]]),2)=1,Eingabe[[#This Row],[S3]],Eingabe[[#This Row],[S2]]),""),""),"")</f>
        <v/>
      </c>
      <c r="AU263" s="22" t="str">
        <f>IF(Eingabe[[#This Row],[GES]]="","",IF(Eingabe[[#This Row],[Modus]]="L",_xlfn.RANK.EQ(Eingabe[[#This Row],[GES]],AF261:AF266),IF(Eingabe[[#This Row],[Modus]]="P",_xlfn.RANK.EQ(Eingabe[[#This Row],[GES]],AF261:AF266),"")))</f>
        <v/>
      </c>
      <c r="AV263" s="6" t="e">
        <f>VLOOKUP(Eingabe[[#This Row],[Name]],AuswertungG[],8,FALSE)</f>
        <v>#N/A</v>
      </c>
      <c r="AZ263" s="6" t="str">
        <f>IFERROR(ABS(Eingabe[[#This Row],[GES]]-Eingabe[[#This Row],[GEGGES]]),"")</f>
        <v/>
      </c>
    </row>
    <row r="264" spans="1:52" ht="16.2" hidden="1" thickBot="1" x14ac:dyDescent="0.35">
      <c r="A264" s="441"/>
      <c r="B264" s="21">
        <f t="shared" si="42"/>
        <v>44</v>
      </c>
      <c r="C264" s="6" t="str">
        <f>VLOOKUP($B264,Chronologie[],7,TRUE)</f>
        <v>KSV Heidenau</v>
      </c>
      <c r="D264" s="6" t="str">
        <f>VLOOKUP($B264,Chronologie[],8,TRUE)</f>
        <v>Heidenau</v>
      </c>
      <c r="E264" s="240" t="str">
        <f>VLOOKUP($B264,Chronologie[],9,TRUE)</f>
        <v>A</v>
      </c>
      <c r="F264" s="6" t="str">
        <f>VLOOKUP($B264,Chronologie[],COLUMN(F265)-2,TRUE)</f>
        <v>U19</v>
      </c>
      <c r="G264" s="6" t="str">
        <f>VLOOKUP($B264,Chronologie[],COLUMN(G265)-2,TRUE)</f>
        <v>L</v>
      </c>
      <c r="H264" s="6">
        <f>VLOOKUP($B264,Chronologie[],COLUMN(H265)-2,TRUE)</f>
        <v>12</v>
      </c>
      <c r="I264" s="10" t="str">
        <f>VLOOKUP($B264,Chronologie[],2,TRUE)</f>
        <v>U19-L-12</v>
      </c>
      <c r="J264" s="243">
        <f>VLOOKUP($B264,Chronologie[],3,TRUE)</f>
        <v>46095</v>
      </c>
      <c r="K264" s="238"/>
      <c r="L264" s="237"/>
      <c r="M264" s="237"/>
      <c r="N264" s="237"/>
      <c r="O264" s="237"/>
      <c r="P264" s="237"/>
      <c r="Q264" s="237"/>
      <c r="R264" s="237"/>
      <c r="S264" s="237"/>
      <c r="T264" s="237"/>
      <c r="U264" s="237"/>
      <c r="V264" s="237"/>
      <c r="W264" s="237"/>
      <c r="X264" s="38"/>
      <c r="Y264" s="38"/>
      <c r="Z264" s="38"/>
      <c r="AA264" s="38"/>
      <c r="AB264" s="91"/>
      <c r="AC264" s="94" t="str">
        <f>IF(Eingabe[[#This Row],[V1]]="",IF(Eingabe[[#This Row],[Volle alternativ]]="","",Eingabe[[#This Row],[Volle alternativ]]),SUM(Eingabe[[#This Row],[V1]:[V4]]))</f>
        <v/>
      </c>
      <c r="AD264" s="6" t="str">
        <f>IF(Eingabe[[#This Row],[R1]]="",IF(Eingabe[[#This Row],[Räumer alternativ]]="","",Eingabe[[#This Row],[Räumer alternativ]]),SUM(Eingabe[[#This Row],[R1]:[R4]]))</f>
        <v/>
      </c>
      <c r="AE264" s="6" t="str">
        <f>IF(Eingabe[[#This Row],[F1]]="",IF(Eingabe[[#This Row],[Fehler alternativ]]="","",Eingabe[[#This Row],[Fehler alternativ]]),SUM(Eingabe[[#This Row],[F1]:[F4]]))</f>
        <v/>
      </c>
      <c r="AF264" s="6" t="str">
        <f>IF(Eingabe[[#This Row],[Volle]]="","",IF(Eingabe[[#This Row],[S1]]="",Eingabe[[#This Row],[Volle]]+Eingabe[[#This Row],[Räumer]],IF(Eingabe[[#This Row],[Volle]]+Eingabe[[#This Row],[Räumer]]=Eingabe[[#This Row],[S1]]+Eingabe[[#This Row],[S2]]+Eingabe[[#This Row],[S3]]+Eingabe[[#This Row],[S4]],Eingabe[[#This Row],[Volle]]+Eingabe[[#This Row],[Räumer]],"FEHLER")))</f>
        <v/>
      </c>
      <c r="AG264" s="6" t="str">
        <f>IF(Eingabe[[#This Row],[V1]]="","",Eingabe[[#This Row],[V1]]+Eingabe[[#This Row],[R1]])</f>
        <v/>
      </c>
      <c r="AH264" s="6" t="str">
        <f>IF(Eingabe[[#This Row],[V2]]="","",Eingabe[[#This Row],[V2]]+Eingabe[[#This Row],[R2]])</f>
        <v/>
      </c>
      <c r="AI264" s="6" t="str">
        <f>IF(Eingabe[[#This Row],[V3]]="","",Eingabe[[#This Row],[V3]]+Eingabe[[#This Row],[R3]])</f>
        <v/>
      </c>
      <c r="AJ264" s="6" t="str">
        <f>IF(Eingabe[[#This Row],[V4]]="","",Eingabe[[#This Row],[V4]]+Eingabe[[#This Row],[R4]])</f>
        <v/>
      </c>
      <c r="AK264" s="6" t="str">
        <f>IF(Eingabe[[#This Row],[S1P]]="","",Eingabe[[#This Row],[S1P]]+Eingabe[[#This Row],[S2P]]+Eingabe[[#This Row],[S3P]]+Eingabe[[#This Row],[S4P]])</f>
        <v/>
      </c>
      <c r="AL264" s="6" t="str">
        <f>IF(Eingabe[[#This Row],[S1P]]="","",IF(Eingabe[[#This Row],[SP]]&gt;2,1,IF(Eingabe[[#This Row],[SP]]&lt;2,0,IF(Eingabe[[#This Row],[GES]]&gt;Eingabe[[#This Row],[GEGGES]],1,IF(Eingabe[[#This Row],[GES]]=Eingabe[[#This Row],[GEGGES]],0.5,0)))))</f>
        <v/>
      </c>
      <c r="AM264" s="6" t="str">
        <f>IF(Eingabe[[#This Row],[MP]]="","",MOD(ROW(Eingabe[[#This Row],[Position]])-3,6)+1)</f>
        <v/>
      </c>
      <c r="AN264" s="6" t="e">
        <f>STANDARDIZE(Eingabe[[#This Row],[GES]],Eingabe[[#This Row],[Schnitt]],VLOOKUP(Eingabe[[#This Row],[Name]],AuswertungG[],21,FALSE))</f>
        <v>#VALUE!</v>
      </c>
      <c r="AO264" s="6">
        <f>VLOOKUP(Eingabe[[#This Row],[ID]],Chronologie[[ID]:[KW]],12,FALSE)</f>
        <v>29</v>
      </c>
      <c r="AP264" s="95" t="str">
        <f>IF(Eingabe[[#This Row],[Wo]]="H",Eingabe[[#This Row],[Gegner]]&amp;" ["&amp;Eingabe[[#This Row],[Wo]]&amp;"]",Eingabe[[#This Row],[Ort]])</f>
        <v>Heidenau</v>
      </c>
      <c r="AQ264" s="6" t="str">
        <f>IFERROR(IF(Eingabe[[#This Row],[Wo]]="H",IF(MOD(Eingabe[[#This Row],[Position]],2)=1,Eingabe[[#This Row],[S1]],Eingabe[[#This Row],[S4]]),""),"")</f>
        <v/>
      </c>
      <c r="AR264" s="6" t="str">
        <f>IFERROR(IF(Eingabe[[#This Row],[Wo]]="H",IF(Eingabe[[#This Row],[S1]]&gt;0,IF(MOD(Eingabe[[#This Row],[Position]],2)=1,Eingabe[[#This Row],[S2]],Eingabe[[#This Row],[S3]]),""),""),"")</f>
        <v/>
      </c>
      <c r="AS264" s="6" t="str">
        <f>IFERROR(IF(Eingabe[[#This Row],[Wo]]="H",IF(Eingabe[[#This Row],[S1]]&gt;0,IF(MOD(ROW(Eingabe[[#This Row],[Heimbahn 3]]),2)=1,Eingabe[[#This Row],[S4]],Eingabe[[#This Row],[S1]]),""),""),"")</f>
        <v/>
      </c>
      <c r="AT264" s="6" t="str">
        <f>IFERROR(IF(Eingabe[[#This Row],[Wo]]="H",IF(Eingabe[[#This Row],[S1]]&gt;0,IF(MOD(ROW(Eingabe[[#This Row],[Heimbahn 4]]),2)=1,Eingabe[[#This Row],[S3]],Eingabe[[#This Row],[S2]]),""),""),"")</f>
        <v/>
      </c>
      <c r="AU264" s="22" t="str">
        <f>IF(Eingabe[[#This Row],[GES]]="","",IF(Eingabe[[#This Row],[Modus]]="L",_xlfn.RANK.EQ(Eingabe[[#This Row],[GES]],AF261:AF266),IF(Eingabe[[#This Row],[Modus]]="P",_xlfn.RANK.EQ(Eingabe[[#This Row],[GES]],AF261:AF266),"")))</f>
        <v/>
      </c>
      <c r="AV264" s="6" t="e">
        <f>VLOOKUP(Eingabe[[#This Row],[Name]],AuswertungG[],8,FALSE)</f>
        <v>#N/A</v>
      </c>
      <c r="AZ264" s="6" t="str">
        <f>IFERROR(ABS(Eingabe[[#This Row],[GES]]-Eingabe[[#This Row],[GEGGES]]),"")</f>
        <v/>
      </c>
    </row>
    <row r="265" spans="1:52" ht="16.2" hidden="1" thickBot="1" x14ac:dyDescent="0.35">
      <c r="A265" s="441"/>
      <c r="B265" s="21">
        <f t="shared" si="42"/>
        <v>44</v>
      </c>
      <c r="C265" s="6" t="str">
        <f>VLOOKUP($B265,Chronologie[],7,TRUE)</f>
        <v>KSV Heidenau</v>
      </c>
      <c r="D265" s="6" t="str">
        <f>VLOOKUP($B265,Chronologie[],8,TRUE)</f>
        <v>Heidenau</v>
      </c>
      <c r="E265" s="240" t="str">
        <f>VLOOKUP($B265,Chronologie[],9,TRUE)</f>
        <v>A</v>
      </c>
      <c r="F265" s="6" t="str">
        <f>VLOOKUP($B265,Chronologie[],COLUMN(F266)-2,TRUE)</f>
        <v>U19</v>
      </c>
      <c r="G265" s="6" t="str">
        <f>VLOOKUP($B265,Chronologie[],COLUMN(G266)-2,TRUE)</f>
        <v>L</v>
      </c>
      <c r="H265" s="6">
        <f>VLOOKUP($B265,Chronologie[],COLUMN(H266)-2,TRUE)</f>
        <v>12</v>
      </c>
      <c r="I265" s="10" t="str">
        <f>VLOOKUP($B265,Chronologie[],2,TRUE)</f>
        <v>U19-L-12</v>
      </c>
      <c r="J265" s="243">
        <f>VLOOKUP($B265,Chronologie[],3,TRUE)</f>
        <v>46095</v>
      </c>
      <c r="K265" s="237"/>
      <c r="L265" s="237"/>
      <c r="M265" s="237"/>
      <c r="N265" s="237"/>
      <c r="O265" s="237"/>
      <c r="P265" s="237"/>
      <c r="Q265" s="237"/>
      <c r="R265" s="237"/>
      <c r="S265" s="237"/>
      <c r="T265" s="237"/>
      <c r="U265" s="237"/>
      <c r="V265" s="237"/>
      <c r="W265" s="237"/>
      <c r="X265" s="38"/>
      <c r="Y265" s="38"/>
      <c r="Z265" s="38"/>
      <c r="AA265" s="38"/>
      <c r="AB265" s="91"/>
      <c r="AC265" s="94" t="str">
        <f>IF(Eingabe[[#This Row],[V1]]="",IF(Eingabe[[#This Row],[Volle alternativ]]="","",Eingabe[[#This Row],[Volle alternativ]]),SUM(Eingabe[[#This Row],[V1]:[V4]]))</f>
        <v/>
      </c>
      <c r="AD265" s="6" t="str">
        <f>IF(Eingabe[[#This Row],[R1]]="",IF(Eingabe[[#This Row],[Räumer alternativ]]="","",Eingabe[[#This Row],[Räumer alternativ]]),SUM(Eingabe[[#This Row],[R1]:[R4]]))</f>
        <v/>
      </c>
      <c r="AE265" s="6" t="str">
        <f>IF(Eingabe[[#This Row],[F1]]="",IF(Eingabe[[#This Row],[Fehler alternativ]]="","",Eingabe[[#This Row],[Fehler alternativ]]),SUM(Eingabe[[#This Row],[F1]:[F4]]))</f>
        <v/>
      </c>
      <c r="AF265" s="6" t="str">
        <f>IF(Eingabe[[#This Row],[Volle]]="","",IF(Eingabe[[#This Row],[S1]]="",Eingabe[[#This Row],[Volle]]+Eingabe[[#This Row],[Räumer]],IF(Eingabe[[#This Row],[Volle]]+Eingabe[[#This Row],[Räumer]]=Eingabe[[#This Row],[S1]]+Eingabe[[#This Row],[S2]]+Eingabe[[#This Row],[S3]]+Eingabe[[#This Row],[S4]],Eingabe[[#This Row],[Volle]]+Eingabe[[#This Row],[Räumer]],"FEHLER")))</f>
        <v/>
      </c>
      <c r="AG265" s="6" t="str">
        <f>IF(Eingabe[[#This Row],[V1]]="","",Eingabe[[#This Row],[V1]]+Eingabe[[#This Row],[R1]])</f>
        <v/>
      </c>
      <c r="AH265" s="6" t="str">
        <f>IF(Eingabe[[#This Row],[V2]]="","",Eingabe[[#This Row],[V2]]+Eingabe[[#This Row],[R2]])</f>
        <v/>
      </c>
      <c r="AI265" s="6" t="str">
        <f>IF(Eingabe[[#This Row],[V3]]="","",Eingabe[[#This Row],[V3]]+Eingabe[[#This Row],[R3]])</f>
        <v/>
      </c>
      <c r="AJ265" s="6" t="str">
        <f>IF(Eingabe[[#This Row],[V4]]="","",Eingabe[[#This Row],[V4]]+Eingabe[[#This Row],[R4]])</f>
        <v/>
      </c>
      <c r="AK265" s="6" t="str">
        <f>IF(Eingabe[[#This Row],[S1P]]="","",Eingabe[[#This Row],[S1P]]+Eingabe[[#This Row],[S2P]]+Eingabe[[#This Row],[S3P]]+Eingabe[[#This Row],[S4P]])</f>
        <v/>
      </c>
      <c r="AL265" s="6" t="str">
        <f>IF(Eingabe[[#This Row],[S1P]]="","",IF(Eingabe[[#This Row],[SP]]&gt;2,1,IF(Eingabe[[#This Row],[SP]]&lt;2,0,IF(Eingabe[[#This Row],[GES]]&gt;Eingabe[[#This Row],[GEGGES]],1,IF(Eingabe[[#This Row],[GES]]=Eingabe[[#This Row],[GEGGES]],0.5,0)))))</f>
        <v/>
      </c>
      <c r="AM265" s="6" t="str">
        <f>IF(Eingabe[[#This Row],[MP]]="","",MOD(ROW(Eingabe[[#This Row],[Position]])-3,6)+1)</f>
        <v/>
      </c>
      <c r="AN265" s="6" t="e">
        <f>STANDARDIZE(Eingabe[[#This Row],[GES]],Eingabe[[#This Row],[Schnitt]],VLOOKUP(Eingabe[[#This Row],[Name]],AuswertungG[],21,FALSE))</f>
        <v>#VALUE!</v>
      </c>
      <c r="AO265" s="6">
        <f>VLOOKUP(Eingabe[[#This Row],[ID]],Chronologie[[ID]:[KW]],12,FALSE)</f>
        <v>29</v>
      </c>
      <c r="AP265" s="95" t="str">
        <f>IF(Eingabe[[#This Row],[Wo]]="H",Eingabe[[#This Row],[Gegner]]&amp;" ["&amp;Eingabe[[#This Row],[Wo]]&amp;"]",Eingabe[[#This Row],[Ort]])</f>
        <v>Heidenau</v>
      </c>
      <c r="AQ265" s="6" t="str">
        <f>IFERROR(IF(Eingabe[[#This Row],[Wo]]="H",IF(MOD(Eingabe[[#This Row],[Position]],2)=1,Eingabe[[#This Row],[S1]],Eingabe[[#This Row],[S4]]),""),"")</f>
        <v/>
      </c>
      <c r="AR265" s="6" t="str">
        <f>IFERROR(IF(Eingabe[[#This Row],[Wo]]="H",IF(Eingabe[[#This Row],[S1]]&gt;0,IF(MOD(Eingabe[[#This Row],[Position]],2)=1,Eingabe[[#This Row],[S2]],Eingabe[[#This Row],[S3]]),""),""),"")</f>
        <v/>
      </c>
      <c r="AS265" s="6" t="str">
        <f>IFERROR(IF(Eingabe[[#This Row],[Wo]]="H",IF(Eingabe[[#This Row],[S1]]&gt;0,IF(MOD(ROW(Eingabe[[#This Row],[Heimbahn 3]]),2)=1,Eingabe[[#This Row],[S4]],Eingabe[[#This Row],[S1]]),""),""),"")</f>
        <v/>
      </c>
      <c r="AT265" s="6" t="str">
        <f>IFERROR(IF(Eingabe[[#This Row],[Wo]]="H",IF(Eingabe[[#This Row],[S1]]&gt;0,IF(MOD(ROW(Eingabe[[#This Row],[Heimbahn 4]]),2)=1,Eingabe[[#This Row],[S3]],Eingabe[[#This Row],[S2]]),""),""),"")</f>
        <v/>
      </c>
      <c r="AU265" s="22" t="str">
        <f>IF(Eingabe[[#This Row],[GES]]="","",IF(Eingabe[[#This Row],[Modus]]="L",_xlfn.RANK.EQ(Eingabe[[#This Row],[GES]],AF261:AF266),IF(Eingabe[[#This Row],[Modus]]="P",_xlfn.RANK.EQ(Eingabe[[#This Row],[GES]],AF261:AF266),"")))</f>
        <v/>
      </c>
      <c r="AV265" s="6" t="e">
        <f>VLOOKUP(Eingabe[[#This Row],[Name]],AuswertungG[],8,FALSE)</f>
        <v>#N/A</v>
      </c>
      <c r="AZ265" s="6" t="str">
        <f>IFERROR(ABS(Eingabe[[#This Row],[GES]]-Eingabe[[#This Row],[GEGGES]]),"")</f>
        <v/>
      </c>
    </row>
    <row r="266" spans="1:52" ht="16.2" hidden="1" thickBot="1" x14ac:dyDescent="0.35">
      <c r="A266" s="442"/>
      <c r="B266" s="56">
        <f t="shared" si="42"/>
        <v>44</v>
      </c>
      <c r="C266" s="23" t="str">
        <f>VLOOKUP($B266,Chronologie[],7,TRUE)</f>
        <v>KSV Heidenau</v>
      </c>
      <c r="D266" s="23" t="str">
        <f>VLOOKUP($B266,Chronologie[],8,TRUE)</f>
        <v>Heidenau</v>
      </c>
      <c r="E266" s="39" t="str">
        <f>VLOOKUP($B266,Chronologie[],9,TRUE)</f>
        <v>A</v>
      </c>
      <c r="F266" s="23" t="str">
        <f>VLOOKUP($B266,Chronologie[],COLUMN(F267)-2,TRUE)</f>
        <v>U19</v>
      </c>
      <c r="G266" s="23" t="str">
        <f>VLOOKUP($B266,Chronologie[],COLUMN(G267)-2,TRUE)</f>
        <v>L</v>
      </c>
      <c r="H266" s="23">
        <f>VLOOKUP($B266,Chronologie[],COLUMN(H267)-2,TRUE)</f>
        <v>12</v>
      </c>
      <c r="I266" s="13" t="str">
        <f>VLOOKUP($B266,Chronologie[],2,TRUE)</f>
        <v>U19-L-12</v>
      </c>
      <c r="J266" s="244">
        <f>VLOOKUP($B266,Chronologie[],3,TRUE)</f>
        <v>46095</v>
      </c>
      <c r="K266" s="239"/>
      <c r="L266" s="239"/>
      <c r="M266" s="239"/>
      <c r="N266" s="239"/>
      <c r="O266" s="239"/>
      <c r="P266" s="239"/>
      <c r="Q266" s="239"/>
      <c r="R266" s="239"/>
      <c r="S266" s="239"/>
      <c r="T266" s="239"/>
      <c r="U266" s="239"/>
      <c r="V266" s="239"/>
      <c r="W266" s="239"/>
      <c r="X266" s="40"/>
      <c r="Y266" s="40"/>
      <c r="Z266" s="40"/>
      <c r="AA266" s="40"/>
      <c r="AB266" s="92"/>
      <c r="AC266" s="96" t="str">
        <f>IF(Eingabe[[#This Row],[V1]]="",IF(Eingabe[[#This Row],[Volle alternativ]]="","",Eingabe[[#This Row],[Volle alternativ]]),SUM(Eingabe[[#This Row],[V1]:[V4]]))</f>
        <v/>
      </c>
      <c r="AD266" s="23" t="str">
        <f>IF(Eingabe[[#This Row],[R1]]="",IF(Eingabe[[#This Row],[Räumer alternativ]]="","",Eingabe[[#This Row],[Räumer alternativ]]),SUM(Eingabe[[#This Row],[R1]:[R4]]))</f>
        <v/>
      </c>
      <c r="AE266" s="23" t="str">
        <f>IF(Eingabe[[#This Row],[F1]]="",IF(Eingabe[[#This Row],[Fehler alternativ]]="","",Eingabe[[#This Row],[Fehler alternativ]]),SUM(Eingabe[[#This Row],[F1]:[F4]]))</f>
        <v/>
      </c>
      <c r="AF266" s="23" t="str">
        <f>IF(Eingabe[[#This Row],[Volle]]="","",IF(Eingabe[[#This Row],[S1]]="",Eingabe[[#This Row],[Volle]]+Eingabe[[#This Row],[Räumer]],IF(Eingabe[[#This Row],[Volle]]+Eingabe[[#This Row],[Räumer]]=Eingabe[[#This Row],[S1]]+Eingabe[[#This Row],[S2]]+Eingabe[[#This Row],[S3]]+Eingabe[[#This Row],[S4]],Eingabe[[#This Row],[Volle]]+Eingabe[[#This Row],[Räumer]],"FEHLER")))</f>
        <v/>
      </c>
      <c r="AG266" s="23" t="str">
        <f>IF(Eingabe[[#This Row],[V1]]="","",Eingabe[[#This Row],[V1]]+Eingabe[[#This Row],[R1]])</f>
        <v/>
      </c>
      <c r="AH266" s="23" t="str">
        <f>IF(Eingabe[[#This Row],[V2]]="","",Eingabe[[#This Row],[V2]]+Eingabe[[#This Row],[R2]])</f>
        <v/>
      </c>
      <c r="AI266" s="23" t="str">
        <f>IF(Eingabe[[#This Row],[V3]]="","",Eingabe[[#This Row],[V3]]+Eingabe[[#This Row],[R3]])</f>
        <v/>
      </c>
      <c r="AJ266" s="23" t="str">
        <f>IF(Eingabe[[#This Row],[V4]]="","",Eingabe[[#This Row],[V4]]+Eingabe[[#This Row],[R4]])</f>
        <v/>
      </c>
      <c r="AK266" s="23" t="str">
        <f>IF(Eingabe[[#This Row],[S1P]]="","",Eingabe[[#This Row],[S1P]]+Eingabe[[#This Row],[S2P]]+Eingabe[[#This Row],[S3P]]+Eingabe[[#This Row],[S4P]])</f>
        <v/>
      </c>
      <c r="AL266" s="23" t="str">
        <f>IF(Eingabe[[#This Row],[S1P]]="","",IF(Eingabe[[#This Row],[SP]]&gt;2,1,IF(Eingabe[[#This Row],[SP]]&lt;2,0,IF(Eingabe[[#This Row],[GES]]&gt;Eingabe[[#This Row],[GEGGES]],1,IF(Eingabe[[#This Row],[GES]]=Eingabe[[#This Row],[GEGGES]],0.5,0)))))</f>
        <v/>
      </c>
      <c r="AM266" s="23" t="str">
        <f>IF(Eingabe[[#This Row],[MP]]="","",MOD(ROW(Eingabe[[#This Row],[Position]])-3,6)+1)</f>
        <v/>
      </c>
      <c r="AN266" s="23" t="e">
        <f>STANDARDIZE(Eingabe[[#This Row],[GES]],Eingabe[[#This Row],[Schnitt]],VLOOKUP(Eingabe[[#This Row],[Name]],AuswertungG[],21,FALSE))</f>
        <v>#VALUE!</v>
      </c>
      <c r="AO266" s="23">
        <f>VLOOKUP(Eingabe[[#This Row],[ID]],Chronologie[[ID]:[KW]],12,FALSE)</f>
        <v>29</v>
      </c>
      <c r="AP266" s="59" t="str">
        <f>IF(Eingabe[[#This Row],[Wo]]="H",Eingabe[[#This Row],[Gegner]]&amp;" ["&amp;Eingabe[[#This Row],[Wo]]&amp;"]",Eingabe[[#This Row],[Ort]])</f>
        <v>Heidenau</v>
      </c>
      <c r="AQ266" s="23" t="str">
        <f>IFERROR(IF(Eingabe[[#This Row],[Wo]]="H",IF(MOD(Eingabe[[#This Row],[Position]],2)=1,Eingabe[[#This Row],[S1]],Eingabe[[#This Row],[S4]]),""),"")</f>
        <v/>
      </c>
      <c r="AR266" s="23" t="str">
        <f>IFERROR(IF(Eingabe[[#This Row],[Wo]]="H",IF(Eingabe[[#This Row],[S1]]&gt;0,IF(MOD(Eingabe[[#This Row],[Position]],2)=1,Eingabe[[#This Row],[S2]],Eingabe[[#This Row],[S3]]),""),""),"")</f>
        <v/>
      </c>
      <c r="AS266" s="23" t="str">
        <f>IFERROR(IF(Eingabe[[#This Row],[Wo]]="H",IF(Eingabe[[#This Row],[S1]]&gt;0,IF(MOD(ROW(Eingabe[[#This Row],[Heimbahn 3]]),2)=1,Eingabe[[#This Row],[S4]],Eingabe[[#This Row],[S1]]),""),""),"")</f>
        <v/>
      </c>
      <c r="AT266" s="23" t="str">
        <f>IFERROR(IF(Eingabe[[#This Row],[Wo]]="H",IF(Eingabe[[#This Row],[S1]]&gt;0,IF(MOD(ROW(Eingabe[[#This Row],[Heimbahn 4]]),2)=1,Eingabe[[#This Row],[S3]],Eingabe[[#This Row],[S2]]),""),""),"")</f>
        <v/>
      </c>
      <c r="AU266" s="89" t="str">
        <f>IF(Eingabe[[#This Row],[GES]]="","",IF(Eingabe[[#This Row],[Modus]]="L",_xlfn.RANK.EQ(Eingabe[[#This Row],[GES]],AF261:AF266),IF(Eingabe[[#This Row],[Modus]]="P",_xlfn.RANK.EQ(Eingabe[[#This Row],[GES]],AF261:AF266),"")))</f>
        <v/>
      </c>
      <c r="AV266" s="6" t="e">
        <f>VLOOKUP(Eingabe[[#This Row],[Name]],AuswertungG[],8,FALSE)</f>
        <v>#N/A</v>
      </c>
      <c r="AZ266" s="6" t="str">
        <f>IFERROR(ABS(Eingabe[[#This Row],[GES]]-Eingabe[[#This Row],[GEGGES]]),"")</f>
        <v/>
      </c>
    </row>
    <row r="267" spans="1:52" ht="16.2" hidden="1" thickBot="1" x14ac:dyDescent="0.35">
      <c r="A267" s="440">
        <f t="shared" si="41"/>
        <v>45</v>
      </c>
      <c r="B267" s="55">
        <f t="shared" si="42"/>
        <v>45</v>
      </c>
      <c r="C267" s="35" t="str">
        <f>VLOOKUP($B267,Chronologie[],7,TRUE)</f>
        <v>ESV Zschorlau</v>
      </c>
      <c r="D267" s="35" t="str">
        <f>VLOOKUP($B267,Chronologie[],8,TRUE)</f>
        <v>Zschorlau</v>
      </c>
      <c r="E267" s="36" t="str">
        <f>VLOOKUP($B267,Chronologie[],9,TRUE)</f>
        <v>A</v>
      </c>
      <c r="F267" s="35" t="str">
        <f>VLOOKUP($B267,Chronologie[],COLUMN(F268)-2,TRUE)</f>
        <v>Z</v>
      </c>
      <c r="G267" s="35" t="str">
        <f>VLOOKUP($B267,Chronologie[],COLUMN(G268)-2,TRUE)</f>
        <v>L</v>
      </c>
      <c r="H267" s="35">
        <f>VLOOKUP($B267,Chronologie[],COLUMN(H268)-2,TRUE)</f>
        <v>1</v>
      </c>
      <c r="I267" s="9" t="str">
        <f>VLOOKUP($B267,Chronologie[],2,TRUE)</f>
        <v>Z-L-1</v>
      </c>
      <c r="J267" s="242">
        <f>VLOOKUP($B267,Chronologie[],3,TRUE)</f>
        <v>45914</v>
      </c>
      <c r="K267" s="236" t="s">
        <v>661</v>
      </c>
      <c r="L267" s="334">
        <v>91</v>
      </c>
      <c r="M267" s="334">
        <v>82</v>
      </c>
      <c r="N267" s="334">
        <v>78</v>
      </c>
      <c r="O267" s="334">
        <v>86</v>
      </c>
      <c r="P267" s="334">
        <v>36</v>
      </c>
      <c r="Q267" s="334">
        <v>66</v>
      </c>
      <c r="R267" s="334">
        <v>36</v>
      </c>
      <c r="S267" s="334">
        <v>51</v>
      </c>
      <c r="T267" s="334">
        <v>2</v>
      </c>
      <c r="U267" s="334">
        <v>0</v>
      </c>
      <c r="V267" s="334">
        <v>5</v>
      </c>
      <c r="W267" s="334">
        <v>0</v>
      </c>
      <c r="X267" s="37">
        <v>0</v>
      </c>
      <c r="Y267" s="37">
        <v>1</v>
      </c>
      <c r="Z267" s="37">
        <v>0</v>
      </c>
      <c r="AA267" s="37">
        <v>1</v>
      </c>
      <c r="AB267" s="90">
        <v>499</v>
      </c>
      <c r="AC267" s="93">
        <f>IF(Eingabe[[#This Row],[V1]]="",IF(Eingabe[[#This Row],[Volle alternativ]]="","",Eingabe[[#This Row],[Volle alternativ]]),SUM(Eingabe[[#This Row],[V1]:[V4]]))</f>
        <v>337</v>
      </c>
      <c r="AD267" s="35">
        <f>IF(Eingabe[[#This Row],[R1]]="",IF(Eingabe[[#This Row],[Räumer alternativ]]="","",Eingabe[[#This Row],[Räumer alternativ]]),SUM(Eingabe[[#This Row],[R1]:[R4]]))</f>
        <v>189</v>
      </c>
      <c r="AE267" s="35">
        <f>IF(Eingabe[[#This Row],[F1]]="",IF(Eingabe[[#This Row],[Fehler alternativ]]="","",Eingabe[[#This Row],[Fehler alternativ]]),SUM(Eingabe[[#This Row],[F1]:[F4]]))</f>
        <v>7</v>
      </c>
      <c r="AF267" s="35">
        <f>IF(Eingabe[[#This Row],[Volle]]="","",IF(Eingabe[[#This Row],[S1]]="",Eingabe[[#This Row],[Volle]]+Eingabe[[#This Row],[Räumer]],IF(Eingabe[[#This Row],[Volle]]+Eingabe[[#This Row],[Räumer]]=Eingabe[[#This Row],[S1]]+Eingabe[[#This Row],[S2]]+Eingabe[[#This Row],[S3]]+Eingabe[[#This Row],[S4]],Eingabe[[#This Row],[Volle]]+Eingabe[[#This Row],[Räumer]],"FEHLER")))</f>
        <v>526</v>
      </c>
      <c r="AG267" s="35">
        <f>IF(Eingabe[[#This Row],[V1]]="","",Eingabe[[#This Row],[V1]]+Eingabe[[#This Row],[R1]])</f>
        <v>127</v>
      </c>
      <c r="AH267" s="35">
        <f>IF(Eingabe[[#This Row],[V2]]="","",Eingabe[[#This Row],[V2]]+Eingabe[[#This Row],[R2]])</f>
        <v>148</v>
      </c>
      <c r="AI267" s="35">
        <f>IF(Eingabe[[#This Row],[V3]]="","",Eingabe[[#This Row],[V3]]+Eingabe[[#This Row],[R3]])</f>
        <v>114</v>
      </c>
      <c r="AJ267" s="35">
        <f>IF(Eingabe[[#This Row],[V4]]="","",Eingabe[[#This Row],[V4]]+Eingabe[[#This Row],[R4]])</f>
        <v>137</v>
      </c>
      <c r="AK267" s="35">
        <f>IF(Eingabe[[#This Row],[S1P]]="","",Eingabe[[#This Row],[S1P]]+Eingabe[[#This Row],[S2P]]+Eingabe[[#This Row],[S3P]]+Eingabe[[#This Row],[S4P]])</f>
        <v>2</v>
      </c>
      <c r="AL267" s="35">
        <f>IF(Eingabe[[#This Row],[S1P]]="","",IF(Eingabe[[#This Row],[SP]]&gt;2,1,IF(Eingabe[[#This Row],[SP]]&lt;2,0,IF(Eingabe[[#This Row],[GES]]&gt;Eingabe[[#This Row],[GEGGES]],1,IF(Eingabe[[#This Row],[GES]]=Eingabe[[#This Row],[GEGGES]],0.5,0)))))</f>
        <v>1</v>
      </c>
      <c r="AM267" s="35">
        <f>IF(Eingabe[[#This Row],[MP]]="","",MOD(ROW(Eingabe[[#This Row],[Position]])-3,6)+1)</f>
        <v>1</v>
      </c>
      <c r="AN267" s="35">
        <f>STANDARDIZE(Eingabe[[#This Row],[GES]],Eingabe[[#This Row],[Schnitt]],VLOOKUP(Eingabe[[#This Row],[Name]],AuswertungG[],21,FALSE))</f>
        <v>0.14814814814814814</v>
      </c>
      <c r="AO267" s="35">
        <f>VLOOKUP(Eingabe[[#This Row],[ID]],Chronologie[[ID]:[KW]],12,FALSE)</f>
        <v>3</v>
      </c>
      <c r="AP267" s="58" t="str">
        <f>IF(Eingabe[[#This Row],[Wo]]="H",Eingabe[[#This Row],[Gegner]]&amp;" ["&amp;Eingabe[[#This Row],[Wo]]&amp;"]",Eingabe[[#This Row],[Ort]])</f>
        <v>Zschorlau</v>
      </c>
      <c r="AQ267" s="35" t="str">
        <f>IFERROR(IF(Eingabe[[#This Row],[Wo]]="H",IF(MOD(Eingabe[[#This Row],[Position]],2)=1,Eingabe[[#This Row],[S1]],Eingabe[[#This Row],[S4]]),""),"")</f>
        <v/>
      </c>
      <c r="AR267" s="35" t="str">
        <f>IFERROR(IF(Eingabe[[#This Row],[Wo]]="H",IF(Eingabe[[#This Row],[S1]]&gt;0,IF(MOD(Eingabe[[#This Row],[Position]],2)=1,Eingabe[[#This Row],[S2]],Eingabe[[#This Row],[S3]]),""),""),"")</f>
        <v/>
      </c>
      <c r="AS267" s="35" t="str">
        <f>IFERROR(IF(Eingabe[[#This Row],[Wo]]="H",IF(Eingabe[[#This Row],[S1]]&gt;0,IF(MOD(ROW(Eingabe[[#This Row],[Heimbahn 3]]),2)=1,Eingabe[[#This Row],[S4]],Eingabe[[#This Row],[S1]]),""),""),"")</f>
        <v/>
      </c>
      <c r="AT267" s="35" t="str">
        <f>IFERROR(IF(Eingabe[[#This Row],[Wo]]="H",IF(Eingabe[[#This Row],[S1]]&gt;0,IF(MOD(ROW(Eingabe[[#This Row],[Heimbahn 4]]),2)=1,Eingabe[[#This Row],[S3]],Eingabe[[#This Row],[S2]]),""),""),"")</f>
        <v/>
      </c>
      <c r="AU267" s="88">
        <f>IF(Eingabe[[#This Row],[GES]]="","",IF(Eingabe[[#This Row],[Modus]]="L",_xlfn.RANK.EQ(Eingabe[[#This Row],[GES]],AF267:AF272),IF(Eingabe[[#This Row],[Modus]]="P",_xlfn.RANK.EQ(Eingabe[[#This Row],[GES]],AF267:AF272),"")))</f>
        <v>4</v>
      </c>
      <c r="AV267" s="6">
        <f>VLOOKUP(Eingabe[[#This Row],[Name]],AuswertungG[],8,FALSE)</f>
        <v>522</v>
      </c>
      <c r="AZ267" s="6">
        <f>IFERROR(ABS(Eingabe[[#This Row],[GES]]-Eingabe[[#This Row],[GEGGES]]),"")</f>
        <v>27</v>
      </c>
    </row>
    <row r="268" spans="1:52" ht="16.2" hidden="1" thickBot="1" x14ac:dyDescent="0.35">
      <c r="A268" s="441"/>
      <c r="B268" s="21">
        <f t="shared" si="42"/>
        <v>45</v>
      </c>
      <c r="C268" s="6" t="str">
        <f>VLOOKUP($B268,Chronologie[],7,TRUE)</f>
        <v>ESV Zschorlau</v>
      </c>
      <c r="D268" s="6" t="str">
        <f>VLOOKUP($B268,Chronologie[],8,TRUE)</f>
        <v>Zschorlau</v>
      </c>
      <c r="E268" s="240" t="str">
        <f>VLOOKUP($B268,Chronologie[],9,TRUE)</f>
        <v>A</v>
      </c>
      <c r="F268" s="6" t="str">
        <f>VLOOKUP($B268,Chronologie[],COLUMN(F269)-2,TRUE)</f>
        <v>Z</v>
      </c>
      <c r="G268" s="6" t="str">
        <f>VLOOKUP($B268,Chronologie[],COLUMN(G269)-2,TRUE)</f>
        <v>L</v>
      </c>
      <c r="H268" s="6">
        <f>VLOOKUP($B268,Chronologie[],COLUMN(H269)-2,TRUE)</f>
        <v>1</v>
      </c>
      <c r="I268" s="10" t="str">
        <f>VLOOKUP($B268,Chronologie[],2,TRUE)</f>
        <v>Z-L-1</v>
      </c>
      <c r="J268" s="243">
        <f>VLOOKUP($B268,Chronologie[],3,TRUE)</f>
        <v>45914</v>
      </c>
      <c r="K268" s="237" t="s">
        <v>465</v>
      </c>
      <c r="L268" s="237">
        <v>92</v>
      </c>
      <c r="M268" s="237">
        <v>100</v>
      </c>
      <c r="N268" s="237">
        <v>91</v>
      </c>
      <c r="O268" s="237">
        <v>91</v>
      </c>
      <c r="P268" s="237">
        <v>35</v>
      </c>
      <c r="Q268" s="237">
        <v>51</v>
      </c>
      <c r="R268" s="237">
        <v>26</v>
      </c>
      <c r="S268" s="237">
        <v>42</v>
      </c>
      <c r="T268" s="237">
        <v>3</v>
      </c>
      <c r="U268" s="237">
        <v>2</v>
      </c>
      <c r="V268" s="237">
        <v>5</v>
      </c>
      <c r="W268" s="237">
        <v>3</v>
      </c>
      <c r="X268" s="38">
        <v>1</v>
      </c>
      <c r="Y268" s="38">
        <v>1</v>
      </c>
      <c r="Z268" s="38">
        <v>0</v>
      </c>
      <c r="AA268" s="38">
        <v>0</v>
      </c>
      <c r="AB268" s="91">
        <v>546</v>
      </c>
      <c r="AC268" s="94">
        <f>IF(Eingabe[[#This Row],[V1]]="",IF(Eingabe[[#This Row],[Volle alternativ]]="","",Eingabe[[#This Row],[Volle alternativ]]),SUM(Eingabe[[#This Row],[V1]:[V4]]))</f>
        <v>374</v>
      </c>
      <c r="AD268" s="6">
        <f>IF(Eingabe[[#This Row],[R1]]="",IF(Eingabe[[#This Row],[Räumer alternativ]]="","",Eingabe[[#This Row],[Räumer alternativ]]),SUM(Eingabe[[#This Row],[R1]:[R4]]))</f>
        <v>154</v>
      </c>
      <c r="AE268" s="6">
        <f>IF(Eingabe[[#This Row],[F1]]="",IF(Eingabe[[#This Row],[Fehler alternativ]]="","",Eingabe[[#This Row],[Fehler alternativ]]),SUM(Eingabe[[#This Row],[F1]:[F4]]))</f>
        <v>13</v>
      </c>
      <c r="AF268" s="6">
        <f>IF(Eingabe[[#This Row],[Volle]]="","",IF(Eingabe[[#This Row],[S1]]="",Eingabe[[#This Row],[Volle]]+Eingabe[[#This Row],[Räumer]],IF(Eingabe[[#This Row],[Volle]]+Eingabe[[#This Row],[Räumer]]=Eingabe[[#This Row],[S1]]+Eingabe[[#This Row],[S2]]+Eingabe[[#This Row],[S3]]+Eingabe[[#This Row],[S4]],Eingabe[[#This Row],[Volle]]+Eingabe[[#This Row],[Räumer]],"FEHLER")))</f>
        <v>528</v>
      </c>
      <c r="AG268" s="6">
        <f>IF(Eingabe[[#This Row],[V1]]="","",Eingabe[[#This Row],[V1]]+Eingabe[[#This Row],[R1]])</f>
        <v>127</v>
      </c>
      <c r="AH268" s="6">
        <f>IF(Eingabe[[#This Row],[V2]]="","",Eingabe[[#This Row],[V2]]+Eingabe[[#This Row],[R2]])</f>
        <v>151</v>
      </c>
      <c r="AI268" s="6">
        <f>IF(Eingabe[[#This Row],[V3]]="","",Eingabe[[#This Row],[V3]]+Eingabe[[#This Row],[R3]])</f>
        <v>117</v>
      </c>
      <c r="AJ268" s="6">
        <f>IF(Eingabe[[#This Row],[V4]]="","",Eingabe[[#This Row],[V4]]+Eingabe[[#This Row],[R4]])</f>
        <v>133</v>
      </c>
      <c r="AK268" s="6">
        <f>IF(Eingabe[[#This Row],[S1P]]="","",Eingabe[[#This Row],[S1P]]+Eingabe[[#This Row],[S2P]]+Eingabe[[#This Row],[S3P]]+Eingabe[[#This Row],[S4P]])</f>
        <v>2</v>
      </c>
      <c r="AL268" s="6">
        <f>IF(Eingabe[[#This Row],[S1P]]="","",IF(Eingabe[[#This Row],[SP]]&gt;2,1,IF(Eingabe[[#This Row],[SP]]&lt;2,0,IF(Eingabe[[#This Row],[GES]]&gt;Eingabe[[#This Row],[GEGGES]],1,IF(Eingabe[[#This Row],[GES]]=Eingabe[[#This Row],[GEGGES]],0.5,0)))))</f>
        <v>0</v>
      </c>
      <c r="AM268" s="6">
        <f>IF(Eingabe[[#This Row],[MP]]="","",MOD(ROW(Eingabe[[#This Row],[Position]])-3,6)+1)</f>
        <v>2</v>
      </c>
      <c r="AN268" s="6">
        <f>STANDARDIZE(Eingabe[[#This Row],[GES]],Eingabe[[#This Row],[Schnitt]],VLOOKUP(Eingabe[[#This Row],[Name]],AuswertungG[],21,FALSE))</f>
        <v>8.6956521739130432E-2</v>
      </c>
      <c r="AO268" s="6">
        <f>VLOOKUP(Eingabe[[#This Row],[ID]],Chronologie[[ID]:[KW]],12,FALSE)</f>
        <v>3</v>
      </c>
      <c r="AP268" s="95" t="str">
        <f>IF(Eingabe[[#This Row],[Wo]]="H",Eingabe[[#This Row],[Gegner]]&amp;" ["&amp;Eingabe[[#This Row],[Wo]]&amp;"]",Eingabe[[#This Row],[Ort]])</f>
        <v>Zschorlau</v>
      </c>
      <c r="AQ268" s="6" t="str">
        <f>IFERROR(IF(Eingabe[[#This Row],[Wo]]="H",IF(MOD(Eingabe[[#This Row],[Position]],2)=1,Eingabe[[#This Row],[S1]],Eingabe[[#This Row],[S4]]),""),"")</f>
        <v/>
      </c>
      <c r="AR268" s="6" t="str">
        <f>IFERROR(IF(Eingabe[[#This Row],[Wo]]="H",IF(Eingabe[[#This Row],[S1]]&gt;0,IF(MOD(Eingabe[[#This Row],[Position]],2)=1,Eingabe[[#This Row],[S2]],Eingabe[[#This Row],[S3]]),""),""),"")</f>
        <v/>
      </c>
      <c r="AS268" s="6" t="str">
        <f>IFERROR(IF(Eingabe[[#This Row],[Wo]]="H",IF(Eingabe[[#This Row],[S1]]&gt;0,IF(MOD(ROW(Eingabe[[#This Row],[Heimbahn 3]]),2)=1,Eingabe[[#This Row],[S4]],Eingabe[[#This Row],[S1]]),""),""),"")</f>
        <v/>
      </c>
      <c r="AT268" s="6" t="str">
        <f>IFERROR(IF(Eingabe[[#This Row],[Wo]]="H",IF(Eingabe[[#This Row],[S1]]&gt;0,IF(MOD(ROW(Eingabe[[#This Row],[Heimbahn 4]]),2)=1,Eingabe[[#This Row],[S3]],Eingabe[[#This Row],[S2]]),""),""),"")</f>
        <v/>
      </c>
      <c r="AU268" s="22">
        <f>IF(Eingabe[[#This Row],[GES]]="","",IF(Eingabe[[#This Row],[Modus]]="L",_xlfn.RANK.EQ(Eingabe[[#This Row],[GES]],AF267:AF272),IF(Eingabe[[#This Row],[Modus]]="P",_xlfn.RANK.EQ(Eingabe[[#This Row],[GES]],AF267:AF272),"")))</f>
        <v>3</v>
      </c>
      <c r="AV268" s="6">
        <f>VLOOKUP(Eingabe[[#This Row],[Name]],AuswertungG[],8,FALSE)</f>
        <v>526</v>
      </c>
      <c r="AZ268" s="6">
        <f>IFERROR(ABS(Eingabe[[#This Row],[GES]]-Eingabe[[#This Row],[GEGGES]]),"")</f>
        <v>18</v>
      </c>
    </row>
    <row r="269" spans="1:52" ht="16.2" hidden="1" thickBot="1" x14ac:dyDescent="0.35">
      <c r="A269" s="441"/>
      <c r="B269" s="21">
        <f t="shared" si="42"/>
        <v>45</v>
      </c>
      <c r="C269" s="6" t="str">
        <f>VLOOKUP($B269,Chronologie[],7,TRUE)</f>
        <v>ESV Zschorlau</v>
      </c>
      <c r="D269" s="6" t="str">
        <f>VLOOKUP($B269,Chronologie[],8,TRUE)</f>
        <v>Zschorlau</v>
      </c>
      <c r="E269" s="240" t="str">
        <f>VLOOKUP($B269,Chronologie[],9,TRUE)</f>
        <v>A</v>
      </c>
      <c r="F269" s="6" t="str">
        <f>VLOOKUP($B269,Chronologie[],COLUMN(F270)-2,TRUE)</f>
        <v>Z</v>
      </c>
      <c r="G269" s="6" t="str">
        <f>VLOOKUP($B269,Chronologie[],COLUMN(G270)-2,TRUE)</f>
        <v>L</v>
      </c>
      <c r="H269" s="6">
        <f>VLOOKUP($B269,Chronologie[],COLUMN(H270)-2,TRUE)</f>
        <v>1</v>
      </c>
      <c r="I269" s="10" t="str">
        <f>VLOOKUP($B269,Chronologie[],2,TRUE)</f>
        <v>Z-L-1</v>
      </c>
      <c r="J269" s="243">
        <f>VLOOKUP($B269,Chronologie[],3,TRUE)</f>
        <v>45914</v>
      </c>
      <c r="K269" s="237" t="s">
        <v>467</v>
      </c>
      <c r="L269" s="237">
        <v>95</v>
      </c>
      <c r="M269" s="237">
        <v>78</v>
      </c>
      <c r="N269" s="237">
        <v>86</v>
      </c>
      <c r="O269" s="237">
        <v>101</v>
      </c>
      <c r="P269" s="237">
        <v>36</v>
      </c>
      <c r="Q269" s="237">
        <v>38</v>
      </c>
      <c r="R269" s="237">
        <v>43</v>
      </c>
      <c r="S269" s="237">
        <v>26</v>
      </c>
      <c r="T269" s="237">
        <v>3</v>
      </c>
      <c r="U269" s="237">
        <v>3</v>
      </c>
      <c r="V269" s="237">
        <v>1</v>
      </c>
      <c r="W269" s="237">
        <v>4</v>
      </c>
      <c r="X269" s="38">
        <v>0</v>
      </c>
      <c r="Y269" s="38">
        <v>0</v>
      </c>
      <c r="Z269" s="38">
        <v>1</v>
      </c>
      <c r="AA269" s="38">
        <v>0</v>
      </c>
      <c r="AB269" s="91">
        <v>530</v>
      </c>
      <c r="AC269" s="94">
        <f>IF(Eingabe[[#This Row],[V1]]="",IF(Eingabe[[#This Row],[Volle alternativ]]="","",Eingabe[[#This Row],[Volle alternativ]]),SUM(Eingabe[[#This Row],[V1]:[V4]]))</f>
        <v>360</v>
      </c>
      <c r="AD269" s="6">
        <f>IF(Eingabe[[#This Row],[R1]]="",IF(Eingabe[[#This Row],[Räumer alternativ]]="","",Eingabe[[#This Row],[Räumer alternativ]]),SUM(Eingabe[[#This Row],[R1]:[R4]]))</f>
        <v>143</v>
      </c>
      <c r="AE269" s="6">
        <f>IF(Eingabe[[#This Row],[F1]]="",IF(Eingabe[[#This Row],[Fehler alternativ]]="","",Eingabe[[#This Row],[Fehler alternativ]]),SUM(Eingabe[[#This Row],[F1]:[F4]]))</f>
        <v>11</v>
      </c>
      <c r="AF269" s="6">
        <f>IF(Eingabe[[#This Row],[Volle]]="","",IF(Eingabe[[#This Row],[S1]]="",Eingabe[[#This Row],[Volle]]+Eingabe[[#This Row],[Räumer]],IF(Eingabe[[#This Row],[Volle]]+Eingabe[[#This Row],[Räumer]]=Eingabe[[#This Row],[S1]]+Eingabe[[#This Row],[S2]]+Eingabe[[#This Row],[S3]]+Eingabe[[#This Row],[S4]],Eingabe[[#This Row],[Volle]]+Eingabe[[#This Row],[Räumer]],"FEHLER")))</f>
        <v>503</v>
      </c>
      <c r="AG269" s="6">
        <f>IF(Eingabe[[#This Row],[V1]]="","",Eingabe[[#This Row],[V1]]+Eingabe[[#This Row],[R1]])</f>
        <v>131</v>
      </c>
      <c r="AH269" s="6">
        <f>IF(Eingabe[[#This Row],[V2]]="","",Eingabe[[#This Row],[V2]]+Eingabe[[#This Row],[R2]])</f>
        <v>116</v>
      </c>
      <c r="AI269" s="6">
        <f>IF(Eingabe[[#This Row],[V3]]="","",Eingabe[[#This Row],[V3]]+Eingabe[[#This Row],[R3]])</f>
        <v>129</v>
      </c>
      <c r="AJ269" s="6">
        <f>IF(Eingabe[[#This Row],[V4]]="","",Eingabe[[#This Row],[V4]]+Eingabe[[#This Row],[R4]])</f>
        <v>127</v>
      </c>
      <c r="AK269" s="6">
        <f>IF(Eingabe[[#This Row],[S1P]]="","",Eingabe[[#This Row],[S1P]]+Eingabe[[#This Row],[S2P]]+Eingabe[[#This Row],[S3P]]+Eingabe[[#This Row],[S4P]])</f>
        <v>1</v>
      </c>
      <c r="AL269" s="6">
        <f>IF(Eingabe[[#This Row],[S1P]]="","",IF(Eingabe[[#This Row],[SP]]&gt;2,1,IF(Eingabe[[#This Row],[SP]]&lt;2,0,IF(Eingabe[[#This Row],[GES]]&gt;Eingabe[[#This Row],[GEGGES]],1,IF(Eingabe[[#This Row],[GES]]=Eingabe[[#This Row],[GEGGES]],0.5,0)))))</f>
        <v>0</v>
      </c>
      <c r="AM269" s="6">
        <f>IF(Eingabe[[#This Row],[MP]]="","",MOD(ROW(Eingabe[[#This Row],[Position]])-3,6)+1)</f>
        <v>3</v>
      </c>
      <c r="AN269" s="6">
        <f>STANDARDIZE(Eingabe[[#This Row],[GES]],Eingabe[[#This Row],[Schnitt]],VLOOKUP(Eingabe[[#This Row],[Name]],AuswertungG[],21,FALSE))</f>
        <v>0.14285714285714285</v>
      </c>
      <c r="AO269" s="6">
        <f>VLOOKUP(Eingabe[[#This Row],[ID]],Chronologie[[ID]:[KW]],12,FALSE)</f>
        <v>3</v>
      </c>
      <c r="AP269" s="95" t="str">
        <f>IF(Eingabe[[#This Row],[Wo]]="H",Eingabe[[#This Row],[Gegner]]&amp;" ["&amp;Eingabe[[#This Row],[Wo]]&amp;"]",Eingabe[[#This Row],[Ort]])</f>
        <v>Zschorlau</v>
      </c>
      <c r="AQ269" s="6" t="str">
        <f>IFERROR(IF(Eingabe[[#This Row],[Wo]]="H",IF(MOD(Eingabe[[#This Row],[Position]],2)=1,Eingabe[[#This Row],[S1]],Eingabe[[#This Row],[S4]]),""),"")</f>
        <v/>
      </c>
      <c r="AR269" s="6" t="str">
        <f>IFERROR(IF(Eingabe[[#This Row],[Wo]]="H",IF(Eingabe[[#This Row],[S1]]&gt;0,IF(MOD(Eingabe[[#This Row],[Position]],2)=1,Eingabe[[#This Row],[S2]],Eingabe[[#This Row],[S3]]),""),""),"")</f>
        <v/>
      </c>
      <c r="AS269" s="6" t="str">
        <f>IFERROR(IF(Eingabe[[#This Row],[Wo]]="H",IF(Eingabe[[#This Row],[S1]]&gt;0,IF(MOD(ROW(Eingabe[[#This Row],[Heimbahn 3]]),2)=1,Eingabe[[#This Row],[S4]],Eingabe[[#This Row],[S1]]),""),""),"")</f>
        <v/>
      </c>
      <c r="AT269" s="6" t="str">
        <f>IFERROR(IF(Eingabe[[#This Row],[Wo]]="H",IF(Eingabe[[#This Row],[S1]]&gt;0,IF(MOD(ROW(Eingabe[[#This Row],[Heimbahn 4]]),2)=1,Eingabe[[#This Row],[S3]],Eingabe[[#This Row],[S2]]),""),""),"")</f>
        <v/>
      </c>
      <c r="AU269" s="22">
        <f>IF(Eingabe[[#This Row],[GES]]="","",IF(Eingabe[[#This Row],[Modus]]="L",_xlfn.RANK.EQ(Eingabe[[#This Row],[GES]],AF267:AF272),IF(Eingabe[[#This Row],[Modus]]="P",_xlfn.RANK.EQ(Eingabe[[#This Row],[GES]],AF267:AF272),"")))</f>
        <v>6</v>
      </c>
      <c r="AV269" s="6">
        <f>VLOOKUP(Eingabe[[#This Row],[Name]],AuswertungG[],8,FALSE)</f>
        <v>498</v>
      </c>
      <c r="AZ269" s="6">
        <f>IFERROR(ABS(Eingabe[[#This Row],[GES]]-Eingabe[[#This Row],[GEGGES]]),"")</f>
        <v>27</v>
      </c>
    </row>
    <row r="270" spans="1:52" ht="16.2" hidden="1" thickBot="1" x14ac:dyDescent="0.35">
      <c r="A270" s="441"/>
      <c r="B270" s="21">
        <f t="shared" si="42"/>
        <v>45</v>
      </c>
      <c r="C270" s="6" t="str">
        <f>VLOOKUP($B270,Chronologie[],7,TRUE)</f>
        <v>ESV Zschorlau</v>
      </c>
      <c r="D270" s="6" t="str">
        <f>VLOOKUP($B270,Chronologie[],8,TRUE)</f>
        <v>Zschorlau</v>
      </c>
      <c r="E270" s="240" t="str">
        <f>VLOOKUP($B270,Chronologie[],9,TRUE)</f>
        <v>A</v>
      </c>
      <c r="F270" s="6" t="str">
        <f>VLOOKUP($B270,Chronologie[],COLUMN(F271)-2,TRUE)</f>
        <v>Z</v>
      </c>
      <c r="G270" s="6" t="str">
        <f>VLOOKUP($B270,Chronologie[],COLUMN(G271)-2,TRUE)</f>
        <v>L</v>
      </c>
      <c r="H270" s="6">
        <f>VLOOKUP($B270,Chronologie[],COLUMN(H271)-2,TRUE)</f>
        <v>1</v>
      </c>
      <c r="I270" s="10" t="str">
        <f>VLOOKUP($B270,Chronologie[],2,TRUE)</f>
        <v>Z-L-1</v>
      </c>
      <c r="J270" s="243">
        <f>VLOOKUP($B270,Chronologie[],3,TRUE)</f>
        <v>45914</v>
      </c>
      <c r="K270" s="238" t="s">
        <v>689</v>
      </c>
      <c r="L270" s="237">
        <v>97</v>
      </c>
      <c r="M270" s="237">
        <v>83</v>
      </c>
      <c r="N270" s="237">
        <v>89</v>
      </c>
      <c r="O270" s="237">
        <v>96</v>
      </c>
      <c r="P270" s="237">
        <v>52</v>
      </c>
      <c r="Q270" s="237">
        <v>42</v>
      </c>
      <c r="R270" s="237">
        <v>52</v>
      </c>
      <c r="S270" s="237">
        <v>53</v>
      </c>
      <c r="T270" s="237">
        <v>1</v>
      </c>
      <c r="U270" s="237">
        <v>2</v>
      </c>
      <c r="V270" s="237">
        <v>1</v>
      </c>
      <c r="W270" s="237">
        <v>1</v>
      </c>
      <c r="X270" s="38">
        <v>1</v>
      </c>
      <c r="Y270" s="38">
        <v>0</v>
      </c>
      <c r="Z270" s="38">
        <v>1</v>
      </c>
      <c r="AA270" s="38">
        <v>1</v>
      </c>
      <c r="AB270" s="91">
        <v>517</v>
      </c>
      <c r="AC270" s="94">
        <f>IF(Eingabe[[#This Row],[V1]]="",IF(Eingabe[[#This Row],[Volle alternativ]]="","",Eingabe[[#This Row],[Volle alternativ]]),SUM(Eingabe[[#This Row],[V1]:[V4]]))</f>
        <v>365</v>
      </c>
      <c r="AD270" s="6">
        <f>IF(Eingabe[[#This Row],[R1]]="",IF(Eingabe[[#This Row],[Räumer alternativ]]="","",Eingabe[[#This Row],[Räumer alternativ]]),SUM(Eingabe[[#This Row],[R1]:[R4]]))</f>
        <v>199</v>
      </c>
      <c r="AE270" s="6">
        <f>IF(Eingabe[[#This Row],[F1]]="",IF(Eingabe[[#This Row],[Fehler alternativ]]="","",Eingabe[[#This Row],[Fehler alternativ]]),SUM(Eingabe[[#This Row],[F1]:[F4]]))</f>
        <v>5</v>
      </c>
      <c r="AF270" s="6">
        <f>IF(Eingabe[[#This Row],[Volle]]="","",IF(Eingabe[[#This Row],[S1]]="",Eingabe[[#This Row],[Volle]]+Eingabe[[#This Row],[Räumer]],IF(Eingabe[[#This Row],[Volle]]+Eingabe[[#This Row],[Räumer]]=Eingabe[[#This Row],[S1]]+Eingabe[[#This Row],[S2]]+Eingabe[[#This Row],[S3]]+Eingabe[[#This Row],[S4]],Eingabe[[#This Row],[Volle]]+Eingabe[[#This Row],[Räumer]],"FEHLER")))</f>
        <v>564</v>
      </c>
      <c r="AG270" s="6">
        <f>IF(Eingabe[[#This Row],[V1]]="","",Eingabe[[#This Row],[V1]]+Eingabe[[#This Row],[R1]])</f>
        <v>149</v>
      </c>
      <c r="AH270" s="6">
        <f>IF(Eingabe[[#This Row],[V2]]="","",Eingabe[[#This Row],[V2]]+Eingabe[[#This Row],[R2]])</f>
        <v>125</v>
      </c>
      <c r="AI270" s="6">
        <f>IF(Eingabe[[#This Row],[V3]]="","",Eingabe[[#This Row],[V3]]+Eingabe[[#This Row],[R3]])</f>
        <v>141</v>
      </c>
      <c r="AJ270" s="6">
        <f>IF(Eingabe[[#This Row],[V4]]="","",Eingabe[[#This Row],[V4]]+Eingabe[[#This Row],[R4]])</f>
        <v>149</v>
      </c>
      <c r="AK270" s="6">
        <f>IF(Eingabe[[#This Row],[S1P]]="","",Eingabe[[#This Row],[S1P]]+Eingabe[[#This Row],[S2P]]+Eingabe[[#This Row],[S3P]]+Eingabe[[#This Row],[S4P]])</f>
        <v>3</v>
      </c>
      <c r="AL270" s="6">
        <f>IF(Eingabe[[#This Row],[S1P]]="","",IF(Eingabe[[#This Row],[SP]]&gt;2,1,IF(Eingabe[[#This Row],[SP]]&lt;2,0,IF(Eingabe[[#This Row],[GES]]&gt;Eingabe[[#This Row],[GEGGES]],1,IF(Eingabe[[#This Row],[GES]]=Eingabe[[#This Row],[GEGGES]],0.5,0)))))</f>
        <v>1</v>
      </c>
      <c r="AM270" s="6">
        <f>IF(Eingabe[[#This Row],[MP]]="","",MOD(ROW(Eingabe[[#This Row],[Position]])-3,6)+1)</f>
        <v>4</v>
      </c>
      <c r="AN270" s="6">
        <f>STANDARDIZE(Eingabe[[#This Row],[GES]],Eingabe[[#This Row],[Schnitt]],VLOOKUP(Eingabe[[#This Row],[Name]],AuswertungG[],21,FALSE))</f>
        <v>1.3928571428571428</v>
      </c>
      <c r="AO270" s="6">
        <f>VLOOKUP(Eingabe[[#This Row],[ID]],Chronologie[[ID]:[KW]],12,FALSE)</f>
        <v>3</v>
      </c>
      <c r="AP270" s="95" t="str">
        <f>IF(Eingabe[[#This Row],[Wo]]="H",Eingabe[[#This Row],[Gegner]]&amp;" ["&amp;Eingabe[[#This Row],[Wo]]&amp;"]",Eingabe[[#This Row],[Ort]])</f>
        <v>Zschorlau</v>
      </c>
      <c r="AQ270" s="6" t="str">
        <f>IFERROR(IF(Eingabe[[#This Row],[Wo]]="H",IF(MOD(Eingabe[[#This Row],[Position]],2)=1,Eingabe[[#This Row],[S1]],Eingabe[[#This Row],[S4]]),""),"")</f>
        <v/>
      </c>
      <c r="AR270" s="6" t="str">
        <f>IFERROR(IF(Eingabe[[#This Row],[Wo]]="H",IF(Eingabe[[#This Row],[S1]]&gt;0,IF(MOD(Eingabe[[#This Row],[Position]],2)=1,Eingabe[[#This Row],[S2]],Eingabe[[#This Row],[S3]]),""),""),"")</f>
        <v/>
      </c>
      <c r="AS270" s="6" t="str">
        <f>IFERROR(IF(Eingabe[[#This Row],[Wo]]="H",IF(Eingabe[[#This Row],[S1]]&gt;0,IF(MOD(ROW(Eingabe[[#This Row],[Heimbahn 3]]),2)=1,Eingabe[[#This Row],[S4]],Eingabe[[#This Row],[S1]]),""),""),"")</f>
        <v/>
      </c>
      <c r="AT270" s="6" t="str">
        <f>IFERROR(IF(Eingabe[[#This Row],[Wo]]="H",IF(Eingabe[[#This Row],[S1]]&gt;0,IF(MOD(ROW(Eingabe[[#This Row],[Heimbahn 4]]),2)=1,Eingabe[[#This Row],[S3]],Eingabe[[#This Row],[S2]]),""),""),"")</f>
        <v/>
      </c>
      <c r="AU270" s="22">
        <f>IF(Eingabe[[#This Row],[GES]]="","",IF(Eingabe[[#This Row],[Modus]]="L",_xlfn.RANK.EQ(Eingabe[[#This Row],[GES]],AF267:AF272),IF(Eingabe[[#This Row],[Modus]]="P",_xlfn.RANK.EQ(Eingabe[[#This Row],[GES]],AF267:AF272),"")))</f>
        <v>1</v>
      </c>
      <c r="AV270" s="6">
        <f>VLOOKUP(Eingabe[[#This Row],[Name]],AuswertungG[],8,FALSE)</f>
        <v>525</v>
      </c>
      <c r="AZ270" s="6">
        <f>IFERROR(ABS(Eingabe[[#This Row],[GES]]-Eingabe[[#This Row],[GEGGES]]),"")</f>
        <v>47</v>
      </c>
    </row>
    <row r="271" spans="1:52" ht="16.2" hidden="1" thickBot="1" x14ac:dyDescent="0.35">
      <c r="A271" s="441"/>
      <c r="B271" s="21">
        <f t="shared" si="42"/>
        <v>45</v>
      </c>
      <c r="C271" s="6" t="str">
        <f>VLOOKUP($B271,Chronologie[],7,TRUE)</f>
        <v>ESV Zschorlau</v>
      </c>
      <c r="D271" s="6" t="str">
        <f>VLOOKUP($B271,Chronologie[],8,TRUE)</f>
        <v>Zschorlau</v>
      </c>
      <c r="E271" s="240" t="str">
        <f>VLOOKUP($B271,Chronologie[],9,TRUE)</f>
        <v>A</v>
      </c>
      <c r="F271" s="6" t="str">
        <f>VLOOKUP($B271,Chronologie[],COLUMN(F272)-2,TRUE)</f>
        <v>Z</v>
      </c>
      <c r="G271" s="6" t="str">
        <f>VLOOKUP($B271,Chronologie[],COLUMN(G272)-2,TRUE)</f>
        <v>L</v>
      </c>
      <c r="H271" s="6">
        <f>VLOOKUP($B271,Chronologie[],COLUMN(H272)-2,TRUE)</f>
        <v>1</v>
      </c>
      <c r="I271" s="10" t="str">
        <f>VLOOKUP($B271,Chronologie[],2,TRUE)</f>
        <v>Z-L-1</v>
      </c>
      <c r="J271" s="243">
        <f>VLOOKUP($B271,Chronologie[],3,TRUE)</f>
        <v>45914</v>
      </c>
      <c r="K271" s="237" t="s">
        <v>478</v>
      </c>
      <c r="L271" s="237">
        <v>86</v>
      </c>
      <c r="M271" s="237">
        <v>83</v>
      </c>
      <c r="N271" s="237">
        <v>86</v>
      </c>
      <c r="O271" s="237">
        <v>94</v>
      </c>
      <c r="P271" s="237">
        <v>44</v>
      </c>
      <c r="Q271" s="237">
        <v>45</v>
      </c>
      <c r="R271" s="237">
        <v>34</v>
      </c>
      <c r="S271" s="237">
        <v>44</v>
      </c>
      <c r="T271" s="237">
        <v>2</v>
      </c>
      <c r="U271" s="237">
        <v>1</v>
      </c>
      <c r="V271" s="237">
        <v>4</v>
      </c>
      <c r="W271" s="237">
        <v>2</v>
      </c>
      <c r="X271" s="38">
        <v>0</v>
      </c>
      <c r="Y271" s="38">
        <v>0</v>
      </c>
      <c r="Z271" s="38">
        <v>0</v>
      </c>
      <c r="AA271" s="38">
        <v>1</v>
      </c>
      <c r="AB271" s="91">
        <v>569</v>
      </c>
      <c r="AC271" s="94">
        <f>IF(Eingabe[[#This Row],[V1]]="",IF(Eingabe[[#This Row],[Volle alternativ]]="","",Eingabe[[#This Row],[Volle alternativ]]),SUM(Eingabe[[#This Row],[V1]:[V4]]))</f>
        <v>349</v>
      </c>
      <c r="AD271" s="6">
        <f>IF(Eingabe[[#This Row],[R1]]="",IF(Eingabe[[#This Row],[Räumer alternativ]]="","",Eingabe[[#This Row],[Räumer alternativ]]),SUM(Eingabe[[#This Row],[R1]:[R4]]))</f>
        <v>167</v>
      </c>
      <c r="AE271" s="6">
        <f>IF(Eingabe[[#This Row],[F1]]="",IF(Eingabe[[#This Row],[Fehler alternativ]]="","",Eingabe[[#This Row],[Fehler alternativ]]),SUM(Eingabe[[#This Row],[F1]:[F4]]))</f>
        <v>9</v>
      </c>
      <c r="AF271" s="6">
        <f>IF(Eingabe[[#This Row],[Volle]]="","",IF(Eingabe[[#This Row],[S1]]="",Eingabe[[#This Row],[Volle]]+Eingabe[[#This Row],[Räumer]],IF(Eingabe[[#This Row],[Volle]]+Eingabe[[#This Row],[Räumer]]=Eingabe[[#This Row],[S1]]+Eingabe[[#This Row],[S2]]+Eingabe[[#This Row],[S3]]+Eingabe[[#This Row],[S4]],Eingabe[[#This Row],[Volle]]+Eingabe[[#This Row],[Räumer]],"FEHLER")))</f>
        <v>516</v>
      </c>
      <c r="AG271" s="6">
        <f>IF(Eingabe[[#This Row],[V1]]="","",Eingabe[[#This Row],[V1]]+Eingabe[[#This Row],[R1]])</f>
        <v>130</v>
      </c>
      <c r="AH271" s="6">
        <f>IF(Eingabe[[#This Row],[V2]]="","",Eingabe[[#This Row],[V2]]+Eingabe[[#This Row],[R2]])</f>
        <v>128</v>
      </c>
      <c r="AI271" s="6">
        <f>IF(Eingabe[[#This Row],[V3]]="","",Eingabe[[#This Row],[V3]]+Eingabe[[#This Row],[R3]])</f>
        <v>120</v>
      </c>
      <c r="AJ271" s="6">
        <f>IF(Eingabe[[#This Row],[V4]]="","",Eingabe[[#This Row],[V4]]+Eingabe[[#This Row],[R4]])</f>
        <v>138</v>
      </c>
      <c r="AK271" s="6">
        <f>IF(Eingabe[[#This Row],[S1P]]="","",Eingabe[[#This Row],[S1P]]+Eingabe[[#This Row],[S2P]]+Eingabe[[#This Row],[S3P]]+Eingabe[[#This Row],[S4P]])</f>
        <v>1</v>
      </c>
      <c r="AL271" s="6">
        <f>IF(Eingabe[[#This Row],[S1P]]="","",IF(Eingabe[[#This Row],[SP]]&gt;2,1,IF(Eingabe[[#This Row],[SP]]&lt;2,0,IF(Eingabe[[#This Row],[GES]]&gt;Eingabe[[#This Row],[GEGGES]],1,IF(Eingabe[[#This Row],[GES]]=Eingabe[[#This Row],[GEGGES]],0.5,0)))))</f>
        <v>0</v>
      </c>
      <c r="AM271" s="6">
        <f>IF(Eingabe[[#This Row],[MP]]="","",MOD(ROW(Eingabe[[#This Row],[Position]])-3,6)+1)</f>
        <v>5</v>
      </c>
      <c r="AN271" s="6">
        <f>STANDARDIZE(Eingabe[[#This Row],[GES]],Eingabe[[#This Row],[Schnitt]],VLOOKUP(Eingabe[[#This Row],[Name]],AuswertungG[],21,FALSE))</f>
        <v>-0.6</v>
      </c>
      <c r="AO271" s="6">
        <f>VLOOKUP(Eingabe[[#This Row],[ID]],Chronologie[[ID]:[KW]],12,FALSE)</f>
        <v>3</v>
      </c>
      <c r="AP271" s="95" t="str">
        <f>IF(Eingabe[[#This Row],[Wo]]="H",Eingabe[[#This Row],[Gegner]]&amp;" ["&amp;Eingabe[[#This Row],[Wo]]&amp;"]",Eingabe[[#This Row],[Ort]])</f>
        <v>Zschorlau</v>
      </c>
      <c r="AQ271" s="6" t="str">
        <f>IFERROR(IF(Eingabe[[#This Row],[Wo]]="H",IF(MOD(Eingabe[[#This Row],[Position]],2)=1,Eingabe[[#This Row],[S1]],Eingabe[[#This Row],[S4]]),""),"")</f>
        <v/>
      </c>
      <c r="AR271" s="6" t="str">
        <f>IFERROR(IF(Eingabe[[#This Row],[Wo]]="H",IF(Eingabe[[#This Row],[S1]]&gt;0,IF(MOD(Eingabe[[#This Row],[Position]],2)=1,Eingabe[[#This Row],[S2]],Eingabe[[#This Row],[S3]]),""),""),"")</f>
        <v/>
      </c>
      <c r="AS271" s="6" t="str">
        <f>IFERROR(IF(Eingabe[[#This Row],[Wo]]="H",IF(Eingabe[[#This Row],[S1]]&gt;0,IF(MOD(ROW(Eingabe[[#This Row],[Heimbahn 3]]),2)=1,Eingabe[[#This Row],[S4]],Eingabe[[#This Row],[S1]]),""),""),"")</f>
        <v/>
      </c>
      <c r="AT271" s="6" t="str">
        <f>IFERROR(IF(Eingabe[[#This Row],[Wo]]="H",IF(Eingabe[[#This Row],[S1]]&gt;0,IF(MOD(ROW(Eingabe[[#This Row],[Heimbahn 4]]),2)=1,Eingabe[[#This Row],[S3]],Eingabe[[#This Row],[S2]]),""),""),"")</f>
        <v/>
      </c>
      <c r="AU271" s="22">
        <f>IF(Eingabe[[#This Row],[GES]]="","",IF(Eingabe[[#This Row],[Modus]]="L",_xlfn.RANK.EQ(Eingabe[[#This Row],[GES]],AF267:AF272),IF(Eingabe[[#This Row],[Modus]]="P",_xlfn.RANK.EQ(Eingabe[[#This Row],[GES]],AF267:AF272),"")))</f>
        <v>5</v>
      </c>
      <c r="AV271" s="6">
        <f>VLOOKUP(Eingabe[[#This Row],[Name]],AuswertungG[],8,FALSE)</f>
        <v>528</v>
      </c>
      <c r="AZ271" s="6">
        <f>IFERROR(ABS(Eingabe[[#This Row],[GES]]-Eingabe[[#This Row],[GEGGES]]),"")</f>
        <v>53</v>
      </c>
    </row>
    <row r="272" spans="1:52" ht="16.2" hidden="1" thickBot="1" x14ac:dyDescent="0.35">
      <c r="A272" s="442"/>
      <c r="B272" s="56">
        <f t="shared" si="42"/>
        <v>45</v>
      </c>
      <c r="C272" s="23" t="str">
        <f>VLOOKUP($B272,Chronologie[],7,TRUE)</f>
        <v>ESV Zschorlau</v>
      </c>
      <c r="D272" s="23" t="str">
        <f>VLOOKUP($B272,Chronologie[],8,TRUE)</f>
        <v>Zschorlau</v>
      </c>
      <c r="E272" s="39" t="str">
        <f>VLOOKUP($B272,Chronologie[],9,TRUE)</f>
        <v>A</v>
      </c>
      <c r="F272" s="23" t="str">
        <f>VLOOKUP($B272,Chronologie[],COLUMN(F273)-2,TRUE)</f>
        <v>Z</v>
      </c>
      <c r="G272" s="23" t="str">
        <f>VLOOKUP($B272,Chronologie[],COLUMN(G273)-2,TRUE)</f>
        <v>L</v>
      </c>
      <c r="H272" s="23">
        <f>VLOOKUP($B272,Chronologie[],COLUMN(H273)-2,TRUE)</f>
        <v>1</v>
      </c>
      <c r="I272" s="13" t="str">
        <f>VLOOKUP($B272,Chronologie[],2,TRUE)</f>
        <v>Z-L-1</v>
      </c>
      <c r="J272" s="244">
        <f>VLOOKUP($B272,Chronologie[],3,TRUE)</f>
        <v>45914</v>
      </c>
      <c r="K272" s="239" t="s">
        <v>12</v>
      </c>
      <c r="L272" s="239">
        <v>101</v>
      </c>
      <c r="M272" s="239">
        <v>97</v>
      </c>
      <c r="N272" s="239">
        <v>105</v>
      </c>
      <c r="O272" s="239">
        <v>81</v>
      </c>
      <c r="P272" s="239">
        <v>36</v>
      </c>
      <c r="Q272" s="239">
        <v>53</v>
      </c>
      <c r="R272" s="239">
        <v>45</v>
      </c>
      <c r="S272" s="239">
        <v>44</v>
      </c>
      <c r="T272" s="239">
        <v>0</v>
      </c>
      <c r="U272" s="239">
        <v>0</v>
      </c>
      <c r="V272" s="239">
        <v>2</v>
      </c>
      <c r="W272" s="239">
        <v>3</v>
      </c>
      <c r="X272" s="40">
        <v>1</v>
      </c>
      <c r="Y272" s="40">
        <v>0</v>
      </c>
      <c r="Z272" s="40">
        <v>1</v>
      </c>
      <c r="AA272" s="40">
        <v>0</v>
      </c>
      <c r="AB272" s="92">
        <v>585</v>
      </c>
      <c r="AC272" s="96">
        <f>IF(Eingabe[[#This Row],[V1]]="",IF(Eingabe[[#This Row],[Volle alternativ]]="","",Eingabe[[#This Row],[Volle alternativ]]),SUM(Eingabe[[#This Row],[V1]:[V4]]))</f>
        <v>384</v>
      </c>
      <c r="AD272" s="23">
        <f>IF(Eingabe[[#This Row],[R1]]="",IF(Eingabe[[#This Row],[Räumer alternativ]]="","",Eingabe[[#This Row],[Räumer alternativ]]),SUM(Eingabe[[#This Row],[R1]:[R4]]))</f>
        <v>178</v>
      </c>
      <c r="AE272" s="23">
        <f>IF(Eingabe[[#This Row],[F1]]="",IF(Eingabe[[#This Row],[Fehler alternativ]]="","",Eingabe[[#This Row],[Fehler alternativ]]),SUM(Eingabe[[#This Row],[F1]:[F4]]))</f>
        <v>5</v>
      </c>
      <c r="AF272" s="23">
        <f>IF(Eingabe[[#This Row],[Volle]]="","",IF(Eingabe[[#This Row],[S1]]="",Eingabe[[#This Row],[Volle]]+Eingabe[[#This Row],[Räumer]],IF(Eingabe[[#This Row],[Volle]]+Eingabe[[#This Row],[Räumer]]=Eingabe[[#This Row],[S1]]+Eingabe[[#This Row],[S2]]+Eingabe[[#This Row],[S3]]+Eingabe[[#This Row],[S4]],Eingabe[[#This Row],[Volle]]+Eingabe[[#This Row],[Räumer]],"FEHLER")))</f>
        <v>562</v>
      </c>
      <c r="AG272" s="23">
        <f>IF(Eingabe[[#This Row],[V1]]="","",Eingabe[[#This Row],[V1]]+Eingabe[[#This Row],[R1]])</f>
        <v>137</v>
      </c>
      <c r="AH272" s="23">
        <f>IF(Eingabe[[#This Row],[V2]]="","",Eingabe[[#This Row],[V2]]+Eingabe[[#This Row],[R2]])</f>
        <v>150</v>
      </c>
      <c r="AI272" s="23">
        <f>IF(Eingabe[[#This Row],[V3]]="","",Eingabe[[#This Row],[V3]]+Eingabe[[#This Row],[R3]])</f>
        <v>150</v>
      </c>
      <c r="AJ272" s="23">
        <f>IF(Eingabe[[#This Row],[V4]]="","",Eingabe[[#This Row],[V4]]+Eingabe[[#This Row],[R4]])</f>
        <v>125</v>
      </c>
      <c r="AK272" s="23">
        <f>IF(Eingabe[[#This Row],[S1P]]="","",Eingabe[[#This Row],[S1P]]+Eingabe[[#This Row],[S2P]]+Eingabe[[#This Row],[S3P]]+Eingabe[[#This Row],[S4P]])</f>
        <v>2</v>
      </c>
      <c r="AL272" s="23">
        <f>IF(Eingabe[[#This Row],[S1P]]="","",IF(Eingabe[[#This Row],[SP]]&gt;2,1,IF(Eingabe[[#This Row],[SP]]&lt;2,0,IF(Eingabe[[#This Row],[GES]]&gt;Eingabe[[#This Row],[GEGGES]],1,IF(Eingabe[[#This Row],[GES]]=Eingabe[[#This Row],[GEGGES]],0.5,0)))))</f>
        <v>0</v>
      </c>
      <c r="AM272" s="23">
        <f>IF(Eingabe[[#This Row],[MP]]="","",MOD(ROW(Eingabe[[#This Row],[Position]])-3,6)+1)</f>
        <v>6</v>
      </c>
      <c r="AN272" s="23">
        <f>STANDARDIZE(Eingabe[[#This Row],[GES]],Eingabe[[#This Row],[Schnitt]],VLOOKUP(Eingabe[[#This Row],[Name]],AuswertungG[],21,FALSE))</f>
        <v>1.1111111111111112</v>
      </c>
      <c r="AO272" s="23">
        <f>VLOOKUP(Eingabe[[#This Row],[ID]],Chronologie[[ID]:[KW]],12,FALSE)</f>
        <v>3</v>
      </c>
      <c r="AP272" s="59" t="str">
        <f>IF(Eingabe[[#This Row],[Wo]]="H",Eingabe[[#This Row],[Gegner]]&amp;" ["&amp;Eingabe[[#This Row],[Wo]]&amp;"]",Eingabe[[#This Row],[Ort]])</f>
        <v>Zschorlau</v>
      </c>
      <c r="AQ272" s="23" t="str">
        <f>IFERROR(IF(Eingabe[[#This Row],[Wo]]="H",IF(MOD(Eingabe[[#This Row],[Position]],2)=1,Eingabe[[#This Row],[S1]],Eingabe[[#This Row],[S4]]),""),"")</f>
        <v/>
      </c>
      <c r="AR272" s="23" t="str">
        <f>IFERROR(IF(Eingabe[[#This Row],[Wo]]="H",IF(Eingabe[[#This Row],[S1]]&gt;0,IF(MOD(Eingabe[[#This Row],[Position]],2)=1,Eingabe[[#This Row],[S2]],Eingabe[[#This Row],[S3]]),""),""),"")</f>
        <v/>
      </c>
      <c r="AS272" s="23" t="str">
        <f>IFERROR(IF(Eingabe[[#This Row],[Wo]]="H",IF(Eingabe[[#This Row],[S1]]&gt;0,IF(MOD(ROW(Eingabe[[#This Row],[Heimbahn 3]]),2)=1,Eingabe[[#This Row],[S4]],Eingabe[[#This Row],[S1]]),""),""),"")</f>
        <v/>
      </c>
      <c r="AT272" s="23" t="str">
        <f>IFERROR(IF(Eingabe[[#This Row],[Wo]]="H",IF(Eingabe[[#This Row],[S1]]&gt;0,IF(MOD(ROW(Eingabe[[#This Row],[Heimbahn 4]]),2)=1,Eingabe[[#This Row],[S3]],Eingabe[[#This Row],[S2]]),""),""),"")</f>
        <v/>
      </c>
      <c r="AU272" s="89">
        <f>IF(Eingabe[[#This Row],[GES]]="","",IF(Eingabe[[#This Row],[Modus]]="L",_xlfn.RANK.EQ(Eingabe[[#This Row],[GES]],AF267:AF272),IF(Eingabe[[#This Row],[Modus]]="P",_xlfn.RANK.EQ(Eingabe[[#This Row],[GES]],AF267:AF272),"")))</f>
        <v>2</v>
      </c>
      <c r="AV272" s="6">
        <f>VLOOKUP(Eingabe[[#This Row],[Name]],AuswertungG[],8,FALSE)</f>
        <v>532</v>
      </c>
      <c r="AZ272" s="6">
        <f>IFERROR(ABS(Eingabe[[#This Row],[GES]]-Eingabe[[#This Row],[GEGGES]]),"")</f>
        <v>23</v>
      </c>
    </row>
    <row r="273" spans="1:52" ht="16.2" hidden="1" thickBot="1" x14ac:dyDescent="0.35">
      <c r="A273" s="440">
        <f t="shared" si="41"/>
        <v>46</v>
      </c>
      <c r="B273" s="55">
        <f t="shared" si="42"/>
        <v>46</v>
      </c>
      <c r="C273" s="35" t="str">
        <f>VLOOKUP($B273,Chronologie[],7,TRUE)</f>
        <v>SG Motor Thurm</v>
      </c>
      <c r="D273" s="35" t="str">
        <f>VLOOKUP($B273,Chronologie[],8,TRUE)</f>
        <v>Hirschfeld</v>
      </c>
      <c r="E273" s="36" t="str">
        <f>VLOOKUP($B273,Chronologie[],9,TRUE)</f>
        <v>H</v>
      </c>
      <c r="F273" s="35" t="str">
        <f>VLOOKUP($B273,Chronologie[],COLUMN(F274)-2,TRUE)</f>
        <v>Z</v>
      </c>
      <c r="G273" s="35" t="str">
        <f>VLOOKUP($B273,Chronologie[],COLUMN(G274)-2,TRUE)</f>
        <v>L</v>
      </c>
      <c r="H273" s="35">
        <f>VLOOKUP($B273,Chronologie[],COLUMN(H274)-2,TRUE)</f>
        <v>2</v>
      </c>
      <c r="I273" s="9" t="str">
        <f>VLOOKUP($B273,Chronologie[],2,TRUE)</f>
        <v>Z-L-2</v>
      </c>
      <c r="J273" s="242">
        <f>VLOOKUP($B273,Chronologie[],3,TRUE)</f>
        <v>45942</v>
      </c>
      <c r="K273" s="236" t="s">
        <v>463</v>
      </c>
      <c r="L273" s="334">
        <v>88</v>
      </c>
      <c r="M273" s="334">
        <v>88</v>
      </c>
      <c r="N273" s="334">
        <v>85</v>
      </c>
      <c r="O273" s="334">
        <v>88</v>
      </c>
      <c r="P273" s="334">
        <v>25</v>
      </c>
      <c r="Q273" s="334">
        <v>43</v>
      </c>
      <c r="R273" s="334">
        <v>34</v>
      </c>
      <c r="S273" s="334">
        <v>18</v>
      </c>
      <c r="T273" s="334">
        <v>4</v>
      </c>
      <c r="U273" s="334">
        <v>2</v>
      </c>
      <c r="V273" s="334">
        <v>3</v>
      </c>
      <c r="W273" s="334">
        <v>5</v>
      </c>
      <c r="X273" s="37">
        <v>1</v>
      </c>
      <c r="Y273" s="37">
        <v>1</v>
      </c>
      <c r="Z273" s="37">
        <v>0.5</v>
      </c>
      <c r="AA273" s="37">
        <v>0</v>
      </c>
      <c r="AB273" s="90">
        <v>462</v>
      </c>
      <c r="AC273" s="93">
        <f>IF(Eingabe[[#This Row],[V1]]="",IF(Eingabe[[#This Row],[Volle alternativ]]="","",Eingabe[[#This Row],[Volle alternativ]]),SUM(Eingabe[[#This Row],[V1]:[V4]]))</f>
        <v>349</v>
      </c>
      <c r="AD273" s="35">
        <f>IF(Eingabe[[#This Row],[R1]]="",IF(Eingabe[[#This Row],[Räumer alternativ]]="","",Eingabe[[#This Row],[Räumer alternativ]]),SUM(Eingabe[[#This Row],[R1]:[R4]]))</f>
        <v>120</v>
      </c>
      <c r="AE273" s="35">
        <f>IF(Eingabe[[#This Row],[F1]]="",IF(Eingabe[[#This Row],[Fehler alternativ]]="","",Eingabe[[#This Row],[Fehler alternativ]]),SUM(Eingabe[[#This Row],[F1]:[F4]]))</f>
        <v>14</v>
      </c>
      <c r="AF273" s="35">
        <f>IF(Eingabe[[#This Row],[Volle]]="","",IF(Eingabe[[#This Row],[S1]]="",Eingabe[[#This Row],[Volle]]+Eingabe[[#This Row],[Räumer]],IF(Eingabe[[#This Row],[Volle]]+Eingabe[[#This Row],[Räumer]]=Eingabe[[#This Row],[S1]]+Eingabe[[#This Row],[S2]]+Eingabe[[#This Row],[S3]]+Eingabe[[#This Row],[S4]],Eingabe[[#This Row],[Volle]]+Eingabe[[#This Row],[Räumer]],"FEHLER")))</f>
        <v>469</v>
      </c>
      <c r="AG273" s="35">
        <f>IF(Eingabe[[#This Row],[V1]]="","",Eingabe[[#This Row],[V1]]+Eingabe[[#This Row],[R1]])</f>
        <v>113</v>
      </c>
      <c r="AH273" s="35">
        <f>IF(Eingabe[[#This Row],[V2]]="","",Eingabe[[#This Row],[V2]]+Eingabe[[#This Row],[R2]])</f>
        <v>131</v>
      </c>
      <c r="AI273" s="35">
        <f>IF(Eingabe[[#This Row],[V3]]="","",Eingabe[[#This Row],[V3]]+Eingabe[[#This Row],[R3]])</f>
        <v>119</v>
      </c>
      <c r="AJ273" s="35">
        <f>IF(Eingabe[[#This Row],[V4]]="","",Eingabe[[#This Row],[V4]]+Eingabe[[#This Row],[R4]])</f>
        <v>106</v>
      </c>
      <c r="AK273" s="35">
        <f>IF(Eingabe[[#This Row],[S1P]]="","",Eingabe[[#This Row],[S1P]]+Eingabe[[#This Row],[S2P]]+Eingabe[[#This Row],[S3P]]+Eingabe[[#This Row],[S4P]])</f>
        <v>2.5</v>
      </c>
      <c r="AL273" s="35">
        <f>IF(Eingabe[[#This Row],[S1P]]="","",IF(Eingabe[[#This Row],[SP]]&gt;2,1,IF(Eingabe[[#This Row],[SP]]&lt;2,0,IF(Eingabe[[#This Row],[GES]]&gt;Eingabe[[#This Row],[GEGGES]],1,IF(Eingabe[[#This Row],[GES]]=Eingabe[[#This Row],[GEGGES]],0.5,0)))))</f>
        <v>1</v>
      </c>
      <c r="AM273" s="35">
        <f>IF(Eingabe[[#This Row],[MP]]="","",MOD(ROW(Eingabe[[#This Row],[Position]])-3,6)+1)</f>
        <v>1</v>
      </c>
      <c r="AN273" s="35">
        <f>STANDARDIZE(Eingabe[[#This Row],[GES]],Eingabe[[#This Row],[Schnitt]],VLOOKUP(Eingabe[[#This Row],[Name]],AuswertungG[],21,FALSE))</f>
        <v>-1.4838709677419355</v>
      </c>
      <c r="AO273" s="35">
        <f>VLOOKUP(Eingabe[[#This Row],[ID]],Chronologie[[ID]:[KW]],12,FALSE)</f>
        <v>7</v>
      </c>
      <c r="AP273" s="58" t="str">
        <f>IF(Eingabe[[#This Row],[Wo]]="H",Eingabe[[#This Row],[Gegner]]&amp;" ["&amp;Eingabe[[#This Row],[Wo]]&amp;"]",Eingabe[[#This Row],[Ort]])</f>
        <v>SG Motor Thurm [H]</v>
      </c>
      <c r="AQ273" s="35">
        <f>IFERROR(IF(Eingabe[[#This Row],[Wo]]="H",IF(MOD(Eingabe[[#This Row],[Position]],2)=1,Eingabe[[#This Row],[S1]],Eingabe[[#This Row],[S4]]),""),"")</f>
        <v>113</v>
      </c>
      <c r="AR273" s="35">
        <f>IFERROR(IF(Eingabe[[#This Row],[Wo]]="H",IF(Eingabe[[#This Row],[S1]]&gt;0,IF(MOD(Eingabe[[#This Row],[Position]],2)=1,Eingabe[[#This Row],[S2]],Eingabe[[#This Row],[S3]]),""),""),"")</f>
        <v>131</v>
      </c>
      <c r="AS273" s="35">
        <f>IFERROR(IF(Eingabe[[#This Row],[Wo]]="H",IF(Eingabe[[#This Row],[S1]]&gt;0,IF(MOD(ROW(Eingabe[[#This Row],[Heimbahn 3]]),2)=1,Eingabe[[#This Row],[S4]],Eingabe[[#This Row],[S1]]),""),""),"")</f>
        <v>106</v>
      </c>
      <c r="AT273" s="35">
        <f>IFERROR(IF(Eingabe[[#This Row],[Wo]]="H",IF(Eingabe[[#This Row],[S1]]&gt;0,IF(MOD(ROW(Eingabe[[#This Row],[Heimbahn 4]]),2)=1,Eingabe[[#This Row],[S3]],Eingabe[[#This Row],[S2]]),""),""),"")</f>
        <v>119</v>
      </c>
      <c r="AU273" s="88">
        <f>IF(Eingabe[[#This Row],[GES]]="","",IF(Eingabe[[#This Row],[Modus]]="L",_xlfn.RANK.EQ(Eingabe[[#This Row],[GES]],AF273:AF278),IF(Eingabe[[#This Row],[Modus]]="P",_xlfn.RANK.EQ(Eingabe[[#This Row],[GES]],AF273:AF278),"")))</f>
        <v>5</v>
      </c>
      <c r="AV273" s="6">
        <f>VLOOKUP(Eingabe[[#This Row],[Name]],AuswertungG[],8,FALSE)</f>
        <v>515</v>
      </c>
      <c r="AZ273" s="6">
        <f>IFERROR(ABS(Eingabe[[#This Row],[GES]]-Eingabe[[#This Row],[GEGGES]]),"")</f>
        <v>7</v>
      </c>
    </row>
    <row r="274" spans="1:52" ht="16.2" hidden="1" thickBot="1" x14ac:dyDescent="0.35">
      <c r="A274" s="441"/>
      <c r="B274" s="21">
        <f t="shared" si="42"/>
        <v>46</v>
      </c>
      <c r="C274" s="6" t="str">
        <f>VLOOKUP($B274,Chronologie[],7,TRUE)</f>
        <v>SG Motor Thurm</v>
      </c>
      <c r="D274" s="6" t="str">
        <f>VLOOKUP($B274,Chronologie[],8,TRUE)</f>
        <v>Hirschfeld</v>
      </c>
      <c r="E274" s="240" t="str">
        <f>VLOOKUP($B274,Chronologie[],9,TRUE)</f>
        <v>H</v>
      </c>
      <c r="F274" s="6" t="str">
        <f>VLOOKUP($B274,Chronologie[],COLUMN(F275)-2,TRUE)</f>
        <v>Z</v>
      </c>
      <c r="G274" s="6" t="str">
        <f>VLOOKUP($B274,Chronologie[],COLUMN(G275)-2,TRUE)</f>
        <v>L</v>
      </c>
      <c r="H274" s="6">
        <f>VLOOKUP($B274,Chronologie[],COLUMN(H275)-2,TRUE)</f>
        <v>2</v>
      </c>
      <c r="I274" s="10" t="str">
        <f>VLOOKUP($B274,Chronologie[],2,TRUE)</f>
        <v>Z-L-2</v>
      </c>
      <c r="J274" s="243">
        <f>VLOOKUP($B274,Chronologie[],3,TRUE)</f>
        <v>45942</v>
      </c>
      <c r="K274" s="237" t="s">
        <v>465</v>
      </c>
      <c r="L274" s="237">
        <v>81</v>
      </c>
      <c r="M274" s="237">
        <v>94</v>
      </c>
      <c r="N274" s="237">
        <v>87</v>
      </c>
      <c r="O274" s="237">
        <v>93</v>
      </c>
      <c r="P274" s="237">
        <v>44</v>
      </c>
      <c r="Q274" s="237">
        <v>42</v>
      </c>
      <c r="R274" s="237">
        <v>49</v>
      </c>
      <c r="S274" s="237">
        <v>45</v>
      </c>
      <c r="T274" s="237">
        <v>1</v>
      </c>
      <c r="U274" s="237">
        <v>0</v>
      </c>
      <c r="V274" s="237">
        <v>0</v>
      </c>
      <c r="W274" s="237">
        <v>0</v>
      </c>
      <c r="X274" s="38">
        <v>0</v>
      </c>
      <c r="Y274" s="38">
        <v>1</v>
      </c>
      <c r="Z274" s="38">
        <v>1</v>
      </c>
      <c r="AA274" s="38">
        <v>0</v>
      </c>
      <c r="AB274" s="91">
        <v>507</v>
      </c>
      <c r="AC274" s="94">
        <f>IF(Eingabe[[#This Row],[V1]]="",IF(Eingabe[[#This Row],[Volle alternativ]]="","",Eingabe[[#This Row],[Volle alternativ]]),SUM(Eingabe[[#This Row],[V1]:[V4]]))</f>
        <v>355</v>
      </c>
      <c r="AD274" s="6">
        <f>IF(Eingabe[[#This Row],[R1]]="",IF(Eingabe[[#This Row],[Räumer alternativ]]="","",Eingabe[[#This Row],[Räumer alternativ]]),SUM(Eingabe[[#This Row],[R1]:[R4]]))</f>
        <v>180</v>
      </c>
      <c r="AE274" s="6">
        <f>IF(Eingabe[[#This Row],[F1]]="",IF(Eingabe[[#This Row],[Fehler alternativ]]="","",Eingabe[[#This Row],[Fehler alternativ]]),SUM(Eingabe[[#This Row],[F1]:[F4]]))</f>
        <v>1</v>
      </c>
      <c r="AF274" s="6">
        <f>IF(Eingabe[[#This Row],[Volle]]="","",IF(Eingabe[[#This Row],[S1]]="",Eingabe[[#This Row],[Volle]]+Eingabe[[#This Row],[Räumer]],IF(Eingabe[[#This Row],[Volle]]+Eingabe[[#This Row],[Räumer]]=Eingabe[[#This Row],[S1]]+Eingabe[[#This Row],[S2]]+Eingabe[[#This Row],[S3]]+Eingabe[[#This Row],[S4]],Eingabe[[#This Row],[Volle]]+Eingabe[[#This Row],[Räumer]],"FEHLER")))</f>
        <v>535</v>
      </c>
      <c r="AG274" s="6">
        <f>IF(Eingabe[[#This Row],[V1]]="","",Eingabe[[#This Row],[V1]]+Eingabe[[#This Row],[R1]])</f>
        <v>125</v>
      </c>
      <c r="AH274" s="6">
        <f>IF(Eingabe[[#This Row],[V2]]="","",Eingabe[[#This Row],[V2]]+Eingabe[[#This Row],[R2]])</f>
        <v>136</v>
      </c>
      <c r="AI274" s="6">
        <f>IF(Eingabe[[#This Row],[V3]]="","",Eingabe[[#This Row],[V3]]+Eingabe[[#This Row],[R3]])</f>
        <v>136</v>
      </c>
      <c r="AJ274" s="6">
        <f>IF(Eingabe[[#This Row],[V4]]="","",Eingabe[[#This Row],[V4]]+Eingabe[[#This Row],[R4]])</f>
        <v>138</v>
      </c>
      <c r="AK274" s="6">
        <f>IF(Eingabe[[#This Row],[S1P]]="","",Eingabe[[#This Row],[S1P]]+Eingabe[[#This Row],[S2P]]+Eingabe[[#This Row],[S3P]]+Eingabe[[#This Row],[S4P]])</f>
        <v>2</v>
      </c>
      <c r="AL274" s="6">
        <f>IF(Eingabe[[#This Row],[S1P]]="","",IF(Eingabe[[#This Row],[SP]]&gt;2,1,IF(Eingabe[[#This Row],[SP]]&lt;2,0,IF(Eingabe[[#This Row],[GES]]&gt;Eingabe[[#This Row],[GEGGES]],1,IF(Eingabe[[#This Row],[GES]]=Eingabe[[#This Row],[GEGGES]],0.5,0)))))</f>
        <v>1</v>
      </c>
      <c r="AM274" s="6">
        <f>IF(Eingabe[[#This Row],[MP]]="","",MOD(ROW(Eingabe[[#This Row],[Position]])-3,6)+1)</f>
        <v>2</v>
      </c>
      <c r="AN274" s="6">
        <f>STANDARDIZE(Eingabe[[#This Row],[GES]],Eingabe[[#This Row],[Schnitt]],VLOOKUP(Eingabe[[#This Row],[Name]],AuswertungG[],21,FALSE))</f>
        <v>0.39130434782608697</v>
      </c>
      <c r="AO274" s="6">
        <f>VLOOKUP(Eingabe[[#This Row],[ID]],Chronologie[[ID]:[KW]],12,FALSE)</f>
        <v>7</v>
      </c>
      <c r="AP274" s="95" t="str">
        <f>IF(Eingabe[[#This Row],[Wo]]="H",Eingabe[[#This Row],[Gegner]]&amp;" ["&amp;Eingabe[[#This Row],[Wo]]&amp;"]",Eingabe[[#This Row],[Ort]])</f>
        <v>SG Motor Thurm [H]</v>
      </c>
      <c r="AQ274" s="6">
        <f>IFERROR(IF(Eingabe[[#This Row],[Wo]]="H",IF(MOD(Eingabe[[#This Row],[Position]],2)=1,Eingabe[[#This Row],[S1]],Eingabe[[#This Row],[S4]]),""),"")</f>
        <v>138</v>
      </c>
      <c r="AR274" s="6">
        <f>IFERROR(IF(Eingabe[[#This Row],[Wo]]="H",IF(Eingabe[[#This Row],[S1]]&gt;0,IF(MOD(Eingabe[[#This Row],[Position]],2)=1,Eingabe[[#This Row],[S2]],Eingabe[[#This Row],[S3]]),""),""),"")</f>
        <v>136</v>
      </c>
      <c r="AS274" s="6">
        <f>IFERROR(IF(Eingabe[[#This Row],[Wo]]="H",IF(Eingabe[[#This Row],[S1]]&gt;0,IF(MOD(ROW(Eingabe[[#This Row],[Heimbahn 3]]),2)=1,Eingabe[[#This Row],[S4]],Eingabe[[#This Row],[S1]]),""),""),"")</f>
        <v>125</v>
      </c>
      <c r="AT274" s="6">
        <f>IFERROR(IF(Eingabe[[#This Row],[Wo]]="H",IF(Eingabe[[#This Row],[S1]]&gt;0,IF(MOD(ROW(Eingabe[[#This Row],[Heimbahn 4]]),2)=1,Eingabe[[#This Row],[S3]],Eingabe[[#This Row],[S2]]),""),""),"")</f>
        <v>136</v>
      </c>
      <c r="AU274" s="22">
        <f>IF(Eingabe[[#This Row],[GES]]="","",IF(Eingabe[[#This Row],[Modus]]="L",_xlfn.RANK.EQ(Eingabe[[#This Row],[GES]],AF273:AF278),IF(Eingabe[[#This Row],[Modus]]="P",_xlfn.RANK.EQ(Eingabe[[#This Row],[GES]],AF273:AF278),"")))</f>
        <v>1</v>
      </c>
      <c r="AV274" s="6">
        <f>VLOOKUP(Eingabe[[#This Row],[Name]],AuswertungG[],8,FALSE)</f>
        <v>526</v>
      </c>
      <c r="AZ274" s="6">
        <f>IFERROR(ABS(Eingabe[[#This Row],[GES]]-Eingabe[[#This Row],[GEGGES]]),"")</f>
        <v>28</v>
      </c>
    </row>
    <row r="275" spans="1:52" ht="16.2" hidden="1" thickBot="1" x14ac:dyDescent="0.35">
      <c r="A275" s="441"/>
      <c r="B275" s="21">
        <f t="shared" si="42"/>
        <v>46</v>
      </c>
      <c r="C275" s="6" t="str">
        <f>VLOOKUP($B275,Chronologie[],7,TRUE)</f>
        <v>SG Motor Thurm</v>
      </c>
      <c r="D275" s="6" t="str">
        <f>VLOOKUP($B275,Chronologie[],8,TRUE)</f>
        <v>Hirschfeld</v>
      </c>
      <c r="E275" s="240" t="str">
        <f>VLOOKUP($B275,Chronologie[],9,TRUE)</f>
        <v>H</v>
      </c>
      <c r="F275" s="6" t="str">
        <f>VLOOKUP($B275,Chronologie[],COLUMN(F276)-2,TRUE)</f>
        <v>Z</v>
      </c>
      <c r="G275" s="6" t="str">
        <f>VLOOKUP($B275,Chronologie[],COLUMN(G276)-2,TRUE)</f>
        <v>L</v>
      </c>
      <c r="H275" s="6">
        <f>VLOOKUP($B275,Chronologie[],COLUMN(H276)-2,TRUE)</f>
        <v>2</v>
      </c>
      <c r="I275" s="10" t="str">
        <f>VLOOKUP($B275,Chronologie[],2,TRUE)</f>
        <v>Z-L-2</v>
      </c>
      <c r="J275" s="243">
        <f>VLOOKUP($B275,Chronologie[],3,TRUE)</f>
        <v>45942</v>
      </c>
      <c r="K275" s="237" t="s">
        <v>478</v>
      </c>
      <c r="L275" s="237">
        <v>82</v>
      </c>
      <c r="M275" s="237">
        <v>92</v>
      </c>
      <c r="N275" s="237">
        <v>96</v>
      </c>
      <c r="O275" s="237">
        <v>94</v>
      </c>
      <c r="P275" s="237">
        <v>40</v>
      </c>
      <c r="Q275" s="237">
        <v>53</v>
      </c>
      <c r="R275" s="237">
        <v>36</v>
      </c>
      <c r="S275" s="237">
        <v>36</v>
      </c>
      <c r="T275" s="237">
        <v>2</v>
      </c>
      <c r="U275" s="237">
        <v>1</v>
      </c>
      <c r="V275" s="237">
        <v>2</v>
      </c>
      <c r="W275" s="237">
        <v>0</v>
      </c>
      <c r="X275" s="38">
        <v>0</v>
      </c>
      <c r="Y275" s="38">
        <v>1</v>
      </c>
      <c r="Z275" s="38">
        <v>1</v>
      </c>
      <c r="AA275" s="38">
        <v>1</v>
      </c>
      <c r="AB275" s="91">
        <v>457</v>
      </c>
      <c r="AC275" s="94">
        <f>IF(Eingabe[[#This Row],[V1]]="",IF(Eingabe[[#This Row],[Volle alternativ]]="","",Eingabe[[#This Row],[Volle alternativ]]),SUM(Eingabe[[#This Row],[V1]:[V4]]))</f>
        <v>364</v>
      </c>
      <c r="AD275" s="6">
        <f>IF(Eingabe[[#This Row],[R1]]="",IF(Eingabe[[#This Row],[Räumer alternativ]]="","",Eingabe[[#This Row],[Räumer alternativ]]),SUM(Eingabe[[#This Row],[R1]:[R4]]))</f>
        <v>165</v>
      </c>
      <c r="AE275" s="6">
        <f>IF(Eingabe[[#This Row],[F1]]="",IF(Eingabe[[#This Row],[Fehler alternativ]]="","",Eingabe[[#This Row],[Fehler alternativ]]),SUM(Eingabe[[#This Row],[F1]:[F4]]))</f>
        <v>5</v>
      </c>
      <c r="AF275" s="6">
        <f>IF(Eingabe[[#This Row],[Volle]]="","",IF(Eingabe[[#This Row],[S1]]="",Eingabe[[#This Row],[Volle]]+Eingabe[[#This Row],[Räumer]],IF(Eingabe[[#This Row],[Volle]]+Eingabe[[#This Row],[Räumer]]=Eingabe[[#This Row],[S1]]+Eingabe[[#This Row],[S2]]+Eingabe[[#This Row],[S3]]+Eingabe[[#This Row],[S4]],Eingabe[[#This Row],[Volle]]+Eingabe[[#This Row],[Räumer]],"FEHLER")))</f>
        <v>529</v>
      </c>
      <c r="AG275" s="6">
        <f>IF(Eingabe[[#This Row],[V1]]="","",Eingabe[[#This Row],[V1]]+Eingabe[[#This Row],[R1]])</f>
        <v>122</v>
      </c>
      <c r="AH275" s="6">
        <f>IF(Eingabe[[#This Row],[V2]]="","",Eingabe[[#This Row],[V2]]+Eingabe[[#This Row],[R2]])</f>
        <v>145</v>
      </c>
      <c r="AI275" s="6">
        <f>IF(Eingabe[[#This Row],[V3]]="","",Eingabe[[#This Row],[V3]]+Eingabe[[#This Row],[R3]])</f>
        <v>132</v>
      </c>
      <c r="AJ275" s="6">
        <f>IF(Eingabe[[#This Row],[V4]]="","",Eingabe[[#This Row],[V4]]+Eingabe[[#This Row],[R4]])</f>
        <v>130</v>
      </c>
      <c r="AK275" s="6">
        <f>IF(Eingabe[[#This Row],[S1P]]="","",Eingabe[[#This Row],[S1P]]+Eingabe[[#This Row],[S2P]]+Eingabe[[#This Row],[S3P]]+Eingabe[[#This Row],[S4P]])</f>
        <v>3</v>
      </c>
      <c r="AL275" s="6">
        <f>IF(Eingabe[[#This Row],[S1P]]="","",IF(Eingabe[[#This Row],[SP]]&gt;2,1,IF(Eingabe[[#This Row],[SP]]&lt;2,0,IF(Eingabe[[#This Row],[GES]]&gt;Eingabe[[#This Row],[GEGGES]],1,IF(Eingabe[[#This Row],[GES]]=Eingabe[[#This Row],[GEGGES]],0.5,0)))))</f>
        <v>1</v>
      </c>
      <c r="AM275" s="6">
        <f>IF(Eingabe[[#This Row],[MP]]="","",MOD(ROW(Eingabe[[#This Row],[Position]])-3,6)+1)</f>
        <v>3</v>
      </c>
      <c r="AN275" s="6">
        <f>STANDARDIZE(Eingabe[[#This Row],[GES]],Eingabe[[#This Row],[Schnitt]],VLOOKUP(Eingabe[[#This Row],[Name]],AuswertungG[],21,FALSE))</f>
        <v>0.05</v>
      </c>
      <c r="AO275" s="6">
        <f>VLOOKUP(Eingabe[[#This Row],[ID]],Chronologie[[ID]:[KW]],12,FALSE)</f>
        <v>7</v>
      </c>
      <c r="AP275" s="95" t="str">
        <f>IF(Eingabe[[#This Row],[Wo]]="H",Eingabe[[#This Row],[Gegner]]&amp;" ["&amp;Eingabe[[#This Row],[Wo]]&amp;"]",Eingabe[[#This Row],[Ort]])</f>
        <v>SG Motor Thurm [H]</v>
      </c>
      <c r="AQ275" s="6">
        <f>IFERROR(IF(Eingabe[[#This Row],[Wo]]="H",IF(MOD(Eingabe[[#This Row],[Position]],2)=1,Eingabe[[#This Row],[S1]],Eingabe[[#This Row],[S4]]),""),"")</f>
        <v>122</v>
      </c>
      <c r="AR275" s="6">
        <f>IFERROR(IF(Eingabe[[#This Row],[Wo]]="H",IF(Eingabe[[#This Row],[S1]]&gt;0,IF(MOD(Eingabe[[#This Row],[Position]],2)=1,Eingabe[[#This Row],[S2]],Eingabe[[#This Row],[S3]]),""),""),"")</f>
        <v>145</v>
      </c>
      <c r="AS275" s="6">
        <f>IFERROR(IF(Eingabe[[#This Row],[Wo]]="H",IF(Eingabe[[#This Row],[S1]]&gt;0,IF(MOD(ROW(Eingabe[[#This Row],[Heimbahn 3]]),2)=1,Eingabe[[#This Row],[S4]],Eingabe[[#This Row],[S1]]),""),""),"")</f>
        <v>130</v>
      </c>
      <c r="AT275" s="6">
        <f>IFERROR(IF(Eingabe[[#This Row],[Wo]]="H",IF(Eingabe[[#This Row],[S1]]&gt;0,IF(MOD(ROW(Eingabe[[#This Row],[Heimbahn 4]]),2)=1,Eingabe[[#This Row],[S3]],Eingabe[[#This Row],[S2]]),""),""),"")</f>
        <v>132</v>
      </c>
      <c r="AU275" s="22">
        <f>IF(Eingabe[[#This Row],[GES]]="","",IF(Eingabe[[#This Row],[Modus]]="L",_xlfn.RANK.EQ(Eingabe[[#This Row],[GES]],AF273:AF278),IF(Eingabe[[#This Row],[Modus]]="P",_xlfn.RANK.EQ(Eingabe[[#This Row],[GES]],AF273:AF278),"")))</f>
        <v>2</v>
      </c>
      <c r="AV275" s="6">
        <f>VLOOKUP(Eingabe[[#This Row],[Name]],AuswertungG[],8,FALSE)</f>
        <v>528</v>
      </c>
      <c r="AZ275" s="6">
        <f>IFERROR(ABS(Eingabe[[#This Row],[GES]]-Eingabe[[#This Row],[GEGGES]]),"")</f>
        <v>72</v>
      </c>
    </row>
    <row r="276" spans="1:52" ht="16.2" hidden="1" thickBot="1" x14ac:dyDescent="0.35">
      <c r="A276" s="441"/>
      <c r="B276" s="21">
        <f t="shared" si="42"/>
        <v>46</v>
      </c>
      <c r="C276" s="6" t="str">
        <f>VLOOKUP($B276,Chronologie[],7,TRUE)</f>
        <v>SG Motor Thurm</v>
      </c>
      <c r="D276" s="6" t="str">
        <f>VLOOKUP($B276,Chronologie[],8,TRUE)</f>
        <v>Hirschfeld</v>
      </c>
      <c r="E276" s="240" t="str">
        <f>VLOOKUP($B276,Chronologie[],9,TRUE)</f>
        <v>H</v>
      </c>
      <c r="F276" s="6" t="str">
        <f>VLOOKUP($B276,Chronologie[],COLUMN(F277)-2,TRUE)</f>
        <v>Z</v>
      </c>
      <c r="G276" s="6" t="str">
        <f>VLOOKUP($B276,Chronologie[],COLUMN(G277)-2,TRUE)</f>
        <v>L</v>
      </c>
      <c r="H276" s="6">
        <f>VLOOKUP($B276,Chronologie[],COLUMN(H277)-2,TRUE)</f>
        <v>2</v>
      </c>
      <c r="I276" s="10" t="str">
        <f>VLOOKUP($B276,Chronologie[],2,TRUE)</f>
        <v>Z-L-2</v>
      </c>
      <c r="J276" s="243">
        <f>VLOOKUP($B276,Chronologie[],3,TRUE)</f>
        <v>45942</v>
      </c>
      <c r="K276" s="238" t="s">
        <v>490</v>
      </c>
      <c r="L276" s="237">
        <v>73</v>
      </c>
      <c r="M276" s="237">
        <v>86</v>
      </c>
      <c r="N276" s="237">
        <v>79</v>
      </c>
      <c r="O276" s="237">
        <v>94</v>
      </c>
      <c r="P276" s="237">
        <v>36</v>
      </c>
      <c r="Q276" s="237">
        <v>36</v>
      </c>
      <c r="R276" s="237">
        <v>34</v>
      </c>
      <c r="S276" s="237">
        <v>26</v>
      </c>
      <c r="T276" s="237">
        <v>2</v>
      </c>
      <c r="U276" s="237">
        <v>4</v>
      </c>
      <c r="V276" s="237">
        <v>2</v>
      </c>
      <c r="W276" s="237">
        <v>3</v>
      </c>
      <c r="X276" s="38">
        <v>0</v>
      </c>
      <c r="Y276" s="38">
        <v>1</v>
      </c>
      <c r="Z276" s="38">
        <v>1</v>
      </c>
      <c r="AA276" s="38">
        <v>0</v>
      </c>
      <c r="AB276" s="91">
        <v>473</v>
      </c>
      <c r="AC276" s="94">
        <f>IF(Eingabe[[#This Row],[V1]]="",IF(Eingabe[[#This Row],[Volle alternativ]]="","",Eingabe[[#This Row],[Volle alternativ]]),SUM(Eingabe[[#This Row],[V1]:[V4]]))</f>
        <v>332</v>
      </c>
      <c r="AD276" s="6">
        <f>IF(Eingabe[[#This Row],[R1]]="",IF(Eingabe[[#This Row],[Räumer alternativ]]="","",Eingabe[[#This Row],[Räumer alternativ]]),SUM(Eingabe[[#This Row],[R1]:[R4]]))</f>
        <v>132</v>
      </c>
      <c r="AE276" s="6">
        <f>IF(Eingabe[[#This Row],[F1]]="",IF(Eingabe[[#This Row],[Fehler alternativ]]="","",Eingabe[[#This Row],[Fehler alternativ]]),SUM(Eingabe[[#This Row],[F1]:[F4]]))</f>
        <v>11</v>
      </c>
      <c r="AF276" s="6">
        <f>IF(Eingabe[[#This Row],[Volle]]="","",IF(Eingabe[[#This Row],[S1]]="",Eingabe[[#This Row],[Volle]]+Eingabe[[#This Row],[Räumer]],IF(Eingabe[[#This Row],[Volle]]+Eingabe[[#This Row],[Räumer]]=Eingabe[[#This Row],[S1]]+Eingabe[[#This Row],[S2]]+Eingabe[[#This Row],[S3]]+Eingabe[[#This Row],[S4]],Eingabe[[#This Row],[Volle]]+Eingabe[[#This Row],[Räumer]],"FEHLER")))</f>
        <v>464</v>
      </c>
      <c r="AG276" s="6">
        <f>IF(Eingabe[[#This Row],[V1]]="","",Eingabe[[#This Row],[V1]]+Eingabe[[#This Row],[R1]])</f>
        <v>109</v>
      </c>
      <c r="AH276" s="6">
        <f>IF(Eingabe[[#This Row],[V2]]="","",Eingabe[[#This Row],[V2]]+Eingabe[[#This Row],[R2]])</f>
        <v>122</v>
      </c>
      <c r="AI276" s="6">
        <f>IF(Eingabe[[#This Row],[V3]]="","",Eingabe[[#This Row],[V3]]+Eingabe[[#This Row],[R3]])</f>
        <v>113</v>
      </c>
      <c r="AJ276" s="6">
        <f>IF(Eingabe[[#This Row],[V4]]="","",Eingabe[[#This Row],[V4]]+Eingabe[[#This Row],[R4]])</f>
        <v>120</v>
      </c>
      <c r="AK276" s="6">
        <f>IF(Eingabe[[#This Row],[S1P]]="","",Eingabe[[#This Row],[S1P]]+Eingabe[[#This Row],[S2P]]+Eingabe[[#This Row],[S3P]]+Eingabe[[#This Row],[S4P]])</f>
        <v>2</v>
      </c>
      <c r="AL276" s="6">
        <f>IF(Eingabe[[#This Row],[S1P]]="","",IF(Eingabe[[#This Row],[SP]]&gt;2,1,IF(Eingabe[[#This Row],[SP]]&lt;2,0,IF(Eingabe[[#This Row],[GES]]&gt;Eingabe[[#This Row],[GEGGES]],1,IF(Eingabe[[#This Row],[GES]]=Eingabe[[#This Row],[GEGGES]],0.5,0)))))</f>
        <v>0</v>
      </c>
      <c r="AM276" s="6">
        <f>IF(Eingabe[[#This Row],[MP]]="","",MOD(ROW(Eingabe[[#This Row],[Position]])-3,6)+1)</f>
        <v>4</v>
      </c>
      <c r="AN276" s="6">
        <f>STANDARDIZE(Eingabe[[#This Row],[GES]],Eingabe[[#This Row],[Schnitt]],VLOOKUP(Eingabe[[#This Row],[Name]],AuswertungG[],21,FALSE))</f>
        <v>-1</v>
      </c>
      <c r="AO276" s="6">
        <f>VLOOKUP(Eingabe[[#This Row],[ID]],Chronologie[[ID]:[KW]],12,FALSE)</f>
        <v>7</v>
      </c>
      <c r="AP276" s="95" t="str">
        <f>IF(Eingabe[[#This Row],[Wo]]="H",Eingabe[[#This Row],[Gegner]]&amp;" ["&amp;Eingabe[[#This Row],[Wo]]&amp;"]",Eingabe[[#This Row],[Ort]])</f>
        <v>SG Motor Thurm [H]</v>
      </c>
      <c r="AQ276" s="6">
        <f>IFERROR(IF(Eingabe[[#This Row],[Wo]]="H",IF(MOD(Eingabe[[#This Row],[Position]],2)=1,Eingabe[[#This Row],[S1]],Eingabe[[#This Row],[S4]]),""),"")</f>
        <v>120</v>
      </c>
      <c r="AR276" s="6">
        <f>IFERROR(IF(Eingabe[[#This Row],[Wo]]="H",IF(Eingabe[[#This Row],[S1]]&gt;0,IF(MOD(Eingabe[[#This Row],[Position]],2)=1,Eingabe[[#This Row],[S2]],Eingabe[[#This Row],[S3]]),""),""),"")</f>
        <v>113</v>
      </c>
      <c r="AS276" s="6">
        <f>IFERROR(IF(Eingabe[[#This Row],[Wo]]="H",IF(Eingabe[[#This Row],[S1]]&gt;0,IF(MOD(ROW(Eingabe[[#This Row],[Heimbahn 3]]),2)=1,Eingabe[[#This Row],[S4]],Eingabe[[#This Row],[S1]]),""),""),"")</f>
        <v>109</v>
      </c>
      <c r="AT276" s="6">
        <f>IFERROR(IF(Eingabe[[#This Row],[Wo]]="H",IF(Eingabe[[#This Row],[S1]]&gt;0,IF(MOD(ROW(Eingabe[[#This Row],[Heimbahn 4]]),2)=1,Eingabe[[#This Row],[S3]],Eingabe[[#This Row],[S2]]),""),""),"")</f>
        <v>122</v>
      </c>
      <c r="AU276" s="22">
        <f>IF(Eingabe[[#This Row],[GES]]="","",IF(Eingabe[[#This Row],[Modus]]="L",_xlfn.RANK.EQ(Eingabe[[#This Row],[GES]],AF273:AF278),IF(Eingabe[[#This Row],[Modus]]="P",_xlfn.RANK.EQ(Eingabe[[#This Row],[GES]],AF273:AF278),"")))</f>
        <v>6</v>
      </c>
      <c r="AV276" s="6">
        <f>VLOOKUP(Eingabe[[#This Row],[Name]],AuswertungG[],8,FALSE)</f>
        <v>515</v>
      </c>
      <c r="AZ276" s="6">
        <f>IFERROR(ABS(Eingabe[[#This Row],[GES]]-Eingabe[[#This Row],[GEGGES]]),"")</f>
        <v>9</v>
      </c>
    </row>
    <row r="277" spans="1:52" ht="16.2" hidden="1" thickBot="1" x14ac:dyDescent="0.35">
      <c r="A277" s="441"/>
      <c r="B277" s="21">
        <f t="shared" si="42"/>
        <v>46</v>
      </c>
      <c r="C277" s="6" t="str">
        <f>VLOOKUP($B277,Chronologie[],7,TRUE)</f>
        <v>SG Motor Thurm</v>
      </c>
      <c r="D277" s="6" t="str">
        <f>VLOOKUP($B277,Chronologie[],8,TRUE)</f>
        <v>Hirschfeld</v>
      </c>
      <c r="E277" s="240" t="str">
        <f>VLOOKUP($B277,Chronologie[],9,TRUE)</f>
        <v>H</v>
      </c>
      <c r="F277" s="6" t="str">
        <f>VLOOKUP($B277,Chronologie[],COLUMN(F278)-2,TRUE)</f>
        <v>Z</v>
      </c>
      <c r="G277" s="6" t="str">
        <f>VLOOKUP($B277,Chronologie[],COLUMN(G278)-2,TRUE)</f>
        <v>L</v>
      </c>
      <c r="H277" s="6">
        <f>VLOOKUP($B277,Chronologie[],COLUMN(H278)-2,TRUE)</f>
        <v>2</v>
      </c>
      <c r="I277" s="10" t="str">
        <f>VLOOKUP($B277,Chronologie[],2,TRUE)</f>
        <v>Z-L-2</v>
      </c>
      <c r="J277" s="243">
        <f>VLOOKUP($B277,Chronologie[],3,TRUE)</f>
        <v>45942</v>
      </c>
      <c r="K277" s="237" t="s">
        <v>661</v>
      </c>
      <c r="L277" s="237">
        <v>81</v>
      </c>
      <c r="M277" s="237">
        <v>78</v>
      </c>
      <c r="N277" s="237">
        <v>84</v>
      </c>
      <c r="O277" s="237">
        <v>80</v>
      </c>
      <c r="P277" s="237">
        <v>33</v>
      </c>
      <c r="Q277" s="237">
        <v>45</v>
      </c>
      <c r="R277" s="237">
        <v>59</v>
      </c>
      <c r="S277" s="237">
        <v>36</v>
      </c>
      <c r="T277" s="237">
        <v>3</v>
      </c>
      <c r="U277" s="237">
        <v>1</v>
      </c>
      <c r="V277" s="237">
        <v>1</v>
      </c>
      <c r="W277" s="237">
        <v>1</v>
      </c>
      <c r="X277" s="38">
        <v>0</v>
      </c>
      <c r="Y277" s="38">
        <v>1</v>
      </c>
      <c r="Z277" s="38">
        <v>1</v>
      </c>
      <c r="AA277" s="38">
        <v>0</v>
      </c>
      <c r="AB277" s="91">
        <v>523</v>
      </c>
      <c r="AC277" s="94">
        <f>IF(Eingabe[[#This Row],[V1]]="",IF(Eingabe[[#This Row],[Volle alternativ]]="","",Eingabe[[#This Row],[Volle alternativ]]),SUM(Eingabe[[#This Row],[V1]:[V4]]))</f>
        <v>323</v>
      </c>
      <c r="AD277" s="6">
        <f>IF(Eingabe[[#This Row],[R1]]="",IF(Eingabe[[#This Row],[Räumer alternativ]]="","",Eingabe[[#This Row],[Räumer alternativ]]),SUM(Eingabe[[#This Row],[R1]:[R4]]))</f>
        <v>173</v>
      </c>
      <c r="AE277" s="6">
        <f>IF(Eingabe[[#This Row],[F1]]="",IF(Eingabe[[#This Row],[Fehler alternativ]]="","",Eingabe[[#This Row],[Fehler alternativ]]),SUM(Eingabe[[#This Row],[F1]:[F4]]))</f>
        <v>6</v>
      </c>
      <c r="AF277" s="6">
        <f>IF(Eingabe[[#This Row],[Volle]]="","",IF(Eingabe[[#This Row],[S1]]="",Eingabe[[#This Row],[Volle]]+Eingabe[[#This Row],[Räumer]],IF(Eingabe[[#This Row],[Volle]]+Eingabe[[#This Row],[Räumer]]=Eingabe[[#This Row],[S1]]+Eingabe[[#This Row],[S2]]+Eingabe[[#This Row],[S3]]+Eingabe[[#This Row],[S4]],Eingabe[[#This Row],[Volle]]+Eingabe[[#This Row],[Räumer]],"FEHLER")))</f>
        <v>496</v>
      </c>
      <c r="AG277" s="6">
        <f>IF(Eingabe[[#This Row],[V1]]="","",Eingabe[[#This Row],[V1]]+Eingabe[[#This Row],[R1]])</f>
        <v>114</v>
      </c>
      <c r="AH277" s="6">
        <f>IF(Eingabe[[#This Row],[V2]]="","",Eingabe[[#This Row],[V2]]+Eingabe[[#This Row],[R2]])</f>
        <v>123</v>
      </c>
      <c r="AI277" s="6">
        <f>IF(Eingabe[[#This Row],[V3]]="","",Eingabe[[#This Row],[V3]]+Eingabe[[#This Row],[R3]])</f>
        <v>143</v>
      </c>
      <c r="AJ277" s="6">
        <f>IF(Eingabe[[#This Row],[V4]]="","",Eingabe[[#This Row],[V4]]+Eingabe[[#This Row],[R4]])</f>
        <v>116</v>
      </c>
      <c r="AK277" s="6">
        <f>IF(Eingabe[[#This Row],[S1P]]="","",Eingabe[[#This Row],[S1P]]+Eingabe[[#This Row],[S2P]]+Eingabe[[#This Row],[S3P]]+Eingabe[[#This Row],[S4P]])</f>
        <v>2</v>
      </c>
      <c r="AL277" s="6">
        <f>IF(Eingabe[[#This Row],[S1P]]="","",IF(Eingabe[[#This Row],[SP]]&gt;2,1,IF(Eingabe[[#This Row],[SP]]&lt;2,0,IF(Eingabe[[#This Row],[GES]]&gt;Eingabe[[#This Row],[GEGGES]],1,IF(Eingabe[[#This Row],[GES]]=Eingabe[[#This Row],[GEGGES]],0.5,0)))))</f>
        <v>0</v>
      </c>
      <c r="AM277" s="6">
        <f>IF(Eingabe[[#This Row],[MP]]="","",MOD(ROW(Eingabe[[#This Row],[Position]])-3,6)+1)</f>
        <v>5</v>
      </c>
      <c r="AN277" s="6">
        <f>STANDARDIZE(Eingabe[[#This Row],[GES]],Eingabe[[#This Row],[Schnitt]],VLOOKUP(Eingabe[[#This Row],[Name]],AuswertungG[],21,FALSE))</f>
        <v>-0.96296296296296291</v>
      </c>
      <c r="AO277" s="6">
        <f>VLOOKUP(Eingabe[[#This Row],[ID]],Chronologie[[ID]:[KW]],12,FALSE)</f>
        <v>7</v>
      </c>
      <c r="AP277" s="95" t="str">
        <f>IF(Eingabe[[#This Row],[Wo]]="H",Eingabe[[#This Row],[Gegner]]&amp;" ["&amp;Eingabe[[#This Row],[Wo]]&amp;"]",Eingabe[[#This Row],[Ort]])</f>
        <v>SG Motor Thurm [H]</v>
      </c>
      <c r="AQ277" s="6">
        <f>IFERROR(IF(Eingabe[[#This Row],[Wo]]="H",IF(MOD(Eingabe[[#This Row],[Position]],2)=1,Eingabe[[#This Row],[S1]],Eingabe[[#This Row],[S4]]),""),"")</f>
        <v>114</v>
      </c>
      <c r="AR277" s="6">
        <f>IFERROR(IF(Eingabe[[#This Row],[Wo]]="H",IF(Eingabe[[#This Row],[S1]]&gt;0,IF(MOD(Eingabe[[#This Row],[Position]],2)=1,Eingabe[[#This Row],[S2]],Eingabe[[#This Row],[S3]]),""),""),"")</f>
        <v>123</v>
      </c>
      <c r="AS277" s="6">
        <f>IFERROR(IF(Eingabe[[#This Row],[Wo]]="H",IF(Eingabe[[#This Row],[S1]]&gt;0,IF(MOD(ROW(Eingabe[[#This Row],[Heimbahn 3]]),2)=1,Eingabe[[#This Row],[S4]],Eingabe[[#This Row],[S1]]),""),""),"")</f>
        <v>116</v>
      </c>
      <c r="AT277" s="6">
        <f>IFERROR(IF(Eingabe[[#This Row],[Wo]]="H",IF(Eingabe[[#This Row],[S1]]&gt;0,IF(MOD(ROW(Eingabe[[#This Row],[Heimbahn 4]]),2)=1,Eingabe[[#This Row],[S3]],Eingabe[[#This Row],[S2]]),""),""),"")</f>
        <v>143</v>
      </c>
      <c r="AU277" s="22">
        <f>IF(Eingabe[[#This Row],[GES]]="","",IF(Eingabe[[#This Row],[Modus]]="L",_xlfn.RANK.EQ(Eingabe[[#This Row],[GES]],AF273:AF278),IF(Eingabe[[#This Row],[Modus]]="P",_xlfn.RANK.EQ(Eingabe[[#This Row],[GES]],AF273:AF278),"")))</f>
        <v>4</v>
      </c>
      <c r="AV277" s="6">
        <f>VLOOKUP(Eingabe[[#This Row],[Name]],AuswertungG[],8,FALSE)</f>
        <v>522</v>
      </c>
      <c r="AZ277" s="6">
        <f>IFERROR(ABS(Eingabe[[#This Row],[GES]]-Eingabe[[#This Row],[GEGGES]]),"")</f>
        <v>27</v>
      </c>
    </row>
    <row r="278" spans="1:52" ht="16.2" hidden="1" thickBot="1" x14ac:dyDescent="0.35">
      <c r="A278" s="442"/>
      <c r="B278" s="56">
        <f t="shared" si="42"/>
        <v>46</v>
      </c>
      <c r="C278" s="23" t="str">
        <f>VLOOKUP($B278,Chronologie[],7,TRUE)</f>
        <v>SG Motor Thurm</v>
      </c>
      <c r="D278" s="23" t="str">
        <f>VLOOKUP($B278,Chronologie[],8,TRUE)</f>
        <v>Hirschfeld</v>
      </c>
      <c r="E278" s="39" t="str">
        <f>VLOOKUP($B278,Chronologie[],9,TRUE)</f>
        <v>H</v>
      </c>
      <c r="F278" s="23" t="str">
        <f>VLOOKUP($B278,Chronologie[],COLUMN(F279)-2,TRUE)</f>
        <v>Z</v>
      </c>
      <c r="G278" s="23" t="str">
        <f>VLOOKUP($B278,Chronologie[],COLUMN(G279)-2,TRUE)</f>
        <v>L</v>
      </c>
      <c r="H278" s="23">
        <f>VLOOKUP($B278,Chronologie[],COLUMN(H279)-2,TRUE)</f>
        <v>2</v>
      </c>
      <c r="I278" s="13" t="str">
        <f>VLOOKUP($B278,Chronologie[],2,TRUE)</f>
        <v>Z-L-2</v>
      </c>
      <c r="J278" s="244">
        <f>VLOOKUP($B278,Chronologie[],3,TRUE)</f>
        <v>45942</v>
      </c>
      <c r="K278" s="239" t="s">
        <v>12</v>
      </c>
      <c r="L278" s="239">
        <v>92</v>
      </c>
      <c r="M278" s="239">
        <v>93</v>
      </c>
      <c r="N278" s="239">
        <v>83</v>
      </c>
      <c r="O278" s="239">
        <v>79</v>
      </c>
      <c r="P278" s="239">
        <v>33</v>
      </c>
      <c r="Q278" s="239">
        <v>34</v>
      </c>
      <c r="R278" s="239">
        <v>42</v>
      </c>
      <c r="S278" s="239">
        <v>45</v>
      </c>
      <c r="T278" s="239">
        <v>3</v>
      </c>
      <c r="U278" s="239">
        <v>2</v>
      </c>
      <c r="V278" s="239">
        <v>1</v>
      </c>
      <c r="W278" s="239">
        <v>1</v>
      </c>
      <c r="X278" s="40">
        <v>1</v>
      </c>
      <c r="Y278" s="40">
        <v>1</v>
      </c>
      <c r="Z278" s="40">
        <v>1</v>
      </c>
      <c r="AA278" s="40">
        <v>1</v>
      </c>
      <c r="AB278" s="92">
        <v>462</v>
      </c>
      <c r="AC278" s="96">
        <f>IF(Eingabe[[#This Row],[V1]]="",IF(Eingabe[[#This Row],[Volle alternativ]]="","",Eingabe[[#This Row],[Volle alternativ]]),SUM(Eingabe[[#This Row],[V1]:[V4]]))</f>
        <v>347</v>
      </c>
      <c r="AD278" s="23">
        <f>IF(Eingabe[[#This Row],[R1]]="",IF(Eingabe[[#This Row],[Räumer alternativ]]="","",Eingabe[[#This Row],[Räumer alternativ]]),SUM(Eingabe[[#This Row],[R1]:[R4]]))</f>
        <v>154</v>
      </c>
      <c r="AE278" s="23">
        <f>IF(Eingabe[[#This Row],[F1]]="",IF(Eingabe[[#This Row],[Fehler alternativ]]="","",Eingabe[[#This Row],[Fehler alternativ]]),SUM(Eingabe[[#This Row],[F1]:[F4]]))</f>
        <v>7</v>
      </c>
      <c r="AF278" s="23">
        <f>IF(Eingabe[[#This Row],[Volle]]="","",IF(Eingabe[[#This Row],[S1]]="",Eingabe[[#This Row],[Volle]]+Eingabe[[#This Row],[Räumer]],IF(Eingabe[[#This Row],[Volle]]+Eingabe[[#This Row],[Räumer]]=Eingabe[[#This Row],[S1]]+Eingabe[[#This Row],[S2]]+Eingabe[[#This Row],[S3]]+Eingabe[[#This Row],[S4]],Eingabe[[#This Row],[Volle]]+Eingabe[[#This Row],[Räumer]],"FEHLER")))</f>
        <v>501</v>
      </c>
      <c r="AG278" s="23">
        <f>IF(Eingabe[[#This Row],[V1]]="","",Eingabe[[#This Row],[V1]]+Eingabe[[#This Row],[R1]])</f>
        <v>125</v>
      </c>
      <c r="AH278" s="23">
        <f>IF(Eingabe[[#This Row],[V2]]="","",Eingabe[[#This Row],[V2]]+Eingabe[[#This Row],[R2]])</f>
        <v>127</v>
      </c>
      <c r="AI278" s="23">
        <f>IF(Eingabe[[#This Row],[V3]]="","",Eingabe[[#This Row],[V3]]+Eingabe[[#This Row],[R3]])</f>
        <v>125</v>
      </c>
      <c r="AJ278" s="23">
        <f>IF(Eingabe[[#This Row],[V4]]="","",Eingabe[[#This Row],[V4]]+Eingabe[[#This Row],[R4]])</f>
        <v>124</v>
      </c>
      <c r="AK278" s="23">
        <f>IF(Eingabe[[#This Row],[S1P]]="","",Eingabe[[#This Row],[S1P]]+Eingabe[[#This Row],[S2P]]+Eingabe[[#This Row],[S3P]]+Eingabe[[#This Row],[S4P]])</f>
        <v>4</v>
      </c>
      <c r="AL278" s="23">
        <f>IF(Eingabe[[#This Row],[S1P]]="","",IF(Eingabe[[#This Row],[SP]]&gt;2,1,IF(Eingabe[[#This Row],[SP]]&lt;2,0,IF(Eingabe[[#This Row],[GES]]&gt;Eingabe[[#This Row],[GEGGES]],1,IF(Eingabe[[#This Row],[GES]]=Eingabe[[#This Row],[GEGGES]],0.5,0)))))</f>
        <v>1</v>
      </c>
      <c r="AM278" s="23">
        <f>IF(Eingabe[[#This Row],[MP]]="","",MOD(ROW(Eingabe[[#This Row],[Position]])-3,6)+1)</f>
        <v>6</v>
      </c>
      <c r="AN278" s="23">
        <f>STANDARDIZE(Eingabe[[#This Row],[GES]],Eingabe[[#This Row],[Schnitt]],VLOOKUP(Eingabe[[#This Row],[Name]],AuswertungG[],21,FALSE))</f>
        <v>-1.1481481481481481</v>
      </c>
      <c r="AO278" s="23">
        <f>VLOOKUP(Eingabe[[#This Row],[ID]],Chronologie[[ID]:[KW]],12,FALSE)</f>
        <v>7</v>
      </c>
      <c r="AP278" s="59" t="str">
        <f>IF(Eingabe[[#This Row],[Wo]]="H",Eingabe[[#This Row],[Gegner]]&amp;" ["&amp;Eingabe[[#This Row],[Wo]]&amp;"]",Eingabe[[#This Row],[Ort]])</f>
        <v>SG Motor Thurm [H]</v>
      </c>
      <c r="AQ278" s="23">
        <f>IFERROR(IF(Eingabe[[#This Row],[Wo]]="H",IF(MOD(Eingabe[[#This Row],[Position]],2)=1,Eingabe[[#This Row],[S1]],Eingabe[[#This Row],[S4]]),""),"")</f>
        <v>124</v>
      </c>
      <c r="AR278" s="23">
        <f>IFERROR(IF(Eingabe[[#This Row],[Wo]]="H",IF(Eingabe[[#This Row],[S1]]&gt;0,IF(MOD(Eingabe[[#This Row],[Position]],2)=1,Eingabe[[#This Row],[S2]],Eingabe[[#This Row],[S3]]),""),""),"")</f>
        <v>125</v>
      </c>
      <c r="AS278" s="23">
        <f>IFERROR(IF(Eingabe[[#This Row],[Wo]]="H",IF(Eingabe[[#This Row],[S1]]&gt;0,IF(MOD(ROW(Eingabe[[#This Row],[Heimbahn 3]]),2)=1,Eingabe[[#This Row],[S4]],Eingabe[[#This Row],[S1]]),""),""),"")</f>
        <v>125</v>
      </c>
      <c r="AT278" s="23">
        <f>IFERROR(IF(Eingabe[[#This Row],[Wo]]="H",IF(Eingabe[[#This Row],[S1]]&gt;0,IF(MOD(ROW(Eingabe[[#This Row],[Heimbahn 4]]),2)=1,Eingabe[[#This Row],[S3]],Eingabe[[#This Row],[S2]]),""),""),"")</f>
        <v>127</v>
      </c>
      <c r="AU278" s="89">
        <f>IF(Eingabe[[#This Row],[GES]]="","",IF(Eingabe[[#This Row],[Modus]]="L",_xlfn.RANK.EQ(Eingabe[[#This Row],[GES]],AF273:AF278),IF(Eingabe[[#This Row],[Modus]]="P",_xlfn.RANK.EQ(Eingabe[[#This Row],[GES]],AF273:AF278),"")))</f>
        <v>3</v>
      </c>
      <c r="AV278" s="6">
        <f>VLOOKUP(Eingabe[[#This Row],[Name]],AuswertungG[],8,FALSE)</f>
        <v>532</v>
      </c>
      <c r="AZ278" s="6">
        <f>IFERROR(ABS(Eingabe[[#This Row],[GES]]-Eingabe[[#This Row],[GEGGES]]),"")</f>
        <v>39</v>
      </c>
    </row>
    <row r="279" spans="1:52" ht="16.2" hidden="1" thickBot="1" x14ac:dyDescent="0.35">
      <c r="A279" s="440">
        <f t="shared" si="41"/>
        <v>47</v>
      </c>
      <c r="B279" s="55">
        <f t="shared" si="42"/>
        <v>47</v>
      </c>
      <c r="C279" s="35" t="str">
        <f>VLOOKUP($B279,Chronologie[],7,TRUE)</f>
        <v>SKV 9-Pins Stollberg III</v>
      </c>
      <c r="D279" s="35" t="str">
        <f>VLOOKUP($B279,Chronologie[],8,TRUE)</f>
        <v>Stollberg</v>
      </c>
      <c r="E279" s="36" t="str">
        <f>VLOOKUP($B279,Chronologie[],9,TRUE)</f>
        <v>A</v>
      </c>
      <c r="F279" s="35" t="str">
        <f>VLOOKUP($B279,Chronologie[],COLUMN(F280)-2,TRUE)</f>
        <v>Z</v>
      </c>
      <c r="G279" s="35" t="str">
        <f>VLOOKUP($B279,Chronologie[],COLUMN(G280)-2,TRUE)</f>
        <v>L</v>
      </c>
      <c r="H279" s="35">
        <f>VLOOKUP($B279,Chronologie[],COLUMN(H280)-2,TRUE)</f>
        <v>3</v>
      </c>
      <c r="I279" s="9" t="str">
        <f>VLOOKUP($B279,Chronologie[],2,TRUE)</f>
        <v>Z-L-3</v>
      </c>
      <c r="J279" s="242">
        <f>VLOOKUP($B279,Chronologie[],3,TRUE)</f>
        <v>45949</v>
      </c>
      <c r="K279" s="236" t="s">
        <v>465</v>
      </c>
      <c r="L279" s="334">
        <v>83</v>
      </c>
      <c r="M279" s="334">
        <v>89</v>
      </c>
      <c r="N279" s="334">
        <v>96</v>
      </c>
      <c r="O279" s="334">
        <v>88</v>
      </c>
      <c r="P279" s="334">
        <v>45</v>
      </c>
      <c r="Q279" s="334">
        <v>36</v>
      </c>
      <c r="R279" s="334">
        <v>54</v>
      </c>
      <c r="S279" s="334">
        <v>44</v>
      </c>
      <c r="T279" s="334">
        <v>2</v>
      </c>
      <c r="U279" s="334">
        <v>1</v>
      </c>
      <c r="V279" s="334">
        <v>1</v>
      </c>
      <c r="W279" s="334">
        <v>1</v>
      </c>
      <c r="X279" s="37">
        <v>0</v>
      </c>
      <c r="Y279" s="37">
        <v>0</v>
      </c>
      <c r="Z279" s="37">
        <v>1</v>
      </c>
      <c r="AA279" s="37">
        <v>0</v>
      </c>
      <c r="AB279" s="90">
        <v>563</v>
      </c>
      <c r="AC279" s="93">
        <f>IF(Eingabe[[#This Row],[V1]]="",IF(Eingabe[[#This Row],[Volle alternativ]]="","",Eingabe[[#This Row],[Volle alternativ]]),SUM(Eingabe[[#This Row],[V1]:[V4]]))</f>
        <v>356</v>
      </c>
      <c r="AD279" s="35">
        <f>IF(Eingabe[[#This Row],[R1]]="",IF(Eingabe[[#This Row],[Räumer alternativ]]="","",Eingabe[[#This Row],[Räumer alternativ]]),SUM(Eingabe[[#This Row],[R1]:[R4]]))</f>
        <v>179</v>
      </c>
      <c r="AE279" s="35">
        <f>IF(Eingabe[[#This Row],[F1]]="",IF(Eingabe[[#This Row],[Fehler alternativ]]="","",Eingabe[[#This Row],[Fehler alternativ]]),SUM(Eingabe[[#This Row],[F1]:[F4]]))</f>
        <v>5</v>
      </c>
      <c r="AF279" s="35">
        <f>IF(Eingabe[[#This Row],[Volle]]="","",IF(Eingabe[[#This Row],[S1]]="",Eingabe[[#This Row],[Volle]]+Eingabe[[#This Row],[Räumer]],IF(Eingabe[[#This Row],[Volle]]+Eingabe[[#This Row],[Räumer]]=Eingabe[[#This Row],[S1]]+Eingabe[[#This Row],[S2]]+Eingabe[[#This Row],[S3]]+Eingabe[[#This Row],[S4]],Eingabe[[#This Row],[Volle]]+Eingabe[[#This Row],[Räumer]],"FEHLER")))</f>
        <v>535</v>
      </c>
      <c r="AG279" s="35">
        <f>IF(Eingabe[[#This Row],[V1]]="","",Eingabe[[#This Row],[V1]]+Eingabe[[#This Row],[R1]])</f>
        <v>128</v>
      </c>
      <c r="AH279" s="35">
        <f>IF(Eingabe[[#This Row],[V2]]="","",Eingabe[[#This Row],[V2]]+Eingabe[[#This Row],[R2]])</f>
        <v>125</v>
      </c>
      <c r="AI279" s="35">
        <f>IF(Eingabe[[#This Row],[V3]]="","",Eingabe[[#This Row],[V3]]+Eingabe[[#This Row],[R3]])</f>
        <v>150</v>
      </c>
      <c r="AJ279" s="35">
        <f>IF(Eingabe[[#This Row],[V4]]="","",Eingabe[[#This Row],[V4]]+Eingabe[[#This Row],[R4]])</f>
        <v>132</v>
      </c>
      <c r="AK279" s="35">
        <f>IF(Eingabe[[#This Row],[S1P]]="","",Eingabe[[#This Row],[S1P]]+Eingabe[[#This Row],[S2P]]+Eingabe[[#This Row],[S3P]]+Eingabe[[#This Row],[S4P]])</f>
        <v>1</v>
      </c>
      <c r="AL279" s="35">
        <f>IF(Eingabe[[#This Row],[S1P]]="","",IF(Eingabe[[#This Row],[SP]]&gt;2,1,IF(Eingabe[[#This Row],[SP]]&lt;2,0,IF(Eingabe[[#This Row],[GES]]&gt;Eingabe[[#This Row],[GEGGES]],1,IF(Eingabe[[#This Row],[GES]]=Eingabe[[#This Row],[GEGGES]],0.5,0)))))</f>
        <v>0</v>
      </c>
      <c r="AM279" s="35">
        <f>IF(Eingabe[[#This Row],[MP]]="","",MOD(ROW(Eingabe[[#This Row],[Position]])-3,6)+1)</f>
        <v>1</v>
      </c>
      <c r="AN279" s="35">
        <f>STANDARDIZE(Eingabe[[#This Row],[GES]],Eingabe[[#This Row],[Schnitt]],VLOOKUP(Eingabe[[#This Row],[Name]],AuswertungG[],21,FALSE))</f>
        <v>0.39130434782608697</v>
      </c>
      <c r="AO279" s="35">
        <f>VLOOKUP(Eingabe[[#This Row],[ID]],Chronologie[[ID]:[KW]],12,FALSE)</f>
        <v>8</v>
      </c>
      <c r="AP279" s="58" t="str">
        <f>IF(Eingabe[[#This Row],[Wo]]="H",Eingabe[[#This Row],[Gegner]]&amp;" ["&amp;Eingabe[[#This Row],[Wo]]&amp;"]",Eingabe[[#This Row],[Ort]])</f>
        <v>Stollberg</v>
      </c>
      <c r="AQ279" s="35" t="str">
        <f>IFERROR(IF(Eingabe[[#This Row],[Wo]]="H",IF(MOD(Eingabe[[#This Row],[Position]],2)=1,Eingabe[[#This Row],[S1]],Eingabe[[#This Row],[S4]]),""),"")</f>
        <v/>
      </c>
      <c r="AR279" s="35" t="str">
        <f>IFERROR(IF(Eingabe[[#This Row],[Wo]]="H",IF(Eingabe[[#This Row],[S1]]&gt;0,IF(MOD(Eingabe[[#This Row],[Position]],2)=1,Eingabe[[#This Row],[S2]],Eingabe[[#This Row],[S3]]),""),""),"")</f>
        <v/>
      </c>
      <c r="AS279" s="35" t="str">
        <f>IFERROR(IF(Eingabe[[#This Row],[Wo]]="H",IF(Eingabe[[#This Row],[S1]]&gt;0,IF(MOD(ROW(Eingabe[[#This Row],[Heimbahn 3]]),2)=1,Eingabe[[#This Row],[S4]],Eingabe[[#This Row],[S1]]),""),""),"")</f>
        <v/>
      </c>
      <c r="AT279" s="35" t="str">
        <f>IFERROR(IF(Eingabe[[#This Row],[Wo]]="H",IF(Eingabe[[#This Row],[S1]]&gt;0,IF(MOD(ROW(Eingabe[[#This Row],[Heimbahn 4]]),2)=1,Eingabe[[#This Row],[S3]],Eingabe[[#This Row],[S2]]),""),""),"")</f>
        <v/>
      </c>
      <c r="AU279" s="88">
        <f>IF(Eingabe[[#This Row],[GES]]="","",IF(Eingabe[[#This Row],[Modus]]="L",_xlfn.RANK.EQ(Eingabe[[#This Row],[GES]],AF279:AF284),IF(Eingabe[[#This Row],[Modus]]="P",_xlfn.RANK.EQ(Eingabe[[#This Row],[GES]],AF279:AF284),"")))</f>
        <v>3</v>
      </c>
      <c r="AV279" s="6">
        <f>VLOOKUP(Eingabe[[#This Row],[Name]],AuswertungG[],8,FALSE)</f>
        <v>526</v>
      </c>
      <c r="AZ279" s="6">
        <f>IFERROR(ABS(Eingabe[[#This Row],[GES]]-Eingabe[[#This Row],[GEGGES]]),"")</f>
        <v>28</v>
      </c>
    </row>
    <row r="280" spans="1:52" ht="16.2" hidden="1" thickBot="1" x14ac:dyDescent="0.35">
      <c r="A280" s="441"/>
      <c r="B280" s="21">
        <f t="shared" si="42"/>
        <v>47</v>
      </c>
      <c r="C280" s="6" t="str">
        <f>VLOOKUP($B280,Chronologie[],7,TRUE)</f>
        <v>SKV 9-Pins Stollberg III</v>
      </c>
      <c r="D280" s="6" t="str">
        <f>VLOOKUP($B280,Chronologie[],8,TRUE)</f>
        <v>Stollberg</v>
      </c>
      <c r="E280" s="240" t="str">
        <f>VLOOKUP($B280,Chronologie[],9,TRUE)</f>
        <v>A</v>
      </c>
      <c r="F280" s="6" t="str">
        <f>VLOOKUP($B280,Chronologie[],COLUMN(F281)-2,TRUE)</f>
        <v>Z</v>
      </c>
      <c r="G280" s="6" t="str">
        <f>VLOOKUP($B280,Chronologie[],COLUMN(G281)-2,TRUE)</f>
        <v>L</v>
      </c>
      <c r="H280" s="6">
        <f>VLOOKUP($B280,Chronologie[],COLUMN(H281)-2,TRUE)</f>
        <v>3</v>
      </c>
      <c r="I280" s="10" t="str">
        <f>VLOOKUP($B280,Chronologie[],2,TRUE)</f>
        <v>Z-L-3</v>
      </c>
      <c r="J280" s="243">
        <f>VLOOKUP($B280,Chronologie[],3,TRUE)</f>
        <v>45949</v>
      </c>
      <c r="K280" s="237" t="s">
        <v>661</v>
      </c>
      <c r="L280" s="237">
        <v>89</v>
      </c>
      <c r="M280" s="237">
        <v>84</v>
      </c>
      <c r="N280" s="237">
        <v>98</v>
      </c>
      <c r="O280" s="237">
        <v>87</v>
      </c>
      <c r="P280" s="237">
        <v>52</v>
      </c>
      <c r="Q280" s="237">
        <v>43</v>
      </c>
      <c r="R280" s="237">
        <v>24</v>
      </c>
      <c r="S280" s="237">
        <v>27</v>
      </c>
      <c r="T280" s="237">
        <v>1</v>
      </c>
      <c r="U280" s="237">
        <v>1</v>
      </c>
      <c r="V280" s="237">
        <v>4</v>
      </c>
      <c r="W280" s="237">
        <v>3</v>
      </c>
      <c r="X280" s="38">
        <v>1</v>
      </c>
      <c r="Y280" s="38">
        <v>0</v>
      </c>
      <c r="Z280" s="38">
        <v>0</v>
      </c>
      <c r="AA280" s="38">
        <v>0</v>
      </c>
      <c r="AB280" s="91">
        <v>522</v>
      </c>
      <c r="AC280" s="94">
        <f>IF(Eingabe[[#This Row],[V1]]="",IF(Eingabe[[#This Row],[Volle alternativ]]="","",Eingabe[[#This Row],[Volle alternativ]]),SUM(Eingabe[[#This Row],[V1]:[V4]]))</f>
        <v>358</v>
      </c>
      <c r="AD280" s="6">
        <f>IF(Eingabe[[#This Row],[R1]]="",IF(Eingabe[[#This Row],[Räumer alternativ]]="","",Eingabe[[#This Row],[Räumer alternativ]]),SUM(Eingabe[[#This Row],[R1]:[R4]]))</f>
        <v>146</v>
      </c>
      <c r="AE280" s="6">
        <f>IF(Eingabe[[#This Row],[F1]]="",IF(Eingabe[[#This Row],[Fehler alternativ]]="","",Eingabe[[#This Row],[Fehler alternativ]]),SUM(Eingabe[[#This Row],[F1]:[F4]]))</f>
        <v>9</v>
      </c>
      <c r="AF280" s="6">
        <f>IF(Eingabe[[#This Row],[Volle]]="","",IF(Eingabe[[#This Row],[S1]]="",Eingabe[[#This Row],[Volle]]+Eingabe[[#This Row],[Räumer]],IF(Eingabe[[#This Row],[Volle]]+Eingabe[[#This Row],[Räumer]]=Eingabe[[#This Row],[S1]]+Eingabe[[#This Row],[S2]]+Eingabe[[#This Row],[S3]]+Eingabe[[#This Row],[S4]],Eingabe[[#This Row],[Volle]]+Eingabe[[#This Row],[Räumer]],"FEHLER")))</f>
        <v>504</v>
      </c>
      <c r="AG280" s="6">
        <f>IF(Eingabe[[#This Row],[V1]]="","",Eingabe[[#This Row],[V1]]+Eingabe[[#This Row],[R1]])</f>
        <v>141</v>
      </c>
      <c r="AH280" s="6">
        <f>IF(Eingabe[[#This Row],[V2]]="","",Eingabe[[#This Row],[V2]]+Eingabe[[#This Row],[R2]])</f>
        <v>127</v>
      </c>
      <c r="AI280" s="6">
        <f>IF(Eingabe[[#This Row],[V3]]="","",Eingabe[[#This Row],[V3]]+Eingabe[[#This Row],[R3]])</f>
        <v>122</v>
      </c>
      <c r="AJ280" s="6">
        <f>IF(Eingabe[[#This Row],[V4]]="","",Eingabe[[#This Row],[V4]]+Eingabe[[#This Row],[R4]])</f>
        <v>114</v>
      </c>
      <c r="AK280" s="6">
        <f>IF(Eingabe[[#This Row],[S1P]]="","",Eingabe[[#This Row],[S1P]]+Eingabe[[#This Row],[S2P]]+Eingabe[[#This Row],[S3P]]+Eingabe[[#This Row],[S4P]])</f>
        <v>1</v>
      </c>
      <c r="AL280" s="6">
        <f>IF(Eingabe[[#This Row],[S1P]]="","",IF(Eingabe[[#This Row],[SP]]&gt;2,1,IF(Eingabe[[#This Row],[SP]]&lt;2,0,IF(Eingabe[[#This Row],[GES]]&gt;Eingabe[[#This Row],[GEGGES]],1,IF(Eingabe[[#This Row],[GES]]=Eingabe[[#This Row],[GEGGES]],0.5,0)))))</f>
        <v>0</v>
      </c>
      <c r="AM280" s="6">
        <f>IF(Eingabe[[#This Row],[MP]]="","",MOD(ROW(Eingabe[[#This Row],[Position]])-3,6)+1)</f>
        <v>2</v>
      </c>
      <c r="AN280" s="6">
        <f>STANDARDIZE(Eingabe[[#This Row],[GES]],Eingabe[[#This Row],[Schnitt]],VLOOKUP(Eingabe[[#This Row],[Name]],AuswertungG[],21,FALSE))</f>
        <v>-0.66666666666666663</v>
      </c>
      <c r="AO280" s="6">
        <f>VLOOKUP(Eingabe[[#This Row],[ID]],Chronologie[[ID]:[KW]],12,FALSE)</f>
        <v>8</v>
      </c>
      <c r="AP280" s="95" t="str">
        <f>IF(Eingabe[[#This Row],[Wo]]="H",Eingabe[[#This Row],[Gegner]]&amp;" ["&amp;Eingabe[[#This Row],[Wo]]&amp;"]",Eingabe[[#This Row],[Ort]])</f>
        <v>Stollberg</v>
      </c>
      <c r="AQ280" s="6" t="str">
        <f>IFERROR(IF(Eingabe[[#This Row],[Wo]]="H",IF(MOD(Eingabe[[#This Row],[Position]],2)=1,Eingabe[[#This Row],[S1]],Eingabe[[#This Row],[S4]]),""),"")</f>
        <v/>
      </c>
      <c r="AR280" s="6" t="str">
        <f>IFERROR(IF(Eingabe[[#This Row],[Wo]]="H",IF(Eingabe[[#This Row],[S1]]&gt;0,IF(MOD(Eingabe[[#This Row],[Position]],2)=1,Eingabe[[#This Row],[S2]],Eingabe[[#This Row],[S3]]),""),""),"")</f>
        <v/>
      </c>
      <c r="AS280" s="6" t="str">
        <f>IFERROR(IF(Eingabe[[#This Row],[Wo]]="H",IF(Eingabe[[#This Row],[S1]]&gt;0,IF(MOD(ROW(Eingabe[[#This Row],[Heimbahn 3]]),2)=1,Eingabe[[#This Row],[S4]],Eingabe[[#This Row],[S1]]),""),""),"")</f>
        <v/>
      </c>
      <c r="AT280" s="6" t="str">
        <f>IFERROR(IF(Eingabe[[#This Row],[Wo]]="H",IF(Eingabe[[#This Row],[S1]]&gt;0,IF(MOD(ROW(Eingabe[[#This Row],[Heimbahn 4]]),2)=1,Eingabe[[#This Row],[S3]],Eingabe[[#This Row],[S2]]),""),""),"")</f>
        <v/>
      </c>
      <c r="AU280" s="22">
        <f>IF(Eingabe[[#This Row],[GES]]="","",IF(Eingabe[[#This Row],[Modus]]="L",_xlfn.RANK.EQ(Eingabe[[#This Row],[GES]],AF279:AF284),IF(Eingabe[[#This Row],[Modus]]="P",_xlfn.RANK.EQ(Eingabe[[#This Row],[GES]],AF279:AF284),"")))</f>
        <v>6</v>
      </c>
      <c r="AV280" s="6">
        <f>VLOOKUP(Eingabe[[#This Row],[Name]],AuswertungG[],8,FALSE)</f>
        <v>522</v>
      </c>
      <c r="AZ280" s="6">
        <f>IFERROR(ABS(Eingabe[[#This Row],[GES]]-Eingabe[[#This Row],[GEGGES]]),"")</f>
        <v>18</v>
      </c>
    </row>
    <row r="281" spans="1:52" ht="16.2" hidden="1" thickBot="1" x14ac:dyDescent="0.35">
      <c r="A281" s="441"/>
      <c r="B281" s="21">
        <f t="shared" si="42"/>
        <v>47</v>
      </c>
      <c r="C281" s="6" t="str">
        <f>VLOOKUP($B281,Chronologie[],7,TRUE)</f>
        <v>SKV 9-Pins Stollberg III</v>
      </c>
      <c r="D281" s="6" t="str">
        <f>VLOOKUP($B281,Chronologie[],8,TRUE)</f>
        <v>Stollberg</v>
      </c>
      <c r="E281" s="240" t="str">
        <f>VLOOKUP($B281,Chronologie[],9,TRUE)</f>
        <v>A</v>
      </c>
      <c r="F281" s="6" t="str">
        <f>VLOOKUP($B281,Chronologie[],COLUMN(F282)-2,TRUE)</f>
        <v>Z</v>
      </c>
      <c r="G281" s="6" t="str">
        <f>VLOOKUP($B281,Chronologie[],COLUMN(G282)-2,TRUE)</f>
        <v>L</v>
      </c>
      <c r="H281" s="6">
        <f>VLOOKUP($B281,Chronologie[],COLUMN(H282)-2,TRUE)</f>
        <v>3</v>
      </c>
      <c r="I281" s="10" t="str">
        <f>VLOOKUP($B281,Chronologie[],2,TRUE)</f>
        <v>Z-L-3</v>
      </c>
      <c r="J281" s="243">
        <f>VLOOKUP($B281,Chronologie[],3,TRUE)</f>
        <v>45949</v>
      </c>
      <c r="K281" s="237" t="s">
        <v>12</v>
      </c>
      <c r="L281" s="237">
        <v>103</v>
      </c>
      <c r="M281" s="237">
        <v>84</v>
      </c>
      <c r="N281" s="237">
        <v>99</v>
      </c>
      <c r="O281" s="237">
        <v>106</v>
      </c>
      <c r="P281" s="237">
        <v>63</v>
      </c>
      <c r="Q281" s="237">
        <v>35</v>
      </c>
      <c r="R281" s="237">
        <v>35</v>
      </c>
      <c r="S281" s="237">
        <v>52</v>
      </c>
      <c r="T281" s="237">
        <v>3</v>
      </c>
      <c r="U281" s="237">
        <v>3</v>
      </c>
      <c r="V281" s="237">
        <v>3</v>
      </c>
      <c r="W281" s="237">
        <v>4</v>
      </c>
      <c r="X281" s="38">
        <v>1</v>
      </c>
      <c r="Y281" s="38">
        <v>0</v>
      </c>
      <c r="Z281" s="38">
        <v>1</v>
      </c>
      <c r="AA281" s="38">
        <v>0</v>
      </c>
      <c r="AB281" s="91">
        <v>555</v>
      </c>
      <c r="AC281" s="94">
        <f>IF(Eingabe[[#This Row],[V1]]="",IF(Eingabe[[#This Row],[Volle alternativ]]="","",Eingabe[[#This Row],[Volle alternativ]]),SUM(Eingabe[[#This Row],[V1]:[V4]]))</f>
        <v>392</v>
      </c>
      <c r="AD281" s="6">
        <f>IF(Eingabe[[#This Row],[R1]]="",IF(Eingabe[[#This Row],[Räumer alternativ]]="","",Eingabe[[#This Row],[Räumer alternativ]]),SUM(Eingabe[[#This Row],[R1]:[R4]]))</f>
        <v>185</v>
      </c>
      <c r="AE281" s="6">
        <f>IF(Eingabe[[#This Row],[F1]]="",IF(Eingabe[[#This Row],[Fehler alternativ]]="","",Eingabe[[#This Row],[Fehler alternativ]]),SUM(Eingabe[[#This Row],[F1]:[F4]]))</f>
        <v>13</v>
      </c>
      <c r="AF281" s="6">
        <f>IF(Eingabe[[#This Row],[Volle]]="","",IF(Eingabe[[#This Row],[S1]]="",Eingabe[[#This Row],[Volle]]+Eingabe[[#This Row],[Räumer]],IF(Eingabe[[#This Row],[Volle]]+Eingabe[[#This Row],[Räumer]]=Eingabe[[#This Row],[S1]]+Eingabe[[#This Row],[S2]]+Eingabe[[#This Row],[S3]]+Eingabe[[#This Row],[S4]],Eingabe[[#This Row],[Volle]]+Eingabe[[#This Row],[Räumer]],"FEHLER")))</f>
        <v>577</v>
      </c>
      <c r="AG281" s="6">
        <f>IF(Eingabe[[#This Row],[V1]]="","",Eingabe[[#This Row],[V1]]+Eingabe[[#This Row],[R1]])</f>
        <v>166</v>
      </c>
      <c r="AH281" s="6">
        <f>IF(Eingabe[[#This Row],[V2]]="","",Eingabe[[#This Row],[V2]]+Eingabe[[#This Row],[R2]])</f>
        <v>119</v>
      </c>
      <c r="AI281" s="6">
        <f>IF(Eingabe[[#This Row],[V3]]="","",Eingabe[[#This Row],[V3]]+Eingabe[[#This Row],[R3]])</f>
        <v>134</v>
      </c>
      <c r="AJ281" s="6">
        <f>IF(Eingabe[[#This Row],[V4]]="","",Eingabe[[#This Row],[V4]]+Eingabe[[#This Row],[R4]])</f>
        <v>158</v>
      </c>
      <c r="AK281" s="6">
        <f>IF(Eingabe[[#This Row],[S1P]]="","",Eingabe[[#This Row],[S1P]]+Eingabe[[#This Row],[S2P]]+Eingabe[[#This Row],[S3P]]+Eingabe[[#This Row],[S4P]])</f>
        <v>2</v>
      </c>
      <c r="AL281" s="6">
        <f>IF(Eingabe[[#This Row],[S1P]]="","",IF(Eingabe[[#This Row],[SP]]&gt;2,1,IF(Eingabe[[#This Row],[SP]]&lt;2,0,IF(Eingabe[[#This Row],[GES]]&gt;Eingabe[[#This Row],[GEGGES]],1,IF(Eingabe[[#This Row],[GES]]=Eingabe[[#This Row],[GEGGES]],0.5,0)))))</f>
        <v>1</v>
      </c>
      <c r="AM281" s="6">
        <f>IF(Eingabe[[#This Row],[MP]]="","",MOD(ROW(Eingabe[[#This Row],[Position]])-3,6)+1)</f>
        <v>3</v>
      </c>
      <c r="AN281" s="6">
        <f>STANDARDIZE(Eingabe[[#This Row],[GES]],Eingabe[[#This Row],[Schnitt]],VLOOKUP(Eingabe[[#This Row],[Name]],AuswertungG[],21,FALSE))</f>
        <v>1.6666666666666667</v>
      </c>
      <c r="AO281" s="6">
        <f>VLOOKUP(Eingabe[[#This Row],[ID]],Chronologie[[ID]:[KW]],12,FALSE)</f>
        <v>8</v>
      </c>
      <c r="AP281" s="95" t="str">
        <f>IF(Eingabe[[#This Row],[Wo]]="H",Eingabe[[#This Row],[Gegner]]&amp;" ["&amp;Eingabe[[#This Row],[Wo]]&amp;"]",Eingabe[[#This Row],[Ort]])</f>
        <v>Stollberg</v>
      </c>
      <c r="AQ281" s="6" t="str">
        <f>IFERROR(IF(Eingabe[[#This Row],[Wo]]="H",IF(MOD(Eingabe[[#This Row],[Position]],2)=1,Eingabe[[#This Row],[S1]],Eingabe[[#This Row],[S4]]),""),"")</f>
        <v/>
      </c>
      <c r="AR281" s="6" t="str">
        <f>IFERROR(IF(Eingabe[[#This Row],[Wo]]="H",IF(Eingabe[[#This Row],[S1]]&gt;0,IF(MOD(Eingabe[[#This Row],[Position]],2)=1,Eingabe[[#This Row],[S2]],Eingabe[[#This Row],[S3]]),""),""),"")</f>
        <v/>
      </c>
      <c r="AS281" s="6" t="str">
        <f>IFERROR(IF(Eingabe[[#This Row],[Wo]]="H",IF(Eingabe[[#This Row],[S1]]&gt;0,IF(MOD(ROW(Eingabe[[#This Row],[Heimbahn 3]]),2)=1,Eingabe[[#This Row],[S4]],Eingabe[[#This Row],[S1]]),""),""),"")</f>
        <v/>
      </c>
      <c r="AT281" s="6" t="str">
        <f>IFERROR(IF(Eingabe[[#This Row],[Wo]]="H",IF(Eingabe[[#This Row],[S1]]&gt;0,IF(MOD(ROW(Eingabe[[#This Row],[Heimbahn 4]]),2)=1,Eingabe[[#This Row],[S3]],Eingabe[[#This Row],[S2]]),""),""),"")</f>
        <v/>
      </c>
      <c r="AU281" s="22">
        <f>IF(Eingabe[[#This Row],[GES]]="","",IF(Eingabe[[#This Row],[Modus]]="L",_xlfn.RANK.EQ(Eingabe[[#This Row],[GES]],AF279:AF284),IF(Eingabe[[#This Row],[Modus]]="P",_xlfn.RANK.EQ(Eingabe[[#This Row],[GES]],AF279:AF284),"")))</f>
        <v>1</v>
      </c>
      <c r="AV281" s="6">
        <f>VLOOKUP(Eingabe[[#This Row],[Name]],AuswertungG[],8,FALSE)</f>
        <v>532</v>
      </c>
      <c r="AZ281" s="6">
        <f>IFERROR(ABS(Eingabe[[#This Row],[GES]]-Eingabe[[#This Row],[GEGGES]]),"")</f>
        <v>22</v>
      </c>
    </row>
    <row r="282" spans="1:52" ht="16.2" hidden="1" thickBot="1" x14ac:dyDescent="0.35">
      <c r="A282" s="441"/>
      <c r="B282" s="21">
        <f t="shared" si="42"/>
        <v>47</v>
      </c>
      <c r="C282" s="6" t="str">
        <f>VLOOKUP($B282,Chronologie[],7,TRUE)</f>
        <v>SKV 9-Pins Stollberg III</v>
      </c>
      <c r="D282" s="6" t="str">
        <f>VLOOKUP($B282,Chronologie[],8,TRUE)</f>
        <v>Stollberg</v>
      </c>
      <c r="E282" s="240" t="str">
        <f>VLOOKUP($B282,Chronologie[],9,TRUE)</f>
        <v>A</v>
      </c>
      <c r="F282" s="6" t="str">
        <f>VLOOKUP($B282,Chronologie[],COLUMN(F283)-2,TRUE)</f>
        <v>Z</v>
      </c>
      <c r="G282" s="6" t="str">
        <f>VLOOKUP($B282,Chronologie[],COLUMN(G283)-2,TRUE)</f>
        <v>L</v>
      </c>
      <c r="H282" s="6">
        <f>VLOOKUP($B282,Chronologie[],COLUMN(H283)-2,TRUE)</f>
        <v>3</v>
      </c>
      <c r="I282" s="10" t="str">
        <f>VLOOKUP($B282,Chronologie[],2,TRUE)</f>
        <v>Z-L-3</v>
      </c>
      <c r="J282" s="243">
        <f>VLOOKUP($B282,Chronologie[],3,TRUE)</f>
        <v>45949</v>
      </c>
      <c r="K282" s="238" t="s">
        <v>490</v>
      </c>
      <c r="L282" s="237">
        <v>83</v>
      </c>
      <c r="M282" s="237">
        <v>81</v>
      </c>
      <c r="N282" s="237">
        <v>91</v>
      </c>
      <c r="O282" s="237">
        <v>92</v>
      </c>
      <c r="P282" s="237">
        <v>36</v>
      </c>
      <c r="Q282" s="237">
        <v>40</v>
      </c>
      <c r="R282" s="237">
        <v>45</v>
      </c>
      <c r="S282" s="237">
        <v>53</v>
      </c>
      <c r="T282" s="237">
        <v>3</v>
      </c>
      <c r="U282" s="237">
        <v>4</v>
      </c>
      <c r="V282" s="237">
        <v>0</v>
      </c>
      <c r="W282" s="237">
        <v>2</v>
      </c>
      <c r="X282" s="38">
        <v>0</v>
      </c>
      <c r="Y282" s="38">
        <v>0</v>
      </c>
      <c r="Z282" s="38">
        <v>1</v>
      </c>
      <c r="AA282" s="38">
        <v>1</v>
      </c>
      <c r="AB282" s="91">
        <v>503</v>
      </c>
      <c r="AC282" s="94">
        <f>IF(Eingabe[[#This Row],[V1]]="",IF(Eingabe[[#This Row],[Volle alternativ]]="","",Eingabe[[#This Row],[Volle alternativ]]),SUM(Eingabe[[#This Row],[V1]:[V4]]))</f>
        <v>347</v>
      </c>
      <c r="AD282" s="6">
        <f>IF(Eingabe[[#This Row],[R1]]="",IF(Eingabe[[#This Row],[Räumer alternativ]]="","",Eingabe[[#This Row],[Räumer alternativ]]),SUM(Eingabe[[#This Row],[R1]:[R4]]))</f>
        <v>174</v>
      </c>
      <c r="AE282" s="6">
        <f>IF(Eingabe[[#This Row],[F1]]="",IF(Eingabe[[#This Row],[Fehler alternativ]]="","",Eingabe[[#This Row],[Fehler alternativ]]),SUM(Eingabe[[#This Row],[F1]:[F4]]))</f>
        <v>9</v>
      </c>
      <c r="AF282" s="6">
        <f>IF(Eingabe[[#This Row],[Volle]]="","",IF(Eingabe[[#This Row],[S1]]="",Eingabe[[#This Row],[Volle]]+Eingabe[[#This Row],[Räumer]],IF(Eingabe[[#This Row],[Volle]]+Eingabe[[#This Row],[Räumer]]=Eingabe[[#This Row],[S1]]+Eingabe[[#This Row],[S2]]+Eingabe[[#This Row],[S3]]+Eingabe[[#This Row],[S4]],Eingabe[[#This Row],[Volle]]+Eingabe[[#This Row],[Räumer]],"FEHLER")))</f>
        <v>521</v>
      </c>
      <c r="AG282" s="6">
        <f>IF(Eingabe[[#This Row],[V1]]="","",Eingabe[[#This Row],[V1]]+Eingabe[[#This Row],[R1]])</f>
        <v>119</v>
      </c>
      <c r="AH282" s="6">
        <f>IF(Eingabe[[#This Row],[V2]]="","",Eingabe[[#This Row],[V2]]+Eingabe[[#This Row],[R2]])</f>
        <v>121</v>
      </c>
      <c r="AI282" s="6">
        <f>IF(Eingabe[[#This Row],[V3]]="","",Eingabe[[#This Row],[V3]]+Eingabe[[#This Row],[R3]])</f>
        <v>136</v>
      </c>
      <c r="AJ282" s="6">
        <f>IF(Eingabe[[#This Row],[V4]]="","",Eingabe[[#This Row],[V4]]+Eingabe[[#This Row],[R4]])</f>
        <v>145</v>
      </c>
      <c r="AK282" s="6">
        <f>IF(Eingabe[[#This Row],[S1P]]="","",Eingabe[[#This Row],[S1P]]+Eingabe[[#This Row],[S2P]]+Eingabe[[#This Row],[S3P]]+Eingabe[[#This Row],[S4P]])</f>
        <v>2</v>
      </c>
      <c r="AL282" s="6">
        <f>IF(Eingabe[[#This Row],[S1P]]="","",IF(Eingabe[[#This Row],[SP]]&gt;2,1,IF(Eingabe[[#This Row],[SP]]&lt;2,0,IF(Eingabe[[#This Row],[GES]]&gt;Eingabe[[#This Row],[GEGGES]],1,IF(Eingabe[[#This Row],[GES]]=Eingabe[[#This Row],[GEGGES]],0.5,0)))))</f>
        <v>1</v>
      </c>
      <c r="AM282" s="6">
        <f>IF(Eingabe[[#This Row],[MP]]="","",MOD(ROW(Eingabe[[#This Row],[Position]])-3,6)+1)</f>
        <v>4</v>
      </c>
      <c r="AN282" s="6">
        <f>STANDARDIZE(Eingabe[[#This Row],[GES]],Eingabe[[#This Row],[Schnitt]],VLOOKUP(Eingabe[[#This Row],[Name]],AuswertungG[],21,FALSE))</f>
        <v>0.11764705882352941</v>
      </c>
      <c r="AO282" s="6">
        <f>VLOOKUP(Eingabe[[#This Row],[ID]],Chronologie[[ID]:[KW]],12,FALSE)</f>
        <v>8</v>
      </c>
      <c r="AP282" s="95" t="str">
        <f>IF(Eingabe[[#This Row],[Wo]]="H",Eingabe[[#This Row],[Gegner]]&amp;" ["&amp;Eingabe[[#This Row],[Wo]]&amp;"]",Eingabe[[#This Row],[Ort]])</f>
        <v>Stollberg</v>
      </c>
      <c r="AQ282" s="6" t="str">
        <f>IFERROR(IF(Eingabe[[#This Row],[Wo]]="H",IF(MOD(Eingabe[[#This Row],[Position]],2)=1,Eingabe[[#This Row],[S1]],Eingabe[[#This Row],[S4]]),""),"")</f>
        <v/>
      </c>
      <c r="AR282" s="6" t="str">
        <f>IFERROR(IF(Eingabe[[#This Row],[Wo]]="H",IF(Eingabe[[#This Row],[S1]]&gt;0,IF(MOD(Eingabe[[#This Row],[Position]],2)=1,Eingabe[[#This Row],[S2]],Eingabe[[#This Row],[S3]]),""),""),"")</f>
        <v/>
      </c>
      <c r="AS282" s="6" t="str">
        <f>IFERROR(IF(Eingabe[[#This Row],[Wo]]="H",IF(Eingabe[[#This Row],[S1]]&gt;0,IF(MOD(ROW(Eingabe[[#This Row],[Heimbahn 3]]),2)=1,Eingabe[[#This Row],[S4]],Eingabe[[#This Row],[S1]]),""),""),"")</f>
        <v/>
      </c>
      <c r="AT282" s="6" t="str">
        <f>IFERROR(IF(Eingabe[[#This Row],[Wo]]="H",IF(Eingabe[[#This Row],[S1]]&gt;0,IF(MOD(ROW(Eingabe[[#This Row],[Heimbahn 4]]),2)=1,Eingabe[[#This Row],[S3]],Eingabe[[#This Row],[S2]]),""),""),"")</f>
        <v/>
      </c>
      <c r="AU282" s="22">
        <f>IF(Eingabe[[#This Row],[GES]]="","",IF(Eingabe[[#This Row],[Modus]]="L",_xlfn.RANK.EQ(Eingabe[[#This Row],[GES]],AF279:AF284),IF(Eingabe[[#This Row],[Modus]]="P",_xlfn.RANK.EQ(Eingabe[[#This Row],[GES]],AF279:AF284),"")))</f>
        <v>5</v>
      </c>
      <c r="AV282" s="6">
        <f>VLOOKUP(Eingabe[[#This Row],[Name]],AuswertungG[],8,FALSE)</f>
        <v>515</v>
      </c>
      <c r="AZ282" s="6">
        <f>IFERROR(ABS(Eingabe[[#This Row],[GES]]-Eingabe[[#This Row],[GEGGES]]),"")</f>
        <v>18</v>
      </c>
    </row>
    <row r="283" spans="1:52" ht="16.2" hidden="1" thickBot="1" x14ac:dyDescent="0.35">
      <c r="A283" s="441"/>
      <c r="B283" s="21">
        <f t="shared" si="42"/>
        <v>47</v>
      </c>
      <c r="C283" s="6" t="str">
        <f>VLOOKUP($B283,Chronologie[],7,TRUE)</f>
        <v>SKV 9-Pins Stollberg III</v>
      </c>
      <c r="D283" s="6" t="str">
        <f>VLOOKUP($B283,Chronologie[],8,TRUE)</f>
        <v>Stollberg</v>
      </c>
      <c r="E283" s="240" t="str">
        <f>VLOOKUP($B283,Chronologie[],9,TRUE)</f>
        <v>A</v>
      </c>
      <c r="F283" s="6" t="str">
        <f>VLOOKUP($B283,Chronologie[],COLUMN(F284)-2,TRUE)</f>
        <v>Z</v>
      </c>
      <c r="G283" s="6" t="str">
        <f>VLOOKUP($B283,Chronologie[],COLUMN(G284)-2,TRUE)</f>
        <v>L</v>
      </c>
      <c r="H283" s="6">
        <f>VLOOKUP($B283,Chronologie[],COLUMN(H284)-2,TRUE)</f>
        <v>3</v>
      </c>
      <c r="I283" s="10" t="str">
        <f>VLOOKUP($B283,Chronologie[],2,TRUE)</f>
        <v>Z-L-3</v>
      </c>
      <c r="J283" s="243">
        <f>VLOOKUP($B283,Chronologie[],3,TRUE)</f>
        <v>45949</v>
      </c>
      <c r="K283" s="237" t="s">
        <v>689</v>
      </c>
      <c r="L283" s="237">
        <v>90</v>
      </c>
      <c r="M283" s="237">
        <v>95</v>
      </c>
      <c r="N283" s="237">
        <v>85</v>
      </c>
      <c r="O283" s="237">
        <v>80</v>
      </c>
      <c r="P283" s="237">
        <v>45</v>
      </c>
      <c r="Q283" s="237">
        <v>43</v>
      </c>
      <c r="R283" s="237">
        <v>51</v>
      </c>
      <c r="S283" s="237">
        <v>45</v>
      </c>
      <c r="T283" s="237">
        <v>1</v>
      </c>
      <c r="U283" s="237">
        <v>0</v>
      </c>
      <c r="V283" s="237">
        <v>3</v>
      </c>
      <c r="W283" s="237">
        <v>2</v>
      </c>
      <c r="X283" s="38">
        <v>0</v>
      </c>
      <c r="Y283" s="38">
        <v>0</v>
      </c>
      <c r="Z283" s="38">
        <v>1</v>
      </c>
      <c r="AA283" s="38">
        <v>0</v>
      </c>
      <c r="AB283" s="91">
        <v>587</v>
      </c>
      <c r="AC283" s="94">
        <f>IF(Eingabe[[#This Row],[V1]]="",IF(Eingabe[[#This Row],[Volle alternativ]]="","",Eingabe[[#This Row],[Volle alternativ]]),SUM(Eingabe[[#This Row],[V1]:[V4]]))</f>
        <v>350</v>
      </c>
      <c r="AD283" s="6">
        <f>IF(Eingabe[[#This Row],[R1]]="",IF(Eingabe[[#This Row],[Räumer alternativ]]="","",Eingabe[[#This Row],[Räumer alternativ]]),SUM(Eingabe[[#This Row],[R1]:[R4]]))</f>
        <v>184</v>
      </c>
      <c r="AE283" s="6">
        <f>IF(Eingabe[[#This Row],[F1]]="",IF(Eingabe[[#This Row],[Fehler alternativ]]="","",Eingabe[[#This Row],[Fehler alternativ]]),SUM(Eingabe[[#This Row],[F1]:[F4]]))</f>
        <v>6</v>
      </c>
      <c r="AF283" s="6">
        <f>IF(Eingabe[[#This Row],[Volle]]="","",IF(Eingabe[[#This Row],[S1]]="",Eingabe[[#This Row],[Volle]]+Eingabe[[#This Row],[Räumer]],IF(Eingabe[[#This Row],[Volle]]+Eingabe[[#This Row],[Räumer]]=Eingabe[[#This Row],[S1]]+Eingabe[[#This Row],[S2]]+Eingabe[[#This Row],[S3]]+Eingabe[[#This Row],[S4]],Eingabe[[#This Row],[Volle]]+Eingabe[[#This Row],[Räumer]],"FEHLER")))</f>
        <v>534</v>
      </c>
      <c r="AG283" s="6">
        <f>IF(Eingabe[[#This Row],[V1]]="","",Eingabe[[#This Row],[V1]]+Eingabe[[#This Row],[R1]])</f>
        <v>135</v>
      </c>
      <c r="AH283" s="6">
        <f>IF(Eingabe[[#This Row],[V2]]="","",Eingabe[[#This Row],[V2]]+Eingabe[[#This Row],[R2]])</f>
        <v>138</v>
      </c>
      <c r="AI283" s="6">
        <f>IF(Eingabe[[#This Row],[V3]]="","",Eingabe[[#This Row],[V3]]+Eingabe[[#This Row],[R3]])</f>
        <v>136</v>
      </c>
      <c r="AJ283" s="6">
        <f>IF(Eingabe[[#This Row],[V4]]="","",Eingabe[[#This Row],[V4]]+Eingabe[[#This Row],[R4]])</f>
        <v>125</v>
      </c>
      <c r="AK283" s="6">
        <f>IF(Eingabe[[#This Row],[S1P]]="","",Eingabe[[#This Row],[S1P]]+Eingabe[[#This Row],[S2P]]+Eingabe[[#This Row],[S3P]]+Eingabe[[#This Row],[S4P]])</f>
        <v>1</v>
      </c>
      <c r="AL283" s="6">
        <f>IF(Eingabe[[#This Row],[S1P]]="","",IF(Eingabe[[#This Row],[SP]]&gt;2,1,IF(Eingabe[[#This Row],[SP]]&lt;2,0,IF(Eingabe[[#This Row],[GES]]&gt;Eingabe[[#This Row],[GEGGES]],1,IF(Eingabe[[#This Row],[GES]]=Eingabe[[#This Row],[GEGGES]],0.5,0)))))</f>
        <v>0</v>
      </c>
      <c r="AM283" s="6">
        <f>IF(Eingabe[[#This Row],[MP]]="","",MOD(ROW(Eingabe[[#This Row],[Position]])-3,6)+1)</f>
        <v>5</v>
      </c>
      <c r="AN283" s="6">
        <f>STANDARDIZE(Eingabe[[#This Row],[GES]],Eingabe[[#This Row],[Schnitt]],VLOOKUP(Eingabe[[#This Row],[Name]],AuswertungG[],21,FALSE))</f>
        <v>0.32142857142857145</v>
      </c>
      <c r="AO283" s="6">
        <f>VLOOKUP(Eingabe[[#This Row],[ID]],Chronologie[[ID]:[KW]],12,FALSE)</f>
        <v>8</v>
      </c>
      <c r="AP283" s="95" t="str">
        <f>IF(Eingabe[[#This Row],[Wo]]="H",Eingabe[[#This Row],[Gegner]]&amp;" ["&amp;Eingabe[[#This Row],[Wo]]&amp;"]",Eingabe[[#This Row],[Ort]])</f>
        <v>Stollberg</v>
      </c>
      <c r="AQ283" s="6" t="str">
        <f>IFERROR(IF(Eingabe[[#This Row],[Wo]]="H",IF(MOD(Eingabe[[#This Row],[Position]],2)=1,Eingabe[[#This Row],[S1]],Eingabe[[#This Row],[S4]]),""),"")</f>
        <v/>
      </c>
      <c r="AR283" s="6" t="str">
        <f>IFERROR(IF(Eingabe[[#This Row],[Wo]]="H",IF(Eingabe[[#This Row],[S1]]&gt;0,IF(MOD(Eingabe[[#This Row],[Position]],2)=1,Eingabe[[#This Row],[S2]],Eingabe[[#This Row],[S3]]),""),""),"")</f>
        <v/>
      </c>
      <c r="AS283" s="6" t="str">
        <f>IFERROR(IF(Eingabe[[#This Row],[Wo]]="H",IF(Eingabe[[#This Row],[S1]]&gt;0,IF(MOD(ROW(Eingabe[[#This Row],[Heimbahn 3]]),2)=1,Eingabe[[#This Row],[S4]],Eingabe[[#This Row],[S1]]),""),""),"")</f>
        <v/>
      </c>
      <c r="AT283" s="6" t="str">
        <f>IFERROR(IF(Eingabe[[#This Row],[Wo]]="H",IF(Eingabe[[#This Row],[S1]]&gt;0,IF(MOD(ROW(Eingabe[[#This Row],[Heimbahn 4]]),2)=1,Eingabe[[#This Row],[S3]],Eingabe[[#This Row],[S2]]),""),""),"")</f>
        <v/>
      </c>
      <c r="AU283" s="22">
        <f>IF(Eingabe[[#This Row],[GES]]="","",IF(Eingabe[[#This Row],[Modus]]="L",_xlfn.RANK.EQ(Eingabe[[#This Row],[GES]],AF279:AF284),IF(Eingabe[[#This Row],[Modus]]="P",_xlfn.RANK.EQ(Eingabe[[#This Row],[GES]],AF279:AF284),"")))</f>
        <v>4</v>
      </c>
      <c r="AV283" s="6">
        <f>VLOOKUP(Eingabe[[#This Row],[Name]],AuswertungG[],8,FALSE)</f>
        <v>525</v>
      </c>
      <c r="AZ283" s="6">
        <f>IFERROR(ABS(Eingabe[[#This Row],[GES]]-Eingabe[[#This Row],[GEGGES]]),"")</f>
        <v>53</v>
      </c>
    </row>
    <row r="284" spans="1:52" ht="16.2" hidden="1" thickBot="1" x14ac:dyDescent="0.35">
      <c r="A284" s="442"/>
      <c r="B284" s="56">
        <f t="shared" si="42"/>
        <v>47</v>
      </c>
      <c r="C284" s="23" t="str">
        <f>VLOOKUP($B284,Chronologie[],7,TRUE)</f>
        <v>SKV 9-Pins Stollberg III</v>
      </c>
      <c r="D284" s="23" t="str">
        <f>VLOOKUP($B284,Chronologie[],8,TRUE)</f>
        <v>Stollberg</v>
      </c>
      <c r="E284" s="39" t="str">
        <f>VLOOKUP($B284,Chronologie[],9,TRUE)</f>
        <v>A</v>
      </c>
      <c r="F284" s="23" t="str">
        <f>VLOOKUP($B284,Chronologie[],COLUMN(F285)-2,TRUE)</f>
        <v>Z</v>
      </c>
      <c r="G284" s="23" t="str">
        <f>VLOOKUP($B284,Chronologie[],COLUMN(G285)-2,TRUE)</f>
        <v>L</v>
      </c>
      <c r="H284" s="23">
        <f>VLOOKUP($B284,Chronologie[],COLUMN(H285)-2,TRUE)</f>
        <v>3</v>
      </c>
      <c r="I284" s="13" t="str">
        <f>VLOOKUP($B284,Chronologie[],2,TRUE)</f>
        <v>Z-L-3</v>
      </c>
      <c r="J284" s="244">
        <f>VLOOKUP($B284,Chronologie[],3,TRUE)</f>
        <v>45949</v>
      </c>
      <c r="K284" s="239" t="s">
        <v>478</v>
      </c>
      <c r="L284" s="239">
        <v>93</v>
      </c>
      <c r="M284" s="239">
        <v>74</v>
      </c>
      <c r="N284" s="239">
        <v>83</v>
      </c>
      <c r="O284" s="239">
        <v>95</v>
      </c>
      <c r="P284" s="239">
        <v>49</v>
      </c>
      <c r="Q284" s="239">
        <v>52</v>
      </c>
      <c r="R284" s="239">
        <v>61</v>
      </c>
      <c r="S284" s="239">
        <v>61</v>
      </c>
      <c r="T284" s="239">
        <v>1</v>
      </c>
      <c r="U284" s="239">
        <v>0</v>
      </c>
      <c r="V284" s="239">
        <v>2</v>
      </c>
      <c r="W284" s="239">
        <v>0</v>
      </c>
      <c r="X284" s="40">
        <v>0</v>
      </c>
      <c r="Y284" s="40">
        <v>0</v>
      </c>
      <c r="Z284" s="40">
        <v>0</v>
      </c>
      <c r="AA284" s="40">
        <v>1</v>
      </c>
      <c r="AB284" s="92">
        <v>573</v>
      </c>
      <c r="AC284" s="96">
        <f>IF(Eingabe[[#This Row],[V1]]="",IF(Eingabe[[#This Row],[Volle alternativ]]="","",Eingabe[[#This Row],[Volle alternativ]]),SUM(Eingabe[[#This Row],[V1]:[V4]]))</f>
        <v>345</v>
      </c>
      <c r="AD284" s="23">
        <f>IF(Eingabe[[#This Row],[R1]]="",IF(Eingabe[[#This Row],[Räumer alternativ]]="","",Eingabe[[#This Row],[Räumer alternativ]]),SUM(Eingabe[[#This Row],[R1]:[R4]]))</f>
        <v>223</v>
      </c>
      <c r="AE284" s="23">
        <f>IF(Eingabe[[#This Row],[F1]]="",IF(Eingabe[[#This Row],[Fehler alternativ]]="","",Eingabe[[#This Row],[Fehler alternativ]]),SUM(Eingabe[[#This Row],[F1]:[F4]]))</f>
        <v>3</v>
      </c>
      <c r="AF284" s="23">
        <f>IF(Eingabe[[#This Row],[Volle]]="","",IF(Eingabe[[#This Row],[S1]]="",Eingabe[[#This Row],[Volle]]+Eingabe[[#This Row],[Räumer]],IF(Eingabe[[#This Row],[Volle]]+Eingabe[[#This Row],[Räumer]]=Eingabe[[#This Row],[S1]]+Eingabe[[#This Row],[S2]]+Eingabe[[#This Row],[S3]]+Eingabe[[#This Row],[S4]],Eingabe[[#This Row],[Volle]]+Eingabe[[#This Row],[Räumer]],"FEHLER")))</f>
        <v>568</v>
      </c>
      <c r="AG284" s="23">
        <f>IF(Eingabe[[#This Row],[V1]]="","",Eingabe[[#This Row],[V1]]+Eingabe[[#This Row],[R1]])</f>
        <v>142</v>
      </c>
      <c r="AH284" s="23">
        <f>IF(Eingabe[[#This Row],[V2]]="","",Eingabe[[#This Row],[V2]]+Eingabe[[#This Row],[R2]])</f>
        <v>126</v>
      </c>
      <c r="AI284" s="23">
        <f>IF(Eingabe[[#This Row],[V3]]="","",Eingabe[[#This Row],[V3]]+Eingabe[[#This Row],[R3]])</f>
        <v>144</v>
      </c>
      <c r="AJ284" s="23">
        <f>IF(Eingabe[[#This Row],[V4]]="","",Eingabe[[#This Row],[V4]]+Eingabe[[#This Row],[R4]])</f>
        <v>156</v>
      </c>
      <c r="AK284" s="23">
        <f>IF(Eingabe[[#This Row],[S1P]]="","",Eingabe[[#This Row],[S1P]]+Eingabe[[#This Row],[S2P]]+Eingabe[[#This Row],[S3P]]+Eingabe[[#This Row],[S4P]])</f>
        <v>1</v>
      </c>
      <c r="AL284" s="23">
        <f>IF(Eingabe[[#This Row],[S1P]]="","",IF(Eingabe[[#This Row],[SP]]&gt;2,1,IF(Eingabe[[#This Row],[SP]]&lt;2,0,IF(Eingabe[[#This Row],[GES]]&gt;Eingabe[[#This Row],[GEGGES]],1,IF(Eingabe[[#This Row],[GES]]=Eingabe[[#This Row],[GEGGES]],0.5,0)))))</f>
        <v>0</v>
      </c>
      <c r="AM284" s="23">
        <f>IF(Eingabe[[#This Row],[MP]]="","",MOD(ROW(Eingabe[[#This Row],[Position]])-3,6)+1)</f>
        <v>6</v>
      </c>
      <c r="AN284" s="23">
        <f>STANDARDIZE(Eingabe[[#This Row],[GES]],Eingabe[[#This Row],[Schnitt]],VLOOKUP(Eingabe[[#This Row],[Name]],AuswertungG[],21,FALSE))</f>
        <v>2</v>
      </c>
      <c r="AO284" s="23">
        <f>VLOOKUP(Eingabe[[#This Row],[ID]],Chronologie[[ID]:[KW]],12,FALSE)</f>
        <v>8</v>
      </c>
      <c r="AP284" s="59" t="str">
        <f>IF(Eingabe[[#This Row],[Wo]]="H",Eingabe[[#This Row],[Gegner]]&amp;" ["&amp;Eingabe[[#This Row],[Wo]]&amp;"]",Eingabe[[#This Row],[Ort]])</f>
        <v>Stollberg</v>
      </c>
      <c r="AQ284" s="23" t="str">
        <f>IFERROR(IF(Eingabe[[#This Row],[Wo]]="H",IF(MOD(Eingabe[[#This Row],[Position]],2)=1,Eingabe[[#This Row],[S1]],Eingabe[[#This Row],[S4]]),""),"")</f>
        <v/>
      </c>
      <c r="AR284" s="23" t="str">
        <f>IFERROR(IF(Eingabe[[#This Row],[Wo]]="H",IF(Eingabe[[#This Row],[S1]]&gt;0,IF(MOD(Eingabe[[#This Row],[Position]],2)=1,Eingabe[[#This Row],[S2]],Eingabe[[#This Row],[S3]]),""),""),"")</f>
        <v/>
      </c>
      <c r="AS284" s="23" t="str">
        <f>IFERROR(IF(Eingabe[[#This Row],[Wo]]="H",IF(Eingabe[[#This Row],[S1]]&gt;0,IF(MOD(ROW(Eingabe[[#This Row],[Heimbahn 3]]),2)=1,Eingabe[[#This Row],[S4]],Eingabe[[#This Row],[S1]]),""),""),"")</f>
        <v/>
      </c>
      <c r="AT284" s="23" t="str">
        <f>IFERROR(IF(Eingabe[[#This Row],[Wo]]="H",IF(Eingabe[[#This Row],[S1]]&gt;0,IF(MOD(ROW(Eingabe[[#This Row],[Heimbahn 4]]),2)=1,Eingabe[[#This Row],[S3]],Eingabe[[#This Row],[S2]]),""),""),"")</f>
        <v/>
      </c>
      <c r="AU284" s="89">
        <f>IF(Eingabe[[#This Row],[GES]]="","",IF(Eingabe[[#This Row],[Modus]]="L",_xlfn.RANK.EQ(Eingabe[[#This Row],[GES]],AF279:AF284),IF(Eingabe[[#This Row],[Modus]]="P",_xlfn.RANK.EQ(Eingabe[[#This Row],[GES]],AF279:AF284),"")))</f>
        <v>2</v>
      </c>
      <c r="AV284" s="6">
        <f>VLOOKUP(Eingabe[[#This Row],[Name]],AuswertungG[],8,FALSE)</f>
        <v>528</v>
      </c>
      <c r="AZ284" s="6">
        <f>IFERROR(ABS(Eingabe[[#This Row],[GES]]-Eingabe[[#This Row],[GEGGES]]),"")</f>
        <v>5</v>
      </c>
    </row>
    <row r="285" spans="1:52" ht="16.2" hidden="1" thickBot="1" x14ac:dyDescent="0.35">
      <c r="A285" s="440">
        <f t="shared" si="41"/>
        <v>48</v>
      </c>
      <c r="B285" s="55">
        <f t="shared" si="42"/>
        <v>48</v>
      </c>
      <c r="C285" s="35" t="str">
        <f>VLOOKUP($B285,Chronologie[],7,TRUE)</f>
        <v>KC "Gut Holz" Drebach</v>
      </c>
      <c r="D285" s="35" t="str">
        <f>VLOOKUP($B285,Chronologie[],8,TRUE)</f>
        <v>Hirschfeld</v>
      </c>
      <c r="E285" s="36" t="str">
        <f>VLOOKUP($B285,Chronologie[],9,TRUE)</f>
        <v>H</v>
      </c>
      <c r="F285" s="35" t="str">
        <f>VLOOKUP($B285,Chronologie[],COLUMN(F286)-2,TRUE)</f>
        <v>Z</v>
      </c>
      <c r="G285" s="35" t="str">
        <f>VLOOKUP($B285,Chronologie[],COLUMN(G286)-2,TRUE)</f>
        <v>L</v>
      </c>
      <c r="H285" s="35">
        <f>VLOOKUP($B285,Chronologie[],COLUMN(H286)-2,TRUE)</f>
        <v>4</v>
      </c>
      <c r="I285" s="9" t="str">
        <f>VLOOKUP($B285,Chronologie[],2,TRUE)</f>
        <v>Z-L-4</v>
      </c>
      <c r="J285" s="242">
        <f>VLOOKUP($B285,Chronologie[],3,TRUE)</f>
        <v>45956</v>
      </c>
      <c r="K285" s="236" t="s">
        <v>661</v>
      </c>
      <c r="L285" s="334">
        <v>94</v>
      </c>
      <c r="M285" s="334">
        <v>90</v>
      </c>
      <c r="N285" s="334">
        <v>89</v>
      </c>
      <c r="O285" s="334">
        <v>85</v>
      </c>
      <c r="P285" s="334">
        <v>62</v>
      </c>
      <c r="Q285" s="334">
        <v>34</v>
      </c>
      <c r="R285" s="334">
        <v>52</v>
      </c>
      <c r="S285" s="334">
        <v>45</v>
      </c>
      <c r="T285" s="334">
        <v>1</v>
      </c>
      <c r="U285" s="334">
        <v>4</v>
      </c>
      <c r="V285" s="334">
        <v>2</v>
      </c>
      <c r="W285" s="334">
        <v>0</v>
      </c>
      <c r="X285" s="37">
        <v>1</v>
      </c>
      <c r="Y285" s="37">
        <v>0</v>
      </c>
      <c r="Z285" s="37">
        <v>1</v>
      </c>
      <c r="AA285" s="37">
        <v>0</v>
      </c>
      <c r="AB285" s="90">
        <v>534</v>
      </c>
      <c r="AC285" s="93">
        <f>IF(Eingabe[[#This Row],[V1]]="",IF(Eingabe[[#This Row],[Volle alternativ]]="","",Eingabe[[#This Row],[Volle alternativ]]),SUM(Eingabe[[#This Row],[V1]:[V4]]))</f>
        <v>358</v>
      </c>
      <c r="AD285" s="35">
        <f>IF(Eingabe[[#This Row],[R1]]="",IF(Eingabe[[#This Row],[Räumer alternativ]]="","",Eingabe[[#This Row],[Räumer alternativ]]),SUM(Eingabe[[#This Row],[R1]:[R4]]))</f>
        <v>193</v>
      </c>
      <c r="AE285" s="35">
        <f>IF(Eingabe[[#This Row],[F1]]="",IF(Eingabe[[#This Row],[Fehler alternativ]]="","",Eingabe[[#This Row],[Fehler alternativ]]),SUM(Eingabe[[#This Row],[F1]:[F4]]))</f>
        <v>7</v>
      </c>
      <c r="AF285" s="35">
        <f>IF(Eingabe[[#This Row],[Volle]]="","",IF(Eingabe[[#This Row],[S1]]="",Eingabe[[#This Row],[Volle]]+Eingabe[[#This Row],[Räumer]],IF(Eingabe[[#This Row],[Volle]]+Eingabe[[#This Row],[Räumer]]=Eingabe[[#This Row],[S1]]+Eingabe[[#This Row],[S2]]+Eingabe[[#This Row],[S3]]+Eingabe[[#This Row],[S4]],Eingabe[[#This Row],[Volle]]+Eingabe[[#This Row],[Räumer]],"FEHLER")))</f>
        <v>551</v>
      </c>
      <c r="AG285" s="35">
        <f>IF(Eingabe[[#This Row],[V1]]="","",Eingabe[[#This Row],[V1]]+Eingabe[[#This Row],[R1]])</f>
        <v>156</v>
      </c>
      <c r="AH285" s="35">
        <f>IF(Eingabe[[#This Row],[V2]]="","",Eingabe[[#This Row],[V2]]+Eingabe[[#This Row],[R2]])</f>
        <v>124</v>
      </c>
      <c r="AI285" s="35">
        <f>IF(Eingabe[[#This Row],[V3]]="","",Eingabe[[#This Row],[V3]]+Eingabe[[#This Row],[R3]])</f>
        <v>141</v>
      </c>
      <c r="AJ285" s="35">
        <f>IF(Eingabe[[#This Row],[V4]]="","",Eingabe[[#This Row],[V4]]+Eingabe[[#This Row],[R4]])</f>
        <v>130</v>
      </c>
      <c r="AK285" s="35">
        <f>IF(Eingabe[[#This Row],[S1P]]="","",Eingabe[[#This Row],[S1P]]+Eingabe[[#This Row],[S2P]]+Eingabe[[#This Row],[S3P]]+Eingabe[[#This Row],[S4P]])</f>
        <v>2</v>
      </c>
      <c r="AL285" s="35">
        <f>IF(Eingabe[[#This Row],[S1P]]="","",IF(Eingabe[[#This Row],[SP]]&gt;2,1,IF(Eingabe[[#This Row],[SP]]&lt;2,0,IF(Eingabe[[#This Row],[GES]]&gt;Eingabe[[#This Row],[GEGGES]],1,IF(Eingabe[[#This Row],[GES]]=Eingabe[[#This Row],[GEGGES]],0.5,0)))))</f>
        <v>1</v>
      </c>
      <c r="AM285" s="35">
        <f>IF(Eingabe[[#This Row],[MP]]="","",MOD(ROW(Eingabe[[#This Row],[Position]])-3,6)+1)</f>
        <v>1</v>
      </c>
      <c r="AN285" s="35">
        <f>STANDARDIZE(Eingabe[[#This Row],[GES]],Eingabe[[#This Row],[Schnitt]],VLOOKUP(Eingabe[[#This Row],[Name]],AuswertungG[],21,FALSE))</f>
        <v>1.0740740740740742</v>
      </c>
      <c r="AO285" s="35">
        <f>VLOOKUP(Eingabe[[#This Row],[ID]],Chronologie[[ID]:[KW]],12,FALSE)</f>
        <v>9</v>
      </c>
      <c r="AP285" s="58" t="str">
        <f>IF(Eingabe[[#This Row],[Wo]]="H",Eingabe[[#This Row],[Gegner]]&amp;" ["&amp;Eingabe[[#This Row],[Wo]]&amp;"]",Eingabe[[#This Row],[Ort]])</f>
        <v>KC "Gut Holz" Drebach [H]</v>
      </c>
      <c r="AQ285" s="35">
        <f>IFERROR(IF(Eingabe[[#This Row],[Wo]]="H",IF(MOD(Eingabe[[#This Row],[Position]],2)=1,Eingabe[[#This Row],[S1]],Eingabe[[#This Row],[S4]]),""),"")</f>
        <v>156</v>
      </c>
      <c r="AR285" s="35">
        <f>IFERROR(IF(Eingabe[[#This Row],[Wo]]="H",IF(Eingabe[[#This Row],[S1]]&gt;0,IF(MOD(Eingabe[[#This Row],[Position]],2)=1,Eingabe[[#This Row],[S2]],Eingabe[[#This Row],[S3]]),""),""),"")</f>
        <v>124</v>
      </c>
      <c r="AS285" s="35">
        <f>IFERROR(IF(Eingabe[[#This Row],[Wo]]="H",IF(Eingabe[[#This Row],[S1]]&gt;0,IF(MOD(ROW(Eingabe[[#This Row],[Heimbahn 3]]),2)=1,Eingabe[[#This Row],[S4]],Eingabe[[#This Row],[S1]]),""),""),"")</f>
        <v>130</v>
      </c>
      <c r="AT285" s="35">
        <f>IFERROR(IF(Eingabe[[#This Row],[Wo]]="H",IF(Eingabe[[#This Row],[S1]]&gt;0,IF(MOD(ROW(Eingabe[[#This Row],[Heimbahn 4]]),2)=1,Eingabe[[#This Row],[S3]],Eingabe[[#This Row],[S2]]),""),""),"")</f>
        <v>141</v>
      </c>
      <c r="AU285" s="88">
        <f>IF(Eingabe[[#This Row],[GES]]="","",IF(Eingabe[[#This Row],[Modus]]="L",_xlfn.RANK.EQ(Eingabe[[#This Row],[GES]],AF285:AF290),IF(Eingabe[[#This Row],[Modus]]="P",_xlfn.RANK.EQ(Eingabe[[#This Row],[GES]],AF285:AF290),"")))</f>
        <v>1</v>
      </c>
      <c r="AV285" s="6">
        <f>VLOOKUP(Eingabe[[#This Row],[Name]],AuswertungG[],8,FALSE)</f>
        <v>522</v>
      </c>
      <c r="AZ285" s="6">
        <f>IFERROR(ABS(Eingabe[[#This Row],[GES]]-Eingabe[[#This Row],[GEGGES]]),"")</f>
        <v>17</v>
      </c>
    </row>
    <row r="286" spans="1:52" ht="16.2" hidden="1" thickBot="1" x14ac:dyDescent="0.35">
      <c r="A286" s="441"/>
      <c r="B286" s="21">
        <f t="shared" si="42"/>
        <v>48</v>
      </c>
      <c r="C286" s="6" t="str">
        <f>VLOOKUP($B286,Chronologie[],7,TRUE)</f>
        <v>KC "Gut Holz" Drebach</v>
      </c>
      <c r="D286" s="6" t="str">
        <f>VLOOKUP($B286,Chronologie[],8,TRUE)</f>
        <v>Hirschfeld</v>
      </c>
      <c r="E286" s="240" t="str">
        <f>VLOOKUP($B286,Chronologie[],9,TRUE)</f>
        <v>H</v>
      </c>
      <c r="F286" s="6" t="str">
        <f>VLOOKUP($B286,Chronologie[],COLUMN(F287)-2,TRUE)</f>
        <v>Z</v>
      </c>
      <c r="G286" s="6" t="str">
        <f>VLOOKUP($B286,Chronologie[],COLUMN(G287)-2,TRUE)</f>
        <v>L</v>
      </c>
      <c r="H286" s="6">
        <f>VLOOKUP($B286,Chronologie[],COLUMN(H287)-2,TRUE)</f>
        <v>4</v>
      </c>
      <c r="I286" s="10" t="str">
        <f>VLOOKUP($B286,Chronologie[],2,TRUE)</f>
        <v>Z-L-4</v>
      </c>
      <c r="J286" s="243">
        <f>VLOOKUP($B286,Chronologie[],3,TRUE)</f>
        <v>45956</v>
      </c>
      <c r="K286" s="237" t="s">
        <v>478</v>
      </c>
      <c r="L286" s="237">
        <v>98</v>
      </c>
      <c r="M286" s="237">
        <v>84</v>
      </c>
      <c r="N286" s="237">
        <v>88</v>
      </c>
      <c r="O286" s="237">
        <v>83</v>
      </c>
      <c r="P286" s="237">
        <v>34</v>
      </c>
      <c r="Q286" s="237">
        <v>34</v>
      </c>
      <c r="R286" s="237">
        <v>42</v>
      </c>
      <c r="S286" s="237">
        <v>43</v>
      </c>
      <c r="T286" s="237">
        <v>2</v>
      </c>
      <c r="U286" s="237">
        <v>4</v>
      </c>
      <c r="V286" s="237">
        <v>2</v>
      </c>
      <c r="W286" s="237">
        <v>0</v>
      </c>
      <c r="X286" s="38">
        <v>1</v>
      </c>
      <c r="Y286" s="38">
        <v>0</v>
      </c>
      <c r="Z286" s="38">
        <v>1</v>
      </c>
      <c r="AA286" s="38">
        <v>0</v>
      </c>
      <c r="AB286" s="91">
        <v>527</v>
      </c>
      <c r="AC286" s="94">
        <f>IF(Eingabe[[#This Row],[V1]]="",IF(Eingabe[[#This Row],[Volle alternativ]]="","",Eingabe[[#This Row],[Volle alternativ]]),SUM(Eingabe[[#This Row],[V1]:[V4]]))</f>
        <v>353</v>
      </c>
      <c r="AD286" s="6">
        <f>IF(Eingabe[[#This Row],[R1]]="",IF(Eingabe[[#This Row],[Räumer alternativ]]="","",Eingabe[[#This Row],[Räumer alternativ]]),SUM(Eingabe[[#This Row],[R1]:[R4]]))</f>
        <v>153</v>
      </c>
      <c r="AE286" s="6">
        <f>IF(Eingabe[[#This Row],[F1]]="",IF(Eingabe[[#This Row],[Fehler alternativ]]="","",Eingabe[[#This Row],[Fehler alternativ]]),SUM(Eingabe[[#This Row],[F1]:[F4]]))</f>
        <v>8</v>
      </c>
      <c r="AF286" s="6">
        <f>IF(Eingabe[[#This Row],[Volle]]="","",IF(Eingabe[[#This Row],[S1]]="",Eingabe[[#This Row],[Volle]]+Eingabe[[#This Row],[Räumer]],IF(Eingabe[[#This Row],[Volle]]+Eingabe[[#This Row],[Räumer]]=Eingabe[[#This Row],[S1]]+Eingabe[[#This Row],[S2]]+Eingabe[[#This Row],[S3]]+Eingabe[[#This Row],[S4]],Eingabe[[#This Row],[Volle]]+Eingabe[[#This Row],[Räumer]],"FEHLER")))</f>
        <v>506</v>
      </c>
      <c r="AG286" s="6">
        <f>IF(Eingabe[[#This Row],[V1]]="","",Eingabe[[#This Row],[V1]]+Eingabe[[#This Row],[R1]])</f>
        <v>132</v>
      </c>
      <c r="AH286" s="6">
        <f>IF(Eingabe[[#This Row],[V2]]="","",Eingabe[[#This Row],[V2]]+Eingabe[[#This Row],[R2]])</f>
        <v>118</v>
      </c>
      <c r="AI286" s="6">
        <f>IF(Eingabe[[#This Row],[V3]]="","",Eingabe[[#This Row],[V3]]+Eingabe[[#This Row],[R3]])</f>
        <v>130</v>
      </c>
      <c r="AJ286" s="6">
        <f>IF(Eingabe[[#This Row],[V4]]="","",Eingabe[[#This Row],[V4]]+Eingabe[[#This Row],[R4]])</f>
        <v>126</v>
      </c>
      <c r="AK286" s="6">
        <f>IF(Eingabe[[#This Row],[S1P]]="","",Eingabe[[#This Row],[S1P]]+Eingabe[[#This Row],[S2P]]+Eingabe[[#This Row],[S3P]]+Eingabe[[#This Row],[S4P]])</f>
        <v>2</v>
      </c>
      <c r="AL286" s="6">
        <f>IF(Eingabe[[#This Row],[S1P]]="","",IF(Eingabe[[#This Row],[SP]]&gt;2,1,IF(Eingabe[[#This Row],[SP]]&lt;2,0,IF(Eingabe[[#This Row],[GES]]&gt;Eingabe[[#This Row],[GEGGES]],1,IF(Eingabe[[#This Row],[GES]]=Eingabe[[#This Row],[GEGGES]],0.5,0)))))</f>
        <v>0</v>
      </c>
      <c r="AM286" s="6">
        <f>IF(Eingabe[[#This Row],[MP]]="","",MOD(ROW(Eingabe[[#This Row],[Position]])-3,6)+1)</f>
        <v>2</v>
      </c>
      <c r="AN286" s="6">
        <f>STANDARDIZE(Eingabe[[#This Row],[GES]],Eingabe[[#This Row],[Schnitt]],VLOOKUP(Eingabe[[#This Row],[Name]],AuswertungG[],21,FALSE))</f>
        <v>-1.1000000000000001</v>
      </c>
      <c r="AO286" s="6">
        <f>VLOOKUP(Eingabe[[#This Row],[ID]],Chronologie[[ID]:[KW]],12,FALSE)</f>
        <v>9</v>
      </c>
      <c r="AP286" s="95" t="str">
        <f>IF(Eingabe[[#This Row],[Wo]]="H",Eingabe[[#This Row],[Gegner]]&amp;" ["&amp;Eingabe[[#This Row],[Wo]]&amp;"]",Eingabe[[#This Row],[Ort]])</f>
        <v>KC "Gut Holz" Drebach [H]</v>
      </c>
      <c r="AQ286" s="6">
        <f>IFERROR(IF(Eingabe[[#This Row],[Wo]]="H",IF(MOD(Eingabe[[#This Row],[Position]],2)=1,Eingabe[[#This Row],[S1]],Eingabe[[#This Row],[S4]]),""),"")</f>
        <v>126</v>
      </c>
      <c r="AR286" s="6">
        <f>IFERROR(IF(Eingabe[[#This Row],[Wo]]="H",IF(Eingabe[[#This Row],[S1]]&gt;0,IF(MOD(Eingabe[[#This Row],[Position]],2)=1,Eingabe[[#This Row],[S2]],Eingabe[[#This Row],[S3]]),""),""),"")</f>
        <v>130</v>
      </c>
      <c r="AS286" s="6">
        <f>IFERROR(IF(Eingabe[[#This Row],[Wo]]="H",IF(Eingabe[[#This Row],[S1]]&gt;0,IF(MOD(ROW(Eingabe[[#This Row],[Heimbahn 3]]),2)=1,Eingabe[[#This Row],[S4]],Eingabe[[#This Row],[S1]]),""),""),"")</f>
        <v>132</v>
      </c>
      <c r="AT286" s="6">
        <f>IFERROR(IF(Eingabe[[#This Row],[Wo]]="H",IF(Eingabe[[#This Row],[S1]]&gt;0,IF(MOD(ROW(Eingabe[[#This Row],[Heimbahn 4]]),2)=1,Eingabe[[#This Row],[S3]],Eingabe[[#This Row],[S2]]),""),""),"")</f>
        <v>118</v>
      </c>
      <c r="AU286" s="22">
        <f>IF(Eingabe[[#This Row],[GES]]="","",IF(Eingabe[[#This Row],[Modus]]="L",_xlfn.RANK.EQ(Eingabe[[#This Row],[GES]],AF285:AF290),IF(Eingabe[[#This Row],[Modus]]="P",_xlfn.RANK.EQ(Eingabe[[#This Row],[GES]],AF285:AF290),"")))</f>
        <v>5</v>
      </c>
      <c r="AV286" s="6">
        <f>VLOOKUP(Eingabe[[#This Row],[Name]],AuswertungG[],8,FALSE)</f>
        <v>528</v>
      </c>
      <c r="AZ286" s="6">
        <f>IFERROR(ABS(Eingabe[[#This Row],[GES]]-Eingabe[[#This Row],[GEGGES]]),"")</f>
        <v>21</v>
      </c>
    </row>
    <row r="287" spans="1:52" ht="16.2" hidden="1" thickBot="1" x14ac:dyDescent="0.35">
      <c r="A287" s="441"/>
      <c r="B287" s="21">
        <f t="shared" si="42"/>
        <v>48</v>
      </c>
      <c r="C287" s="6" t="str">
        <f>VLOOKUP($B287,Chronologie[],7,TRUE)</f>
        <v>KC "Gut Holz" Drebach</v>
      </c>
      <c r="D287" s="6" t="str">
        <f>VLOOKUP($B287,Chronologie[],8,TRUE)</f>
        <v>Hirschfeld</v>
      </c>
      <c r="E287" s="240" t="str">
        <f>VLOOKUP($B287,Chronologie[],9,TRUE)</f>
        <v>H</v>
      </c>
      <c r="F287" s="6" t="str">
        <f>VLOOKUP($B287,Chronologie[],COLUMN(F288)-2,TRUE)</f>
        <v>Z</v>
      </c>
      <c r="G287" s="6" t="str">
        <f>VLOOKUP($B287,Chronologie[],COLUMN(G288)-2,TRUE)</f>
        <v>L</v>
      </c>
      <c r="H287" s="6">
        <f>VLOOKUP($B287,Chronologie[],COLUMN(H288)-2,TRUE)</f>
        <v>4</v>
      </c>
      <c r="I287" s="10" t="str">
        <f>VLOOKUP($B287,Chronologie[],2,TRUE)</f>
        <v>Z-L-4</v>
      </c>
      <c r="J287" s="243">
        <f>VLOOKUP($B287,Chronologie[],3,TRUE)</f>
        <v>45956</v>
      </c>
      <c r="K287" s="237"/>
      <c r="L287" s="237">
        <v>83</v>
      </c>
      <c r="M287" s="237">
        <v>72</v>
      </c>
      <c r="N287" s="237">
        <v>75</v>
      </c>
      <c r="O287" s="237">
        <v>77</v>
      </c>
      <c r="P287" s="237">
        <v>33</v>
      </c>
      <c r="Q287" s="237">
        <v>36</v>
      </c>
      <c r="R287" s="237">
        <v>44</v>
      </c>
      <c r="S287" s="237">
        <v>35</v>
      </c>
      <c r="T287" s="237">
        <v>4</v>
      </c>
      <c r="U287" s="237">
        <v>1</v>
      </c>
      <c r="V287" s="237">
        <v>1</v>
      </c>
      <c r="W287" s="237">
        <v>3</v>
      </c>
      <c r="X287" s="38">
        <v>1</v>
      </c>
      <c r="Y287" s="38">
        <v>0</v>
      </c>
      <c r="Z287" s="38">
        <v>1</v>
      </c>
      <c r="AA287" s="38">
        <v>0</v>
      </c>
      <c r="AB287" s="91">
        <v>495</v>
      </c>
      <c r="AC287" s="94">
        <f>IF(Eingabe[[#This Row],[V1]]="",IF(Eingabe[[#This Row],[Volle alternativ]]="","",Eingabe[[#This Row],[Volle alternativ]]),SUM(Eingabe[[#This Row],[V1]:[V4]]))</f>
        <v>307</v>
      </c>
      <c r="AD287" s="6">
        <f>IF(Eingabe[[#This Row],[R1]]="",IF(Eingabe[[#This Row],[Räumer alternativ]]="","",Eingabe[[#This Row],[Räumer alternativ]]),SUM(Eingabe[[#This Row],[R1]:[R4]]))</f>
        <v>148</v>
      </c>
      <c r="AE287" s="6">
        <f>IF(Eingabe[[#This Row],[F1]]="",IF(Eingabe[[#This Row],[Fehler alternativ]]="","",Eingabe[[#This Row],[Fehler alternativ]]),SUM(Eingabe[[#This Row],[F1]:[F4]]))</f>
        <v>9</v>
      </c>
      <c r="AF287" s="6">
        <f>IF(Eingabe[[#This Row],[Volle]]="","",IF(Eingabe[[#This Row],[S1]]="",Eingabe[[#This Row],[Volle]]+Eingabe[[#This Row],[Räumer]],IF(Eingabe[[#This Row],[Volle]]+Eingabe[[#This Row],[Räumer]]=Eingabe[[#This Row],[S1]]+Eingabe[[#This Row],[S2]]+Eingabe[[#This Row],[S3]]+Eingabe[[#This Row],[S4]],Eingabe[[#This Row],[Volle]]+Eingabe[[#This Row],[Räumer]],"FEHLER")))</f>
        <v>455</v>
      </c>
      <c r="AG287" s="6">
        <f>IF(Eingabe[[#This Row],[V1]]="","",Eingabe[[#This Row],[V1]]+Eingabe[[#This Row],[R1]])</f>
        <v>116</v>
      </c>
      <c r="AH287" s="6">
        <f>IF(Eingabe[[#This Row],[V2]]="","",Eingabe[[#This Row],[V2]]+Eingabe[[#This Row],[R2]])</f>
        <v>108</v>
      </c>
      <c r="AI287" s="6">
        <f>IF(Eingabe[[#This Row],[V3]]="","",Eingabe[[#This Row],[V3]]+Eingabe[[#This Row],[R3]])</f>
        <v>119</v>
      </c>
      <c r="AJ287" s="6">
        <f>IF(Eingabe[[#This Row],[V4]]="","",Eingabe[[#This Row],[V4]]+Eingabe[[#This Row],[R4]])</f>
        <v>112</v>
      </c>
      <c r="AK287" s="6">
        <f>IF(Eingabe[[#This Row],[S1P]]="","",Eingabe[[#This Row],[S1P]]+Eingabe[[#This Row],[S2P]]+Eingabe[[#This Row],[S3P]]+Eingabe[[#This Row],[S4P]])</f>
        <v>2</v>
      </c>
      <c r="AL287" s="6">
        <f>IF(Eingabe[[#This Row],[S1P]]="","",IF(Eingabe[[#This Row],[SP]]&gt;2,1,IF(Eingabe[[#This Row],[SP]]&lt;2,0,IF(Eingabe[[#This Row],[GES]]&gt;Eingabe[[#This Row],[GEGGES]],1,IF(Eingabe[[#This Row],[GES]]=Eingabe[[#This Row],[GEGGES]],0.5,0)))))</f>
        <v>0</v>
      </c>
      <c r="AM287" s="6">
        <f>IF(Eingabe[[#This Row],[MP]]="","",MOD(ROW(Eingabe[[#This Row],[Position]])-3,6)+1)</f>
        <v>3</v>
      </c>
      <c r="AN287" s="6" t="e">
        <f>STANDARDIZE(Eingabe[[#This Row],[GES]],Eingabe[[#This Row],[Schnitt]],VLOOKUP(Eingabe[[#This Row],[Name]],AuswertungG[],21,FALSE))</f>
        <v>#N/A</v>
      </c>
      <c r="AO287" s="6">
        <f>VLOOKUP(Eingabe[[#This Row],[ID]],Chronologie[[ID]:[KW]],12,FALSE)</f>
        <v>9</v>
      </c>
      <c r="AP287" s="95" t="str">
        <f>IF(Eingabe[[#This Row],[Wo]]="H",Eingabe[[#This Row],[Gegner]]&amp;" ["&amp;Eingabe[[#This Row],[Wo]]&amp;"]",Eingabe[[#This Row],[Ort]])</f>
        <v>KC "Gut Holz" Drebach [H]</v>
      </c>
      <c r="AQ287" s="6">
        <f>IFERROR(IF(Eingabe[[#This Row],[Wo]]="H",IF(MOD(Eingabe[[#This Row],[Position]],2)=1,Eingabe[[#This Row],[S1]],Eingabe[[#This Row],[S4]]),""),"")</f>
        <v>116</v>
      </c>
      <c r="AR287" s="6">
        <f>IFERROR(IF(Eingabe[[#This Row],[Wo]]="H",IF(Eingabe[[#This Row],[S1]]&gt;0,IF(MOD(Eingabe[[#This Row],[Position]],2)=1,Eingabe[[#This Row],[S2]],Eingabe[[#This Row],[S3]]),""),""),"")</f>
        <v>108</v>
      </c>
      <c r="AS287" s="6">
        <f>IFERROR(IF(Eingabe[[#This Row],[Wo]]="H",IF(Eingabe[[#This Row],[S1]]&gt;0,IF(MOD(ROW(Eingabe[[#This Row],[Heimbahn 3]]),2)=1,Eingabe[[#This Row],[S4]],Eingabe[[#This Row],[S1]]),""),""),"")</f>
        <v>112</v>
      </c>
      <c r="AT287" s="6">
        <f>IFERROR(IF(Eingabe[[#This Row],[Wo]]="H",IF(Eingabe[[#This Row],[S1]]&gt;0,IF(MOD(ROW(Eingabe[[#This Row],[Heimbahn 4]]),2)=1,Eingabe[[#This Row],[S3]],Eingabe[[#This Row],[S2]]),""),""),"")</f>
        <v>119</v>
      </c>
      <c r="AU287" s="22">
        <f>IF(Eingabe[[#This Row],[GES]]="","",IF(Eingabe[[#This Row],[Modus]]="L",_xlfn.RANK.EQ(Eingabe[[#This Row],[GES]],AF285:AF290),IF(Eingabe[[#This Row],[Modus]]="P",_xlfn.RANK.EQ(Eingabe[[#This Row],[GES]],AF285:AF290),"")))</f>
        <v>6</v>
      </c>
      <c r="AV287" s="6" t="e">
        <f>VLOOKUP(Eingabe[[#This Row],[Name]],AuswertungG[],8,FALSE)</f>
        <v>#N/A</v>
      </c>
      <c r="AZ287" s="6">
        <f>IFERROR(ABS(Eingabe[[#This Row],[GES]]-Eingabe[[#This Row],[GEGGES]]),"")</f>
        <v>40</v>
      </c>
    </row>
    <row r="288" spans="1:52" ht="16.2" hidden="1" thickBot="1" x14ac:dyDescent="0.35">
      <c r="A288" s="441"/>
      <c r="B288" s="21">
        <f t="shared" si="42"/>
        <v>48</v>
      </c>
      <c r="C288" s="6" t="str">
        <f>VLOOKUP($B288,Chronologie[],7,TRUE)</f>
        <v>KC "Gut Holz" Drebach</v>
      </c>
      <c r="D288" s="6" t="str">
        <f>VLOOKUP($B288,Chronologie[],8,TRUE)</f>
        <v>Hirschfeld</v>
      </c>
      <c r="E288" s="240" t="str">
        <f>VLOOKUP($B288,Chronologie[],9,TRUE)</f>
        <v>H</v>
      </c>
      <c r="F288" s="6" t="str">
        <f>VLOOKUP($B288,Chronologie[],COLUMN(F289)-2,TRUE)</f>
        <v>Z</v>
      </c>
      <c r="G288" s="6" t="str">
        <f>VLOOKUP($B288,Chronologie[],COLUMN(G289)-2,TRUE)</f>
        <v>L</v>
      </c>
      <c r="H288" s="6">
        <f>VLOOKUP($B288,Chronologie[],COLUMN(H289)-2,TRUE)</f>
        <v>4</v>
      </c>
      <c r="I288" s="10" t="str">
        <f>VLOOKUP($B288,Chronologie[],2,TRUE)</f>
        <v>Z-L-4</v>
      </c>
      <c r="J288" s="243">
        <f>VLOOKUP($B288,Chronologie[],3,TRUE)</f>
        <v>45956</v>
      </c>
      <c r="K288" s="238" t="s">
        <v>689</v>
      </c>
      <c r="L288" s="237">
        <v>86</v>
      </c>
      <c r="M288" s="237">
        <v>93</v>
      </c>
      <c r="N288" s="237">
        <v>80</v>
      </c>
      <c r="O288" s="237">
        <v>89</v>
      </c>
      <c r="P288" s="237">
        <v>44</v>
      </c>
      <c r="Q288" s="237">
        <v>41</v>
      </c>
      <c r="R288" s="237">
        <v>43</v>
      </c>
      <c r="S288" s="237">
        <v>36</v>
      </c>
      <c r="T288" s="237">
        <v>2</v>
      </c>
      <c r="U288" s="237">
        <v>1</v>
      </c>
      <c r="V288" s="237">
        <v>0</v>
      </c>
      <c r="W288" s="237">
        <v>2</v>
      </c>
      <c r="X288" s="38">
        <v>0</v>
      </c>
      <c r="Y288" s="38">
        <v>0</v>
      </c>
      <c r="Z288" s="38">
        <v>0</v>
      </c>
      <c r="AA288" s="38">
        <v>0</v>
      </c>
      <c r="AB288" s="91">
        <v>545</v>
      </c>
      <c r="AC288" s="94">
        <f>IF(Eingabe[[#This Row],[V1]]="",IF(Eingabe[[#This Row],[Volle alternativ]]="","",Eingabe[[#This Row],[Volle alternativ]]),SUM(Eingabe[[#This Row],[V1]:[V4]]))</f>
        <v>348</v>
      </c>
      <c r="AD288" s="6">
        <f>IF(Eingabe[[#This Row],[R1]]="",IF(Eingabe[[#This Row],[Räumer alternativ]]="","",Eingabe[[#This Row],[Räumer alternativ]]),SUM(Eingabe[[#This Row],[R1]:[R4]]))</f>
        <v>164</v>
      </c>
      <c r="AE288" s="6">
        <f>IF(Eingabe[[#This Row],[F1]]="",IF(Eingabe[[#This Row],[Fehler alternativ]]="","",Eingabe[[#This Row],[Fehler alternativ]]),SUM(Eingabe[[#This Row],[F1]:[F4]]))</f>
        <v>5</v>
      </c>
      <c r="AF288" s="6">
        <f>IF(Eingabe[[#This Row],[Volle]]="","",IF(Eingabe[[#This Row],[S1]]="",Eingabe[[#This Row],[Volle]]+Eingabe[[#This Row],[Räumer]],IF(Eingabe[[#This Row],[Volle]]+Eingabe[[#This Row],[Räumer]]=Eingabe[[#This Row],[S1]]+Eingabe[[#This Row],[S2]]+Eingabe[[#This Row],[S3]]+Eingabe[[#This Row],[S4]],Eingabe[[#This Row],[Volle]]+Eingabe[[#This Row],[Räumer]],"FEHLER")))</f>
        <v>512</v>
      </c>
      <c r="AG288" s="6">
        <f>IF(Eingabe[[#This Row],[V1]]="","",Eingabe[[#This Row],[V1]]+Eingabe[[#This Row],[R1]])</f>
        <v>130</v>
      </c>
      <c r="AH288" s="6">
        <f>IF(Eingabe[[#This Row],[V2]]="","",Eingabe[[#This Row],[V2]]+Eingabe[[#This Row],[R2]])</f>
        <v>134</v>
      </c>
      <c r="AI288" s="6">
        <f>IF(Eingabe[[#This Row],[V3]]="","",Eingabe[[#This Row],[V3]]+Eingabe[[#This Row],[R3]])</f>
        <v>123</v>
      </c>
      <c r="AJ288" s="6">
        <f>IF(Eingabe[[#This Row],[V4]]="","",Eingabe[[#This Row],[V4]]+Eingabe[[#This Row],[R4]])</f>
        <v>125</v>
      </c>
      <c r="AK288" s="6">
        <f>IF(Eingabe[[#This Row],[S1P]]="","",Eingabe[[#This Row],[S1P]]+Eingabe[[#This Row],[S2P]]+Eingabe[[#This Row],[S3P]]+Eingabe[[#This Row],[S4P]])</f>
        <v>0</v>
      </c>
      <c r="AL288" s="6">
        <f>IF(Eingabe[[#This Row],[S1P]]="","",IF(Eingabe[[#This Row],[SP]]&gt;2,1,IF(Eingabe[[#This Row],[SP]]&lt;2,0,IF(Eingabe[[#This Row],[GES]]&gt;Eingabe[[#This Row],[GEGGES]],1,IF(Eingabe[[#This Row],[GES]]=Eingabe[[#This Row],[GEGGES]],0.5,0)))))</f>
        <v>0</v>
      </c>
      <c r="AM288" s="6">
        <f>IF(Eingabe[[#This Row],[MP]]="","",MOD(ROW(Eingabe[[#This Row],[Position]])-3,6)+1)</f>
        <v>4</v>
      </c>
      <c r="AN288" s="6">
        <f>STANDARDIZE(Eingabe[[#This Row],[GES]],Eingabe[[#This Row],[Schnitt]],VLOOKUP(Eingabe[[#This Row],[Name]],AuswertungG[],21,FALSE))</f>
        <v>-0.4642857142857143</v>
      </c>
      <c r="AO288" s="6">
        <f>VLOOKUP(Eingabe[[#This Row],[ID]],Chronologie[[ID]:[KW]],12,FALSE)</f>
        <v>9</v>
      </c>
      <c r="AP288" s="95" t="str">
        <f>IF(Eingabe[[#This Row],[Wo]]="H",Eingabe[[#This Row],[Gegner]]&amp;" ["&amp;Eingabe[[#This Row],[Wo]]&amp;"]",Eingabe[[#This Row],[Ort]])</f>
        <v>KC "Gut Holz" Drebach [H]</v>
      </c>
      <c r="AQ288" s="6">
        <f>IFERROR(IF(Eingabe[[#This Row],[Wo]]="H",IF(MOD(Eingabe[[#This Row],[Position]],2)=1,Eingabe[[#This Row],[S1]],Eingabe[[#This Row],[S4]]),""),"")</f>
        <v>125</v>
      </c>
      <c r="AR288" s="6">
        <f>IFERROR(IF(Eingabe[[#This Row],[Wo]]="H",IF(Eingabe[[#This Row],[S1]]&gt;0,IF(MOD(Eingabe[[#This Row],[Position]],2)=1,Eingabe[[#This Row],[S2]],Eingabe[[#This Row],[S3]]),""),""),"")</f>
        <v>123</v>
      </c>
      <c r="AS288" s="6">
        <f>IFERROR(IF(Eingabe[[#This Row],[Wo]]="H",IF(Eingabe[[#This Row],[S1]]&gt;0,IF(MOD(ROW(Eingabe[[#This Row],[Heimbahn 3]]),2)=1,Eingabe[[#This Row],[S4]],Eingabe[[#This Row],[S1]]),""),""),"")</f>
        <v>130</v>
      </c>
      <c r="AT288" s="6">
        <f>IFERROR(IF(Eingabe[[#This Row],[Wo]]="H",IF(Eingabe[[#This Row],[S1]]&gt;0,IF(MOD(ROW(Eingabe[[#This Row],[Heimbahn 4]]),2)=1,Eingabe[[#This Row],[S3]],Eingabe[[#This Row],[S2]]),""),""),"")</f>
        <v>134</v>
      </c>
      <c r="AU288" s="22">
        <f>IF(Eingabe[[#This Row],[GES]]="","",IF(Eingabe[[#This Row],[Modus]]="L",_xlfn.RANK.EQ(Eingabe[[#This Row],[GES]],AF285:AF290),IF(Eingabe[[#This Row],[Modus]]="P",_xlfn.RANK.EQ(Eingabe[[#This Row],[GES]],AF285:AF290),"")))</f>
        <v>4</v>
      </c>
      <c r="AV288" s="6">
        <f>VLOOKUP(Eingabe[[#This Row],[Name]],AuswertungG[],8,FALSE)</f>
        <v>525</v>
      </c>
      <c r="AZ288" s="6">
        <f>IFERROR(ABS(Eingabe[[#This Row],[GES]]-Eingabe[[#This Row],[GEGGES]]),"")</f>
        <v>33</v>
      </c>
    </row>
    <row r="289" spans="1:52" ht="16.2" hidden="1" thickBot="1" x14ac:dyDescent="0.35">
      <c r="A289" s="441"/>
      <c r="B289" s="21">
        <f t="shared" si="42"/>
        <v>48</v>
      </c>
      <c r="C289" s="6" t="str">
        <f>VLOOKUP($B289,Chronologie[],7,TRUE)</f>
        <v>KC "Gut Holz" Drebach</v>
      </c>
      <c r="D289" s="6" t="str">
        <f>VLOOKUP($B289,Chronologie[],8,TRUE)</f>
        <v>Hirschfeld</v>
      </c>
      <c r="E289" s="240" t="str">
        <f>VLOOKUP($B289,Chronologie[],9,TRUE)</f>
        <v>H</v>
      </c>
      <c r="F289" s="6" t="str">
        <f>VLOOKUP($B289,Chronologie[],COLUMN(F290)-2,TRUE)</f>
        <v>Z</v>
      </c>
      <c r="G289" s="6" t="str">
        <f>VLOOKUP($B289,Chronologie[],COLUMN(G290)-2,TRUE)</f>
        <v>L</v>
      </c>
      <c r="H289" s="6">
        <f>VLOOKUP($B289,Chronologie[],COLUMN(H290)-2,TRUE)</f>
        <v>4</v>
      </c>
      <c r="I289" s="10" t="str">
        <f>VLOOKUP($B289,Chronologie[],2,TRUE)</f>
        <v>Z-L-4</v>
      </c>
      <c r="J289" s="243">
        <f>VLOOKUP($B289,Chronologie[],3,TRUE)</f>
        <v>45956</v>
      </c>
      <c r="K289" s="237" t="s">
        <v>465</v>
      </c>
      <c r="L289" s="237">
        <v>86</v>
      </c>
      <c r="M289" s="237">
        <v>92</v>
      </c>
      <c r="N289" s="237">
        <v>83</v>
      </c>
      <c r="O289" s="237">
        <v>77</v>
      </c>
      <c r="P289" s="237">
        <v>53</v>
      </c>
      <c r="Q289" s="237">
        <v>34</v>
      </c>
      <c r="R289" s="237">
        <v>60</v>
      </c>
      <c r="S289" s="237">
        <v>44</v>
      </c>
      <c r="T289" s="237">
        <v>0</v>
      </c>
      <c r="U289" s="237">
        <v>3</v>
      </c>
      <c r="V289" s="237">
        <v>1</v>
      </c>
      <c r="W289" s="237">
        <v>2</v>
      </c>
      <c r="X289" s="38">
        <v>1</v>
      </c>
      <c r="Y289" s="38">
        <v>1</v>
      </c>
      <c r="Z289" s="38">
        <v>1</v>
      </c>
      <c r="AA289" s="38">
        <v>1</v>
      </c>
      <c r="AB289" s="91">
        <v>337</v>
      </c>
      <c r="AC289" s="94">
        <f>IF(Eingabe[[#This Row],[V1]]="",IF(Eingabe[[#This Row],[Volle alternativ]]="","",Eingabe[[#This Row],[Volle alternativ]]),SUM(Eingabe[[#This Row],[V1]:[V4]]))</f>
        <v>338</v>
      </c>
      <c r="AD289" s="6">
        <f>IF(Eingabe[[#This Row],[R1]]="",IF(Eingabe[[#This Row],[Räumer alternativ]]="","",Eingabe[[#This Row],[Räumer alternativ]]),SUM(Eingabe[[#This Row],[R1]:[R4]]))</f>
        <v>191</v>
      </c>
      <c r="AE289" s="6">
        <f>IF(Eingabe[[#This Row],[F1]]="",IF(Eingabe[[#This Row],[Fehler alternativ]]="","",Eingabe[[#This Row],[Fehler alternativ]]),SUM(Eingabe[[#This Row],[F1]:[F4]]))</f>
        <v>6</v>
      </c>
      <c r="AF289" s="6">
        <f>IF(Eingabe[[#This Row],[Volle]]="","",IF(Eingabe[[#This Row],[S1]]="",Eingabe[[#This Row],[Volle]]+Eingabe[[#This Row],[Räumer]],IF(Eingabe[[#This Row],[Volle]]+Eingabe[[#This Row],[Räumer]]=Eingabe[[#This Row],[S1]]+Eingabe[[#This Row],[S2]]+Eingabe[[#This Row],[S3]]+Eingabe[[#This Row],[S4]],Eingabe[[#This Row],[Volle]]+Eingabe[[#This Row],[Räumer]],"FEHLER")))</f>
        <v>529</v>
      </c>
      <c r="AG289" s="6">
        <f>IF(Eingabe[[#This Row],[V1]]="","",Eingabe[[#This Row],[V1]]+Eingabe[[#This Row],[R1]])</f>
        <v>139</v>
      </c>
      <c r="AH289" s="6">
        <f>IF(Eingabe[[#This Row],[V2]]="","",Eingabe[[#This Row],[V2]]+Eingabe[[#This Row],[R2]])</f>
        <v>126</v>
      </c>
      <c r="AI289" s="6">
        <f>IF(Eingabe[[#This Row],[V3]]="","",Eingabe[[#This Row],[V3]]+Eingabe[[#This Row],[R3]])</f>
        <v>143</v>
      </c>
      <c r="AJ289" s="6">
        <f>IF(Eingabe[[#This Row],[V4]]="","",Eingabe[[#This Row],[V4]]+Eingabe[[#This Row],[R4]])</f>
        <v>121</v>
      </c>
      <c r="AK289" s="6">
        <f>IF(Eingabe[[#This Row],[S1P]]="","",Eingabe[[#This Row],[S1P]]+Eingabe[[#This Row],[S2P]]+Eingabe[[#This Row],[S3P]]+Eingabe[[#This Row],[S4P]])</f>
        <v>4</v>
      </c>
      <c r="AL289" s="6">
        <f>IF(Eingabe[[#This Row],[S1P]]="","",IF(Eingabe[[#This Row],[SP]]&gt;2,1,IF(Eingabe[[#This Row],[SP]]&lt;2,0,IF(Eingabe[[#This Row],[GES]]&gt;Eingabe[[#This Row],[GEGGES]],1,IF(Eingabe[[#This Row],[GES]]=Eingabe[[#This Row],[GEGGES]],0.5,0)))))</f>
        <v>1</v>
      </c>
      <c r="AM289" s="6">
        <f>IF(Eingabe[[#This Row],[MP]]="","",MOD(ROW(Eingabe[[#This Row],[Position]])-3,6)+1)</f>
        <v>5</v>
      </c>
      <c r="AN289" s="6">
        <f>STANDARDIZE(Eingabe[[#This Row],[GES]],Eingabe[[#This Row],[Schnitt]],VLOOKUP(Eingabe[[#This Row],[Name]],AuswertungG[],21,FALSE))</f>
        <v>0.13043478260869565</v>
      </c>
      <c r="AO289" s="6">
        <f>VLOOKUP(Eingabe[[#This Row],[ID]],Chronologie[[ID]:[KW]],12,FALSE)</f>
        <v>9</v>
      </c>
      <c r="AP289" s="95" t="str">
        <f>IF(Eingabe[[#This Row],[Wo]]="H",Eingabe[[#This Row],[Gegner]]&amp;" ["&amp;Eingabe[[#This Row],[Wo]]&amp;"]",Eingabe[[#This Row],[Ort]])</f>
        <v>KC "Gut Holz" Drebach [H]</v>
      </c>
      <c r="AQ289" s="6">
        <f>IFERROR(IF(Eingabe[[#This Row],[Wo]]="H",IF(MOD(Eingabe[[#This Row],[Position]],2)=1,Eingabe[[#This Row],[S1]],Eingabe[[#This Row],[S4]]),""),"")</f>
        <v>139</v>
      </c>
      <c r="AR289" s="6">
        <f>IFERROR(IF(Eingabe[[#This Row],[Wo]]="H",IF(Eingabe[[#This Row],[S1]]&gt;0,IF(MOD(Eingabe[[#This Row],[Position]],2)=1,Eingabe[[#This Row],[S2]],Eingabe[[#This Row],[S3]]),""),""),"")</f>
        <v>126</v>
      </c>
      <c r="AS289" s="6">
        <f>IFERROR(IF(Eingabe[[#This Row],[Wo]]="H",IF(Eingabe[[#This Row],[S1]]&gt;0,IF(MOD(ROW(Eingabe[[#This Row],[Heimbahn 3]]),2)=1,Eingabe[[#This Row],[S4]],Eingabe[[#This Row],[S1]]),""),""),"")</f>
        <v>121</v>
      </c>
      <c r="AT289" s="6">
        <f>IFERROR(IF(Eingabe[[#This Row],[Wo]]="H",IF(Eingabe[[#This Row],[S1]]&gt;0,IF(MOD(ROW(Eingabe[[#This Row],[Heimbahn 4]]),2)=1,Eingabe[[#This Row],[S3]],Eingabe[[#This Row],[S2]]),""),""),"")</f>
        <v>143</v>
      </c>
      <c r="AU289" s="22">
        <f>IF(Eingabe[[#This Row],[GES]]="","",IF(Eingabe[[#This Row],[Modus]]="L",_xlfn.RANK.EQ(Eingabe[[#This Row],[GES]],AF285:AF290),IF(Eingabe[[#This Row],[Modus]]="P",_xlfn.RANK.EQ(Eingabe[[#This Row],[GES]],AF285:AF290),"")))</f>
        <v>3</v>
      </c>
      <c r="AV289" s="6">
        <f>VLOOKUP(Eingabe[[#This Row],[Name]],AuswertungG[],8,FALSE)</f>
        <v>526</v>
      </c>
      <c r="AZ289" s="6">
        <f>IFERROR(ABS(Eingabe[[#This Row],[GES]]-Eingabe[[#This Row],[GEGGES]]),"")</f>
        <v>192</v>
      </c>
    </row>
    <row r="290" spans="1:52" ht="16.2" hidden="1" thickBot="1" x14ac:dyDescent="0.35">
      <c r="A290" s="442"/>
      <c r="B290" s="56">
        <f t="shared" si="42"/>
        <v>48</v>
      </c>
      <c r="C290" s="23" t="str">
        <f>VLOOKUP($B290,Chronologie[],7,TRUE)</f>
        <v>KC "Gut Holz" Drebach</v>
      </c>
      <c r="D290" s="23" t="str">
        <f>VLOOKUP($B290,Chronologie[],8,TRUE)</f>
        <v>Hirschfeld</v>
      </c>
      <c r="E290" s="39" t="str">
        <f>VLOOKUP($B290,Chronologie[],9,TRUE)</f>
        <v>H</v>
      </c>
      <c r="F290" s="23" t="str">
        <f>VLOOKUP($B290,Chronologie[],COLUMN(F291)-2,TRUE)</f>
        <v>Z</v>
      </c>
      <c r="G290" s="23" t="str">
        <f>VLOOKUP($B290,Chronologie[],COLUMN(G291)-2,TRUE)</f>
        <v>L</v>
      </c>
      <c r="H290" s="23">
        <f>VLOOKUP($B290,Chronologie[],COLUMN(H291)-2,TRUE)</f>
        <v>4</v>
      </c>
      <c r="I290" s="13" t="str">
        <f>VLOOKUP($B290,Chronologie[],2,TRUE)</f>
        <v>Z-L-4</v>
      </c>
      <c r="J290" s="244">
        <f>VLOOKUP($B290,Chronologie[],3,TRUE)</f>
        <v>45956</v>
      </c>
      <c r="K290" s="239" t="s">
        <v>12</v>
      </c>
      <c r="L290" s="239">
        <v>87</v>
      </c>
      <c r="M290" s="239">
        <v>93</v>
      </c>
      <c r="N290" s="239">
        <v>97</v>
      </c>
      <c r="O290" s="239">
        <v>90</v>
      </c>
      <c r="P290" s="239">
        <v>43</v>
      </c>
      <c r="Q290" s="239">
        <v>26</v>
      </c>
      <c r="R290" s="239">
        <v>51</v>
      </c>
      <c r="S290" s="239">
        <v>44</v>
      </c>
      <c r="T290" s="239">
        <v>1</v>
      </c>
      <c r="U290" s="239">
        <v>5</v>
      </c>
      <c r="V290" s="239">
        <v>1</v>
      </c>
      <c r="W290" s="239">
        <v>1</v>
      </c>
      <c r="X290" s="40">
        <v>1</v>
      </c>
      <c r="Y290" s="40">
        <v>0</v>
      </c>
      <c r="Z290" s="40">
        <v>1</v>
      </c>
      <c r="AA290" s="40">
        <v>1</v>
      </c>
      <c r="AB290" s="92">
        <v>446</v>
      </c>
      <c r="AC290" s="96">
        <f>IF(Eingabe[[#This Row],[V1]]="",IF(Eingabe[[#This Row],[Volle alternativ]]="","",Eingabe[[#This Row],[Volle alternativ]]),SUM(Eingabe[[#This Row],[V1]:[V4]]))</f>
        <v>367</v>
      </c>
      <c r="AD290" s="23">
        <f>IF(Eingabe[[#This Row],[R1]]="",IF(Eingabe[[#This Row],[Räumer alternativ]]="","",Eingabe[[#This Row],[Räumer alternativ]]),SUM(Eingabe[[#This Row],[R1]:[R4]]))</f>
        <v>164</v>
      </c>
      <c r="AE290" s="23">
        <f>IF(Eingabe[[#This Row],[F1]]="",IF(Eingabe[[#This Row],[Fehler alternativ]]="","",Eingabe[[#This Row],[Fehler alternativ]]),SUM(Eingabe[[#This Row],[F1]:[F4]]))</f>
        <v>8</v>
      </c>
      <c r="AF290" s="23">
        <f>IF(Eingabe[[#This Row],[Volle]]="","",IF(Eingabe[[#This Row],[S1]]="",Eingabe[[#This Row],[Volle]]+Eingabe[[#This Row],[Räumer]],IF(Eingabe[[#This Row],[Volle]]+Eingabe[[#This Row],[Räumer]]=Eingabe[[#This Row],[S1]]+Eingabe[[#This Row],[S2]]+Eingabe[[#This Row],[S3]]+Eingabe[[#This Row],[S4]],Eingabe[[#This Row],[Volle]]+Eingabe[[#This Row],[Räumer]],"FEHLER")))</f>
        <v>531</v>
      </c>
      <c r="AG290" s="23">
        <f>IF(Eingabe[[#This Row],[V1]]="","",Eingabe[[#This Row],[V1]]+Eingabe[[#This Row],[R1]])</f>
        <v>130</v>
      </c>
      <c r="AH290" s="23">
        <f>IF(Eingabe[[#This Row],[V2]]="","",Eingabe[[#This Row],[V2]]+Eingabe[[#This Row],[R2]])</f>
        <v>119</v>
      </c>
      <c r="AI290" s="23">
        <f>IF(Eingabe[[#This Row],[V3]]="","",Eingabe[[#This Row],[V3]]+Eingabe[[#This Row],[R3]])</f>
        <v>148</v>
      </c>
      <c r="AJ290" s="23">
        <f>IF(Eingabe[[#This Row],[V4]]="","",Eingabe[[#This Row],[V4]]+Eingabe[[#This Row],[R4]])</f>
        <v>134</v>
      </c>
      <c r="AK290" s="23">
        <f>IF(Eingabe[[#This Row],[S1P]]="","",Eingabe[[#This Row],[S1P]]+Eingabe[[#This Row],[S2P]]+Eingabe[[#This Row],[S3P]]+Eingabe[[#This Row],[S4P]])</f>
        <v>3</v>
      </c>
      <c r="AL290" s="23">
        <f>IF(Eingabe[[#This Row],[S1P]]="","",IF(Eingabe[[#This Row],[SP]]&gt;2,1,IF(Eingabe[[#This Row],[SP]]&lt;2,0,IF(Eingabe[[#This Row],[GES]]&gt;Eingabe[[#This Row],[GEGGES]],1,IF(Eingabe[[#This Row],[GES]]=Eingabe[[#This Row],[GEGGES]],0.5,0)))))</f>
        <v>1</v>
      </c>
      <c r="AM290" s="23">
        <f>IF(Eingabe[[#This Row],[MP]]="","",MOD(ROW(Eingabe[[#This Row],[Position]])-3,6)+1)</f>
        <v>6</v>
      </c>
      <c r="AN290" s="23">
        <f>STANDARDIZE(Eingabe[[#This Row],[GES]],Eingabe[[#This Row],[Schnitt]],VLOOKUP(Eingabe[[#This Row],[Name]],AuswertungG[],21,FALSE))</f>
        <v>-3.7037037037037035E-2</v>
      </c>
      <c r="AO290" s="23">
        <f>VLOOKUP(Eingabe[[#This Row],[ID]],Chronologie[[ID]:[KW]],12,FALSE)</f>
        <v>9</v>
      </c>
      <c r="AP290" s="59" t="str">
        <f>IF(Eingabe[[#This Row],[Wo]]="H",Eingabe[[#This Row],[Gegner]]&amp;" ["&amp;Eingabe[[#This Row],[Wo]]&amp;"]",Eingabe[[#This Row],[Ort]])</f>
        <v>KC "Gut Holz" Drebach [H]</v>
      </c>
      <c r="AQ290" s="23">
        <f>IFERROR(IF(Eingabe[[#This Row],[Wo]]="H",IF(MOD(Eingabe[[#This Row],[Position]],2)=1,Eingabe[[#This Row],[S1]],Eingabe[[#This Row],[S4]]),""),"")</f>
        <v>134</v>
      </c>
      <c r="AR290" s="23">
        <f>IFERROR(IF(Eingabe[[#This Row],[Wo]]="H",IF(Eingabe[[#This Row],[S1]]&gt;0,IF(MOD(Eingabe[[#This Row],[Position]],2)=1,Eingabe[[#This Row],[S2]],Eingabe[[#This Row],[S3]]),""),""),"")</f>
        <v>148</v>
      </c>
      <c r="AS290" s="23">
        <f>IFERROR(IF(Eingabe[[#This Row],[Wo]]="H",IF(Eingabe[[#This Row],[S1]]&gt;0,IF(MOD(ROW(Eingabe[[#This Row],[Heimbahn 3]]),2)=1,Eingabe[[#This Row],[S4]],Eingabe[[#This Row],[S1]]),""),""),"")</f>
        <v>130</v>
      </c>
      <c r="AT290" s="23">
        <f>IFERROR(IF(Eingabe[[#This Row],[Wo]]="H",IF(Eingabe[[#This Row],[S1]]&gt;0,IF(MOD(ROW(Eingabe[[#This Row],[Heimbahn 4]]),2)=1,Eingabe[[#This Row],[S3]],Eingabe[[#This Row],[S2]]),""),""),"")</f>
        <v>119</v>
      </c>
      <c r="AU290" s="89">
        <f>IF(Eingabe[[#This Row],[GES]]="","",IF(Eingabe[[#This Row],[Modus]]="L",_xlfn.RANK.EQ(Eingabe[[#This Row],[GES]],AF285:AF290),IF(Eingabe[[#This Row],[Modus]]="P",_xlfn.RANK.EQ(Eingabe[[#This Row],[GES]],AF285:AF290),"")))</f>
        <v>2</v>
      </c>
      <c r="AV290" s="6">
        <f>VLOOKUP(Eingabe[[#This Row],[Name]],AuswertungG[],8,FALSE)</f>
        <v>532</v>
      </c>
      <c r="AZ290" s="6">
        <f>IFERROR(ABS(Eingabe[[#This Row],[GES]]-Eingabe[[#This Row],[GEGGES]]),"")</f>
        <v>85</v>
      </c>
    </row>
    <row r="291" spans="1:52" ht="16.2" hidden="1" thickBot="1" x14ac:dyDescent="0.35">
      <c r="A291" s="440">
        <f t="shared" si="41"/>
        <v>49</v>
      </c>
      <c r="B291" s="55">
        <f t="shared" si="42"/>
        <v>49</v>
      </c>
      <c r="C291" s="35" t="str">
        <f>VLOOKUP($B291,Chronologie[],7,TRUE)</f>
        <v>TSV Geyer</v>
      </c>
      <c r="D291" s="35" t="str">
        <f>VLOOKUP($B291,Chronologie[],8,TRUE)</f>
        <v>Geyer</v>
      </c>
      <c r="E291" s="36" t="str">
        <f>VLOOKUP($B291,Chronologie[],9,TRUE)</f>
        <v>A</v>
      </c>
      <c r="F291" s="35" t="str">
        <f>VLOOKUP($B291,Chronologie[],COLUMN(F292)-2,TRUE)</f>
        <v>Z</v>
      </c>
      <c r="G291" s="35" t="str">
        <f>VLOOKUP($B291,Chronologie[],COLUMN(G292)-2,TRUE)</f>
        <v>L</v>
      </c>
      <c r="H291" s="35">
        <f>VLOOKUP($B291,Chronologie[],COLUMN(H292)-2,TRUE)</f>
        <v>5</v>
      </c>
      <c r="I291" s="9" t="str">
        <f>VLOOKUP($B291,Chronologie[],2,TRUE)</f>
        <v>Z-L-5</v>
      </c>
      <c r="J291" s="242">
        <f>VLOOKUP($B291,Chronologie[],3,TRUE)</f>
        <v>45970</v>
      </c>
      <c r="K291" s="236" t="s">
        <v>465</v>
      </c>
      <c r="L291" s="334">
        <v>96</v>
      </c>
      <c r="M291" s="334">
        <v>105</v>
      </c>
      <c r="N291" s="334">
        <v>94</v>
      </c>
      <c r="O291" s="334">
        <v>95</v>
      </c>
      <c r="P291" s="334">
        <v>43</v>
      </c>
      <c r="Q291" s="334">
        <v>45</v>
      </c>
      <c r="R291" s="334">
        <v>43</v>
      </c>
      <c r="S291" s="334">
        <v>53</v>
      </c>
      <c r="T291" s="334">
        <v>4</v>
      </c>
      <c r="U291" s="334">
        <v>0</v>
      </c>
      <c r="V291" s="334">
        <v>1</v>
      </c>
      <c r="W291" s="334">
        <v>3</v>
      </c>
      <c r="X291" s="37">
        <v>1</v>
      </c>
      <c r="Y291" s="37">
        <v>1</v>
      </c>
      <c r="Z291" s="37">
        <v>0</v>
      </c>
      <c r="AA291" s="37">
        <v>1</v>
      </c>
      <c r="AB291" s="90">
        <v>538</v>
      </c>
      <c r="AC291" s="93">
        <f>IF(Eingabe[[#This Row],[V1]]="",IF(Eingabe[[#This Row],[Volle alternativ]]="","",Eingabe[[#This Row],[Volle alternativ]]),SUM(Eingabe[[#This Row],[V1]:[V4]]))</f>
        <v>390</v>
      </c>
      <c r="AD291" s="35">
        <f>IF(Eingabe[[#This Row],[R1]]="",IF(Eingabe[[#This Row],[Räumer alternativ]]="","",Eingabe[[#This Row],[Räumer alternativ]]),SUM(Eingabe[[#This Row],[R1]:[R4]]))</f>
        <v>184</v>
      </c>
      <c r="AE291" s="35">
        <f>IF(Eingabe[[#This Row],[F1]]="",IF(Eingabe[[#This Row],[Fehler alternativ]]="","",Eingabe[[#This Row],[Fehler alternativ]]),SUM(Eingabe[[#This Row],[F1]:[F4]]))</f>
        <v>8</v>
      </c>
      <c r="AF291" s="35">
        <f>IF(Eingabe[[#This Row],[Volle]]="","",IF(Eingabe[[#This Row],[S1]]="",Eingabe[[#This Row],[Volle]]+Eingabe[[#This Row],[Räumer]],IF(Eingabe[[#This Row],[Volle]]+Eingabe[[#This Row],[Räumer]]=Eingabe[[#This Row],[S1]]+Eingabe[[#This Row],[S2]]+Eingabe[[#This Row],[S3]]+Eingabe[[#This Row],[S4]],Eingabe[[#This Row],[Volle]]+Eingabe[[#This Row],[Räumer]],"FEHLER")))</f>
        <v>574</v>
      </c>
      <c r="AG291" s="35">
        <f>IF(Eingabe[[#This Row],[V1]]="","",Eingabe[[#This Row],[V1]]+Eingabe[[#This Row],[R1]])</f>
        <v>139</v>
      </c>
      <c r="AH291" s="35">
        <f>IF(Eingabe[[#This Row],[V2]]="","",Eingabe[[#This Row],[V2]]+Eingabe[[#This Row],[R2]])</f>
        <v>150</v>
      </c>
      <c r="AI291" s="35">
        <f>IF(Eingabe[[#This Row],[V3]]="","",Eingabe[[#This Row],[V3]]+Eingabe[[#This Row],[R3]])</f>
        <v>137</v>
      </c>
      <c r="AJ291" s="35">
        <f>IF(Eingabe[[#This Row],[V4]]="","",Eingabe[[#This Row],[V4]]+Eingabe[[#This Row],[R4]])</f>
        <v>148</v>
      </c>
      <c r="AK291" s="35">
        <f>IF(Eingabe[[#This Row],[S1P]]="","",Eingabe[[#This Row],[S1P]]+Eingabe[[#This Row],[S2P]]+Eingabe[[#This Row],[S3P]]+Eingabe[[#This Row],[S4P]])</f>
        <v>3</v>
      </c>
      <c r="AL291" s="35">
        <f>IF(Eingabe[[#This Row],[S1P]]="","",IF(Eingabe[[#This Row],[SP]]&gt;2,1,IF(Eingabe[[#This Row],[SP]]&lt;2,0,IF(Eingabe[[#This Row],[GES]]&gt;Eingabe[[#This Row],[GEGGES]],1,IF(Eingabe[[#This Row],[GES]]=Eingabe[[#This Row],[GEGGES]],0.5,0)))))</f>
        <v>1</v>
      </c>
      <c r="AM291" s="35">
        <f>IF(Eingabe[[#This Row],[MP]]="","",MOD(ROW(Eingabe[[#This Row],[Position]])-3,6)+1)</f>
        <v>1</v>
      </c>
      <c r="AN291" s="35">
        <f>STANDARDIZE(Eingabe[[#This Row],[GES]],Eingabe[[#This Row],[Schnitt]],VLOOKUP(Eingabe[[#This Row],[Name]],AuswertungG[],21,FALSE))</f>
        <v>2.0869565217391304</v>
      </c>
      <c r="AO291" s="35">
        <f>VLOOKUP(Eingabe[[#This Row],[ID]],Chronologie[[ID]:[KW]],12,FALSE)</f>
        <v>11</v>
      </c>
      <c r="AP291" s="58" t="str">
        <f>IF(Eingabe[[#This Row],[Wo]]="H",Eingabe[[#This Row],[Gegner]]&amp;" ["&amp;Eingabe[[#This Row],[Wo]]&amp;"]",Eingabe[[#This Row],[Ort]])</f>
        <v>Geyer</v>
      </c>
      <c r="AQ291" s="35" t="str">
        <f>IFERROR(IF(Eingabe[[#This Row],[Wo]]="H",IF(MOD(Eingabe[[#This Row],[Position]],2)=1,Eingabe[[#This Row],[S1]],Eingabe[[#This Row],[S4]]),""),"")</f>
        <v/>
      </c>
      <c r="AR291" s="35" t="str">
        <f>IFERROR(IF(Eingabe[[#This Row],[Wo]]="H",IF(Eingabe[[#This Row],[S1]]&gt;0,IF(MOD(Eingabe[[#This Row],[Position]],2)=1,Eingabe[[#This Row],[S2]],Eingabe[[#This Row],[S3]]),""),""),"")</f>
        <v/>
      </c>
      <c r="AS291" s="35" t="str">
        <f>IFERROR(IF(Eingabe[[#This Row],[Wo]]="H",IF(Eingabe[[#This Row],[S1]]&gt;0,IF(MOD(ROW(Eingabe[[#This Row],[Heimbahn 3]]),2)=1,Eingabe[[#This Row],[S4]],Eingabe[[#This Row],[S1]]),""),""),"")</f>
        <v/>
      </c>
      <c r="AT291" s="35" t="str">
        <f>IFERROR(IF(Eingabe[[#This Row],[Wo]]="H",IF(Eingabe[[#This Row],[S1]]&gt;0,IF(MOD(ROW(Eingabe[[#This Row],[Heimbahn 4]]),2)=1,Eingabe[[#This Row],[S3]],Eingabe[[#This Row],[S2]]),""),""),"")</f>
        <v/>
      </c>
      <c r="AU291" s="88">
        <f>IF(Eingabe[[#This Row],[GES]]="","",IF(Eingabe[[#This Row],[Modus]]="L",_xlfn.RANK.EQ(Eingabe[[#This Row],[GES]],AF291:AF296),IF(Eingabe[[#This Row],[Modus]]="P",_xlfn.RANK.EQ(Eingabe[[#This Row],[GES]],AF291:AF296),"")))</f>
        <v>2</v>
      </c>
      <c r="AV291" s="6">
        <f>VLOOKUP(Eingabe[[#This Row],[Name]],AuswertungG[],8,FALSE)</f>
        <v>526</v>
      </c>
      <c r="AZ291" s="6">
        <f>IFERROR(ABS(Eingabe[[#This Row],[GES]]-Eingabe[[#This Row],[GEGGES]]),"")</f>
        <v>36</v>
      </c>
    </row>
    <row r="292" spans="1:52" ht="16.2" hidden="1" thickBot="1" x14ac:dyDescent="0.35">
      <c r="A292" s="441"/>
      <c r="B292" s="21">
        <f t="shared" si="42"/>
        <v>49</v>
      </c>
      <c r="C292" s="6" t="str">
        <f>VLOOKUP($B292,Chronologie[],7,TRUE)</f>
        <v>TSV Geyer</v>
      </c>
      <c r="D292" s="6" t="str">
        <f>VLOOKUP($B292,Chronologie[],8,TRUE)</f>
        <v>Geyer</v>
      </c>
      <c r="E292" s="240" t="str">
        <f>VLOOKUP($B292,Chronologie[],9,TRUE)</f>
        <v>A</v>
      </c>
      <c r="F292" s="6" t="str">
        <f>VLOOKUP($B292,Chronologie[],COLUMN(F293)-2,TRUE)</f>
        <v>Z</v>
      </c>
      <c r="G292" s="6" t="str">
        <f>VLOOKUP($B292,Chronologie[],COLUMN(G293)-2,TRUE)</f>
        <v>L</v>
      </c>
      <c r="H292" s="6">
        <f>VLOOKUP($B292,Chronologie[],COLUMN(H293)-2,TRUE)</f>
        <v>5</v>
      </c>
      <c r="I292" s="10" t="str">
        <f>VLOOKUP($B292,Chronologie[],2,TRUE)</f>
        <v>Z-L-5</v>
      </c>
      <c r="J292" s="243">
        <f>VLOOKUP($B292,Chronologie[],3,TRUE)</f>
        <v>45970</v>
      </c>
      <c r="K292" s="237" t="s">
        <v>689</v>
      </c>
      <c r="L292" s="237">
        <v>101</v>
      </c>
      <c r="M292" s="237">
        <v>84</v>
      </c>
      <c r="N292" s="237">
        <v>93</v>
      </c>
      <c r="O292" s="237">
        <v>98</v>
      </c>
      <c r="P292" s="237">
        <v>45</v>
      </c>
      <c r="Q292" s="237">
        <v>43</v>
      </c>
      <c r="R292" s="237">
        <v>45</v>
      </c>
      <c r="S292" s="237">
        <v>51</v>
      </c>
      <c r="T292" s="237">
        <v>2</v>
      </c>
      <c r="U292" s="237">
        <v>0</v>
      </c>
      <c r="V292" s="237">
        <v>1</v>
      </c>
      <c r="W292" s="237">
        <v>3</v>
      </c>
      <c r="X292" s="38">
        <v>0</v>
      </c>
      <c r="Y292" s="38">
        <v>0</v>
      </c>
      <c r="Z292" s="38">
        <v>1</v>
      </c>
      <c r="AA292" s="38">
        <v>1</v>
      </c>
      <c r="AB292" s="91">
        <v>588</v>
      </c>
      <c r="AC292" s="94">
        <f>IF(Eingabe[[#This Row],[V1]]="",IF(Eingabe[[#This Row],[Volle alternativ]]="","",Eingabe[[#This Row],[Volle alternativ]]),SUM(Eingabe[[#This Row],[V1]:[V4]]))</f>
        <v>376</v>
      </c>
      <c r="AD292" s="6">
        <f>IF(Eingabe[[#This Row],[R1]]="",IF(Eingabe[[#This Row],[Räumer alternativ]]="","",Eingabe[[#This Row],[Räumer alternativ]]),SUM(Eingabe[[#This Row],[R1]:[R4]]))</f>
        <v>184</v>
      </c>
      <c r="AE292" s="6">
        <f>IF(Eingabe[[#This Row],[F1]]="",IF(Eingabe[[#This Row],[Fehler alternativ]]="","",Eingabe[[#This Row],[Fehler alternativ]]),SUM(Eingabe[[#This Row],[F1]:[F4]]))</f>
        <v>6</v>
      </c>
      <c r="AF292" s="6">
        <f>IF(Eingabe[[#This Row],[Volle]]="","",IF(Eingabe[[#This Row],[S1]]="",Eingabe[[#This Row],[Volle]]+Eingabe[[#This Row],[Räumer]],IF(Eingabe[[#This Row],[Volle]]+Eingabe[[#This Row],[Räumer]]=Eingabe[[#This Row],[S1]]+Eingabe[[#This Row],[S2]]+Eingabe[[#This Row],[S3]]+Eingabe[[#This Row],[S4]],Eingabe[[#This Row],[Volle]]+Eingabe[[#This Row],[Räumer]],"FEHLER")))</f>
        <v>560</v>
      </c>
      <c r="AG292" s="6">
        <f>IF(Eingabe[[#This Row],[V1]]="","",Eingabe[[#This Row],[V1]]+Eingabe[[#This Row],[R1]])</f>
        <v>146</v>
      </c>
      <c r="AH292" s="6">
        <f>IF(Eingabe[[#This Row],[V2]]="","",Eingabe[[#This Row],[V2]]+Eingabe[[#This Row],[R2]])</f>
        <v>127</v>
      </c>
      <c r="AI292" s="6">
        <f>IF(Eingabe[[#This Row],[V3]]="","",Eingabe[[#This Row],[V3]]+Eingabe[[#This Row],[R3]])</f>
        <v>138</v>
      </c>
      <c r="AJ292" s="6">
        <f>IF(Eingabe[[#This Row],[V4]]="","",Eingabe[[#This Row],[V4]]+Eingabe[[#This Row],[R4]])</f>
        <v>149</v>
      </c>
      <c r="AK292" s="6">
        <f>IF(Eingabe[[#This Row],[S1P]]="","",Eingabe[[#This Row],[S1P]]+Eingabe[[#This Row],[S2P]]+Eingabe[[#This Row],[S3P]]+Eingabe[[#This Row],[S4P]])</f>
        <v>2</v>
      </c>
      <c r="AL292" s="6">
        <f>IF(Eingabe[[#This Row],[S1P]]="","",IF(Eingabe[[#This Row],[SP]]&gt;2,1,IF(Eingabe[[#This Row],[SP]]&lt;2,0,IF(Eingabe[[#This Row],[GES]]&gt;Eingabe[[#This Row],[GEGGES]],1,IF(Eingabe[[#This Row],[GES]]=Eingabe[[#This Row],[GEGGES]],0.5,0)))))</f>
        <v>0</v>
      </c>
      <c r="AM292" s="6">
        <f>IF(Eingabe[[#This Row],[MP]]="","",MOD(ROW(Eingabe[[#This Row],[Position]])-3,6)+1)</f>
        <v>2</v>
      </c>
      <c r="AN292" s="6">
        <f>STANDARDIZE(Eingabe[[#This Row],[GES]],Eingabe[[#This Row],[Schnitt]],VLOOKUP(Eingabe[[#This Row],[Name]],AuswertungG[],21,FALSE))</f>
        <v>1.25</v>
      </c>
      <c r="AO292" s="6">
        <f>VLOOKUP(Eingabe[[#This Row],[ID]],Chronologie[[ID]:[KW]],12,FALSE)</f>
        <v>11</v>
      </c>
      <c r="AP292" s="95" t="str">
        <f>IF(Eingabe[[#This Row],[Wo]]="H",Eingabe[[#This Row],[Gegner]]&amp;" ["&amp;Eingabe[[#This Row],[Wo]]&amp;"]",Eingabe[[#This Row],[Ort]])</f>
        <v>Geyer</v>
      </c>
      <c r="AQ292" s="6" t="str">
        <f>IFERROR(IF(Eingabe[[#This Row],[Wo]]="H",IF(MOD(Eingabe[[#This Row],[Position]],2)=1,Eingabe[[#This Row],[S1]],Eingabe[[#This Row],[S4]]),""),"")</f>
        <v/>
      </c>
      <c r="AR292" s="6" t="str">
        <f>IFERROR(IF(Eingabe[[#This Row],[Wo]]="H",IF(Eingabe[[#This Row],[S1]]&gt;0,IF(MOD(Eingabe[[#This Row],[Position]],2)=1,Eingabe[[#This Row],[S2]],Eingabe[[#This Row],[S3]]),""),""),"")</f>
        <v/>
      </c>
      <c r="AS292" s="6" t="str">
        <f>IFERROR(IF(Eingabe[[#This Row],[Wo]]="H",IF(Eingabe[[#This Row],[S1]]&gt;0,IF(MOD(ROW(Eingabe[[#This Row],[Heimbahn 3]]),2)=1,Eingabe[[#This Row],[S4]],Eingabe[[#This Row],[S1]]),""),""),"")</f>
        <v/>
      </c>
      <c r="AT292" s="6" t="str">
        <f>IFERROR(IF(Eingabe[[#This Row],[Wo]]="H",IF(Eingabe[[#This Row],[S1]]&gt;0,IF(MOD(ROW(Eingabe[[#This Row],[Heimbahn 4]]),2)=1,Eingabe[[#This Row],[S3]],Eingabe[[#This Row],[S2]]),""),""),"")</f>
        <v/>
      </c>
      <c r="AU292" s="22">
        <f>IF(Eingabe[[#This Row],[GES]]="","",IF(Eingabe[[#This Row],[Modus]]="L",_xlfn.RANK.EQ(Eingabe[[#This Row],[GES]],AF291:AF296),IF(Eingabe[[#This Row],[Modus]]="P",_xlfn.RANK.EQ(Eingabe[[#This Row],[GES]],AF291:AF296),"")))</f>
        <v>4</v>
      </c>
      <c r="AV292" s="6">
        <f>VLOOKUP(Eingabe[[#This Row],[Name]],AuswertungG[],8,FALSE)</f>
        <v>525</v>
      </c>
      <c r="AZ292" s="6">
        <f>IFERROR(ABS(Eingabe[[#This Row],[GES]]-Eingabe[[#This Row],[GEGGES]]),"")</f>
        <v>28</v>
      </c>
    </row>
    <row r="293" spans="1:52" ht="16.2" hidden="1" thickBot="1" x14ac:dyDescent="0.35">
      <c r="A293" s="441"/>
      <c r="B293" s="21">
        <f t="shared" si="42"/>
        <v>49</v>
      </c>
      <c r="C293" s="6" t="str">
        <f>VLOOKUP($B293,Chronologie[],7,TRUE)</f>
        <v>TSV Geyer</v>
      </c>
      <c r="D293" s="6" t="str">
        <f>VLOOKUP($B293,Chronologie[],8,TRUE)</f>
        <v>Geyer</v>
      </c>
      <c r="E293" s="240" t="str">
        <f>VLOOKUP($B293,Chronologie[],9,TRUE)</f>
        <v>A</v>
      </c>
      <c r="F293" s="6" t="str">
        <f>VLOOKUP($B293,Chronologie[],COLUMN(F294)-2,TRUE)</f>
        <v>Z</v>
      </c>
      <c r="G293" s="6" t="str">
        <f>VLOOKUP($B293,Chronologie[],COLUMN(G294)-2,TRUE)</f>
        <v>L</v>
      </c>
      <c r="H293" s="6">
        <f>VLOOKUP($B293,Chronologie[],COLUMN(H294)-2,TRUE)</f>
        <v>5</v>
      </c>
      <c r="I293" s="10" t="str">
        <f>VLOOKUP($B293,Chronologie[],2,TRUE)</f>
        <v>Z-L-5</v>
      </c>
      <c r="J293" s="243">
        <f>VLOOKUP($B293,Chronologie[],3,TRUE)</f>
        <v>45970</v>
      </c>
      <c r="K293" s="237" t="s">
        <v>661</v>
      </c>
      <c r="L293" s="237">
        <v>95</v>
      </c>
      <c r="M293" s="237">
        <v>78</v>
      </c>
      <c r="N293" s="237">
        <v>96</v>
      </c>
      <c r="O293" s="237">
        <v>97</v>
      </c>
      <c r="P293" s="237">
        <v>45</v>
      </c>
      <c r="Q293" s="237">
        <v>54</v>
      </c>
      <c r="R293" s="237">
        <v>53</v>
      </c>
      <c r="S293" s="237">
        <v>44</v>
      </c>
      <c r="T293" s="237">
        <v>1</v>
      </c>
      <c r="U293" s="237">
        <v>2</v>
      </c>
      <c r="V293" s="237">
        <v>0</v>
      </c>
      <c r="W293" s="237">
        <v>1</v>
      </c>
      <c r="X293" s="38">
        <v>0</v>
      </c>
      <c r="Y293" s="38">
        <v>1</v>
      </c>
      <c r="Z293" s="38">
        <v>0.5</v>
      </c>
      <c r="AA293" s="38">
        <v>1</v>
      </c>
      <c r="AB293" s="91">
        <v>554</v>
      </c>
      <c r="AC293" s="94">
        <f>IF(Eingabe[[#This Row],[V1]]="",IF(Eingabe[[#This Row],[Volle alternativ]]="","",Eingabe[[#This Row],[Volle alternativ]]),SUM(Eingabe[[#This Row],[V1]:[V4]]))</f>
        <v>366</v>
      </c>
      <c r="AD293" s="6">
        <f>IF(Eingabe[[#This Row],[R1]]="",IF(Eingabe[[#This Row],[Räumer alternativ]]="","",Eingabe[[#This Row],[Räumer alternativ]]),SUM(Eingabe[[#This Row],[R1]:[R4]]))</f>
        <v>196</v>
      </c>
      <c r="AE293" s="6">
        <f>IF(Eingabe[[#This Row],[F1]]="",IF(Eingabe[[#This Row],[Fehler alternativ]]="","",Eingabe[[#This Row],[Fehler alternativ]]),SUM(Eingabe[[#This Row],[F1]:[F4]]))</f>
        <v>4</v>
      </c>
      <c r="AF293" s="6">
        <f>IF(Eingabe[[#This Row],[Volle]]="","",IF(Eingabe[[#This Row],[S1]]="",Eingabe[[#This Row],[Volle]]+Eingabe[[#This Row],[Räumer]],IF(Eingabe[[#This Row],[Volle]]+Eingabe[[#This Row],[Räumer]]=Eingabe[[#This Row],[S1]]+Eingabe[[#This Row],[S2]]+Eingabe[[#This Row],[S3]]+Eingabe[[#This Row],[S4]],Eingabe[[#This Row],[Volle]]+Eingabe[[#This Row],[Räumer]],"FEHLER")))</f>
        <v>562</v>
      </c>
      <c r="AG293" s="6">
        <f>IF(Eingabe[[#This Row],[V1]]="","",Eingabe[[#This Row],[V1]]+Eingabe[[#This Row],[R1]])</f>
        <v>140</v>
      </c>
      <c r="AH293" s="6">
        <f>IF(Eingabe[[#This Row],[V2]]="","",Eingabe[[#This Row],[V2]]+Eingabe[[#This Row],[R2]])</f>
        <v>132</v>
      </c>
      <c r="AI293" s="6">
        <f>IF(Eingabe[[#This Row],[V3]]="","",Eingabe[[#This Row],[V3]]+Eingabe[[#This Row],[R3]])</f>
        <v>149</v>
      </c>
      <c r="AJ293" s="6">
        <f>IF(Eingabe[[#This Row],[V4]]="","",Eingabe[[#This Row],[V4]]+Eingabe[[#This Row],[R4]])</f>
        <v>141</v>
      </c>
      <c r="AK293" s="6">
        <f>IF(Eingabe[[#This Row],[S1P]]="","",Eingabe[[#This Row],[S1P]]+Eingabe[[#This Row],[S2P]]+Eingabe[[#This Row],[S3P]]+Eingabe[[#This Row],[S4P]])</f>
        <v>2.5</v>
      </c>
      <c r="AL293" s="6">
        <f>IF(Eingabe[[#This Row],[S1P]]="","",IF(Eingabe[[#This Row],[SP]]&gt;2,1,IF(Eingabe[[#This Row],[SP]]&lt;2,0,IF(Eingabe[[#This Row],[GES]]&gt;Eingabe[[#This Row],[GEGGES]],1,IF(Eingabe[[#This Row],[GES]]=Eingabe[[#This Row],[GEGGES]],0.5,0)))))</f>
        <v>1</v>
      </c>
      <c r="AM293" s="6">
        <f>IF(Eingabe[[#This Row],[MP]]="","",MOD(ROW(Eingabe[[#This Row],[Position]])-3,6)+1)</f>
        <v>3</v>
      </c>
      <c r="AN293" s="6">
        <f>STANDARDIZE(Eingabe[[#This Row],[GES]],Eingabe[[#This Row],[Schnitt]],VLOOKUP(Eingabe[[#This Row],[Name]],AuswertungG[],21,FALSE))</f>
        <v>1.4814814814814814</v>
      </c>
      <c r="AO293" s="6">
        <f>VLOOKUP(Eingabe[[#This Row],[ID]],Chronologie[[ID]:[KW]],12,FALSE)</f>
        <v>11</v>
      </c>
      <c r="AP293" s="95" t="str">
        <f>IF(Eingabe[[#This Row],[Wo]]="H",Eingabe[[#This Row],[Gegner]]&amp;" ["&amp;Eingabe[[#This Row],[Wo]]&amp;"]",Eingabe[[#This Row],[Ort]])</f>
        <v>Geyer</v>
      </c>
      <c r="AQ293" s="6" t="str">
        <f>IFERROR(IF(Eingabe[[#This Row],[Wo]]="H",IF(MOD(Eingabe[[#This Row],[Position]],2)=1,Eingabe[[#This Row],[S1]],Eingabe[[#This Row],[S4]]),""),"")</f>
        <v/>
      </c>
      <c r="AR293" s="6" t="str">
        <f>IFERROR(IF(Eingabe[[#This Row],[Wo]]="H",IF(Eingabe[[#This Row],[S1]]&gt;0,IF(MOD(Eingabe[[#This Row],[Position]],2)=1,Eingabe[[#This Row],[S2]],Eingabe[[#This Row],[S3]]),""),""),"")</f>
        <v/>
      </c>
      <c r="AS293" s="6" t="str">
        <f>IFERROR(IF(Eingabe[[#This Row],[Wo]]="H",IF(Eingabe[[#This Row],[S1]]&gt;0,IF(MOD(ROW(Eingabe[[#This Row],[Heimbahn 3]]),2)=1,Eingabe[[#This Row],[S4]],Eingabe[[#This Row],[S1]]),""),""),"")</f>
        <v/>
      </c>
      <c r="AT293" s="6" t="str">
        <f>IFERROR(IF(Eingabe[[#This Row],[Wo]]="H",IF(Eingabe[[#This Row],[S1]]&gt;0,IF(MOD(ROW(Eingabe[[#This Row],[Heimbahn 4]]),2)=1,Eingabe[[#This Row],[S3]],Eingabe[[#This Row],[S2]]),""),""),"")</f>
        <v/>
      </c>
      <c r="AU293" s="22">
        <f>IF(Eingabe[[#This Row],[GES]]="","",IF(Eingabe[[#This Row],[Modus]]="L",_xlfn.RANK.EQ(Eingabe[[#This Row],[GES]],AF291:AF296),IF(Eingabe[[#This Row],[Modus]]="P",_xlfn.RANK.EQ(Eingabe[[#This Row],[GES]],AF291:AF296),"")))</f>
        <v>3</v>
      </c>
      <c r="AV293" s="6">
        <f>VLOOKUP(Eingabe[[#This Row],[Name]],AuswertungG[],8,FALSE)</f>
        <v>522</v>
      </c>
      <c r="AZ293" s="6">
        <f>IFERROR(ABS(Eingabe[[#This Row],[GES]]-Eingabe[[#This Row],[GEGGES]]),"")</f>
        <v>8</v>
      </c>
    </row>
    <row r="294" spans="1:52" ht="16.2" hidden="1" thickBot="1" x14ac:dyDescent="0.35">
      <c r="A294" s="441"/>
      <c r="B294" s="21">
        <f t="shared" si="42"/>
        <v>49</v>
      </c>
      <c r="C294" s="6" t="str">
        <f>VLOOKUP($B294,Chronologie[],7,TRUE)</f>
        <v>TSV Geyer</v>
      </c>
      <c r="D294" s="6" t="str">
        <f>VLOOKUP($B294,Chronologie[],8,TRUE)</f>
        <v>Geyer</v>
      </c>
      <c r="E294" s="240" t="str">
        <f>VLOOKUP($B294,Chronologie[],9,TRUE)</f>
        <v>A</v>
      </c>
      <c r="F294" s="6" t="str">
        <f>VLOOKUP($B294,Chronologie[],COLUMN(F295)-2,TRUE)</f>
        <v>Z</v>
      </c>
      <c r="G294" s="6" t="str">
        <f>VLOOKUP($B294,Chronologie[],COLUMN(G295)-2,TRUE)</f>
        <v>L</v>
      </c>
      <c r="H294" s="6">
        <f>VLOOKUP($B294,Chronologie[],COLUMN(H295)-2,TRUE)</f>
        <v>5</v>
      </c>
      <c r="I294" s="10" t="str">
        <f>VLOOKUP($B294,Chronologie[],2,TRUE)</f>
        <v>Z-L-5</v>
      </c>
      <c r="J294" s="243">
        <f>VLOOKUP($B294,Chronologie[],3,TRUE)</f>
        <v>45970</v>
      </c>
      <c r="K294" s="238" t="s">
        <v>490</v>
      </c>
      <c r="L294" s="237">
        <v>96</v>
      </c>
      <c r="M294" s="237">
        <v>94</v>
      </c>
      <c r="N294" s="237">
        <v>95</v>
      </c>
      <c r="O294" s="237">
        <v>95</v>
      </c>
      <c r="P294" s="237">
        <v>62</v>
      </c>
      <c r="Q294" s="237">
        <v>63</v>
      </c>
      <c r="R294" s="237">
        <v>61</v>
      </c>
      <c r="S294" s="237">
        <v>61</v>
      </c>
      <c r="T294" s="237">
        <v>0</v>
      </c>
      <c r="U294" s="237">
        <v>0</v>
      </c>
      <c r="V294" s="237">
        <v>1</v>
      </c>
      <c r="W294" s="237">
        <v>1</v>
      </c>
      <c r="X294" s="38">
        <v>1</v>
      </c>
      <c r="Y294" s="38">
        <v>1</v>
      </c>
      <c r="Z294" s="38">
        <v>1</v>
      </c>
      <c r="AA294" s="38">
        <v>1</v>
      </c>
      <c r="AB294" s="91">
        <v>508</v>
      </c>
      <c r="AC294" s="94">
        <f>IF(Eingabe[[#This Row],[V1]]="",IF(Eingabe[[#This Row],[Volle alternativ]]="","",Eingabe[[#This Row],[Volle alternativ]]),SUM(Eingabe[[#This Row],[V1]:[V4]]))</f>
        <v>380</v>
      </c>
      <c r="AD294" s="6">
        <f>IF(Eingabe[[#This Row],[R1]]="",IF(Eingabe[[#This Row],[Räumer alternativ]]="","",Eingabe[[#This Row],[Räumer alternativ]]),SUM(Eingabe[[#This Row],[R1]:[R4]]))</f>
        <v>247</v>
      </c>
      <c r="AE294" s="6">
        <f>IF(Eingabe[[#This Row],[F1]]="",IF(Eingabe[[#This Row],[Fehler alternativ]]="","",Eingabe[[#This Row],[Fehler alternativ]]),SUM(Eingabe[[#This Row],[F1]:[F4]]))</f>
        <v>2</v>
      </c>
      <c r="AF294" s="6">
        <f>IF(Eingabe[[#This Row],[Volle]]="","",IF(Eingabe[[#This Row],[S1]]="",Eingabe[[#This Row],[Volle]]+Eingabe[[#This Row],[Räumer]],IF(Eingabe[[#This Row],[Volle]]+Eingabe[[#This Row],[Räumer]]=Eingabe[[#This Row],[S1]]+Eingabe[[#This Row],[S2]]+Eingabe[[#This Row],[S3]]+Eingabe[[#This Row],[S4]],Eingabe[[#This Row],[Volle]]+Eingabe[[#This Row],[Räumer]],"FEHLER")))</f>
        <v>627</v>
      </c>
      <c r="AG294" s="6">
        <f>IF(Eingabe[[#This Row],[V1]]="","",Eingabe[[#This Row],[V1]]+Eingabe[[#This Row],[R1]])</f>
        <v>158</v>
      </c>
      <c r="AH294" s="6">
        <f>IF(Eingabe[[#This Row],[V2]]="","",Eingabe[[#This Row],[V2]]+Eingabe[[#This Row],[R2]])</f>
        <v>157</v>
      </c>
      <c r="AI294" s="6">
        <f>IF(Eingabe[[#This Row],[V3]]="","",Eingabe[[#This Row],[V3]]+Eingabe[[#This Row],[R3]])</f>
        <v>156</v>
      </c>
      <c r="AJ294" s="6">
        <f>IF(Eingabe[[#This Row],[V4]]="","",Eingabe[[#This Row],[V4]]+Eingabe[[#This Row],[R4]])</f>
        <v>156</v>
      </c>
      <c r="AK294" s="6">
        <f>IF(Eingabe[[#This Row],[S1P]]="","",Eingabe[[#This Row],[S1P]]+Eingabe[[#This Row],[S2P]]+Eingabe[[#This Row],[S3P]]+Eingabe[[#This Row],[S4P]])</f>
        <v>4</v>
      </c>
      <c r="AL294" s="6">
        <f>IF(Eingabe[[#This Row],[S1P]]="","",IF(Eingabe[[#This Row],[SP]]&gt;2,1,IF(Eingabe[[#This Row],[SP]]&lt;2,0,IF(Eingabe[[#This Row],[GES]]&gt;Eingabe[[#This Row],[GEGGES]],1,IF(Eingabe[[#This Row],[GES]]=Eingabe[[#This Row],[GEGGES]],0.5,0)))))</f>
        <v>1</v>
      </c>
      <c r="AM294" s="6">
        <f>IF(Eingabe[[#This Row],[MP]]="","",MOD(ROW(Eingabe[[#This Row],[Position]])-3,6)+1)</f>
        <v>4</v>
      </c>
      <c r="AN294" s="6">
        <f>STANDARDIZE(Eingabe[[#This Row],[GES]],Eingabe[[#This Row],[Schnitt]],VLOOKUP(Eingabe[[#This Row],[Name]],AuswertungG[],21,FALSE))</f>
        <v>2.1960784313725492</v>
      </c>
      <c r="AO294" s="6">
        <f>VLOOKUP(Eingabe[[#This Row],[ID]],Chronologie[[ID]:[KW]],12,FALSE)</f>
        <v>11</v>
      </c>
      <c r="AP294" s="95" t="str">
        <f>IF(Eingabe[[#This Row],[Wo]]="H",Eingabe[[#This Row],[Gegner]]&amp;" ["&amp;Eingabe[[#This Row],[Wo]]&amp;"]",Eingabe[[#This Row],[Ort]])</f>
        <v>Geyer</v>
      </c>
      <c r="AQ294" s="6" t="str">
        <f>IFERROR(IF(Eingabe[[#This Row],[Wo]]="H",IF(MOD(Eingabe[[#This Row],[Position]],2)=1,Eingabe[[#This Row],[S1]],Eingabe[[#This Row],[S4]]),""),"")</f>
        <v/>
      </c>
      <c r="AR294" s="6" t="str">
        <f>IFERROR(IF(Eingabe[[#This Row],[Wo]]="H",IF(Eingabe[[#This Row],[S1]]&gt;0,IF(MOD(Eingabe[[#This Row],[Position]],2)=1,Eingabe[[#This Row],[S2]],Eingabe[[#This Row],[S3]]),""),""),"")</f>
        <v/>
      </c>
      <c r="AS294" s="6" t="str">
        <f>IFERROR(IF(Eingabe[[#This Row],[Wo]]="H",IF(Eingabe[[#This Row],[S1]]&gt;0,IF(MOD(ROW(Eingabe[[#This Row],[Heimbahn 3]]),2)=1,Eingabe[[#This Row],[S4]],Eingabe[[#This Row],[S1]]),""),""),"")</f>
        <v/>
      </c>
      <c r="AT294" s="6" t="str">
        <f>IFERROR(IF(Eingabe[[#This Row],[Wo]]="H",IF(Eingabe[[#This Row],[S1]]&gt;0,IF(MOD(ROW(Eingabe[[#This Row],[Heimbahn 4]]),2)=1,Eingabe[[#This Row],[S3]],Eingabe[[#This Row],[S2]]),""),""),"")</f>
        <v/>
      </c>
      <c r="AU294" s="22">
        <f>IF(Eingabe[[#This Row],[GES]]="","",IF(Eingabe[[#This Row],[Modus]]="L",_xlfn.RANK.EQ(Eingabe[[#This Row],[GES]],AF291:AF296),IF(Eingabe[[#This Row],[Modus]]="P",_xlfn.RANK.EQ(Eingabe[[#This Row],[GES]],AF291:AF296),"")))</f>
        <v>1</v>
      </c>
      <c r="AV294" s="6">
        <f>VLOOKUP(Eingabe[[#This Row],[Name]],AuswertungG[],8,FALSE)</f>
        <v>515</v>
      </c>
      <c r="AZ294" s="6">
        <f>IFERROR(ABS(Eingabe[[#This Row],[GES]]-Eingabe[[#This Row],[GEGGES]]),"")</f>
        <v>119</v>
      </c>
    </row>
    <row r="295" spans="1:52" ht="16.2" hidden="1" thickBot="1" x14ac:dyDescent="0.35">
      <c r="A295" s="441"/>
      <c r="B295" s="21">
        <f t="shared" si="42"/>
        <v>49</v>
      </c>
      <c r="C295" s="6" t="str">
        <f>VLOOKUP($B295,Chronologie[],7,TRUE)</f>
        <v>TSV Geyer</v>
      </c>
      <c r="D295" s="6" t="str">
        <f>VLOOKUP($B295,Chronologie[],8,TRUE)</f>
        <v>Geyer</v>
      </c>
      <c r="E295" s="240" t="str">
        <f>VLOOKUP($B295,Chronologie[],9,TRUE)</f>
        <v>A</v>
      </c>
      <c r="F295" s="6" t="str">
        <f>VLOOKUP($B295,Chronologie[],COLUMN(F296)-2,TRUE)</f>
        <v>Z</v>
      </c>
      <c r="G295" s="6" t="str">
        <f>VLOOKUP($B295,Chronologie[],COLUMN(G296)-2,TRUE)</f>
        <v>L</v>
      </c>
      <c r="H295" s="6">
        <f>VLOOKUP($B295,Chronologie[],COLUMN(H296)-2,TRUE)</f>
        <v>5</v>
      </c>
      <c r="I295" s="10" t="str">
        <f>VLOOKUP($B295,Chronologie[],2,TRUE)</f>
        <v>Z-L-5</v>
      </c>
      <c r="J295" s="243">
        <f>VLOOKUP($B295,Chronologie[],3,TRUE)</f>
        <v>45970</v>
      </c>
      <c r="K295" s="237" t="s">
        <v>478</v>
      </c>
      <c r="L295" s="237">
        <v>86</v>
      </c>
      <c r="M295" s="237">
        <v>92</v>
      </c>
      <c r="N295" s="237">
        <v>101</v>
      </c>
      <c r="O295" s="237">
        <v>101</v>
      </c>
      <c r="P295" s="237">
        <v>63</v>
      </c>
      <c r="Q295" s="237">
        <v>35</v>
      </c>
      <c r="R295" s="237">
        <v>27</v>
      </c>
      <c r="S295" s="237">
        <v>53</v>
      </c>
      <c r="T295" s="237">
        <v>0</v>
      </c>
      <c r="U295" s="237">
        <v>2</v>
      </c>
      <c r="V295" s="237">
        <v>2</v>
      </c>
      <c r="W295" s="237">
        <v>0</v>
      </c>
      <c r="X295" s="38">
        <v>0</v>
      </c>
      <c r="Y295" s="38">
        <v>0</v>
      </c>
      <c r="Z295" s="38">
        <v>0</v>
      </c>
      <c r="AA295" s="38">
        <v>1</v>
      </c>
      <c r="AB295" s="91">
        <v>595</v>
      </c>
      <c r="AC295" s="94">
        <f>IF(Eingabe[[#This Row],[V1]]="",IF(Eingabe[[#This Row],[Volle alternativ]]="","",Eingabe[[#This Row],[Volle alternativ]]),SUM(Eingabe[[#This Row],[V1]:[V4]]))</f>
        <v>380</v>
      </c>
      <c r="AD295" s="6">
        <f>IF(Eingabe[[#This Row],[R1]]="",IF(Eingabe[[#This Row],[Räumer alternativ]]="","",Eingabe[[#This Row],[Räumer alternativ]]),SUM(Eingabe[[#This Row],[R1]:[R4]]))</f>
        <v>178</v>
      </c>
      <c r="AE295" s="6">
        <f>IF(Eingabe[[#This Row],[F1]]="",IF(Eingabe[[#This Row],[Fehler alternativ]]="","",Eingabe[[#This Row],[Fehler alternativ]]),SUM(Eingabe[[#This Row],[F1]:[F4]]))</f>
        <v>4</v>
      </c>
      <c r="AF295" s="6">
        <f>IF(Eingabe[[#This Row],[Volle]]="","",IF(Eingabe[[#This Row],[S1]]="",Eingabe[[#This Row],[Volle]]+Eingabe[[#This Row],[Räumer]],IF(Eingabe[[#This Row],[Volle]]+Eingabe[[#This Row],[Räumer]]=Eingabe[[#This Row],[S1]]+Eingabe[[#This Row],[S2]]+Eingabe[[#This Row],[S3]]+Eingabe[[#This Row],[S4]],Eingabe[[#This Row],[Volle]]+Eingabe[[#This Row],[Räumer]],"FEHLER")))</f>
        <v>558</v>
      </c>
      <c r="AG295" s="6">
        <f>IF(Eingabe[[#This Row],[V1]]="","",Eingabe[[#This Row],[V1]]+Eingabe[[#This Row],[R1]])</f>
        <v>149</v>
      </c>
      <c r="AH295" s="6">
        <f>IF(Eingabe[[#This Row],[V2]]="","",Eingabe[[#This Row],[V2]]+Eingabe[[#This Row],[R2]])</f>
        <v>127</v>
      </c>
      <c r="AI295" s="6">
        <f>IF(Eingabe[[#This Row],[V3]]="","",Eingabe[[#This Row],[V3]]+Eingabe[[#This Row],[R3]])</f>
        <v>128</v>
      </c>
      <c r="AJ295" s="6">
        <f>IF(Eingabe[[#This Row],[V4]]="","",Eingabe[[#This Row],[V4]]+Eingabe[[#This Row],[R4]])</f>
        <v>154</v>
      </c>
      <c r="AK295" s="6">
        <f>IF(Eingabe[[#This Row],[S1P]]="","",Eingabe[[#This Row],[S1P]]+Eingabe[[#This Row],[S2P]]+Eingabe[[#This Row],[S3P]]+Eingabe[[#This Row],[S4P]])</f>
        <v>1</v>
      </c>
      <c r="AL295" s="6">
        <f>IF(Eingabe[[#This Row],[S1P]]="","",IF(Eingabe[[#This Row],[SP]]&gt;2,1,IF(Eingabe[[#This Row],[SP]]&lt;2,0,IF(Eingabe[[#This Row],[GES]]&gt;Eingabe[[#This Row],[GEGGES]],1,IF(Eingabe[[#This Row],[GES]]=Eingabe[[#This Row],[GEGGES]],0.5,0)))))</f>
        <v>0</v>
      </c>
      <c r="AM295" s="6">
        <f>IF(Eingabe[[#This Row],[MP]]="","",MOD(ROW(Eingabe[[#This Row],[Position]])-3,6)+1)</f>
        <v>5</v>
      </c>
      <c r="AN295" s="6">
        <f>STANDARDIZE(Eingabe[[#This Row],[GES]],Eingabe[[#This Row],[Schnitt]],VLOOKUP(Eingabe[[#This Row],[Name]],AuswertungG[],21,FALSE))</f>
        <v>1.5</v>
      </c>
      <c r="AO295" s="6">
        <f>VLOOKUP(Eingabe[[#This Row],[ID]],Chronologie[[ID]:[KW]],12,FALSE)</f>
        <v>11</v>
      </c>
      <c r="AP295" s="95" t="str">
        <f>IF(Eingabe[[#This Row],[Wo]]="H",Eingabe[[#This Row],[Gegner]]&amp;" ["&amp;Eingabe[[#This Row],[Wo]]&amp;"]",Eingabe[[#This Row],[Ort]])</f>
        <v>Geyer</v>
      </c>
      <c r="AQ295" s="6" t="str">
        <f>IFERROR(IF(Eingabe[[#This Row],[Wo]]="H",IF(MOD(Eingabe[[#This Row],[Position]],2)=1,Eingabe[[#This Row],[S1]],Eingabe[[#This Row],[S4]]),""),"")</f>
        <v/>
      </c>
      <c r="AR295" s="6" t="str">
        <f>IFERROR(IF(Eingabe[[#This Row],[Wo]]="H",IF(Eingabe[[#This Row],[S1]]&gt;0,IF(MOD(Eingabe[[#This Row],[Position]],2)=1,Eingabe[[#This Row],[S2]],Eingabe[[#This Row],[S3]]),""),""),"")</f>
        <v/>
      </c>
      <c r="AS295" s="6" t="str">
        <f>IFERROR(IF(Eingabe[[#This Row],[Wo]]="H",IF(Eingabe[[#This Row],[S1]]&gt;0,IF(MOD(ROW(Eingabe[[#This Row],[Heimbahn 3]]),2)=1,Eingabe[[#This Row],[S4]],Eingabe[[#This Row],[S1]]),""),""),"")</f>
        <v/>
      </c>
      <c r="AT295" s="6" t="str">
        <f>IFERROR(IF(Eingabe[[#This Row],[Wo]]="H",IF(Eingabe[[#This Row],[S1]]&gt;0,IF(MOD(ROW(Eingabe[[#This Row],[Heimbahn 4]]),2)=1,Eingabe[[#This Row],[S3]],Eingabe[[#This Row],[S2]]),""),""),"")</f>
        <v/>
      </c>
      <c r="AU295" s="22">
        <f>IF(Eingabe[[#This Row],[GES]]="","",IF(Eingabe[[#This Row],[Modus]]="L",_xlfn.RANK.EQ(Eingabe[[#This Row],[GES]],AF291:AF296),IF(Eingabe[[#This Row],[Modus]]="P",_xlfn.RANK.EQ(Eingabe[[#This Row],[GES]],AF291:AF296),"")))</f>
        <v>5</v>
      </c>
      <c r="AV295" s="6">
        <f>VLOOKUP(Eingabe[[#This Row],[Name]],AuswertungG[],8,FALSE)</f>
        <v>528</v>
      </c>
      <c r="AZ295" s="6">
        <f>IFERROR(ABS(Eingabe[[#This Row],[GES]]-Eingabe[[#This Row],[GEGGES]]),"")</f>
        <v>37</v>
      </c>
    </row>
    <row r="296" spans="1:52" ht="16.2" hidden="1" thickBot="1" x14ac:dyDescent="0.35">
      <c r="A296" s="442"/>
      <c r="B296" s="56">
        <f t="shared" si="42"/>
        <v>49</v>
      </c>
      <c r="C296" s="23" t="str">
        <f>VLOOKUP($B296,Chronologie[],7,TRUE)</f>
        <v>TSV Geyer</v>
      </c>
      <c r="D296" s="23" t="str">
        <f>VLOOKUP($B296,Chronologie[],8,TRUE)</f>
        <v>Geyer</v>
      </c>
      <c r="E296" s="39" t="str">
        <f>VLOOKUP($B296,Chronologie[],9,TRUE)</f>
        <v>A</v>
      </c>
      <c r="F296" s="23" t="str">
        <f>VLOOKUP($B296,Chronologie[],COLUMN(F297)-2,TRUE)</f>
        <v>Z</v>
      </c>
      <c r="G296" s="23" t="str">
        <f>VLOOKUP($B296,Chronologie[],COLUMN(G297)-2,TRUE)</f>
        <v>L</v>
      </c>
      <c r="H296" s="23">
        <f>VLOOKUP($B296,Chronologie[],COLUMN(H297)-2,TRUE)</f>
        <v>5</v>
      </c>
      <c r="I296" s="13" t="str">
        <f>VLOOKUP($B296,Chronologie[],2,TRUE)</f>
        <v>Z-L-5</v>
      </c>
      <c r="J296" s="244">
        <f>VLOOKUP($B296,Chronologie[],3,TRUE)</f>
        <v>45970</v>
      </c>
      <c r="K296" s="239" t="s">
        <v>12</v>
      </c>
      <c r="L296" s="239">
        <v>85</v>
      </c>
      <c r="M296" s="239">
        <v>98</v>
      </c>
      <c r="N296" s="239">
        <v>86</v>
      </c>
      <c r="O296" s="239">
        <v>92</v>
      </c>
      <c r="P296" s="239">
        <v>53</v>
      </c>
      <c r="Q296" s="239">
        <v>34</v>
      </c>
      <c r="R296" s="239">
        <v>45</v>
      </c>
      <c r="S296" s="239">
        <v>61</v>
      </c>
      <c r="T296" s="239">
        <v>1</v>
      </c>
      <c r="U296" s="239">
        <v>0</v>
      </c>
      <c r="V296" s="239">
        <v>0</v>
      </c>
      <c r="W296" s="239">
        <v>2</v>
      </c>
      <c r="X296" s="40">
        <v>0</v>
      </c>
      <c r="Y296" s="40">
        <v>0</v>
      </c>
      <c r="Z296" s="40">
        <v>0</v>
      </c>
      <c r="AA296" s="40">
        <v>1</v>
      </c>
      <c r="AB296" s="92">
        <v>561</v>
      </c>
      <c r="AC296" s="96">
        <f>IF(Eingabe[[#This Row],[V1]]="",IF(Eingabe[[#This Row],[Volle alternativ]]="","",Eingabe[[#This Row],[Volle alternativ]]),SUM(Eingabe[[#This Row],[V1]:[V4]]))</f>
        <v>361</v>
      </c>
      <c r="AD296" s="23">
        <f>IF(Eingabe[[#This Row],[R1]]="",IF(Eingabe[[#This Row],[Räumer alternativ]]="","",Eingabe[[#This Row],[Räumer alternativ]]),SUM(Eingabe[[#This Row],[R1]:[R4]]))</f>
        <v>193</v>
      </c>
      <c r="AE296" s="23">
        <f>IF(Eingabe[[#This Row],[F1]]="",IF(Eingabe[[#This Row],[Fehler alternativ]]="","",Eingabe[[#This Row],[Fehler alternativ]]),SUM(Eingabe[[#This Row],[F1]:[F4]]))</f>
        <v>3</v>
      </c>
      <c r="AF296" s="23">
        <f>IF(Eingabe[[#This Row],[Volle]]="","",IF(Eingabe[[#This Row],[S1]]="",Eingabe[[#This Row],[Volle]]+Eingabe[[#This Row],[Räumer]],IF(Eingabe[[#This Row],[Volle]]+Eingabe[[#This Row],[Räumer]]=Eingabe[[#This Row],[S1]]+Eingabe[[#This Row],[S2]]+Eingabe[[#This Row],[S3]]+Eingabe[[#This Row],[S4]],Eingabe[[#This Row],[Volle]]+Eingabe[[#This Row],[Räumer]],"FEHLER")))</f>
        <v>554</v>
      </c>
      <c r="AG296" s="23">
        <f>IF(Eingabe[[#This Row],[V1]]="","",Eingabe[[#This Row],[V1]]+Eingabe[[#This Row],[R1]])</f>
        <v>138</v>
      </c>
      <c r="AH296" s="23">
        <f>IF(Eingabe[[#This Row],[V2]]="","",Eingabe[[#This Row],[V2]]+Eingabe[[#This Row],[R2]])</f>
        <v>132</v>
      </c>
      <c r="AI296" s="23">
        <f>IF(Eingabe[[#This Row],[V3]]="","",Eingabe[[#This Row],[V3]]+Eingabe[[#This Row],[R3]])</f>
        <v>131</v>
      </c>
      <c r="AJ296" s="23">
        <f>IF(Eingabe[[#This Row],[V4]]="","",Eingabe[[#This Row],[V4]]+Eingabe[[#This Row],[R4]])</f>
        <v>153</v>
      </c>
      <c r="AK296" s="23">
        <f>IF(Eingabe[[#This Row],[S1P]]="","",Eingabe[[#This Row],[S1P]]+Eingabe[[#This Row],[S2P]]+Eingabe[[#This Row],[S3P]]+Eingabe[[#This Row],[S4P]])</f>
        <v>1</v>
      </c>
      <c r="AL296" s="23">
        <f>IF(Eingabe[[#This Row],[S1P]]="","",IF(Eingabe[[#This Row],[SP]]&gt;2,1,IF(Eingabe[[#This Row],[SP]]&lt;2,0,IF(Eingabe[[#This Row],[GES]]&gt;Eingabe[[#This Row],[GEGGES]],1,IF(Eingabe[[#This Row],[GES]]=Eingabe[[#This Row],[GEGGES]],0.5,0)))))</f>
        <v>0</v>
      </c>
      <c r="AM296" s="23">
        <f>IF(Eingabe[[#This Row],[MP]]="","",MOD(ROW(Eingabe[[#This Row],[Position]])-3,6)+1)</f>
        <v>6</v>
      </c>
      <c r="AN296" s="23">
        <f>STANDARDIZE(Eingabe[[#This Row],[GES]],Eingabe[[#This Row],[Schnitt]],VLOOKUP(Eingabe[[#This Row],[Name]],AuswertungG[],21,FALSE))</f>
        <v>0.81481481481481477</v>
      </c>
      <c r="AO296" s="23">
        <f>VLOOKUP(Eingabe[[#This Row],[ID]],Chronologie[[ID]:[KW]],12,FALSE)</f>
        <v>11</v>
      </c>
      <c r="AP296" s="59" t="str">
        <f>IF(Eingabe[[#This Row],[Wo]]="H",Eingabe[[#This Row],[Gegner]]&amp;" ["&amp;Eingabe[[#This Row],[Wo]]&amp;"]",Eingabe[[#This Row],[Ort]])</f>
        <v>Geyer</v>
      </c>
      <c r="AQ296" s="23" t="str">
        <f>IFERROR(IF(Eingabe[[#This Row],[Wo]]="H",IF(MOD(Eingabe[[#This Row],[Position]],2)=1,Eingabe[[#This Row],[S1]],Eingabe[[#This Row],[S4]]),""),"")</f>
        <v/>
      </c>
      <c r="AR296" s="23" t="str">
        <f>IFERROR(IF(Eingabe[[#This Row],[Wo]]="H",IF(Eingabe[[#This Row],[S1]]&gt;0,IF(MOD(Eingabe[[#This Row],[Position]],2)=1,Eingabe[[#This Row],[S2]],Eingabe[[#This Row],[S3]]),""),""),"")</f>
        <v/>
      </c>
      <c r="AS296" s="23" t="str">
        <f>IFERROR(IF(Eingabe[[#This Row],[Wo]]="H",IF(Eingabe[[#This Row],[S1]]&gt;0,IF(MOD(ROW(Eingabe[[#This Row],[Heimbahn 3]]),2)=1,Eingabe[[#This Row],[S4]],Eingabe[[#This Row],[S1]]),""),""),"")</f>
        <v/>
      </c>
      <c r="AT296" s="23" t="str">
        <f>IFERROR(IF(Eingabe[[#This Row],[Wo]]="H",IF(Eingabe[[#This Row],[S1]]&gt;0,IF(MOD(ROW(Eingabe[[#This Row],[Heimbahn 4]]),2)=1,Eingabe[[#This Row],[S3]],Eingabe[[#This Row],[S2]]),""),""),"")</f>
        <v/>
      </c>
      <c r="AU296" s="89">
        <f>IF(Eingabe[[#This Row],[GES]]="","",IF(Eingabe[[#This Row],[Modus]]="L",_xlfn.RANK.EQ(Eingabe[[#This Row],[GES]],AF291:AF296),IF(Eingabe[[#This Row],[Modus]]="P",_xlfn.RANK.EQ(Eingabe[[#This Row],[GES]],AF291:AF296),"")))</f>
        <v>6</v>
      </c>
      <c r="AV296" s="6">
        <f>VLOOKUP(Eingabe[[#This Row],[Name]],AuswertungG[],8,FALSE)</f>
        <v>532</v>
      </c>
      <c r="AZ296" s="6">
        <f>IFERROR(ABS(Eingabe[[#This Row],[GES]]-Eingabe[[#This Row],[GEGGES]]),"")</f>
        <v>7</v>
      </c>
    </row>
    <row r="297" spans="1:52" ht="16.2" hidden="1" thickBot="1" x14ac:dyDescent="0.35">
      <c r="A297" s="440">
        <f t="shared" si="41"/>
        <v>50</v>
      </c>
      <c r="B297" s="55">
        <f t="shared" si="42"/>
        <v>50</v>
      </c>
      <c r="C297" s="35" t="str">
        <f>VLOOKUP($B297,Chronologie[],7,TRUE)</f>
        <v>KSV Grün-Weiß Leubsdorf</v>
      </c>
      <c r="D297" s="35" t="str">
        <f>VLOOKUP($B297,Chronologie[],8,TRUE)</f>
        <v>Hirschfeld</v>
      </c>
      <c r="E297" s="36" t="str">
        <f>VLOOKUP($B297,Chronologie[],9,TRUE)</f>
        <v>H</v>
      </c>
      <c r="F297" s="35" t="str">
        <f>VLOOKUP($B297,Chronologie[],COLUMN(F298)-2,TRUE)</f>
        <v>Z</v>
      </c>
      <c r="G297" s="35" t="str">
        <f>VLOOKUP($B297,Chronologie[],COLUMN(G298)-2,TRUE)</f>
        <v>L</v>
      </c>
      <c r="H297" s="35">
        <f>VLOOKUP($B297,Chronologie[],COLUMN(H298)-2,TRUE)</f>
        <v>6</v>
      </c>
      <c r="I297" s="9" t="str">
        <f>VLOOKUP($B297,Chronologie[],2,TRUE)</f>
        <v>Z-L-6</v>
      </c>
      <c r="J297" s="242">
        <f>VLOOKUP($B297,Chronologie[],3,TRUE)</f>
        <v>45977</v>
      </c>
      <c r="K297" s="236" t="s">
        <v>465</v>
      </c>
      <c r="L297" s="334">
        <v>93</v>
      </c>
      <c r="M297" s="334">
        <v>86</v>
      </c>
      <c r="N297" s="334">
        <v>89</v>
      </c>
      <c r="O297" s="334">
        <v>91</v>
      </c>
      <c r="P297" s="334">
        <v>35</v>
      </c>
      <c r="Q297" s="334">
        <v>35</v>
      </c>
      <c r="R297" s="334">
        <v>26</v>
      </c>
      <c r="S297" s="334">
        <v>45</v>
      </c>
      <c r="T297" s="334">
        <v>4</v>
      </c>
      <c r="U297" s="334">
        <v>3</v>
      </c>
      <c r="V297" s="334">
        <v>4</v>
      </c>
      <c r="W297" s="334">
        <v>1</v>
      </c>
      <c r="X297" s="37">
        <v>0</v>
      </c>
      <c r="Y297" s="37">
        <v>0</v>
      </c>
      <c r="Z297" s="37">
        <v>0</v>
      </c>
      <c r="AA297" s="37">
        <v>1</v>
      </c>
      <c r="AB297" s="90">
        <v>525</v>
      </c>
      <c r="AC297" s="93">
        <f>IF(Eingabe[[#This Row],[V1]]="",IF(Eingabe[[#This Row],[Volle alternativ]]="","",Eingabe[[#This Row],[Volle alternativ]]),SUM(Eingabe[[#This Row],[V1]:[V4]]))</f>
        <v>359</v>
      </c>
      <c r="AD297" s="35">
        <f>IF(Eingabe[[#This Row],[R1]]="",IF(Eingabe[[#This Row],[Räumer alternativ]]="","",Eingabe[[#This Row],[Räumer alternativ]]),SUM(Eingabe[[#This Row],[R1]:[R4]]))</f>
        <v>141</v>
      </c>
      <c r="AE297" s="35">
        <f>IF(Eingabe[[#This Row],[F1]]="",IF(Eingabe[[#This Row],[Fehler alternativ]]="","",Eingabe[[#This Row],[Fehler alternativ]]),SUM(Eingabe[[#This Row],[F1]:[F4]]))</f>
        <v>12</v>
      </c>
      <c r="AF297" s="35">
        <f>IF(Eingabe[[#This Row],[Volle]]="","",IF(Eingabe[[#This Row],[S1]]="",Eingabe[[#This Row],[Volle]]+Eingabe[[#This Row],[Räumer]],IF(Eingabe[[#This Row],[Volle]]+Eingabe[[#This Row],[Räumer]]=Eingabe[[#This Row],[S1]]+Eingabe[[#This Row],[S2]]+Eingabe[[#This Row],[S3]]+Eingabe[[#This Row],[S4]],Eingabe[[#This Row],[Volle]]+Eingabe[[#This Row],[Räumer]],"FEHLER")))</f>
        <v>500</v>
      </c>
      <c r="AG297" s="35">
        <f>IF(Eingabe[[#This Row],[V1]]="","",Eingabe[[#This Row],[V1]]+Eingabe[[#This Row],[R1]])</f>
        <v>128</v>
      </c>
      <c r="AH297" s="35">
        <f>IF(Eingabe[[#This Row],[V2]]="","",Eingabe[[#This Row],[V2]]+Eingabe[[#This Row],[R2]])</f>
        <v>121</v>
      </c>
      <c r="AI297" s="35">
        <f>IF(Eingabe[[#This Row],[V3]]="","",Eingabe[[#This Row],[V3]]+Eingabe[[#This Row],[R3]])</f>
        <v>115</v>
      </c>
      <c r="AJ297" s="35">
        <f>IF(Eingabe[[#This Row],[V4]]="","",Eingabe[[#This Row],[V4]]+Eingabe[[#This Row],[R4]])</f>
        <v>136</v>
      </c>
      <c r="AK297" s="35">
        <f>IF(Eingabe[[#This Row],[S1P]]="","",Eingabe[[#This Row],[S1P]]+Eingabe[[#This Row],[S2P]]+Eingabe[[#This Row],[S3P]]+Eingabe[[#This Row],[S4P]])</f>
        <v>1</v>
      </c>
      <c r="AL297" s="35">
        <f>IF(Eingabe[[#This Row],[S1P]]="","",IF(Eingabe[[#This Row],[SP]]&gt;2,1,IF(Eingabe[[#This Row],[SP]]&lt;2,0,IF(Eingabe[[#This Row],[GES]]&gt;Eingabe[[#This Row],[GEGGES]],1,IF(Eingabe[[#This Row],[GES]]=Eingabe[[#This Row],[GEGGES]],0.5,0)))))</f>
        <v>0</v>
      </c>
      <c r="AM297" s="35">
        <f>IF(Eingabe[[#This Row],[MP]]="","",MOD(ROW(Eingabe[[#This Row],[Position]])-3,6)+1)</f>
        <v>1</v>
      </c>
      <c r="AN297" s="35">
        <f>STANDARDIZE(Eingabe[[#This Row],[GES]],Eingabe[[#This Row],[Schnitt]],VLOOKUP(Eingabe[[#This Row],[Name]],AuswertungG[],21,FALSE))</f>
        <v>-1.1304347826086956</v>
      </c>
      <c r="AO297" s="35">
        <f>VLOOKUP(Eingabe[[#This Row],[ID]],Chronologie[[ID]:[KW]],12,FALSE)</f>
        <v>12</v>
      </c>
      <c r="AP297" s="58" t="str">
        <f>IF(Eingabe[[#This Row],[Wo]]="H",Eingabe[[#This Row],[Gegner]]&amp;" ["&amp;Eingabe[[#This Row],[Wo]]&amp;"]",Eingabe[[#This Row],[Ort]])</f>
        <v>KSV Grün-Weiß Leubsdorf [H]</v>
      </c>
      <c r="AQ297" s="35">
        <f>IFERROR(IF(Eingabe[[#This Row],[Wo]]="H",IF(MOD(Eingabe[[#This Row],[Position]],2)=1,Eingabe[[#This Row],[S1]],Eingabe[[#This Row],[S4]]),""),"")</f>
        <v>128</v>
      </c>
      <c r="AR297" s="35">
        <f>IFERROR(IF(Eingabe[[#This Row],[Wo]]="H",IF(Eingabe[[#This Row],[S1]]&gt;0,IF(MOD(Eingabe[[#This Row],[Position]],2)=1,Eingabe[[#This Row],[S2]],Eingabe[[#This Row],[S3]]),""),""),"")</f>
        <v>121</v>
      </c>
      <c r="AS297" s="35">
        <f>IFERROR(IF(Eingabe[[#This Row],[Wo]]="H",IF(Eingabe[[#This Row],[S1]]&gt;0,IF(MOD(ROW(Eingabe[[#This Row],[Heimbahn 3]]),2)=1,Eingabe[[#This Row],[S4]],Eingabe[[#This Row],[S1]]),""),""),"")</f>
        <v>136</v>
      </c>
      <c r="AT297" s="35">
        <f>IFERROR(IF(Eingabe[[#This Row],[Wo]]="H",IF(Eingabe[[#This Row],[S1]]&gt;0,IF(MOD(ROW(Eingabe[[#This Row],[Heimbahn 4]]),2)=1,Eingabe[[#This Row],[S3]],Eingabe[[#This Row],[S2]]),""),""),"")</f>
        <v>115</v>
      </c>
      <c r="AU297" s="88">
        <f>IF(Eingabe[[#This Row],[GES]]="","",IF(Eingabe[[#This Row],[Modus]]="L",_xlfn.RANK.EQ(Eingabe[[#This Row],[GES]],AF297:AF302),IF(Eingabe[[#This Row],[Modus]]="P",_xlfn.RANK.EQ(Eingabe[[#This Row],[GES]],AF297:AF302),"")))</f>
        <v>1</v>
      </c>
      <c r="AV297" s="6">
        <f>VLOOKUP(Eingabe[[#This Row],[Name]],AuswertungG[],8,FALSE)</f>
        <v>526</v>
      </c>
      <c r="AZ297" s="6">
        <f>IFERROR(ABS(Eingabe[[#This Row],[GES]]-Eingabe[[#This Row],[GEGGES]]),"")</f>
        <v>25</v>
      </c>
    </row>
    <row r="298" spans="1:52" ht="16.2" hidden="1" thickBot="1" x14ac:dyDescent="0.35">
      <c r="A298" s="441"/>
      <c r="B298" s="21">
        <f t="shared" si="42"/>
        <v>50</v>
      </c>
      <c r="C298" s="6" t="str">
        <f>VLOOKUP($B298,Chronologie[],7,TRUE)</f>
        <v>KSV Grün-Weiß Leubsdorf</v>
      </c>
      <c r="D298" s="6" t="str">
        <f>VLOOKUP($B298,Chronologie[],8,TRUE)</f>
        <v>Hirschfeld</v>
      </c>
      <c r="E298" s="240" t="str">
        <f>VLOOKUP($B298,Chronologie[],9,TRUE)</f>
        <v>H</v>
      </c>
      <c r="F298" s="6" t="str">
        <f>VLOOKUP($B298,Chronologie[],COLUMN(F299)-2,TRUE)</f>
        <v>Z</v>
      </c>
      <c r="G298" s="6" t="str">
        <f>VLOOKUP($B298,Chronologie[],COLUMN(G299)-2,TRUE)</f>
        <v>L</v>
      </c>
      <c r="H298" s="6">
        <f>VLOOKUP($B298,Chronologie[],COLUMN(H299)-2,TRUE)</f>
        <v>6</v>
      </c>
      <c r="I298" s="10" t="str">
        <f>VLOOKUP($B298,Chronologie[],2,TRUE)</f>
        <v>Z-L-6</v>
      </c>
      <c r="J298" s="243">
        <f>VLOOKUP($B298,Chronologie[],3,TRUE)</f>
        <v>45977</v>
      </c>
      <c r="K298" s="237" t="s">
        <v>661</v>
      </c>
      <c r="L298" s="237">
        <v>93</v>
      </c>
      <c r="M298" s="237">
        <v>77</v>
      </c>
      <c r="N298" s="237">
        <v>74</v>
      </c>
      <c r="O298" s="237">
        <v>85</v>
      </c>
      <c r="P298" s="237">
        <v>42</v>
      </c>
      <c r="Q298" s="237">
        <v>36</v>
      </c>
      <c r="R298" s="237">
        <v>29</v>
      </c>
      <c r="S298" s="237">
        <v>32</v>
      </c>
      <c r="T298" s="237">
        <v>2</v>
      </c>
      <c r="U298" s="237">
        <v>1</v>
      </c>
      <c r="V298" s="237">
        <v>1</v>
      </c>
      <c r="W298" s="237">
        <v>2</v>
      </c>
      <c r="X298" s="38">
        <v>1</v>
      </c>
      <c r="Y298" s="38">
        <v>0.5</v>
      </c>
      <c r="Z298" s="38">
        <v>0</v>
      </c>
      <c r="AA298" s="38">
        <v>1</v>
      </c>
      <c r="AB298" s="91">
        <v>460</v>
      </c>
      <c r="AC298" s="94">
        <f>IF(Eingabe[[#This Row],[V1]]="",IF(Eingabe[[#This Row],[Volle alternativ]]="","",Eingabe[[#This Row],[Volle alternativ]]),SUM(Eingabe[[#This Row],[V1]:[V4]]))</f>
        <v>329</v>
      </c>
      <c r="AD298" s="6">
        <f>IF(Eingabe[[#This Row],[R1]]="",IF(Eingabe[[#This Row],[Räumer alternativ]]="","",Eingabe[[#This Row],[Räumer alternativ]]),SUM(Eingabe[[#This Row],[R1]:[R4]]))</f>
        <v>139</v>
      </c>
      <c r="AE298" s="6">
        <f>IF(Eingabe[[#This Row],[F1]]="",IF(Eingabe[[#This Row],[Fehler alternativ]]="","",Eingabe[[#This Row],[Fehler alternativ]]),SUM(Eingabe[[#This Row],[F1]:[F4]]))</f>
        <v>6</v>
      </c>
      <c r="AF298" s="6">
        <f>IF(Eingabe[[#This Row],[Volle]]="","",IF(Eingabe[[#This Row],[S1]]="",Eingabe[[#This Row],[Volle]]+Eingabe[[#This Row],[Räumer]],IF(Eingabe[[#This Row],[Volle]]+Eingabe[[#This Row],[Räumer]]=Eingabe[[#This Row],[S1]]+Eingabe[[#This Row],[S2]]+Eingabe[[#This Row],[S3]]+Eingabe[[#This Row],[S4]],Eingabe[[#This Row],[Volle]]+Eingabe[[#This Row],[Räumer]],"FEHLER")))</f>
        <v>468</v>
      </c>
      <c r="AG298" s="6">
        <f>IF(Eingabe[[#This Row],[V1]]="","",Eingabe[[#This Row],[V1]]+Eingabe[[#This Row],[R1]])</f>
        <v>135</v>
      </c>
      <c r="AH298" s="6">
        <f>IF(Eingabe[[#This Row],[V2]]="","",Eingabe[[#This Row],[V2]]+Eingabe[[#This Row],[R2]])</f>
        <v>113</v>
      </c>
      <c r="AI298" s="6">
        <f>IF(Eingabe[[#This Row],[V3]]="","",Eingabe[[#This Row],[V3]]+Eingabe[[#This Row],[R3]])</f>
        <v>103</v>
      </c>
      <c r="AJ298" s="6">
        <f>IF(Eingabe[[#This Row],[V4]]="","",Eingabe[[#This Row],[V4]]+Eingabe[[#This Row],[R4]])</f>
        <v>117</v>
      </c>
      <c r="AK298" s="6">
        <f>IF(Eingabe[[#This Row],[S1P]]="","",Eingabe[[#This Row],[S1P]]+Eingabe[[#This Row],[S2P]]+Eingabe[[#This Row],[S3P]]+Eingabe[[#This Row],[S4P]])</f>
        <v>2.5</v>
      </c>
      <c r="AL298" s="6">
        <f>IF(Eingabe[[#This Row],[S1P]]="","",IF(Eingabe[[#This Row],[SP]]&gt;2,1,IF(Eingabe[[#This Row],[SP]]&lt;2,0,IF(Eingabe[[#This Row],[GES]]&gt;Eingabe[[#This Row],[GEGGES]],1,IF(Eingabe[[#This Row],[GES]]=Eingabe[[#This Row],[GEGGES]],0.5,0)))))</f>
        <v>1</v>
      </c>
      <c r="AM298" s="6">
        <f>IF(Eingabe[[#This Row],[MP]]="","",MOD(ROW(Eingabe[[#This Row],[Position]])-3,6)+1)</f>
        <v>2</v>
      </c>
      <c r="AN298" s="6">
        <f>STANDARDIZE(Eingabe[[#This Row],[GES]],Eingabe[[#This Row],[Schnitt]],VLOOKUP(Eingabe[[#This Row],[Name]],AuswertungG[],21,FALSE))</f>
        <v>-2</v>
      </c>
      <c r="AO298" s="6">
        <f>VLOOKUP(Eingabe[[#This Row],[ID]],Chronologie[[ID]:[KW]],12,FALSE)</f>
        <v>12</v>
      </c>
      <c r="AP298" s="95" t="str">
        <f>IF(Eingabe[[#This Row],[Wo]]="H",Eingabe[[#This Row],[Gegner]]&amp;" ["&amp;Eingabe[[#This Row],[Wo]]&amp;"]",Eingabe[[#This Row],[Ort]])</f>
        <v>KSV Grün-Weiß Leubsdorf [H]</v>
      </c>
      <c r="AQ298" s="6">
        <f>IFERROR(IF(Eingabe[[#This Row],[Wo]]="H",IF(MOD(Eingabe[[#This Row],[Position]],2)=1,Eingabe[[#This Row],[S1]],Eingabe[[#This Row],[S4]]),""),"")</f>
        <v>117</v>
      </c>
      <c r="AR298" s="6">
        <f>IFERROR(IF(Eingabe[[#This Row],[Wo]]="H",IF(Eingabe[[#This Row],[S1]]&gt;0,IF(MOD(Eingabe[[#This Row],[Position]],2)=1,Eingabe[[#This Row],[S2]],Eingabe[[#This Row],[S3]]),""),""),"")</f>
        <v>103</v>
      </c>
      <c r="AS298" s="6">
        <f>IFERROR(IF(Eingabe[[#This Row],[Wo]]="H",IF(Eingabe[[#This Row],[S1]]&gt;0,IF(MOD(ROW(Eingabe[[#This Row],[Heimbahn 3]]),2)=1,Eingabe[[#This Row],[S4]],Eingabe[[#This Row],[S1]]),""),""),"")</f>
        <v>135</v>
      </c>
      <c r="AT298" s="6">
        <f>IFERROR(IF(Eingabe[[#This Row],[Wo]]="H",IF(Eingabe[[#This Row],[S1]]&gt;0,IF(MOD(ROW(Eingabe[[#This Row],[Heimbahn 4]]),2)=1,Eingabe[[#This Row],[S3]],Eingabe[[#This Row],[S2]]),""),""),"")</f>
        <v>113</v>
      </c>
      <c r="AU298" s="22">
        <f>IF(Eingabe[[#This Row],[GES]]="","",IF(Eingabe[[#This Row],[Modus]]="L",_xlfn.RANK.EQ(Eingabe[[#This Row],[GES]],AF297:AF302),IF(Eingabe[[#This Row],[Modus]]="P",_xlfn.RANK.EQ(Eingabe[[#This Row],[GES]],AF297:AF302),"")))</f>
        <v>5</v>
      </c>
      <c r="AV298" s="6">
        <f>VLOOKUP(Eingabe[[#This Row],[Name]],AuswertungG[],8,FALSE)</f>
        <v>522</v>
      </c>
      <c r="AZ298" s="6">
        <f>IFERROR(ABS(Eingabe[[#This Row],[GES]]-Eingabe[[#This Row],[GEGGES]]),"")</f>
        <v>8</v>
      </c>
    </row>
    <row r="299" spans="1:52" ht="16.2" hidden="1" thickBot="1" x14ac:dyDescent="0.35">
      <c r="A299" s="441"/>
      <c r="B299" s="21">
        <f t="shared" si="42"/>
        <v>50</v>
      </c>
      <c r="C299" s="6" t="str">
        <f>VLOOKUP($B299,Chronologie[],7,TRUE)</f>
        <v>KSV Grün-Weiß Leubsdorf</v>
      </c>
      <c r="D299" s="6" t="str">
        <f>VLOOKUP($B299,Chronologie[],8,TRUE)</f>
        <v>Hirschfeld</v>
      </c>
      <c r="E299" s="240" t="str">
        <f>VLOOKUP($B299,Chronologie[],9,TRUE)</f>
        <v>H</v>
      </c>
      <c r="F299" s="6" t="str">
        <f>VLOOKUP($B299,Chronologie[],COLUMN(F300)-2,TRUE)</f>
        <v>Z</v>
      </c>
      <c r="G299" s="6" t="str">
        <f>VLOOKUP($B299,Chronologie[],COLUMN(G300)-2,TRUE)</f>
        <v>L</v>
      </c>
      <c r="H299" s="6">
        <f>VLOOKUP($B299,Chronologie[],COLUMN(H300)-2,TRUE)</f>
        <v>6</v>
      </c>
      <c r="I299" s="10" t="str">
        <f>VLOOKUP($B299,Chronologie[],2,TRUE)</f>
        <v>Z-L-6</v>
      </c>
      <c r="J299" s="243">
        <f>VLOOKUP($B299,Chronologie[],3,TRUE)</f>
        <v>45977</v>
      </c>
      <c r="K299" s="237" t="s">
        <v>478</v>
      </c>
      <c r="L299" s="237">
        <v>78</v>
      </c>
      <c r="M299" s="237">
        <v>90</v>
      </c>
      <c r="N299" s="237">
        <v>94</v>
      </c>
      <c r="O299" s="237">
        <v>89</v>
      </c>
      <c r="P299" s="237">
        <v>33</v>
      </c>
      <c r="Q299" s="237">
        <v>36</v>
      </c>
      <c r="R299" s="237">
        <v>27</v>
      </c>
      <c r="S299" s="237">
        <v>52</v>
      </c>
      <c r="T299" s="237">
        <v>1</v>
      </c>
      <c r="U299" s="237">
        <v>4</v>
      </c>
      <c r="V299" s="237">
        <v>4</v>
      </c>
      <c r="W299" s="237">
        <v>0</v>
      </c>
      <c r="X299" s="38">
        <v>0</v>
      </c>
      <c r="Y299" s="38">
        <v>1</v>
      </c>
      <c r="Z299" s="38">
        <v>1</v>
      </c>
      <c r="AA299" s="38">
        <v>0</v>
      </c>
      <c r="AB299" s="91">
        <v>507</v>
      </c>
      <c r="AC299" s="94">
        <f>IF(Eingabe[[#This Row],[V1]]="",IF(Eingabe[[#This Row],[Volle alternativ]]="","",Eingabe[[#This Row],[Volle alternativ]]),SUM(Eingabe[[#This Row],[V1]:[V4]]))</f>
        <v>351</v>
      </c>
      <c r="AD299" s="6">
        <f>IF(Eingabe[[#This Row],[R1]]="",IF(Eingabe[[#This Row],[Räumer alternativ]]="","",Eingabe[[#This Row],[Räumer alternativ]]),SUM(Eingabe[[#This Row],[R1]:[R4]]))</f>
        <v>148</v>
      </c>
      <c r="AE299" s="6">
        <f>IF(Eingabe[[#This Row],[F1]]="",IF(Eingabe[[#This Row],[Fehler alternativ]]="","",Eingabe[[#This Row],[Fehler alternativ]]),SUM(Eingabe[[#This Row],[F1]:[F4]]))</f>
        <v>9</v>
      </c>
      <c r="AF299" s="6">
        <f>IF(Eingabe[[#This Row],[Volle]]="","",IF(Eingabe[[#This Row],[S1]]="",Eingabe[[#This Row],[Volle]]+Eingabe[[#This Row],[Räumer]],IF(Eingabe[[#This Row],[Volle]]+Eingabe[[#This Row],[Räumer]]=Eingabe[[#This Row],[S1]]+Eingabe[[#This Row],[S2]]+Eingabe[[#This Row],[S3]]+Eingabe[[#This Row],[S4]],Eingabe[[#This Row],[Volle]]+Eingabe[[#This Row],[Räumer]],"FEHLER")))</f>
        <v>499</v>
      </c>
      <c r="AG299" s="6">
        <f>IF(Eingabe[[#This Row],[V1]]="","",Eingabe[[#This Row],[V1]]+Eingabe[[#This Row],[R1]])</f>
        <v>111</v>
      </c>
      <c r="AH299" s="6">
        <f>IF(Eingabe[[#This Row],[V2]]="","",Eingabe[[#This Row],[V2]]+Eingabe[[#This Row],[R2]])</f>
        <v>126</v>
      </c>
      <c r="AI299" s="6">
        <f>IF(Eingabe[[#This Row],[V3]]="","",Eingabe[[#This Row],[V3]]+Eingabe[[#This Row],[R3]])</f>
        <v>121</v>
      </c>
      <c r="AJ299" s="6">
        <f>IF(Eingabe[[#This Row],[V4]]="","",Eingabe[[#This Row],[V4]]+Eingabe[[#This Row],[R4]])</f>
        <v>141</v>
      </c>
      <c r="AK299" s="6">
        <f>IF(Eingabe[[#This Row],[S1P]]="","",Eingabe[[#This Row],[S1P]]+Eingabe[[#This Row],[S2P]]+Eingabe[[#This Row],[S3P]]+Eingabe[[#This Row],[S4P]])</f>
        <v>2</v>
      </c>
      <c r="AL299" s="6">
        <f>IF(Eingabe[[#This Row],[S1P]]="","",IF(Eingabe[[#This Row],[SP]]&gt;2,1,IF(Eingabe[[#This Row],[SP]]&lt;2,0,IF(Eingabe[[#This Row],[GES]]&gt;Eingabe[[#This Row],[GEGGES]],1,IF(Eingabe[[#This Row],[GES]]=Eingabe[[#This Row],[GEGGES]],0.5,0)))))</f>
        <v>0</v>
      </c>
      <c r="AM299" s="6">
        <f>IF(Eingabe[[#This Row],[MP]]="","",MOD(ROW(Eingabe[[#This Row],[Position]])-3,6)+1)</f>
        <v>3</v>
      </c>
      <c r="AN299" s="6">
        <f>STANDARDIZE(Eingabe[[#This Row],[GES]],Eingabe[[#This Row],[Schnitt]],VLOOKUP(Eingabe[[#This Row],[Name]],AuswertungG[],21,FALSE))</f>
        <v>-1.45</v>
      </c>
      <c r="AO299" s="6">
        <f>VLOOKUP(Eingabe[[#This Row],[ID]],Chronologie[[ID]:[KW]],12,FALSE)</f>
        <v>12</v>
      </c>
      <c r="AP299" s="95" t="str">
        <f>IF(Eingabe[[#This Row],[Wo]]="H",Eingabe[[#This Row],[Gegner]]&amp;" ["&amp;Eingabe[[#This Row],[Wo]]&amp;"]",Eingabe[[#This Row],[Ort]])</f>
        <v>KSV Grün-Weiß Leubsdorf [H]</v>
      </c>
      <c r="AQ299" s="6">
        <f>IFERROR(IF(Eingabe[[#This Row],[Wo]]="H",IF(MOD(Eingabe[[#This Row],[Position]],2)=1,Eingabe[[#This Row],[S1]],Eingabe[[#This Row],[S4]]),""),"")</f>
        <v>111</v>
      </c>
      <c r="AR299" s="6">
        <f>IFERROR(IF(Eingabe[[#This Row],[Wo]]="H",IF(Eingabe[[#This Row],[S1]]&gt;0,IF(MOD(Eingabe[[#This Row],[Position]],2)=1,Eingabe[[#This Row],[S2]],Eingabe[[#This Row],[S3]]),""),""),"")</f>
        <v>126</v>
      </c>
      <c r="AS299" s="6">
        <f>IFERROR(IF(Eingabe[[#This Row],[Wo]]="H",IF(Eingabe[[#This Row],[S1]]&gt;0,IF(MOD(ROW(Eingabe[[#This Row],[Heimbahn 3]]),2)=1,Eingabe[[#This Row],[S4]],Eingabe[[#This Row],[S1]]),""),""),"")</f>
        <v>141</v>
      </c>
      <c r="AT299" s="6">
        <f>IFERROR(IF(Eingabe[[#This Row],[Wo]]="H",IF(Eingabe[[#This Row],[S1]]&gt;0,IF(MOD(ROW(Eingabe[[#This Row],[Heimbahn 4]]),2)=1,Eingabe[[#This Row],[S3]],Eingabe[[#This Row],[S2]]),""),""),"")</f>
        <v>121</v>
      </c>
      <c r="AU299" s="22">
        <f>IF(Eingabe[[#This Row],[GES]]="","",IF(Eingabe[[#This Row],[Modus]]="L",_xlfn.RANK.EQ(Eingabe[[#This Row],[GES]],AF297:AF302),IF(Eingabe[[#This Row],[Modus]]="P",_xlfn.RANK.EQ(Eingabe[[#This Row],[GES]],AF297:AF302),"")))</f>
        <v>2</v>
      </c>
      <c r="AV299" s="6">
        <f>VLOOKUP(Eingabe[[#This Row],[Name]],AuswertungG[],8,FALSE)</f>
        <v>528</v>
      </c>
      <c r="AZ299" s="6">
        <f>IFERROR(ABS(Eingabe[[#This Row],[GES]]-Eingabe[[#This Row],[GEGGES]]),"")</f>
        <v>8</v>
      </c>
    </row>
    <row r="300" spans="1:52" ht="16.2" hidden="1" thickBot="1" x14ac:dyDescent="0.35">
      <c r="A300" s="441"/>
      <c r="B300" s="21">
        <f t="shared" si="42"/>
        <v>50</v>
      </c>
      <c r="C300" s="6" t="str">
        <f>VLOOKUP($B300,Chronologie[],7,TRUE)</f>
        <v>KSV Grün-Weiß Leubsdorf</v>
      </c>
      <c r="D300" s="6" t="str">
        <f>VLOOKUP($B300,Chronologie[],8,TRUE)</f>
        <v>Hirschfeld</v>
      </c>
      <c r="E300" s="240" t="str">
        <f>VLOOKUP($B300,Chronologie[],9,TRUE)</f>
        <v>H</v>
      </c>
      <c r="F300" s="6" t="str">
        <f>VLOOKUP($B300,Chronologie[],COLUMN(F301)-2,TRUE)</f>
        <v>Z</v>
      </c>
      <c r="G300" s="6" t="str">
        <f>VLOOKUP($B300,Chronologie[],COLUMN(G301)-2,TRUE)</f>
        <v>L</v>
      </c>
      <c r="H300" s="6">
        <f>VLOOKUP($B300,Chronologie[],COLUMN(H301)-2,TRUE)</f>
        <v>6</v>
      </c>
      <c r="I300" s="10" t="str">
        <f>VLOOKUP($B300,Chronologie[],2,TRUE)</f>
        <v>Z-L-6</v>
      </c>
      <c r="J300" s="243">
        <f>VLOOKUP($B300,Chronologie[],3,TRUE)</f>
        <v>45977</v>
      </c>
      <c r="K300" s="238" t="s">
        <v>490</v>
      </c>
      <c r="L300" s="237">
        <v>84</v>
      </c>
      <c r="M300" s="237">
        <v>102</v>
      </c>
      <c r="N300" s="237">
        <v>77</v>
      </c>
      <c r="O300" s="237">
        <v>89</v>
      </c>
      <c r="P300" s="237">
        <v>27</v>
      </c>
      <c r="Q300" s="237">
        <v>27</v>
      </c>
      <c r="R300" s="237">
        <v>42</v>
      </c>
      <c r="S300" s="237">
        <v>27</v>
      </c>
      <c r="T300" s="237">
        <v>5</v>
      </c>
      <c r="U300" s="237">
        <v>8</v>
      </c>
      <c r="V300" s="237">
        <v>2</v>
      </c>
      <c r="W300" s="237">
        <v>4</v>
      </c>
      <c r="X300" s="38">
        <v>0</v>
      </c>
      <c r="Y300" s="38">
        <v>0</v>
      </c>
      <c r="Z300" s="38">
        <v>0</v>
      </c>
      <c r="AA300" s="38">
        <v>0</v>
      </c>
      <c r="AB300" s="91">
        <v>543</v>
      </c>
      <c r="AC300" s="94">
        <f>IF(Eingabe[[#This Row],[V1]]="",IF(Eingabe[[#This Row],[Volle alternativ]]="","",Eingabe[[#This Row],[Volle alternativ]]),SUM(Eingabe[[#This Row],[V1]:[V4]]))</f>
        <v>352</v>
      </c>
      <c r="AD300" s="6">
        <f>IF(Eingabe[[#This Row],[R1]]="",IF(Eingabe[[#This Row],[Räumer alternativ]]="","",Eingabe[[#This Row],[Räumer alternativ]]),SUM(Eingabe[[#This Row],[R1]:[R4]]))</f>
        <v>123</v>
      </c>
      <c r="AE300" s="6">
        <f>IF(Eingabe[[#This Row],[F1]]="",IF(Eingabe[[#This Row],[Fehler alternativ]]="","",Eingabe[[#This Row],[Fehler alternativ]]),SUM(Eingabe[[#This Row],[F1]:[F4]]))</f>
        <v>19</v>
      </c>
      <c r="AF300" s="6">
        <f>IF(Eingabe[[#This Row],[Volle]]="","",IF(Eingabe[[#This Row],[S1]]="",Eingabe[[#This Row],[Volle]]+Eingabe[[#This Row],[Räumer]],IF(Eingabe[[#This Row],[Volle]]+Eingabe[[#This Row],[Räumer]]=Eingabe[[#This Row],[S1]]+Eingabe[[#This Row],[S2]]+Eingabe[[#This Row],[S3]]+Eingabe[[#This Row],[S4]],Eingabe[[#This Row],[Volle]]+Eingabe[[#This Row],[Räumer]],"FEHLER")))</f>
        <v>475</v>
      </c>
      <c r="AG300" s="6">
        <f>IF(Eingabe[[#This Row],[V1]]="","",Eingabe[[#This Row],[V1]]+Eingabe[[#This Row],[R1]])</f>
        <v>111</v>
      </c>
      <c r="AH300" s="6">
        <f>IF(Eingabe[[#This Row],[V2]]="","",Eingabe[[#This Row],[V2]]+Eingabe[[#This Row],[R2]])</f>
        <v>129</v>
      </c>
      <c r="AI300" s="6">
        <f>IF(Eingabe[[#This Row],[V3]]="","",Eingabe[[#This Row],[V3]]+Eingabe[[#This Row],[R3]])</f>
        <v>119</v>
      </c>
      <c r="AJ300" s="6">
        <f>IF(Eingabe[[#This Row],[V4]]="","",Eingabe[[#This Row],[V4]]+Eingabe[[#This Row],[R4]])</f>
        <v>116</v>
      </c>
      <c r="AK300" s="6">
        <f>IF(Eingabe[[#This Row],[S1P]]="","",Eingabe[[#This Row],[S1P]]+Eingabe[[#This Row],[S2P]]+Eingabe[[#This Row],[S3P]]+Eingabe[[#This Row],[S4P]])</f>
        <v>0</v>
      </c>
      <c r="AL300" s="6">
        <f>IF(Eingabe[[#This Row],[S1P]]="","",IF(Eingabe[[#This Row],[SP]]&gt;2,1,IF(Eingabe[[#This Row],[SP]]&lt;2,0,IF(Eingabe[[#This Row],[GES]]&gt;Eingabe[[#This Row],[GEGGES]],1,IF(Eingabe[[#This Row],[GES]]=Eingabe[[#This Row],[GEGGES]],0.5,0)))))</f>
        <v>0</v>
      </c>
      <c r="AM300" s="6">
        <f>IF(Eingabe[[#This Row],[MP]]="","",MOD(ROW(Eingabe[[#This Row],[Position]])-3,6)+1)</f>
        <v>4</v>
      </c>
      <c r="AN300" s="6">
        <f>STANDARDIZE(Eingabe[[#This Row],[GES]],Eingabe[[#This Row],[Schnitt]],VLOOKUP(Eingabe[[#This Row],[Name]],AuswertungG[],21,FALSE))</f>
        <v>-0.78431372549019607</v>
      </c>
      <c r="AO300" s="6">
        <f>VLOOKUP(Eingabe[[#This Row],[ID]],Chronologie[[ID]:[KW]],12,FALSE)</f>
        <v>12</v>
      </c>
      <c r="AP300" s="95" t="str">
        <f>IF(Eingabe[[#This Row],[Wo]]="H",Eingabe[[#This Row],[Gegner]]&amp;" ["&amp;Eingabe[[#This Row],[Wo]]&amp;"]",Eingabe[[#This Row],[Ort]])</f>
        <v>KSV Grün-Weiß Leubsdorf [H]</v>
      </c>
      <c r="AQ300" s="6">
        <f>IFERROR(IF(Eingabe[[#This Row],[Wo]]="H",IF(MOD(Eingabe[[#This Row],[Position]],2)=1,Eingabe[[#This Row],[S1]],Eingabe[[#This Row],[S4]]),""),"")</f>
        <v>116</v>
      </c>
      <c r="AR300" s="6">
        <f>IFERROR(IF(Eingabe[[#This Row],[Wo]]="H",IF(Eingabe[[#This Row],[S1]]&gt;0,IF(MOD(Eingabe[[#This Row],[Position]],2)=1,Eingabe[[#This Row],[S2]],Eingabe[[#This Row],[S3]]),""),""),"")</f>
        <v>119</v>
      </c>
      <c r="AS300" s="6">
        <f>IFERROR(IF(Eingabe[[#This Row],[Wo]]="H",IF(Eingabe[[#This Row],[S1]]&gt;0,IF(MOD(ROW(Eingabe[[#This Row],[Heimbahn 3]]),2)=1,Eingabe[[#This Row],[S4]],Eingabe[[#This Row],[S1]]),""),""),"")</f>
        <v>111</v>
      </c>
      <c r="AT300" s="6">
        <f>IFERROR(IF(Eingabe[[#This Row],[Wo]]="H",IF(Eingabe[[#This Row],[S1]]&gt;0,IF(MOD(ROW(Eingabe[[#This Row],[Heimbahn 4]]),2)=1,Eingabe[[#This Row],[S3]],Eingabe[[#This Row],[S2]]),""),""),"")</f>
        <v>129</v>
      </c>
      <c r="AU300" s="22">
        <f>IF(Eingabe[[#This Row],[GES]]="","",IF(Eingabe[[#This Row],[Modus]]="L",_xlfn.RANK.EQ(Eingabe[[#This Row],[GES]],AF297:AF302),IF(Eingabe[[#This Row],[Modus]]="P",_xlfn.RANK.EQ(Eingabe[[#This Row],[GES]],AF297:AF302),"")))</f>
        <v>4</v>
      </c>
      <c r="AV300" s="6">
        <f>VLOOKUP(Eingabe[[#This Row],[Name]],AuswertungG[],8,FALSE)</f>
        <v>515</v>
      </c>
      <c r="AZ300" s="6">
        <f>IFERROR(ABS(Eingabe[[#This Row],[GES]]-Eingabe[[#This Row],[GEGGES]]),"")</f>
        <v>68</v>
      </c>
    </row>
    <row r="301" spans="1:52" ht="16.2" hidden="1" thickBot="1" x14ac:dyDescent="0.35">
      <c r="A301" s="441"/>
      <c r="B301" s="21">
        <f t="shared" si="42"/>
        <v>50</v>
      </c>
      <c r="C301" s="6" t="str">
        <f>VLOOKUP($B301,Chronologie[],7,TRUE)</f>
        <v>KSV Grün-Weiß Leubsdorf</v>
      </c>
      <c r="D301" s="6" t="str">
        <f>VLOOKUP($B301,Chronologie[],8,TRUE)</f>
        <v>Hirschfeld</v>
      </c>
      <c r="E301" s="240" t="str">
        <f>VLOOKUP($B301,Chronologie[],9,TRUE)</f>
        <v>H</v>
      </c>
      <c r="F301" s="6" t="str">
        <f>VLOOKUP($B301,Chronologie[],COLUMN(F302)-2,TRUE)</f>
        <v>Z</v>
      </c>
      <c r="G301" s="6" t="str">
        <f>VLOOKUP($B301,Chronologie[],COLUMN(G302)-2,TRUE)</f>
        <v>L</v>
      </c>
      <c r="H301" s="6">
        <f>VLOOKUP($B301,Chronologie[],COLUMN(H302)-2,TRUE)</f>
        <v>6</v>
      </c>
      <c r="I301" s="10" t="str">
        <f>VLOOKUP($B301,Chronologie[],2,TRUE)</f>
        <v>Z-L-6</v>
      </c>
      <c r="J301" s="243">
        <f>VLOOKUP($B301,Chronologie[],3,TRUE)</f>
        <v>45977</v>
      </c>
      <c r="K301" s="237" t="s">
        <v>12</v>
      </c>
      <c r="L301" s="237">
        <v>77</v>
      </c>
      <c r="M301" s="237">
        <v>84</v>
      </c>
      <c r="N301" s="237">
        <v>90</v>
      </c>
      <c r="O301" s="237">
        <v>92</v>
      </c>
      <c r="P301" s="237">
        <v>44</v>
      </c>
      <c r="Q301" s="237">
        <v>31</v>
      </c>
      <c r="R301" s="237">
        <v>35</v>
      </c>
      <c r="S301" s="237">
        <v>36</v>
      </c>
      <c r="T301" s="237">
        <v>1</v>
      </c>
      <c r="U301" s="237">
        <v>3</v>
      </c>
      <c r="V301" s="237">
        <v>4</v>
      </c>
      <c r="W301" s="237">
        <v>2</v>
      </c>
      <c r="X301" s="38">
        <v>0.5</v>
      </c>
      <c r="Y301" s="38">
        <v>0</v>
      </c>
      <c r="Z301" s="38">
        <v>1</v>
      </c>
      <c r="AA301" s="38">
        <v>0</v>
      </c>
      <c r="AB301" s="91">
        <v>540</v>
      </c>
      <c r="AC301" s="94">
        <f>IF(Eingabe[[#This Row],[V1]]="",IF(Eingabe[[#This Row],[Volle alternativ]]="","",Eingabe[[#This Row],[Volle alternativ]]),SUM(Eingabe[[#This Row],[V1]:[V4]]))</f>
        <v>343</v>
      </c>
      <c r="AD301" s="6">
        <f>IF(Eingabe[[#This Row],[R1]]="",IF(Eingabe[[#This Row],[Räumer alternativ]]="","",Eingabe[[#This Row],[Räumer alternativ]]),SUM(Eingabe[[#This Row],[R1]:[R4]]))</f>
        <v>146</v>
      </c>
      <c r="AE301" s="6">
        <f>IF(Eingabe[[#This Row],[F1]]="",IF(Eingabe[[#This Row],[Fehler alternativ]]="","",Eingabe[[#This Row],[Fehler alternativ]]),SUM(Eingabe[[#This Row],[F1]:[F4]]))</f>
        <v>10</v>
      </c>
      <c r="AF301" s="6">
        <f>IF(Eingabe[[#This Row],[Volle]]="","",IF(Eingabe[[#This Row],[S1]]="",Eingabe[[#This Row],[Volle]]+Eingabe[[#This Row],[Räumer]],IF(Eingabe[[#This Row],[Volle]]+Eingabe[[#This Row],[Räumer]]=Eingabe[[#This Row],[S1]]+Eingabe[[#This Row],[S2]]+Eingabe[[#This Row],[S3]]+Eingabe[[#This Row],[S4]],Eingabe[[#This Row],[Volle]]+Eingabe[[#This Row],[Räumer]],"FEHLER")))</f>
        <v>489</v>
      </c>
      <c r="AG301" s="6">
        <f>IF(Eingabe[[#This Row],[V1]]="","",Eingabe[[#This Row],[V1]]+Eingabe[[#This Row],[R1]])</f>
        <v>121</v>
      </c>
      <c r="AH301" s="6">
        <f>IF(Eingabe[[#This Row],[V2]]="","",Eingabe[[#This Row],[V2]]+Eingabe[[#This Row],[R2]])</f>
        <v>115</v>
      </c>
      <c r="AI301" s="6">
        <f>IF(Eingabe[[#This Row],[V3]]="","",Eingabe[[#This Row],[V3]]+Eingabe[[#This Row],[R3]])</f>
        <v>125</v>
      </c>
      <c r="AJ301" s="6">
        <f>IF(Eingabe[[#This Row],[V4]]="","",Eingabe[[#This Row],[V4]]+Eingabe[[#This Row],[R4]])</f>
        <v>128</v>
      </c>
      <c r="AK301" s="6">
        <f>IF(Eingabe[[#This Row],[S1P]]="","",Eingabe[[#This Row],[S1P]]+Eingabe[[#This Row],[S2P]]+Eingabe[[#This Row],[S3P]]+Eingabe[[#This Row],[S4P]])</f>
        <v>1.5</v>
      </c>
      <c r="AL301" s="6">
        <f>IF(Eingabe[[#This Row],[S1P]]="","",IF(Eingabe[[#This Row],[SP]]&gt;2,1,IF(Eingabe[[#This Row],[SP]]&lt;2,0,IF(Eingabe[[#This Row],[GES]]&gt;Eingabe[[#This Row],[GEGGES]],1,IF(Eingabe[[#This Row],[GES]]=Eingabe[[#This Row],[GEGGES]],0.5,0)))))</f>
        <v>0</v>
      </c>
      <c r="AM301" s="6">
        <f>IF(Eingabe[[#This Row],[MP]]="","",MOD(ROW(Eingabe[[#This Row],[Position]])-3,6)+1)</f>
        <v>5</v>
      </c>
      <c r="AN301" s="6">
        <f>STANDARDIZE(Eingabe[[#This Row],[GES]],Eingabe[[#This Row],[Schnitt]],VLOOKUP(Eingabe[[#This Row],[Name]],AuswertungG[],21,FALSE))</f>
        <v>-1.5925925925925926</v>
      </c>
      <c r="AO301" s="6">
        <f>VLOOKUP(Eingabe[[#This Row],[ID]],Chronologie[[ID]:[KW]],12,FALSE)</f>
        <v>12</v>
      </c>
      <c r="AP301" s="95" t="str">
        <f>IF(Eingabe[[#This Row],[Wo]]="H",Eingabe[[#This Row],[Gegner]]&amp;" ["&amp;Eingabe[[#This Row],[Wo]]&amp;"]",Eingabe[[#This Row],[Ort]])</f>
        <v>KSV Grün-Weiß Leubsdorf [H]</v>
      </c>
      <c r="AQ301" s="6">
        <f>IFERROR(IF(Eingabe[[#This Row],[Wo]]="H",IF(MOD(Eingabe[[#This Row],[Position]],2)=1,Eingabe[[#This Row],[S1]],Eingabe[[#This Row],[S4]]),""),"")</f>
        <v>121</v>
      </c>
      <c r="AR301" s="6">
        <f>IFERROR(IF(Eingabe[[#This Row],[Wo]]="H",IF(Eingabe[[#This Row],[S1]]&gt;0,IF(MOD(Eingabe[[#This Row],[Position]],2)=1,Eingabe[[#This Row],[S2]],Eingabe[[#This Row],[S3]]),""),""),"")</f>
        <v>115</v>
      </c>
      <c r="AS301" s="6">
        <f>IFERROR(IF(Eingabe[[#This Row],[Wo]]="H",IF(Eingabe[[#This Row],[S1]]&gt;0,IF(MOD(ROW(Eingabe[[#This Row],[Heimbahn 3]]),2)=1,Eingabe[[#This Row],[S4]],Eingabe[[#This Row],[S1]]),""),""),"")</f>
        <v>128</v>
      </c>
      <c r="AT301" s="6">
        <f>IFERROR(IF(Eingabe[[#This Row],[Wo]]="H",IF(Eingabe[[#This Row],[S1]]&gt;0,IF(MOD(ROW(Eingabe[[#This Row],[Heimbahn 4]]),2)=1,Eingabe[[#This Row],[S3]],Eingabe[[#This Row],[S2]]),""),""),"")</f>
        <v>125</v>
      </c>
      <c r="AU301" s="22">
        <f>IF(Eingabe[[#This Row],[GES]]="","",IF(Eingabe[[#This Row],[Modus]]="L",_xlfn.RANK.EQ(Eingabe[[#This Row],[GES]],AF297:AF302),IF(Eingabe[[#This Row],[Modus]]="P",_xlfn.RANK.EQ(Eingabe[[#This Row],[GES]],AF297:AF302),"")))</f>
        <v>3</v>
      </c>
      <c r="AV301" s="6">
        <f>VLOOKUP(Eingabe[[#This Row],[Name]],AuswertungG[],8,FALSE)</f>
        <v>532</v>
      </c>
      <c r="AZ301" s="6">
        <f>IFERROR(ABS(Eingabe[[#This Row],[GES]]-Eingabe[[#This Row],[GEGGES]]),"")</f>
        <v>51</v>
      </c>
    </row>
    <row r="302" spans="1:52" ht="16.2" hidden="1" thickBot="1" x14ac:dyDescent="0.35">
      <c r="A302" s="442"/>
      <c r="B302" s="56">
        <f t="shared" si="42"/>
        <v>50</v>
      </c>
      <c r="C302" s="23" t="str">
        <f>VLOOKUP($B302,Chronologie[],7,TRUE)</f>
        <v>KSV Grün-Weiß Leubsdorf</v>
      </c>
      <c r="D302" s="23" t="str">
        <f>VLOOKUP($B302,Chronologie[],8,TRUE)</f>
        <v>Hirschfeld</v>
      </c>
      <c r="E302" s="39" t="str">
        <f>VLOOKUP($B302,Chronologie[],9,TRUE)</f>
        <v>H</v>
      </c>
      <c r="F302" s="23" t="str">
        <f>VLOOKUP($B302,Chronologie[],COLUMN(F303)-2,TRUE)</f>
        <v>Z</v>
      </c>
      <c r="G302" s="23" t="str">
        <f>VLOOKUP($B302,Chronologie[],COLUMN(G303)-2,TRUE)</f>
        <v>L</v>
      </c>
      <c r="H302" s="23">
        <f>VLOOKUP($B302,Chronologie[],COLUMN(H303)-2,TRUE)</f>
        <v>6</v>
      </c>
      <c r="I302" s="13" t="str">
        <f>VLOOKUP($B302,Chronologie[],2,TRUE)</f>
        <v>Z-L-6</v>
      </c>
      <c r="J302" s="244">
        <f>VLOOKUP($B302,Chronologie[],3,TRUE)</f>
        <v>45977</v>
      </c>
      <c r="K302" s="239" t="s">
        <v>689</v>
      </c>
      <c r="L302" s="239">
        <v>78</v>
      </c>
      <c r="M302" s="239">
        <v>76</v>
      </c>
      <c r="N302" s="239">
        <v>86</v>
      </c>
      <c r="O302" s="239">
        <v>86</v>
      </c>
      <c r="P302" s="239">
        <v>45</v>
      </c>
      <c r="Q302" s="239">
        <v>27</v>
      </c>
      <c r="R302" s="239">
        <v>44</v>
      </c>
      <c r="S302" s="239">
        <v>26</v>
      </c>
      <c r="T302" s="239">
        <v>1</v>
      </c>
      <c r="U302" s="239">
        <v>2</v>
      </c>
      <c r="V302" s="239">
        <v>2</v>
      </c>
      <c r="W302" s="239">
        <v>4</v>
      </c>
      <c r="X302" s="40">
        <v>0</v>
      </c>
      <c r="Y302" s="40">
        <v>0</v>
      </c>
      <c r="Z302" s="40">
        <v>1</v>
      </c>
      <c r="AA302" s="40">
        <v>0</v>
      </c>
      <c r="AB302" s="92">
        <v>502</v>
      </c>
      <c r="AC302" s="96">
        <f>IF(Eingabe[[#This Row],[V1]]="",IF(Eingabe[[#This Row],[Volle alternativ]]="","",Eingabe[[#This Row],[Volle alternativ]]),SUM(Eingabe[[#This Row],[V1]:[V4]]))</f>
        <v>326</v>
      </c>
      <c r="AD302" s="23">
        <f>IF(Eingabe[[#This Row],[R1]]="",IF(Eingabe[[#This Row],[Räumer alternativ]]="","",Eingabe[[#This Row],[Räumer alternativ]]),SUM(Eingabe[[#This Row],[R1]:[R4]]))</f>
        <v>142</v>
      </c>
      <c r="AE302" s="23">
        <f>IF(Eingabe[[#This Row],[F1]]="",IF(Eingabe[[#This Row],[Fehler alternativ]]="","",Eingabe[[#This Row],[Fehler alternativ]]),SUM(Eingabe[[#This Row],[F1]:[F4]]))</f>
        <v>9</v>
      </c>
      <c r="AF302" s="23">
        <f>IF(Eingabe[[#This Row],[Volle]]="","",IF(Eingabe[[#This Row],[S1]]="",Eingabe[[#This Row],[Volle]]+Eingabe[[#This Row],[Räumer]],IF(Eingabe[[#This Row],[Volle]]+Eingabe[[#This Row],[Räumer]]=Eingabe[[#This Row],[S1]]+Eingabe[[#This Row],[S2]]+Eingabe[[#This Row],[S3]]+Eingabe[[#This Row],[S4]],Eingabe[[#This Row],[Volle]]+Eingabe[[#This Row],[Räumer]],"FEHLER")))</f>
        <v>468</v>
      </c>
      <c r="AG302" s="23">
        <f>IF(Eingabe[[#This Row],[V1]]="","",Eingabe[[#This Row],[V1]]+Eingabe[[#This Row],[R1]])</f>
        <v>123</v>
      </c>
      <c r="AH302" s="23">
        <f>IF(Eingabe[[#This Row],[V2]]="","",Eingabe[[#This Row],[V2]]+Eingabe[[#This Row],[R2]])</f>
        <v>103</v>
      </c>
      <c r="AI302" s="23">
        <f>IF(Eingabe[[#This Row],[V3]]="","",Eingabe[[#This Row],[V3]]+Eingabe[[#This Row],[R3]])</f>
        <v>130</v>
      </c>
      <c r="AJ302" s="23">
        <f>IF(Eingabe[[#This Row],[V4]]="","",Eingabe[[#This Row],[V4]]+Eingabe[[#This Row],[R4]])</f>
        <v>112</v>
      </c>
      <c r="AK302" s="23">
        <f>IF(Eingabe[[#This Row],[S1P]]="","",Eingabe[[#This Row],[S1P]]+Eingabe[[#This Row],[S2P]]+Eingabe[[#This Row],[S3P]]+Eingabe[[#This Row],[S4P]])</f>
        <v>1</v>
      </c>
      <c r="AL302" s="23">
        <f>IF(Eingabe[[#This Row],[S1P]]="","",IF(Eingabe[[#This Row],[SP]]&gt;2,1,IF(Eingabe[[#This Row],[SP]]&lt;2,0,IF(Eingabe[[#This Row],[GES]]&gt;Eingabe[[#This Row],[GEGGES]],1,IF(Eingabe[[#This Row],[GES]]=Eingabe[[#This Row],[GEGGES]],0.5,0)))))</f>
        <v>0</v>
      </c>
      <c r="AM302" s="23">
        <f>IF(Eingabe[[#This Row],[MP]]="","",MOD(ROW(Eingabe[[#This Row],[Position]])-3,6)+1)</f>
        <v>6</v>
      </c>
      <c r="AN302" s="23">
        <f>STANDARDIZE(Eingabe[[#This Row],[GES]],Eingabe[[#This Row],[Schnitt]],VLOOKUP(Eingabe[[#This Row],[Name]],AuswertungG[],21,FALSE))</f>
        <v>-2.0357142857142856</v>
      </c>
      <c r="AO302" s="23">
        <f>VLOOKUP(Eingabe[[#This Row],[ID]],Chronologie[[ID]:[KW]],12,FALSE)</f>
        <v>12</v>
      </c>
      <c r="AP302" s="59" t="str">
        <f>IF(Eingabe[[#This Row],[Wo]]="H",Eingabe[[#This Row],[Gegner]]&amp;" ["&amp;Eingabe[[#This Row],[Wo]]&amp;"]",Eingabe[[#This Row],[Ort]])</f>
        <v>KSV Grün-Weiß Leubsdorf [H]</v>
      </c>
      <c r="AQ302" s="23">
        <f>IFERROR(IF(Eingabe[[#This Row],[Wo]]="H",IF(MOD(Eingabe[[#This Row],[Position]],2)=1,Eingabe[[#This Row],[S1]],Eingabe[[#This Row],[S4]]),""),"")</f>
        <v>112</v>
      </c>
      <c r="AR302" s="23">
        <f>IFERROR(IF(Eingabe[[#This Row],[Wo]]="H",IF(Eingabe[[#This Row],[S1]]&gt;0,IF(MOD(Eingabe[[#This Row],[Position]],2)=1,Eingabe[[#This Row],[S2]],Eingabe[[#This Row],[S3]]),""),""),"")</f>
        <v>130</v>
      </c>
      <c r="AS302" s="23">
        <f>IFERROR(IF(Eingabe[[#This Row],[Wo]]="H",IF(Eingabe[[#This Row],[S1]]&gt;0,IF(MOD(ROW(Eingabe[[#This Row],[Heimbahn 3]]),2)=1,Eingabe[[#This Row],[S4]],Eingabe[[#This Row],[S1]]),""),""),"")</f>
        <v>123</v>
      </c>
      <c r="AT302" s="23">
        <f>IFERROR(IF(Eingabe[[#This Row],[Wo]]="H",IF(Eingabe[[#This Row],[S1]]&gt;0,IF(MOD(ROW(Eingabe[[#This Row],[Heimbahn 4]]),2)=1,Eingabe[[#This Row],[S3]],Eingabe[[#This Row],[S2]]),""),""),"")</f>
        <v>103</v>
      </c>
      <c r="AU302" s="89">
        <f>IF(Eingabe[[#This Row],[GES]]="","",IF(Eingabe[[#This Row],[Modus]]="L",_xlfn.RANK.EQ(Eingabe[[#This Row],[GES]],AF297:AF302),IF(Eingabe[[#This Row],[Modus]]="P",_xlfn.RANK.EQ(Eingabe[[#This Row],[GES]],AF297:AF302),"")))</f>
        <v>5</v>
      </c>
      <c r="AV302" s="6">
        <f>VLOOKUP(Eingabe[[#This Row],[Name]],AuswertungG[],8,FALSE)</f>
        <v>525</v>
      </c>
      <c r="AZ302" s="6">
        <f>IFERROR(ABS(Eingabe[[#This Row],[GES]]-Eingabe[[#This Row],[GEGGES]]),"")</f>
        <v>34</v>
      </c>
    </row>
    <row r="303" spans="1:52" ht="16.2" hidden="1" thickBot="1" x14ac:dyDescent="0.35">
      <c r="A303" s="440">
        <f t="shared" ref="A303:A363" si="43">B303</f>
        <v>51</v>
      </c>
      <c r="B303" s="55">
        <f t="shared" si="42"/>
        <v>51</v>
      </c>
      <c r="C303" s="35" t="str">
        <f>VLOOKUP($B303,Chronologie[],7,TRUE)</f>
        <v>KSV Hainichen 92</v>
      </c>
      <c r="D303" s="35" t="str">
        <f>VLOOKUP($B303,Chronologie[],8,TRUE)</f>
        <v>Hainichen</v>
      </c>
      <c r="E303" s="36" t="str">
        <f>VLOOKUP($B303,Chronologie[],9,TRUE)</f>
        <v>A</v>
      </c>
      <c r="F303" s="35" t="str">
        <f>VLOOKUP($B303,Chronologie[],COLUMN(F304)-2,TRUE)</f>
        <v>Z</v>
      </c>
      <c r="G303" s="35" t="str">
        <f>VLOOKUP($B303,Chronologie[],COLUMN(G304)-2,TRUE)</f>
        <v>L</v>
      </c>
      <c r="H303" s="35">
        <f>VLOOKUP($B303,Chronologie[],COLUMN(H304)-2,TRUE)</f>
        <v>7</v>
      </c>
      <c r="I303" s="9" t="str">
        <f>VLOOKUP($B303,Chronologie[],2,TRUE)</f>
        <v>Z-L-7</v>
      </c>
      <c r="J303" s="242">
        <f>VLOOKUP($B303,Chronologie[],3,TRUE)</f>
        <v>45998</v>
      </c>
      <c r="K303" s="236" t="s">
        <v>465</v>
      </c>
      <c r="L303" s="334">
        <v>101</v>
      </c>
      <c r="M303" s="334">
        <v>75</v>
      </c>
      <c r="N303" s="334">
        <v>79</v>
      </c>
      <c r="O303" s="334">
        <v>91</v>
      </c>
      <c r="P303" s="334">
        <v>36</v>
      </c>
      <c r="Q303" s="334">
        <v>26</v>
      </c>
      <c r="R303" s="334">
        <v>27</v>
      </c>
      <c r="S303" s="334">
        <v>52</v>
      </c>
      <c r="T303" s="334">
        <v>3</v>
      </c>
      <c r="U303" s="334">
        <v>2</v>
      </c>
      <c r="V303" s="334">
        <v>4</v>
      </c>
      <c r="W303" s="334">
        <v>0</v>
      </c>
      <c r="X303" s="37">
        <v>0</v>
      </c>
      <c r="Y303" s="37">
        <v>0</v>
      </c>
      <c r="Z303" s="37">
        <v>0</v>
      </c>
      <c r="AA303" s="37">
        <v>1</v>
      </c>
      <c r="AB303" s="90">
        <v>524</v>
      </c>
      <c r="AC303" s="93">
        <f>IF(Eingabe[[#This Row],[V1]]="",IF(Eingabe[[#This Row],[Volle alternativ]]="","",Eingabe[[#This Row],[Volle alternativ]]),SUM(Eingabe[[#This Row],[V1]:[V4]]))</f>
        <v>346</v>
      </c>
      <c r="AD303" s="35">
        <f>IF(Eingabe[[#This Row],[R1]]="",IF(Eingabe[[#This Row],[Räumer alternativ]]="","",Eingabe[[#This Row],[Räumer alternativ]]),SUM(Eingabe[[#This Row],[R1]:[R4]]))</f>
        <v>141</v>
      </c>
      <c r="AE303" s="35">
        <f>IF(Eingabe[[#This Row],[F1]]="",IF(Eingabe[[#This Row],[Fehler alternativ]]="","",Eingabe[[#This Row],[Fehler alternativ]]),SUM(Eingabe[[#This Row],[F1]:[F4]]))</f>
        <v>9</v>
      </c>
      <c r="AF303" s="35">
        <f>IF(Eingabe[[#This Row],[Volle]]="","",IF(Eingabe[[#This Row],[S1]]="",Eingabe[[#This Row],[Volle]]+Eingabe[[#This Row],[Räumer]],IF(Eingabe[[#This Row],[Volle]]+Eingabe[[#This Row],[Räumer]]=Eingabe[[#This Row],[S1]]+Eingabe[[#This Row],[S2]]+Eingabe[[#This Row],[S3]]+Eingabe[[#This Row],[S4]],Eingabe[[#This Row],[Volle]]+Eingabe[[#This Row],[Räumer]],"FEHLER")))</f>
        <v>487</v>
      </c>
      <c r="AG303" s="35">
        <f>IF(Eingabe[[#This Row],[V1]]="","",Eingabe[[#This Row],[V1]]+Eingabe[[#This Row],[R1]])</f>
        <v>137</v>
      </c>
      <c r="AH303" s="35">
        <f>IF(Eingabe[[#This Row],[V2]]="","",Eingabe[[#This Row],[V2]]+Eingabe[[#This Row],[R2]])</f>
        <v>101</v>
      </c>
      <c r="AI303" s="35">
        <f>IF(Eingabe[[#This Row],[V3]]="","",Eingabe[[#This Row],[V3]]+Eingabe[[#This Row],[R3]])</f>
        <v>106</v>
      </c>
      <c r="AJ303" s="35">
        <f>IF(Eingabe[[#This Row],[V4]]="","",Eingabe[[#This Row],[V4]]+Eingabe[[#This Row],[R4]])</f>
        <v>143</v>
      </c>
      <c r="AK303" s="35">
        <f>IF(Eingabe[[#This Row],[S1P]]="","",Eingabe[[#This Row],[S1P]]+Eingabe[[#This Row],[S2P]]+Eingabe[[#This Row],[S3P]]+Eingabe[[#This Row],[S4P]])</f>
        <v>1</v>
      </c>
      <c r="AL303" s="35">
        <f>IF(Eingabe[[#This Row],[S1P]]="","",IF(Eingabe[[#This Row],[SP]]&gt;2,1,IF(Eingabe[[#This Row],[SP]]&lt;2,0,IF(Eingabe[[#This Row],[GES]]&gt;Eingabe[[#This Row],[GEGGES]],1,IF(Eingabe[[#This Row],[GES]]=Eingabe[[#This Row],[GEGGES]],0.5,0)))))</f>
        <v>0</v>
      </c>
      <c r="AM303" s="35">
        <f>IF(Eingabe[[#This Row],[MP]]="","",MOD(ROW(Eingabe[[#This Row],[Position]])-3,6)+1)</f>
        <v>1</v>
      </c>
      <c r="AN303" s="35">
        <f>STANDARDIZE(Eingabe[[#This Row],[GES]],Eingabe[[#This Row],[Schnitt]],VLOOKUP(Eingabe[[#This Row],[Name]],AuswertungG[],21,FALSE))</f>
        <v>-1.6956521739130435</v>
      </c>
      <c r="AO303" s="35">
        <f>VLOOKUP(Eingabe[[#This Row],[ID]],Chronologie[[ID]:[KW]],12,FALSE)</f>
        <v>15</v>
      </c>
      <c r="AP303" s="58" t="str">
        <f>IF(Eingabe[[#This Row],[Wo]]="H",Eingabe[[#This Row],[Gegner]]&amp;" ["&amp;Eingabe[[#This Row],[Wo]]&amp;"]",Eingabe[[#This Row],[Ort]])</f>
        <v>Hainichen</v>
      </c>
      <c r="AQ303" s="35" t="str">
        <f>IFERROR(IF(Eingabe[[#This Row],[Wo]]="H",IF(MOD(Eingabe[[#This Row],[Position]],2)=1,Eingabe[[#This Row],[S1]],Eingabe[[#This Row],[S4]]),""),"")</f>
        <v/>
      </c>
      <c r="AR303" s="35" t="str">
        <f>IFERROR(IF(Eingabe[[#This Row],[Wo]]="H",IF(Eingabe[[#This Row],[S1]]&gt;0,IF(MOD(Eingabe[[#This Row],[Position]],2)=1,Eingabe[[#This Row],[S2]],Eingabe[[#This Row],[S3]]),""),""),"")</f>
        <v/>
      </c>
      <c r="AS303" s="35" t="str">
        <f>IFERROR(IF(Eingabe[[#This Row],[Wo]]="H",IF(Eingabe[[#This Row],[S1]]&gt;0,IF(MOD(ROW(Eingabe[[#This Row],[Heimbahn 3]]),2)=1,Eingabe[[#This Row],[S4]],Eingabe[[#This Row],[S1]]),""),""),"")</f>
        <v/>
      </c>
      <c r="AT303" s="35" t="str">
        <f>IFERROR(IF(Eingabe[[#This Row],[Wo]]="H",IF(Eingabe[[#This Row],[S1]]&gt;0,IF(MOD(ROW(Eingabe[[#This Row],[Heimbahn 4]]),2)=1,Eingabe[[#This Row],[S3]],Eingabe[[#This Row],[S2]]),""),""),"")</f>
        <v/>
      </c>
      <c r="AU303" s="88">
        <f>IF(Eingabe[[#This Row],[GES]]="","",IF(Eingabe[[#This Row],[Modus]]="L",_xlfn.RANK.EQ(Eingabe[[#This Row],[GES]],AF303:AF308),IF(Eingabe[[#This Row],[Modus]]="P",_xlfn.RANK.EQ(Eingabe[[#This Row],[GES]],AF303:AF308),"")))</f>
        <v>6</v>
      </c>
      <c r="AV303" s="6">
        <f>VLOOKUP(Eingabe[[#This Row],[Name]],AuswertungG[],8,FALSE)</f>
        <v>526</v>
      </c>
      <c r="AZ303" s="6">
        <f>IFERROR(ABS(Eingabe[[#This Row],[GES]]-Eingabe[[#This Row],[GEGGES]]),"")</f>
        <v>37</v>
      </c>
    </row>
    <row r="304" spans="1:52" ht="16.2" hidden="1" thickBot="1" x14ac:dyDescent="0.35">
      <c r="A304" s="441"/>
      <c r="B304" s="21">
        <f t="shared" si="42"/>
        <v>51</v>
      </c>
      <c r="C304" s="6" t="str">
        <f>VLOOKUP($B304,Chronologie[],7,TRUE)</f>
        <v>KSV Hainichen 92</v>
      </c>
      <c r="D304" s="6" t="str">
        <f>VLOOKUP($B304,Chronologie[],8,TRUE)</f>
        <v>Hainichen</v>
      </c>
      <c r="E304" s="240" t="str">
        <f>VLOOKUP($B304,Chronologie[],9,TRUE)</f>
        <v>A</v>
      </c>
      <c r="F304" s="6" t="str">
        <f>VLOOKUP($B304,Chronologie[],COLUMN(F305)-2,TRUE)</f>
        <v>Z</v>
      </c>
      <c r="G304" s="6" t="str">
        <f>VLOOKUP($B304,Chronologie[],COLUMN(G305)-2,TRUE)</f>
        <v>L</v>
      </c>
      <c r="H304" s="6">
        <f>VLOOKUP($B304,Chronologie[],COLUMN(H305)-2,TRUE)</f>
        <v>7</v>
      </c>
      <c r="I304" s="10" t="str">
        <f>VLOOKUP($B304,Chronologie[],2,TRUE)</f>
        <v>Z-L-7</v>
      </c>
      <c r="J304" s="243">
        <f>VLOOKUP($B304,Chronologie[],3,TRUE)</f>
        <v>45998</v>
      </c>
      <c r="K304" s="237" t="s">
        <v>12</v>
      </c>
      <c r="L304" s="237">
        <v>92</v>
      </c>
      <c r="M304" s="237">
        <v>81</v>
      </c>
      <c r="N304" s="237">
        <v>88</v>
      </c>
      <c r="O304" s="237">
        <v>85</v>
      </c>
      <c r="P304" s="237">
        <v>53</v>
      </c>
      <c r="Q304" s="237">
        <v>44</v>
      </c>
      <c r="R304" s="237">
        <v>36</v>
      </c>
      <c r="S304" s="237">
        <v>53</v>
      </c>
      <c r="T304" s="237">
        <v>1</v>
      </c>
      <c r="U304" s="237">
        <v>2</v>
      </c>
      <c r="V304" s="237">
        <v>3</v>
      </c>
      <c r="W304" s="237">
        <v>2</v>
      </c>
      <c r="X304" s="38">
        <v>1</v>
      </c>
      <c r="Y304" s="38">
        <v>0</v>
      </c>
      <c r="Z304" s="38">
        <v>0</v>
      </c>
      <c r="AA304" s="38">
        <v>1</v>
      </c>
      <c r="AB304" s="91">
        <v>504</v>
      </c>
      <c r="AC304" s="94">
        <f>IF(Eingabe[[#This Row],[V1]]="",IF(Eingabe[[#This Row],[Volle alternativ]]="","",Eingabe[[#This Row],[Volle alternativ]]),SUM(Eingabe[[#This Row],[V1]:[V4]]))</f>
        <v>346</v>
      </c>
      <c r="AD304" s="6">
        <f>IF(Eingabe[[#This Row],[R1]]="",IF(Eingabe[[#This Row],[Räumer alternativ]]="","",Eingabe[[#This Row],[Räumer alternativ]]),SUM(Eingabe[[#This Row],[R1]:[R4]]))</f>
        <v>186</v>
      </c>
      <c r="AE304" s="6">
        <f>IF(Eingabe[[#This Row],[F1]]="",IF(Eingabe[[#This Row],[Fehler alternativ]]="","",Eingabe[[#This Row],[Fehler alternativ]]),SUM(Eingabe[[#This Row],[F1]:[F4]]))</f>
        <v>8</v>
      </c>
      <c r="AF304" s="6">
        <f>IF(Eingabe[[#This Row],[Volle]]="","",IF(Eingabe[[#This Row],[S1]]="",Eingabe[[#This Row],[Volle]]+Eingabe[[#This Row],[Räumer]],IF(Eingabe[[#This Row],[Volle]]+Eingabe[[#This Row],[Räumer]]=Eingabe[[#This Row],[S1]]+Eingabe[[#This Row],[S2]]+Eingabe[[#This Row],[S3]]+Eingabe[[#This Row],[S4]],Eingabe[[#This Row],[Volle]]+Eingabe[[#This Row],[Räumer]],"FEHLER")))</f>
        <v>532</v>
      </c>
      <c r="AG304" s="6">
        <f>IF(Eingabe[[#This Row],[V1]]="","",Eingabe[[#This Row],[V1]]+Eingabe[[#This Row],[R1]])</f>
        <v>145</v>
      </c>
      <c r="AH304" s="6">
        <f>IF(Eingabe[[#This Row],[V2]]="","",Eingabe[[#This Row],[V2]]+Eingabe[[#This Row],[R2]])</f>
        <v>125</v>
      </c>
      <c r="AI304" s="6">
        <f>IF(Eingabe[[#This Row],[V3]]="","",Eingabe[[#This Row],[V3]]+Eingabe[[#This Row],[R3]])</f>
        <v>124</v>
      </c>
      <c r="AJ304" s="6">
        <f>IF(Eingabe[[#This Row],[V4]]="","",Eingabe[[#This Row],[V4]]+Eingabe[[#This Row],[R4]])</f>
        <v>138</v>
      </c>
      <c r="AK304" s="6">
        <f>IF(Eingabe[[#This Row],[S1P]]="","",Eingabe[[#This Row],[S1P]]+Eingabe[[#This Row],[S2P]]+Eingabe[[#This Row],[S3P]]+Eingabe[[#This Row],[S4P]])</f>
        <v>2</v>
      </c>
      <c r="AL304" s="6">
        <f>IF(Eingabe[[#This Row],[S1P]]="","",IF(Eingabe[[#This Row],[SP]]&gt;2,1,IF(Eingabe[[#This Row],[SP]]&lt;2,0,IF(Eingabe[[#This Row],[GES]]&gt;Eingabe[[#This Row],[GEGGES]],1,IF(Eingabe[[#This Row],[GES]]=Eingabe[[#This Row],[GEGGES]],0.5,0)))))</f>
        <v>1</v>
      </c>
      <c r="AM304" s="6">
        <f>IF(Eingabe[[#This Row],[MP]]="","",MOD(ROW(Eingabe[[#This Row],[Position]])-3,6)+1)</f>
        <v>2</v>
      </c>
      <c r="AN304" s="6">
        <f>STANDARDIZE(Eingabe[[#This Row],[GES]],Eingabe[[#This Row],[Schnitt]],VLOOKUP(Eingabe[[#This Row],[Name]],AuswertungG[],21,FALSE))</f>
        <v>0</v>
      </c>
      <c r="AO304" s="6">
        <f>VLOOKUP(Eingabe[[#This Row],[ID]],Chronologie[[ID]:[KW]],12,FALSE)</f>
        <v>15</v>
      </c>
      <c r="AP304" s="95" t="str">
        <f>IF(Eingabe[[#This Row],[Wo]]="H",Eingabe[[#This Row],[Gegner]]&amp;" ["&amp;Eingabe[[#This Row],[Wo]]&amp;"]",Eingabe[[#This Row],[Ort]])</f>
        <v>Hainichen</v>
      </c>
      <c r="AQ304" s="6" t="str">
        <f>IFERROR(IF(Eingabe[[#This Row],[Wo]]="H",IF(MOD(Eingabe[[#This Row],[Position]],2)=1,Eingabe[[#This Row],[S1]],Eingabe[[#This Row],[S4]]),""),"")</f>
        <v/>
      </c>
      <c r="AR304" s="6" t="str">
        <f>IFERROR(IF(Eingabe[[#This Row],[Wo]]="H",IF(Eingabe[[#This Row],[S1]]&gt;0,IF(MOD(Eingabe[[#This Row],[Position]],2)=1,Eingabe[[#This Row],[S2]],Eingabe[[#This Row],[S3]]),""),""),"")</f>
        <v/>
      </c>
      <c r="AS304" s="6" t="str">
        <f>IFERROR(IF(Eingabe[[#This Row],[Wo]]="H",IF(Eingabe[[#This Row],[S1]]&gt;0,IF(MOD(ROW(Eingabe[[#This Row],[Heimbahn 3]]),2)=1,Eingabe[[#This Row],[S4]],Eingabe[[#This Row],[S1]]),""),""),"")</f>
        <v/>
      </c>
      <c r="AT304" s="6" t="str">
        <f>IFERROR(IF(Eingabe[[#This Row],[Wo]]="H",IF(Eingabe[[#This Row],[S1]]&gt;0,IF(MOD(ROW(Eingabe[[#This Row],[Heimbahn 4]]),2)=1,Eingabe[[#This Row],[S3]],Eingabe[[#This Row],[S2]]),""),""),"")</f>
        <v/>
      </c>
      <c r="AU304" s="22">
        <f>IF(Eingabe[[#This Row],[GES]]="","",IF(Eingabe[[#This Row],[Modus]]="L",_xlfn.RANK.EQ(Eingabe[[#This Row],[GES]],AF303:AF308),IF(Eingabe[[#This Row],[Modus]]="P",_xlfn.RANK.EQ(Eingabe[[#This Row],[GES]],AF303:AF308),"")))</f>
        <v>3</v>
      </c>
      <c r="AV304" s="6">
        <f>VLOOKUP(Eingabe[[#This Row],[Name]],AuswertungG[],8,FALSE)</f>
        <v>532</v>
      </c>
      <c r="AZ304" s="6">
        <f>IFERROR(ABS(Eingabe[[#This Row],[GES]]-Eingabe[[#This Row],[GEGGES]]),"")</f>
        <v>28</v>
      </c>
    </row>
    <row r="305" spans="1:52" ht="16.2" hidden="1" thickBot="1" x14ac:dyDescent="0.35">
      <c r="A305" s="441"/>
      <c r="B305" s="21">
        <f t="shared" si="42"/>
        <v>51</v>
      </c>
      <c r="C305" s="6" t="str">
        <f>VLOOKUP($B305,Chronologie[],7,TRUE)</f>
        <v>KSV Hainichen 92</v>
      </c>
      <c r="D305" s="6" t="str">
        <f>VLOOKUP($B305,Chronologie[],8,TRUE)</f>
        <v>Hainichen</v>
      </c>
      <c r="E305" s="240" t="str">
        <f>VLOOKUP($B305,Chronologie[],9,TRUE)</f>
        <v>A</v>
      </c>
      <c r="F305" s="6" t="str">
        <f>VLOOKUP($B305,Chronologie[],COLUMN(F306)-2,TRUE)</f>
        <v>Z</v>
      </c>
      <c r="G305" s="6" t="str">
        <f>VLOOKUP($B305,Chronologie[],COLUMN(G306)-2,TRUE)</f>
        <v>L</v>
      </c>
      <c r="H305" s="6">
        <f>VLOOKUP($B305,Chronologie[],COLUMN(H306)-2,TRUE)</f>
        <v>7</v>
      </c>
      <c r="I305" s="10" t="str">
        <f>VLOOKUP($B305,Chronologie[],2,TRUE)</f>
        <v>Z-L-7</v>
      </c>
      <c r="J305" s="243">
        <f>VLOOKUP($B305,Chronologie[],3,TRUE)</f>
        <v>45998</v>
      </c>
      <c r="K305" s="237" t="s">
        <v>661</v>
      </c>
      <c r="L305" s="237">
        <v>93</v>
      </c>
      <c r="M305" s="237">
        <v>91</v>
      </c>
      <c r="N305" s="237">
        <v>85</v>
      </c>
      <c r="O305" s="237">
        <v>104</v>
      </c>
      <c r="P305" s="237">
        <v>45</v>
      </c>
      <c r="Q305" s="237">
        <v>34</v>
      </c>
      <c r="R305" s="237">
        <v>53</v>
      </c>
      <c r="S305" s="237">
        <v>41</v>
      </c>
      <c r="T305" s="237">
        <v>2</v>
      </c>
      <c r="U305" s="237">
        <v>1</v>
      </c>
      <c r="V305" s="237">
        <v>0</v>
      </c>
      <c r="W305" s="237">
        <v>0</v>
      </c>
      <c r="X305" s="38">
        <v>1</v>
      </c>
      <c r="Y305" s="38">
        <v>0</v>
      </c>
      <c r="Z305" s="38">
        <v>1</v>
      </c>
      <c r="AA305" s="38">
        <v>1</v>
      </c>
      <c r="AB305" s="91">
        <v>528</v>
      </c>
      <c r="AC305" s="94">
        <f>IF(Eingabe[[#This Row],[V1]]="",IF(Eingabe[[#This Row],[Volle alternativ]]="","",Eingabe[[#This Row],[Volle alternativ]]),SUM(Eingabe[[#This Row],[V1]:[V4]]))</f>
        <v>373</v>
      </c>
      <c r="AD305" s="6">
        <f>IF(Eingabe[[#This Row],[R1]]="",IF(Eingabe[[#This Row],[Räumer alternativ]]="","",Eingabe[[#This Row],[Räumer alternativ]]),SUM(Eingabe[[#This Row],[R1]:[R4]]))</f>
        <v>173</v>
      </c>
      <c r="AE305" s="6">
        <f>IF(Eingabe[[#This Row],[F1]]="",IF(Eingabe[[#This Row],[Fehler alternativ]]="","",Eingabe[[#This Row],[Fehler alternativ]]),SUM(Eingabe[[#This Row],[F1]:[F4]]))</f>
        <v>3</v>
      </c>
      <c r="AF305" s="6">
        <f>IF(Eingabe[[#This Row],[Volle]]="","",IF(Eingabe[[#This Row],[S1]]="",Eingabe[[#This Row],[Volle]]+Eingabe[[#This Row],[Räumer]],IF(Eingabe[[#This Row],[Volle]]+Eingabe[[#This Row],[Räumer]]=Eingabe[[#This Row],[S1]]+Eingabe[[#This Row],[S2]]+Eingabe[[#This Row],[S3]]+Eingabe[[#This Row],[S4]],Eingabe[[#This Row],[Volle]]+Eingabe[[#This Row],[Räumer]],"FEHLER")))</f>
        <v>546</v>
      </c>
      <c r="AG305" s="6">
        <f>IF(Eingabe[[#This Row],[V1]]="","",Eingabe[[#This Row],[V1]]+Eingabe[[#This Row],[R1]])</f>
        <v>138</v>
      </c>
      <c r="AH305" s="6">
        <f>IF(Eingabe[[#This Row],[V2]]="","",Eingabe[[#This Row],[V2]]+Eingabe[[#This Row],[R2]])</f>
        <v>125</v>
      </c>
      <c r="AI305" s="6">
        <f>IF(Eingabe[[#This Row],[V3]]="","",Eingabe[[#This Row],[V3]]+Eingabe[[#This Row],[R3]])</f>
        <v>138</v>
      </c>
      <c r="AJ305" s="6">
        <f>IF(Eingabe[[#This Row],[V4]]="","",Eingabe[[#This Row],[V4]]+Eingabe[[#This Row],[R4]])</f>
        <v>145</v>
      </c>
      <c r="AK305" s="6">
        <f>IF(Eingabe[[#This Row],[S1P]]="","",Eingabe[[#This Row],[S1P]]+Eingabe[[#This Row],[S2P]]+Eingabe[[#This Row],[S3P]]+Eingabe[[#This Row],[S4P]])</f>
        <v>3</v>
      </c>
      <c r="AL305" s="6">
        <f>IF(Eingabe[[#This Row],[S1P]]="","",IF(Eingabe[[#This Row],[SP]]&gt;2,1,IF(Eingabe[[#This Row],[SP]]&lt;2,0,IF(Eingabe[[#This Row],[GES]]&gt;Eingabe[[#This Row],[GEGGES]],1,IF(Eingabe[[#This Row],[GES]]=Eingabe[[#This Row],[GEGGES]],0.5,0)))))</f>
        <v>1</v>
      </c>
      <c r="AM305" s="6">
        <f>IF(Eingabe[[#This Row],[MP]]="","",MOD(ROW(Eingabe[[#This Row],[Position]])-3,6)+1)</f>
        <v>3</v>
      </c>
      <c r="AN305" s="6">
        <f>STANDARDIZE(Eingabe[[#This Row],[GES]],Eingabe[[#This Row],[Schnitt]],VLOOKUP(Eingabe[[#This Row],[Name]],AuswertungG[],21,FALSE))</f>
        <v>0.88888888888888884</v>
      </c>
      <c r="AO305" s="6">
        <f>VLOOKUP(Eingabe[[#This Row],[ID]],Chronologie[[ID]:[KW]],12,FALSE)</f>
        <v>15</v>
      </c>
      <c r="AP305" s="95" t="str">
        <f>IF(Eingabe[[#This Row],[Wo]]="H",Eingabe[[#This Row],[Gegner]]&amp;" ["&amp;Eingabe[[#This Row],[Wo]]&amp;"]",Eingabe[[#This Row],[Ort]])</f>
        <v>Hainichen</v>
      </c>
      <c r="AQ305" s="6" t="str">
        <f>IFERROR(IF(Eingabe[[#This Row],[Wo]]="H",IF(MOD(Eingabe[[#This Row],[Position]],2)=1,Eingabe[[#This Row],[S1]],Eingabe[[#This Row],[S4]]),""),"")</f>
        <v/>
      </c>
      <c r="AR305" s="6" t="str">
        <f>IFERROR(IF(Eingabe[[#This Row],[Wo]]="H",IF(Eingabe[[#This Row],[S1]]&gt;0,IF(MOD(Eingabe[[#This Row],[Position]],2)=1,Eingabe[[#This Row],[S2]],Eingabe[[#This Row],[S3]]),""),""),"")</f>
        <v/>
      </c>
      <c r="AS305" s="6" t="str">
        <f>IFERROR(IF(Eingabe[[#This Row],[Wo]]="H",IF(Eingabe[[#This Row],[S1]]&gt;0,IF(MOD(ROW(Eingabe[[#This Row],[Heimbahn 3]]),2)=1,Eingabe[[#This Row],[S4]],Eingabe[[#This Row],[S1]]),""),""),"")</f>
        <v/>
      </c>
      <c r="AT305" s="6" t="str">
        <f>IFERROR(IF(Eingabe[[#This Row],[Wo]]="H",IF(Eingabe[[#This Row],[S1]]&gt;0,IF(MOD(ROW(Eingabe[[#This Row],[Heimbahn 4]]),2)=1,Eingabe[[#This Row],[S3]],Eingabe[[#This Row],[S2]]),""),""),"")</f>
        <v/>
      </c>
      <c r="AU305" s="22">
        <f>IF(Eingabe[[#This Row],[GES]]="","",IF(Eingabe[[#This Row],[Modus]]="L",_xlfn.RANK.EQ(Eingabe[[#This Row],[GES]],AF303:AF308),IF(Eingabe[[#This Row],[Modus]]="P",_xlfn.RANK.EQ(Eingabe[[#This Row],[GES]],AF303:AF308),"")))</f>
        <v>1</v>
      </c>
      <c r="AV305" s="6">
        <f>VLOOKUP(Eingabe[[#This Row],[Name]],AuswertungG[],8,FALSE)</f>
        <v>522</v>
      </c>
      <c r="AZ305" s="6">
        <f>IFERROR(ABS(Eingabe[[#This Row],[GES]]-Eingabe[[#This Row],[GEGGES]]),"")</f>
        <v>18</v>
      </c>
    </row>
    <row r="306" spans="1:52" ht="16.2" hidden="1" thickBot="1" x14ac:dyDescent="0.35">
      <c r="A306" s="441"/>
      <c r="B306" s="21">
        <f t="shared" si="42"/>
        <v>51</v>
      </c>
      <c r="C306" s="6" t="str">
        <f>VLOOKUP($B306,Chronologie[],7,TRUE)</f>
        <v>KSV Hainichen 92</v>
      </c>
      <c r="D306" s="6" t="str">
        <f>VLOOKUP($B306,Chronologie[],8,TRUE)</f>
        <v>Hainichen</v>
      </c>
      <c r="E306" s="240" t="str">
        <f>VLOOKUP($B306,Chronologie[],9,TRUE)</f>
        <v>A</v>
      </c>
      <c r="F306" s="6" t="str">
        <f>VLOOKUP($B306,Chronologie[],COLUMN(F307)-2,TRUE)</f>
        <v>Z</v>
      </c>
      <c r="G306" s="6" t="str">
        <f>VLOOKUP($B306,Chronologie[],COLUMN(G307)-2,TRUE)</f>
        <v>L</v>
      </c>
      <c r="H306" s="6">
        <f>VLOOKUP($B306,Chronologie[],COLUMN(H307)-2,TRUE)</f>
        <v>7</v>
      </c>
      <c r="I306" s="10" t="str">
        <f>VLOOKUP($B306,Chronologie[],2,TRUE)</f>
        <v>Z-L-7</v>
      </c>
      <c r="J306" s="243">
        <f>VLOOKUP($B306,Chronologie[],3,TRUE)</f>
        <v>45998</v>
      </c>
      <c r="K306" s="238" t="s">
        <v>490</v>
      </c>
      <c r="L306" s="237">
        <v>88</v>
      </c>
      <c r="M306" s="237">
        <v>89</v>
      </c>
      <c r="N306" s="237">
        <v>91</v>
      </c>
      <c r="O306" s="237">
        <v>84</v>
      </c>
      <c r="P306" s="237">
        <v>36</v>
      </c>
      <c r="Q306" s="237">
        <v>44</v>
      </c>
      <c r="R306" s="237">
        <v>54</v>
      </c>
      <c r="S306" s="237">
        <v>43</v>
      </c>
      <c r="T306" s="237">
        <v>5</v>
      </c>
      <c r="U306" s="237">
        <v>0</v>
      </c>
      <c r="V306" s="237">
        <v>1</v>
      </c>
      <c r="W306" s="237">
        <v>3</v>
      </c>
      <c r="X306" s="38">
        <v>1</v>
      </c>
      <c r="Y306" s="38">
        <v>1</v>
      </c>
      <c r="Z306" s="38">
        <v>1</v>
      </c>
      <c r="AA306" s="38">
        <v>1</v>
      </c>
      <c r="AB306" s="91">
        <v>440</v>
      </c>
      <c r="AC306" s="94">
        <f>IF(Eingabe[[#This Row],[V1]]="",IF(Eingabe[[#This Row],[Volle alternativ]]="","",Eingabe[[#This Row],[Volle alternativ]]),SUM(Eingabe[[#This Row],[V1]:[V4]]))</f>
        <v>352</v>
      </c>
      <c r="AD306" s="6">
        <f>IF(Eingabe[[#This Row],[R1]]="",IF(Eingabe[[#This Row],[Räumer alternativ]]="","",Eingabe[[#This Row],[Räumer alternativ]]),SUM(Eingabe[[#This Row],[R1]:[R4]]))</f>
        <v>177</v>
      </c>
      <c r="AE306" s="6">
        <f>IF(Eingabe[[#This Row],[F1]]="",IF(Eingabe[[#This Row],[Fehler alternativ]]="","",Eingabe[[#This Row],[Fehler alternativ]]),SUM(Eingabe[[#This Row],[F1]:[F4]]))</f>
        <v>9</v>
      </c>
      <c r="AF306" s="6">
        <f>IF(Eingabe[[#This Row],[Volle]]="","",IF(Eingabe[[#This Row],[S1]]="",Eingabe[[#This Row],[Volle]]+Eingabe[[#This Row],[Räumer]],IF(Eingabe[[#This Row],[Volle]]+Eingabe[[#This Row],[Räumer]]=Eingabe[[#This Row],[S1]]+Eingabe[[#This Row],[S2]]+Eingabe[[#This Row],[S3]]+Eingabe[[#This Row],[S4]],Eingabe[[#This Row],[Volle]]+Eingabe[[#This Row],[Räumer]],"FEHLER")))</f>
        <v>529</v>
      </c>
      <c r="AG306" s="6">
        <f>IF(Eingabe[[#This Row],[V1]]="","",Eingabe[[#This Row],[V1]]+Eingabe[[#This Row],[R1]])</f>
        <v>124</v>
      </c>
      <c r="AH306" s="6">
        <f>IF(Eingabe[[#This Row],[V2]]="","",Eingabe[[#This Row],[V2]]+Eingabe[[#This Row],[R2]])</f>
        <v>133</v>
      </c>
      <c r="AI306" s="6">
        <f>IF(Eingabe[[#This Row],[V3]]="","",Eingabe[[#This Row],[V3]]+Eingabe[[#This Row],[R3]])</f>
        <v>145</v>
      </c>
      <c r="AJ306" s="6">
        <f>IF(Eingabe[[#This Row],[V4]]="","",Eingabe[[#This Row],[V4]]+Eingabe[[#This Row],[R4]])</f>
        <v>127</v>
      </c>
      <c r="AK306" s="6">
        <f>IF(Eingabe[[#This Row],[S1P]]="","",Eingabe[[#This Row],[S1P]]+Eingabe[[#This Row],[S2P]]+Eingabe[[#This Row],[S3P]]+Eingabe[[#This Row],[S4P]])</f>
        <v>4</v>
      </c>
      <c r="AL306" s="6">
        <f>IF(Eingabe[[#This Row],[S1P]]="","",IF(Eingabe[[#This Row],[SP]]&gt;2,1,IF(Eingabe[[#This Row],[SP]]&lt;2,0,IF(Eingabe[[#This Row],[GES]]&gt;Eingabe[[#This Row],[GEGGES]],1,IF(Eingabe[[#This Row],[GES]]=Eingabe[[#This Row],[GEGGES]],0.5,0)))))</f>
        <v>1</v>
      </c>
      <c r="AM306" s="6">
        <f>IF(Eingabe[[#This Row],[MP]]="","",MOD(ROW(Eingabe[[#This Row],[Position]])-3,6)+1)</f>
        <v>4</v>
      </c>
      <c r="AN306" s="6">
        <f>STANDARDIZE(Eingabe[[#This Row],[GES]],Eingabe[[#This Row],[Schnitt]],VLOOKUP(Eingabe[[#This Row],[Name]],AuswertungG[],21,FALSE))</f>
        <v>0.27450980392156865</v>
      </c>
      <c r="AO306" s="6">
        <f>VLOOKUP(Eingabe[[#This Row],[ID]],Chronologie[[ID]:[KW]],12,FALSE)</f>
        <v>15</v>
      </c>
      <c r="AP306" s="95" t="str">
        <f>IF(Eingabe[[#This Row],[Wo]]="H",Eingabe[[#This Row],[Gegner]]&amp;" ["&amp;Eingabe[[#This Row],[Wo]]&amp;"]",Eingabe[[#This Row],[Ort]])</f>
        <v>Hainichen</v>
      </c>
      <c r="AQ306" s="6" t="str">
        <f>IFERROR(IF(Eingabe[[#This Row],[Wo]]="H",IF(MOD(Eingabe[[#This Row],[Position]],2)=1,Eingabe[[#This Row],[S1]],Eingabe[[#This Row],[S4]]),""),"")</f>
        <v/>
      </c>
      <c r="AR306" s="6" t="str">
        <f>IFERROR(IF(Eingabe[[#This Row],[Wo]]="H",IF(Eingabe[[#This Row],[S1]]&gt;0,IF(MOD(Eingabe[[#This Row],[Position]],2)=1,Eingabe[[#This Row],[S2]],Eingabe[[#This Row],[S3]]),""),""),"")</f>
        <v/>
      </c>
      <c r="AS306" s="6" t="str">
        <f>IFERROR(IF(Eingabe[[#This Row],[Wo]]="H",IF(Eingabe[[#This Row],[S1]]&gt;0,IF(MOD(ROW(Eingabe[[#This Row],[Heimbahn 3]]),2)=1,Eingabe[[#This Row],[S4]],Eingabe[[#This Row],[S1]]),""),""),"")</f>
        <v/>
      </c>
      <c r="AT306" s="6" t="str">
        <f>IFERROR(IF(Eingabe[[#This Row],[Wo]]="H",IF(Eingabe[[#This Row],[S1]]&gt;0,IF(MOD(ROW(Eingabe[[#This Row],[Heimbahn 4]]),2)=1,Eingabe[[#This Row],[S3]],Eingabe[[#This Row],[S2]]),""),""),"")</f>
        <v/>
      </c>
      <c r="AU306" s="22">
        <f>IF(Eingabe[[#This Row],[GES]]="","",IF(Eingabe[[#This Row],[Modus]]="L",_xlfn.RANK.EQ(Eingabe[[#This Row],[GES]],AF303:AF308),IF(Eingabe[[#This Row],[Modus]]="P",_xlfn.RANK.EQ(Eingabe[[#This Row],[GES]],AF303:AF308),"")))</f>
        <v>4</v>
      </c>
      <c r="AV306" s="6">
        <f>VLOOKUP(Eingabe[[#This Row],[Name]],AuswertungG[],8,FALSE)</f>
        <v>515</v>
      </c>
      <c r="AZ306" s="6">
        <f>IFERROR(ABS(Eingabe[[#This Row],[GES]]-Eingabe[[#This Row],[GEGGES]]),"")</f>
        <v>89</v>
      </c>
    </row>
    <row r="307" spans="1:52" ht="16.2" hidden="1" thickBot="1" x14ac:dyDescent="0.35">
      <c r="A307" s="441"/>
      <c r="B307" s="21">
        <f t="shared" si="42"/>
        <v>51</v>
      </c>
      <c r="C307" s="6" t="str">
        <f>VLOOKUP($B307,Chronologie[],7,TRUE)</f>
        <v>KSV Hainichen 92</v>
      </c>
      <c r="D307" s="6" t="str">
        <f>VLOOKUP($B307,Chronologie[],8,TRUE)</f>
        <v>Hainichen</v>
      </c>
      <c r="E307" s="240" t="str">
        <f>VLOOKUP($B307,Chronologie[],9,TRUE)</f>
        <v>A</v>
      </c>
      <c r="F307" s="6" t="str">
        <f>VLOOKUP($B307,Chronologie[],COLUMN(F308)-2,TRUE)</f>
        <v>Z</v>
      </c>
      <c r="G307" s="6" t="str">
        <f>VLOOKUP($B307,Chronologie[],COLUMN(G308)-2,TRUE)</f>
        <v>L</v>
      </c>
      <c r="H307" s="6">
        <f>VLOOKUP($B307,Chronologie[],COLUMN(H308)-2,TRUE)</f>
        <v>7</v>
      </c>
      <c r="I307" s="10" t="str">
        <f>VLOOKUP($B307,Chronologie[],2,TRUE)</f>
        <v>Z-L-7</v>
      </c>
      <c r="J307" s="243">
        <f>VLOOKUP($B307,Chronologie[],3,TRUE)</f>
        <v>45998</v>
      </c>
      <c r="K307" s="237" t="s">
        <v>478</v>
      </c>
      <c r="L307" s="237">
        <v>82</v>
      </c>
      <c r="M307" s="237">
        <v>84</v>
      </c>
      <c r="N307" s="237">
        <v>82</v>
      </c>
      <c r="O307" s="237">
        <v>80</v>
      </c>
      <c r="P307" s="237">
        <v>51</v>
      </c>
      <c r="Q307" s="237">
        <v>43</v>
      </c>
      <c r="R307" s="237">
        <v>44</v>
      </c>
      <c r="S307" s="237">
        <v>51</v>
      </c>
      <c r="T307" s="237">
        <v>1</v>
      </c>
      <c r="U307" s="237">
        <v>0</v>
      </c>
      <c r="V307" s="237">
        <v>3</v>
      </c>
      <c r="W307" s="237">
        <v>1</v>
      </c>
      <c r="X307" s="38">
        <v>0</v>
      </c>
      <c r="Y307" s="38">
        <v>0</v>
      </c>
      <c r="Z307" s="38">
        <v>0</v>
      </c>
      <c r="AA307" s="38">
        <v>1</v>
      </c>
      <c r="AB307" s="91">
        <v>529</v>
      </c>
      <c r="AC307" s="94">
        <f>IF(Eingabe[[#This Row],[V1]]="",IF(Eingabe[[#This Row],[Volle alternativ]]="","",Eingabe[[#This Row],[Volle alternativ]]),SUM(Eingabe[[#This Row],[V1]:[V4]]))</f>
        <v>328</v>
      </c>
      <c r="AD307" s="6">
        <f>IF(Eingabe[[#This Row],[R1]]="",IF(Eingabe[[#This Row],[Räumer alternativ]]="","",Eingabe[[#This Row],[Räumer alternativ]]),SUM(Eingabe[[#This Row],[R1]:[R4]]))</f>
        <v>189</v>
      </c>
      <c r="AE307" s="6">
        <f>IF(Eingabe[[#This Row],[F1]]="",IF(Eingabe[[#This Row],[Fehler alternativ]]="","",Eingabe[[#This Row],[Fehler alternativ]]),SUM(Eingabe[[#This Row],[F1]:[F4]]))</f>
        <v>5</v>
      </c>
      <c r="AF307" s="6">
        <f>IF(Eingabe[[#This Row],[Volle]]="","",IF(Eingabe[[#This Row],[S1]]="",Eingabe[[#This Row],[Volle]]+Eingabe[[#This Row],[Räumer]],IF(Eingabe[[#This Row],[Volle]]+Eingabe[[#This Row],[Räumer]]=Eingabe[[#This Row],[S1]]+Eingabe[[#This Row],[S2]]+Eingabe[[#This Row],[S3]]+Eingabe[[#This Row],[S4]],Eingabe[[#This Row],[Volle]]+Eingabe[[#This Row],[Räumer]],"FEHLER")))</f>
        <v>517</v>
      </c>
      <c r="AG307" s="6">
        <f>IF(Eingabe[[#This Row],[V1]]="","",Eingabe[[#This Row],[V1]]+Eingabe[[#This Row],[R1]])</f>
        <v>133</v>
      </c>
      <c r="AH307" s="6">
        <f>IF(Eingabe[[#This Row],[V2]]="","",Eingabe[[#This Row],[V2]]+Eingabe[[#This Row],[R2]])</f>
        <v>127</v>
      </c>
      <c r="AI307" s="6">
        <f>IF(Eingabe[[#This Row],[V3]]="","",Eingabe[[#This Row],[V3]]+Eingabe[[#This Row],[R3]])</f>
        <v>126</v>
      </c>
      <c r="AJ307" s="6">
        <f>IF(Eingabe[[#This Row],[V4]]="","",Eingabe[[#This Row],[V4]]+Eingabe[[#This Row],[R4]])</f>
        <v>131</v>
      </c>
      <c r="AK307" s="6">
        <f>IF(Eingabe[[#This Row],[S1P]]="","",Eingabe[[#This Row],[S1P]]+Eingabe[[#This Row],[S2P]]+Eingabe[[#This Row],[S3P]]+Eingabe[[#This Row],[S4P]])</f>
        <v>1</v>
      </c>
      <c r="AL307" s="6">
        <f>IF(Eingabe[[#This Row],[S1P]]="","",IF(Eingabe[[#This Row],[SP]]&gt;2,1,IF(Eingabe[[#This Row],[SP]]&lt;2,0,IF(Eingabe[[#This Row],[GES]]&gt;Eingabe[[#This Row],[GEGGES]],1,IF(Eingabe[[#This Row],[GES]]=Eingabe[[#This Row],[GEGGES]],0.5,0)))))</f>
        <v>0</v>
      </c>
      <c r="AM307" s="6">
        <f>IF(Eingabe[[#This Row],[MP]]="","",MOD(ROW(Eingabe[[#This Row],[Position]])-3,6)+1)</f>
        <v>5</v>
      </c>
      <c r="AN307" s="6">
        <f>STANDARDIZE(Eingabe[[#This Row],[GES]],Eingabe[[#This Row],[Schnitt]],VLOOKUP(Eingabe[[#This Row],[Name]],AuswertungG[],21,FALSE))</f>
        <v>-0.55000000000000004</v>
      </c>
      <c r="AO307" s="6">
        <f>VLOOKUP(Eingabe[[#This Row],[ID]],Chronologie[[ID]:[KW]],12,FALSE)</f>
        <v>15</v>
      </c>
      <c r="AP307" s="95" t="str">
        <f>IF(Eingabe[[#This Row],[Wo]]="H",Eingabe[[#This Row],[Gegner]]&amp;" ["&amp;Eingabe[[#This Row],[Wo]]&amp;"]",Eingabe[[#This Row],[Ort]])</f>
        <v>Hainichen</v>
      </c>
      <c r="AQ307" s="6" t="str">
        <f>IFERROR(IF(Eingabe[[#This Row],[Wo]]="H",IF(MOD(Eingabe[[#This Row],[Position]],2)=1,Eingabe[[#This Row],[S1]],Eingabe[[#This Row],[S4]]),""),"")</f>
        <v/>
      </c>
      <c r="AR307" s="6" t="str">
        <f>IFERROR(IF(Eingabe[[#This Row],[Wo]]="H",IF(Eingabe[[#This Row],[S1]]&gt;0,IF(MOD(Eingabe[[#This Row],[Position]],2)=1,Eingabe[[#This Row],[S2]],Eingabe[[#This Row],[S3]]),""),""),"")</f>
        <v/>
      </c>
      <c r="AS307" s="6" t="str">
        <f>IFERROR(IF(Eingabe[[#This Row],[Wo]]="H",IF(Eingabe[[#This Row],[S1]]&gt;0,IF(MOD(ROW(Eingabe[[#This Row],[Heimbahn 3]]),2)=1,Eingabe[[#This Row],[S4]],Eingabe[[#This Row],[S1]]),""),""),"")</f>
        <v/>
      </c>
      <c r="AT307" s="6" t="str">
        <f>IFERROR(IF(Eingabe[[#This Row],[Wo]]="H",IF(Eingabe[[#This Row],[S1]]&gt;0,IF(MOD(ROW(Eingabe[[#This Row],[Heimbahn 4]]),2)=1,Eingabe[[#This Row],[S3]],Eingabe[[#This Row],[S2]]),""),""),"")</f>
        <v/>
      </c>
      <c r="AU307" s="22">
        <f>IF(Eingabe[[#This Row],[GES]]="","",IF(Eingabe[[#This Row],[Modus]]="L",_xlfn.RANK.EQ(Eingabe[[#This Row],[GES]],AF303:AF308),IF(Eingabe[[#This Row],[Modus]]="P",_xlfn.RANK.EQ(Eingabe[[#This Row],[GES]],AF303:AF308),"")))</f>
        <v>5</v>
      </c>
      <c r="AV307" s="6">
        <f>VLOOKUP(Eingabe[[#This Row],[Name]],AuswertungG[],8,FALSE)</f>
        <v>528</v>
      </c>
      <c r="AZ307" s="6">
        <f>IFERROR(ABS(Eingabe[[#This Row],[GES]]-Eingabe[[#This Row],[GEGGES]]),"")</f>
        <v>12</v>
      </c>
    </row>
    <row r="308" spans="1:52" ht="16.2" hidden="1" thickBot="1" x14ac:dyDescent="0.35">
      <c r="A308" s="442"/>
      <c r="B308" s="56">
        <f t="shared" si="42"/>
        <v>51</v>
      </c>
      <c r="C308" s="23" t="str">
        <f>VLOOKUP($B308,Chronologie[],7,TRUE)</f>
        <v>KSV Hainichen 92</v>
      </c>
      <c r="D308" s="23" t="str">
        <f>VLOOKUP($B308,Chronologie[],8,TRUE)</f>
        <v>Hainichen</v>
      </c>
      <c r="E308" s="39" t="str">
        <f>VLOOKUP($B308,Chronologie[],9,TRUE)</f>
        <v>A</v>
      </c>
      <c r="F308" s="23" t="str">
        <f>VLOOKUP($B308,Chronologie[],COLUMN(F309)-2,TRUE)</f>
        <v>Z</v>
      </c>
      <c r="G308" s="23" t="str">
        <f>VLOOKUP($B308,Chronologie[],COLUMN(G309)-2,TRUE)</f>
        <v>L</v>
      </c>
      <c r="H308" s="23">
        <f>VLOOKUP($B308,Chronologie[],COLUMN(H309)-2,TRUE)</f>
        <v>7</v>
      </c>
      <c r="I308" s="13" t="str">
        <f>VLOOKUP($B308,Chronologie[],2,TRUE)</f>
        <v>Z-L-7</v>
      </c>
      <c r="J308" s="244">
        <f>VLOOKUP($B308,Chronologie[],3,TRUE)</f>
        <v>45998</v>
      </c>
      <c r="K308" s="239" t="s">
        <v>689</v>
      </c>
      <c r="L308" s="239">
        <v>94</v>
      </c>
      <c r="M308" s="239">
        <v>88</v>
      </c>
      <c r="N308" s="239">
        <v>75</v>
      </c>
      <c r="O308" s="239">
        <v>88</v>
      </c>
      <c r="P308" s="239">
        <v>40</v>
      </c>
      <c r="Q308" s="239">
        <v>44</v>
      </c>
      <c r="R308" s="239">
        <v>42</v>
      </c>
      <c r="S308" s="239">
        <v>62</v>
      </c>
      <c r="T308" s="239">
        <v>2</v>
      </c>
      <c r="U308" s="239">
        <v>1</v>
      </c>
      <c r="V308" s="239">
        <v>0</v>
      </c>
      <c r="W308" s="239">
        <v>0</v>
      </c>
      <c r="X308" s="40">
        <v>1</v>
      </c>
      <c r="Y308" s="40">
        <v>0</v>
      </c>
      <c r="Z308" s="40">
        <v>0</v>
      </c>
      <c r="AA308" s="40">
        <v>1</v>
      </c>
      <c r="AB308" s="92">
        <v>525</v>
      </c>
      <c r="AC308" s="96">
        <f>IF(Eingabe[[#This Row],[V1]]="",IF(Eingabe[[#This Row],[Volle alternativ]]="","",Eingabe[[#This Row],[Volle alternativ]]),SUM(Eingabe[[#This Row],[V1]:[V4]]))</f>
        <v>345</v>
      </c>
      <c r="AD308" s="23">
        <f>IF(Eingabe[[#This Row],[R1]]="",IF(Eingabe[[#This Row],[Räumer alternativ]]="","",Eingabe[[#This Row],[Räumer alternativ]]),SUM(Eingabe[[#This Row],[R1]:[R4]]))</f>
        <v>188</v>
      </c>
      <c r="AE308" s="23">
        <f>IF(Eingabe[[#This Row],[F1]]="",IF(Eingabe[[#This Row],[Fehler alternativ]]="","",Eingabe[[#This Row],[Fehler alternativ]]),SUM(Eingabe[[#This Row],[F1]:[F4]]))</f>
        <v>3</v>
      </c>
      <c r="AF308" s="23">
        <f>IF(Eingabe[[#This Row],[Volle]]="","",IF(Eingabe[[#This Row],[S1]]="",Eingabe[[#This Row],[Volle]]+Eingabe[[#This Row],[Räumer]],IF(Eingabe[[#This Row],[Volle]]+Eingabe[[#This Row],[Räumer]]=Eingabe[[#This Row],[S1]]+Eingabe[[#This Row],[S2]]+Eingabe[[#This Row],[S3]]+Eingabe[[#This Row],[S4]],Eingabe[[#This Row],[Volle]]+Eingabe[[#This Row],[Räumer]],"FEHLER")))</f>
        <v>533</v>
      </c>
      <c r="AG308" s="23">
        <f>IF(Eingabe[[#This Row],[V1]]="","",Eingabe[[#This Row],[V1]]+Eingabe[[#This Row],[R1]])</f>
        <v>134</v>
      </c>
      <c r="AH308" s="23">
        <f>IF(Eingabe[[#This Row],[V2]]="","",Eingabe[[#This Row],[V2]]+Eingabe[[#This Row],[R2]])</f>
        <v>132</v>
      </c>
      <c r="AI308" s="23">
        <f>IF(Eingabe[[#This Row],[V3]]="","",Eingabe[[#This Row],[V3]]+Eingabe[[#This Row],[R3]])</f>
        <v>117</v>
      </c>
      <c r="AJ308" s="23">
        <f>IF(Eingabe[[#This Row],[V4]]="","",Eingabe[[#This Row],[V4]]+Eingabe[[#This Row],[R4]])</f>
        <v>150</v>
      </c>
      <c r="AK308" s="23">
        <f>IF(Eingabe[[#This Row],[S1P]]="","",Eingabe[[#This Row],[S1P]]+Eingabe[[#This Row],[S2P]]+Eingabe[[#This Row],[S3P]]+Eingabe[[#This Row],[S4P]])</f>
        <v>2</v>
      </c>
      <c r="AL308" s="23">
        <f>IF(Eingabe[[#This Row],[S1P]]="","",IF(Eingabe[[#This Row],[SP]]&gt;2,1,IF(Eingabe[[#This Row],[SP]]&lt;2,0,IF(Eingabe[[#This Row],[GES]]&gt;Eingabe[[#This Row],[GEGGES]],1,IF(Eingabe[[#This Row],[GES]]=Eingabe[[#This Row],[GEGGES]],0.5,0)))))</f>
        <v>1</v>
      </c>
      <c r="AM308" s="23">
        <f>IF(Eingabe[[#This Row],[MP]]="","",MOD(ROW(Eingabe[[#This Row],[Position]])-3,6)+1)</f>
        <v>6</v>
      </c>
      <c r="AN308" s="23">
        <f>STANDARDIZE(Eingabe[[#This Row],[GES]],Eingabe[[#This Row],[Schnitt]],VLOOKUP(Eingabe[[#This Row],[Name]],AuswertungG[],21,FALSE))</f>
        <v>0.2857142857142857</v>
      </c>
      <c r="AO308" s="23">
        <f>VLOOKUP(Eingabe[[#This Row],[ID]],Chronologie[[ID]:[KW]],12,FALSE)</f>
        <v>15</v>
      </c>
      <c r="AP308" s="59" t="str">
        <f>IF(Eingabe[[#This Row],[Wo]]="H",Eingabe[[#This Row],[Gegner]]&amp;" ["&amp;Eingabe[[#This Row],[Wo]]&amp;"]",Eingabe[[#This Row],[Ort]])</f>
        <v>Hainichen</v>
      </c>
      <c r="AQ308" s="23" t="str">
        <f>IFERROR(IF(Eingabe[[#This Row],[Wo]]="H",IF(MOD(Eingabe[[#This Row],[Position]],2)=1,Eingabe[[#This Row],[S1]],Eingabe[[#This Row],[S4]]),""),"")</f>
        <v/>
      </c>
      <c r="AR308" s="23" t="str">
        <f>IFERROR(IF(Eingabe[[#This Row],[Wo]]="H",IF(Eingabe[[#This Row],[S1]]&gt;0,IF(MOD(Eingabe[[#This Row],[Position]],2)=1,Eingabe[[#This Row],[S2]],Eingabe[[#This Row],[S3]]),""),""),"")</f>
        <v/>
      </c>
      <c r="AS308" s="23" t="str">
        <f>IFERROR(IF(Eingabe[[#This Row],[Wo]]="H",IF(Eingabe[[#This Row],[S1]]&gt;0,IF(MOD(ROW(Eingabe[[#This Row],[Heimbahn 3]]),2)=1,Eingabe[[#This Row],[S4]],Eingabe[[#This Row],[S1]]),""),""),"")</f>
        <v/>
      </c>
      <c r="AT308" s="23" t="str">
        <f>IFERROR(IF(Eingabe[[#This Row],[Wo]]="H",IF(Eingabe[[#This Row],[S1]]&gt;0,IF(MOD(ROW(Eingabe[[#This Row],[Heimbahn 4]]),2)=1,Eingabe[[#This Row],[S3]],Eingabe[[#This Row],[S2]]),""),""),"")</f>
        <v/>
      </c>
      <c r="AU308" s="89">
        <f>IF(Eingabe[[#This Row],[GES]]="","",IF(Eingabe[[#This Row],[Modus]]="L",_xlfn.RANK.EQ(Eingabe[[#This Row],[GES]],AF303:AF308),IF(Eingabe[[#This Row],[Modus]]="P",_xlfn.RANK.EQ(Eingabe[[#This Row],[GES]],AF303:AF308),"")))</f>
        <v>2</v>
      </c>
      <c r="AV308" s="6">
        <f>VLOOKUP(Eingabe[[#This Row],[Name]],AuswertungG[],8,FALSE)</f>
        <v>525</v>
      </c>
      <c r="AZ308" s="6">
        <f>IFERROR(ABS(Eingabe[[#This Row],[GES]]-Eingabe[[#This Row],[GEGGES]]),"")</f>
        <v>8</v>
      </c>
    </row>
    <row r="309" spans="1:52" ht="16.2" hidden="1" thickBot="1" x14ac:dyDescent="0.35">
      <c r="A309" s="440">
        <f t="shared" si="43"/>
        <v>52</v>
      </c>
      <c r="B309" s="55">
        <f t="shared" si="42"/>
        <v>52</v>
      </c>
      <c r="C309" s="35" t="str">
        <f>VLOOKUP($B309,Chronologie[],7,TRUE)</f>
        <v>ESV Zschorlau</v>
      </c>
      <c r="D309" s="35" t="str">
        <f>VLOOKUP($B309,Chronologie[],8,TRUE)</f>
        <v>Hirschfeld</v>
      </c>
      <c r="E309" s="36" t="str">
        <f>VLOOKUP($B309,Chronologie[],9,TRUE)</f>
        <v>H</v>
      </c>
      <c r="F309" s="35" t="str">
        <f>VLOOKUP($B309,Chronologie[],COLUMN(F310)-2,TRUE)</f>
        <v>Z</v>
      </c>
      <c r="G309" s="35" t="str">
        <f>VLOOKUP($B309,Chronologie[],COLUMN(G310)-2,TRUE)</f>
        <v>L</v>
      </c>
      <c r="H309" s="35">
        <f>VLOOKUP($B309,Chronologie[],COLUMN(H310)-2,TRUE)</f>
        <v>8</v>
      </c>
      <c r="I309" s="9" t="str">
        <f>VLOOKUP($B309,Chronologie[],2,TRUE)</f>
        <v>Z-L-8</v>
      </c>
      <c r="J309" s="242">
        <f>VLOOKUP($B309,Chronologie[],3,TRUE)</f>
        <v>46005</v>
      </c>
      <c r="K309" s="236" t="s">
        <v>465</v>
      </c>
      <c r="L309" s="334">
        <v>96</v>
      </c>
      <c r="M309" s="334">
        <v>87</v>
      </c>
      <c r="N309" s="334">
        <v>76</v>
      </c>
      <c r="O309" s="334">
        <v>94</v>
      </c>
      <c r="P309" s="334">
        <v>41</v>
      </c>
      <c r="Q309" s="334">
        <v>44</v>
      </c>
      <c r="R309" s="334">
        <v>44</v>
      </c>
      <c r="S309" s="334">
        <v>45</v>
      </c>
      <c r="T309" s="334">
        <v>3</v>
      </c>
      <c r="U309" s="334">
        <v>2</v>
      </c>
      <c r="V309" s="334">
        <v>4</v>
      </c>
      <c r="W309" s="334">
        <v>0</v>
      </c>
      <c r="X309" s="37">
        <v>1</v>
      </c>
      <c r="Y309" s="37">
        <v>1</v>
      </c>
      <c r="Z309" s="37">
        <v>0</v>
      </c>
      <c r="AA309" s="37">
        <v>1</v>
      </c>
      <c r="AB309" s="90">
        <v>500</v>
      </c>
      <c r="AC309" s="93">
        <f>IF(Eingabe[[#This Row],[V1]]="",IF(Eingabe[[#This Row],[Volle alternativ]]="","",Eingabe[[#This Row],[Volle alternativ]]),SUM(Eingabe[[#This Row],[V1]:[V4]]))</f>
        <v>353</v>
      </c>
      <c r="AD309" s="35">
        <f>IF(Eingabe[[#This Row],[R1]]="",IF(Eingabe[[#This Row],[Räumer alternativ]]="","",Eingabe[[#This Row],[Räumer alternativ]]),SUM(Eingabe[[#This Row],[R1]:[R4]]))</f>
        <v>174</v>
      </c>
      <c r="AE309" s="35">
        <f>IF(Eingabe[[#This Row],[F1]]="",IF(Eingabe[[#This Row],[Fehler alternativ]]="","",Eingabe[[#This Row],[Fehler alternativ]]),SUM(Eingabe[[#This Row],[F1]:[F4]]))</f>
        <v>9</v>
      </c>
      <c r="AF309" s="35">
        <f>IF(Eingabe[[#This Row],[Volle]]="","",IF(Eingabe[[#This Row],[S1]]="",Eingabe[[#This Row],[Volle]]+Eingabe[[#This Row],[Räumer]],IF(Eingabe[[#This Row],[Volle]]+Eingabe[[#This Row],[Räumer]]=Eingabe[[#This Row],[S1]]+Eingabe[[#This Row],[S2]]+Eingabe[[#This Row],[S3]]+Eingabe[[#This Row],[S4]],Eingabe[[#This Row],[Volle]]+Eingabe[[#This Row],[Räumer]],"FEHLER")))</f>
        <v>527</v>
      </c>
      <c r="AG309" s="35">
        <f>IF(Eingabe[[#This Row],[V1]]="","",Eingabe[[#This Row],[V1]]+Eingabe[[#This Row],[R1]])</f>
        <v>137</v>
      </c>
      <c r="AH309" s="35">
        <f>IF(Eingabe[[#This Row],[V2]]="","",Eingabe[[#This Row],[V2]]+Eingabe[[#This Row],[R2]])</f>
        <v>131</v>
      </c>
      <c r="AI309" s="35">
        <f>IF(Eingabe[[#This Row],[V3]]="","",Eingabe[[#This Row],[V3]]+Eingabe[[#This Row],[R3]])</f>
        <v>120</v>
      </c>
      <c r="AJ309" s="35">
        <f>IF(Eingabe[[#This Row],[V4]]="","",Eingabe[[#This Row],[V4]]+Eingabe[[#This Row],[R4]])</f>
        <v>139</v>
      </c>
      <c r="AK309" s="35">
        <f>IF(Eingabe[[#This Row],[S1P]]="","",Eingabe[[#This Row],[S1P]]+Eingabe[[#This Row],[S2P]]+Eingabe[[#This Row],[S3P]]+Eingabe[[#This Row],[S4P]])</f>
        <v>3</v>
      </c>
      <c r="AL309" s="35">
        <f>IF(Eingabe[[#This Row],[S1P]]="","",IF(Eingabe[[#This Row],[SP]]&gt;2,1,IF(Eingabe[[#This Row],[SP]]&lt;2,0,IF(Eingabe[[#This Row],[GES]]&gt;Eingabe[[#This Row],[GEGGES]],1,IF(Eingabe[[#This Row],[GES]]=Eingabe[[#This Row],[GEGGES]],0.5,0)))))</f>
        <v>1</v>
      </c>
      <c r="AM309" s="35">
        <f>IF(Eingabe[[#This Row],[MP]]="","",MOD(ROW(Eingabe[[#This Row],[Position]])-3,6)+1)</f>
        <v>1</v>
      </c>
      <c r="AN309" s="35">
        <f>STANDARDIZE(Eingabe[[#This Row],[GES]],Eingabe[[#This Row],[Schnitt]],VLOOKUP(Eingabe[[#This Row],[Name]],AuswertungG[],21,FALSE))</f>
        <v>4.3478260869565216E-2</v>
      </c>
      <c r="AO309" s="35">
        <f>VLOOKUP(Eingabe[[#This Row],[ID]],Chronologie[[ID]:[KW]],12,FALSE)</f>
        <v>16</v>
      </c>
      <c r="AP309" s="58" t="str">
        <f>IF(Eingabe[[#This Row],[Wo]]="H",Eingabe[[#This Row],[Gegner]]&amp;" ["&amp;Eingabe[[#This Row],[Wo]]&amp;"]",Eingabe[[#This Row],[Ort]])</f>
        <v>ESV Zschorlau [H]</v>
      </c>
      <c r="AQ309" s="35">
        <f>IFERROR(IF(Eingabe[[#This Row],[Wo]]="H",IF(MOD(Eingabe[[#This Row],[Position]],2)=1,Eingabe[[#This Row],[S1]],Eingabe[[#This Row],[S4]]),""),"")</f>
        <v>137</v>
      </c>
      <c r="AR309" s="35">
        <f>IFERROR(IF(Eingabe[[#This Row],[Wo]]="H",IF(Eingabe[[#This Row],[S1]]&gt;0,IF(MOD(Eingabe[[#This Row],[Position]],2)=1,Eingabe[[#This Row],[S2]],Eingabe[[#This Row],[S3]]),""),""),"")</f>
        <v>131</v>
      </c>
      <c r="AS309" s="35">
        <f>IFERROR(IF(Eingabe[[#This Row],[Wo]]="H",IF(Eingabe[[#This Row],[S1]]&gt;0,IF(MOD(ROW(Eingabe[[#This Row],[Heimbahn 3]]),2)=1,Eingabe[[#This Row],[S4]],Eingabe[[#This Row],[S1]]),""),""),"")</f>
        <v>139</v>
      </c>
      <c r="AT309" s="35">
        <f>IFERROR(IF(Eingabe[[#This Row],[Wo]]="H",IF(Eingabe[[#This Row],[S1]]&gt;0,IF(MOD(ROW(Eingabe[[#This Row],[Heimbahn 4]]),2)=1,Eingabe[[#This Row],[S3]],Eingabe[[#This Row],[S2]]),""),""),"")</f>
        <v>120</v>
      </c>
      <c r="AU309" s="88">
        <f>IF(Eingabe[[#This Row],[GES]]="","",IF(Eingabe[[#This Row],[Modus]]="L",_xlfn.RANK.EQ(Eingabe[[#This Row],[GES]],AF309:AF314),IF(Eingabe[[#This Row],[Modus]]="P",_xlfn.RANK.EQ(Eingabe[[#This Row],[GES]],AF309:AF314),"")))</f>
        <v>3</v>
      </c>
      <c r="AV309" s="6">
        <f>VLOOKUP(Eingabe[[#This Row],[Name]],AuswertungG[],8,FALSE)</f>
        <v>526</v>
      </c>
      <c r="AZ309" s="6">
        <f>IFERROR(ABS(Eingabe[[#This Row],[GES]]-Eingabe[[#This Row],[GEGGES]]),"")</f>
        <v>27</v>
      </c>
    </row>
    <row r="310" spans="1:52" ht="16.2" hidden="1" thickBot="1" x14ac:dyDescent="0.35">
      <c r="A310" s="441"/>
      <c r="B310" s="21">
        <f t="shared" si="42"/>
        <v>52</v>
      </c>
      <c r="C310" s="6" t="str">
        <f>VLOOKUP($B310,Chronologie[],7,TRUE)</f>
        <v>ESV Zschorlau</v>
      </c>
      <c r="D310" s="6" t="str">
        <f>VLOOKUP($B310,Chronologie[],8,TRUE)</f>
        <v>Hirschfeld</v>
      </c>
      <c r="E310" s="240" t="str">
        <f>VLOOKUP($B310,Chronologie[],9,TRUE)</f>
        <v>H</v>
      </c>
      <c r="F310" s="6" t="str">
        <f>VLOOKUP($B310,Chronologie[],COLUMN(F311)-2,TRUE)</f>
        <v>Z</v>
      </c>
      <c r="G310" s="6" t="str">
        <f>VLOOKUP($B310,Chronologie[],COLUMN(G311)-2,TRUE)</f>
        <v>L</v>
      </c>
      <c r="H310" s="6">
        <f>VLOOKUP($B310,Chronologie[],COLUMN(H311)-2,TRUE)</f>
        <v>8</v>
      </c>
      <c r="I310" s="10" t="str">
        <f>VLOOKUP($B310,Chronologie[],2,TRUE)</f>
        <v>Z-L-8</v>
      </c>
      <c r="J310" s="243">
        <f>VLOOKUP($B310,Chronologie[],3,TRUE)</f>
        <v>46005</v>
      </c>
      <c r="K310" s="237" t="s">
        <v>689</v>
      </c>
      <c r="L310" s="237">
        <v>92</v>
      </c>
      <c r="M310" s="237">
        <v>86</v>
      </c>
      <c r="N310" s="237">
        <v>88</v>
      </c>
      <c r="O310" s="237">
        <v>95</v>
      </c>
      <c r="P310" s="237">
        <v>42</v>
      </c>
      <c r="Q310" s="237">
        <v>52</v>
      </c>
      <c r="R310" s="237">
        <v>50</v>
      </c>
      <c r="S310" s="237">
        <v>36</v>
      </c>
      <c r="T310" s="237">
        <v>0</v>
      </c>
      <c r="U310" s="237">
        <v>0</v>
      </c>
      <c r="V310" s="237">
        <v>2</v>
      </c>
      <c r="W310" s="237">
        <v>2</v>
      </c>
      <c r="X310" s="38">
        <v>1</v>
      </c>
      <c r="Y310" s="38">
        <v>1</v>
      </c>
      <c r="Z310" s="38">
        <v>1</v>
      </c>
      <c r="AA310" s="38">
        <v>0</v>
      </c>
      <c r="AB310" s="91">
        <v>521</v>
      </c>
      <c r="AC310" s="94">
        <f>IF(Eingabe[[#This Row],[V1]]="",IF(Eingabe[[#This Row],[Volle alternativ]]="","",Eingabe[[#This Row],[Volle alternativ]]),SUM(Eingabe[[#This Row],[V1]:[V4]]))</f>
        <v>361</v>
      </c>
      <c r="AD310" s="6">
        <f>IF(Eingabe[[#This Row],[R1]]="",IF(Eingabe[[#This Row],[Räumer alternativ]]="","",Eingabe[[#This Row],[Räumer alternativ]]),SUM(Eingabe[[#This Row],[R1]:[R4]]))</f>
        <v>180</v>
      </c>
      <c r="AE310" s="6">
        <f>IF(Eingabe[[#This Row],[F1]]="",IF(Eingabe[[#This Row],[Fehler alternativ]]="","",Eingabe[[#This Row],[Fehler alternativ]]),SUM(Eingabe[[#This Row],[F1]:[F4]]))</f>
        <v>4</v>
      </c>
      <c r="AF310" s="6">
        <f>IF(Eingabe[[#This Row],[Volle]]="","",IF(Eingabe[[#This Row],[S1]]="",Eingabe[[#This Row],[Volle]]+Eingabe[[#This Row],[Räumer]],IF(Eingabe[[#This Row],[Volle]]+Eingabe[[#This Row],[Räumer]]=Eingabe[[#This Row],[S1]]+Eingabe[[#This Row],[S2]]+Eingabe[[#This Row],[S3]]+Eingabe[[#This Row],[S4]],Eingabe[[#This Row],[Volle]]+Eingabe[[#This Row],[Räumer]],"FEHLER")))</f>
        <v>541</v>
      </c>
      <c r="AG310" s="6">
        <f>IF(Eingabe[[#This Row],[V1]]="","",Eingabe[[#This Row],[V1]]+Eingabe[[#This Row],[R1]])</f>
        <v>134</v>
      </c>
      <c r="AH310" s="6">
        <f>IF(Eingabe[[#This Row],[V2]]="","",Eingabe[[#This Row],[V2]]+Eingabe[[#This Row],[R2]])</f>
        <v>138</v>
      </c>
      <c r="AI310" s="6">
        <f>IF(Eingabe[[#This Row],[V3]]="","",Eingabe[[#This Row],[V3]]+Eingabe[[#This Row],[R3]])</f>
        <v>138</v>
      </c>
      <c r="AJ310" s="6">
        <f>IF(Eingabe[[#This Row],[V4]]="","",Eingabe[[#This Row],[V4]]+Eingabe[[#This Row],[R4]])</f>
        <v>131</v>
      </c>
      <c r="AK310" s="6">
        <f>IF(Eingabe[[#This Row],[S1P]]="","",Eingabe[[#This Row],[S1P]]+Eingabe[[#This Row],[S2P]]+Eingabe[[#This Row],[S3P]]+Eingabe[[#This Row],[S4P]])</f>
        <v>3</v>
      </c>
      <c r="AL310" s="6">
        <f>IF(Eingabe[[#This Row],[S1P]]="","",IF(Eingabe[[#This Row],[SP]]&gt;2,1,IF(Eingabe[[#This Row],[SP]]&lt;2,0,IF(Eingabe[[#This Row],[GES]]&gt;Eingabe[[#This Row],[GEGGES]],1,IF(Eingabe[[#This Row],[GES]]=Eingabe[[#This Row],[GEGGES]],0.5,0)))))</f>
        <v>1</v>
      </c>
      <c r="AM310" s="6">
        <f>IF(Eingabe[[#This Row],[MP]]="","",MOD(ROW(Eingabe[[#This Row],[Position]])-3,6)+1)</f>
        <v>2</v>
      </c>
      <c r="AN310" s="6">
        <f>STANDARDIZE(Eingabe[[#This Row],[GES]],Eingabe[[#This Row],[Schnitt]],VLOOKUP(Eingabe[[#This Row],[Name]],AuswertungG[],21,FALSE))</f>
        <v>0.5714285714285714</v>
      </c>
      <c r="AO310" s="6">
        <f>VLOOKUP(Eingabe[[#This Row],[ID]],Chronologie[[ID]:[KW]],12,FALSE)</f>
        <v>16</v>
      </c>
      <c r="AP310" s="95" t="str">
        <f>IF(Eingabe[[#This Row],[Wo]]="H",Eingabe[[#This Row],[Gegner]]&amp;" ["&amp;Eingabe[[#This Row],[Wo]]&amp;"]",Eingabe[[#This Row],[Ort]])</f>
        <v>ESV Zschorlau [H]</v>
      </c>
      <c r="AQ310" s="6">
        <f>IFERROR(IF(Eingabe[[#This Row],[Wo]]="H",IF(MOD(Eingabe[[#This Row],[Position]],2)=1,Eingabe[[#This Row],[S1]],Eingabe[[#This Row],[S4]]),""),"")</f>
        <v>131</v>
      </c>
      <c r="AR310" s="6">
        <f>IFERROR(IF(Eingabe[[#This Row],[Wo]]="H",IF(Eingabe[[#This Row],[S1]]&gt;0,IF(MOD(Eingabe[[#This Row],[Position]],2)=1,Eingabe[[#This Row],[S2]],Eingabe[[#This Row],[S3]]),""),""),"")</f>
        <v>138</v>
      </c>
      <c r="AS310" s="6">
        <f>IFERROR(IF(Eingabe[[#This Row],[Wo]]="H",IF(Eingabe[[#This Row],[S1]]&gt;0,IF(MOD(ROW(Eingabe[[#This Row],[Heimbahn 3]]),2)=1,Eingabe[[#This Row],[S4]],Eingabe[[#This Row],[S1]]),""),""),"")</f>
        <v>134</v>
      </c>
      <c r="AT310" s="6">
        <f>IFERROR(IF(Eingabe[[#This Row],[Wo]]="H",IF(Eingabe[[#This Row],[S1]]&gt;0,IF(MOD(ROW(Eingabe[[#This Row],[Heimbahn 4]]),2)=1,Eingabe[[#This Row],[S3]],Eingabe[[#This Row],[S2]]),""),""),"")</f>
        <v>138</v>
      </c>
      <c r="AU310" s="22">
        <f>IF(Eingabe[[#This Row],[GES]]="","",IF(Eingabe[[#This Row],[Modus]]="L",_xlfn.RANK.EQ(Eingabe[[#This Row],[GES]],AF309:AF314),IF(Eingabe[[#This Row],[Modus]]="P",_xlfn.RANK.EQ(Eingabe[[#This Row],[GES]],AF309:AF314),"")))</f>
        <v>1</v>
      </c>
      <c r="AV310" s="6">
        <f>VLOOKUP(Eingabe[[#This Row],[Name]],AuswertungG[],8,FALSE)</f>
        <v>525</v>
      </c>
      <c r="AZ310" s="6">
        <f>IFERROR(ABS(Eingabe[[#This Row],[GES]]-Eingabe[[#This Row],[GEGGES]]),"")</f>
        <v>20</v>
      </c>
    </row>
    <row r="311" spans="1:52" ht="16.2" hidden="1" thickBot="1" x14ac:dyDescent="0.35">
      <c r="A311" s="441"/>
      <c r="B311" s="21">
        <f t="shared" si="42"/>
        <v>52</v>
      </c>
      <c r="C311" s="6" t="str">
        <f>VLOOKUP($B311,Chronologie[],7,TRUE)</f>
        <v>ESV Zschorlau</v>
      </c>
      <c r="D311" s="6" t="str">
        <f>VLOOKUP($B311,Chronologie[],8,TRUE)</f>
        <v>Hirschfeld</v>
      </c>
      <c r="E311" s="240" t="str">
        <f>VLOOKUP($B311,Chronologie[],9,TRUE)</f>
        <v>H</v>
      </c>
      <c r="F311" s="6" t="str">
        <f>VLOOKUP($B311,Chronologie[],COLUMN(F312)-2,TRUE)</f>
        <v>Z</v>
      </c>
      <c r="G311" s="6" t="str">
        <f>VLOOKUP($B311,Chronologie[],COLUMN(G312)-2,TRUE)</f>
        <v>L</v>
      </c>
      <c r="H311" s="6">
        <f>VLOOKUP($B311,Chronologie[],COLUMN(H312)-2,TRUE)</f>
        <v>8</v>
      </c>
      <c r="I311" s="10" t="str">
        <f>VLOOKUP($B311,Chronologie[],2,TRUE)</f>
        <v>Z-L-8</v>
      </c>
      <c r="J311" s="243">
        <f>VLOOKUP($B311,Chronologie[],3,TRUE)</f>
        <v>46005</v>
      </c>
      <c r="K311" s="237" t="s">
        <v>490</v>
      </c>
      <c r="L311" s="237">
        <v>90</v>
      </c>
      <c r="M311" s="237">
        <v>89</v>
      </c>
      <c r="N311" s="237">
        <v>81</v>
      </c>
      <c r="O311" s="237">
        <v>78</v>
      </c>
      <c r="P311" s="237">
        <v>26</v>
      </c>
      <c r="Q311" s="237">
        <v>53</v>
      </c>
      <c r="R311" s="237">
        <v>35</v>
      </c>
      <c r="S311" s="237">
        <v>44</v>
      </c>
      <c r="T311" s="237">
        <v>4</v>
      </c>
      <c r="U311" s="237">
        <v>2</v>
      </c>
      <c r="V311" s="237">
        <v>2</v>
      </c>
      <c r="W311" s="237">
        <v>1</v>
      </c>
      <c r="X311" s="38">
        <v>0</v>
      </c>
      <c r="Y311" s="38">
        <v>1</v>
      </c>
      <c r="Z311" s="38">
        <v>0</v>
      </c>
      <c r="AA311" s="38">
        <v>0</v>
      </c>
      <c r="AB311" s="91">
        <v>535</v>
      </c>
      <c r="AC311" s="94">
        <f>IF(Eingabe[[#This Row],[V1]]="",IF(Eingabe[[#This Row],[Volle alternativ]]="","",Eingabe[[#This Row],[Volle alternativ]]),SUM(Eingabe[[#This Row],[V1]:[V4]]))</f>
        <v>338</v>
      </c>
      <c r="AD311" s="6">
        <f>IF(Eingabe[[#This Row],[R1]]="",IF(Eingabe[[#This Row],[Räumer alternativ]]="","",Eingabe[[#This Row],[Räumer alternativ]]),SUM(Eingabe[[#This Row],[R1]:[R4]]))</f>
        <v>158</v>
      </c>
      <c r="AE311" s="6">
        <f>IF(Eingabe[[#This Row],[F1]]="",IF(Eingabe[[#This Row],[Fehler alternativ]]="","",Eingabe[[#This Row],[Fehler alternativ]]),SUM(Eingabe[[#This Row],[F1]:[F4]]))</f>
        <v>9</v>
      </c>
      <c r="AF311" s="6">
        <f>IF(Eingabe[[#This Row],[Volle]]="","",IF(Eingabe[[#This Row],[S1]]="",Eingabe[[#This Row],[Volle]]+Eingabe[[#This Row],[Räumer]],IF(Eingabe[[#This Row],[Volle]]+Eingabe[[#This Row],[Räumer]]=Eingabe[[#This Row],[S1]]+Eingabe[[#This Row],[S2]]+Eingabe[[#This Row],[S3]]+Eingabe[[#This Row],[S4]],Eingabe[[#This Row],[Volle]]+Eingabe[[#This Row],[Räumer]],"FEHLER")))</f>
        <v>496</v>
      </c>
      <c r="AG311" s="6">
        <f>IF(Eingabe[[#This Row],[V1]]="","",Eingabe[[#This Row],[V1]]+Eingabe[[#This Row],[R1]])</f>
        <v>116</v>
      </c>
      <c r="AH311" s="6">
        <f>IF(Eingabe[[#This Row],[V2]]="","",Eingabe[[#This Row],[V2]]+Eingabe[[#This Row],[R2]])</f>
        <v>142</v>
      </c>
      <c r="AI311" s="6">
        <f>IF(Eingabe[[#This Row],[V3]]="","",Eingabe[[#This Row],[V3]]+Eingabe[[#This Row],[R3]])</f>
        <v>116</v>
      </c>
      <c r="AJ311" s="6">
        <f>IF(Eingabe[[#This Row],[V4]]="","",Eingabe[[#This Row],[V4]]+Eingabe[[#This Row],[R4]])</f>
        <v>122</v>
      </c>
      <c r="AK311" s="6">
        <f>IF(Eingabe[[#This Row],[S1P]]="","",Eingabe[[#This Row],[S1P]]+Eingabe[[#This Row],[S2P]]+Eingabe[[#This Row],[S3P]]+Eingabe[[#This Row],[S4P]])</f>
        <v>1</v>
      </c>
      <c r="AL311" s="6">
        <f>IF(Eingabe[[#This Row],[S1P]]="","",IF(Eingabe[[#This Row],[SP]]&gt;2,1,IF(Eingabe[[#This Row],[SP]]&lt;2,0,IF(Eingabe[[#This Row],[GES]]&gt;Eingabe[[#This Row],[GEGGES]],1,IF(Eingabe[[#This Row],[GES]]=Eingabe[[#This Row],[GEGGES]],0.5,0)))))</f>
        <v>0</v>
      </c>
      <c r="AM311" s="6">
        <f>IF(Eingabe[[#This Row],[MP]]="","",MOD(ROW(Eingabe[[#This Row],[Position]])-3,6)+1)</f>
        <v>3</v>
      </c>
      <c r="AN311" s="6">
        <f>STANDARDIZE(Eingabe[[#This Row],[GES]],Eingabe[[#This Row],[Schnitt]],VLOOKUP(Eingabe[[#This Row],[Name]],AuswertungG[],21,FALSE))</f>
        <v>-0.37254901960784315</v>
      </c>
      <c r="AO311" s="6">
        <f>VLOOKUP(Eingabe[[#This Row],[ID]],Chronologie[[ID]:[KW]],12,FALSE)</f>
        <v>16</v>
      </c>
      <c r="AP311" s="95" t="str">
        <f>IF(Eingabe[[#This Row],[Wo]]="H",Eingabe[[#This Row],[Gegner]]&amp;" ["&amp;Eingabe[[#This Row],[Wo]]&amp;"]",Eingabe[[#This Row],[Ort]])</f>
        <v>ESV Zschorlau [H]</v>
      </c>
      <c r="AQ311" s="6">
        <f>IFERROR(IF(Eingabe[[#This Row],[Wo]]="H",IF(MOD(Eingabe[[#This Row],[Position]],2)=1,Eingabe[[#This Row],[S1]],Eingabe[[#This Row],[S4]]),""),"")</f>
        <v>116</v>
      </c>
      <c r="AR311" s="6">
        <f>IFERROR(IF(Eingabe[[#This Row],[Wo]]="H",IF(Eingabe[[#This Row],[S1]]&gt;0,IF(MOD(Eingabe[[#This Row],[Position]],2)=1,Eingabe[[#This Row],[S2]],Eingabe[[#This Row],[S3]]),""),""),"")</f>
        <v>142</v>
      </c>
      <c r="AS311" s="6">
        <f>IFERROR(IF(Eingabe[[#This Row],[Wo]]="H",IF(Eingabe[[#This Row],[S1]]&gt;0,IF(MOD(ROW(Eingabe[[#This Row],[Heimbahn 3]]),2)=1,Eingabe[[#This Row],[S4]],Eingabe[[#This Row],[S1]]),""),""),"")</f>
        <v>122</v>
      </c>
      <c r="AT311" s="6">
        <f>IFERROR(IF(Eingabe[[#This Row],[Wo]]="H",IF(Eingabe[[#This Row],[S1]]&gt;0,IF(MOD(ROW(Eingabe[[#This Row],[Heimbahn 4]]),2)=1,Eingabe[[#This Row],[S3]],Eingabe[[#This Row],[S2]]),""),""),"")</f>
        <v>116</v>
      </c>
      <c r="AU311" s="22">
        <f>IF(Eingabe[[#This Row],[GES]]="","",IF(Eingabe[[#This Row],[Modus]]="L",_xlfn.RANK.EQ(Eingabe[[#This Row],[GES]],AF309:AF314),IF(Eingabe[[#This Row],[Modus]]="P",_xlfn.RANK.EQ(Eingabe[[#This Row],[GES]],AF309:AF314),"")))</f>
        <v>6</v>
      </c>
      <c r="AV311" s="6">
        <f>VLOOKUP(Eingabe[[#This Row],[Name]],AuswertungG[],8,FALSE)</f>
        <v>515</v>
      </c>
      <c r="AZ311" s="6">
        <f>IFERROR(ABS(Eingabe[[#This Row],[GES]]-Eingabe[[#This Row],[GEGGES]]),"")</f>
        <v>39</v>
      </c>
    </row>
    <row r="312" spans="1:52" ht="16.2" hidden="1" thickBot="1" x14ac:dyDescent="0.35">
      <c r="A312" s="441"/>
      <c r="B312" s="21">
        <f t="shared" si="42"/>
        <v>52</v>
      </c>
      <c r="C312" s="6" t="str">
        <f>VLOOKUP($B312,Chronologie[],7,TRUE)</f>
        <v>ESV Zschorlau</v>
      </c>
      <c r="D312" s="6" t="str">
        <f>VLOOKUP($B312,Chronologie[],8,TRUE)</f>
        <v>Hirschfeld</v>
      </c>
      <c r="E312" s="240" t="str">
        <f>VLOOKUP($B312,Chronologie[],9,TRUE)</f>
        <v>H</v>
      </c>
      <c r="F312" s="6" t="str">
        <f>VLOOKUP($B312,Chronologie[],COLUMN(F313)-2,TRUE)</f>
        <v>Z</v>
      </c>
      <c r="G312" s="6" t="str">
        <f>VLOOKUP($B312,Chronologie[],COLUMN(G313)-2,TRUE)</f>
        <v>L</v>
      </c>
      <c r="H312" s="6">
        <f>VLOOKUP($B312,Chronologie[],COLUMN(H313)-2,TRUE)</f>
        <v>8</v>
      </c>
      <c r="I312" s="10" t="str">
        <f>VLOOKUP($B312,Chronologie[],2,TRUE)</f>
        <v>Z-L-8</v>
      </c>
      <c r="J312" s="243">
        <f>VLOOKUP($B312,Chronologie[],3,TRUE)</f>
        <v>46005</v>
      </c>
      <c r="K312" s="238" t="s">
        <v>661</v>
      </c>
      <c r="L312" s="237">
        <v>93</v>
      </c>
      <c r="M312" s="237">
        <v>88</v>
      </c>
      <c r="N312" s="237">
        <v>85</v>
      </c>
      <c r="O312" s="237">
        <v>91</v>
      </c>
      <c r="P312" s="237">
        <v>41</v>
      </c>
      <c r="Q312" s="237">
        <v>42</v>
      </c>
      <c r="R312" s="237">
        <v>45</v>
      </c>
      <c r="S312" s="237">
        <v>44</v>
      </c>
      <c r="T312" s="237">
        <v>3</v>
      </c>
      <c r="U312" s="237">
        <v>2</v>
      </c>
      <c r="V312" s="237">
        <v>0</v>
      </c>
      <c r="W312" s="237">
        <v>2</v>
      </c>
      <c r="X312" s="38">
        <v>0</v>
      </c>
      <c r="Y312" s="38">
        <v>1</v>
      </c>
      <c r="Z312" s="38">
        <v>0</v>
      </c>
      <c r="AA312" s="38">
        <v>1</v>
      </c>
      <c r="AB312" s="91">
        <v>520</v>
      </c>
      <c r="AC312" s="94">
        <f>IF(Eingabe[[#This Row],[V1]]="",IF(Eingabe[[#This Row],[Volle alternativ]]="","",Eingabe[[#This Row],[Volle alternativ]]),SUM(Eingabe[[#This Row],[V1]:[V4]]))</f>
        <v>357</v>
      </c>
      <c r="AD312" s="6">
        <f>IF(Eingabe[[#This Row],[R1]]="",IF(Eingabe[[#This Row],[Räumer alternativ]]="","",Eingabe[[#This Row],[Räumer alternativ]]),SUM(Eingabe[[#This Row],[R1]:[R4]]))</f>
        <v>172</v>
      </c>
      <c r="AE312" s="6">
        <f>IF(Eingabe[[#This Row],[F1]]="",IF(Eingabe[[#This Row],[Fehler alternativ]]="","",Eingabe[[#This Row],[Fehler alternativ]]),SUM(Eingabe[[#This Row],[F1]:[F4]]))</f>
        <v>7</v>
      </c>
      <c r="AF312" s="6">
        <f>IF(Eingabe[[#This Row],[Volle]]="","",IF(Eingabe[[#This Row],[S1]]="",Eingabe[[#This Row],[Volle]]+Eingabe[[#This Row],[Räumer]],IF(Eingabe[[#This Row],[Volle]]+Eingabe[[#This Row],[Räumer]]=Eingabe[[#This Row],[S1]]+Eingabe[[#This Row],[S2]]+Eingabe[[#This Row],[S3]]+Eingabe[[#This Row],[S4]],Eingabe[[#This Row],[Volle]]+Eingabe[[#This Row],[Räumer]],"FEHLER")))</f>
        <v>529</v>
      </c>
      <c r="AG312" s="6">
        <f>IF(Eingabe[[#This Row],[V1]]="","",Eingabe[[#This Row],[V1]]+Eingabe[[#This Row],[R1]])</f>
        <v>134</v>
      </c>
      <c r="AH312" s="6">
        <f>IF(Eingabe[[#This Row],[V2]]="","",Eingabe[[#This Row],[V2]]+Eingabe[[#This Row],[R2]])</f>
        <v>130</v>
      </c>
      <c r="AI312" s="6">
        <f>IF(Eingabe[[#This Row],[V3]]="","",Eingabe[[#This Row],[V3]]+Eingabe[[#This Row],[R3]])</f>
        <v>130</v>
      </c>
      <c r="AJ312" s="6">
        <f>IF(Eingabe[[#This Row],[V4]]="","",Eingabe[[#This Row],[V4]]+Eingabe[[#This Row],[R4]])</f>
        <v>135</v>
      </c>
      <c r="AK312" s="6">
        <f>IF(Eingabe[[#This Row],[S1P]]="","",Eingabe[[#This Row],[S1P]]+Eingabe[[#This Row],[S2P]]+Eingabe[[#This Row],[S3P]]+Eingabe[[#This Row],[S4P]])</f>
        <v>2</v>
      </c>
      <c r="AL312" s="6">
        <f>IF(Eingabe[[#This Row],[S1P]]="","",IF(Eingabe[[#This Row],[SP]]&gt;2,1,IF(Eingabe[[#This Row],[SP]]&lt;2,0,IF(Eingabe[[#This Row],[GES]]&gt;Eingabe[[#This Row],[GEGGES]],1,IF(Eingabe[[#This Row],[GES]]=Eingabe[[#This Row],[GEGGES]],0.5,0)))))</f>
        <v>1</v>
      </c>
      <c r="AM312" s="6">
        <f>IF(Eingabe[[#This Row],[MP]]="","",MOD(ROW(Eingabe[[#This Row],[Position]])-3,6)+1)</f>
        <v>4</v>
      </c>
      <c r="AN312" s="6">
        <f>STANDARDIZE(Eingabe[[#This Row],[GES]],Eingabe[[#This Row],[Schnitt]],VLOOKUP(Eingabe[[#This Row],[Name]],AuswertungG[],21,FALSE))</f>
        <v>0.25925925925925924</v>
      </c>
      <c r="AO312" s="6">
        <f>VLOOKUP(Eingabe[[#This Row],[ID]],Chronologie[[ID]:[KW]],12,FALSE)</f>
        <v>16</v>
      </c>
      <c r="AP312" s="95" t="str">
        <f>IF(Eingabe[[#This Row],[Wo]]="H",Eingabe[[#This Row],[Gegner]]&amp;" ["&amp;Eingabe[[#This Row],[Wo]]&amp;"]",Eingabe[[#This Row],[Ort]])</f>
        <v>ESV Zschorlau [H]</v>
      </c>
      <c r="AQ312" s="6">
        <f>IFERROR(IF(Eingabe[[#This Row],[Wo]]="H",IF(MOD(Eingabe[[#This Row],[Position]],2)=1,Eingabe[[#This Row],[S1]],Eingabe[[#This Row],[S4]]),""),"")</f>
        <v>135</v>
      </c>
      <c r="AR312" s="6">
        <f>IFERROR(IF(Eingabe[[#This Row],[Wo]]="H",IF(Eingabe[[#This Row],[S1]]&gt;0,IF(MOD(Eingabe[[#This Row],[Position]],2)=1,Eingabe[[#This Row],[S2]],Eingabe[[#This Row],[S3]]),""),""),"")</f>
        <v>130</v>
      </c>
      <c r="AS312" s="6">
        <f>IFERROR(IF(Eingabe[[#This Row],[Wo]]="H",IF(Eingabe[[#This Row],[S1]]&gt;0,IF(MOD(ROW(Eingabe[[#This Row],[Heimbahn 3]]),2)=1,Eingabe[[#This Row],[S4]],Eingabe[[#This Row],[S1]]),""),""),"")</f>
        <v>134</v>
      </c>
      <c r="AT312" s="6">
        <f>IFERROR(IF(Eingabe[[#This Row],[Wo]]="H",IF(Eingabe[[#This Row],[S1]]&gt;0,IF(MOD(ROW(Eingabe[[#This Row],[Heimbahn 4]]),2)=1,Eingabe[[#This Row],[S3]],Eingabe[[#This Row],[S2]]),""),""),"")</f>
        <v>130</v>
      </c>
      <c r="AU312" s="22">
        <f>IF(Eingabe[[#This Row],[GES]]="","",IF(Eingabe[[#This Row],[Modus]]="L",_xlfn.RANK.EQ(Eingabe[[#This Row],[GES]],AF309:AF314),IF(Eingabe[[#This Row],[Modus]]="P",_xlfn.RANK.EQ(Eingabe[[#This Row],[GES]],AF309:AF314),"")))</f>
        <v>2</v>
      </c>
      <c r="AV312" s="6">
        <f>VLOOKUP(Eingabe[[#This Row],[Name]],AuswertungG[],8,FALSE)</f>
        <v>522</v>
      </c>
      <c r="AZ312" s="6">
        <f>IFERROR(ABS(Eingabe[[#This Row],[GES]]-Eingabe[[#This Row],[GEGGES]]),"")</f>
        <v>9</v>
      </c>
    </row>
    <row r="313" spans="1:52" ht="16.2" hidden="1" thickBot="1" x14ac:dyDescent="0.35">
      <c r="A313" s="441"/>
      <c r="B313" s="21">
        <f t="shared" si="42"/>
        <v>52</v>
      </c>
      <c r="C313" s="6" t="str">
        <f>VLOOKUP($B313,Chronologie[],7,TRUE)</f>
        <v>ESV Zschorlau</v>
      </c>
      <c r="D313" s="6" t="str">
        <f>VLOOKUP($B313,Chronologie[],8,TRUE)</f>
        <v>Hirschfeld</v>
      </c>
      <c r="E313" s="240" t="str">
        <f>VLOOKUP($B313,Chronologie[],9,TRUE)</f>
        <v>H</v>
      </c>
      <c r="F313" s="6" t="str">
        <f>VLOOKUP($B313,Chronologie[],COLUMN(F314)-2,TRUE)</f>
        <v>Z</v>
      </c>
      <c r="G313" s="6" t="str">
        <f>VLOOKUP($B313,Chronologie[],COLUMN(G314)-2,TRUE)</f>
        <v>L</v>
      </c>
      <c r="H313" s="6">
        <f>VLOOKUP($B313,Chronologie[],COLUMN(H314)-2,TRUE)</f>
        <v>8</v>
      </c>
      <c r="I313" s="10" t="str">
        <f>VLOOKUP($B313,Chronologie[],2,TRUE)</f>
        <v>Z-L-8</v>
      </c>
      <c r="J313" s="243">
        <f>VLOOKUP($B313,Chronologie[],3,TRUE)</f>
        <v>46005</v>
      </c>
      <c r="K313" s="237" t="s">
        <v>12</v>
      </c>
      <c r="L313" s="237">
        <v>90</v>
      </c>
      <c r="M313" s="237">
        <v>83</v>
      </c>
      <c r="N313" s="237">
        <v>95</v>
      </c>
      <c r="O313" s="237">
        <v>89</v>
      </c>
      <c r="P313" s="237">
        <v>43</v>
      </c>
      <c r="Q313" s="237">
        <v>44</v>
      </c>
      <c r="R313" s="237">
        <v>34</v>
      </c>
      <c r="S313" s="237">
        <v>33</v>
      </c>
      <c r="T313" s="237">
        <v>2</v>
      </c>
      <c r="U313" s="237">
        <v>1</v>
      </c>
      <c r="V313" s="237">
        <v>3</v>
      </c>
      <c r="W313" s="237">
        <v>2</v>
      </c>
      <c r="X313" s="38">
        <v>1</v>
      </c>
      <c r="Y313" s="38">
        <v>0</v>
      </c>
      <c r="Z313" s="38">
        <v>1</v>
      </c>
      <c r="AA313" s="38">
        <v>0</v>
      </c>
      <c r="AB313" s="91">
        <v>524</v>
      </c>
      <c r="AC313" s="94">
        <f>IF(Eingabe[[#This Row],[V1]]="",IF(Eingabe[[#This Row],[Volle alternativ]]="","",Eingabe[[#This Row],[Volle alternativ]]),SUM(Eingabe[[#This Row],[V1]:[V4]]))</f>
        <v>357</v>
      </c>
      <c r="AD313" s="6">
        <f>IF(Eingabe[[#This Row],[R1]]="",IF(Eingabe[[#This Row],[Räumer alternativ]]="","",Eingabe[[#This Row],[Räumer alternativ]]),SUM(Eingabe[[#This Row],[R1]:[R4]]))</f>
        <v>154</v>
      </c>
      <c r="AE313" s="6">
        <f>IF(Eingabe[[#This Row],[F1]]="",IF(Eingabe[[#This Row],[Fehler alternativ]]="","",Eingabe[[#This Row],[Fehler alternativ]]),SUM(Eingabe[[#This Row],[F1]:[F4]]))</f>
        <v>8</v>
      </c>
      <c r="AF313" s="6">
        <f>IF(Eingabe[[#This Row],[Volle]]="","",IF(Eingabe[[#This Row],[S1]]="",Eingabe[[#This Row],[Volle]]+Eingabe[[#This Row],[Räumer]],IF(Eingabe[[#This Row],[Volle]]+Eingabe[[#This Row],[Räumer]]=Eingabe[[#This Row],[S1]]+Eingabe[[#This Row],[S2]]+Eingabe[[#This Row],[S3]]+Eingabe[[#This Row],[S4]],Eingabe[[#This Row],[Volle]]+Eingabe[[#This Row],[Räumer]],"FEHLER")))</f>
        <v>511</v>
      </c>
      <c r="AG313" s="6">
        <f>IF(Eingabe[[#This Row],[V1]]="","",Eingabe[[#This Row],[V1]]+Eingabe[[#This Row],[R1]])</f>
        <v>133</v>
      </c>
      <c r="AH313" s="6">
        <f>IF(Eingabe[[#This Row],[V2]]="","",Eingabe[[#This Row],[V2]]+Eingabe[[#This Row],[R2]])</f>
        <v>127</v>
      </c>
      <c r="AI313" s="6">
        <f>IF(Eingabe[[#This Row],[V3]]="","",Eingabe[[#This Row],[V3]]+Eingabe[[#This Row],[R3]])</f>
        <v>129</v>
      </c>
      <c r="AJ313" s="6">
        <f>IF(Eingabe[[#This Row],[V4]]="","",Eingabe[[#This Row],[V4]]+Eingabe[[#This Row],[R4]])</f>
        <v>122</v>
      </c>
      <c r="AK313" s="6">
        <f>IF(Eingabe[[#This Row],[S1P]]="","",Eingabe[[#This Row],[S1P]]+Eingabe[[#This Row],[S2P]]+Eingabe[[#This Row],[S3P]]+Eingabe[[#This Row],[S4P]])</f>
        <v>2</v>
      </c>
      <c r="AL313" s="6">
        <f>IF(Eingabe[[#This Row],[S1P]]="","",IF(Eingabe[[#This Row],[SP]]&gt;2,1,IF(Eingabe[[#This Row],[SP]]&lt;2,0,IF(Eingabe[[#This Row],[GES]]&gt;Eingabe[[#This Row],[GEGGES]],1,IF(Eingabe[[#This Row],[GES]]=Eingabe[[#This Row],[GEGGES]],0.5,0)))))</f>
        <v>0</v>
      </c>
      <c r="AM313" s="6">
        <f>IF(Eingabe[[#This Row],[MP]]="","",MOD(ROW(Eingabe[[#This Row],[Position]])-3,6)+1)</f>
        <v>5</v>
      </c>
      <c r="AN313" s="6">
        <f>STANDARDIZE(Eingabe[[#This Row],[GES]],Eingabe[[#This Row],[Schnitt]],VLOOKUP(Eingabe[[#This Row],[Name]],AuswertungG[],21,FALSE))</f>
        <v>-0.77777777777777779</v>
      </c>
      <c r="AO313" s="6">
        <f>VLOOKUP(Eingabe[[#This Row],[ID]],Chronologie[[ID]:[KW]],12,FALSE)</f>
        <v>16</v>
      </c>
      <c r="AP313" s="95" t="str">
        <f>IF(Eingabe[[#This Row],[Wo]]="H",Eingabe[[#This Row],[Gegner]]&amp;" ["&amp;Eingabe[[#This Row],[Wo]]&amp;"]",Eingabe[[#This Row],[Ort]])</f>
        <v>ESV Zschorlau [H]</v>
      </c>
      <c r="AQ313" s="6">
        <f>IFERROR(IF(Eingabe[[#This Row],[Wo]]="H",IF(MOD(Eingabe[[#This Row],[Position]],2)=1,Eingabe[[#This Row],[S1]],Eingabe[[#This Row],[S4]]),""),"")</f>
        <v>133</v>
      </c>
      <c r="AR313" s="6">
        <f>IFERROR(IF(Eingabe[[#This Row],[Wo]]="H",IF(Eingabe[[#This Row],[S1]]&gt;0,IF(MOD(Eingabe[[#This Row],[Position]],2)=1,Eingabe[[#This Row],[S2]],Eingabe[[#This Row],[S3]]),""),""),"")</f>
        <v>127</v>
      </c>
      <c r="AS313" s="6">
        <f>IFERROR(IF(Eingabe[[#This Row],[Wo]]="H",IF(Eingabe[[#This Row],[S1]]&gt;0,IF(MOD(ROW(Eingabe[[#This Row],[Heimbahn 3]]),2)=1,Eingabe[[#This Row],[S4]],Eingabe[[#This Row],[S1]]),""),""),"")</f>
        <v>122</v>
      </c>
      <c r="AT313" s="6">
        <f>IFERROR(IF(Eingabe[[#This Row],[Wo]]="H",IF(Eingabe[[#This Row],[S1]]&gt;0,IF(MOD(ROW(Eingabe[[#This Row],[Heimbahn 4]]),2)=1,Eingabe[[#This Row],[S3]],Eingabe[[#This Row],[S2]]),""),""),"")</f>
        <v>129</v>
      </c>
      <c r="AU313" s="22">
        <f>IF(Eingabe[[#This Row],[GES]]="","",IF(Eingabe[[#This Row],[Modus]]="L",_xlfn.RANK.EQ(Eingabe[[#This Row],[GES]],AF309:AF314),IF(Eingabe[[#This Row],[Modus]]="P",_xlfn.RANK.EQ(Eingabe[[#This Row],[GES]],AF309:AF314),"")))</f>
        <v>5</v>
      </c>
      <c r="AV313" s="6">
        <f>VLOOKUP(Eingabe[[#This Row],[Name]],AuswertungG[],8,FALSE)</f>
        <v>532</v>
      </c>
      <c r="AZ313" s="6">
        <f>IFERROR(ABS(Eingabe[[#This Row],[GES]]-Eingabe[[#This Row],[GEGGES]]),"")</f>
        <v>13</v>
      </c>
    </row>
    <row r="314" spans="1:52" ht="16.2" hidden="1" thickBot="1" x14ac:dyDescent="0.35">
      <c r="A314" s="442"/>
      <c r="B314" s="56">
        <f t="shared" si="42"/>
        <v>52</v>
      </c>
      <c r="C314" s="23" t="str">
        <f>VLOOKUP($B314,Chronologie[],7,TRUE)</f>
        <v>ESV Zschorlau</v>
      </c>
      <c r="D314" s="23" t="str">
        <f>VLOOKUP($B314,Chronologie[],8,TRUE)</f>
        <v>Hirschfeld</v>
      </c>
      <c r="E314" s="39" t="str">
        <f>VLOOKUP($B314,Chronologie[],9,TRUE)</f>
        <v>H</v>
      </c>
      <c r="F314" s="23" t="str">
        <f>VLOOKUP($B314,Chronologie[],COLUMN(F315)-2,TRUE)</f>
        <v>Z</v>
      </c>
      <c r="G314" s="23" t="str">
        <f>VLOOKUP($B314,Chronologie[],COLUMN(G315)-2,TRUE)</f>
        <v>L</v>
      </c>
      <c r="H314" s="23">
        <f>VLOOKUP($B314,Chronologie[],COLUMN(H315)-2,TRUE)</f>
        <v>8</v>
      </c>
      <c r="I314" s="13" t="str">
        <f>VLOOKUP($B314,Chronologie[],2,TRUE)</f>
        <v>Z-L-8</v>
      </c>
      <c r="J314" s="244">
        <f>VLOOKUP($B314,Chronologie[],3,TRUE)</f>
        <v>46005</v>
      </c>
      <c r="K314" s="239" t="s">
        <v>478</v>
      </c>
      <c r="L314" s="239">
        <v>79</v>
      </c>
      <c r="M314" s="239">
        <v>84</v>
      </c>
      <c r="N314" s="239">
        <v>96</v>
      </c>
      <c r="O314" s="239">
        <v>91</v>
      </c>
      <c r="P314" s="239">
        <v>35</v>
      </c>
      <c r="Q314" s="239">
        <v>43</v>
      </c>
      <c r="R314" s="239">
        <v>52</v>
      </c>
      <c r="S314" s="239">
        <v>44</v>
      </c>
      <c r="T314" s="239">
        <v>1</v>
      </c>
      <c r="U314" s="239">
        <v>3</v>
      </c>
      <c r="V314" s="239">
        <v>1</v>
      </c>
      <c r="W314" s="239">
        <v>2</v>
      </c>
      <c r="X314" s="40">
        <v>0</v>
      </c>
      <c r="Y314" s="40">
        <v>1</v>
      </c>
      <c r="Z314" s="40">
        <v>1</v>
      </c>
      <c r="AA314" s="40">
        <v>1</v>
      </c>
      <c r="AB314" s="92">
        <v>511</v>
      </c>
      <c r="AC314" s="96">
        <f>IF(Eingabe[[#This Row],[V1]]="",IF(Eingabe[[#This Row],[Volle alternativ]]="","",Eingabe[[#This Row],[Volle alternativ]]),SUM(Eingabe[[#This Row],[V1]:[V4]]))</f>
        <v>350</v>
      </c>
      <c r="AD314" s="23">
        <f>IF(Eingabe[[#This Row],[R1]]="",IF(Eingabe[[#This Row],[Räumer alternativ]]="","",Eingabe[[#This Row],[Räumer alternativ]]),SUM(Eingabe[[#This Row],[R1]:[R4]]))</f>
        <v>174</v>
      </c>
      <c r="AE314" s="23">
        <f>IF(Eingabe[[#This Row],[F1]]="",IF(Eingabe[[#This Row],[Fehler alternativ]]="","",Eingabe[[#This Row],[Fehler alternativ]]),SUM(Eingabe[[#This Row],[F1]:[F4]]))</f>
        <v>7</v>
      </c>
      <c r="AF314" s="23">
        <f>IF(Eingabe[[#This Row],[Volle]]="","",IF(Eingabe[[#This Row],[S1]]="",Eingabe[[#This Row],[Volle]]+Eingabe[[#This Row],[Räumer]],IF(Eingabe[[#This Row],[Volle]]+Eingabe[[#This Row],[Räumer]]=Eingabe[[#This Row],[S1]]+Eingabe[[#This Row],[S2]]+Eingabe[[#This Row],[S3]]+Eingabe[[#This Row],[S4]],Eingabe[[#This Row],[Volle]]+Eingabe[[#This Row],[Räumer]],"FEHLER")))</f>
        <v>524</v>
      </c>
      <c r="AG314" s="23">
        <f>IF(Eingabe[[#This Row],[V1]]="","",Eingabe[[#This Row],[V1]]+Eingabe[[#This Row],[R1]])</f>
        <v>114</v>
      </c>
      <c r="AH314" s="23">
        <f>IF(Eingabe[[#This Row],[V2]]="","",Eingabe[[#This Row],[V2]]+Eingabe[[#This Row],[R2]])</f>
        <v>127</v>
      </c>
      <c r="AI314" s="23">
        <f>IF(Eingabe[[#This Row],[V3]]="","",Eingabe[[#This Row],[V3]]+Eingabe[[#This Row],[R3]])</f>
        <v>148</v>
      </c>
      <c r="AJ314" s="23">
        <f>IF(Eingabe[[#This Row],[V4]]="","",Eingabe[[#This Row],[V4]]+Eingabe[[#This Row],[R4]])</f>
        <v>135</v>
      </c>
      <c r="AK314" s="23">
        <f>IF(Eingabe[[#This Row],[S1P]]="","",Eingabe[[#This Row],[S1P]]+Eingabe[[#This Row],[S2P]]+Eingabe[[#This Row],[S3P]]+Eingabe[[#This Row],[S4P]])</f>
        <v>3</v>
      </c>
      <c r="AL314" s="23">
        <f>IF(Eingabe[[#This Row],[S1P]]="","",IF(Eingabe[[#This Row],[SP]]&gt;2,1,IF(Eingabe[[#This Row],[SP]]&lt;2,0,IF(Eingabe[[#This Row],[GES]]&gt;Eingabe[[#This Row],[GEGGES]],1,IF(Eingabe[[#This Row],[GES]]=Eingabe[[#This Row],[GEGGES]],0.5,0)))))</f>
        <v>1</v>
      </c>
      <c r="AM314" s="23">
        <f>IF(Eingabe[[#This Row],[MP]]="","",MOD(ROW(Eingabe[[#This Row],[Position]])-3,6)+1)</f>
        <v>6</v>
      </c>
      <c r="AN314" s="23">
        <f>STANDARDIZE(Eingabe[[#This Row],[GES]],Eingabe[[#This Row],[Schnitt]],VLOOKUP(Eingabe[[#This Row],[Name]],AuswertungG[],21,FALSE))</f>
        <v>-0.2</v>
      </c>
      <c r="AO314" s="23">
        <f>VLOOKUP(Eingabe[[#This Row],[ID]],Chronologie[[ID]:[KW]],12,FALSE)</f>
        <v>16</v>
      </c>
      <c r="AP314" s="59" t="str">
        <f>IF(Eingabe[[#This Row],[Wo]]="H",Eingabe[[#This Row],[Gegner]]&amp;" ["&amp;Eingabe[[#This Row],[Wo]]&amp;"]",Eingabe[[#This Row],[Ort]])</f>
        <v>ESV Zschorlau [H]</v>
      </c>
      <c r="AQ314" s="23">
        <f>IFERROR(IF(Eingabe[[#This Row],[Wo]]="H",IF(MOD(Eingabe[[#This Row],[Position]],2)=1,Eingabe[[#This Row],[S1]],Eingabe[[#This Row],[S4]]),""),"")</f>
        <v>135</v>
      </c>
      <c r="AR314" s="23">
        <f>IFERROR(IF(Eingabe[[#This Row],[Wo]]="H",IF(Eingabe[[#This Row],[S1]]&gt;0,IF(MOD(Eingabe[[#This Row],[Position]],2)=1,Eingabe[[#This Row],[S2]],Eingabe[[#This Row],[S3]]),""),""),"")</f>
        <v>148</v>
      </c>
      <c r="AS314" s="23">
        <f>IFERROR(IF(Eingabe[[#This Row],[Wo]]="H",IF(Eingabe[[#This Row],[S1]]&gt;0,IF(MOD(ROW(Eingabe[[#This Row],[Heimbahn 3]]),2)=1,Eingabe[[#This Row],[S4]],Eingabe[[#This Row],[S1]]),""),""),"")</f>
        <v>114</v>
      </c>
      <c r="AT314" s="23">
        <f>IFERROR(IF(Eingabe[[#This Row],[Wo]]="H",IF(Eingabe[[#This Row],[S1]]&gt;0,IF(MOD(ROW(Eingabe[[#This Row],[Heimbahn 4]]),2)=1,Eingabe[[#This Row],[S3]],Eingabe[[#This Row],[S2]]),""),""),"")</f>
        <v>127</v>
      </c>
      <c r="AU314" s="89">
        <f>IF(Eingabe[[#This Row],[GES]]="","",IF(Eingabe[[#This Row],[Modus]]="L",_xlfn.RANK.EQ(Eingabe[[#This Row],[GES]],AF309:AF314),IF(Eingabe[[#This Row],[Modus]]="P",_xlfn.RANK.EQ(Eingabe[[#This Row],[GES]],AF309:AF314),"")))</f>
        <v>4</v>
      </c>
      <c r="AV314" s="6">
        <f>VLOOKUP(Eingabe[[#This Row],[Name]],AuswertungG[],8,FALSE)</f>
        <v>528</v>
      </c>
      <c r="AZ314" s="6">
        <f>IFERROR(ABS(Eingabe[[#This Row],[GES]]-Eingabe[[#This Row],[GEGGES]]),"")</f>
        <v>13</v>
      </c>
    </row>
    <row r="315" spans="1:52" ht="16.2" hidden="1" thickBot="1" x14ac:dyDescent="0.35">
      <c r="A315" s="440">
        <f t="shared" si="43"/>
        <v>53</v>
      </c>
      <c r="B315" s="55">
        <f t="shared" si="42"/>
        <v>53</v>
      </c>
      <c r="C315" s="35" t="str">
        <f>VLOOKUP($B315,Chronologie[],7,TRUE)</f>
        <v>SG Motor Thurm</v>
      </c>
      <c r="D315" s="35" t="str">
        <f>VLOOKUP($B315,Chronologie[],8,TRUE)</f>
        <v>Stangendorf</v>
      </c>
      <c r="E315" s="36" t="str">
        <f>VLOOKUP($B315,Chronologie[],9,TRUE)</f>
        <v>A</v>
      </c>
      <c r="F315" s="35" t="str">
        <f>VLOOKUP($B315,Chronologie[],COLUMN(F316)-2,TRUE)</f>
        <v>Z</v>
      </c>
      <c r="G315" s="35" t="str">
        <f>VLOOKUP($B315,Chronologie[],COLUMN(G316)-2,TRUE)</f>
        <v>L</v>
      </c>
      <c r="H315" s="35">
        <f>VLOOKUP($B315,Chronologie[],COLUMN(H316)-2,TRUE)</f>
        <v>9</v>
      </c>
      <c r="I315" s="9" t="str">
        <f>VLOOKUP($B315,Chronologie[],2,TRUE)</f>
        <v>Z-L-9</v>
      </c>
      <c r="J315" s="242">
        <f>VLOOKUP($B315,Chronologie[],3,TRUE)</f>
        <v>46040</v>
      </c>
      <c r="K315" s="236" t="s">
        <v>661</v>
      </c>
      <c r="L315" s="334">
        <v>90</v>
      </c>
      <c r="M315" s="334">
        <v>86</v>
      </c>
      <c r="N315" s="334">
        <v>82</v>
      </c>
      <c r="O315" s="334">
        <v>88</v>
      </c>
      <c r="P315" s="334">
        <v>44</v>
      </c>
      <c r="Q315" s="334">
        <v>44</v>
      </c>
      <c r="R315" s="334">
        <v>44</v>
      </c>
      <c r="S315" s="334">
        <v>42</v>
      </c>
      <c r="T315" s="334">
        <v>2</v>
      </c>
      <c r="U315" s="334">
        <v>1</v>
      </c>
      <c r="V315" s="334">
        <v>0</v>
      </c>
      <c r="W315" s="334">
        <v>0</v>
      </c>
      <c r="X315" s="37">
        <v>1</v>
      </c>
      <c r="Y315" s="37">
        <v>1</v>
      </c>
      <c r="Z315" s="37">
        <v>1</v>
      </c>
      <c r="AA315" s="37">
        <v>1</v>
      </c>
      <c r="AB315" s="90">
        <v>490</v>
      </c>
      <c r="AC315" s="93">
        <f>IF(Eingabe[[#This Row],[V1]]="",IF(Eingabe[[#This Row],[Volle alternativ]]="","",Eingabe[[#This Row],[Volle alternativ]]),SUM(Eingabe[[#This Row],[V1]:[V4]]))</f>
        <v>346</v>
      </c>
      <c r="AD315" s="35">
        <f>IF(Eingabe[[#This Row],[R1]]="",IF(Eingabe[[#This Row],[Räumer alternativ]]="","",Eingabe[[#This Row],[Räumer alternativ]]),SUM(Eingabe[[#This Row],[R1]:[R4]]))</f>
        <v>174</v>
      </c>
      <c r="AE315" s="35">
        <f>IF(Eingabe[[#This Row],[F1]]="",IF(Eingabe[[#This Row],[Fehler alternativ]]="","",Eingabe[[#This Row],[Fehler alternativ]]),SUM(Eingabe[[#This Row],[F1]:[F4]]))</f>
        <v>3</v>
      </c>
      <c r="AF315" s="35">
        <f>IF(Eingabe[[#This Row],[Volle]]="","",IF(Eingabe[[#This Row],[S1]]="",Eingabe[[#This Row],[Volle]]+Eingabe[[#This Row],[Räumer]],IF(Eingabe[[#This Row],[Volle]]+Eingabe[[#This Row],[Räumer]]=Eingabe[[#This Row],[S1]]+Eingabe[[#This Row],[S2]]+Eingabe[[#This Row],[S3]]+Eingabe[[#This Row],[S4]],Eingabe[[#This Row],[Volle]]+Eingabe[[#This Row],[Räumer]],"FEHLER")))</f>
        <v>520</v>
      </c>
      <c r="AG315" s="35">
        <f>IF(Eingabe[[#This Row],[V1]]="","",Eingabe[[#This Row],[V1]]+Eingabe[[#This Row],[R1]])</f>
        <v>134</v>
      </c>
      <c r="AH315" s="35">
        <f>IF(Eingabe[[#This Row],[V2]]="","",Eingabe[[#This Row],[V2]]+Eingabe[[#This Row],[R2]])</f>
        <v>130</v>
      </c>
      <c r="AI315" s="35">
        <f>IF(Eingabe[[#This Row],[V3]]="","",Eingabe[[#This Row],[V3]]+Eingabe[[#This Row],[R3]])</f>
        <v>126</v>
      </c>
      <c r="AJ315" s="35">
        <f>IF(Eingabe[[#This Row],[V4]]="","",Eingabe[[#This Row],[V4]]+Eingabe[[#This Row],[R4]])</f>
        <v>130</v>
      </c>
      <c r="AK315" s="35">
        <f>IF(Eingabe[[#This Row],[S1P]]="","",Eingabe[[#This Row],[S1P]]+Eingabe[[#This Row],[S2P]]+Eingabe[[#This Row],[S3P]]+Eingabe[[#This Row],[S4P]])</f>
        <v>4</v>
      </c>
      <c r="AL315" s="35">
        <f>IF(Eingabe[[#This Row],[S1P]]="","",IF(Eingabe[[#This Row],[SP]]&gt;2,1,IF(Eingabe[[#This Row],[SP]]&lt;2,0,IF(Eingabe[[#This Row],[GES]]&gt;Eingabe[[#This Row],[GEGGES]],1,IF(Eingabe[[#This Row],[GES]]=Eingabe[[#This Row],[GEGGES]],0.5,0)))))</f>
        <v>1</v>
      </c>
      <c r="AM315" s="35">
        <f>IF(Eingabe[[#This Row],[MP]]="","",MOD(ROW(Eingabe[[#This Row],[Position]])-3,6)+1)</f>
        <v>1</v>
      </c>
      <c r="AN315" s="35">
        <f>STANDARDIZE(Eingabe[[#This Row],[GES]],Eingabe[[#This Row],[Schnitt]],VLOOKUP(Eingabe[[#This Row],[Name]],AuswertungG[],21,FALSE))</f>
        <v>-7.407407407407407E-2</v>
      </c>
      <c r="AO315" s="35">
        <f>VLOOKUP(Eingabe[[#This Row],[ID]],Chronologie[[ID]:[KW]],12,FALSE)</f>
        <v>21</v>
      </c>
      <c r="AP315" s="58" t="str">
        <f>IF(Eingabe[[#This Row],[Wo]]="H",Eingabe[[#This Row],[Gegner]]&amp;" ["&amp;Eingabe[[#This Row],[Wo]]&amp;"]",Eingabe[[#This Row],[Ort]])</f>
        <v>Stangendorf</v>
      </c>
      <c r="AQ315" s="35" t="str">
        <f>IFERROR(IF(Eingabe[[#This Row],[Wo]]="H",IF(MOD(Eingabe[[#This Row],[Position]],2)=1,Eingabe[[#This Row],[S1]],Eingabe[[#This Row],[S4]]),""),"")</f>
        <v/>
      </c>
      <c r="AR315" s="35" t="str">
        <f>IFERROR(IF(Eingabe[[#This Row],[Wo]]="H",IF(Eingabe[[#This Row],[S1]]&gt;0,IF(MOD(Eingabe[[#This Row],[Position]],2)=1,Eingabe[[#This Row],[S2]],Eingabe[[#This Row],[S3]]),""),""),"")</f>
        <v/>
      </c>
      <c r="AS315" s="35" t="str">
        <f>IFERROR(IF(Eingabe[[#This Row],[Wo]]="H",IF(Eingabe[[#This Row],[S1]]&gt;0,IF(MOD(ROW(Eingabe[[#This Row],[Heimbahn 3]]),2)=1,Eingabe[[#This Row],[S4]],Eingabe[[#This Row],[S1]]),""),""),"")</f>
        <v/>
      </c>
      <c r="AT315" s="35" t="str">
        <f>IFERROR(IF(Eingabe[[#This Row],[Wo]]="H",IF(Eingabe[[#This Row],[S1]]&gt;0,IF(MOD(ROW(Eingabe[[#This Row],[Heimbahn 4]]),2)=1,Eingabe[[#This Row],[S3]],Eingabe[[#This Row],[S2]]),""),""),"")</f>
        <v/>
      </c>
      <c r="AU315" s="88">
        <f>IF(Eingabe[[#This Row],[GES]]="","",IF(Eingabe[[#This Row],[Modus]]="L",_xlfn.RANK.EQ(Eingabe[[#This Row],[GES]],AF315:AF320),IF(Eingabe[[#This Row],[Modus]]="P",_xlfn.RANK.EQ(Eingabe[[#This Row],[GES]],AF315:AF320),"")))</f>
        <v>2</v>
      </c>
      <c r="AV315" s="6">
        <f>VLOOKUP(Eingabe[[#This Row],[Name]],AuswertungG[],8,FALSE)</f>
        <v>522</v>
      </c>
      <c r="AZ315" s="6">
        <f>IFERROR(ABS(Eingabe[[#This Row],[GES]]-Eingabe[[#This Row],[GEGGES]]),"")</f>
        <v>30</v>
      </c>
    </row>
    <row r="316" spans="1:52" ht="16.2" hidden="1" thickBot="1" x14ac:dyDescent="0.35">
      <c r="A316" s="441"/>
      <c r="B316" s="21">
        <f t="shared" si="42"/>
        <v>53</v>
      </c>
      <c r="C316" s="6" t="str">
        <f>VLOOKUP($B316,Chronologie[],7,TRUE)</f>
        <v>SG Motor Thurm</v>
      </c>
      <c r="D316" s="6" t="str">
        <f>VLOOKUP($B316,Chronologie[],8,TRUE)</f>
        <v>Stangendorf</v>
      </c>
      <c r="E316" s="240" t="str">
        <f>VLOOKUP($B316,Chronologie[],9,TRUE)</f>
        <v>A</v>
      </c>
      <c r="F316" s="6" t="str">
        <f>VLOOKUP($B316,Chronologie[],COLUMN(F317)-2,TRUE)</f>
        <v>Z</v>
      </c>
      <c r="G316" s="6" t="str">
        <f>VLOOKUP($B316,Chronologie[],COLUMN(G317)-2,TRUE)</f>
        <v>L</v>
      </c>
      <c r="H316" s="6">
        <f>VLOOKUP($B316,Chronologie[],COLUMN(H317)-2,TRUE)</f>
        <v>9</v>
      </c>
      <c r="I316" s="10" t="str">
        <f>VLOOKUP($B316,Chronologie[],2,TRUE)</f>
        <v>Z-L-9</v>
      </c>
      <c r="J316" s="243">
        <f>VLOOKUP($B316,Chronologie[],3,TRUE)</f>
        <v>46040</v>
      </c>
      <c r="K316" s="237" t="s">
        <v>689</v>
      </c>
      <c r="L316" s="237">
        <v>96</v>
      </c>
      <c r="M316" s="237">
        <v>83</v>
      </c>
      <c r="N316" s="237">
        <v>80</v>
      </c>
      <c r="O316" s="237">
        <v>90</v>
      </c>
      <c r="P316" s="237">
        <v>35</v>
      </c>
      <c r="Q316" s="237">
        <v>44</v>
      </c>
      <c r="R316" s="237">
        <v>35</v>
      </c>
      <c r="S316" s="237">
        <v>36</v>
      </c>
      <c r="T316" s="237">
        <v>0</v>
      </c>
      <c r="U316" s="237">
        <v>1</v>
      </c>
      <c r="V316" s="237">
        <v>1</v>
      </c>
      <c r="W316" s="237">
        <v>0</v>
      </c>
      <c r="X316" s="38">
        <v>1</v>
      </c>
      <c r="Y316" s="38">
        <v>1</v>
      </c>
      <c r="Z316" s="38">
        <v>0</v>
      </c>
      <c r="AA316" s="38">
        <v>1</v>
      </c>
      <c r="AB316" s="91">
        <v>478</v>
      </c>
      <c r="AC316" s="94">
        <f>IF(Eingabe[[#This Row],[V1]]="",IF(Eingabe[[#This Row],[Volle alternativ]]="","",Eingabe[[#This Row],[Volle alternativ]]),SUM(Eingabe[[#This Row],[V1]:[V4]]))</f>
        <v>349</v>
      </c>
      <c r="AD316" s="6">
        <f>IF(Eingabe[[#This Row],[R1]]="",IF(Eingabe[[#This Row],[Räumer alternativ]]="","",Eingabe[[#This Row],[Räumer alternativ]]),SUM(Eingabe[[#This Row],[R1]:[R4]]))</f>
        <v>150</v>
      </c>
      <c r="AE316" s="6">
        <f>IF(Eingabe[[#This Row],[F1]]="",IF(Eingabe[[#This Row],[Fehler alternativ]]="","",Eingabe[[#This Row],[Fehler alternativ]]),SUM(Eingabe[[#This Row],[F1]:[F4]]))</f>
        <v>2</v>
      </c>
      <c r="AF316" s="6">
        <f>IF(Eingabe[[#This Row],[Volle]]="","",IF(Eingabe[[#This Row],[S1]]="",Eingabe[[#This Row],[Volle]]+Eingabe[[#This Row],[Räumer]],IF(Eingabe[[#This Row],[Volle]]+Eingabe[[#This Row],[Räumer]]=Eingabe[[#This Row],[S1]]+Eingabe[[#This Row],[S2]]+Eingabe[[#This Row],[S3]]+Eingabe[[#This Row],[S4]],Eingabe[[#This Row],[Volle]]+Eingabe[[#This Row],[Räumer]],"FEHLER")))</f>
        <v>499</v>
      </c>
      <c r="AG316" s="6">
        <f>IF(Eingabe[[#This Row],[V1]]="","",Eingabe[[#This Row],[V1]]+Eingabe[[#This Row],[R1]])</f>
        <v>131</v>
      </c>
      <c r="AH316" s="6">
        <f>IF(Eingabe[[#This Row],[V2]]="","",Eingabe[[#This Row],[V2]]+Eingabe[[#This Row],[R2]])</f>
        <v>127</v>
      </c>
      <c r="AI316" s="6">
        <f>IF(Eingabe[[#This Row],[V3]]="","",Eingabe[[#This Row],[V3]]+Eingabe[[#This Row],[R3]])</f>
        <v>115</v>
      </c>
      <c r="AJ316" s="6">
        <f>IF(Eingabe[[#This Row],[V4]]="","",Eingabe[[#This Row],[V4]]+Eingabe[[#This Row],[R4]])</f>
        <v>126</v>
      </c>
      <c r="AK316" s="6">
        <f>IF(Eingabe[[#This Row],[S1P]]="","",Eingabe[[#This Row],[S1P]]+Eingabe[[#This Row],[S2P]]+Eingabe[[#This Row],[S3P]]+Eingabe[[#This Row],[S4P]])</f>
        <v>3</v>
      </c>
      <c r="AL316" s="6">
        <f>IF(Eingabe[[#This Row],[S1P]]="","",IF(Eingabe[[#This Row],[SP]]&gt;2,1,IF(Eingabe[[#This Row],[SP]]&lt;2,0,IF(Eingabe[[#This Row],[GES]]&gt;Eingabe[[#This Row],[GEGGES]],1,IF(Eingabe[[#This Row],[GES]]=Eingabe[[#This Row],[GEGGES]],0.5,0)))))</f>
        <v>1</v>
      </c>
      <c r="AM316" s="6">
        <f>IF(Eingabe[[#This Row],[MP]]="","",MOD(ROW(Eingabe[[#This Row],[Position]])-3,6)+1)</f>
        <v>2</v>
      </c>
      <c r="AN316" s="6">
        <f>STANDARDIZE(Eingabe[[#This Row],[GES]],Eingabe[[#This Row],[Schnitt]],VLOOKUP(Eingabe[[#This Row],[Name]],AuswertungG[],21,FALSE))</f>
        <v>-0.9285714285714286</v>
      </c>
      <c r="AO316" s="6">
        <f>VLOOKUP(Eingabe[[#This Row],[ID]],Chronologie[[ID]:[KW]],12,FALSE)</f>
        <v>21</v>
      </c>
      <c r="AP316" s="95" t="str">
        <f>IF(Eingabe[[#This Row],[Wo]]="H",Eingabe[[#This Row],[Gegner]]&amp;" ["&amp;Eingabe[[#This Row],[Wo]]&amp;"]",Eingabe[[#This Row],[Ort]])</f>
        <v>Stangendorf</v>
      </c>
      <c r="AQ316" s="6" t="str">
        <f>IFERROR(IF(Eingabe[[#This Row],[Wo]]="H",IF(MOD(Eingabe[[#This Row],[Position]],2)=1,Eingabe[[#This Row],[S1]],Eingabe[[#This Row],[S4]]),""),"")</f>
        <v/>
      </c>
      <c r="AR316" s="6" t="str">
        <f>IFERROR(IF(Eingabe[[#This Row],[Wo]]="H",IF(Eingabe[[#This Row],[S1]]&gt;0,IF(MOD(Eingabe[[#This Row],[Position]],2)=1,Eingabe[[#This Row],[S2]],Eingabe[[#This Row],[S3]]),""),""),"")</f>
        <v/>
      </c>
      <c r="AS316" s="6" t="str">
        <f>IFERROR(IF(Eingabe[[#This Row],[Wo]]="H",IF(Eingabe[[#This Row],[S1]]&gt;0,IF(MOD(ROW(Eingabe[[#This Row],[Heimbahn 3]]),2)=1,Eingabe[[#This Row],[S4]],Eingabe[[#This Row],[S1]]),""),""),"")</f>
        <v/>
      </c>
      <c r="AT316" s="6" t="str">
        <f>IFERROR(IF(Eingabe[[#This Row],[Wo]]="H",IF(Eingabe[[#This Row],[S1]]&gt;0,IF(MOD(ROW(Eingabe[[#This Row],[Heimbahn 4]]),2)=1,Eingabe[[#This Row],[S3]],Eingabe[[#This Row],[S2]]),""),""),"")</f>
        <v/>
      </c>
      <c r="AU316" s="22">
        <f>IF(Eingabe[[#This Row],[GES]]="","",IF(Eingabe[[#This Row],[Modus]]="L",_xlfn.RANK.EQ(Eingabe[[#This Row],[GES]],AF315:AF320),IF(Eingabe[[#This Row],[Modus]]="P",_xlfn.RANK.EQ(Eingabe[[#This Row],[GES]],AF315:AF320),"")))</f>
        <v>4</v>
      </c>
      <c r="AV316" s="6">
        <f>VLOOKUP(Eingabe[[#This Row],[Name]],AuswertungG[],8,FALSE)</f>
        <v>525</v>
      </c>
      <c r="AZ316" s="6">
        <f>IFERROR(ABS(Eingabe[[#This Row],[GES]]-Eingabe[[#This Row],[GEGGES]]),"")</f>
        <v>21</v>
      </c>
    </row>
    <row r="317" spans="1:52" ht="16.2" hidden="1" thickBot="1" x14ac:dyDescent="0.35">
      <c r="A317" s="441"/>
      <c r="B317" s="21">
        <f t="shared" si="42"/>
        <v>53</v>
      </c>
      <c r="C317" s="6" t="str">
        <f>VLOOKUP($B317,Chronologie[],7,TRUE)</f>
        <v>SG Motor Thurm</v>
      </c>
      <c r="D317" s="6" t="str">
        <f>VLOOKUP($B317,Chronologie[],8,TRUE)</f>
        <v>Stangendorf</v>
      </c>
      <c r="E317" s="240" t="str">
        <f>VLOOKUP($B317,Chronologie[],9,TRUE)</f>
        <v>A</v>
      </c>
      <c r="F317" s="6" t="str">
        <f>VLOOKUP($B317,Chronologie[],COLUMN(F318)-2,TRUE)</f>
        <v>Z</v>
      </c>
      <c r="G317" s="6" t="str">
        <f>VLOOKUP($B317,Chronologie[],COLUMN(G318)-2,TRUE)</f>
        <v>L</v>
      </c>
      <c r="H317" s="6">
        <f>VLOOKUP($B317,Chronologie[],COLUMN(H318)-2,TRUE)</f>
        <v>9</v>
      </c>
      <c r="I317" s="10" t="str">
        <f>VLOOKUP($B317,Chronologie[],2,TRUE)</f>
        <v>Z-L-9</v>
      </c>
      <c r="J317" s="243">
        <f>VLOOKUP($B317,Chronologie[],3,TRUE)</f>
        <v>46040</v>
      </c>
      <c r="K317" s="237" t="s">
        <v>490</v>
      </c>
      <c r="L317" s="237">
        <v>79</v>
      </c>
      <c r="M317" s="237">
        <v>91</v>
      </c>
      <c r="N317" s="237">
        <v>83</v>
      </c>
      <c r="O317" s="237">
        <v>84</v>
      </c>
      <c r="P317" s="237">
        <v>41</v>
      </c>
      <c r="Q317" s="237">
        <v>35</v>
      </c>
      <c r="R317" s="237">
        <v>36</v>
      </c>
      <c r="S317" s="237">
        <v>41</v>
      </c>
      <c r="T317" s="237">
        <v>1</v>
      </c>
      <c r="U317" s="237">
        <v>1</v>
      </c>
      <c r="V317" s="237">
        <v>1</v>
      </c>
      <c r="W317" s="237">
        <v>2</v>
      </c>
      <c r="X317" s="38">
        <v>0</v>
      </c>
      <c r="Y317" s="38">
        <v>1</v>
      </c>
      <c r="Z317" s="38">
        <v>0</v>
      </c>
      <c r="AA317" s="38">
        <v>0</v>
      </c>
      <c r="AB317" s="91">
        <v>507</v>
      </c>
      <c r="AC317" s="94">
        <f>IF(Eingabe[[#This Row],[V1]]="",IF(Eingabe[[#This Row],[Volle alternativ]]="","",Eingabe[[#This Row],[Volle alternativ]]),SUM(Eingabe[[#This Row],[V1]:[V4]]))</f>
        <v>337</v>
      </c>
      <c r="AD317" s="6">
        <f>IF(Eingabe[[#This Row],[R1]]="",IF(Eingabe[[#This Row],[Räumer alternativ]]="","",Eingabe[[#This Row],[Räumer alternativ]]),SUM(Eingabe[[#This Row],[R1]:[R4]]))</f>
        <v>153</v>
      </c>
      <c r="AE317" s="6">
        <f>IF(Eingabe[[#This Row],[F1]]="",IF(Eingabe[[#This Row],[Fehler alternativ]]="","",Eingabe[[#This Row],[Fehler alternativ]]),SUM(Eingabe[[#This Row],[F1]:[F4]]))</f>
        <v>5</v>
      </c>
      <c r="AF317" s="6">
        <f>IF(Eingabe[[#This Row],[Volle]]="","",IF(Eingabe[[#This Row],[S1]]="",Eingabe[[#This Row],[Volle]]+Eingabe[[#This Row],[Räumer]],IF(Eingabe[[#This Row],[Volle]]+Eingabe[[#This Row],[Räumer]]=Eingabe[[#This Row],[S1]]+Eingabe[[#This Row],[S2]]+Eingabe[[#This Row],[S3]]+Eingabe[[#This Row],[S4]],Eingabe[[#This Row],[Volle]]+Eingabe[[#This Row],[Räumer]],"FEHLER")))</f>
        <v>490</v>
      </c>
      <c r="AG317" s="6">
        <f>IF(Eingabe[[#This Row],[V1]]="","",Eingabe[[#This Row],[V1]]+Eingabe[[#This Row],[R1]])</f>
        <v>120</v>
      </c>
      <c r="AH317" s="6">
        <f>IF(Eingabe[[#This Row],[V2]]="","",Eingabe[[#This Row],[V2]]+Eingabe[[#This Row],[R2]])</f>
        <v>126</v>
      </c>
      <c r="AI317" s="6">
        <f>IF(Eingabe[[#This Row],[V3]]="","",Eingabe[[#This Row],[V3]]+Eingabe[[#This Row],[R3]])</f>
        <v>119</v>
      </c>
      <c r="AJ317" s="6">
        <f>IF(Eingabe[[#This Row],[V4]]="","",Eingabe[[#This Row],[V4]]+Eingabe[[#This Row],[R4]])</f>
        <v>125</v>
      </c>
      <c r="AK317" s="6">
        <f>IF(Eingabe[[#This Row],[S1P]]="","",Eingabe[[#This Row],[S1P]]+Eingabe[[#This Row],[S2P]]+Eingabe[[#This Row],[S3P]]+Eingabe[[#This Row],[S4P]])</f>
        <v>1</v>
      </c>
      <c r="AL317" s="6">
        <f>IF(Eingabe[[#This Row],[S1P]]="","",IF(Eingabe[[#This Row],[SP]]&gt;2,1,IF(Eingabe[[#This Row],[SP]]&lt;2,0,IF(Eingabe[[#This Row],[GES]]&gt;Eingabe[[#This Row],[GEGGES]],1,IF(Eingabe[[#This Row],[GES]]=Eingabe[[#This Row],[GEGGES]],0.5,0)))))</f>
        <v>0</v>
      </c>
      <c r="AM317" s="6">
        <f>IF(Eingabe[[#This Row],[MP]]="","",MOD(ROW(Eingabe[[#This Row],[Position]])-3,6)+1)</f>
        <v>3</v>
      </c>
      <c r="AN317" s="6">
        <f>STANDARDIZE(Eingabe[[#This Row],[GES]],Eingabe[[#This Row],[Schnitt]],VLOOKUP(Eingabe[[#This Row],[Name]],AuswertungG[],21,FALSE))</f>
        <v>-0.49019607843137253</v>
      </c>
      <c r="AO317" s="6">
        <f>VLOOKUP(Eingabe[[#This Row],[ID]],Chronologie[[ID]:[KW]],12,FALSE)</f>
        <v>21</v>
      </c>
      <c r="AP317" s="95" t="str">
        <f>IF(Eingabe[[#This Row],[Wo]]="H",Eingabe[[#This Row],[Gegner]]&amp;" ["&amp;Eingabe[[#This Row],[Wo]]&amp;"]",Eingabe[[#This Row],[Ort]])</f>
        <v>Stangendorf</v>
      </c>
      <c r="AQ317" s="6" t="str">
        <f>IFERROR(IF(Eingabe[[#This Row],[Wo]]="H",IF(MOD(Eingabe[[#This Row],[Position]],2)=1,Eingabe[[#This Row],[S1]],Eingabe[[#This Row],[S4]]),""),"")</f>
        <v/>
      </c>
      <c r="AR317" s="6" t="str">
        <f>IFERROR(IF(Eingabe[[#This Row],[Wo]]="H",IF(Eingabe[[#This Row],[S1]]&gt;0,IF(MOD(Eingabe[[#This Row],[Position]],2)=1,Eingabe[[#This Row],[S2]],Eingabe[[#This Row],[S3]]),""),""),"")</f>
        <v/>
      </c>
      <c r="AS317" s="6" t="str">
        <f>IFERROR(IF(Eingabe[[#This Row],[Wo]]="H",IF(Eingabe[[#This Row],[S1]]&gt;0,IF(MOD(ROW(Eingabe[[#This Row],[Heimbahn 3]]),2)=1,Eingabe[[#This Row],[S4]],Eingabe[[#This Row],[S1]]),""),""),"")</f>
        <v/>
      </c>
      <c r="AT317" s="6" t="str">
        <f>IFERROR(IF(Eingabe[[#This Row],[Wo]]="H",IF(Eingabe[[#This Row],[S1]]&gt;0,IF(MOD(ROW(Eingabe[[#This Row],[Heimbahn 4]]),2)=1,Eingabe[[#This Row],[S3]],Eingabe[[#This Row],[S2]]),""),""),"")</f>
        <v/>
      </c>
      <c r="AU317" s="22">
        <f>IF(Eingabe[[#This Row],[GES]]="","",IF(Eingabe[[#This Row],[Modus]]="L",_xlfn.RANK.EQ(Eingabe[[#This Row],[GES]],AF315:AF320),IF(Eingabe[[#This Row],[Modus]]="P",_xlfn.RANK.EQ(Eingabe[[#This Row],[GES]],AF315:AF320),"")))</f>
        <v>5</v>
      </c>
      <c r="AV317" s="6">
        <f>VLOOKUP(Eingabe[[#This Row],[Name]],AuswertungG[],8,FALSE)</f>
        <v>515</v>
      </c>
      <c r="AZ317" s="6">
        <f>IFERROR(ABS(Eingabe[[#This Row],[GES]]-Eingabe[[#This Row],[GEGGES]]),"")</f>
        <v>17</v>
      </c>
    </row>
    <row r="318" spans="1:52" ht="16.2" hidden="1" thickBot="1" x14ac:dyDescent="0.35">
      <c r="A318" s="441"/>
      <c r="B318" s="21">
        <f t="shared" si="42"/>
        <v>53</v>
      </c>
      <c r="C318" s="6" t="str">
        <f>VLOOKUP($B318,Chronologie[],7,TRUE)</f>
        <v>SG Motor Thurm</v>
      </c>
      <c r="D318" s="6" t="str">
        <f>VLOOKUP($B318,Chronologie[],8,TRUE)</f>
        <v>Stangendorf</v>
      </c>
      <c r="E318" s="240" t="str">
        <f>VLOOKUP($B318,Chronologie[],9,TRUE)</f>
        <v>A</v>
      </c>
      <c r="F318" s="6" t="str">
        <f>VLOOKUP($B318,Chronologie[],COLUMN(F319)-2,TRUE)</f>
        <v>Z</v>
      </c>
      <c r="G318" s="6" t="str">
        <f>VLOOKUP($B318,Chronologie[],COLUMN(G319)-2,TRUE)</f>
        <v>L</v>
      </c>
      <c r="H318" s="6">
        <f>VLOOKUP($B318,Chronologie[],COLUMN(H319)-2,TRUE)</f>
        <v>9</v>
      </c>
      <c r="I318" s="10" t="str">
        <f>VLOOKUP($B318,Chronologie[],2,TRUE)</f>
        <v>Z-L-9</v>
      </c>
      <c r="J318" s="243">
        <f>VLOOKUP($B318,Chronologie[],3,TRUE)</f>
        <v>46040</v>
      </c>
      <c r="K318" s="238" t="s">
        <v>736</v>
      </c>
      <c r="L318" s="237">
        <v>90</v>
      </c>
      <c r="M318" s="237">
        <v>89</v>
      </c>
      <c r="N318" s="237">
        <v>87</v>
      </c>
      <c r="O318" s="237">
        <v>80</v>
      </c>
      <c r="P318" s="237">
        <v>35</v>
      </c>
      <c r="Q318" s="237">
        <v>43</v>
      </c>
      <c r="R318" s="237">
        <v>35</v>
      </c>
      <c r="S318" s="237">
        <v>31</v>
      </c>
      <c r="T318" s="237">
        <v>4</v>
      </c>
      <c r="U318" s="237">
        <v>1</v>
      </c>
      <c r="V318" s="237">
        <v>1</v>
      </c>
      <c r="W318" s="237">
        <v>4</v>
      </c>
      <c r="X318" s="38">
        <v>1</v>
      </c>
      <c r="Y318" s="38">
        <v>1</v>
      </c>
      <c r="Z318" s="38">
        <v>0.5</v>
      </c>
      <c r="AA318" s="38">
        <v>0</v>
      </c>
      <c r="AB318" s="91">
        <v>473</v>
      </c>
      <c r="AC318" s="94">
        <f>IF(Eingabe[[#This Row],[V1]]="",IF(Eingabe[[#This Row],[Volle alternativ]]="","",Eingabe[[#This Row],[Volle alternativ]]),SUM(Eingabe[[#This Row],[V1]:[V4]]))</f>
        <v>346</v>
      </c>
      <c r="AD318" s="6">
        <f>IF(Eingabe[[#This Row],[R1]]="",IF(Eingabe[[#This Row],[Räumer alternativ]]="","",Eingabe[[#This Row],[Räumer alternativ]]),SUM(Eingabe[[#This Row],[R1]:[R4]]))</f>
        <v>144</v>
      </c>
      <c r="AE318" s="6">
        <f>IF(Eingabe[[#This Row],[F1]]="",IF(Eingabe[[#This Row],[Fehler alternativ]]="","",Eingabe[[#This Row],[Fehler alternativ]]),SUM(Eingabe[[#This Row],[F1]:[F4]]))</f>
        <v>10</v>
      </c>
      <c r="AF318" s="6">
        <f>IF(Eingabe[[#This Row],[Volle]]="","",IF(Eingabe[[#This Row],[S1]]="",Eingabe[[#This Row],[Volle]]+Eingabe[[#This Row],[Räumer]],IF(Eingabe[[#This Row],[Volle]]+Eingabe[[#This Row],[Räumer]]=Eingabe[[#This Row],[S1]]+Eingabe[[#This Row],[S2]]+Eingabe[[#This Row],[S3]]+Eingabe[[#This Row],[S4]],Eingabe[[#This Row],[Volle]]+Eingabe[[#This Row],[Räumer]],"FEHLER")))</f>
        <v>490</v>
      </c>
      <c r="AG318" s="6">
        <f>IF(Eingabe[[#This Row],[V1]]="","",Eingabe[[#This Row],[V1]]+Eingabe[[#This Row],[R1]])</f>
        <v>125</v>
      </c>
      <c r="AH318" s="6">
        <f>IF(Eingabe[[#This Row],[V2]]="","",Eingabe[[#This Row],[V2]]+Eingabe[[#This Row],[R2]])</f>
        <v>132</v>
      </c>
      <c r="AI318" s="6">
        <f>IF(Eingabe[[#This Row],[V3]]="","",Eingabe[[#This Row],[V3]]+Eingabe[[#This Row],[R3]])</f>
        <v>122</v>
      </c>
      <c r="AJ318" s="6">
        <f>IF(Eingabe[[#This Row],[V4]]="","",Eingabe[[#This Row],[V4]]+Eingabe[[#This Row],[R4]])</f>
        <v>111</v>
      </c>
      <c r="AK318" s="6">
        <f>IF(Eingabe[[#This Row],[S1P]]="","",Eingabe[[#This Row],[S1P]]+Eingabe[[#This Row],[S2P]]+Eingabe[[#This Row],[S3P]]+Eingabe[[#This Row],[S4P]])</f>
        <v>2.5</v>
      </c>
      <c r="AL318" s="6">
        <f>IF(Eingabe[[#This Row],[S1P]]="","",IF(Eingabe[[#This Row],[SP]]&gt;2,1,IF(Eingabe[[#This Row],[SP]]&lt;2,0,IF(Eingabe[[#This Row],[GES]]&gt;Eingabe[[#This Row],[GEGGES]],1,IF(Eingabe[[#This Row],[GES]]=Eingabe[[#This Row],[GEGGES]],0.5,0)))))</f>
        <v>1</v>
      </c>
      <c r="AM318" s="6">
        <f>IF(Eingabe[[#This Row],[MP]]="","",MOD(ROW(Eingabe[[#This Row],[Position]])-3,6)+1)</f>
        <v>4</v>
      </c>
      <c r="AN318" s="6">
        <f>STANDARDIZE(Eingabe[[#This Row],[GES]],Eingabe[[#This Row],[Schnitt]],VLOOKUP(Eingabe[[#This Row],[Name]],AuswertungG[],21,FALSE))</f>
        <v>-1.368421052631579</v>
      </c>
      <c r="AO318" s="6">
        <f>VLOOKUP(Eingabe[[#This Row],[ID]],Chronologie[[ID]:[KW]],12,FALSE)</f>
        <v>21</v>
      </c>
      <c r="AP318" s="95" t="str">
        <f>IF(Eingabe[[#This Row],[Wo]]="H",Eingabe[[#This Row],[Gegner]]&amp;" ["&amp;Eingabe[[#This Row],[Wo]]&amp;"]",Eingabe[[#This Row],[Ort]])</f>
        <v>Stangendorf</v>
      </c>
      <c r="AQ318" s="6" t="str">
        <f>IFERROR(IF(Eingabe[[#This Row],[Wo]]="H",IF(MOD(Eingabe[[#This Row],[Position]],2)=1,Eingabe[[#This Row],[S1]],Eingabe[[#This Row],[S4]]),""),"")</f>
        <v/>
      </c>
      <c r="AR318" s="6" t="str">
        <f>IFERROR(IF(Eingabe[[#This Row],[Wo]]="H",IF(Eingabe[[#This Row],[S1]]&gt;0,IF(MOD(Eingabe[[#This Row],[Position]],2)=1,Eingabe[[#This Row],[S2]],Eingabe[[#This Row],[S3]]),""),""),"")</f>
        <v/>
      </c>
      <c r="AS318" s="6" t="str">
        <f>IFERROR(IF(Eingabe[[#This Row],[Wo]]="H",IF(Eingabe[[#This Row],[S1]]&gt;0,IF(MOD(ROW(Eingabe[[#This Row],[Heimbahn 3]]),2)=1,Eingabe[[#This Row],[S4]],Eingabe[[#This Row],[S1]]),""),""),"")</f>
        <v/>
      </c>
      <c r="AT318" s="6" t="str">
        <f>IFERROR(IF(Eingabe[[#This Row],[Wo]]="H",IF(Eingabe[[#This Row],[S1]]&gt;0,IF(MOD(ROW(Eingabe[[#This Row],[Heimbahn 4]]),2)=1,Eingabe[[#This Row],[S3]],Eingabe[[#This Row],[S2]]),""),""),"")</f>
        <v/>
      </c>
      <c r="AU318" s="22">
        <f>IF(Eingabe[[#This Row],[GES]]="","",IF(Eingabe[[#This Row],[Modus]]="L",_xlfn.RANK.EQ(Eingabe[[#This Row],[GES]],AF315:AF320),IF(Eingabe[[#This Row],[Modus]]="P",_xlfn.RANK.EQ(Eingabe[[#This Row],[GES]],AF315:AF320),"")))</f>
        <v>5</v>
      </c>
      <c r="AV318" s="6">
        <f>VLOOKUP(Eingabe[[#This Row],[Name]],AuswertungG[],8,FALSE)</f>
        <v>516</v>
      </c>
      <c r="AZ318" s="6">
        <f>IFERROR(ABS(Eingabe[[#This Row],[GES]]-Eingabe[[#This Row],[GEGGES]]),"")</f>
        <v>17</v>
      </c>
    </row>
    <row r="319" spans="1:52" ht="16.2" hidden="1" thickBot="1" x14ac:dyDescent="0.35">
      <c r="A319" s="441"/>
      <c r="B319" s="21">
        <f t="shared" si="42"/>
        <v>53</v>
      </c>
      <c r="C319" s="6" t="str">
        <f>VLOOKUP($B319,Chronologie[],7,TRUE)</f>
        <v>SG Motor Thurm</v>
      </c>
      <c r="D319" s="6" t="str">
        <f>VLOOKUP($B319,Chronologie[],8,TRUE)</f>
        <v>Stangendorf</v>
      </c>
      <c r="E319" s="240" t="str">
        <f>VLOOKUP($B319,Chronologie[],9,TRUE)</f>
        <v>A</v>
      </c>
      <c r="F319" s="6" t="str">
        <f>VLOOKUP($B319,Chronologie[],COLUMN(F320)-2,TRUE)</f>
        <v>Z</v>
      </c>
      <c r="G319" s="6" t="str">
        <f>VLOOKUP($B319,Chronologie[],COLUMN(G320)-2,TRUE)</f>
        <v>L</v>
      </c>
      <c r="H319" s="6">
        <f>VLOOKUP($B319,Chronologie[],COLUMN(H320)-2,TRUE)</f>
        <v>9</v>
      </c>
      <c r="I319" s="10" t="str">
        <f>VLOOKUP($B319,Chronologie[],2,TRUE)</f>
        <v>Z-L-9</v>
      </c>
      <c r="J319" s="243">
        <f>VLOOKUP($B319,Chronologie[],3,TRUE)</f>
        <v>46040</v>
      </c>
      <c r="K319" s="237" t="s">
        <v>12</v>
      </c>
      <c r="L319" s="237">
        <v>104</v>
      </c>
      <c r="M319" s="237">
        <v>86</v>
      </c>
      <c r="N319" s="237">
        <v>92</v>
      </c>
      <c r="O319" s="237">
        <v>88</v>
      </c>
      <c r="P319" s="237">
        <v>53</v>
      </c>
      <c r="Q319" s="237">
        <v>34</v>
      </c>
      <c r="R319" s="237">
        <v>31</v>
      </c>
      <c r="S319" s="237">
        <v>44</v>
      </c>
      <c r="T319" s="237">
        <v>0</v>
      </c>
      <c r="U319" s="237">
        <v>5</v>
      </c>
      <c r="V319" s="237">
        <v>2</v>
      </c>
      <c r="W319" s="237">
        <v>3</v>
      </c>
      <c r="X319" s="38">
        <v>1</v>
      </c>
      <c r="Y319" s="38">
        <v>1</v>
      </c>
      <c r="Z319" s="38">
        <v>0</v>
      </c>
      <c r="AA319" s="38">
        <v>0.5</v>
      </c>
      <c r="AB319" s="91">
        <v>509</v>
      </c>
      <c r="AC319" s="94">
        <f>IF(Eingabe[[#This Row],[V1]]="",IF(Eingabe[[#This Row],[Volle alternativ]]="","",Eingabe[[#This Row],[Volle alternativ]]),SUM(Eingabe[[#This Row],[V1]:[V4]]))</f>
        <v>370</v>
      </c>
      <c r="AD319" s="6">
        <f>IF(Eingabe[[#This Row],[R1]]="",IF(Eingabe[[#This Row],[Räumer alternativ]]="","",Eingabe[[#This Row],[Räumer alternativ]]),SUM(Eingabe[[#This Row],[R1]:[R4]]))</f>
        <v>162</v>
      </c>
      <c r="AE319" s="6">
        <f>IF(Eingabe[[#This Row],[F1]]="",IF(Eingabe[[#This Row],[Fehler alternativ]]="","",Eingabe[[#This Row],[Fehler alternativ]]),SUM(Eingabe[[#This Row],[F1]:[F4]]))</f>
        <v>10</v>
      </c>
      <c r="AF319" s="6">
        <f>IF(Eingabe[[#This Row],[Volle]]="","",IF(Eingabe[[#This Row],[S1]]="",Eingabe[[#This Row],[Volle]]+Eingabe[[#This Row],[Räumer]],IF(Eingabe[[#This Row],[Volle]]+Eingabe[[#This Row],[Räumer]]=Eingabe[[#This Row],[S1]]+Eingabe[[#This Row],[S2]]+Eingabe[[#This Row],[S3]]+Eingabe[[#This Row],[S4]],Eingabe[[#This Row],[Volle]]+Eingabe[[#This Row],[Räumer]],"FEHLER")))</f>
        <v>532</v>
      </c>
      <c r="AG319" s="6">
        <f>IF(Eingabe[[#This Row],[V1]]="","",Eingabe[[#This Row],[V1]]+Eingabe[[#This Row],[R1]])</f>
        <v>157</v>
      </c>
      <c r="AH319" s="6">
        <f>IF(Eingabe[[#This Row],[V2]]="","",Eingabe[[#This Row],[V2]]+Eingabe[[#This Row],[R2]])</f>
        <v>120</v>
      </c>
      <c r="AI319" s="6">
        <f>IF(Eingabe[[#This Row],[V3]]="","",Eingabe[[#This Row],[V3]]+Eingabe[[#This Row],[R3]])</f>
        <v>123</v>
      </c>
      <c r="AJ319" s="6">
        <f>IF(Eingabe[[#This Row],[V4]]="","",Eingabe[[#This Row],[V4]]+Eingabe[[#This Row],[R4]])</f>
        <v>132</v>
      </c>
      <c r="AK319" s="6">
        <f>IF(Eingabe[[#This Row],[S1P]]="","",Eingabe[[#This Row],[S1P]]+Eingabe[[#This Row],[S2P]]+Eingabe[[#This Row],[S3P]]+Eingabe[[#This Row],[S4P]])</f>
        <v>2.5</v>
      </c>
      <c r="AL319" s="6">
        <f>IF(Eingabe[[#This Row],[S1P]]="","",IF(Eingabe[[#This Row],[SP]]&gt;2,1,IF(Eingabe[[#This Row],[SP]]&lt;2,0,IF(Eingabe[[#This Row],[GES]]&gt;Eingabe[[#This Row],[GEGGES]],1,IF(Eingabe[[#This Row],[GES]]=Eingabe[[#This Row],[GEGGES]],0.5,0)))))</f>
        <v>1</v>
      </c>
      <c r="AM319" s="6">
        <f>IF(Eingabe[[#This Row],[MP]]="","",MOD(ROW(Eingabe[[#This Row],[Position]])-3,6)+1)</f>
        <v>5</v>
      </c>
      <c r="AN319" s="6">
        <f>STANDARDIZE(Eingabe[[#This Row],[GES]],Eingabe[[#This Row],[Schnitt]],VLOOKUP(Eingabe[[#This Row],[Name]],AuswertungG[],21,FALSE))</f>
        <v>0</v>
      </c>
      <c r="AO319" s="6">
        <f>VLOOKUP(Eingabe[[#This Row],[ID]],Chronologie[[ID]:[KW]],12,FALSE)</f>
        <v>21</v>
      </c>
      <c r="AP319" s="95" t="str">
        <f>IF(Eingabe[[#This Row],[Wo]]="H",Eingabe[[#This Row],[Gegner]]&amp;" ["&amp;Eingabe[[#This Row],[Wo]]&amp;"]",Eingabe[[#This Row],[Ort]])</f>
        <v>Stangendorf</v>
      </c>
      <c r="AQ319" s="6" t="str">
        <f>IFERROR(IF(Eingabe[[#This Row],[Wo]]="H",IF(MOD(Eingabe[[#This Row],[Position]],2)=1,Eingabe[[#This Row],[S1]],Eingabe[[#This Row],[S4]]),""),"")</f>
        <v/>
      </c>
      <c r="AR319" s="6" t="str">
        <f>IFERROR(IF(Eingabe[[#This Row],[Wo]]="H",IF(Eingabe[[#This Row],[S1]]&gt;0,IF(MOD(Eingabe[[#This Row],[Position]],2)=1,Eingabe[[#This Row],[S2]],Eingabe[[#This Row],[S3]]),""),""),"")</f>
        <v/>
      </c>
      <c r="AS319" s="6" t="str">
        <f>IFERROR(IF(Eingabe[[#This Row],[Wo]]="H",IF(Eingabe[[#This Row],[S1]]&gt;0,IF(MOD(ROW(Eingabe[[#This Row],[Heimbahn 3]]),2)=1,Eingabe[[#This Row],[S4]],Eingabe[[#This Row],[S1]]),""),""),"")</f>
        <v/>
      </c>
      <c r="AT319" s="6" t="str">
        <f>IFERROR(IF(Eingabe[[#This Row],[Wo]]="H",IF(Eingabe[[#This Row],[S1]]&gt;0,IF(MOD(ROW(Eingabe[[#This Row],[Heimbahn 4]]),2)=1,Eingabe[[#This Row],[S3]],Eingabe[[#This Row],[S2]]),""),""),"")</f>
        <v/>
      </c>
      <c r="AU319" s="22">
        <f>IF(Eingabe[[#This Row],[GES]]="","",IF(Eingabe[[#This Row],[Modus]]="L",_xlfn.RANK.EQ(Eingabe[[#This Row],[GES]],AF315:AF320),IF(Eingabe[[#This Row],[Modus]]="P",_xlfn.RANK.EQ(Eingabe[[#This Row],[GES]],AF315:AF320),"")))</f>
        <v>1</v>
      </c>
      <c r="AV319" s="6">
        <f>VLOOKUP(Eingabe[[#This Row],[Name]],AuswertungG[],8,FALSE)</f>
        <v>532</v>
      </c>
      <c r="AZ319" s="6">
        <f>IFERROR(ABS(Eingabe[[#This Row],[GES]]-Eingabe[[#This Row],[GEGGES]]),"")</f>
        <v>23</v>
      </c>
    </row>
    <row r="320" spans="1:52" ht="16.2" hidden="1" thickBot="1" x14ac:dyDescent="0.35">
      <c r="A320" s="442"/>
      <c r="B320" s="56">
        <f t="shared" si="42"/>
        <v>53</v>
      </c>
      <c r="C320" s="23" t="str">
        <f>VLOOKUP($B320,Chronologie[],7,TRUE)</f>
        <v>SG Motor Thurm</v>
      </c>
      <c r="D320" s="23" t="str">
        <f>VLOOKUP($B320,Chronologie[],8,TRUE)</f>
        <v>Stangendorf</v>
      </c>
      <c r="E320" s="39" t="str">
        <f>VLOOKUP($B320,Chronologie[],9,TRUE)</f>
        <v>A</v>
      </c>
      <c r="F320" s="23" t="str">
        <f>VLOOKUP($B320,Chronologie[],COLUMN(F321)-2,TRUE)</f>
        <v>Z</v>
      </c>
      <c r="G320" s="23" t="str">
        <f>VLOOKUP($B320,Chronologie[],COLUMN(G321)-2,TRUE)</f>
        <v>L</v>
      </c>
      <c r="H320" s="23">
        <f>VLOOKUP($B320,Chronologie[],COLUMN(H321)-2,TRUE)</f>
        <v>9</v>
      </c>
      <c r="I320" s="13" t="str">
        <f>VLOOKUP($B320,Chronologie[],2,TRUE)</f>
        <v>Z-L-9</v>
      </c>
      <c r="J320" s="244">
        <f>VLOOKUP($B320,Chronologie[],3,TRUE)</f>
        <v>46040</v>
      </c>
      <c r="K320" s="239" t="s">
        <v>478</v>
      </c>
      <c r="L320" s="239">
        <v>91</v>
      </c>
      <c r="M320" s="239">
        <v>90</v>
      </c>
      <c r="N320" s="239">
        <v>85</v>
      </c>
      <c r="O320" s="239">
        <v>88</v>
      </c>
      <c r="P320" s="239">
        <v>34</v>
      </c>
      <c r="Q320" s="239">
        <v>34</v>
      </c>
      <c r="R320" s="239">
        <v>44</v>
      </c>
      <c r="S320" s="239">
        <v>42</v>
      </c>
      <c r="T320" s="239">
        <v>4</v>
      </c>
      <c r="U320" s="239">
        <v>1</v>
      </c>
      <c r="V320" s="239">
        <v>1</v>
      </c>
      <c r="W320" s="239">
        <v>2</v>
      </c>
      <c r="X320" s="40">
        <v>1</v>
      </c>
      <c r="Y320" s="40">
        <v>1</v>
      </c>
      <c r="Z320" s="40">
        <v>0</v>
      </c>
      <c r="AA320" s="40">
        <v>0</v>
      </c>
      <c r="AB320" s="92">
        <v>513</v>
      </c>
      <c r="AC320" s="96">
        <f>IF(Eingabe[[#This Row],[V1]]="",IF(Eingabe[[#This Row],[Volle alternativ]]="","",Eingabe[[#This Row],[Volle alternativ]]),SUM(Eingabe[[#This Row],[V1]:[V4]]))</f>
        <v>354</v>
      </c>
      <c r="AD320" s="23">
        <f>IF(Eingabe[[#This Row],[R1]]="",IF(Eingabe[[#This Row],[Räumer alternativ]]="","",Eingabe[[#This Row],[Räumer alternativ]]),SUM(Eingabe[[#This Row],[R1]:[R4]]))</f>
        <v>154</v>
      </c>
      <c r="AE320" s="23">
        <f>IF(Eingabe[[#This Row],[F1]]="",IF(Eingabe[[#This Row],[Fehler alternativ]]="","",Eingabe[[#This Row],[Fehler alternativ]]),SUM(Eingabe[[#This Row],[F1]:[F4]]))</f>
        <v>8</v>
      </c>
      <c r="AF320" s="23">
        <f>IF(Eingabe[[#This Row],[Volle]]="","",IF(Eingabe[[#This Row],[S1]]="",Eingabe[[#This Row],[Volle]]+Eingabe[[#This Row],[Räumer]],IF(Eingabe[[#This Row],[Volle]]+Eingabe[[#This Row],[Räumer]]=Eingabe[[#This Row],[S1]]+Eingabe[[#This Row],[S2]]+Eingabe[[#This Row],[S3]]+Eingabe[[#This Row],[S4]],Eingabe[[#This Row],[Volle]]+Eingabe[[#This Row],[Räumer]],"FEHLER")))</f>
        <v>508</v>
      </c>
      <c r="AG320" s="23">
        <f>IF(Eingabe[[#This Row],[V1]]="","",Eingabe[[#This Row],[V1]]+Eingabe[[#This Row],[R1]])</f>
        <v>125</v>
      </c>
      <c r="AH320" s="23">
        <f>IF(Eingabe[[#This Row],[V2]]="","",Eingabe[[#This Row],[V2]]+Eingabe[[#This Row],[R2]])</f>
        <v>124</v>
      </c>
      <c r="AI320" s="23">
        <f>IF(Eingabe[[#This Row],[V3]]="","",Eingabe[[#This Row],[V3]]+Eingabe[[#This Row],[R3]])</f>
        <v>129</v>
      </c>
      <c r="AJ320" s="23">
        <f>IF(Eingabe[[#This Row],[V4]]="","",Eingabe[[#This Row],[V4]]+Eingabe[[#This Row],[R4]])</f>
        <v>130</v>
      </c>
      <c r="AK320" s="23">
        <f>IF(Eingabe[[#This Row],[S1P]]="","",Eingabe[[#This Row],[S1P]]+Eingabe[[#This Row],[S2P]]+Eingabe[[#This Row],[S3P]]+Eingabe[[#This Row],[S4P]])</f>
        <v>2</v>
      </c>
      <c r="AL320" s="23">
        <f>IF(Eingabe[[#This Row],[S1P]]="","",IF(Eingabe[[#This Row],[SP]]&gt;2,1,IF(Eingabe[[#This Row],[SP]]&lt;2,0,IF(Eingabe[[#This Row],[GES]]&gt;Eingabe[[#This Row],[GEGGES]],1,IF(Eingabe[[#This Row],[GES]]=Eingabe[[#This Row],[GEGGES]],0.5,0)))))</f>
        <v>0</v>
      </c>
      <c r="AM320" s="23">
        <f>IF(Eingabe[[#This Row],[MP]]="","",MOD(ROW(Eingabe[[#This Row],[Position]])-3,6)+1)</f>
        <v>6</v>
      </c>
      <c r="AN320" s="23">
        <f>STANDARDIZE(Eingabe[[#This Row],[GES]],Eingabe[[#This Row],[Schnitt]],VLOOKUP(Eingabe[[#This Row],[Name]],AuswertungG[],21,FALSE))</f>
        <v>-1</v>
      </c>
      <c r="AO320" s="23">
        <f>VLOOKUP(Eingabe[[#This Row],[ID]],Chronologie[[ID]:[KW]],12,FALSE)</f>
        <v>21</v>
      </c>
      <c r="AP320" s="59" t="str">
        <f>IF(Eingabe[[#This Row],[Wo]]="H",Eingabe[[#This Row],[Gegner]]&amp;" ["&amp;Eingabe[[#This Row],[Wo]]&amp;"]",Eingabe[[#This Row],[Ort]])</f>
        <v>Stangendorf</v>
      </c>
      <c r="AQ320" s="23" t="str">
        <f>IFERROR(IF(Eingabe[[#This Row],[Wo]]="H",IF(MOD(Eingabe[[#This Row],[Position]],2)=1,Eingabe[[#This Row],[S1]],Eingabe[[#This Row],[S4]]),""),"")</f>
        <v/>
      </c>
      <c r="AR320" s="23" t="str">
        <f>IFERROR(IF(Eingabe[[#This Row],[Wo]]="H",IF(Eingabe[[#This Row],[S1]]&gt;0,IF(MOD(Eingabe[[#This Row],[Position]],2)=1,Eingabe[[#This Row],[S2]],Eingabe[[#This Row],[S3]]),""),""),"")</f>
        <v/>
      </c>
      <c r="AS320" s="23" t="str">
        <f>IFERROR(IF(Eingabe[[#This Row],[Wo]]="H",IF(Eingabe[[#This Row],[S1]]&gt;0,IF(MOD(ROW(Eingabe[[#This Row],[Heimbahn 3]]),2)=1,Eingabe[[#This Row],[S4]],Eingabe[[#This Row],[S1]]),""),""),"")</f>
        <v/>
      </c>
      <c r="AT320" s="23" t="str">
        <f>IFERROR(IF(Eingabe[[#This Row],[Wo]]="H",IF(Eingabe[[#This Row],[S1]]&gt;0,IF(MOD(ROW(Eingabe[[#This Row],[Heimbahn 4]]),2)=1,Eingabe[[#This Row],[S3]],Eingabe[[#This Row],[S2]]),""),""),"")</f>
        <v/>
      </c>
      <c r="AU320" s="89">
        <f>IF(Eingabe[[#This Row],[GES]]="","",IF(Eingabe[[#This Row],[Modus]]="L",_xlfn.RANK.EQ(Eingabe[[#This Row],[GES]],AF315:AF320),IF(Eingabe[[#This Row],[Modus]]="P",_xlfn.RANK.EQ(Eingabe[[#This Row],[GES]],AF315:AF320),"")))</f>
        <v>3</v>
      </c>
      <c r="AV320" s="6">
        <f>VLOOKUP(Eingabe[[#This Row],[Name]],AuswertungG[],8,FALSE)</f>
        <v>528</v>
      </c>
      <c r="AZ320" s="6">
        <f>IFERROR(ABS(Eingabe[[#This Row],[GES]]-Eingabe[[#This Row],[GEGGES]]),"")</f>
        <v>5</v>
      </c>
    </row>
    <row r="321" spans="1:52" ht="16.2" hidden="1" thickBot="1" x14ac:dyDescent="0.35">
      <c r="A321" s="440">
        <f t="shared" si="43"/>
        <v>54</v>
      </c>
      <c r="B321" s="55">
        <f t="shared" si="42"/>
        <v>54</v>
      </c>
      <c r="C321" s="35" t="str">
        <f>VLOOKUP($B321,Chronologie[],7,TRUE)</f>
        <v>SKV 9-Pins Stollberg III</v>
      </c>
      <c r="D321" s="35" t="str">
        <f>VLOOKUP($B321,Chronologie[],8,TRUE)</f>
        <v>Hirschfeld</v>
      </c>
      <c r="E321" s="36" t="str">
        <f>VLOOKUP($B321,Chronologie[],9,TRUE)</f>
        <v>H</v>
      </c>
      <c r="F321" s="35" t="str">
        <f>VLOOKUP($B321,Chronologie[],COLUMN(F322)-2,TRUE)</f>
        <v>Z</v>
      </c>
      <c r="G321" s="35" t="str">
        <f>VLOOKUP($B321,Chronologie[],COLUMN(G322)-2,TRUE)</f>
        <v>L</v>
      </c>
      <c r="H321" s="35">
        <f>VLOOKUP($B321,Chronologie[],COLUMN(H322)-2,TRUE)</f>
        <v>10</v>
      </c>
      <c r="I321" s="9" t="str">
        <f>VLOOKUP($B321,Chronologie[],2,TRUE)</f>
        <v>Z-L-10</v>
      </c>
      <c r="J321" s="242">
        <f>VLOOKUP($B321,Chronologie[],3,TRUE)</f>
        <v>46047</v>
      </c>
      <c r="K321" s="236" t="s">
        <v>661</v>
      </c>
      <c r="L321" s="334">
        <v>88</v>
      </c>
      <c r="M321" s="334">
        <v>91</v>
      </c>
      <c r="N321" s="334">
        <v>91</v>
      </c>
      <c r="O321" s="334">
        <v>76</v>
      </c>
      <c r="P321" s="334">
        <v>45</v>
      </c>
      <c r="Q321" s="334">
        <v>35</v>
      </c>
      <c r="R321" s="334">
        <v>42</v>
      </c>
      <c r="S321" s="334">
        <v>45</v>
      </c>
      <c r="T321" s="334">
        <v>0</v>
      </c>
      <c r="U321" s="334">
        <v>4</v>
      </c>
      <c r="V321" s="334">
        <v>2</v>
      </c>
      <c r="W321" s="334">
        <v>2</v>
      </c>
      <c r="X321" s="37">
        <v>1</v>
      </c>
      <c r="Y321" s="37">
        <v>1</v>
      </c>
      <c r="Z321" s="37">
        <v>1</v>
      </c>
      <c r="AA321" s="37">
        <v>0</v>
      </c>
      <c r="AB321" s="90">
        <v>483</v>
      </c>
      <c r="AC321" s="93">
        <f>IF(Eingabe[[#This Row],[V1]]="",IF(Eingabe[[#This Row],[Volle alternativ]]="","",Eingabe[[#This Row],[Volle alternativ]]),SUM(Eingabe[[#This Row],[V1]:[V4]]))</f>
        <v>346</v>
      </c>
      <c r="AD321" s="35">
        <f>IF(Eingabe[[#This Row],[R1]]="",IF(Eingabe[[#This Row],[Räumer alternativ]]="","",Eingabe[[#This Row],[Räumer alternativ]]),SUM(Eingabe[[#This Row],[R1]:[R4]]))</f>
        <v>167</v>
      </c>
      <c r="AE321" s="35">
        <f>IF(Eingabe[[#This Row],[F1]]="",IF(Eingabe[[#This Row],[Fehler alternativ]]="","",Eingabe[[#This Row],[Fehler alternativ]]),SUM(Eingabe[[#This Row],[F1]:[F4]]))</f>
        <v>8</v>
      </c>
      <c r="AF321" s="35">
        <f>IF(Eingabe[[#This Row],[Volle]]="","",IF(Eingabe[[#This Row],[S1]]="",Eingabe[[#This Row],[Volle]]+Eingabe[[#This Row],[Räumer]],IF(Eingabe[[#This Row],[Volle]]+Eingabe[[#This Row],[Räumer]]=Eingabe[[#This Row],[S1]]+Eingabe[[#This Row],[S2]]+Eingabe[[#This Row],[S3]]+Eingabe[[#This Row],[S4]],Eingabe[[#This Row],[Volle]]+Eingabe[[#This Row],[Räumer]],"FEHLER")))</f>
        <v>513</v>
      </c>
      <c r="AG321" s="35">
        <f>IF(Eingabe[[#This Row],[V1]]="","",Eingabe[[#This Row],[V1]]+Eingabe[[#This Row],[R1]])</f>
        <v>133</v>
      </c>
      <c r="AH321" s="35">
        <f>IF(Eingabe[[#This Row],[V2]]="","",Eingabe[[#This Row],[V2]]+Eingabe[[#This Row],[R2]])</f>
        <v>126</v>
      </c>
      <c r="AI321" s="35">
        <f>IF(Eingabe[[#This Row],[V3]]="","",Eingabe[[#This Row],[V3]]+Eingabe[[#This Row],[R3]])</f>
        <v>133</v>
      </c>
      <c r="AJ321" s="35">
        <f>IF(Eingabe[[#This Row],[V4]]="","",Eingabe[[#This Row],[V4]]+Eingabe[[#This Row],[R4]])</f>
        <v>121</v>
      </c>
      <c r="AK321" s="35">
        <f>IF(Eingabe[[#This Row],[S1P]]="","",Eingabe[[#This Row],[S1P]]+Eingabe[[#This Row],[S2P]]+Eingabe[[#This Row],[S3P]]+Eingabe[[#This Row],[S4P]])</f>
        <v>3</v>
      </c>
      <c r="AL321" s="35">
        <f>IF(Eingabe[[#This Row],[S1P]]="","",IF(Eingabe[[#This Row],[SP]]&gt;2,1,IF(Eingabe[[#This Row],[SP]]&lt;2,0,IF(Eingabe[[#This Row],[GES]]&gt;Eingabe[[#This Row],[GEGGES]],1,IF(Eingabe[[#This Row],[GES]]=Eingabe[[#This Row],[GEGGES]],0.5,0)))))</f>
        <v>1</v>
      </c>
      <c r="AM321" s="35">
        <f>IF(Eingabe[[#This Row],[MP]]="","",MOD(ROW(Eingabe[[#This Row],[Position]])-3,6)+1)</f>
        <v>1</v>
      </c>
      <c r="AN321" s="35">
        <f>STANDARDIZE(Eingabe[[#This Row],[GES]],Eingabe[[#This Row],[Schnitt]],VLOOKUP(Eingabe[[#This Row],[Name]],AuswertungG[],21,FALSE))</f>
        <v>-0.33333333333333331</v>
      </c>
      <c r="AO321" s="35">
        <f>VLOOKUP(Eingabe[[#This Row],[ID]],Chronologie[[ID]:[KW]],12,FALSE)</f>
        <v>22</v>
      </c>
      <c r="AP321" s="58" t="str">
        <f>IF(Eingabe[[#This Row],[Wo]]="H",Eingabe[[#This Row],[Gegner]]&amp;" ["&amp;Eingabe[[#This Row],[Wo]]&amp;"]",Eingabe[[#This Row],[Ort]])</f>
        <v>SKV 9-Pins Stollberg III [H]</v>
      </c>
      <c r="AQ321" s="35">
        <f>IFERROR(IF(Eingabe[[#This Row],[Wo]]="H",IF(MOD(Eingabe[[#This Row],[Position]],2)=1,Eingabe[[#This Row],[S1]],Eingabe[[#This Row],[S4]]),""),"")</f>
        <v>133</v>
      </c>
      <c r="AR321" s="35">
        <f>IFERROR(IF(Eingabe[[#This Row],[Wo]]="H",IF(Eingabe[[#This Row],[S1]]&gt;0,IF(MOD(Eingabe[[#This Row],[Position]],2)=1,Eingabe[[#This Row],[S2]],Eingabe[[#This Row],[S3]]),""),""),"")</f>
        <v>126</v>
      </c>
      <c r="AS321" s="35">
        <f>IFERROR(IF(Eingabe[[#This Row],[Wo]]="H",IF(Eingabe[[#This Row],[S1]]&gt;0,IF(MOD(ROW(Eingabe[[#This Row],[Heimbahn 3]]),2)=1,Eingabe[[#This Row],[S4]],Eingabe[[#This Row],[S1]]),""),""),"")</f>
        <v>121</v>
      </c>
      <c r="AT321" s="35">
        <f>IFERROR(IF(Eingabe[[#This Row],[Wo]]="H",IF(Eingabe[[#This Row],[S1]]&gt;0,IF(MOD(ROW(Eingabe[[#This Row],[Heimbahn 4]]),2)=1,Eingabe[[#This Row],[S3]],Eingabe[[#This Row],[S2]]),""),""),"")</f>
        <v>133</v>
      </c>
      <c r="AU321" s="88">
        <f>IF(Eingabe[[#This Row],[GES]]="","",IF(Eingabe[[#This Row],[Modus]]="L",_xlfn.RANK.EQ(Eingabe[[#This Row],[GES]],AF321:AF326),IF(Eingabe[[#This Row],[Modus]]="P",_xlfn.RANK.EQ(Eingabe[[#This Row],[GES]],AF321:AF326),"")))</f>
        <v>6</v>
      </c>
      <c r="AV321" s="6">
        <f>VLOOKUP(Eingabe[[#This Row],[Name]],AuswertungG[],8,FALSE)</f>
        <v>522</v>
      </c>
      <c r="AZ321" s="6">
        <f>IFERROR(ABS(Eingabe[[#This Row],[GES]]-Eingabe[[#This Row],[GEGGES]]),"")</f>
        <v>30</v>
      </c>
    </row>
    <row r="322" spans="1:52" ht="16.2" hidden="1" thickBot="1" x14ac:dyDescent="0.35">
      <c r="A322" s="441"/>
      <c r="B322" s="21">
        <f t="shared" si="42"/>
        <v>54</v>
      </c>
      <c r="C322" s="6" t="str">
        <f>VLOOKUP($B322,Chronologie[],7,TRUE)</f>
        <v>SKV 9-Pins Stollberg III</v>
      </c>
      <c r="D322" s="6" t="str">
        <f>VLOOKUP($B322,Chronologie[],8,TRUE)</f>
        <v>Hirschfeld</v>
      </c>
      <c r="E322" s="240" t="str">
        <f>VLOOKUP($B322,Chronologie[],9,TRUE)</f>
        <v>H</v>
      </c>
      <c r="F322" s="6" t="str">
        <f>VLOOKUP($B322,Chronologie[],COLUMN(F323)-2,TRUE)</f>
        <v>Z</v>
      </c>
      <c r="G322" s="6" t="str">
        <f>VLOOKUP($B322,Chronologie[],COLUMN(G323)-2,TRUE)</f>
        <v>L</v>
      </c>
      <c r="H322" s="6">
        <f>VLOOKUP($B322,Chronologie[],COLUMN(H323)-2,TRUE)</f>
        <v>10</v>
      </c>
      <c r="I322" s="10" t="str">
        <f>VLOOKUP($B322,Chronologie[],2,TRUE)</f>
        <v>Z-L-10</v>
      </c>
      <c r="J322" s="243">
        <f>VLOOKUP($B322,Chronologie[],3,TRUE)</f>
        <v>46047</v>
      </c>
      <c r="K322" s="237" t="s">
        <v>689</v>
      </c>
      <c r="L322" s="237">
        <v>89</v>
      </c>
      <c r="M322" s="237">
        <v>86</v>
      </c>
      <c r="N322" s="237">
        <v>90</v>
      </c>
      <c r="O322" s="237">
        <v>89</v>
      </c>
      <c r="P322" s="237">
        <v>44</v>
      </c>
      <c r="Q322" s="237">
        <v>41</v>
      </c>
      <c r="R322" s="237">
        <v>45</v>
      </c>
      <c r="S322" s="237">
        <v>44</v>
      </c>
      <c r="T322" s="237">
        <v>0</v>
      </c>
      <c r="U322" s="237">
        <v>0</v>
      </c>
      <c r="V322" s="237">
        <v>1</v>
      </c>
      <c r="W322" s="237">
        <v>1</v>
      </c>
      <c r="X322" s="38">
        <v>1</v>
      </c>
      <c r="Y322" s="38">
        <v>0</v>
      </c>
      <c r="Z322" s="38">
        <v>1</v>
      </c>
      <c r="AA322" s="38">
        <v>1</v>
      </c>
      <c r="AB322" s="91">
        <v>498</v>
      </c>
      <c r="AC322" s="94">
        <f>IF(Eingabe[[#This Row],[V1]]="",IF(Eingabe[[#This Row],[Volle alternativ]]="","",Eingabe[[#This Row],[Volle alternativ]]),SUM(Eingabe[[#This Row],[V1]:[V4]]))</f>
        <v>354</v>
      </c>
      <c r="AD322" s="6">
        <f>IF(Eingabe[[#This Row],[R1]]="",IF(Eingabe[[#This Row],[Räumer alternativ]]="","",Eingabe[[#This Row],[Räumer alternativ]]),SUM(Eingabe[[#This Row],[R1]:[R4]]))</f>
        <v>174</v>
      </c>
      <c r="AE322" s="6">
        <f>IF(Eingabe[[#This Row],[F1]]="",IF(Eingabe[[#This Row],[Fehler alternativ]]="","",Eingabe[[#This Row],[Fehler alternativ]]),SUM(Eingabe[[#This Row],[F1]:[F4]]))</f>
        <v>2</v>
      </c>
      <c r="AF322" s="6">
        <f>IF(Eingabe[[#This Row],[Volle]]="","",IF(Eingabe[[#This Row],[S1]]="",Eingabe[[#This Row],[Volle]]+Eingabe[[#This Row],[Räumer]],IF(Eingabe[[#This Row],[Volle]]+Eingabe[[#This Row],[Räumer]]=Eingabe[[#This Row],[S1]]+Eingabe[[#This Row],[S2]]+Eingabe[[#This Row],[S3]]+Eingabe[[#This Row],[S4]],Eingabe[[#This Row],[Volle]]+Eingabe[[#This Row],[Räumer]],"FEHLER")))</f>
        <v>528</v>
      </c>
      <c r="AG322" s="6">
        <f>IF(Eingabe[[#This Row],[V1]]="","",Eingabe[[#This Row],[V1]]+Eingabe[[#This Row],[R1]])</f>
        <v>133</v>
      </c>
      <c r="AH322" s="6">
        <f>IF(Eingabe[[#This Row],[V2]]="","",Eingabe[[#This Row],[V2]]+Eingabe[[#This Row],[R2]])</f>
        <v>127</v>
      </c>
      <c r="AI322" s="6">
        <f>IF(Eingabe[[#This Row],[V3]]="","",Eingabe[[#This Row],[V3]]+Eingabe[[#This Row],[R3]])</f>
        <v>135</v>
      </c>
      <c r="AJ322" s="6">
        <f>IF(Eingabe[[#This Row],[V4]]="","",Eingabe[[#This Row],[V4]]+Eingabe[[#This Row],[R4]])</f>
        <v>133</v>
      </c>
      <c r="AK322" s="6">
        <f>IF(Eingabe[[#This Row],[S1P]]="","",Eingabe[[#This Row],[S1P]]+Eingabe[[#This Row],[S2P]]+Eingabe[[#This Row],[S3P]]+Eingabe[[#This Row],[S4P]])</f>
        <v>3</v>
      </c>
      <c r="AL322" s="6">
        <f>IF(Eingabe[[#This Row],[S1P]]="","",IF(Eingabe[[#This Row],[SP]]&gt;2,1,IF(Eingabe[[#This Row],[SP]]&lt;2,0,IF(Eingabe[[#This Row],[GES]]&gt;Eingabe[[#This Row],[GEGGES]],1,IF(Eingabe[[#This Row],[GES]]=Eingabe[[#This Row],[GEGGES]],0.5,0)))))</f>
        <v>1</v>
      </c>
      <c r="AM322" s="6">
        <f>IF(Eingabe[[#This Row],[MP]]="","",MOD(ROW(Eingabe[[#This Row],[Position]])-3,6)+1)</f>
        <v>2</v>
      </c>
      <c r="AN322" s="6">
        <f>STANDARDIZE(Eingabe[[#This Row],[GES]],Eingabe[[#This Row],[Schnitt]],VLOOKUP(Eingabe[[#This Row],[Name]],AuswertungG[],21,FALSE))</f>
        <v>0.10714285714285714</v>
      </c>
      <c r="AO322" s="6">
        <f>VLOOKUP(Eingabe[[#This Row],[ID]],Chronologie[[ID]:[KW]],12,FALSE)</f>
        <v>22</v>
      </c>
      <c r="AP322" s="95" t="str">
        <f>IF(Eingabe[[#This Row],[Wo]]="H",Eingabe[[#This Row],[Gegner]]&amp;" ["&amp;Eingabe[[#This Row],[Wo]]&amp;"]",Eingabe[[#This Row],[Ort]])</f>
        <v>SKV 9-Pins Stollberg III [H]</v>
      </c>
      <c r="AQ322" s="6">
        <f>IFERROR(IF(Eingabe[[#This Row],[Wo]]="H",IF(MOD(Eingabe[[#This Row],[Position]],2)=1,Eingabe[[#This Row],[S1]],Eingabe[[#This Row],[S4]]),""),"")</f>
        <v>133</v>
      </c>
      <c r="AR322" s="6">
        <f>IFERROR(IF(Eingabe[[#This Row],[Wo]]="H",IF(Eingabe[[#This Row],[S1]]&gt;0,IF(MOD(Eingabe[[#This Row],[Position]],2)=1,Eingabe[[#This Row],[S2]],Eingabe[[#This Row],[S3]]),""),""),"")</f>
        <v>135</v>
      </c>
      <c r="AS322" s="6">
        <f>IFERROR(IF(Eingabe[[#This Row],[Wo]]="H",IF(Eingabe[[#This Row],[S1]]&gt;0,IF(MOD(ROW(Eingabe[[#This Row],[Heimbahn 3]]),2)=1,Eingabe[[#This Row],[S4]],Eingabe[[#This Row],[S1]]),""),""),"")</f>
        <v>133</v>
      </c>
      <c r="AT322" s="6">
        <f>IFERROR(IF(Eingabe[[#This Row],[Wo]]="H",IF(Eingabe[[#This Row],[S1]]&gt;0,IF(MOD(ROW(Eingabe[[#This Row],[Heimbahn 4]]),2)=1,Eingabe[[#This Row],[S3]],Eingabe[[#This Row],[S2]]),""),""),"")</f>
        <v>127</v>
      </c>
      <c r="AU322" s="22">
        <f>IF(Eingabe[[#This Row],[GES]]="","",IF(Eingabe[[#This Row],[Modus]]="L",_xlfn.RANK.EQ(Eingabe[[#This Row],[GES]],AF321:AF326),IF(Eingabe[[#This Row],[Modus]]="P",_xlfn.RANK.EQ(Eingabe[[#This Row],[GES]],AF321:AF326),"")))</f>
        <v>4</v>
      </c>
      <c r="AV322" s="6">
        <f>VLOOKUP(Eingabe[[#This Row],[Name]],AuswertungG[],8,FALSE)</f>
        <v>525</v>
      </c>
      <c r="AZ322" s="6">
        <f>IFERROR(ABS(Eingabe[[#This Row],[GES]]-Eingabe[[#This Row],[GEGGES]]),"")</f>
        <v>30</v>
      </c>
    </row>
    <row r="323" spans="1:52" ht="16.2" hidden="1" thickBot="1" x14ac:dyDescent="0.35">
      <c r="A323" s="441"/>
      <c r="B323" s="21">
        <f t="shared" si="42"/>
        <v>54</v>
      </c>
      <c r="C323" s="6" t="str">
        <f>VLOOKUP($B323,Chronologie[],7,TRUE)</f>
        <v>SKV 9-Pins Stollberg III</v>
      </c>
      <c r="D323" s="6" t="str">
        <f>VLOOKUP($B323,Chronologie[],8,TRUE)</f>
        <v>Hirschfeld</v>
      </c>
      <c r="E323" s="240" t="str">
        <f>VLOOKUP($B323,Chronologie[],9,TRUE)</f>
        <v>H</v>
      </c>
      <c r="F323" s="6" t="str">
        <f>VLOOKUP($B323,Chronologie[],COLUMN(F324)-2,TRUE)</f>
        <v>Z</v>
      </c>
      <c r="G323" s="6" t="str">
        <f>VLOOKUP($B323,Chronologie[],COLUMN(G324)-2,TRUE)</f>
        <v>L</v>
      </c>
      <c r="H323" s="6">
        <f>VLOOKUP($B323,Chronologie[],COLUMN(H324)-2,TRUE)</f>
        <v>10</v>
      </c>
      <c r="I323" s="10" t="str">
        <f>VLOOKUP($B323,Chronologie[],2,TRUE)</f>
        <v>Z-L-10</v>
      </c>
      <c r="J323" s="243">
        <f>VLOOKUP($B323,Chronologie[],3,TRUE)</f>
        <v>46047</v>
      </c>
      <c r="K323" s="237" t="s">
        <v>465</v>
      </c>
      <c r="L323" s="237">
        <v>96</v>
      </c>
      <c r="M323" s="237">
        <v>100</v>
      </c>
      <c r="N323" s="237">
        <v>84</v>
      </c>
      <c r="O323" s="237">
        <v>84</v>
      </c>
      <c r="P323" s="237">
        <v>34</v>
      </c>
      <c r="Q323" s="237">
        <v>44</v>
      </c>
      <c r="R323" s="237">
        <v>42</v>
      </c>
      <c r="S323" s="237">
        <v>36</v>
      </c>
      <c r="T323" s="237">
        <v>4</v>
      </c>
      <c r="U323" s="237">
        <v>1</v>
      </c>
      <c r="V323" s="237">
        <v>0</v>
      </c>
      <c r="W323" s="237">
        <v>2</v>
      </c>
      <c r="X323" s="38">
        <v>0</v>
      </c>
      <c r="Y323" s="38">
        <v>1</v>
      </c>
      <c r="Z323" s="38">
        <v>0</v>
      </c>
      <c r="AA323" s="38">
        <v>0</v>
      </c>
      <c r="AB323" s="91">
        <v>552</v>
      </c>
      <c r="AC323" s="94">
        <f>IF(Eingabe[[#This Row],[V1]]="",IF(Eingabe[[#This Row],[Volle alternativ]]="","",Eingabe[[#This Row],[Volle alternativ]]),SUM(Eingabe[[#This Row],[V1]:[V4]]))</f>
        <v>364</v>
      </c>
      <c r="AD323" s="6">
        <f>IF(Eingabe[[#This Row],[R1]]="",IF(Eingabe[[#This Row],[Räumer alternativ]]="","",Eingabe[[#This Row],[Räumer alternativ]]),SUM(Eingabe[[#This Row],[R1]:[R4]]))</f>
        <v>156</v>
      </c>
      <c r="AE323" s="6">
        <f>IF(Eingabe[[#This Row],[F1]]="",IF(Eingabe[[#This Row],[Fehler alternativ]]="","",Eingabe[[#This Row],[Fehler alternativ]]),SUM(Eingabe[[#This Row],[F1]:[F4]]))</f>
        <v>7</v>
      </c>
      <c r="AF323" s="6">
        <f>IF(Eingabe[[#This Row],[Volle]]="","",IF(Eingabe[[#This Row],[S1]]="",Eingabe[[#This Row],[Volle]]+Eingabe[[#This Row],[Räumer]],IF(Eingabe[[#This Row],[Volle]]+Eingabe[[#This Row],[Räumer]]=Eingabe[[#This Row],[S1]]+Eingabe[[#This Row],[S2]]+Eingabe[[#This Row],[S3]]+Eingabe[[#This Row],[S4]],Eingabe[[#This Row],[Volle]]+Eingabe[[#This Row],[Räumer]],"FEHLER")))</f>
        <v>520</v>
      </c>
      <c r="AG323" s="6">
        <f>IF(Eingabe[[#This Row],[V1]]="","",Eingabe[[#This Row],[V1]]+Eingabe[[#This Row],[R1]])</f>
        <v>130</v>
      </c>
      <c r="AH323" s="6">
        <f>IF(Eingabe[[#This Row],[V2]]="","",Eingabe[[#This Row],[V2]]+Eingabe[[#This Row],[R2]])</f>
        <v>144</v>
      </c>
      <c r="AI323" s="6">
        <f>IF(Eingabe[[#This Row],[V3]]="","",Eingabe[[#This Row],[V3]]+Eingabe[[#This Row],[R3]])</f>
        <v>126</v>
      </c>
      <c r="AJ323" s="6">
        <f>IF(Eingabe[[#This Row],[V4]]="","",Eingabe[[#This Row],[V4]]+Eingabe[[#This Row],[R4]])</f>
        <v>120</v>
      </c>
      <c r="AK323" s="6">
        <f>IF(Eingabe[[#This Row],[S1P]]="","",Eingabe[[#This Row],[S1P]]+Eingabe[[#This Row],[S2P]]+Eingabe[[#This Row],[S3P]]+Eingabe[[#This Row],[S4P]])</f>
        <v>1</v>
      </c>
      <c r="AL323" s="6">
        <f>IF(Eingabe[[#This Row],[S1P]]="","",IF(Eingabe[[#This Row],[SP]]&gt;2,1,IF(Eingabe[[#This Row],[SP]]&lt;2,0,IF(Eingabe[[#This Row],[GES]]&gt;Eingabe[[#This Row],[GEGGES]],1,IF(Eingabe[[#This Row],[GES]]=Eingabe[[#This Row],[GEGGES]],0.5,0)))))</f>
        <v>0</v>
      </c>
      <c r="AM323" s="6">
        <f>IF(Eingabe[[#This Row],[MP]]="","",MOD(ROW(Eingabe[[#This Row],[Position]])-3,6)+1)</f>
        <v>3</v>
      </c>
      <c r="AN323" s="6">
        <f>STANDARDIZE(Eingabe[[#This Row],[GES]],Eingabe[[#This Row],[Schnitt]],VLOOKUP(Eingabe[[#This Row],[Name]],AuswertungG[],21,FALSE))</f>
        <v>-0.2608695652173913</v>
      </c>
      <c r="AO323" s="6">
        <f>VLOOKUP(Eingabe[[#This Row],[ID]],Chronologie[[ID]:[KW]],12,FALSE)</f>
        <v>22</v>
      </c>
      <c r="AP323" s="95" t="str">
        <f>IF(Eingabe[[#This Row],[Wo]]="H",Eingabe[[#This Row],[Gegner]]&amp;" ["&amp;Eingabe[[#This Row],[Wo]]&amp;"]",Eingabe[[#This Row],[Ort]])</f>
        <v>SKV 9-Pins Stollberg III [H]</v>
      </c>
      <c r="AQ323" s="6">
        <f>IFERROR(IF(Eingabe[[#This Row],[Wo]]="H",IF(MOD(Eingabe[[#This Row],[Position]],2)=1,Eingabe[[#This Row],[S1]],Eingabe[[#This Row],[S4]]),""),"")</f>
        <v>130</v>
      </c>
      <c r="AR323" s="6">
        <f>IFERROR(IF(Eingabe[[#This Row],[Wo]]="H",IF(Eingabe[[#This Row],[S1]]&gt;0,IF(MOD(Eingabe[[#This Row],[Position]],2)=1,Eingabe[[#This Row],[S2]],Eingabe[[#This Row],[S3]]),""),""),"")</f>
        <v>144</v>
      </c>
      <c r="AS323" s="6">
        <f>IFERROR(IF(Eingabe[[#This Row],[Wo]]="H",IF(Eingabe[[#This Row],[S1]]&gt;0,IF(MOD(ROW(Eingabe[[#This Row],[Heimbahn 3]]),2)=1,Eingabe[[#This Row],[S4]],Eingabe[[#This Row],[S1]]),""),""),"")</f>
        <v>120</v>
      </c>
      <c r="AT323" s="6">
        <f>IFERROR(IF(Eingabe[[#This Row],[Wo]]="H",IF(Eingabe[[#This Row],[S1]]&gt;0,IF(MOD(ROW(Eingabe[[#This Row],[Heimbahn 4]]),2)=1,Eingabe[[#This Row],[S3]],Eingabe[[#This Row],[S2]]),""),""),"")</f>
        <v>126</v>
      </c>
      <c r="AU323" s="22">
        <f>IF(Eingabe[[#This Row],[GES]]="","",IF(Eingabe[[#This Row],[Modus]]="L",_xlfn.RANK.EQ(Eingabe[[#This Row],[GES]],AF321:AF326),IF(Eingabe[[#This Row],[Modus]]="P",_xlfn.RANK.EQ(Eingabe[[#This Row],[GES]],AF321:AF326),"")))</f>
        <v>5</v>
      </c>
      <c r="AV323" s="6">
        <f>VLOOKUP(Eingabe[[#This Row],[Name]],AuswertungG[],8,FALSE)</f>
        <v>526</v>
      </c>
      <c r="AZ323" s="6">
        <f>IFERROR(ABS(Eingabe[[#This Row],[GES]]-Eingabe[[#This Row],[GEGGES]]),"")</f>
        <v>32</v>
      </c>
    </row>
    <row r="324" spans="1:52" ht="16.2" hidden="1" thickBot="1" x14ac:dyDescent="0.35">
      <c r="A324" s="441"/>
      <c r="B324" s="21">
        <f t="shared" ref="B324:B387" si="44">ROUNDUP((ROW(B324)-2)/6,0)</f>
        <v>54</v>
      </c>
      <c r="C324" s="6" t="str">
        <f>VLOOKUP($B324,Chronologie[],7,TRUE)</f>
        <v>SKV 9-Pins Stollberg III</v>
      </c>
      <c r="D324" s="6" t="str">
        <f>VLOOKUP($B324,Chronologie[],8,TRUE)</f>
        <v>Hirschfeld</v>
      </c>
      <c r="E324" s="240" t="str">
        <f>VLOOKUP($B324,Chronologie[],9,TRUE)</f>
        <v>H</v>
      </c>
      <c r="F324" s="6" t="str">
        <f>VLOOKUP($B324,Chronologie[],COLUMN(F325)-2,TRUE)</f>
        <v>Z</v>
      </c>
      <c r="G324" s="6" t="str">
        <f>VLOOKUP($B324,Chronologie[],COLUMN(G325)-2,TRUE)</f>
        <v>L</v>
      </c>
      <c r="H324" s="6">
        <f>VLOOKUP($B324,Chronologie[],COLUMN(H325)-2,TRUE)</f>
        <v>10</v>
      </c>
      <c r="I324" s="10" t="str">
        <f>VLOOKUP($B324,Chronologie[],2,TRUE)</f>
        <v>Z-L-10</v>
      </c>
      <c r="J324" s="243">
        <f>VLOOKUP($B324,Chronologie[],3,TRUE)</f>
        <v>46047</v>
      </c>
      <c r="K324" s="238" t="s">
        <v>460</v>
      </c>
      <c r="L324" s="237">
        <v>86</v>
      </c>
      <c r="M324" s="237">
        <v>91</v>
      </c>
      <c r="N324" s="237">
        <v>95</v>
      </c>
      <c r="O324" s="237">
        <v>90</v>
      </c>
      <c r="P324" s="237">
        <v>52</v>
      </c>
      <c r="Q324" s="237">
        <v>35</v>
      </c>
      <c r="R324" s="237">
        <v>52</v>
      </c>
      <c r="S324" s="237">
        <v>44</v>
      </c>
      <c r="T324" s="237">
        <v>2</v>
      </c>
      <c r="U324" s="237">
        <v>4</v>
      </c>
      <c r="V324" s="237">
        <v>1</v>
      </c>
      <c r="W324" s="237">
        <v>2</v>
      </c>
      <c r="X324" s="38">
        <v>1</v>
      </c>
      <c r="Y324" s="38">
        <v>1</v>
      </c>
      <c r="Z324" s="38">
        <v>1</v>
      </c>
      <c r="AA324" s="38">
        <v>1</v>
      </c>
      <c r="AB324" s="91">
        <v>501</v>
      </c>
      <c r="AC324" s="94">
        <f>IF(Eingabe[[#This Row],[V1]]="",IF(Eingabe[[#This Row],[Volle alternativ]]="","",Eingabe[[#This Row],[Volle alternativ]]),SUM(Eingabe[[#This Row],[V1]:[V4]]))</f>
        <v>362</v>
      </c>
      <c r="AD324" s="6">
        <f>IF(Eingabe[[#This Row],[R1]]="",IF(Eingabe[[#This Row],[Räumer alternativ]]="","",Eingabe[[#This Row],[Räumer alternativ]]),SUM(Eingabe[[#This Row],[R1]:[R4]]))</f>
        <v>183</v>
      </c>
      <c r="AE324" s="6">
        <f>IF(Eingabe[[#This Row],[F1]]="",IF(Eingabe[[#This Row],[Fehler alternativ]]="","",Eingabe[[#This Row],[Fehler alternativ]]),SUM(Eingabe[[#This Row],[F1]:[F4]]))</f>
        <v>9</v>
      </c>
      <c r="AF324" s="6">
        <f>IF(Eingabe[[#This Row],[Volle]]="","",IF(Eingabe[[#This Row],[S1]]="",Eingabe[[#This Row],[Volle]]+Eingabe[[#This Row],[Räumer]],IF(Eingabe[[#This Row],[Volle]]+Eingabe[[#This Row],[Räumer]]=Eingabe[[#This Row],[S1]]+Eingabe[[#This Row],[S2]]+Eingabe[[#This Row],[S3]]+Eingabe[[#This Row],[S4]],Eingabe[[#This Row],[Volle]]+Eingabe[[#This Row],[Räumer]],"FEHLER")))</f>
        <v>545</v>
      </c>
      <c r="AG324" s="6">
        <f>IF(Eingabe[[#This Row],[V1]]="","",Eingabe[[#This Row],[V1]]+Eingabe[[#This Row],[R1]])</f>
        <v>138</v>
      </c>
      <c r="AH324" s="6">
        <f>IF(Eingabe[[#This Row],[V2]]="","",Eingabe[[#This Row],[V2]]+Eingabe[[#This Row],[R2]])</f>
        <v>126</v>
      </c>
      <c r="AI324" s="6">
        <f>IF(Eingabe[[#This Row],[V3]]="","",Eingabe[[#This Row],[V3]]+Eingabe[[#This Row],[R3]])</f>
        <v>147</v>
      </c>
      <c r="AJ324" s="6">
        <f>IF(Eingabe[[#This Row],[V4]]="","",Eingabe[[#This Row],[V4]]+Eingabe[[#This Row],[R4]])</f>
        <v>134</v>
      </c>
      <c r="AK324" s="6">
        <f>IF(Eingabe[[#This Row],[S1P]]="","",Eingabe[[#This Row],[S1P]]+Eingabe[[#This Row],[S2P]]+Eingabe[[#This Row],[S3P]]+Eingabe[[#This Row],[S4P]])</f>
        <v>4</v>
      </c>
      <c r="AL324" s="6">
        <f>IF(Eingabe[[#This Row],[S1P]]="","",IF(Eingabe[[#This Row],[SP]]&gt;2,1,IF(Eingabe[[#This Row],[SP]]&lt;2,0,IF(Eingabe[[#This Row],[GES]]&gt;Eingabe[[#This Row],[GEGGES]],1,IF(Eingabe[[#This Row],[GES]]=Eingabe[[#This Row],[GEGGES]],0.5,0)))))</f>
        <v>1</v>
      </c>
      <c r="AM324" s="6">
        <f>IF(Eingabe[[#This Row],[MP]]="","",MOD(ROW(Eingabe[[#This Row],[Position]])-3,6)+1)</f>
        <v>4</v>
      </c>
      <c r="AN324" s="6" t="e">
        <f>STANDARDIZE(Eingabe[[#This Row],[GES]],Eingabe[[#This Row],[Schnitt]],VLOOKUP(Eingabe[[#This Row],[Name]],AuswertungG[],21,FALSE))</f>
        <v>#VALUE!</v>
      </c>
      <c r="AO324" s="6">
        <f>VLOOKUP(Eingabe[[#This Row],[ID]],Chronologie[[ID]:[KW]],12,FALSE)</f>
        <v>22</v>
      </c>
      <c r="AP324" s="95" t="str">
        <f>IF(Eingabe[[#This Row],[Wo]]="H",Eingabe[[#This Row],[Gegner]]&amp;" ["&amp;Eingabe[[#This Row],[Wo]]&amp;"]",Eingabe[[#This Row],[Ort]])</f>
        <v>SKV 9-Pins Stollberg III [H]</v>
      </c>
      <c r="AQ324" s="6">
        <f>IFERROR(IF(Eingabe[[#This Row],[Wo]]="H",IF(MOD(Eingabe[[#This Row],[Position]],2)=1,Eingabe[[#This Row],[S1]],Eingabe[[#This Row],[S4]]),""),"")</f>
        <v>134</v>
      </c>
      <c r="AR324" s="6">
        <f>IFERROR(IF(Eingabe[[#This Row],[Wo]]="H",IF(Eingabe[[#This Row],[S1]]&gt;0,IF(MOD(Eingabe[[#This Row],[Position]],2)=1,Eingabe[[#This Row],[S2]],Eingabe[[#This Row],[S3]]),""),""),"")</f>
        <v>147</v>
      </c>
      <c r="AS324" s="6">
        <f>IFERROR(IF(Eingabe[[#This Row],[Wo]]="H",IF(Eingabe[[#This Row],[S1]]&gt;0,IF(MOD(ROW(Eingabe[[#This Row],[Heimbahn 3]]),2)=1,Eingabe[[#This Row],[S4]],Eingabe[[#This Row],[S1]]),""),""),"")</f>
        <v>138</v>
      </c>
      <c r="AT324" s="6">
        <f>IFERROR(IF(Eingabe[[#This Row],[Wo]]="H",IF(Eingabe[[#This Row],[S1]]&gt;0,IF(MOD(ROW(Eingabe[[#This Row],[Heimbahn 4]]),2)=1,Eingabe[[#This Row],[S3]],Eingabe[[#This Row],[S2]]),""),""),"")</f>
        <v>126</v>
      </c>
      <c r="AU324" s="22">
        <f>IF(Eingabe[[#This Row],[GES]]="","",IF(Eingabe[[#This Row],[Modus]]="L",_xlfn.RANK.EQ(Eingabe[[#This Row],[GES]],AF321:AF326),IF(Eingabe[[#This Row],[Modus]]="P",_xlfn.RANK.EQ(Eingabe[[#This Row],[GES]],AF321:AF326),"")))</f>
        <v>1</v>
      </c>
      <c r="AV324" s="6">
        <f>VLOOKUP(Eingabe[[#This Row],[Name]],AuswertungG[],8,FALSE)</f>
        <v>545</v>
      </c>
      <c r="AZ324" s="6">
        <f>IFERROR(ABS(Eingabe[[#This Row],[GES]]-Eingabe[[#This Row],[GEGGES]]),"")</f>
        <v>44</v>
      </c>
    </row>
    <row r="325" spans="1:52" ht="16.2" hidden="1" thickBot="1" x14ac:dyDescent="0.35">
      <c r="A325" s="441"/>
      <c r="B325" s="21">
        <f t="shared" si="44"/>
        <v>54</v>
      </c>
      <c r="C325" s="6" t="str">
        <f>VLOOKUP($B325,Chronologie[],7,TRUE)</f>
        <v>SKV 9-Pins Stollberg III</v>
      </c>
      <c r="D325" s="6" t="str">
        <f>VLOOKUP($B325,Chronologie[],8,TRUE)</f>
        <v>Hirschfeld</v>
      </c>
      <c r="E325" s="240" t="str">
        <f>VLOOKUP($B325,Chronologie[],9,TRUE)</f>
        <v>H</v>
      </c>
      <c r="F325" s="6" t="str">
        <f>VLOOKUP($B325,Chronologie[],COLUMN(F326)-2,TRUE)</f>
        <v>Z</v>
      </c>
      <c r="G325" s="6" t="str">
        <f>VLOOKUP($B325,Chronologie[],COLUMN(G326)-2,TRUE)</f>
        <v>L</v>
      </c>
      <c r="H325" s="6">
        <f>VLOOKUP($B325,Chronologie[],COLUMN(H326)-2,TRUE)</f>
        <v>10</v>
      </c>
      <c r="I325" s="10" t="str">
        <f>VLOOKUP($B325,Chronologie[],2,TRUE)</f>
        <v>Z-L-10</v>
      </c>
      <c r="J325" s="243">
        <f>VLOOKUP($B325,Chronologie[],3,TRUE)</f>
        <v>46047</v>
      </c>
      <c r="K325" s="237" t="s">
        <v>12</v>
      </c>
      <c r="L325" s="237">
        <v>78</v>
      </c>
      <c r="M325" s="237">
        <v>92</v>
      </c>
      <c r="N325" s="237">
        <v>93</v>
      </c>
      <c r="O325" s="237">
        <v>88</v>
      </c>
      <c r="P325" s="237">
        <v>45</v>
      </c>
      <c r="Q325" s="237">
        <v>52</v>
      </c>
      <c r="R325" s="237">
        <v>43</v>
      </c>
      <c r="S325" s="237">
        <v>42</v>
      </c>
      <c r="T325" s="237">
        <v>0</v>
      </c>
      <c r="U325" s="237">
        <v>0</v>
      </c>
      <c r="V325" s="237">
        <v>3</v>
      </c>
      <c r="W325" s="237">
        <v>2</v>
      </c>
      <c r="X325" s="38">
        <v>1</v>
      </c>
      <c r="Y325" s="38">
        <v>1</v>
      </c>
      <c r="Z325" s="38">
        <v>0</v>
      </c>
      <c r="AA325" s="38">
        <v>0</v>
      </c>
      <c r="AB325" s="91">
        <v>503</v>
      </c>
      <c r="AC325" s="94">
        <f>IF(Eingabe[[#This Row],[V1]]="",IF(Eingabe[[#This Row],[Volle alternativ]]="","",Eingabe[[#This Row],[Volle alternativ]]),SUM(Eingabe[[#This Row],[V1]:[V4]]))</f>
        <v>351</v>
      </c>
      <c r="AD325" s="6">
        <f>IF(Eingabe[[#This Row],[R1]]="",IF(Eingabe[[#This Row],[Räumer alternativ]]="","",Eingabe[[#This Row],[Räumer alternativ]]),SUM(Eingabe[[#This Row],[R1]:[R4]]))</f>
        <v>182</v>
      </c>
      <c r="AE325" s="6">
        <f>IF(Eingabe[[#This Row],[F1]]="",IF(Eingabe[[#This Row],[Fehler alternativ]]="","",Eingabe[[#This Row],[Fehler alternativ]]),SUM(Eingabe[[#This Row],[F1]:[F4]]))</f>
        <v>5</v>
      </c>
      <c r="AF325" s="6">
        <f>IF(Eingabe[[#This Row],[Volle]]="","",IF(Eingabe[[#This Row],[S1]]="",Eingabe[[#This Row],[Volle]]+Eingabe[[#This Row],[Räumer]],IF(Eingabe[[#This Row],[Volle]]+Eingabe[[#This Row],[Räumer]]=Eingabe[[#This Row],[S1]]+Eingabe[[#This Row],[S2]]+Eingabe[[#This Row],[S3]]+Eingabe[[#This Row],[S4]],Eingabe[[#This Row],[Volle]]+Eingabe[[#This Row],[Räumer]],"FEHLER")))</f>
        <v>533</v>
      </c>
      <c r="AG325" s="6">
        <f>IF(Eingabe[[#This Row],[V1]]="","",Eingabe[[#This Row],[V1]]+Eingabe[[#This Row],[R1]])</f>
        <v>123</v>
      </c>
      <c r="AH325" s="6">
        <f>IF(Eingabe[[#This Row],[V2]]="","",Eingabe[[#This Row],[V2]]+Eingabe[[#This Row],[R2]])</f>
        <v>144</v>
      </c>
      <c r="AI325" s="6">
        <f>IF(Eingabe[[#This Row],[V3]]="","",Eingabe[[#This Row],[V3]]+Eingabe[[#This Row],[R3]])</f>
        <v>136</v>
      </c>
      <c r="AJ325" s="6">
        <f>IF(Eingabe[[#This Row],[V4]]="","",Eingabe[[#This Row],[V4]]+Eingabe[[#This Row],[R4]])</f>
        <v>130</v>
      </c>
      <c r="AK325" s="6">
        <f>IF(Eingabe[[#This Row],[S1P]]="","",Eingabe[[#This Row],[S1P]]+Eingabe[[#This Row],[S2P]]+Eingabe[[#This Row],[S3P]]+Eingabe[[#This Row],[S4P]])</f>
        <v>2</v>
      </c>
      <c r="AL325" s="6">
        <f>IF(Eingabe[[#This Row],[S1P]]="","",IF(Eingabe[[#This Row],[SP]]&gt;2,1,IF(Eingabe[[#This Row],[SP]]&lt;2,0,IF(Eingabe[[#This Row],[GES]]&gt;Eingabe[[#This Row],[GEGGES]],1,IF(Eingabe[[#This Row],[GES]]=Eingabe[[#This Row],[GEGGES]],0.5,0)))))</f>
        <v>1</v>
      </c>
      <c r="AM325" s="6">
        <f>IF(Eingabe[[#This Row],[MP]]="","",MOD(ROW(Eingabe[[#This Row],[Position]])-3,6)+1)</f>
        <v>5</v>
      </c>
      <c r="AN325" s="6">
        <f>STANDARDIZE(Eingabe[[#This Row],[GES]],Eingabe[[#This Row],[Schnitt]],VLOOKUP(Eingabe[[#This Row],[Name]],AuswertungG[],21,FALSE))</f>
        <v>3.7037037037037035E-2</v>
      </c>
      <c r="AO325" s="6">
        <f>VLOOKUP(Eingabe[[#This Row],[ID]],Chronologie[[ID]:[KW]],12,FALSE)</f>
        <v>22</v>
      </c>
      <c r="AP325" s="95" t="str">
        <f>IF(Eingabe[[#This Row],[Wo]]="H",Eingabe[[#This Row],[Gegner]]&amp;" ["&amp;Eingabe[[#This Row],[Wo]]&amp;"]",Eingabe[[#This Row],[Ort]])</f>
        <v>SKV 9-Pins Stollberg III [H]</v>
      </c>
      <c r="AQ325" s="6">
        <f>IFERROR(IF(Eingabe[[#This Row],[Wo]]="H",IF(MOD(Eingabe[[#This Row],[Position]],2)=1,Eingabe[[#This Row],[S1]],Eingabe[[#This Row],[S4]]),""),"")</f>
        <v>123</v>
      </c>
      <c r="AR325" s="6">
        <f>IFERROR(IF(Eingabe[[#This Row],[Wo]]="H",IF(Eingabe[[#This Row],[S1]]&gt;0,IF(MOD(Eingabe[[#This Row],[Position]],2)=1,Eingabe[[#This Row],[S2]],Eingabe[[#This Row],[S3]]),""),""),"")</f>
        <v>144</v>
      </c>
      <c r="AS325" s="6">
        <f>IFERROR(IF(Eingabe[[#This Row],[Wo]]="H",IF(Eingabe[[#This Row],[S1]]&gt;0,IF(MOD(ROW(Eingabe[[#This Row],[Heimbahn 3]]),2)=1,Eingabe[[#This Row],[S4]],Eingabe[[#This Row],[S1]]),""),""),"")</f>
        <v>130</v>
      </c>
      <c r="AT325" s="6">
        <f>IFERROR(IF(Eingabe[[#This Row],[Wo]]="H",IF(Eingabe[[#This Row],[S1]]&gt;0,IF(MOD(ROW(Eingabe[[#This Row],[Heimbahn 4]]),2)=1,Eingabe[[#This Row],[S3]],Eingabe[[#This Row],[S2]]),""),""),"")</f>
        <v>136</v>
      </c>
      <c r="AU325" s="22">
        <f>IF(Eingabe[[#This Row],[GES]]="","",IF(Eingabe[[#This Row],[Modus]]="L",_xlfn.RANK.EQ(Eingabe[[#This Row],[GES]],AF321:AF326),IF(Eingabe[[#This Row],[Modus]]="P",_xlfn.RANK.EQ(Eingabe[[#This Row],[GES]],AF321:AF326),"")))</f>
        <v>3</v>
      </c>
      <c r="AV325" s="6">
        <f>VLOOKUP(Eingabe[[#This Row],[Name]],AuswertungG[],8,FALSE)</f>
        <v>532</v>
      </c>
      <c r="AZ325" s="6">
        <f>IFERROR(ABS(Eingabe[[#This Row],[GES]]-Eingabe[[#This Row],[GEGGES]]),"")</f>
        <v>30</v>
      </c>
    </row>
    <row r="326" spans="1:52" ht="16.2" hidden="1" thickBot="1" x14ac:dyDescent="0.35">
      <c r="A326" s="442"/>
      <c r="B326" s="56">
        <f t="shared" si="44"/>
        <v>54</v>
      </c>
      <c r="C326" s="23" t="str">
        <f>VLOOKUP($B326,Chronologie[],7,TRUE)</f>
        <v>SKV 9-Pins Stollberg III</v>
      </c>
      <c r="D326" s="23" t="str">
        <f>VLOOKUP($B326,Chronologie[],8,TRUE)</f>
        <v>Hirschfeld</v>
      </c>
      <c r="E326" s="39" t="str">
        <f>VLOOKUP($B326,Chronologie[],9,TRUE)</f>
        <v>H</v>
      </c>
      <c r="F326" s="23" t="str">
        <f>VLOOKUP($B326,Chronologie[],COLUMN(F327)-2,TRUE)</f>
        <v>Z</v>
      </c>
      <c r="G326" s="23" t="str">
        <f>VLOOKUP($B326,Chronologie[],COLUMN(G327)-2,TRUE)</f>
        <v>L</v>
      </c>
      <c r="H326" s="23">
        <f>VLOOKUP($B326,Chronologie[],COLUMN(H327)-2,TRUE)</f>
        <v>10</v>
      </c>
      <c r="I326" s="13" t="str">
        <f>VLOOKUP($B326,Chronologie[],2,TRUE)</f>
        <v>Z-L-10</v>
      </c>
      <c r="J326" s="244">
        <f>VLOOKUP($B326,Chronologie[],3,TRUE)</f>
        <v>46047</v>
      </c>
      <c r="K326" s="239" t="s">
        <v>478</v>
      </c>
      <c r="L326" s="239">
        <v>84</v>
      </c>
      <c r="M326" s="239">
        <v>86</v>
      </c>
      <c r="N326" s="239">
        <v>104</v>
      </c>
      <c r="O326" s="239">
        <v>94</v>
      </c>
      <c r="P326" s="239">
        <v>41</v>
      </c>
      <c r="Q326" s="239">
        <v>44</v>
      </c>
      <c r="R326" s="239">
        <v>42</v>
      </c>
      <c r="S326" s="239">
        <v>44</v>
      </c>
      <c r="T326" s="239">
        <v>2</v>
      </c>
      <c r="U326" s="239">
        <v>0</v>
      </c>
      <c r="V326" s="239">
        <v>2</v>
      </c>
      <c r="W326" s="239">
        <v>0</v>
      </c>
      <c r="X326" s="40">
        <v>0</v>
      </c>
      <c r="Y326" s="40">
        <v>1</v>
      </c>
      <c r="Z326" s="40">
        <v>1</v>
      </c>
      <c r="AA326" s="40">
        <v>1</v>
      </c>
      <c r="AB326" s="92">
        <v>452</v>
      </c>
      <c r="AC326" s="96">
        <f>IF(Eingabe[[#This Row],[V1]]="",IF(Eingabe[[#This Row],[Volle alternativ]]="","",Eingabe[[#This Row],[Volle alternativ]]),SUM(Eingabe[[#This Row],[V1]:[V4]]))</f>
        <v>368</v>
      </c>
      <c r="AD326" s="23">
        <f>IF(Eingabe[[#This Row],[R1]]="",IF(Eingabe[[#This Row],[Räumer alternativ]]="","",Eingabe[[#This Row],[Räumer alternativ]]),SUM(Eingabe[[#This Row],[R1]:[R4]]))</f>
        <v>171</v>
      </c>
      <c r="AE326" s="23">
        <f>IF(Eingabe[[#This Row],[F1]]="",IF(Eingabe[[#This Row],[Fehler alternativ]]="","",Eingabe[[#This Row],[Fehler alternativ]]),SUM(Eingabe[[#This Row],[F1]:[F4]]))</f>
        <v>4</v>
      </c>
      <c r="AF326" s="23">
        <f>IF(Eingabe[[#This Row],[Volle]]="","",IF(Eingabe[[#This Row],[S1]]="",Eingabe[[#This Row],[Volle]]+Eingabe[[#This Row],[Räumer]],IF(Eingabe[[#This Row],[Volle]]+Eingabe[[#This Row],[Räumer]]=Eingabe[[#This Row],[S1]]+Eingabe[[#This Row],[S2]]+Eingabe[[#This Row],[S3]]+Eingabe[[#This Row],[S4]],Eingabe[[#This Row],[Volle]]+Eingabe[[#This Row],[Räumer]],"FEHLER")))</f>
        <v>539</v>
      </c>
      <c r="AG326" s="23">
        <f>IF(Eingabe[[#This Row],[V1]]="","",Eingabe[[#This Row],[V1]]+Eingabe[[#This Row],[R1]])</f>
        <v>125</v>
      </c>
      <c r="AH326" s="23">
        <f>IF(Eingabe[[#This Row],[V2]]="","",Eingabe[[#This Row],[V2]]+Eingabe[[#This Row],[R2]])</f>
        <v>130</v>
      </c>
      <c r="AI326" s="23">
        <f>IF(Eingabe[[#This Row],[V3]]="","",Eingabe[[#This Row],[V3]]+Eingabe[[#This Row],[R3]])</f>
        <v>146</v>
      </c>
      <c r="AJ326" s="23">
        <f>IF(Eingabe[[#This Row],[V4]]="","",Eingabe[[#This Row],[V4]]+Eingabe[[#This Row],[R4]])</f>
        <v>138</v>
      </c>
      <c r="AK326" s="23">
        <f>IF(Eingabe[[#This Row],[S1P]]="","",Eingabe[[#This Row],[S1P]]+Eingabe[[#This Row],[S2P]]+Eingabe[[#This Row],[S3P]]+Eingabe[[#This Row],[S4P]])</f>
        <v>3</v>
      </c>
      <c r="AL326" s="23">
        <f>IF(Eingabe[[#This Row],[S1P]]="","",IF(Eingabe[[#This Row],[SP]]&gt;2,1,IF(Eingabe[[#This Row],[SP]]&lt;2,0,IF(Eingabe[[#This Row],[GES]]&gt;Eingabe[[#This Row],[GEGGES]],1,IF(Eingabe[[#This Row],[GES]]=Eingabe[[#This Row],[GEGGES]],0.5,0)))))</f>
        <v>1</v>
      </c>
      <c r="AM326" s="23">
        <f>IF(Eingabe[[#This Row],[MP]]="","",MOD(ROW(Eingabe[[#This Row],[Position]])-3,6)+1)</f>
        <v>6</v>
      </c>
      <c r="AN326" s="23">
        <f>STANDARDIZE(Eingabe[[#This Row],[GES]],Eingabe[[#This Row],[Schnitt]],VLOOKUP(Eingabe[[#This Row],[Name]],AuswertungG[],21,FALSE))</f>
        <v>0.55000000000000004</v>
      </c>
      <c r="AO326" s="23">
        <f>VLOOKUP(Eingabe[[#This Row],[ID]],Chronologie[[ID]:[KW]],12,FALSE)</f>
        <v>22</v>
      </c>
      <c r="AP326" s="59" t="str">
        <f>IF(Eingabe[[#This Row],[Wo]]="H",Eingabe[[#This Row],[Gegner]]&amp;" ["&amp;Eingabe[[#This Row],[Wo]]&amp;"]",Eingabe[[#This Row],[Ort]])</f>
        <v>SKV 9-Pins Stollberg III [H]</v>
      </c>
      <c r="AQ326" s="23">
        <f>IFERROR(IF(Eingabe[[#This Row],[Wo]]="H",IF(MOD(Eingabe[[#This Row],[Position]],2)=1,Eingabe[[#This Row],[S1]],Eingabe[[#This Row],[S4]]),""),"")</f>
        <v>138</v>
      </c>
      <c r="AR326" s="23">
        <f>IFERROR(IF(Eingabe[[#This Row],[Wo]]="H",IF(Eingabe[[#This Row],[S1]]&gt;0,IF(MOD(Eingabe[[#This Row],[Position]],2)=1,Eingabe[[#This Row],[S2]],Eingabe[[#This Row],[S3]]),""),""),"")</f>
        <v>146</v>
      </c>
      <c r="AS326" s="23">
        <f>IFERROR(IF(Eingabe[[#This Row],[Wo]]="H",IF(Eingabe[[#This Row],[S1]]&gt;0,IF(MOD(ROW(Eingabe[[#This Row],[Heimbahn 3]]),2)=1,Eingabe[[#This Row],[S4]],Eingabe[[#This Row],[S1]]),""),""),"")</f>
        <v>125</v>
      </c>
      <c r="AT326" s="23">
        <f>IFERROR(IF(Eingabe[[#This Row],[Wo]]="H",IF(Eingabe[[#This Row],[S1]]&gt;0,IF(MOD(ROW(Eingabe[[#This Row],[Heimbahn 4]]),2)=1,Eingabe[[#This Row],[S3]],Eingabe[[#This Row],[S2]]),""),""),"")</f>
        <v>130</v>
      </c>
      <c r="AU326" s="89">
        <f>IF(Eingabe[[#This Row],[GES]]="","",IF(Eingabe[[#This Row],[Modus]]="L",_xlfn.RANK.EQ(Eingabe[[#This Row],[GES]],AF321:AF326),IF(Eingabe[[#This Row],[Modus]]="P",_xlfn.RANK.EQ(Eingabe[[#This Row],[GES]],AF321:AF326),"")))</f>
        <v>2</v>
      </c>
      <c r="AV326" s="6">
        <f>VLOOKUP(Eingabe[[#This Row],[Name]],AuswertungG[],8,FALSE)</f>
        <v>528</v>
      </c>
      <c r="AZ326" s="6">
        <f>IFERROR(ABS(Eingabe[[#This Row],[GES]]-Eingabe[[#This Row],[GEGGES]]),"")</f>
        <v>87</v>
      </c>
    </row>
    <row r="327" spans="1:52" ht="16.2" hidden="1" thickBot="1" x14ac:dyDescent="0.35">
      <c r="A327" s="440">
        <f t="shared" si="43"/>
        <v>55</v>
      </c>
      <c r="B327" s="55">
        <f t="shared" si="44"/>
        <v>55</v>
      </c>
      <c r="C327" s="35" t="str">
        <f>VLOOKUP($B327,Chronologie[],7,TRUE)</f>
        <v>KC "Gut Holz" Drebach</v>
      </c>
      <c r="D327" s="35" t="str">
        <f>VLOOKUP($B327,Chronologie[],8,TRUE)</f>
        <v>Scharfenstein</v>
      </c>
      <c r="E327" s="36" t="str">
        <f>VLOOKUP($B327,Chronologie[],9,TRUE)</f>
        <v>A</v>
      </c>
      <c r="F327" s="35" t="str">
        <f>VLOOKUP($B327,Chronologie[],COLUMN(F328)-2,TRUE)</f>
        <v>Z</v>
      </c>
      <c r="G327" s="35" t="str">
        <f>VLOOKUP($B327,Chronologie[],COLUMN(G328)-2,TRUE)</f>
        <v>L</v>
      </c>
      <c r="H327" s="35">
        <f>VLOOKUP($B327,Chronologie[],COLUMN(H328)-2,TRUE)</f>
        <v>11</v>
      </c>
      <c r="I327" s="9" t="str">
        <f>VLOOKUP($B327,Chronologie[],2,TRUE)</f>
        <v>Z-L-11</v>
      </c>
      <c r="J327" s="242">
        <f>VLOOKUP($B327,Chronologie[],3,TRUE)</f>
        <v>46075</v>
      </c>
      <c r="K327" s="236"/>
      <c r="L327" s="334"/>
      <c r="M327" s="334"/>
      <c r="N327" s="334"/>
      <c r="O327" s="334"/>
      <c r="P327" s="334"/>
      <c r="Q327" s="334"/>
      <c r="R327" s="334"/>
      <c r="S327" s="334"/>
      <c r="T327" s="334"/>
      <c r="U327" s="334"/>
      <c r="V327" s="334"/>
      <c r="W327" s="334"/>
      <c r="X327" s="37"/>
      <c r="Y327" s="37"/>
      <c r="Z327" s="37"/>
      <c r="AA327" s="37"/>
      <c r="AB327" s="90"/>
      <c r="AC327" s="93" t="str">
        <f>IF(Eingabe[[#This Row],[V1]]="",IF(Eingabe[[#This Row],[Volle alternativ]]="","",Eingabe[[#This Row],[Volle alternativ]]),SUM(Eingabe[[#This Row],[V1]:[V4]]))</f>
        <v/>
      </c>
      <c r="AD327" s="35" t="str">
        <f>IF(Eingabe[[#This Row],[R1]]="",IF(Eingabe[[#This Row],[Räumer alternativ]]="","",Eingabe[[#This Row],[Räumer alternativ]]),SUM(Eingabe[[#This Row],[R1]:[R4]]))</f>
        <v/>
      </c>
      <c r="AE327" s="35" t="str">
        <f>IF(Eingabe[[#This Row],[F1]]="",IF(Eingabe[[#This Row],[Fehler alternativ]]="","",Eingabe[[#This Row],[Fehler alternativ]]),SUM(Eingabe[[#This Row],[F1]:[F4]]))</f>
        <v/>
      </c>
      <c r="AF327" s="35" t="str">
        <f>IF(Eingabe[[#This Row],[Volle]]="","",IF(Eingabe[[#This Row],[S1]]="",Eingabe[[#This Row],[Volle]]+Eingabe[[#This Row],[Räumer]],IF(Eingabe[[#This Row],[Volle]]+Eingabe[[#This Row],[Räumer]]=Eingabe[[#This Row],[S1]]+Eingabe[[#This Row],[S2]]+Eingabe[[#This Row],[S3]]+Eingabe[[#This Row],[S4]],Eingabe[[#This Row],[Volle]]+Eingabe[[#This Row],[Räumer]],"FEHLER")))</f>
        <v/>
      </c>
      <c r="AG327" s="35" t="str">
        <f>IF(Eingabe[[#This Row],[V1]]="","",Eingabe[[#This Row],[V1]]+Eingabe[[#This Row],[R1]])</f>
        <v/>
      </c>
      <c r="AH327" s="35" t="str">
        <f>IF(Eingabe[[#This Row],[V2]]="","",Eingabe[[#This Row],[V2]]+Eingabe[[#This Row],[R2]])</f>
        <v/>
      </c>
      <c r="AI327" s="35" t="str">
        <f>IF(Eingabe[[#This Row],[V3]]="","",Eingabe[[#This Row],[V3]]+Eingabe[[#This Row],[R3]])</f>
        <v/>
      </c>
      <c r="AJ327" s="35" t="str">
        <f>IF(Eingabe[[#This Row],[V4]]="","",Eingabe[[#This Row],[V4]]+Eingabe[[#This Row],[R4]])</f>
        <v/>
      </c>
      <c r="AK327" s="35" t="str">
        <f>IF(Eingabe[[#This Row],[S1P]]="","",Eingabe[[#This Row],[S1P]]+Eingabe[[#This Row],[S2P]]+Eingabe[[#This Row],[S3P]]+Eingabe[[#This Row],[S4P]])</f>
        <v/>
      </c>
      <c r="AL327" s="35" t="str">
        <f>IF(Eingabe[[#This Row],[S1P]]="","",IF(Eingabe[[#This Row],[SP]]&gt;2,1,IF(Eingabe[[#This Row],[SP]]&lt;2,0,IF(Eingabe[[#This Row],[GES]]&gt;Eingabe[[#This Row],[GEGGES]],1,IF(Eingabe[[#This Row],[GES]]=Eingabe[[#This Row],[GEGGES]],0.5,0)))))</f>
        <v/>
      </c>
      <c r="AM327" s="35" t="str">
        <f>IF(Eingabe[[#This Row],[MP]]="","",MOD(ROW(Eingabe[[#This Row],[Position]])-3,6)+1)</f>
        <v/>
      </c>
      <c r="AN327" s="35" t="e">
        <f>STANDARDIZE(Eingabe[[#This Row],[GES]],Eingabe[[#This Row],[Schnitt]],VLOOKUP(Eingabe[[#This Row],[Name]],AuswertungG[],21,FALSE))</f>
        <v>#VALUE!</v>
      </c>
      <c r="AO327" s="35">
        <f>VLOOKUP(Eingabe[[#This Row],[ID]],Chronologie[[ID]:[KW]],12,FALSE)</f>
        <v>26</v>
      </c>
      <c r="AP327" s="58" t="str">
        <f>IF(Eingabe[[#This Row],[Wo]]="H",Eingabe[[#This Row],[Gegner]]&amp;" ["&amp;Eingabe[[#This Row],[Wo]]&amp;"]",Eingabe[[#This Row],[Ort]])</f>
        <v>Scharfenstein</v>
      </c>
      <c r="AQ327" s="35" t="str">
        <f>IFERROR(IF(Eingabe[[#This Row],[Wo]]="H",IF(MOD(Eingabe[[#This Row],[Position]],2)=1,Eingabe[[#This Row],[S1]],Eingabe[[#This Row],[S4]]),""),"")</f>
        <v/>
      </c>
      <c r="AR327" s="35" t="str">
        <f>IFERROR(IF(Eingabe[[#This Row],[Wo]]="H",IF(Eingabe[[#This Row],[S1]]&gt;0,IF(MOD(Eingabe[[#This Row],[Position]],2)=1,Eingabe[[#This Row],[S2]],Eingabe[[#This Row],[S3]]),""),""),"")</f>
        <v/>
      </c>
      <c r="AS327" s="35" t="str">
        <f>IFERROR(IF(Eingabe[[#This Row],[Wo]]="H",IF(Eingabe[[#This Row],[S1]]&gt;0,IF(MOD(ROW(Eingabe[[#This Row],[Heimbahn 3]]),2)=1,Eingabe[[#This Row],[S4]],Eingabe[[#This Row],[S1]]),""),""),"")</f>
        <v/>
      </c>
      <c r="AT327" s="35" t="str">
        <f>IFERROR(IF(Eingabe[[#This Row],[Wo]]="H",IF(Eingabe[[#This Row],[S1]]&gt;0,IF(MOD(ROW(Eingabe[[#This Row],[Heimbahn 4]]),2)=1,Eingabe[[#This Row],[S3]],Eingabe[[#This Row],[S2]]),""),""),"")</f>
        <v/>
      </c>
      <c r="AU327" s="88" t="str">
        <f>IF(Eingabe[[#This Row],[GES]]="","",IF(Eingabe[[#This Row],[Modus]]="L",_xlfn.RANK.EQ(Eingabe[[#This Row],[GES]],AF327:AF332),IF(Eingabe[[#This Row],[Modus]]="P",_xlfn.RANK.EQ(Eingabe[[#This Row],[GES]],AF327:AF332),"")))</f>
        <v/>
      </c>
      <c r="AV327" s="6" t="e">
        <f>VLOOKUP(Eingabe[[#This Row],[Name]],AuswertungG[],8,FALSE)</f>
        <v>#N/A</v>
      </c>
      <c r="AZ327" s="6" t="str">
        <f>IFERROR(ABS(Eingabe[[#This Row],[GES]]-Eingabe[[#This Row],[GEGGES]]),"")</f>
        <v/>
      </c>
    </row>
    <row r="328" spans="1:52" ht="16.2" hidden="1" thickBot="1" x14ac:dyDescent="0.35">
      <c r="A328" s="441"/>
      <c r="B328" s="21">
        <f t="shared" si="44"/>
        <v>55</v>
      </c>
      <c r="C328" s="6" t="str">
        <f>VLOOKUP($B328,Chronologie[],7,TRUE)</f>
        <v>KC "Gut Holz" Drebach</v>
      </c>
      <c r="D328" s="6" t="str">
        <f>VLOOKUP($B328,Chronologie[],8,TRUE)</f>
        <v>Scharfenstein</v>
      </c>
      <c r="E328" s="240" t="str">
        <f>VLOOKUP($B328,Chronologie[],9,TRUE)</f>
        <v>A</v>
      </c>
      <c r="F328" s="6" t="str">
        <f>VLOOKUP($B328,Chronologie[],COLUMN(F329)-2,TRUE)</f>
        <v>Z</v>
      </c>
      <c r="G328" s="6" t="str">
        <f>VLOOKUP($B328,Chronologie[],COLUMN(G329)-2,TRUE)</f>
        <v>L</v>
      </c>
      <c r="H328" s="6">
        <f>VLOOKUP($B328,Chronologie[],COLUMN(H329)-2,TRUE)</f>
        <v>11</v>
      </c>
      <c r="I328" s="10" t="str">
        <f>VLOOKUP($B328,Chronologie[],2,TRUE)</f>
        <v>Z-L-11</v>
      </c>
      <c r="J328" s="243">
        <f>VLOOKUP($B328,Chronologie[],3,TRUE)</f>
        <v>46075</v>
      </c>
      <c r="K328" s="237"/>
      <c r="L328" s="237"/>
      <c r="M328" s="237"/>
      <c r="N328" s="237"/>
      <c r="O328" s="237"/>
      <c r="P328" s="237"/>
      <c r="Q328" s="237"/>
      <c r="R328" s="237"/>
      <c r="S328" s="237"/>
      <c r="T328" s="237"/>
      <c r="U328" s="237"/>
      <c r="V328" s="237"/>
      <c r="W328" s="237"/>
      <c r="X328" s="38"/>
      <c r="Y328" s="38"/>
      <c r="Z328" s="38"/>
      <c r="AA328" s="38"/>
      <c r="AB328" s="91"/>
      <c r="AC328" s="94" t="str">
        <f>IF(Eingabe[[#This Row],[V1]]="",IF(Eingabe[[#This Row],[Volle alternativ]]="","",Eingabe[[#This Row],[Volle alternativ]]),SUM(Eingabe[[#This Row],[V1]:[V4]]))</f>
        <v/>
      </c>
      <c r="AD328" s="6" t="str">
        <f>IF(Eingabe[[#This Row],[R1]]="",IF(Eingabe[[#This Row],[Räumer alternativ]]="","",Eingabe[[#This Row],[Räumer alternativ]]),SUM(Eingabe[[#This Row],[R1]:[R4]]))</f>
        <v/>
      </c>
      <c r="AE328" s="6" t="str">
        <f>IF(Eingabe[[#This Row],[F1]]="",IF(Eingabe[[#This Row],[Fehler alternativ]]="","",Eingabe[[#This Row],[Fehler alternativ]]),SUM(Eingabe[[#This Row],[F1]:[F4]]))</f>
        <v/>
      </c>
      <c r="AF328" s="6" t="str">
        <f>IF(Eingabe[[#This Row],[Volle]]="","",IF(Eingabe[[#This Row],[S1]]="",Eingabe[[#This Row],[Volle]]+Eingabe[[#This Row],[Räumer]],IF(Eingabe[[#This Row],[Volle]]+Eingabe[[#This Row],[Räumer]]=Eingabe[[#This Row],[S1]]+Eingabe[[#This Row],[S2]]+Eingabe[[#This Row],[S3]]+Eingabe[[#This Row],[S4]],Eingabe[[#This Row],[Volle]]+Eingabe[[#This Row],[Räumer]],"FEHLER")))</f>
        <v/>
      </c>
      <c r="AG328" s="6" t="str">
        <f>IF(Eingabe[[#This Row],[V1]]="","",Eingabe[[#This Row],[V1]]+Eingabe[[#This Row],[R1]])</f>
        <v/>
      </c>
      <c r="AH328" s="6" t="str">
        <f>IF(Eingabe[[#This Row],[V2]]="","",Eingabe[[#This Row],[V2]]+Eingabe[[#This Row],[R2]])</f>
        <v/>
      </c>
      <c r="AI328" s="6" t="str">
        <f>IF(Eingabe[[#This Row],[V3]]="","",Eingabe[[#This Row],[V3]]+Eingabe[[#This Row],[R3]])</f>
        <v/>
      </c>
      <c r="AJ328" s="6" t="str">
        <f>IF(Eingabe[[#This Row],[V4]]="","",Eingabe[[#This Row],[V4]]+Eingabe[[#This Row],[R4]])</f>
        <v/>
      </c>
      <c r="AK328" s="6" t="str">
        <f>IF(Eingabe[[#This Row],[S1P]]="","",Eingabe[[#This Row],[S1P]]+Eingabe[[#This Row],[S2P]]+Eingabe[[#This Row],[S3P]]+Eingabe[[#This Row],[S4P]])</f>
        <v/>
      </c>
      <c r="AL328" s="6" t="str">
        <f>IF(Eingabe[[#This Row],[S1P]]="","",IF(Eingabe[[#This Row],[SP]]&gt;2,1,IF(Eingabe[[#This Row],[SP]]&lt;2,0,IF(Eingabe[[#This Row],[GES]]&gt;Eingabe[[#This Row],[GEGGES]],1,IF(Eingabe[[#This Row],[GES]]=Eingabe[[#This Row],[GEGGES]],0.5,0)))))</f>
        <v/>
      </c>
      <c r="AM328" s="6" t="str">
        <f>IF(Eingabe[[#This Row],[MP]]="","",MOD(ROW(Eingabe[[#This Row],[Position]])-3,6)+1)</f>
        <v/>
      </c>
      <c r="AN328" s="6" t="e">
        <f>STANDARDIZE(Eingabe[[#This Row],[GES]],Eingabe[[#This Row],[Schnitt]],VLOOKUP(Eingabe[[#This Row],[Name]],AuswertungG[],21,FALSE))</f>
        <v>#VALUE!</v>
      </c>
      <c r="AO328" s="6">
        <f>VLOOKUP(Eingabe[[#This Row],[ID]],Chronologie[[ID]:[KW]],12,FALSE)</f>
        <v>26</v>
      </c>
      <c r="AP328" s="95" t="str">
        <f>IF(Eingabe[[#This Row],[Wo]]="H",Eingabe[[#This Row],[Gegner]]&amp;" ["&amp;Eingabe[[#This Row],[Wo]]&amp;"]",Eingabe[[#This Row],[Ort]])</f>
        <v>Scharfenstein</v>
      </c>
      <c r="AQ328" s="6" t="str">
        <f>IFERROR(IF(Eingabe[[#This Row],[Wo]]="H",IF(MOD(Eingabe[[#This Row],[Position]],2)=1,Eingabe[[#This Row],[S1]],Eingabe[[#This Row],[S4]]),""),"")</f>
        <v/>
      </c>
      <c r="AR328" s="6" t="str">
        <f>IFERROR(IF(Eingabe[[#This Row],[Wo]]="H",IF(Eingabe[[#This Row],[S1]]&gt;0,IF(MOD(Eingabe[[#This Row],[Position]],2)=1,Eingabe[[#This Row],[S2]],Eingabe[[#This Row],[S3]]),""),""),"")</f>
        <v/>
      </c>
      <c r="AS328" s="6" t="str">
        <f>IFERROR(IF(Eingabe[[#This Row],[Wo]]="H",IF(Eingabe[[#This Row],[S1]]&gt;0,IF(MOD(ROW(Eingabe[[#This Row],[Heimbahn 3]]),2)=1,Eingabe[[#This Row],[S4]],Eingabe[[#This Row],[S1]]),""),""),"")</f>
        <v/>
      </c>
      <c r="AT328" s="6" t="str">
        <f>IFERROR(IF(Eingabe[[#This Row],[Wo]]="H",IF(Eingabe[[#This Row],[S1]]&gt;0,IF(MOD(ROW(Eingabe[[#This Row],[Heimbahn 4]]),2)=1,Eingabe[[#This Row],[S3]],Eingabe[[#This Row],[S2]]),""),""),"")</f>
        <v/>
      </c>
      <c r="AU328" s="22" t="str">
        <f>IF(Eingabe[[#This Row],[GES]]="","",IF(Eingabe[[#This Row],[Modus]]="L",_xlfn.RANK.EQ(Eingabe[[#This Row],[GES]],AF327:AF332),IF(Eingabe[[#This Row],[Modus]]="P",_xlfn.RANK.EQ(Eingabe[[#This Row],[GES]],AF327:AF332),"")))</f>
        <v/>
      </c>
      <c r="AV328" s="6" t="e">
        <f>VLOOKUP(Eingabe[[#This Row],[Name]],AuswertungG[],8,FALSE)</f>
        <v>#N/A</v>
      </c>
      <c r="AZ328" s="6" t="str">
        <f>IFERROR(ABS(Eingabe[[#This Row],[GES]]-Eingabe[[#This Row],[GEGGES]]),"")</f>
        <v/>
      </c>
    </row>
    <row r="329" spans="1:52" ht="16.2" hidden="1" thickBot="1" x14ac:dyDescent="0.35">
      <c r="A329" s="441"/>
      <c r="B329" s="21">
        <f t="shared" si="44"/>
        <v>55</v>
      </c>
      <c r="C329" s="6" t="str">
        <f>VLOOKUP($B329,Chronologie[],7,TRUE)</f>
        <v>KC "Gut Holz" Drebach</v>
      </c>
      <c r="D329" s="6" t="str">
        <f>VLOOKUP($B329,Chronologie[],8,TRUE)</f>
        <v>Scharfenstein</v>
      </c>
      <c r="E329" s="240" t="str">
        <f>VLOOKUP($B329,Chronologie[],9,TRUE)</f>
        <v>A</v>
      </c>
      <c r="F329" s="6" t="str">
        <f>VLOOKUP($B329,Chronologie[],COLUMN(F330)-2,TRUE)</f>
        <v>Z</v>
      </c>
      <c r="G329" s="6" t="str">
        <f>VLOOKUP($B329,Chronologie[],COLUMN(G330)-2,TRUE)</f>
        <v>L</v>
      </c>
      <c r="H329" s="6">
        <f>VLOOKUP($B329,Chronologie[],COLUMN(H330)-2,TRUE)</f>
        <v>11</v>
      </c>
      <c r="I329" s="10" t="str">
        <f>VLOOKUP($B329,Chronologie[],2,TRUE)</f>
        <v>Z-L-11</v>
      </c>
      <c r="J329" s="243">
        <f>VLOOKUP($B329,Chronologie[],3,TRUE)</f>
        <v>46075</v>
      </c>
      <c r="K329" s="237"/>
      <c r="L329" s="237"/>
      <c r="M329" s="237"/>
      <c r="N329" s="237"/>
      <c r="O329" s="237"/>
      <c r="P329" s="237"/>
      <c r="Q329" s="237"/>
      <c r="R329" s="237"/>
      <c r="S329" s="237"/>
      <c r="T329" s="237"/>
      <c r="U329" s="237"/>
      <c r="V329" s="237"/>
      <c r="W329" s="237"/>
      <c r="X329" s="38"/>
      <c r="Y329" s="38"/>
      <c r="Z329" s="38"/>
      <c r="AA329" s="38"/>
      <c r="AB329" s="91"/>
      <c r="AC329" s="94" t="str">
        <f>IF(Eingabe[[#This Row],[V1]]="",IF(Eingabe[[#This Row],[Volle alternativ]]="","",Eingabe[[#This Row],[Volle alternativ]]),SUM(Eingabe[[#This Row],[V1]:[V4]]))</f>
        <v/>
      </c>
      <c r="AD329" s="6" t="str">
        <f>IF(Eingabe[[#This Row],[R1]]="",IF(Eingabe[[#This Row],[Räumer alternativ]]="","",Eingabe[[#This Row],[Räumer alternativ]]),SUM(Eingabe[[#This Row],[R1]:[R4]]))</f>
        <v/>
      </c>
      <c r="AE329" s="6" t="str">
        <f>IF(Eingabe[[#This Row],[F1]]="",IF(Eingabe[[#This Row],[Fehler alternativ]]="","",Eingabe[[#This Row],[Fehler alternativ]]),SUM(Eingabe[[#This Row],[F1]:[F4]]))</f>
        <v/>
      </c>
      <c r="AF329" s="6" t="str">
        <f>IF(Eingabe[[#This Row],[Volle]]="","",IF(Eingabe[[#This Row],[S1]]="",Eingabe[[#This Row],[Volle]]+Eingabe[[#This Row],[Räumer]],IF(Eingabe[[#This Row],[Volle]]+Eingabe[[#This Row],[Räumer]]=Eingabe[[#This Row],[S1]]+Eingabe[[#This Row],[S2]]+Eingabe[[#This Row],[S3]]+Eingabe[[#This Row],[S4]],Eingabe[[#This Row],[Volle]]+Eingabe[[#This Row],[Räumer]],"FEHLER")))</f>
        <v/>
      </c>
      <c r="AG329" s="6" t="str">
        <f>IF(Eingabe[[#This Row],[V1]]="","",Eingabe[[#This Row],[V1]]+Eingabe[[#This Row],[R1]])</f>
        <v/>
      </c>
      <c r="AH329" s="6" t="str">
        <f>IF(Eingabe[[#This Row],[V2]]="","",Eingabe[[#This Row],[V2]]+Eingabe[[#This Row],[R2]])</f>
        <v/>
      </c>
      <c r="AI329" s="6" t="str">
        <f>IF(Eingabe[[#This Row],[V3]]="","",Eingabe[[#This Row],[V3]]+Eingabe[[#This Row],[R3]])</f>
        <v/>
      </c>
      <c r="AJ329" s="6" t="str">
        <f>IF(Eingabe[[#This Row],[V4]]="","",Eingabe[[#This Row],[V4]]+Eingabe[[#This Row],[R4]])</f>
        <v/>
      </c>
      <c r="AK329" s="6" t="str">
        <f>IF(Eingabe[[#This Row],[S1P]]="","",Eingabe[[#This Row],[S1P]]+Eingabe[[#This Row],[S2P]]+Eingabe[[#This Row],[S3P]]+Eingabe[[#This Row],[S4P]])</f>
        <v/>
      </c>
      <c r="AL329" s="6" t="str">
        <f>IF(Eingabe[[#This Row],[S1P]]="","",IF(Eingabe[[#This Row],[SP]]&gt;2,1,IF(Eingabe[[#This Row],[SP]]&lt;2,0,IF(Eingabe[[#This Row],[GES]]&gt;Eingabe[[#This Row],[GEGGES]],1,IF(Eingabe[[#This Row],[GES]]=Eingabe[[#This Row],[GEGGES]],0.5,0)))))</f>
        <v/>
      </c>
      <c r="AM329" s="6" t="str">
        <f>IF(Eingabe[[#This Row],[MP]]="","",MOD(ROW(Eingabe[[#This Row],[Position]])-3,6)+1)</f>
        <v/>
      </c>
      <c r="AN329" s="6" t="e">
        <f>STANDARDIZE(Eingabe[[#This Row],[GES]],Eingabe[[#This Row],[Schnitt]],VLOOKUP(Eingabe[[#This Row],[Name]],AuswertungG[],21,FALSE))</f>
        <v>#VALUE!</v>
      </c>
      <c r="AO329" s="6">
        <f>VLOOKUP(Eingabe[[#This Row],[ID]],Chronologie[[ID]:[KW]],12,FALSE)</f>
        <v>26</v>
      </c>
      <c r="AP329" s="95" t="str">
        <f>IF(Eingabe[[#This Row],[Wo]]="H",Eingabe[[#This Row],[Gegner]]&amp;" ["&amp;Eingabe[[#This Row],[Wo]]&amp;"]",Eingabe[[#This Row],[Ort]])</f>
        <v>Scharfenstein</v>
      </c>
      <c r="AQ329" s="6" t="str">
        <f>IFERROR(IF(Eingabe[[#This Row],[Wo]]="H",IF(MOD(Eingabe[[#This Row],[Position]],2)=1,Eingabe[[#This Row],[S1]],Eingabe[[#This Row],[S4]]),""),"")</f>
        <v/>
      </c>
      <c r="AR329" s="6" t="str">
        <f>IFERROR(IF(Eingabe[[#This Row],[Wo]]="H",IF(Eingabe[[#This Row],[S1]]&gt;0,IF(MOD(Eingabe[[#This Row],[Position]],2)=1,Eingabe[[#This Row],[S2]],Eingabe[[#This Row],[S3]]),""),""),"")</f>
        <v/>
      </c>
      <c r="AS329" s="6" t="str">
        <f>IFERROR(IF(Eingabe[[#This Row],[Wo]]="H",IF(Eingabe[[#This Row],[S1]]&gt;0,IF(MOD(ROW(Eingabe[[#This Row],[Heimbahn 3]]),2)=1,Eingabe[[#This Row],[S4]],Eingabe[[#This Row],[S1]]),""),""),"")</f>
        <v/>
      </c>
      <c r="AT329" s="6" t="str">
        <f>IFERROR(IF(Eingabe[[#This Row],[Wo]]="H",IF(Eingabe[[#This Row],[S1]]&gt;0,IF(MOD(ROW(Eingabe[[#This Row],[Heimbahn 4]]),2)=1,Eingabe[[#This Row],[S3]],Eingabe[[#This Row],[S2]]),""),""),"")</f>
        <v/>
      </c>
      <c r="AU329" s="22" t="str">
        <f>IF(Eingabe[[#This Row],[GES]]="","",IF(Eingabe[[#This Row],[Modus]]="L",_xlfn.RANK.EQ(Eingabe[[#This Row],[GES]],AF327:AF332),IF(Eingabe[[#This Row],[Modus]]="P",_xlfn.RANK.EQ(Eingabe[[#This Row],[GES]],AF327:AF332),"")))</f>
        <v/>
      </c>
      <c r="AV329" s="6" t="e">
        <f>VLOOKUP(Eingabe[[#This Row],[Name]],AuswertungG[],8,FALSE)</f>
        <v>#N/A</v>
      </c>
      <c r="AZ329" s="6" t="str">
        <f>IFERROR(ABS(Eingabe[[#This Row],[GES]]-Eingabe[[#This Row],[GEGGES]]),"")</f>
        <v/>
      </c>
    </row>
    <row r="330" spans="1:52" ht="16.2" hidden="1" thickBot="1" x14ac:dyDescent="0.35">
      <c r="A330" s="441"/>
      <c r="B330" s="21">
        <f t="shared" si="44"/>
        <v>55</v>
      </c>
      <c r="C330" s="6" t="str">
        <f>VLOOKUP($B330,Chronologie[],7,TRUE)</f>
        <v>KC "Gut Holz" Drebach</v>
      </c>
      <c r="D330" s="6" t="str">
        <f>VLOOKUP($B330,Chronologie[],8,TRUE)</f>
        <v>Scharfenstein</v>
      </c>
      <c r="E330" s="240" t="str">
        <f>VLOOKUP($B330,Chronologie[],9,TRUE)</f>
        <v>A</v>
      </c>
      <c r="F330" s="6" t="str">
        <f>VLOOKUP($B330,Chronologie[],COLUMN(F331)-2,TRUE)</f>
        <v>Z</v>
      </c>
      <c r="G330" s="6" t="str">
        <f>VLOOKUP($B330,Chronologie[],COLUMN(G331)-2,TRUE)</f>
        <v>L</v>
      </c>
      <c r="H330" s="6">
        <f>VLOOKUP($B330,Chronologie[],COLUMN(H331)-2,TRUE)</f>
        <v>11</v>
      </c>
      <c r="I330" s="10" t="str">
        <f>VLOOKUP($B330,Chronologie[],2,TRUE)</f>
        <v>Z-L-11</v>
      </c>
      <c r="J330" s="243">
        <f>VLOOKUP($B330,Chronologie[],3,TRUE)</f>
        <v>46075</v>
      </c>
      <c r="K330" s="238"/>
      <c r="L330" s="237"/>
      <c r="M330" s="237"/>
      <c r="N330" s="237"/>
      <c r="O330" s="237"/>
      <c r="P330" s="237"/>
      <c r="Q330" s="237"/>
      <c r="R330" s="237"/>
      <c r="S330" s="237"/>
      <c r="T330" s="237"/>
      <c r="U330" s="237"/>
      <c r="V330" s="237"/>
      <c r="W330" s="237"/>
      <c r="X330" s="38"/>
      <c r="Y330" s="38"/>
      <c r="Z330" s="38"/>
      <c r="AA330" s="38"/>
      <c r="AB330" s="91"/>
      <c r="AC330" s="94" t="str">
        <f>IF(Eingabe[[#This Row],[V1]]="",IF(Eingabe[[#This Row],[Volle alternativ]]="","",Eingabe[[#This Row],[Volle alternativ]]),SUM(Eingabe[[#This Row],[V1]:[V4]]))</f>
        <v/>
      </c>
      <c r="AD330" s="6" t="str">
        <f>IF(Eingabe[[#This Row],[R1]]="",IF(Eingabe[[#This Row],[Räumer alternativ]]="","",Eingabe[[#This Row],[Räumer alternativ]]),SUM(Eingabe[[#This Row],[R1]:[R4]]))</f>
        <v/>
      </c>
      <c r="AE330" s="6" t="str">
        <f>IF(Eingabe[[#This Row],[F1]]="",IF(Eingabe[[#This Row],[Fehler alternativ]]="","",Eingabe[[#This Row],[Fehler alternativ]]),SUM(Eingabe[[#This Row],[F1]:[F4]]))</f>
        <v/>
      </c>
      <c r="AF330" s="6" t="str">
        <f>IF(Eingabe[[#This Row],[Volle]]="","",IF(Eingabe[[#This Row],[S1]]="",Eingabe[[#This Row],[Volle]]+Eingabe[[#This Row],[Räumer]],IF(Eingabe[[#This Row],[Volle]]+Eingabe[[#This Row],[Räumer]]=Eingabe[[#This Row],[S1]]+Eingabe[[#This Row],[S2]]+Eingabe[[#This Row],[S3]]+Eingabe[[#This Row],[S4]],Eingabe[[#This Row],[Volle]]+Eingabe[[#This Row],[Räumer]],"FEHLER")))</f>
        <v/>
      </c>
      <c r="AG330" s="6" t="str">
        <f>IF(Eingabe[[#This Row],[V1]]="","",Eingabe[[#This Row],[V1]]+Eingabe[[#This Row],[R1]])</f>
        <v/>
      </c>
      <c r="AH330" s="6" t="str">
        <f>IF(Eingabe[[#This Row],[V2]]="","",Eingabe[[#This Row],[V2]]+Eingabe[[#This Row],[R2]])</f>
        <v/>
      </c>
      <c r="AI330" s="6" t="str">
        <f>IF(Eingabe[[#This Row],[V3]]="","",Eingabe[[#This Row],[V3]]+Eingabe[[#This Row],[R3]])</f>
        <v/>
      </c>
      <c r="AJ330" s="6" t="str">
        <f>IF(Eingabe[[#This Row],[V4]]="","",Eingabe[[#This Row],[V4]]+Eingabe[[#This Row],[R4]])</f>
        <v/>
      </c>
      <c r="AK330" s="6" t="str">
        <f>IF(Eingabe[[#This Row],[S1P]]="","",Eingabe[[#This Row],[S1P]]+Eingabe[[#This Row],[S2P]]+Eingabe[[#This Row],[S3P]]+Eingabe[[#This Row],[S4P]])</f>
        <v/>
      </c>
      <c r="AL330" s="6" t="str">
        <f>IF(Eingabe[[#This Row],[S1P]]="","",IF(Eingabe[[#This Row],[SP]]&gt;2,1,IF(Eingabe[[#This Row],[SP]]&lt;2,0,IF(Eingabe[[#This Row],[GES]]&gt;Eingabe[[#This Row],[GEGGES]],1,IF(Eingabe[[#This Row],[GES]]=Eingabe[[#This Row],[GEGGES]],0.5,0)))))</f>
        <v/>
      </c>
      <c r="AM330" s="6" t="str">
        <f>IF(Eingabe[[#This Row],[MP]]="","",MOD(ROW(Eingabe[[#This Row],[Position]])-3,6)+1)</f>
        <v/>
      </c>
      <c r="AN330" s="6" t="e">
        <f>STANDARDIZE(Eingabe[[#This Row],[GES]],Eingabe[[#This Row],[Schnitt]],VLOOKUP(Eingabe[[#This Row],[Name]],AuswertungG[],21,FALSE))</f>
        <v>#VALUE!</v>
      </c>
      <c r="AO330" s="6">
        <f>VLOOKUP(Eingabe[[#This Row],[ID]],Chronologie[[ID]:[KW]],12,FALSE)</f>
        <v>26</v>
      </c>
      <c r="AP330" s="95" t="str">
        <f>IF(Eingabe[[#This Row],[Wo]]="H",Eingabe[[#This Row],[Gegner]]&amp;" ["&amp;Eingabe[[#This Row],[Wo]]&amp;"]",Eingabe[[#This Row],[Ort]])</f>
        <v>Scharfenstein</v>
      </c>
      <c r="AQ330" s="6" t="str">
        <f>IFERROR(IF(Eingabe[[#This Row],[Wo]]="H",IF(MOD(Eingabe[[#This Row],[Position]],2)=1,Eingabe[[#This Row],[S1]],Eingabe[[#This Row],[S4]]),""),"")</f>
        <v/>
      </c>
      <c r="AR330" s="6" t="str">
        <f>IFERROR(IF(Eingabe[[#This Row],[Wo]]="H",IF(Eingabe[[#This Row],[S1]]&gt;0,IF(MOD(Eingabe[[#This Row],[Position]],2)=1,Eingabe[[#This Row],[S2]],Eingabe[[#This Row],[S3]]),""),""),"")</f>
        <v/>
      </c>
      <c r="AS330" s="6" t="str">
        <f>IFERROR(IF(Eingabe[[#This Row],[Wo]]="H",IF(Eingabe[[#This Row],[S1]]&gt;0,IF(MOD(ROW(Eingabe[[#This Row],[Heimbahn 3]]),2)=1,Eingabe[[#This Row],[S4]],Eingabe[[#This Row],[S1]]),""),""),"")</f>
        <v/>
      </c>
      <c r="AT330" s="6" t="str">
        <f>IFERROR(IF(Eingabe[[#This Row],[Wo]]="H",IF(Eingabe[[#This Row],[S1]]&gt;0,IF(MOD(ROW(Eingabe[[#This Row],[Heimbahn 4]]),2)=1,Eingabe[[#This Row],[S3]],Eingabe[[#This Row],[S2]]),""),""),"")</f>
        <v/>
      </c>
      <c r="AU330" s="22" t="str">
        <f>IF(Eingabe[[#This Row],[GES]]="","",IF(Eingabe[[#This Row],[Modus]]="L",_xlfn.RANK.EQ(Eingabe[[#This Row],[GES]],AF327:AF332),IF(Eingabe[[#This Row],[Modus]]="P",_xlfn.RANK.EQ(Eingabe[[#This Row],[GES]],AF327:AF332),"")))</f>
        <v/>
      </c>
      <c r="AV330" s="6" t="e">
        <f>VLOOKUP(Eingabe[[#This Row],[Name]],AuswertungG[],8,FALSE)</f>
        <v>#N/A</v>
      </c>
      <c r="AZ330" s="6" t="str">
        <f>IFERROR(ABS(Eingabe[[#This Row],[GES]]-Eingabe[[#This Row],[GEGGES]]),"")</f>
        <v/>
      </c>
    </row>
    <row r="331" spans="1:52" ht="16.2" hidden="1" thickBot="1" x14ac:dyDescent="0.35">
      <c r="A331" s="441"/>
      <c r="B331" s="21">
        <f t="shared" si="44"/>
        <v>55</v>
      </c>
      <c r="C331" s="6" t="str">
        <f>VLOOKUP($B331,Chronologie[],7,TRUE)</f>
        <v>KC "Gut Holz" Drebach</v>
      </c>
      <c r="D331" s="6" t="str">
        <f>VLOOKUP($B331,Chronologie[],8,TRUE)</f>
        <v>Scharfenstein</v>
      </c>
      <c r="E331" s="240" t="str">
        <f>VLOOKUP($B331,Chronologie[],9,TRUE)</f>
        <v>A</v>
      </c>
      <c r="F331" s="6" t="str">
        <f>VLOOKUP($B331,Chronologie[],COLUMN(F332)-2,TRUE)</f>
        <v>Z</v>
      </c>
      <c r="G331" s="6" t="str">
        <f>VLOOKUP($B331,Chronologie[],COLUMN(G332)-2,TRUE)</f>
        <v>L</v>
      </c>
      <c r="H331" s="6">
        <f>VLOOKUP($B331,Chronologie[],COLUMN(H332)-2,TRUE)</f>
        <v>11</v>
      </c>
      <c r="I331" s="10" t="str">
        <f>VLOOKUP($B331,Chronologie[],2,TRUE)</f>
        <v>Z-L-11</v>
      </c>
      <c r="J331" s="243">
        <f>VLOOKUP($B331,Chronologie[],3,TRUE)</f>
        <v>46075</v>
      </c>
      <c r="K331" s="237"/>
      <c r="L331" s="237"/>
      <c r="M331" s="237"/>
      <c r="N331" s="237"/>
      <c r="O331" s="237"/>
      <c r="P331" s="237"/>
      <c r="Q331" s="237"/>
      <c r="R331" s="237"/>
      <c r="S331" s="237"/>
      <c r="T331" s="237"/>
      <c r="U331" s="237"/>
      <c r="V331" s="237"/>
      <c r="W331" s="237"/>
      <c r="X331" s="38"/>
      <c r="Y331" s="38"/>
      <c r="Z331" s="38"/>
      <c r="AA331" s="38"/>
      <c r="AB331" s="91"/>
      <c r="AC331" s="94" t="str">
        <f>IF(Eingabe[[#This Row],[V1]]="",IF(Eingabe[[#This Row],[Volle alternativ]]="","",Eingabe[[#This Row],[Volle alternativ]]),SUM(Eingabe[[#This Row],[V1]:[V4]]))</f>
        <v/>
      </c>
      <c r="AD331" s="6" t="str">
        <f>IF(Eingabe[[#This Row],[R1]]="",IF(Eingabe[[#This Row],[Räumer alternativ]]="","",Eingabe[[#This Row],[Räumer alternativ]]),SUM(Eingabe[[#This Row],[R1]:[R4]]))</f>
        <v/>
      </c>
      <c r="AE331" s="6" t="str">
        <f>IF(Eingabe[[#This Row],[F1]]="",IF(Eingabe[[#This Row],[Fehler alternativ]]="","",Eingabe[[#This Row],[Fehler alternativ]]),SUM(Eingabe[[#This Row],[F1]:[F4]]))</f>
        <v/>
      </c>
      <c r="AF331" s="6" t="str">
        <f>IF(Eingabe[[#This Row],[Volle]]="","",IF(Eingabe[[#This Row],[S1]]="",Eingabe[[#This Row],[Volle]]+Eingabe[[#This Row],[Räumer]],IF(Eingabe[[#This Row],[Volle]]+Eingabe[[#This Row],[Räumer]]=Eingabe[[#This Row],[S1]]+Eingabe[[#This Row],[S2]]+Eingabe[[#This Row],[S3]]+Eingabe[[#This Row],[S4]],Eingabe[[#This Row],[Volle]]+Eingabe[[#This Row],[Räumer]],"FEHLER")))</f>
        <v/>
      </c>
      <c r="AG331" s="6" t="str">
        <f>IF(Eingabe[[#This Row],[V1]]="","",Eingabe[[#This Row],[V1]]+Eingabe[[#This Row],[R1]])</f>
        <v/>
      </c>
      <c r="AH331" s="6" t="str">
        <f>IF(Eingabe[[#This Row],[V2]]="","",Eingabe[[#This Row],[V2]]+Eingabe[[#This Row],[R2]])</f>
        <v/>
      </c>
      <c r="AI331" s="6" t="str">
        <f>IF(Eingabe[[#This Row],[V3]]="","",Eingabe[[#This Row],[V3]]+Eingabe[[#This Row],[R3]])</f>
        <v/>
      </c>
      <c r="AJ331" s="6" t="str">
        <f>IF(Eingabe[[#This Row],[V4]]="","",Eingabe[[#This Row],[V4]]+Eingabe[[#This Row],[R4]])</f>
        <v/>
      </c>
      <c r="AK331" s="6" t="str">
        <f>IF(Eingabe[[#This Row],[S1P]]="","",Eingabe[[#This Row],[S1P]]+Eingabe[[#This Row],[S2P]]+Eingabe[[#This Row],[S3P]]+Eingabe[[#This Row],[S4P]])</f>
        <v/>
      </c>
      <c r="AL331" s="6" t="str">
        <f>IF(Eingabe[[#This Row],[S1P]]="","",IF(Eingabe[[#This Row],[SP]]&gt;2,1,IF(Eingabe[[#This Row],[SP]]&lt;2,0,IF(Eingabe[[#This Row],[GES]]&gt;Eingabe[[#This Row],[GEGGES]],1,IF(Eingabe[[#This Row],[GES]]=Eingabe[[#This Row],[GEGGES]],0.5,0)))))</f>
        <v/>
      </c>
      <c r="AM331" s="6" t="str">
        <f>IF(Eingabe[[#This Row],[MP]]="","",MOD(ROW(Eingabe[[#This Row],[Position]])-3,6)+1)</f>
        <v/>
      </c>
      <c r="AN331" s="6" t="e">
        <f>STANDARDIZE(Eingabe[[#This Row],[GES]],Eingabe[[#This Row],[Schnitt]],VLOOKUP(Eingabe[[#This Row],[Name]],AuswertungG[],21,FALSE))</f>
        <v>#VALUE!</v>
      </c>
      <c r="AO331" s="6">
        <f>VLOOKUP(Eingabe[[#This Row],[ID]],Chronologie[[ID]:[KW]],12,FALSE)</f>
        <v>26</v>
      </c>
      <c r="AP331" s="95" t="str">
        <f>IF(Eingabe[[#This Row],[Wo]]="H",Eingabe[[#This Row],[Gegner]]&amp;" ["&amp;Eingabe[[#This Row],[Wo]]&amp;"]",Eingabe[[#This Row],[Ort]])</f>
        <v>Scharfenstein</v>
      </c>
      <c r="AQ331" s="6" t="str">
        <f>IFERROR(IF(Eingabe[[#This Row],[Wo]]="H",IF(MOD(Eingabe[[#This Row],[Position]],2)=1,Eingabe[[#This Row],[S1]],Eingabe[[#This Row],[S4]]),""),"")</f>
        <v/>
      </c>
      <c r="AR331" s="6" t="str">
        <f>IFERROR(IF(Eingabe[[#This Row],[Wo]]="H",IF(Eingabe[[#This Row],[S1]]&gt;0,IF(MOD(Eingabe[[#This Row],[Position]],2)=1,Eingabe[[#This Row],[S2]],Eingabe[[#This Row],[S3]]),""),""),"")</f>
        <v/>
      </c>
      <c r="AS331" s="6" t="str">
        <f>IFERROR(IF(Eingabe[[#This Row],[Wo]]="H",IF(Eingabe[[#This Row],[S1]]&gt;0,IF(MOD(ROW(Eingabe[[#This Row],[Heimbahn 3]]),2)=1,Eingabe[[#This Row],[S4]],Eingabe[[#This Row],[S1]]),""),""),"")</f>
        <v/>
      </c>
      <c r="AT331" s="6" t="str">
        <f>IFERROR(IF(Eingabe[[#This Row],[Wo]]="H",IF(Eingabe[[#This Row],[S1]]&gt;0,IF(MOD(ROW(Eingabe[[#This Row],[Heimbahn 4]]),2)=1,Eingabe[[#This Row],[S3]],Eingabe[[#This Row],[S2]]),""),""),"")</f>
        <v/>
      </c>
      <c r="AU331" s="22" t="str">
        <f>IF(Eingabe[[#This Row],[GES]]="","",IF(Eingabe[[#This Row],[Modus]]="L",_xlfn.RANK.EQ(Eingabe[[#This Row],[GES]],AF327:AF332),IF(Eingabe[[#This Row],[Modus]]="P",_xlfn.RANK.EQ(Eingabe[[#This Row],[GES]],AF327:AF332),"")))</f>
        <v/>
      </c>
      <c r="AV331" s="6" t="e">
        <f>VLOOKUP(Eingabe[[#This Row],[Name]],AuswertungG[],8,FALSE)</f>
        <v>#N/A</v>
      </c>
      <c r="AZ331" s="6" t="str">
        <f>IFERROR(ABS(Eingabe[[#This Row],[GES]]-Eingabe[[#This Row],[GEGGES]]),"")</f>
        <v/>
      </c>
    </row>
    <row r="332" spans="1:52" ht="16.2" hidden="1" thickBot="1" x14ac:dyDescent="0.35">
      <c r="A332" s="442"/>
      <c r="B332" s="56">
        <f t="shared" si="44"/>
        <v>55</v>
      </c>
      <c r="C332" s="23" t="str">
        <f>VLOOKUP($B332,Chronologie[],7,TRUE)</f>
        <v>KC "Gut Holz" Drebach</v>
      </c>
      <c r="D332" s="23" t="str">
        <f>VLOOKUP($B332,Chronologie[],8,TRUE)</f>
        <v>Scharfenstein</v>
      </c>
      <c r="E332" s="39" t="str">
        <f>VLOOKUP($B332,Chronologie[],9,TRUE)</f>
        <v>A</v>
      </c>
      <c r="F332" s="23" t="str">
        <f>VLOOKUP($B332,Chronologie[],COLUMN(F333)-2,TRUE)</f>
        <v>Z</v>
      </c>
      <c r="G332" s="23" t="str">
        <f>VLOOKUP($B332,Chronologie[],COLUMN(G333)-2,TRUE)</f>
        <v>L</v>
      </c>
      <c r="H332" s="23">
        <f>VLOOKUP($B332,Chronologie[],COLUMN(H333)-2,TRUE)</f>
        <v>11</v>
      </c>
      <c r="I332" s="13" t="str">
        <f>VLOOKUP($B332,Chronologie[],2,TRUE)</f>
        <v>Z-L-11</v>
      </c>
      <c r="J332" s="244">
        <f>VLOOKUP($B332,Chronologie[],3,TRUE)</f>
        <v>46075</v>
      </c>
      <c r="K332" s="239"/>
      <c r="L332" s="239"/>
      <c r="M332" s="239"/>
      <c r="N332" s="239"/>
      <c r="O332" s="239"/>
      <c r="P332" s="239"/>
      <c r="Q332" s="239"/>
      <c r="R332" s="239"/>
      <c r="S332" s="239"/>
      <c r="T332" s="239"/>
      <c r="U332" s="239"/>
      <c r="V332" s="239"/>
      <c r="W332" s="239"/>
      <c r="X332" s="40"/>
      <c r="Y332" s="40"/>
      <c r="Z332" s="40"/>
      <c r="AA332" s="40"/>
      <c r="AB332" s="92"/>
      <c r="AC332" s="96" t="str">
        <f>IF(Eingabe[[#This Row],[V1]]="",IF(Eingabe[[#This Row],[Volle alternativ]]="","",Eingabe[[#This Row],[Volle alternativ]]),SUM(Eingabe[[#This Row],[V1]:[V4]]))</f>
        <v/>
      </c>
      <c r="AD332" s="23" t="str">
        <f>IF(Eingabe[[#This Row],[R1]]="",IF(Eingabe[[#This Row],[Räumer alternativ]]="","",Eingabe[[#This Row],[Räumer alternativ]]),SUM(Eingabe[[#This Row],[R1]:[R4]]))</f>
        <v/>
      </c>
      <c r="AE332" s="23" t="str">
        <f>IF(Eingabe[[#This Row],[F1]]="",IF(Eingabe[[#This Row],[Fehler alternativ]]="","",Eingabe[[#This Row],[Fehler alternativ]]),SUM(Eingabe[[#This Row],[F1]:[F4]]))</f>
        <v/>
      </c>
      <c r="AF332" s="23" t="str">
        <f>IF(Eingabe[[#This Row],[Volle]]="","",IF(Eingabe[[#This Row],[S1]]="",Eingabe[[#This Row],[Volle]]+Eingabe[[#This Row],[Räumer]],IF(Eingabe[[#This Row],[Volle]]+Eingabe[[#This Row],[Räumer]]=Eingabe[[#This Row],[S1]]+Eingabe[[#This Row],[S2]]+Eingabe[[#This Row],[S3]]+Eingabe[[#This Row],[S4]],Eingabe[[#This Row],[Volle]]+Eingabe[[#This Row],[Räumer]],"FEHLER")))</f>
        <v/>
      </c>
      <c r="AG332" s="23" t="str">
        <f>IF(Eingabe[[#This Row],[V1]]="","",Eingabe[[#This Row],[V1]]+Eingabe[[#This Row],[R1]])</f>
        <v/>
      </c>
      <c r="AH332" s="23" t="str">
        <f>IF(Eingabe[[#This Row],[V2]]="","",Eingabe[[#This Row],[V2]]+Eingabe[[#This Row],[R2]])</f>
        <v/>
      </c>
      <c r="AI332" s="23" t="str">
        <f>IF(Eingabe[[#This Row],[V3]]="","",Eingabe[[#This Row],[V3]]+Eingabe[[#This Row],[R3]])</f>
        <v/>
      </c>
      <c r="AJ332" s="23" t="str">
        <f>IF(Eingabe[[#This Row],[V4]]="","",Eingabe[[#This Row],[V4]]+Eingabe[[#This Row],[R4]])</f>
        <v/>
      </c>
      <c r="AK332" s="23" t="str">
        <f>IF(Eingabe[[#This Row],[S1P]]="","",Eingabe[[#This Row],[S1P]]+Eingabe[[#This Row],[S2P]]+Eingabe[[#This Row],[S3P]]+Eingabe[[#This Row],[S4P]])</f>
        <v/>
      </c>
      <c r="AL332" s="23" t="str">
        <f>IF(Eingabe[[#This Row],[S1P]]="","",IF(Eingabe[[#This Row],[SP]]&gt;2,1,IF(Eingabe[[#This Row],[SP]]&lt;2,0,IF(Eingabe[[#This Row],[GES]]&gt;Eingabe[[#This Row],[GEGGES]],1,IF(Eingabe[[#This Row],[GES]]=Eingabe[[#This Row],[GEGGES]],0.5,0)))))</f>
        <v/>
      </c>
      <c r="AM332" s="23" t="str">
        <f>IF(Eingabe[[#This Row],[MP]]="","",MOD(ROW(Eingabe[[#This Row],[Position]])-3,6)+1)</f>
        <v/>
      </c>
      <c r="AN332" s="23" t="e">
        <f>STANDARDIZE(Eingabe[[#This Row],[GES]],Eingabe[[#This Row],[Schnitt]],VLOOKUP(Eingabe[[#This Row],[Name]],AuswertungG[],21,FALSE))</f>
        <v>#VALUE!</v>
      </c>
      <c r="AO332" s="23">
        <f>VLOOKUP(Eingabe[[#This Row],[ID]],Chronologie[[ID]:[KW]],12,FALSE)</f>
        <v>26</v>
      </c>
      <c r="AP332" s="59" t="str">
        <f>IF(Eingabe[[#This Row],[Wo]]="H",Eingabe[[#This Row],[Gegner]]&amp;" ["&amp;Eingabe[[#This Row],[Wo]]&amp;"]",Eingabe[[#This Row],[Ort]])</f>
        <v>Scharfenstein</v>
      </c>
      <c r="AQ332" s="23" t="str">
        <f>IFERROR(IF(Eingabe[[#This Row],[Wo]]="H",IF(MOD(Eingabe[[#This Row],[Position]],2)=1,Eingabe[[#This Row],[S1]],Eingabe[[#This Row],[S4]]),""),"")</f>
        <v/>
      </c>
      <c r="AR332" s="23" t="str">
        <f>IFERROR(IF(Eingabe[[#This Row],[Wo]]="H",IF(Eingabe[[#This Row],[S1]]&gt;0,IF(MOD(Eingabe[[#This Row],[Position]],2)=1,Eingabe[[#This Row],[S2]],Eingabe[[#This Row],[S3]]),""),""),"")</f>
        <v/>
      </c>
      <c r="AS332" s="23" t="str">
        <f>IFERROR(IF(Eingabe[[#This Row],[Wo]]="H",IF(Eingabe[[#This Row],[S1]]&gt;0,IF(MOD(ROW(Eingabe[[#This Row],[Heimbahn 3]]),2)=1,Eingabe[[#This Row],[S4]],Eingabe[[#This Row],[S1]]),""),""),"")</f>
        <v/>
      </c>
      <c r="AT332" s="23" t="str">
        <f>IFERROR(IF(Eingabe[[#This Row],[Wo]]="H",IF(Eingabe[[#This Row],[S1]]&gt;0,IF(MOD(ROW(Eingabe[[#This Row],[Heimbahn 4]]),2)=1,Eingabe[[#This Row],[S3]],Eingabe[[#This Row],[S2]]),""),""),"")</f>
        <v/>
      </c>
      <c r="AU332" s="89" t="str">
        <f>IF(Eingabe[[#This Row],[GES]]="","",IF(Eingabe[[#This Row],[Modus]]="L",_xlfn.RANK.EQ(Eingabe[[#This Row],[GES]],AF327:AF332),IF(Eingabe[[#This Row],[Modus]]="P",_xlfn.RANK.EQ(Eingabe[[#This Row],[GES]],AF327:AF332),"")))</f>
        <v/>
      </c>
      <c r="AV332" s="6" t="e">
        <f>VLOOKUP(Eingabe[[#This Row],[Name]],AuswertungG[],8,FALSE)</f>
        <v>#N/A</v>
      </c>
      <c r="AZ332" s="6" t="str">
        <f>IFERROR(ABS(Eingabe[[#This Row],[GES]]-Eingabe[[#This Row],[GEGGES]]),"")</f>
        <v/>
      </c>
    </row>
    <row r="333" spans="1:52" ht="16.2" hidden="1" thickBot="1" x14ac:dyDescent="0.35">
      <c r="A333" s="440">
        <f t="shared" si="43"/>
        <v>56</v>
      </c>
      <c r="B333" s="55">
        <f t="shared" si="44"/>
        <v>56</v>
      </c>
      <c r="C333" s="35" t="str">
        <f>VLOOKUP($B333,Chronologie[],7,TRUE)</f>
        <v>TSV Geyer</v>
      </c>
      <c r="D333" s="35" t="str">
        <f>VLOOKUP($B333,Chronologie[],8,TRUE)</f>
        <v>Hirschfeld</v>
      </c>
      <c r="E333" s="36" t="str">
        <f>VLOOKUP($B333,Chronologie[],9,TRUE)</f>
        <v>H</v>
      </c>
      <c r="F333" s="35" t="str">
        <f>VLOOKUP($B333,Chronologie[],COLUMN(F334)-2,TRUE)</f>
        <v>Z</v>
      </c>
      <c r="G333" s="35" t="str">
        <f>VLOOKUP($B333,Chronologie[],COLUMN(G334)-2,TRUE)</f>
        <v>L</v>
      </c>
      <c r="H333" s="35">
        <f>VLOOKUP($B333,Chronologie[],COLUMN(H334)-2,TRUE)</f>
        <v>12</v>
      </c>
      <c r="I333" s="9" t="str">
        <f>VLOOKUP($B333,Chronologie[],2,TRUE)</f>
        <v>Z-L-12</v>
      </c>
      <c r="J333" s="242">
        <f>VLOOKUP($B333,Chronologie[],3,TRUE)</f>
        <v>46089</v>
      </c>
      <c r="K333" s="236"/>
      <c r="L333" s="334"/>
      <c r="M333" s="334"/>
      <c r="N333" s="334"/>
      <c r="O333" s="334"/>
      <c r="P333" s="334"/>
      <c r="Q333" s="334"/>
      <c r="R333" s="334"/>
      <c r="S333" s="334"/>
      <c r="T333" s="334"/>
      <c r="U333" s="334"/>
      <c r="V333" s="334"/>
      <c r="W333" s="334"/>
      <c r="X333" s="37"/>
      <c r="Y333" s="37"/>
      <c r="Z333" s="37"/>
      <c r="AA333" s="37"/>
      <c r="AB333" s="90"/>
      <c r="AC333" s="93" t="str">
        <f>IF(Eingabe[[#This Row],[V1]]="",IF(Eingabe[[#This Row],[Volle alternativ]]="","",Eingabe[[#This Row],[Volle alternativ]]),SUM(Eingabe[[#This Row],[V1]:[V4]]))</f>
        <v/>
      </c>
      <c r="AD333" s="35" t="str">
        <f>IF(Eingabe[[#This Row],[R1]]="",IF(Eingabe[[#This Row],[Räumer alternativ]]="","",Eingabe[[#This Row],[Räumer alternativ]]),SUM(Eingabe[[#This Row],[R1]:[R4]]))</f>
        <v/>
      </c>
      <c r="AE333" s="35" t="str">
        <f>IF(Eingabe[[#This Row],[F1]]="",IF(Eingabe[[#This Row],[Fehler alternativ]]="","",Eingabe[[#This Row],[Fehler alternativ]]),SUM(Eingabe[[#This Row],[F1]:[F4]]))</f>
        <v/>
      </c>
      <c r="AF333" s="35" t="str">
        <f>IF(Eingabe[[#This Row],[Volle]]="","",IF(Eingabe[[#This Row],[S1]]="",Eingabe[[#This Row],[Volle]]+Eingabe[[#This Row],[Räumer]],IF(Eingabe[[#This Row],[Volle]]+Eingabe[[#This Row],[Räumer]]=Eingabe[[#This Row],[S1]]+Eingabe[[#This Row],[S2]]+Eingabe[[#This Row],[S3]]+Eingabe[[#This Row],[S4]],Eingabe[[#This Row],[Volle]]+Eingabe[[#This Row],[Räumer]],"FEHLER")))</f>
        <v/>
      </c>
      <c r="AG333" s="35" t="str">
        <f>IF(Eingabe[[#This Row],[V1]]="","",Eingabe[[#This Row],[V1]]+Eingabe[[#This Row],[R1]])</f>
        <v/>
      </c>
      <c r="AH333" s="35" t="str">
        <f>IF(Eingabe[[#This Row],[V2]]="","",Eingabe[[#This Row],[V2]]+Eingabe[[#This Row],[R2]])</f>
        <v/>
      </c>
      <c r="AI333" s="35" t="str">
        <f>IF(Eingabe[[#This Row],[V3]]="","",Eingabe[[#This Row],[V3]]+Eingabe[[#This Row],[R3]])</f>
        <v/>
      </c>
      <c r="AJ333" s="35" t="str">
        <f>IF(Eingabe[[#This Row],[V4]]="","",Eingabe[[#This Row],[V4]]+Eingabe[[#This Row],[R4]])</f>
        <v/>
      </c>
      <c r="AK333" s="35" t="str">
        <f>IF(Eingabe[[#This Row],[S1P]]="","",Eingabe[[#This Row],[S1P]]+Eingabe[[#This Row],[S2P]]+Eingabe[[#This Row],[S3P]]+Eingabe[[#This Row],[S4P]])</f>
        <v/>
      </c>
      <c r="AL333" s="35" t="str">
        <f>IF(Eingabe[[#This Row],[S1P]]="","",IF(Eingabe[[#This Row],[SP]]&gt;2,1,IF(Eingabe[[#This Row],[SP]]&lt;2,0,IF(Eingabe[[#This Row],[GES]]&gt;Eingabe[[#This Row],[GEGGES]],1,IF(Eingabe[[#This Row],[GES]]=Eingabe[[#This Row],[GEGGES]],0.5,0)))))</f>
        <v/>
      </c>
      <c r="AM333" s="35" t="str">
        <f>IF(Eingabe[[#This Row],[MP]]="","",MOD(ROW(Eingabe[[#This Row],[Position]])-3,6)+1)</f>
        <v/>
      </c>
      <c r="AN333" s="35" t="e">
        <f>STANDARDIZE(Eingabe[[#This Row],[GES]],Eingabe[[#This Row],[Schnitt]],VLOOKUP(Eingabe[[#This Row],[Name]],AuswertungG[],21,FALSE))</f>
        <v>#VALUE!</v>
      </c>
      <c r="AO333" s="35">
        <f>VLOOKUP(Eingabe[[#This Row],[ID]],Chronologie[[ID]:[KW]],12,FALSE)</f>
        <v>28</v>
      </c>
      <c r="AP333" s="58" t="str">
        <f>IF(Eingabe[[#This Row],[Wo]]="H",Eingabe[[#This Row],[Gegner]]&amp;" ["&amp;Eingabe[[#This Row],[Wo]]&amp;"]",Eingabe[[#This Row],[Ort]])</f>
        <v>TSV Geyer [H]</v>
      </c>
      <c r="AQ333" s="35" t="str">
        <f>IFERROR(IF(Eingabe[[#This Row],[Wo]]="H",IF(MOD(Eingabe[[#This Row],[Position]],2)=1,Eingabe[[#This Row],[S1]],Eingabe[[#This Row],[S4]]),""),"")</f>
        <v/>
      </c>
      <c r="AR333" s="35" t="str">
        <f>IFERROR(IF(Eingabe[[#This Row],[Wo]]="H",IF(Eingabe[[#This Row],[S1]]&gt;0,IF(MOD(Eingabe[[#This Row],[Position]],2)=1,Eingabe[[#This Row],[S2]],Eingabe[[#This Row],[S3]]),""),""),"")</f>
        <v/>
      </c>
      <c r="AS333" s="35" t="str">
        <f>IFERROR(IF(Eingabe[[#This Row],[Wo]]="H",IF(Eingabe[[#This Row],[S1]]&gt;0,IF(MOD(ROW(Eingabe[[#This Row],[Heimbahn 3]]),2)=1,Eingabe[[#This Row],[S4]],Eingabe[[#This Row],[S1]]),""),""),"")</f>
        <v/>
      </c>
      <c r="AT333" s="35" t="str">
        <f>IFERROR(IF(Eingabe[[#This Row],[Wo]]="H",IF(Eingabe[[#This Row],[S1]]&gt;0,IF(MOD(ROW(Eingabe[[#This Row],[Heimbahn 4]]),2)=1,Eingabe[[#This Row],[S3]],Eingabe[[#This Row],[S2]]),""),""),"")</f>
        <v/>
      </c>
      <c r="AU333" s="88" t="str">
        <f>IF(Eingabe[[#This Row],[GES]]="","",IF(Eingabe[[#This Row],[Modus]]="L",_xlfn.RANK.EQ(Eingabe[[#This Row],[GES]],AF333:AF338),IF(Eingabe[[#This Row],[Modus]]="P",_xlfn.RANK.EQ(Eingabe[[#This Row],[GES]],AF333:AF338),"")))</f>
        <v/>
      </c>
      <c r="AV333" s="6" t="e">
        <f>VLOOKUP(Eingabe[[#This Row],[Name]],AuswertungG[],8,FALSE)</f>
        <v>#N/A</v>
      </c>
      <c r="AZ333" s="6" t="str">
        <f>IFERROR(ABS(Eingabe[[#This Row],[GES]]-Eingabe[[#This Row],[GEGGES]]),"")</f>
        <v/>
      </c>
    </row>
    <row r="334" spans="1:52" ht="16.2" hidden="1" thickBot="1" x14ac:dyDescent="0.35">
      <c r="A334" s="441"/>
      <c r="B334" s="21">
        <f t="shared" si="44"/>
        <v>56</v>
      </c>
      <c r="C334" s="6" t="str">
        <f>VLOOKUP($B334,Chronologie[],7,TRUE)</f>
        <v>TSV Geyer</v>
      </c>
      <c r="D334" s="6" t="str">
        <f>VLOOKUP($B334,Chronologie[],8,TRUE)</f>
        <v>Hirschfeld</v>
      </c>
      <c r="E334" s="240" t="str">
        <f>VLOOKUP($B334,Chronologie[],9,TRUE)</f>
        <v>H</v>
      </c>
      <c r="F334" s="6" t="str">
        <f>VLOOKUP($B334,Chronologie[],COLUMN(F335)-2,TRUE)</f>
        <v>Z</v>
      </c>
      <c r="G334" s="6" t="str">
        <f>VLOOKUP($B334,Chronologie[],COLUMN(G335)-2,TRUE)</f>
        <v>L</v>
      </c>
      <c r="H334" s="6">
        <f>VLOOKUP($B334,Chronologie[],COLUMN(H335)-2,TRUE)</f>
        <v>12</v>
      </c>
      <c r="I334" s="10" t="str">
        <f>VLOOKUP($B334,Chronologie[],2,TRUE)</f>
        <v>Z-L-12</v>
      </c>
      <c r="J334" s="243">
        <f>VLOOKUP($B334,Chronologie[],3,TRUE)</f>
        <v>46089</v>
      </c>
      <c r="K334" s="237"/>
      <c r="L334" s="237"/>
      <c r="M334" s="237"/>
      <c r="N334" s="237"/>
      <c r="O334" s="237"/>
      <c r="P334" s="237"/>
      <c r="Q334" s="237"/>
      <c r="R334" s="237"/>
      <c r="S334" s="237"/>
      <c r="T334" s="237"/>
      <c r="U334" s="237"/>
      <c r="V334" s="237"/>
      <c r="W334" s="237"/>
      <c r="X334" s="38"/>
      <c r="Y334" s="38"/>
      <c r="Z334" s="38"/>
      <c r="AA334" s="38"/>
      <c r="AB334" s="91"/>
      <c r="AC334" s="94" t="str">
        <f>IF(Eingabe[[#This Row],[V1]]="",IF(Eingabe[[#This Row],[Volle alternativ]]="","",Eingabe[[#This Row],[Volle alternativ]]),SUM(Eingabe[[#This Row],[V1]:[V4]]))</f>
        <v/>
      </c>
      <c r="AD334" s="6" t="str">
        <f>IF(Eingabe[[#This Row],[R1]]="",IF(Eingabe[[#This Row],[Räumer alternativ]]="","",Eingabe[[#This Row],[Räumer alternativ]]),SUM(Eingabe[[#This Row],[R1]:[R4]]))</f>
        <v/>
      </c>
      <c r="AE334" s="6" t="str">
        <f>IF(Eingabe[[#This Row],[F1]]="",IF(Eingabe[[#This Row],[Fehler alternativ]]="","",Eingabe[[#This Row],[Fehler alternativ]]),SUM(Eingabe[[#This Row],[F1]:[F4]]))</f>
        <v/>
      </c>
      <c r="AF334" s="6" t="str">
        <f>IF(Eingabe[[#This Row],[Volle]]="","",IF(Eingabe[[#This Row],[S1]]="",Eingabe[[#This Row],[Volle]]+Eingabe[[#This Row],[Räumer]],IF(Eingabe[[#This Row],[Volle]]+Eingabe[[#This Row],[Räumer]]=Eingabe[[#This Row],[S1]]+Eingabe[[#This Row],[S2]]+Eingabe[[#This Row],[S3]]+Eingabe[[#This Row],[S4]],Eingabe[[#This Row],[Volle]]+Eingabe[[#This Row],[Räumer]],"FEHLER")))</f>
        <v/>
      </c>
      <c r="AG334" s="6" t="str">
        <f>IF(Eingabe[[#This Row],[V1]]="","",Eingabe[[#This Row],[V1]]+Eingabe[[#This Row],[R1]])</f>
        <v/>
      </c>
      <c r="AH334" s="6" t="str">
        <f>IF(Eingabe[[#This Row],[V2]]="","",Eingabe[[#This Row],[V2]]+Eingabe[[#This Row],[R2]])</f>
        <v/>
      </c>
      <c r="AI334" s="6" t="str">
        <f>IF(Eingabe[[#This Row],[V3]]="","",Eingabe[[#This Row],[V3]]+Eingabe[[#This Row],[R3]])</f>
        <v/>
      </c>
      <c r="AJ334" s="6" t="str">
        <f>IF(Eingabe[[#This Row],[V4]]="","",Eingabe[[#This Row],[V4]]+Eingabe[[#This Row],[R4]])</f>
        <v/>
      </c>
      <c r="AK334" s="6" t="str">
        <f>IF(Eingabe[[#This Row],[S1P]]="","",Eingabe[[#This Row],[S1P]]+Eingabe[[#This Row],[S2P]]+Eingabe[[#This Row],[S3P]]+Eingabe[[#This Row],[S4P]])</f>
        <v/>
      </c>
      <c r="AL334" s="6" t="str">
        <f>IF(Eingabe[[#This Row],[S1P]]="","",IF(Eingabe[[#This Row],[SP]]&gt;2,1,IF(Eingabe[[#This Row],[SP]]&lt;2,0,IF(Eingabe[[#This Row],[GES]]&gt;Eingabe[[#This Row],[GEGGES]],1,IF(Eingabe[[#This Row],[GES]]=Eingabe[[#This Row],[GEGGES]],0.5,0)))))</f>
        <v/>
      </c>
      <c r="AM334" s="6" t="str">
        <f>IF(Eingabe[[#This Row],[MP]]="","",MOD(ROW(Eingabe[[#This Row],[Position]])-3,6)+1)</f>
        <v/>
      </c>
      <c r="AN334" s="6" t="e">
        <f>STANDARDIZE(Eingabe[[#This Row],[GES]],Eingabe[[#This Row],[Schnitt]],VLOOKUP(Eingabe[[#This Row],[Name]],AuswertungG[],21,FALSE))</f>
        <v>#VALUE!</v>
      </c>
      <c r="AO334" s="6">
        <f>VLOOKUP(Eingabe[[#This Row],[ID]],Chronologie[[ID]:[KW]],12,FALSE)</f>
        <v>28</v>
      </c>
      <c r="AP334" s="95" t="str">
        <f>IF(Eingabe[[#This Row],[Wo]]="H",Eingabe[[#This Row],[Gegner]]&amp;" ["&amp;Eingabe[[#This Row],[Wo]]&amp;"]",Eingabe[[#This Row],[Ort]])</f>
        <v>TSV Geyer [H]</v>
      </c>
      <c r="AQ334" s="6" t="str">
        <f>IFERROR(IF(Eingabe[[#This Row],[Wo]]="H",IF(MOD(Eingabe[[#This Row],[Position]],2)=1,Eingabe[[#This Row],[S1]],Eingabe[[#This Row],[S4]]),""),"")</f>
        <v/>
      </c>
      <c r="AR334" s="6" t="str">
        <f>IFERROR(IF(Eingabe[[#This Row],[Wo]]="H",IF(Eingabe[[#This Row],[S1]]&gt;0,IF(MOD(Eingabe[[#This Row],[Position]],2)=1,Eingabe[[#This Row],[S2]],Eingabe[[#This Row],[S3]]),""),""),"")</f>
        <v/>
      </c>
      <c r="AS334" s="6" t="str">
        <f>IFERROR(IF(Eingabe[[#This Row],[Wo]]="H",IF(Eingabe[[#This Row],[S1]]&gt;0,IF(MOD(ROW(Eingabe[[#This Row],[Heimbahn 3]]),2)=1,Eingabe[[#This Row],[S4]],Eingabe[[#This Row],[S1]]),""),""),"")</f>
        <v/>
      </c>
      <c r="AT334" s="6" t="str">
        <f>IFERROR(IF(Eingabe[[#This Row],[Wo]]="H",IF(Eingabe[[#This Row],[S1]]&gt;0,IF(MOD(ROW(Eingabe[[#This Row],[Heimbahn 4]]),2)=1,Eingabe[[#This Row],[S3]],Eingabe[[#This Row],[S2]]),""),""),"")</f>
        <v/>
      </c>
      <c r="AU334" s="22" t="str">
        <f>IF(Eingabe[[#This Row],[GES]]="","",IF(Eingabe[[#This Row],[Modus]]="L",_xlfn.RANK.EQ(Eingabe[[#This Row],[GES]],AF333:AF338),IF(Eingabe[[#This Row],[Modus]]="P",_xlfn.RANK.EQ(Eingabe[[#This Row],[GES]],AF333:AF338),"")))</f>
        <v/>
      </c>
      <c r="AV334" s="6" t="e">
        <f>VLOOKUP(Eingabe[[#This Row],[Name]],AuswertungG[],8,FALSE)</f>
        <v>#N/A</v>
      </c>
      <c r="AZ334" s="6" t="str">
        <f>IFERROR(ABS(Eingabe[[#This Row],[GES]]-Eingabe[[#This Row],[GEGGES]]),"")</f>
        <v/>
      </c>
    </row>
    <row r="335" spans="1:52" ht="16.2" hidden="1" thickBot="1" x14ac:dyDescent="0.35">
      <c r="A335" s="441"/>
      <c r="B335" s="21">
        <f t="shared" si="44"/>
        <v>56</v>
      </c>
      <c r="C335" s="6" t="str">
        <f>VLOOKUP($B335,Chronologie[],7,TRUE)</f>
        <v>TSV Geyer</v>
      </c>
      <c r="D335" s="6" t="str">
        <f>VLOOKUP($B335,Chronologie[],8,TRUE)</f>
        <v>Hirschfeld</v>
      </c>
      <c r="E335" s="240" t="str">
        <f>VLOOKUP($B335,Chronologie[],9,TRUE)</f>
        <v>H</v>
      </c>
      <c r="F335" s="6" t="str">
        <f>VLOOKUP($B335,Chronologie[],COLUMN(F336)-2,TRUE)</f>
        <v>Z</v>
      </c>
      <c r="G335" s="6" t="str">
        <f>VLOOKUP($B335,Chronologie[],COLUMN(G336)-2,TRUE)</f>
        <v>L</v>
      </c>
      <c r="H335" s="6">
        <f>VLOOKUP($B335,Chronologie[],COLUMN(H336)-2,TRUE)</f>
        <v>12</v>
      </c>
      <c r="I335" s="10" t="str">
        <f>VLOOKUP($B335,Chronologie[],2,TRUE)</f>
        <v>Z-L-12</v>
      </c>
      <c r="J335" s="243">
        <f>VLOOKUP($B335,Chronologie[],3,TRUE)</f>
        <v>46089</v>
      </c>
      <c r="K335" s="237"/>
      <c r="L335" s="237"/>
      <c r="M335" s="237"/>
      <c r="N335" s="237"/>
      <c r="O335" s="237"/>
      <c r="P335" s="237"/>
      <c r="Q335" s="237"/>
      <c r="R335" s="237"/>
      <c r="S335" s="237"/>
      <c r="T335" s="237"/>
      <c r="U335" s="237"/>
      <c r="V335" s="237"/>
      <c r="W335" s="237"/>
      <c r="X335" s="38"/>
      <c r="Y335" s="38"/>
      <c r="Z335" s="38"/>
      <c r="AA335" s="38"/>
      <c r="AB335" s="91"/>
      <c r="AC335" s="94" t="str">
        <f>IF(Eingabe[[#This Row],[V1]]="",IF(Eingabe[[#This Row],[Volle alternativ]]="","",Eingabe[[#This Row],[Volle alternativ]]),SUM(Eingabe[[#This Row],[V1]:[V4]]))</f>
        <v/>
      </c>
      <c r="AD335" s="6" t="str">
        <f>IF(Eingabe[[#This Row],[R1]]="",IF(Eingabe[[#This Row],[Räumer alternativ]]="","",Eingabe[[#This Row],[Räumer alternativ]]),SUM(Eingabe[[#This Row],[R1]:[R4]]))</f>
        <v/>
      </c>
      <c r="AE335" s="6" t="str">
        <f>IF(Eingabe[[#This Row],[F1]]="",IF(Eingabe[[#This Row],[Fehler alternativ]]="","",Eingabe[[#This Row],[Fehler alternativ]]),SUM(Eingabe[[#This Row],[F1]:[F4]]))</f>
        <v/>
      </c>
      <c r="AF335" s="6" t="str">
        <f>IF(Eingabe[[#This Row],[Volle]]="","",IF(Eingabe[[#This Row],[S1]]="",Eingabe[[#This Row],[Volle]]+Eingabe[[#This Row],[Räumer]],IF(Eingabe[[#This Row],[Volle]]+Eingabe[[#This Row],[Räumer]]=Eingabe[[#This Row],[S1]]+Eingabe[[#This Row],[S2]]+Eingabe[[#This Row],[S3]]+Eingabe[[#This Row],[S4]],Eingabe[[#This Row],[Volle]]+Eingabe[[#This Row],[Räumer]],"FEHLER")))</f>
        <v/>
      </c>
      <c r="AG335" s="6" t="str">
        <f>IF(Eingabe[[#This Row],[V1]]="","",Eingabe[[#This Row],[V1]]+Eingabe[[#This Row],[R1]])</f>
        <v/>
      </c>
      <c r="AH335" s="6" t="str">
        <f>IF(Eingabe[[#This Row],[V2]]="","",Eingabe[[#This Row],[V2]]+Eingabe[[#This Row],[R2]])</f>
        <v/>
      </c>
      <c r="AI335" s="6" t="str">
        <f>IF(Eingabe[[#This Row],[V3]]="","",Eingabe[[#This Row],[V3]]+Eingabe[[#This Row],[R3]])</f>
        <v/>
      </c>
      <c r="AJ335" s="6" t="str">
        <f>IF(Eingabe[[#This Row],[V4]]="","",Eingabe[[#This Row],[V4]]+Eingabe[[#This Row],[R4]])</f>
        <v/>
      </c>
      <c r="AK335" s="6" t="str">
        <f>IF(Eingabe[[#This Row],[S1P]]="","",Eingabe[[#This Row],[S1P]]+Eingabe[[#This Row],[S2P]]+Eingabe[[#This Row],[S3P]]+Eingabe[[#This Row],[S4P]])</f>
        <v/>
      </c>
      <c r="AL335" s="6" t="str">
        <f>IF(Eingabe[[#This Row],[S1P]]="","",IF(Eingabe[[#This Row],[SP]]&gt;2,1,IF(Eingabe[[#This Row],[SP]]&lt;2,0,IF(Eingabe[[#This Row],[GES]]&gt;Eingabe[[#This Row],[GEGGES]],1,IF(Eingabe[[#This Row],[GES]]=Eingabe[[#This Row],[GEGGES]],0.5,0)))))</f>
        <v/>
      </c>
      <c r="AM335" s="6" t="str">
        <f>IF(Eingabe[[#This Row],[MP]]="","",MOD(ROW(Eingabe[[#This Row],[Position]])-3,6)+1)</f>
        <v/>
      </c>
      <c r="AN335" s="6" t="e">
        <f>STANDARDIZE(Eingabe[[#This Row],[GES]],Eingabe[[#This Row],[Schnitt]],VLOOKUP(Eingabe[[#This Row],[Name]],AuswertungG[],21,FALSE))</f>
        <v>#VALUE!</v>
      </c>
      <c r="AO335" s="6">
        <f>VLOOKUP(Eingabe[[#This Row],[ID]],Chronologie[[ID]:[KW]],12,FALSE)</f>
        <v>28</v>
      </c>
      <c r="AP335" s="95" t="str">
        <f>IF(Eingabe[[#This Row],[Wo]]="H",Eingabe[[#This Row],[Gegner]]&amp;" ["&amp;Eingabe[[#This Row],[Wo]]&amp;"]",Eingabe[[#This Row],[Ort]])</f>
        <v>TSV Geyer [H]</v>
      </c>
      <c r="AQ335" s="6" t="str">
        <f>IFERROR(IF(Eingabe[[#This Row],[Wo]]="H",IF(MOD(Eingabe[[#This Row],[Position]],2)=1,Eingabe[[#This Row],[S1]],Eingabe[[#This Row],[S4]]),""),"")</f>
        <v/>
      </c>
      <c r="AR335" s="6" t="str">
        <f>IFERROR(IF(Eingabe[[#This Row],[Wo]]="H",IF(Eingabe[[#This Row],[S1]]&gt;0,IF(MOD(Eingabe[[#This Row],[Position]],2)=1,Eingabe[[#This Row],[S2]],Eingabe[[#This Row],[S3]]),""),""),"")</f>
        <v/>
      </c>
      <c r="AS335" s="6" t="str">
        <f>IFERROR(IF(Eingabe[[#This Row],[Wo]]="H",IF(Eingabe[[#This Row],[S1]]&gt;0,IF(MOD(ROW(Eingabe[[#This Row],[Heimbahn 3]]),2)=1,Eingabe[[#This Row],[S4]],Eingabe[[#This Row],[S1]]),""),""),"")</f>
        <v/>
      </c>
      <c r="AT335" s="6" t="str">
        <f>IFERROR(IF(Eingabe[[#This Row],[Wo]]="H",IF(Eingabe[[#This Row],[S1]]&gt;0,IF(MOD(ROW(Eingabe[[#This Row],[Heimbahn 4]]),2)=1,Eingabe[[#This Row],[S3]],Eingabe[[#This Row],[S2]]),""),""),"")</f>
        <v/>
      </c>
      <c r="AU335" s="22" t="str">
        <f>IF(Eingabe[[#This Row],[GES]]="","",IF(Eingabe[[#This Row],[Modus]]="L",_xlfn.RANK.EQ(Eingabe[[#This Row],[GES]],AF333:AF338),IF(Eingabe[[#This Row],[Modus]]="P",_xlfn.RANK.EQ(Eingabe[[#This Row],[GES]],AF333:AF338),"")))</f>
        <v/>
      </c>
      <c r="AV335" s="6" t="e">
        <f>VLOOKUP(Eingabe[[#This Row],[Name]],AuswertungG[],8,FALSE)</f>
        <v>#N/A</v>
      </c>
      <c r="AZ335" s="6" t="str">
        <f>IFERROR(ABS(Eingabe[[#This Row],[GES]]-Eingabe[[#This Row],[GEGGES]]),"")</f>
        <v/>
      </c>
    </row>
    <row r="336" spans="1:52" ht="16.2" hidden="1" thickBot="1" x14ac:dyDescent="0.35">
      <c r="A336" s="441"/>
      <c r="B336" s="21">
        <f t="shared" si="44"/>
        <v>56</v>
      </c>
      <c r="C336" s="6" t="str">
        <f>VLOOKUP($B336,Chronologie[],7,TRUE)</f>
        <v>TSV Geyer</v>
      </c>
      <c r="D336" s="6" t="str">
        <f>VLOOKUP($B336,Chronologie[],8,TRUE)</f>
        <v>Hirschfeld</v>
      </c>
      <c r="E336" s="240" t="str">
        <f>VLOOKUP($B336,Chronologie[],9,TRUE)</f>
        <v>H</v>
      </c>
      <c r="F336" s="6" t="str">
        <f>VLOOKUP($B336,Chronologie[],COLUMN(F337)-2,TRUE)</f>
        <v>Z</v>
      </c>
      <c r="G336" s="6" t="str">
        <f>VLOOKUP($B336,Chronologie[],COLUMN(G337)-2,TRUE)</f>
        <v>L</v>
      </c>
      <c r="H336" s="6">
        <f>VLOOKUP($B336,Chronologie[],COLUMN(H337)-2,TRUE)</f>
        <v>12</v>
      </c>
      <c r="I336" s="10" t="str">
        <f>VLOOKUP($B336,Chronologie[],2,TRUE)</f>
        <v>Z-L-12</v>
      </c>
      <c r="J336" s="243">
        <f>VLOOKUP($B336,Chronologie[],3,TRUE)</f>
        <v>46089</v>
      </c>
      <c r="K336" s="238"/>
      <c r="L336" s="237"/>
      <c r="M336" s="237"/>
      <c r="N336" s="237"/>
      <c r="O336" s="237"/>
      <c r="P336" s="237"/>
      <c r="Q336" s="237"/>
      <c r="R336" s="237"/>
      <c r="S336" s="237"/>
      <c r="T336" s="237"/>
      <c r="U336" s="237"/>
      <c r="V336" s="237"/>
      <c r="W336" s="237"/>
      <c r="X336" s="38"/>
      <c r="Y336" s="38"/>
      <c r="Z336" s="38"/>
      <c r="AA336" s="38"/>
      <c r="AB336" s="91"/>
      <c r="AC336" s="94" t="str">
        <f>IF(Eingabe[[#This Row],[V1]]="",IF(Eingabe[[#This Row],[Volle alternativ]]="","",Eingabe[[#This Row],[Volle alternativ]]),SUM(Eingabe[[#This Row],[V1]:[V4]]))</f>
        <v/>
      </c>
      <c r="AD336" s="6" t="str">
        <f>IF(Eingabe[[#This Row],[R1]]="",IF(Eingabe[[#This Row],[Räumer alternativ]]="","",Eingabe[[#This Row],[Räumer alternativ]]),SUM(Eingabe[[#This Row],[R1]:[R4]]))</f>
        <v/>
      </c>
      <c r="AE336" s="6" t="str">
        <f>IF(Eingabe[[#This Row],[F1]]="",IF(Eingabe[[#This Row],[Fehler alternativ]]="","",Eingabe[[#This Row],[Fehler alternativ]]),SUM(Eingabe[[#This Row],[F1]:[F4]]))</f>
        <v/>
      </c>
      <c r="AF336" s="6" t="str">
        <f>IF(Eingabe[[#This Row],[Volle]]="","",IF(Eingabe[[#This Row],[S1]]="",Eingabe[[#This Row],[Volle]]+Eingabe[[#This Row],[Räumer]],IF(Eingabe[[#This Row],[Volle]]+Eingabe[[#This Row],[Räumer]]=Eingabe[[#This Row],[S1]]+Eingabe[[#This Row],[S2]]+Eingabe[[#This Row],[S3]]+Eingabe[[#This Row],[S4]],Eingabe[[#This Row],[Volle]]+Eingabe[[#This Row],[Räumer]],"FEHLER")))</f>
        <v/>
      </c>
      <c r="AG336" s="6" t="str">
        <f>IF(Eingabe[[#This Row],[V1]]="","",Eingabe[[#This Row],[V1]]+Eingabe[[#This Row],[R1]])</f>
        <v/>
      </c>
      <c r="AH336" s="6" t="str">
        <f>IF(Eingabe[[#This Row],[V2]]="","",Eingabe[[#This Row],[V2]]+Eingabe[[#This Row],[R2]])</f>
        <v/>
      </c>
      <c r="AI336" s="6" t="str">
        <f>IF(Eingabe[[#This Row],[V3]]="","",Eingabe[[#This Row],[V3]]+Eingabe[[#This Row],[R3]])</f>
        <v/>
      </c>
      <c r="AJ336" s="6" t="str">
        <f>IF(Eingabe[[#This Row],[V4]]="","",Eingabe[[#This Row],[V4]]+Eingabe[[#This Row],[R4]])</f>
        <v/>
      </c>
      <c r="AK336" s="6" t="str">
        <f>IF(Eingabe[[#This Row],[S1P]]="","",Eingabe[[#This Row],[S1P]]+Eingabe[[#This Row],[S2P]]+Eingabe[[#This Row],[S3P]]+Eingabe[[#This Row],[S4P]])</f>
        <v/>
      </c>
      <c r="AL336" s="6" t="str">
        <f>IF(Eingabe[[#This Row],[S1P]]="","",IF(Eingabe[[#This Row],[SP]]&gt;2,1,IF(Eingabe[[#This Row],[SP]]&lt;2,0,IF(Eingabe[[#This Row],[GES]]&gt;Eingabe[[#This Row],[GEGGES]],1,IF(Eingabe[[#This Row],[GES]]=Eingabe[[#This Row],[GEGGES]],0.5,0)))))</f>
        <v/>
      </c>
      <c r="AM336" s="6" t="str">
        <f>IF(Eingabe[[#This Row],[MP]]="","",MOD(ROW(Eingabe[[#This Row],[Position]])-3,6)+1)</f>
        <v/>
      </c>
      <c r="AN336" s="6" t="e">
        <f>STANDARDIZE(Eingabe[[#This Row],[GES]],Eingabe[[#This Row],[Schnitt]],VLOOKUP(Eingabe[[#This Row],[Name]],AuswertungG[],21,FALSE))</f>
        <v>#VALUE!</v>
      </c>
      <c r="AO336" s="6">
        <f>VLOOKUP(Eingabe[[#This Row],[ID]],Chronologie[[ID]:[KW]],12,FALSE)</f>
        <v>28</v>
      </c>
      <c r="AP336" s="95" t="str">
        <f>IF(Eingabe[[#This Row],[Wo]]="H",Eingabe[[#This Row],[Gegner]]&amp;" ["&amp;Eingabe[[#This Row],[Wo]]&amp;"]",Eingabe[[#This Row],[Ort]])</f>
        <v>TSV Geyer [H]</v>
      </c>
      <c r="AQ336" s="6" t="str">
        <f>IFERROR(IF(Eingabe[[#This Row],[Wo]]="H",IF(MOD(Eingabe[[#This Row],[Position]],2)=1,Eingabe[[#This Row],[S1]],Eingabe[[#This Row],[S4]]),""),"")</f>
        <v/>
      </c>
      <c r="AR336" s="6" t="str">
        <f>IFERROR(IF(Eingabe[[#This Row],[Wo]]="H",IF(Eingabe[[#This Row],[S1]]&gt;0,IF(MOD(Eingabe[[#This Row],[Position]],2)=1,Eingabe[[#This Row],[S2]],Eingabe[[#This Row],[S3]]),""),""),"")</f>
        <v/>
      </c>
      <c r="AS336" s="6" t="str">
        <f>IFERROR(IF(Eingabe[[#This Row],[Wo]]="H",IF(Eingabe[[#This Row],[S1]]&gt;0,IF(MOD(ROW(Eingabe[[#This Row],[Heimbahn 3]]),2)=1,Eingabe[[#This Row],[S4]],Eingabe[[#This Row],[S1]]),""),""),"")</f>
        <v/>
      </c>
      <c r="AT336" s="6" t="str">
        <f>IFERROR(IF(Eingabe[[#This Row],[Wo]]="H",IF(Eingabe[[#This Row],[S1]]&gt;0,IF(MOD(ROW(Eingabe[[#This Row],[Heimbahn 4]]),2)=1,Eingabe[[#This Row],[S3]],Eingabe[[#This Row],[S2]]),""),""),"")</f>
        <v/>
      </c>
      <c r="AU336" s="22" t="str">
        <f>IF(Eingabe[[#This Row],[GES]]="","",IF(Eingabe[[#This Row],[Modus]]="L",_xlfn.RANK.EQ(Eingabe[[#This Row],[GES]],AF333:AF338),IF(Eingabe[[#This Row],[Modus]]="P",_xlfn.RANK.EQ(Eingabe[[#This Row],[GES]],AF333:AF338),"")))</f>
        <v/>
      </c>
      <c r="AV336" s="6" t="e">
        <f>VLOOKUP(Eingabe[[#This Row],[Name]],AuswertungG[],8,FALSE)</f>
        <v>#N/A</v>
      </c>
      <c r="AZ336" s="6" t="str">
        <f>IFERROR(ABS(Eingabe[[#This Row],[GES]]-Eingabe[[#This Row],[GEGGES]]),"")</f>
        <v/>
      </c>
    </row>
    <row r="337" spans="1:52" ht="16.2" hidden="1" thickBot="1" x14ac:dyDescent="0.35">
      <c r="A337" s="441"/>
      <c r="B337" s="21">
        <f t="shared" si="44"/>
        <v>56</v>
      </c>
      <c r="C337" s="6" t="str">
        <f>VLOOKUP($B337,Chronologie[],7,TRUE)</f>
        <v>TSV Geyer</v>
      </c>
      <c r="D337" s="6" t="str">
        <f>VLOOKUP($B337,Chronologie[],8,TRUE)</f>
        <v>Hirschfeld</v>
      </c>
      <c r="E337" s="240" t="str">
        <f>VLOOKUP($B337,Chronologie[],9,TRUE)</f>
        <v>H</v>
      </c>
      <c r="F337" s="6" t="str">
        <f>VLOOKUP($B337,Chronologie[],COLUMN(F338)-2,TRUE)</f>
        <v>Z</v>
      </c>
      <c r="G337" s="6" t="str">
        <f>VLOOKUP($B337,Chronologie[],COLUMN(G338)-2,TRUE)</f>
        <v>L</v>
      </c>
      <c r="H337" s="6">
        <f>VLOOKUP($B337,Chronologie[],COLUMN(H338)-2,TRUE)</f>
        <v>12</v>
      </c>
      <c r="I337" s="10" t="str">
        <f>VLOOKUP($B337,Chronologie[],2,TRUE)</f>
        <v>Z-L-12</v>
      </c>
      <c r="J337" s="243">
        <f>VLOOKUP($B337,Chronologie[],3,TRUE)</f>
        <v>46089</v>
      </c>
      <c r="K337" s="237"/>
      <c r="L337" s="237"/>
      <c r="M337" s="237"/>
      <c r="N337" s="237"/>
      <c r="O337" s="237"/>
      <c r="P337" s="237"/>
      <c r="Q337" s="237"/>
      <c r="R337" s="237"/>
      <c r="S337" s="237"/>
      <c r="T337" s="237"/>
      <c r="U337" s="237"/>
      <c r="V337" s="237"/>
      <c r="W337" s="237"/>
      <c r="X337" s="38"/>
      <c r="Y337" s="38"/>
      <c r="Z337" s="38"/>
      <c r="AA337" s="38"/>
      <c r="AB337" s="91"/>
      <c r="AC337" s="94" t="str">
        <f>IF(Eingabe[[#This Row],[V1]]="",IF(Eingabe[[#This Row],[Volle alternativ]]="","",Eingabe[[#This Row],[Volle alternativ]]),SUM(Eingabe[[#This Row],[V1]:[V4]]))</f>
        <v/>
      </c>
      <c r="AD337" s="6" t="str">
        <f>IF(Eingabe[[#This Row],[R1]]="",IF(Eingabe[[#This Row],[Räumer alternativ]]="","",Eingabe[[#This Row],[Räumer alternativ]]),SUM(Eingabe[[#This Row],[R1]:[R4]]))</f>
        <v/>
      </c>
      <c r="AE337" s="6" t="str">
        <f>IF(Eingabe[[#This Row],[F1]]="",IF(Eingabe[[#This Row],[Fehler alternativ]]="","",Eingabe[[#This Row],[Fehler alternativ]]),SUM(Eingabe[[#This Row],[F1]:[F4]]))</f>
        <v/>
      </c>
      <c r="AF337" s="6" t="str">
        <f>IF(Eingabe[[#This Row],[Volle]]="","",IF(Eingabe[[#This Row],[S1]]="",Eingabe[[#This Row],[Volle]]+Eingabe[[#This Row],[Räumer]],IF(Eingabe[[#This Row],[Volle]]+Eingabe[[#This Row],[Räumer]]=Eingabe[[#This Row],[S1]]+Eingabe[[#This Row],[S2]]+Eingabe[[#This Row],[S3]]+Eingabe[[#This Row],[S4]],Eingabe[[#This Row],[Volle]]+Eingabe[[#This Row],[Räumer]],"FEHLER")))</f>
        <v/>
      </c>
      <c r="AG337" s="6" t="str">
        <f>IF(Eingabe[[#This Row],[V1]]="","",Eingabe[[#This Row],[V1]]+Eingabe[[#This Row],[R1]])</f>
        <v/>
      </c>
      <c r="AH337" s="6" t="str">
        <f>IF(Eingabe[[#This Row],[V2]]="","",Eingabe[[#This Row],[V2]]+Eingabe[[#This Row],[R2]])</f>
        <v/>
      </c>
      <c r="AI337" s="6" t="str">
        <f>IF(Eingabe[[#This Row],[V3]]="","",Eingabe[[#This Row],[V3]]+Eingabe[[#This Row],[R3]])</f>
        <v/>
      </c>
      <c r="AJ337" s="6" t="str">
        <f>IF(Eingabe[[#This Row],[V4]]="","",Eingabe[[#This Row],[V4]]+Eingabe[[#This Row],[R4]])</f>
        <v/>
      </c>
      <c r="AK337" s="6" t="str">
        <f>IF(Eingabe[[#This Row],[S1P]]="","",Eingabe[[#This Row],[S1P]]+Eingabe[[#This Row],[S2P]]+Eingabe[[#This Row],[S3P]]+Eingabe[[#This Row],[S4P]])</f>
        <v/>
      </c>
      <c r="AL337" s="6" t="str">
        <f>IF(Eingabe[[#This Row],[S1P]]="","",IF(Eingabe[[#This Row],[SP]]&gt;2,1,IF(Eingabe[[#This Row],[SP]]&lt;2,0,IF(Eingabe[[#This Row],[GES]]&gt;Eingabe[[#This Row],[GEGGES]],1,IF(Eingabe[[#This Row],[GES]]=Eingabe[[#This Row],[GEGGES]],0.5,0)))))</f>
        <v/>
      </c>
      <c r="AM337" s="6" t="str">
        <f>IF(Eingabe[[#This Row],[MP]]="","",MOD(ROW(Eingabe[[#This Row],[Position]])-3,6)+1)</f>
        <v/>
      </c>
      <c r="AN337" s="6" t="e">
        <f>STANDARDIZE(Eingabe[[#This Row],[GES]],Eingabe[[#This Row],[Schnitt]],VLOOKUP(Eingabe[[#This Row],[Name]],AuswertungG[],21,FALSE))</f>
        <v>#VALUE!</v>
      </c>
      <c r="AO337" s="6">
        <f>VLOOKUP(Eingabe[[#This Row],[ID]],Chronologie[[ID]:[KW]],12,FALSE)</f>
        <v>28</v>
      </c>
      <c r="AP337" s="95" t="str">
        <f>IF(Eingabe[[#This Row],[Wo]]="H",Eingabe[[#This Row],[Gegner]]&amp;" ["&amp;Eingabe[[#This Row],[Wo]]&amp;"]",Eingabe[[#This Row],[Ort]])</f>
        <v>TSV Geyer [H]</v>
      </c>
      <c r="AQ337" s="6" t="str">
        <f>IFERROR(IF(Eingabe[[#This Row],[Wo]]="H",IF(MOD(Eingabe[[#This Row],[Position]],2)=1,Eingabe[[#This Row],[S1]],Eingabe[[#This Row],[S4]]),""),"")</f>
        <v/>
      </c>
      <c r="AR337" s="6" t="str">
        <f>IFERROR(IF(Eingabe[[#This Row],[Wo]]="H",IF(Eingabe[[#This Row],[S1]]&gt;0,IF(MOD(Eingabe[[#This Row],[Position]],2)=1,Eingabe[[#This Row],[S2]],Eingabe[[#This Row],[S3]]),""),""),"")</f>
        <v/>
      </c>
      <c r="AS337" s="6" t="str">
        <f>IFERROR(IF(Eingabe[[#This Row],[Wo]]="H",IF(Eingabe[[#This Row],[S1]]&gt;0,IF(MOD(ROW(Eingabe[[#This Row],[Heimbahn 3]]),2)=1,Eingabe[[#This Row],[S4]],Eingabe[[#This Row],[S1]]),""),""),"")</f>
        <v/>
      </c>
      <c r="AT337" s="6" t="str">
        <f>IFERROR(IF(Eingabe[[#This Row],[Wo]]="H",IF(Eingabe[[#This Row],[S1]]&gt;0,IF(MOD(ROW(Eingabe[[#This Row],[Heimbahn 4]]),2)=1,Eingabe[[#This Row],[S3]],Eingabe[[#This Row],[S2]]),""),""),"")</f>
        <v/>
      </c>
      <c r="AU337" s="22" t="str">
        <f>IF(Eingabe[[#This Row],[GES]]="","",IF(Eingabe[[#This Row],[Modus]]="L",_xlfn.RANK.EQ(Eingabe[[#This Row],[GES]],AF333:AF338),IF(Eingabe[[#This Row],[Modus]]="P",_xlfn.RANK.EQ(Eingabe[[#This Row],[GES]],AF333:AF338),"")))</f>
        <v/>
      </c>
      <c r="AV337" s="6" t="e">
        <f>VLOOKUP(Eingabe[[#This Row],[Name]],AuswertungG[],8,FALSE)</f>
        <v>#N/A</v>
      </c>
      <c r="AZ337" s="6" t="str">
        <f>IFERROR(ABS(Eingabe[[#This Row],[GES]]-Eingabe[[#This Row],[GEGGES]]),"")</f>
        <v/>
      </c>
    </row>
    <row r="338" spans="1:52" ht="16.2" hidden="1" thickBot="1" x14ac:dyDescent="0.35">
      <c r="A338" s="442"/>
      <c r="B338" s="56">
        <f t="shared" si="44"/>
        <v>56</v>
      </c>
      <c r="C338" s="23" t="str">
        <f>VLOOKUP($B338,Chronologie[],7,TRUE)</f>
        <v>TSV Geyer</v>
      </c>
      <c r="D338" s="23" t="str">
        <f>VLOOKUP($B338,Chronologie[],8,TRUE)</f>
        <v>Hirschfeld</v>
      </c>
      <c r="E338" s="39" t="str">
        <f>VLOOKUP($B338,Chronologie[],9,TRUE)</f>
        <v>H</v>
      </c>
      <c r="F338" s="23" t="str">
        <f>VLOOKUP($B338,Chronologie[],COLUMN(F339)-2,TRUE)</f>
        <v>Z</v>
      </c>
      <c r="G338" s="23" t="str">
        <f>VLOOKUP($B338,Chronologie[],COLUMN(G339)-2,TRUE)</f>
        <v>L</v>
      </c>
      <c r="H338" s="23">
        <f>VLOOKUP($B338,Chronologie[],COLUMN(H339)-2,TRUE)</f>
        <v>12</v>
      </c>
      <c r="I338" s="13" t="str">
        <f>VLOOKUP($B338,Chronologie[],2,TRUE)</f>
        <v>Z-L-12</v>
      </c>
      <c r="J338" s="244">
        <f>VLOOKUP($B338,Chronologie[],3,TRUE)</f>
        <v>46089</v>
      </c>
      <c r="K338" s="239"/>
      <c r="L338" s="239"/>
      <c r="M338" s="239"/>
      <c r="N338" s="239"/>
      <c r="O338" s="239"/>
      <c r="P338" s="239"/>
      <c r="Q338" s="239"/>
      <c r="R338" s="239"/>
      <c r="S338" s="239"/>
      <c r="T338" s="239"/>
      <c r="U338" s="239"/>
      <c r="V338" s="239"/>
      <c r="W338" s="239"/>
      <c r="X338" s="40"/>
      <c r="Y338" s="40"/>
      <c r="Z338" s="40"/>
      <c r="AA338" s="40"/>
      <c r="AB338" s="92"/>
      <c r="AC338" s="96" t="str">
        <f>IF(Eingabe[[#This Row],[V1]]="",IF(Eingabe[[#This Row],[Volle alternativ]]="","",Eingabe[[#This Row],[Volle alternativ]]),SUM(Eingabe[[#This Row],[V1]:[V4]]))</f>
        <v/>
      </c>
      <c r="AD338" s="23" t="str">
        <f>IF(Eingabe[[#This Row],[R1]]="",IF(Eingabe[[#This Row],[Räumer alternativ]]="","",Eingabe[[#This Row],[Räumer alternativ]]),SUM(Eingabe[[#This Row],[R1]:[R4]]))</f>
        <v/>
      </c>
      <c r="AE338" s="23" t="str">
        <f>IF(Eingabe[[#This Row],[F1]]="",IF(Eingabe[[#This Row],[Fehler alternativ]]="","",Eingabe[[#This Row],[Fehler alternativ]]),SUM(Eingabe[[#This Row],[F1]:[F4]]))</f>
        <v/>
      </c>
      <c r="AF338" s="23" t="str">
        <f>IF(Eingabe[[#This Row],[Volle]]="","",IF(Eingabe[[#This Row],[S1]]="",Eingabe[[#This Row],[Volle]]+Eingabe[[#This Row],[Räumer]],IF(Eingabe[[#This Row],[Volle]]+Eingabe[[#This Row],[Räumer]]=Eingabe[[#This Row],[S1]]+Eingabe[[#This Row],[S2]]+Eingabe[[#This Row],[S3]]+Eingabe[[#This Row],[S4]],Eingabe[[#This Row],[Volle]]+Eingabe[[#This Row],[Räumer]],"FEHLER")))</f>
        <v/>
      </c>
      <c r="AG338" s="23" t="str">
        <f>IF(Eingabe[[#This Row],[V1]]="","",Eingabe[[#This Row],[V1]]+Eingabe[[#This Row],[R1]])</f>
        <v/>
      </c>
      <c r="AH338" s="23" t="str">
        <f>IF(Eingabe[[#This Row],[V2]]="","",Eingabe[[#This Row],[V2]]+Eingabe[[#This Row],[R2]])</f>
        <v/>
      </c>
      <c r="AI338" s="23" t="str">
        <f>IF(Eingabe[[#This Row],[V3]]="","",Eingabe[[#This Row],[V3]]+Eingabe[[#This Row],[R3]])</f>
        <v/>
      </c>
      <c r="AJ338" s="23" t="str">
        <f>IF(Eingabe[[#This Row],[V4]]="","",Eingabe[[#This Row],[V4]]+Eingabe[[#This Row],[R4]])</f>
        <v/>
      </c>
      <c r="AK338" s="23" t="str">
        <f>IF(Eingabe[[#This Row],[S1P]]="","",Eingabe[[#This Row],[S1P]]+Eingabe[[#This Row],[S2P]]+Eingabe[[#This Row],[S3P]]+Eingabe[[#This Row],[S4P]])</f>
        <v/>
      </c>
      <c r="AL338" s="23" t="str">
        <f>IF(Eingabe[[#This Row],[S1P]]="","",IF(Eingabe[[#This Row],[SP]]&gt;2,1,IF(Eingabe[[#This Row],[SP]]&lt;2,0,IF(Eingabe[[#This Row],[GES]]&gt;Eingabe[[#This Row],[GEGGES]],1,IF(Eingabe[[#This Row],[GES]]=Eingabe[[#This Row],[GEGGES]],0.5,0)))))</f>
        <v/>
      </c>
      <c r="AM338" s="23" t="str">
        <f>IF(Eingabe[[#This Row],[MP]]="","",MOD(ROW(Eingabe[[#This Row],[Position]])-3,6)+1)</f>
        <v/>
      </c>
      <c r="AN338" s="23" t="e">
        <f>STANDARDIZE(Eingabe[[#This Row],[GES]],Eingabe[[#This Row],[Schnitt]],VLOOKUP(Eingabe[[#This Row],[Name]],AuswertungG[],21,FALSE))</f>
        <v>#VALUE!</v>
      </c>
      <c r="AO338" s="23">
        <f>VLOOKUP(Eingabe[[#This Row],[ID]],Chronologie[[ID]:[KW]],12,FALSE)</f>
        <v>28</v>
      </c>
      <c r="AP338" s="59" t="str">
        <f>IF(Eingabe[[#This Row],[Wo]]="H",Eingabe[[#This Row],[Gegner]]&amp;" ["&amp;Eingabe[[#This Row],[Wo]]&amp;"]",Eingabe[[#This Row],[Ort]])</f>
        <v>TSV Geyer [H]</v>
      </c>
      <c r="AQ338" s="23" t="str">
        <f>IFERROR(IF(Eingabe[[#This Row],[Wo]]="H",IF(MOD(Eingabe[[#This Row],[Position]],2)=1,Eingabe[[#This Row],[S1]],Eingabe[[#This Row],[S4]]),""),"")</f>
        <v/>
      </c>
      <c r="AR338" s="23" t="str">
        <f>IFERROR(IF(Eingabe[[#This Row],[Wo]]="H",IF(Eingabe[[#This Row],[S1]]&gt;0,IF(MOD(Eingabe[[#This Row],[Position]],2)=1,Eingabe[[#This Row],[S2]],Eingabe[[#This Row],[S3]]),""),""),"")</f>
        <v/>
      </c>
      <c r="AS338" s="23" t="str">
        <f>IFERROR(IF(Eingabe[[#This Row],[Wo]]="H",IF(Eingabe[[#This Row],[S1]]&gt;0,IF(MOD(ROW(Eingabe[[#This Row],[Heimbahn 3]]),2)=1,Eingabe[[#This Row],[S4]],Eingabe[[#This Row],[S1]]),""),""),"")</f>
        <v/>
      </c>
      <c r="AT338" s="23" t="str">
        <f>IFERROR(IF(Eingabe[[#This Row],[Wo]]="H",IF(Eingabe[[#This Row],[S1]]&gt;0,IF(MOD(ROW(Eingabe[[#This Row],[Heimbahn 4]]),2)=1,Eingabe[[#This Row],[S3]],Eingabe[[#This Row],[S2]]),""),""),"")</f>
        <v/>
      </c>
      <c r="AU338" s="89" t="str">
        <f>IF(Eingabe[[#This Row],[GES]]="","",IF(Eingabe[[#This Row],[Modus]]="L",_xlfn.RANK.EQ(Eingabe[[#This Row],[GES]],AF333:AF338),IF(Eingabe[[#This Row],[Modus]]="P",_xlfn.RANK.EQ(Eingabe[[#This Row],[GES]],AF333:AF338),"")))</f>
        <v/>
      </c>
      <c r="AV338" s="6" t="e">
        <f>VLOOKUP(Eingabe[[#This Row],[Name]],AuswertungG[],8,FALSE)</f>
        <v>#N/A</v>
      </c>
      <c r="AZ338" s="6" t="str">
        <f>IFERROR(ABS(Eingabe[[#This Row],[GES]]-Eingabe[[#This Row],[GEGGES]]),"")</f>
        <v/>
      </c>
    </row>
    <row r="339" spans="1:52" ht="16.2" hidden="1" thickBot="1" x14ac:dyDescent="0.35">
      <c r="A339" s="440">
        <f t="shared" si="43"/>
        <v>57</v>
      </c>
      <c r="B339" s="55">
        <f t="shared" si="44"/>
        <v>57</v>
      </c>
      <c r="C339" s="35" t="str">
        <f>VLOOKUP($B339,Chronologie[],7,TRUE)</f>
        <v>KSV Grün-Weiß Leubsdorf</v>
      </c>
      <c r="D339" s="35" t="str">
        <f>VLOOKUP($B339,Chronologie[],8,TRUE)</f>
        <v>Leubsdorf</v>
      </c>
      <c r="E339" s="36" t="str">
        <f>VLOOKUP($B339,Chronologie[],9,TRUE)</f>
        <v>A</v>
      </c>
      <c r="F339" s="35" t="str">
        <f>VLOOKUP($B339,Chronologie[],COLUMN(F340)-2,TRUE)</f>
        <v>Z</v>
      </c>
      <c r="G339" s="35" t="str">
        <f>VLOOKUP($B339,Chronologie[],COLUMN(G340)-2,TRUE)</f>
        <v>L</v>
      </c>
      <c r="H339" s="35">
        <f>VLOOKUP($B339,Chronologie[],COLUMN(H340)-2,TRUE)</f>
        <v>13</v>
      </c>
      <c r="I339" s="9" t="str">
        <f>VLOOKUP($B339,Chronologie[],2,TRUE)</f>
        <v>Z-L-13</v>
      </c>
      <c r="J339" s="242">
        <f>VLOOKUP($B339,Chronologie[],3,TRUE)</f>
        <v>46103</v>
      </c>
      <c r="K339" s="236"/>
      <c r="L339" s="334"/>
      <c r="M339" s="334"/>
      <c r="N339" s="334"/>
      <c r="O339" s="334"/>
      <c r="P339" s="334"/>
      <c r="Q339" s="334"/>
      <c r="R339" s="334"/>
      <c r="S339" s="334"/>
      <c r="T339" s="334"/>
      <c r="U339" s="334"/>
      <c r="V339" s="334"/>
      <c r="W339" s="334"/>
      <c r="X339" s="37"/>
      <c r="Y339" s="37"/>
      <c r="Z339" s="37"/>
      <c r="AA339" s="37"/>
      <c r="AB339" s="90"/>
      <c r="AC339" s="93" t="str">
        <f>IF(Eingabe[[#This Row],[V1]]="",IF(Eingabe[[#This Row],[Volle alternativ]]="","",Eingabe[[#This Row],[Volle alternativ]]),SUM(Eingabe[[#This Row],[V1]:[V4]]))</f>
        <v/>
      </c>
      <c r="AD339" s="35" t="str">
        <f>IF(Eingabe[[#This Row],[R1]]="",IF(Eingabe[[#This Row],[Räumer alternativ]]="","",Eingabe[[#This Row],[Räumer alternativ]]),SUM(Eingabe[[#This Row],[R1]:[R4]]))</f>
        <v/>
      </c>
      <c r="AE339" s="35" t="str">
        <f>IF(Eingabe[[#This Row],[F1]]="",IF(Eingabe[[#This Row],[Fehler alternativ]]="","",Eingabe[[#This Row],[Fehler alternativ]]),SUM(Eingabe[[#This Row],[F1]:[F4]]))</f>
        <v/>
      </c>
      <c r="AF339" s="35" t="str">
        <f>IF(Eingabe[[#This Row],[Volle]]="","",IF(Eingabe[[#This Row],[S1]]="",Eingabe[[#This Row],[Volle]]+Eingabe[[#This Row],[Räumer]],IF(Eingabe[[#This Row],[Volle]]+Eingabe[[#This Row],[Räumer]]=Eingabe[[#This Row],[S1]]+Eingabe[[#This Row],[S2]]+Eingabe[[#This Row],[S3]]+Eingabe[[#This Row],[S4]],Eingabe[[#This Row],[Volle]]+Eingabe[[#This Row],[Räumer]],"FEHLER")))</f>
        <v/>
      </c>
      <c r="AG339" s="35" t="str">
        <f>IF(Eingabe[[#This Row],[V1]]="","",Eingabe[[#This Row],[V1]]+Eingabe[[#This Row],[R1]])</f>
        <v/>
      </c>
      <c r="AH339" s="35" t="str">
        <f>IF(Eingabe[[#This Row],[V2]]="","",Eingabe[[#This Row],[V2]]+Eingabe[[#This Row],[R2]])</f>
        <v/>
      </c>
      <c r="AI339" s="35" t="str">
        <f>IF(Eingabe[[#This Row],[V3]]="","",Eingabe[[#This Row],[V3]]+Eingabe[[#This Row],[R3]])</f>
        <v/>
      </c>
      <c r="AJ339" s="35" t="str">
        <f>IF(Eingabe[[#This Row],[V4]]="","",Eingabe[[#This Row],[V4]]+Eingabe[[#This Row],[R4]])</f>
        <v/>
      </c>
      <c r="AK339" s="35" t="str">
        <f>IF(Eingabe[[#This Row],[S1P]]="","",Eingabe[[#This Row],[S1P]]+Eingabe[[#This Row],[S2P]]+Eingabe[[#This Row],[S3P]]+Eingabe[[#This Row],[S4P]])</f>
        <v/>
      </c>
      <c r="AL339" s="35" t="str">
        <f>IF(Eingabe[[#This Row],[S1P]]="","",IF(Eingabe[[#This Row],[SP]]&gt;2,1,IF(Eingabe[[#This Row],[SP]]&lt;2,0,IF(Eingabe[[#This Row],[GES]]&gt;Eingabe[[#This Row],[GEGGES]],1,IF(Eingabe[[#This Row],[GES]]=Eingabe[[#This Row],[GEGGES]],0.5,0)))))</f>
        <v/>
      </c>
      <c r="AM339" s="35" t="str">
        <f>IF(Eingabe[[#This Row],[MP]]="","",MOD(ROW(Eingabe[[#This Row],[Position]])-3,6)+1)</f>
        <v/>
      </c>
      <c r="AN339" s="35" t="e">
        <f>STANDARDIZE(Eingabe[[#This Row],[GES]],Eingabe[[#This Row],[Schnitt]],VLOOKUP(Eingabe[[#This Row],[Name]],AuswertungG[],21,FALSE))</f>
        <v>#VALUE!</v>
      </c>
      <c r="AO339" s="35">
        <f>VLOOKUP(Eingabe[[#This Row],[ID]],Chronologie[[ID]:[KW]],12,FALSE)</f>
        <v>30</v>
      </c>
      <c r="AP339" s="58" t="str">
        <f>IF(Eingabe[[#This Row],[Wo]]="H",Eingabe[[#This Row],[Gegner]]&amp;" ["&amp;Eingabe[[#This Row],[Wo]]&amp;"]",Eingabe[[#This Row],[Ort]])</f>
        <v>Leubsdorf</v>
      </c>
      <c r="AQ339" s="35" t="str">
        <f>IFERROR(IF(Eingabe[[#This Row],[Wo]]="H",IF(MOD(Eingabe[[#This Row],[Position]],2)=1,Eingabe[[#This Row],[S1]],Eingabe[[#This Row],[S4]]),""),"")</f>
        <v/>
      </c>
      <c r="AR339" s="35" t="str">
        <f>IFERROR(IF(Eingabe[[#This Row],[Wo]]="H",IF(Eingabe[[#This Row],[S1]]&gt;0,IF(MOD(Eingabe[[#This Row],[Position]],2)=1,Eingabe[[#This Row],[S2]],Eingabe[[#This Row],[S3]]),""),""),"")</f>
        <v/>
      </c>
      <c r="AS339" s="35" t="str">
        <f>IFERROR(IF(Eingabe[[#This Row],[Wo]]="H",IF(Eingabe[[#This Row],[S1]]&gt;0,IF(MOD(ROW(Eingabe[[#This Row],[Heimbahn 3]]),2)=1,Eingabe[[#This Row],[S4]],Eingabe[[#This Row],[S1]]),""),""),"")</f>
        <v/>
      </c>
      <c r="AT339" s="35" t="str">
        <f>IFERROR(IF(Eingabe[[#This Row],[Wo]]="H",IF(Eingabe[[#This Row],[S1]]&gt;0,IF(MOD(ROW(Eingabe[[#This Row],[Heimbahn 4]]),2)=1,Eingabe[[#This Row],[S3]],Eingabe[[#This Row],[S2]]),""),""),"")</f>
        <v/>
      </c>
      <c r="AU339" s="88" t="str">
        <f>IF(Eingabe[[#This Row],[GES]]="","",IF(Eingabe[[#This Row],[Modus]]="L",_xlfn.RANK.EQ(Eingabe[[#This Row],[GES]],AF339:AF344),IF(Eingabe[[#This Row],[Modus]]="P",_xlfn.RANK.EQ(Eingabe[[#This Row],[GES]],AF339:AF344),"")))</f>
        <v/>
      </c>
      <c r="AV339" s="6" t="e">
        <f>VLOOKUP(Eingabe[[#This Row],[Name]],AuswertungG[],8,FALSE)</f>
        <v>#N/A</v>
      </c>
      <c r="AZ339" s="6" t="str">
        <f>IFERROR(ABS(Eingabe[[#This Row],[GES]]-Eingabe[[#This Row],[GEGGES]]),"")</f>
        <v/>
      </c>
    </row>
    <row r="340" spans="1:52" ht="16.2" hidden="1" thickBot="1" x14ac:dyDescent="0.35">
      <c r="A340" s="441"/>
      <c r="B340" s="21">
        <f t="shared" si="44"/>
        <v>57</v>
      </c>
      <c r="C340" s="6" t="str">
        <f>VLOOKUP($B340,Chronologie[],7,TRUE)</f>
        <v>KSV Grün-Weiß Leubsdorf</v>
      </c>
      <c r="D340" s="6" t="str">
        <f>VLOOKUP($B340,Chronologie[],8,TRUE)</f>
        <v>Leubsdorf</v>
      </c>
      <c r="E340" s="240" t="str">
        <f>VLOOKUP($B340,Chronologie[],9,TRUE)</f>
        <v>A</v>
      </c>
      <c r="F340" s="6" t="str">
        <f>VLOOKUP($B340,Chronologie[],COLUMN(F341)-2,TRUE)</f>
        <v>Z</v>
      </c>
      <c r="G340" s="6" t="str">
        <f>VLOOKUP($B340,Chronologie[],COLUMN(G341)-2,TRUE)</f>
        <v>L</v>
      </c>
      <c r="H340" s="6">
        <f>VLOOKUP($B340,Chronologie[],COLUMN(H341)-2,TRUE)</f>
        <v>13</v>
      </c>
      <c r="I340" s="10" t="str">
        <f>VLOOKUP($B340,Chronologie[],2,TRUE)</f>
        <v>Z-L-13</v>
      </c>
      <c r="J340" s="243">
        <f>VLOOKUP($B340,Chronologie[],3,TRUE)</f>
        <v>46103</v>
      </c>
      <c r="K340" s="237"/>
      <c r="L340" s="237"/>
      <c r="M340" s="237"/>
      <c r="N340" s="237"/>
      <c r="O340" s="237"/>
      <c r="P340" s="237"/>
      <c r="Q340" s="237"/>
      <c r="R340" s="237"/>
      <c r="S340" s="237"/>
      <c r="T340" s="237"/>
      <c r="U340" s="237"/>
      <c r="V340" s="237"/>
      <c r="W340" s="237"/>
      <c r="X340" s="38"/>
      <c r="Y340" s="38"/>
      <c r="Z340" s="38"/>
      <c r="AA340" s="38"/>
      <c r="AB340" s="91"/>
      <c r="AC340" s="94" t="str">
        <f>IF(Eingabe[[#This Row],[V1]]="",IF(Eingabe[[#This Row],[Volle alternativ]]="","",Eingabe[[#This Row],[Volle alternativ]]),SUM(Eingabe[[#This Row],[V1]:[V4]]))</f>
        <v/>
      </c>
      <c r="AD340" s="6" t="str">
        <f>IF(Eingabe[[#This Row],[R1]]="",IF(Eingabe[[#This Row],[Räumer alternativ]]="","",Eingabe[[#This Row],[Räumer alternativ]]),SUM(Eingabe[[#This Row],[R1]:[R4]]))</f>
        <v/>
      </c>
      <c r="AE340" s="6" t="str">
        <f>IF(Eingabe[[#This Row],[F1]]="",IF(Eingabe[[#This Row],[Fehler alternativ]]="","",Eingabe[[#This Row],[Fehler alternativ]]),SUM(Eingabe[[#This Row],[F1]:[F4]]))</f>
        <v/>
      </c>
      <c r="AF340" s="6" t="str">
        <f>IF(Eingabe[[#This Row],[Volle]]="","",IF(Eingabe[[#This Row],[S1]]="",Eingabe[[#This Row],[Volle]]+Eingabe[[#This Row],[Räumer]],IF(Eingabe[[#This Row],[Volle]]+Eingabe[[#This Row],[Räumer]]=Eingabe[[#This Row],[S1]]+Eingabe[[#This Row],[S2]]+Eingabe[[#This Row],[S3]]+Eingabe[[#This Row],[S4]],Eingabe[[#This Row],[Volle]]+Eingabe[[#This Row],[Räumer]],"FEHLER")))</f>
        <v/>
      </c>
      <c r="AG340" s="6" t="str">
        <f>IF(Eingabe[[#This Row],[V1]]="","",Eingabe[[#This Row],[V1]]+Eingabe[[#This Row],[R1]])</f>
        <v/>
      </c>
      <c r="AH340" s="6" t="str">
        <f>IF(Eingabe[[#This Row],[V2]]="","",Eingabe[[#This Row],[V2]]+Eingabe[[#This Row],[R2]])</f>
        <v/>
      </c>
      <c r="AI340" s="6" t="str">
        <f>IF(Eingabe[[#This Row],[V3]]="","",Eingabe[[#This Row],[V3]]+Eingabe[[#This Row],[R3]])</f>
        <v/>
      </c>
      <c r="AJ340" s="6" t="str">
        <f>IF(Eingabe[[#This Row],[V4]]="","",Eingabe[[#This Row],[V4]]+Eingabe[[#This Row],[R4]])</f>
        <v/>
      </c>
      <c r="AK340" s="6" t="str">
        <f>IF(Eingabe[[#This Row],[S1P]]="","",Eingabe[[#This Row],[S1P]]+Eingabe[[#This Row],[S2P]]+Eingabe[[#This Row],[S3P]]+Eingabe[[#This Row],[S4P]])</f>
        <v/>
      </c>
      <c r="AL340" s="6" t="str">
        <f>IF(Eingabe[[#This Row],[S1P]]="","",IF(Eingabe[[#This Row],[SP]]&gt;2,1,IF(Eingabe[[#This Row],[SP]]&lt;2,0,IF(Eingabe[[#This Row],[GES]]&gt;Eingabe[[#This Row],[GEGGES]],1,IF(Eingabe[[#This Row],[GES]]=Eingabe[[#This Row],[GEGGES]],0.5,0)))))</f>
        <v/>
      </c>
      <c r="AM340" s="6" t="str">
        <f>IF(Eingabe[[#This Row],[MP]]="","",MOD(ROW(Eingabe[[#This Row],[Position]])-3,6)+1)</f>
        <v/>
      </c>
      <c r="AN340" s="6" t="e">
        <f>STANDARDIZE(Eingabe[[#This Row],[GES]],Eingabe[[#This Row],[Schnitt]],VLOOKUP(Eingabe[[#This Row],[Name]],AuswertungG[],21,FALSE))</f>
        <v>#VALUE!</v>
      </c>
      <c r="AO340" s="6">
        <f>VLOOKUP(Eingabe[[#This Row],[ID]],Chronologie[[ID]:[KW]],12,FALSE)</f>
        <v>30</v>
      </c>
      <c r="AP340" s="95" t="str">
        <f>IF(Eingabe[[#This Row],[Wo]]="H",Eingabe[[#This Row],[Gegner]]&amp;" ["&amp;Eingabe[[#This Row],[Wo]]&amp;"]",Eingabe[[#This Row],[Ort]])</f>
        <v>Leubsdorf</v>
      </c>
      <c r="AQ340" s="6" t="str">
        <f>IFERROR(IF(Eingabe[[#This Row],[Wo]]="H",IF(MOD(Eingabe[[#This Row],[Position]],2)=1,Eingabe[[#This Row],[S1]],Eingabe[[#This Row],[S4]]),""),"")</f>
        <v/>
      </c>
      <c r="AR340" s="6" t="str">
        <f>IFERROR(IF(Eingabe[[#This Row],[Wo]]="H",IF(Eingabe[[#This Row],[S1]]&gt;0,IF(MOD(Eingabe[[#This Row],[Position]],2)=1,Eingabe[[#This Row],[S2]],Eingabe[[#This Row],[S3]]),""),""),"")</f>
        <v/>
      </c>
      <c r="AS340" s="6" t="str">
        <f>IFERROR(IF(Eingabe[[#This Row],[Wo]]="H",IF(Eingabe[[#This Row],[S1]]&gt;0,IF(MOD(ROW(Eingabe[[#This Row],[Heimbahn 3]]),2)=1,Eingabe[[#This Row],[S4]],Eingabe[[#This Row],[S1]]),""),""),"")</f>
        <v/>
      </c>
      <c r="AT340" s="6" t="str">
        <f>IFERROR(IF(Eingabe[[#This Row],[Wo]]="H",IF(Eingabe[[#This Row],[S1]]&gt;0,IF(MOD(ROW(Eingabe[[#This Row],[Heimbahn 4]]),2)=1,Eingabe[[#This Row],[S3]],Eingabe[[#This Row],[S2]]),""),""),"")</f>
        <v/>
      </c>
      <c r="AU340" s="22" t="str">
        <f>IF(Eingabe[[#This Row],[GES]]="","",IF(Eingabe[[#This Row],[Modus]]="L",_xlfn.RANK.EQ(Eingabe[[#This Row],[GES]],AF339:AF344),IF(Eingabe[[#This Row],[Modus]]="P",_xlfn.RANK.EQ(Eingabe[[#This Row],[GES]],AF339:AF344),"")))</f>
        <v/>
      </c>
      <c r="AV340" s="6" t="e">
        <f>VLOOKUP(Eingabe[[#This Row],[Name]],AuswertungG[],8,FALSE)</f>
        <v>#N/A</v>
      </c>
      <c r="AZ340" s="6" t="str">
        <f>IFERROR(ABS(Eingabe[[#This Row],[GES]]-Eingabe[[#This Row],[GEGGES]]),"")</f>
        <v/>
      </c>
    </row>
    <row r="341" spans="1:52" ht="16.2" hidden="1" thickBot="1" x14ac:dyDescent="0.35">
      <c r="A341" s="441"/>
      <c r="B341" s="21">
        <f t="shared" si="44"/>
        <v>57</v>
      </c>
      <c r="C341" s="6" t="str">
        <f>VLOOKUP($B341,Chronologie[],7,TRUE)</f>
        <v>KSV Grün-Weiß Leubsdorf</v>
      </c>
      <c r="D341" s="6" t="str">
        <f>VLOOKUP($B341,Chronologie[],8,TRUE)</f>
        <v>Leubsdorf</v>
      </c>
      <c r="E341" s="240" t="str">
        <f>VLOOKUP($B341,Chronologie[],9,TRUE)</f>
        <v>A</v>
      </c>
      <c r="F341" s="6" t="str">
        <f>VLOOKUP($B341,Chronologie[],COLUMN(F342)-2,TRUE)</f>
        <v>Z</v>
      </c>
      <c r="G341" s="6" t="str">
        <f>VLOOKUP($B341,Chronologie[],COLUMN(G342)-2,TRUE)</f>
        <v>L</v>
      </c>
      <c r="H341" s="6">
        <f>VLOOKUP($B341,Chronologie[],COLUMN(H342)-2,TRUE)</f>
        <v>13</v>
      </c>
      <c r="I341" s="10" t="str">
        <f>VLOOKUP($B341,Chronologie[],2,TRUE)</f>
        <v>Z-L-13</v>
      </c>
      <c r="J341" s="243">
        <f>VLOOKUP($B341,Chronologie[],3,TRUE)</f>
        <v>46103</v>
      </c>
      <c r="K341" s="237"/>
      <c r="L341" s="237"/>
      <c r="M341" s="237"/>
      <c r="N341" s="237"/>
      <c r="O341" s="237"/>
      <c r="P341" s="237"/>
      <c r="Q341" s="237"/>
      <c r="R341" s="237"/>
      <c r="S341" s="237"/>
      <c r="T341" s="237"/>
      <c r="U341" s="237"/>
      <c r="V341" s="237"/>
      <c r="W341" s="237"/>
      <c r="X341" s="38"/>
      <c r="Y341" s="38"/>
      <c r="Z341" s="38"/>
      <c r="AA341" s="38"/>
      <c r="AB341" s="91"/>
      <c r="AC341" s="94" t="str">
        <f>IF(Eingabe[[#This Row],[V1]]="",IF(Eingabe[[#This Row],[Volle alternativ]]="","",Eingabe[[#This Row],[Volle alternativ]]),SUM(Eingabe[[#This Row],[V1]:[V4]]))</f>
        <v/>
      </c>
      <c r="AD341" s="6" t="str">
        <f>IF(Eingabe[[#This Row],[R1]]="",IF(Eingabe[[#This Row],[Räumer alternativ]]="","",Eingabe[[#This Row],[Räumer alternativ]]),SUM(Eingabe[[#This Row],[R1]:[R4]]))</f>
        <v/>
      </c>
      <c r="AE341" s="6" t="str">
        <f>IF(Eingabe[[#This Row],[F1]]="",IF(Eingabe[[#This Row],[Fehler alternativ]]="","",Eingabe[[#This Row],[Fehler alternativ]]),SUM(Eingabe[[#This Row],[F1]:[F4]]))</f>
        <v/>
      </c>
      <c r="AF341" s="6" t="str">
        <f>IF(Eingabe[[#This Row],[Volle]]="","",IF(Eingabe[[#This Row],[S1]]="",Eingabe[[#This Row],[Volle]]+Eingabe[[#This Row],[Räumer]],IF(Eingabe[[#This Row],[Volle]]+Eingabe[[#This Row],[Räumer]]=Eingabe[[#This Row],[S1]]+Eingabe[[#This Row],[S2]]+Eingabe[[#This Row],[S3]]+Eingabe[[#This Row],[S4]],Eingabe[[#This Row],[Volle]]+Eingabe[[#This Row],[Räumer]],"FEHLER")))</f>
        <v/>
      </c>
      <c r="AG341" s="6" t="str">
        <f>IF(Eingabe[[#This Row],[V1]]="","",Eingabe[[#This Row],[V1]]+Eingabe[[#This Row],[R1]])</f>
        <v/>
      </c>
      <c r="AH341" s="6" t="str">
        <f>IF(Eingabe[[#This Row],[V2]]="","",Eingabe[[#This Row],[V2]]+Eingabe[[#This Row],[R2]])</f>
        <v/>
      </c>
      <c r="AI341" s="6" t="str">
        <f>IF(Eingabe[[#This Row],[V3]]="","",Eingabe[[#This Row],[V3]]+Eingabe[[#This Row],[R3]])</f>
        <v/>
      </c>
      <c r="AJ341" s="6" t="str">
        <f>IF(Eingabe[[#This Row],[V4]]="","",Eingabe[[#This Row],[V4]]+Eingabe[[#This Row],[R4]])</f>
        <v/>
      </c>
      <c r="AK341" s="6" t="str">
        <f>IF(Eingabe[[#This Row],[S1P]]="","",Eingabe[[#This Row],[S1P]]+Eingabe[[#This Row],[S2P]]+Eingabe[[#This Row],[S3P]]+Eingabe[[#This Row],[S4P]])</f>
        <v/>
      </c>
      <c r="AL341" s="6" t="str">
        <f>IF(Eingabe[[#This Row],[S1P]]="","",IF(Eingabe[[#This Row],[SP]]&gt;2,1,IF(Eingabe[[#This Row],[SP]]&lt;2,0,IF(Eingabe[[#This Row],[GES]]&gt;Eingabe[[#This Row],[GEGGES]],1,IF(Eingabe[[#This Row],[GES]]=Eingabe[[#This Row],[GEGGES]],0.5,0)))))</f>
        <v/>
      </c>
      <c r="AM341" s="6" t="str">
        <f>IF(Eingabe[[#This Row],[MP]]="","",MOD(ROW(Eingabe[[#This Row],[Position]])-3,6)+1)</f>
        <v/>
      </c>
      <c r="AN341" s="6" t="e">
        <f>STANDARDIZE(Eingabe[[#This Row],[GES]],Eingabe[[#This Row],[Schnitt]],VLOOKUP(Eingabe[[#This Row],[Name]],AuswertungG[],21,FALSE))</f>
        <v>#VALUE!</v>
      </c>
      <c r="AO341" s="6">
        <f>VLOOKUP(Eingabe[[#This Row],[ID]],Chronologie[[ID]:[KW]],12,FALSE)</f>
        <v>30</v>
      </c>
      <c r="AP341" s="95" t="str">
        <f>IF(Eingabe[[#This Row],[Wo]]="H",Eingabe[[#This Row],[Gegner]]&amp;" ["&amp;Eingabe[[#This Row],[Wo]]&amp;"]",Eingabe[[#This Row],[Ort]])</f>
        <v>Leubsdorf</v>
      </c>
      <c r="AQ341" s="6" t="str">
        <f>IFERROR(IF(Eingabe[[#This Row],[Wo]]="H",IF(MOD(Eingabe[[#This Row],[Position]],2)=1,Eingabe[[#This Row],[S1]],Eingabe[[#This Row],[S4]]),""),"")</f>
        <v/>
      </c>
      <c r="AR341" s="6" t="str">
        <f>IFERROR(IF(Eingabe[[#This Row],[Wo]]="H",IF(Eingabe[[#This Row],[S1]]&gt;0,IF(MOD(Eingabe[[#This Row],[Position]],2)=1,Eingabe[[#This Row],[S2]],Eingabe[[#This Row],[S3]]),""),""),"")</f>
        <v/>
      </c>
      <c r="AS341" s="6" t="str">
        <f>IFERROR(IF(Eingabe[[#This Row],[Wo]]="H",IF(Eingabe[[#This Row],[S1]]&gt;0,IF(MOD(ROW(Eingabe[[#This Row],[Heimbahn 3]]),2)=1,Eingabe[[#This Row],[S4]],Eingabe[[#This Row],[S1]]),""),""),"")</f>
        <v/>
      </c>
      <c r="AT341" s="6" t="str">
        <f>IFERROR(IF(Eingabe[[#This Row],[Wo]]="H",IF(Eingabe[[#This Row],[S1]]&gt;0,IF(MOD(ROW(Eingabe[[#This Row],[Heimbahn 4]]),2)=1,Eingabe[[#This Row],[S3]],Eingabe[[#This Row],[S2]]),""),""),"")</f>
        <v/>
      </c>
      <c r="AU341" s="22" t="str">
        <f>IF(Eingabe[[#This Row],[GES]]="","",IF(Eingabe[[#This Row],[Modus]]="L",_xlfn.RANK.EQ(Eingabe[[#This Row],[GES]],AF339:AF344),IF(Eingabe[[#This Row],[Modus]]="P",_xlfn.RANK.EQ(Eingabe[[#This Row],[GES]],AF339:AF344),"")))</f>
        <v/>
      </c>
      <c r="AV341" s="6" t="e">
        <f>VLOOKUP(Eingabe[[#This Row],[Name]],AuswertungG[],8,FALSE)</f>
        <v>#N/A</v>
      </c>
      <c r="AZ341" s="6" t="str">
        <f>IFERROR(ABS(Eingabe[[#This Row],[GES]]-Eingabe[[#This Row],[GEGGES]]),"")</f>
        <v/>
      </c>
    </row>
    <row r="342" spans="1:52" ht="16.2" hidden="1" thickBot="1" x14ac:dyDescent="0.35">
      <c r="A342" s="441"/>
      <c r="B342" s="21">
        <f t="shared" si="44"/>
        <v>57</v>
      </c>
      <c r="C342" s="6" t="str">
        <f>VLOOKUP($B342,Chronologie[],7,TRUE)</f>
        <v>KSV Grün-Weiß Leubsdorf</v>
      </c>
      <c r="D342" s="6" t="str">
        <f>VLOOKUP($B342,Chronologie[],8,TRUE)</f>
        <v>Leubsdorf</v>
      </c>
      <c r="E342" s="240" t="str">
        <f>VLOOKUP($B342,Chronologie[],9,TRUE)</f>
        <v>A</v>
      </c>
      <c r="F342" s="6" t="str">
        <f>VLOOKUP($B342,Chronologie[],COLUMN(F343)-2,TRUE)</f>
        <v>Z</v>
      </c>
      <c r="G342" s="6" t="str">
        <f>VLOOKUP($B342,Chronologie[],COLUMN(G343)-2,TRUE)</f>
        <v>L</v>
      </c>
      <c r="H342" s="6">
        <f>VLOOKUP($B342,Chronologie[],COLUMN(H343)-2,TRUE)</f>
        <v>13</v>
      </c>
      <c r="I342" s="10" t="str">
        <f>VLOOKUP($B342,Chronologie[],2,TRUE)</f>
        <v>Z-L-13</v>
      </c>
      <c r="J342" s="243">
        <f>VLOOKUP($B342,Chronologie[],3,TRUE)</f>
        <v>46103</v>
      </c>
      <c r="K342" s="238"/>
      <c r="L342" s="237"/>
      <c r="M342" s="237"/>
      <c r="N342" s="237"/>
      <c r="O342" s="237"/>
      <c r="P342" s="237"/>
      <c r="Q342" s="237"/>
      <c r="R342" s="237"/>
      <c r="S342" s="237"/>
      <c r="T342" s="237"/>
      <c r="U342" s="237"/>
      <c r="V342" s="237"/>
      <c r="W342" s="237"/>
      <c r="X342" s="38"/>
      <c r="Y342" s="38"/>
      <c r="Z342" s="38"/>
      <c r="AA342" s="38"/>
      <c r="AB342" s="91"/>
      <c r="AC342" s="94" t="str">
        <f>IF(Eingabe[[#This Row],[V1]]="",IF(Eingabe[[#This Row],[Volle alternativ]]="","",Eingabe[[#This Row],[Volle alternativ]]),SUM(Eingabe[[#This Row],[V1]:[V4]]))</f>
        <v/>
      </c>
      <c r="AD342" s="6" t="str">
        <f>IF(Eingabe[[#This Row],[R1]]="",IF(Eingabe[[#This Row],[Räumer alternativ]]="","",Eingabe[[#This Row],[Räumer alternativ]]),SUM(Eingabe[[#This Row],[R1]:[R4]]))</f>
        <v/>
      </c>
      <c r="AE342" s="6" t="str">
        <f>IF(Eingabe[[#This Row],[F1]]="",IF(Eingabe[[#This Row],[Fehler alternativ]]="","",Eingabe[[#This Row],[Fehler alternativ]]),SUM(Eingabe[[#This Row],[F1]:[F4]]))</f>
        <v/>
      </c>
      <c r="AF342" s="6" t="str">
        <f>IF(Eingabe[[#This Row],[Volle]]="","",IF(Eingabe[[#This Row],[S1]]="",Eingabe[[#This Row],[Volle]]+Eingabe[[#This Row],[Räumer]],IF(Eingabe[[#This Row],[Volle]]+Eingabe[[#This Row],[Räumer]]=Eingabe[[#This Row],[S1]]+Eingabe[[#This Row],[S2]]+Eingabe[[#This Row],[S3]]+Eingabe[[#This Row],[S4]],Eingabe[[#This Row],[Volle]]+Eingabe[[#This Row],[Räumer]],"FEHLER")))</f>
        <v/>
      </c>
      <c r="AG342" s="6" t="str">
        <f>IF(Eingabe[[#This Row],[V1]]="","",Eingabe[[#This Row],[V1]]+Eingabe[[#This Row],[R1]])</f>
        <v/>
      </c>
      <c r="AH342" s="6" t="str">
        <f>IF(Eingabe[[#This Row],[V2]]="","",Eingabe[[#This Row],[V2]]+Eingabe[[#This Row],[R2]])</f>
        <v/>
      </c>
      <c r="AI342" s="6" t="str">
        <f>IF(Eingabe[[#This Row],[V3]]="","",Eingabe[[#This Row],[V3]]+Eingabe[[#This Row],[R3]])</f>
        <v/>
      </c>
      <c r="AJ342" s="6" t="str">
        <f>IF(Eingabe[[#This Row],[V4]]="","",Eingabe[[#This Row],[V4]]+Eingabe[[#This Row],[R4]])</f>
        <v/>
      </c>
      <c r="AK342" s="6" t="str">
        <f>IF(Eingabe[[#This Row],[S1P]]="","",Eingabe[[#This Row],[S1P]]+Eingabe[[#This Row],[S2P]]+Eingabe[[#This Row],[S3P]]+Eingabe[[#This Row],[S4P]])</f>
        <v/>
      </c>
      <c r="AL342" s="6" t="str">
        <f>IF(Eingabe[[#This Row],[S1P]]="","",IF(Eingabe[[#This Row],[SP]]&gt;2,1,IF(Eingabe[[#This Row],[SP]]&lt;2,0,IF(Eingabe[[#This Row],[GES]]&gt;Eingabe[[#This Row],[GEGGES]],1,IF(Eingabe[[#This Row],[GES]]=Eingabe[[#This Row],[GEGGES]],0.5,0)))))</f>
        <v/>
      </c>
      <c r="AM342" s="6" t="str">
        <f>IF(Eingabe[[#This Row],[MP]]="","",MOD(ROW(Eingabe[[#This Row],[Position]])-3,6)+1)</f>
        <v/>
      </c>
      <c r="AN342" s="6" t="e">
        <f>STANDARDIZE(Eingabe[[#This Row],[GES]],Eingabe[[#This Row],[Schnitt]],VLOOKUP(Eingabe[[#This Row],[Name]],AuswertungG[],21,FALSE))</f>
        <v>#VALUE!</v>
      </c>
      <c r="AO342" s="6">
        <f>VLOOKUP(Eingabe[[#This Row],[ID]],Chronologie[[ID]:[KW]],12,FALSE)</f>
        <v>30</v>
      </c>
      <c r="AP342" s="95" t="str">
        <f>IF(Eingabe[[#This Row],[Wo]]="H",Eingabe[[#This Row],[Gegner]]&amp;" ["&amp;Eingabe[[#This Row],[Wo]]&amp;"]",Eingabe[[#This Row],[Ort]])</f>
        <v>Leubsdorf</v>
      </c>
      <c r="AQ342" s="6" t="str">
        <f>IFERROR(IF(Eingabe[[#This Row],[Wo]]="H",IF(MOD(Eingabe[[#This Row],[Position]],2)=1,Eingabe[[#This Row],[S1]],Eingabe[[#This Row],[S4]]),""),"")</f>
        <v/>
      </c>
      <c r="AR342" s="6" t="str">
        <f>IFERROR(IF(Eingabe[[#This Row],[Wo]]="H",IF(Eingabe[[#This Row],[S1]]&gt;0,IF(MOD(Eingabe[[#This Row],[Position]],2)=1,Eingabe[[#This Row],[S2]],Eingabe[[#This Row],[S3]]),""),""),"")</f>
        <v/>
      </c>
      <c r="AS342" s="6" t="str">
        <f>IFERROR(IF(Eingabe[[#This Row],[Wo]]="H",IF(Eingabe[[#This Row],[S1]]&gt;0,IF(MOD(ROW(Eingabe[[#This Row],[Heimbahn 3]]),2)=1,Eingabe[[#This Row],[S4]],Eingabe[[#This Row],[S1]]),""),""),"")</f>
        <v/>
      </c>
      <c r="AT342" s="6" t="str">
        <f>IFERROR(IF(Eingabe[[#This Row],[Wo]]="H",IF(Eingabe[[#This Row],[S1]]&gt;0,IF(MOD(ROW(Eingabe[[#This Row],[Heimbahn 4]]),2)=1,Eingabe[[#This Row],[S3]],Eingabe[[#This Row],[S2]]),""),""),"")</f>
        <v/>
      </c>
      <c r="AU342" s="22" t="str">
        <f>IF(Eingabe[[#This Row],[GES]]="","",IF(Eingabe[[#This Row],[Modus]]="L",_xlfn.RANK.EQ(Eingabe[[#This Row],[GES]],AF339:AF344),IF(Eingabe[[#This Row],[Modus]]="P",_xlfn.RANK.EQ(Eingabe[[#This Row],[GES]],AF339:AF344),"")))</f>
        <v/>
      </c>
      <c r="AV342" s="6" t="e">
        <f>VLOOKUP(Eingabe[[#This Row],[Name]],AuswertungG[],8,FALSE)</f>
        <v>#N/A</v>
      </c>
      <c r="AZ342" s="6" t="str">
        <f>IFERROR(ABS(Eingabe[[#This Row],[GES]]-Eingabe[[#This Row],[GEGGES]]),"")</f>
        <v/>
      </c>
    </row>
    <row r="343" spans="1:52" ht="16.2" hidden="1" thickBot="1" x14ac:dyDescent="0.35">
      <c r="A343" s="441"/>
      <c r="B343" s="21">
        <f t="shared" si="44"/>
        <v>57</v>
      </c>
      <c r="C343" s="6" t="str">
        <f>VLOOKUP($B343,Chronologie[],7,TRUE)</f>
        <v>KSV Grün-Weiß Leubsdorf</v>
      </c>
      <c r="D343" s="6" t="str">
        <f>VLOOKUP($B343,Chronologie[],8,TRUE)</f>
        <v>Leubsdorf</v>
      </c>
      <c r="E343" s="240" t="str">
        <f>VLOOKUP($B343,Chronologie[],9,TRUE)</f>
        <v>A</v>
      </c>
      <c r="F343" s="6" t="str">
        <f>VLOOKUP($B343,Chronologie[],COLUMN(F344)-2,TRUE)</f>
        <v>Z</v>
      </c>
      <c r="G343" s="6" t="str">
        <f>VLOOKUP($B343,Chronologie[],COLUMN(G344)-2,TRUE)</f>
        <v>L</v>
      </c>
      <c r="H343" s="6">
        <f>VLOOKUP($B343,Chronologie[],COLUMN(H344)-2,TRUE)</f>
        <v>13</v>
      </c>
      <c r="I343" s="10" t="str">
        <f>VLOOKUP($B343,Chronologie[],2,TRUE)</f>
        <v>Z-L-13</v>
      </c>
      <c r="J343" s="243">
        <f>VLOOKUP($B343,Chronologie[],3,TRUE)</f>
        <v>46103</v>
      </c>
      <c r="K343" s="237"/>
      <c r="L343" s="237"/>
      <c r="M343" s="237"/>
      <c r="N343" s="237"/>
      <c r="O343" s="237"/>
      <c r="P343" s="237"/>
      <c r="Q343" s="237"/>
      <c r="R343" s="237"/>
      <c r="S343" s="237"/>
      <c r="T343" s="237"/>
      <c r="U343" s="237"/>
      <c r="V343" s="237"/>
      <c r="W343" s="237"/>
      <c r="X343" s="38"/>
      <c r="Y343" s="38"/>
      <c r="Z343" s="38"/>
      <c r="AA343" s="38"/>
      <c r="AB343" s="91"/>
      <c r="AC343" s="94" t="str">
        <f>IF(Eingabe[[#This Row],[V1]]="",IF(Eingabe[[#This Row],[Volle alternativ]]="","",Eingabe[[#This Row],[Volle alternativ]]),SUM(Eingabe[[#This Row],[V1]:[V4]]))</f>
        <v/>
      </c>
      <c r="AD343" s="6" t="str">
        <f>IF(Eingabe[[#This Row],[R1]]="",IF(Eingabe[[#This Row],[Räumer alternativ]]="","",Eingabe[[#This Row],[Räumer alternativ]]),SUM(Eingabe[[#This Row],[R1]:[R4]]))</f>
        <v/>
      </c>
      <c r="AE343" s="6" t="str">
        <f>IF(Eingabe[[#This Row],[F1]]="",IF(Eingabe[[#This Row],[Fehler alternativ]]="","",Eingabe[[#This Row],[Fehler alternativ]]),SUM(Eingabe[[#This Row],[F1]:[F4]]))</f>
        <v/>
      </c>
      <c r="AF343" s="6" t="str">
        <f>IF(Eingabe[[#This Row],[Volle]]="","",IF(Eingabe[[#This Row],[S1]]="",Eingabe[[#This Row],[Volle]]+Eingabe[[#This Row],[Räumer]],IF(Eingabe[[#This Row],[Volle]]+Eingabe[[#This Row],[Räumer]]=Eingabe[[#This Row],[S1]]+Eingabe[[#This Row],[S2]]+Eingabe[[#This Row],[S3]]+Eingabe[[#This Row],[S4]],Eingabe[[#This Row],[Volle]]+Eingabe[[#This Row],[Räumer]],"FEHLER")))</f>
        <v/>
      </c>
      <c r="AG343" s="6" t="str">
        <f>IF(Eingabe[[#This Row],[V1]]="","",Eingabe[[#This Row],[V1]]+Eingabe[[#This Row],[R1]])</f>
        <v/>
      </c>
      <c r="AH343" s="6" t="str">
        <f>IF(Eingabe[[#This Row],[V2]]="","",Eingabe[[#This Row],[V2]]+Eingabe[[#This Row],[R2]])</f>
        <v/>
      </c>
      <c r="AI343" s="6" t="str">
        <f>IF(Eingabe[[#This Row],[V3]]="","",Eingabe[[#This Row],[V3]]+Eingabe[[#This Row],[R3]])</f>
        <v/>
      </c>
      <c r="AJ343" s="6" t="str">
        <f>IF(Eingabe[[#This Row],[V4]]="","",Eingabe[[#This Row],[V4]]+Eingabe[[#This Row],[R4]])</f>
        <v/>
      </c>
      <c r="AK343" s="6" t="str">
        <f>IF(Eingabe[[#This Row],[S1P]]="","",Eingabe[[#This Row],[S1P]]+Eingabe[[#This Row],[S2P]]+Eingabe[[#This Row],[S3P]]+Eingabe[[#This Row],[S4P]])</f>
        <v/>
      </c>
      <c r="AL343" s="6" t="str">
        <f>IF(Eingabe[[#This Row],[S1P]]="","",IF(Eingabe[[#This Row],[SP]]&gt;2,1,IF(Eingabe[[#This Row],[SP]]&lt;2,0,IF(Eingabe[[#This Row],[GES]]&gt;Eingabe[[#This Row],[GEGGES]],1,IF(Eingabe[[#This Row],[GES]]=Eingabe[[#This Row],[GEGGES]],0.5,0)))))</f>
        <v/>
      </c>
      <c r="AM343" s="6" t="str">
        <f>IF(Eingabe[[#This Row],[MP]]="","",MOD(ROW(Eingabe[[#This Row],[Position]])-3,6)+1)</f>
        <v/>
      </c>
      <c r="AN343" s="6" t="e">
        <f>STANDARDIZE(Eingabe[[#This Row],[GES]],Eingabe[[#This Row],[Schnitt]],VLOOKUP(Eingabe[[#This Row],[Name]],AuswertungG[],21,FALSE))</f>
        <v>#VALUE!</v>
      </c>
      <c r="AO343" s="6">
        <f>VLOOKUP(Eingabe[[#This Row],[ID]],Chronologie[[ID]:[KW]],12,FALSE)</f>
        <v>30</v>
      </c>
      <c r="AP343" s="95" t="str">
        <f>IF(Eingabe[[#This Row],[Wo]]="H",Eingabe[[#This Row],[Gegner]]&amp;" ["&amp;Eingabe[[#This Row],[Wo]]&amp;"]",Eingabe[[#This Row],[Ort]])</f>
        <v>Leubsdorf</v>
      </c>
      <c r="AQ343" s="6" t="str">
        <f>IFERROR(IF(Eingabe[[#This Row],[Wo]]="H",IF(MOD(Eingabe[[#This Row],[Position]],2)=1,Eingabe[[#This Row],[S1]],Eingabe[[#This Row],[S4]]),""),"")</f>
        <v/>
      </c>
      <c r="AR343" s="6" t="str">
        <f>IFERROR(IF(Eingabe[[#This Row],[Wo]]="H",IF(Eingabe[[#This Row],[S1]]&gt;0,IF(MOD(Eingabe[[#This Row],[Position]],2)=1,Eingabe[[#This Row],[S2]],Eingabe[[#This Row],[S3]]),""),""),"")</f>
        <v/>
      </c>
      <c r="AS343" s="6" t="str">
        <f>IFERROR(IF(Eingabe[[#This Row],[Wo]]="H",IF(Eingabe[[#This Row],[S1]]&gt;0,IF(MOD(ROW(Eingabe[[#This Row],[Heimbahn 3]]),2)=1,Eingabe[[#This Row],[S4]],Eingabe[[#This Row],[S1]]),""),""),"")</f>
        <v/>
      </c>
      <c r="AT343" s="6" t="str">
        <f>IFERROR(IF(Eingabe[[#This Row],[Wo]]="H",IF(Eingabe[[#This Row],[S1]]&gt;0,IF(MOD(ROW(Eingabe[[#This Row],[Heimbahn 4]]),2)=1,Eingabe[[#This Row],[S3]],Eingabe[[#This Row],[S2]]),""),""),"")</f>
        <v/>
      </c>
      <c r="AU343" s="22" t="str">
        <f>IF(Eingabe[[#This Row],[GES]]="","",IF(Eingabe[[#This Row],[Modus]]="L",_xlfn.RANK.EQ(Eingabe[[#This Row],[GES]],AF339:AF344),IF(Eingabe[[#This Row],[Modus]]="P",_xlfn.RANK.EQ(Eingabe[[#This Row],[GES]],AF339:AF344),"")))</f>
        <v/>
      </c>
      <c r="AV343" s="6" t="e">
        <f>VLOOKUP(Eingabe[[#This Row],[Name]],AuswertungG[],8,FALSE)</f>
        <v>#N/A</v>
      </c>
      <c r="AZ343" s="6" t="str">
        <f>IFERROR(ABS(Eingabe[[#This Row],[GES]]-Eingabe[[#This Row],[GEGGES]]),"")</f>
        <v/>
      </c>
    </row>
    <row r="344" spans="1:52" ht="16.2" hidden="1" thickBot="1" x14ac:dyDescent="0.35">
      <c r="A344" s="442"/>
      <c r="B344" s="56">
        <f t="shared" si="44"/>
        <v>57</v>
      </c>
      <c r="C344" s="23" t="str">
        <f>VLOOKUP($B344,Chronologie[],7,TRUE)</f>
        <v>KSV Grün-Weiß Leubsdorf</v>
      </c>
      <c r="D344" s="23" t="str">
        <f>VLOOKUP($B344,Chronologie[],8,TRUE)</f>
        <v>Leubsdorf</v>
      </c>
      <c r="E344" s="39" t="str">
        <f>VLOOKUP($B344,Chronologie[],9,TRUE)</f>
        <v>A</v>
      </c>
      <c r="F344" s="23" t="str">
        <f>VLOOKUP($B344,Chronologie[],COLUMN(F345)-2,TRUE)</f>
        <v>Z</v>
      </c>
      <c r="G344" s="23" t="str">
        <f>VLOOKUP($B344,Chronologie[],COLUMN(G345)-2,TRUE)</f>
        <v>L</v>
      </c>
      <c r="H344" s="23">
        <f>VLOOKUP($B344,Chronologie[],COLUMN(H345)-2,TRUE)</f>
        <v>13</v>
      </c>
      <c r="I344" s="13" t="str">
        <f>VLOOKUP($B344,Chronologie[],2,TRUE)</f>
        <v>Z-L-13</v>
      </c>
      <c r="J344" s="244">
        <f>VLOOKUP($B344,Chronologie[],3,TRUE)</f>
        <v>46103</v>
      </c>
      <c r="K344" s="239"/>
      <c r="L344" s="239"/>
      <c r="M344" s="239"/>
      <c r="N344" s="239"/>
      <c r="O344" s="239"/>
      <c r="P344" s="239"/>
      <c r="Q344" s="239"/>
      <c r="R344" s="239"/>
      <c r="S344" s="239"/>
      <c r="T344" s="239"/>
      <c r="U344" s="239"/>
      <c r="V344" s="239"/>
      <c r="W344" s="239"/>
      <c r="X344" s="40"/>
      <c r="Y344" s="40"/>
      <c r="Z344" s="40"/>
      <c r="AA344" s="40"/>
      <c r="AB344" s="92"/>
      <c r="AC344" s="96" t="str">
        <f>IF(Eingabe[[#This Row],[V1]]="",IF(Eingabe[[#This Row],[Volle alternativ]]="","",Eingabe[[#This Row],[Volle alternativ]]),SUM(Eingabe[[#This Row],[V1]:[V4]]))</f>
        <v/>
      </c>
      <c r="AD344" s="23" t="str">
        <f>IF(Eingabe[[#This Row],[R1]]="",IF(Eingabe[[#This Row],[Räumer alternativ]]="","",Eingabe[[#This Row],[Räumer alternativ]]),SUM(Eingabe[[#This Row],[R1]:[R4]]))</f>
        <v/>
      </c>
      <c r="AE344" s="23" t="str">
        <f>IF(Eingabe[[#This Row],[F1]]="",IF(Eingabe[[#This Row],[Fehler alternativ]]="","",Eingabe[[#This Row],[Fehler alternativ]]),SUM(Eingabe[[#This Row],[F1]:[F4]]))</f>
        <v/>
      </c>
      <c r="AF344" s="23" t="str">
        <f>IF(Eingabe[[#This Row],[Volle]]="","",IF(Eingabe[[#This Row],[S1]]="",Eingabe[[#This Row],[Volle]]+Eingabe[[#This Row],[Räumer]],IF(Eingabe[[#This Row],[Volle]]+Eingabe[[#This Row],[Räumer]]=Eingabe[[#This Row],[S1]]+Eingabe[[#This Row],[S2]]+Eingabe[[#This Row],[S3]]+Eingabe[[#This Row],[S4]],Eingabe[[#This Row],[Volle]]+Eingabe[[#This Row],[Räumer]],"FEHLER")))</f>
        <v/>
      </c>
      <c r="AG344" s="23" t="str">
        <f>IF(Eingabe[[#This Row],[V1]]="","",Eingabe[[#This Row],[V1]]+Eingabe[[#This Row],[R1]])</f>
        <v/>
      </c>
      <c r="AH344" s="23" t="str">
        <f>IF(Eingabe[[#This Row],[V2]]="","",Eingabe[[#This Row],[V2]]+Eingabe[[#This Row],[R2]])</f>
        <v/>
      </c>
      <c r="AI344" s="23" t="str">
        <f>IF(Eingabe[[#This Row],[V3]]="","",Eingabe[[#This Row],[V3]]+Eingabe[[#This Row],[R3]])</f>
        <v/>
      </c>
      <c r="AJ344" s="23" t="str">
        <f>IF(Eingabe[[#This Row],[V4]]="","",Eingabe[[#This Row],[V4]]+Eingabe[[#This Row],[R4]])</f>
        <v/>
      </c>
      <c r="AK344" s="23" t="str">
        <f>IF(Eingabe[[#This Row],[S1P]]="","",Eingabe[[#This Row],[S1P]]+Eingabe[[#This Row],[S2P]]+Eingabe[[#This Row],[S3P]]+Eingabe[[#This Row],[S4P]])</f>
        <v/>
      </c>
      <c r="AL344" s="23" t="str">
        <f>IF(Eingabe[[#This Row],[S1P]]="","",IF(Eingabe[[#This Row],[SP]]&gt;2,1,IF(Eingabe[[#This Row],[SP]]&lt;2,0,IF(Eingabe[[#This Row],[GES]]&gt;Eingabe[[#This Row],[GEGGES]],1,IF(Eingabe[[#This Row],[GES]]=Eingabe[[#This Row],[GEGGES]],0.5,0)))))</f>
        <v/>
      </c>
      <c r="AM344" s="23" t="str">
        <f>IF(Eingabe[[#This Row],[MP]]="","",MOD(ROW(Eingabe[[#This Row],[Position]])-3,6)+1)</f>
        <v/>
      </c>
      <c r="AN344" s="23" t="e">
        <f>STANDARDIZE(Eingabe[[#This Row],[GES]],Eingabe[[#This Row],[Schnitt]],VLOOKUP(Eingabe[[#This Row],[Name]],AuswertungG[],21,FALSE))</f>
        <v>#VALUE!</v>
      </c>
      <c r="AO344" s="23">
        <f>VLOOKUP(Eingabe[[#This Row],[ID]],Chronologie[[ID]:[KW]],12,FALSE)</f>
        <v>30</v>
      </c>
      <c r="AP344" s="59" t="str">
        <f>IF(Eingabe[[#This Row],[Wo]]="H",Eingabe[[#This Row],[Gegner]]&amp;" ["&amp;Eingabe[[#This Row],[Wo]]&amp;"]",Eingabe[[#This Row],[Ort]])</f>
        <v>Leubsdorf</v>
      </c>
      <c r="AQ344" s="23" t="str">
        <f>IFERROR(IF(Eingabe[[#This Row],[Wo]]="H",IF(MOD(Eingabe[[#This Row],[Position]],2)=1,Eingabe[[#This Row],[S1]],Eingabe[[#This Row],[S4]]),""),"")</f>
        <v/>
      </c>
      <c r="AR344" s="23" t="str">
        <f>IFERROR(IF(Eingabe[[#This Row],[Wo]]="H",IF(Eingabe[[#This Row],[S1]]&gt;0,IF(MOD(Eingabe[[#This Row],[Position]],2)=1,Eingabe[[#This Row],[S2]],Eingabe[[#This Row],[S3]]),""),""),"")</f>
        <v/>
      </c>
      <c r="AS344" s="23" t="str">
        <f>IFERROR(IF(Eingabe[[#This Row],[Wo]]="H",IF(Eingabe[[#This Row],[S1]]&gt;0,IF(MOD(ROW(Eingabe[[#This Row],[Heimbahn 3]]),2)=1,Eingabe[[#This Row],[S4]],Eingabe[[#This Row],[S1]]),""),""),"")</f>
        <v/>
      </c>
      <c r="AT344" s="23" t="str">
        <f>IFERROR(IF(Eingabe[[#This Row],[Wo]]="H",IF(Eingabe[[#This Row],[S1]]&gt;0,IF(MOD(ROW(Eingabe[[#This Row],[Heimbahn 4]]),2)=1,Eingabe[[#This Row],[S3]],Eingabe[[#This Row],[S2]]),""),""),"")</f>
        <v/>
      </c>
      <c r="AU344" s="89" t="str">
        <f>IF(Eingabe[[#This Row],[GES]]="","",IF(Eingabe[[#This Row],[Modus]]="L",_xlfn.RANK.EQ(Eingabe[[#This Row],[GES]],AF339:AF344),IF(Eingabe[[#This Row],[Modus]]="P",_xlfn.RANK.EQ(Eingabe[[#This Row],[GES]],AF339:AF344),"")))</f>
        <v/>
      </c>
      <c r="AV344" s="6" t="e">
        <f>VLOOKUP(Eingabe[[#This Row],[Name]],AuswertungG[],8,FALSE)</f>
        <v>#N/A</v>
      </c>
      <c r="AZ344" s="6" t="str">
        <f>IFERROR(ABS(Eingabe[[#This Row],[GES]]-Eingabe[[#This Row],[GEGGES]]),"")</f>
        <v/>
      </c>
    </row>
    <row r="345" spans="1:52" ht="16.2" hidden="1" thickBot="1" x14ac:dyDescent="0.35">
      <c r="A345" s="440">
        <f t="shared" si="43"/>
        <v>58</v>
      </c>
      <c r="B345" s="55">
        <f t="shared" si="44"/>
        <v>58</v>
      </c>
      <c r="C345" s="35" t="str">
        <f>VLOOKUP($B345,Chronologie[],7,TRUE)</f>
        <v>KSV Hainichen 92</v>
      </c>
      <c r="D345" s="35" t="str">
        <f>VLOOKUP($B345,Chronologie[],8,TRUE)</f>
        <v>Hirschfeld</v>
      </c>
      <c r="E345" s="36" t="str">
        <f>VLOOKUP($B345,Chronologie[],9,TRUE)</f>
        <v>H</v>
      </c>
      <c r="F345" s="35" t="str">
        <f>VLOOKUP($B345,Chronologie[],COLUMN(F346)-2,TRUE)</f>
        <v>Z</v>
      </c>
      <c r="G345" s="35" t="str">
        <f>VLOOKUP($B345,Chronologie[],COLUMN(G346)-2,TRUE)</f>
        <v>L</v>
      </c>
      <c r="H345" s="35">
        <f>VLOOKUP($B345,Chronologie[],COLUMN(H346)-2,TRUE)</f>
        <v>14</v>
      </c>
      <c r="I345" s="9" t="str">
        <f>VLOOKUP($B345,Chronologie[],2,TRUE)</f>
        <v>Z-L-14</v>
      </c>
      <c r="J345" s="242">
        <f>VLOOKUP($B345,Chronologie[],3,TRUE)</f>
        <v>46110</v>
      </c>
      <c r="K345" s="236"/>
      <c r="L345" s="334"/>
      <c r="M345" s="334"/>
      <c r="N345" s="334"/>
      <c r="O345" s="334"/>
      <c r="P345" s="334"/>
      <c r="Q345" s="334"/>
      <c r="R345" s="334"/>
      <c r="S345" s="334"/>
      <c r="T345" s="334"/>
      <c r="U345" s="334"/>
      <c r="V345" s="334"/>
      <c r="W345" s="334"/>
      <c r="X345" s="37"/>
      <c r="Y345" s="37"/>
      <c r="Z345" s="37"/>
      <c r="AA345" s="37"/>
      <c r="AB345" s="90"/>
      <c r="AC345" s="93" t="str">
        <f>IF(Eingabe[[#This Row],[V1]]="",IF(Eingabe[[#This Row],[Volle alternativ]]="","",Eingabe[[#This Row],[Volle alternativ]]),SUM(Eingabe[[#This Row],[V1]:[V4]]))</f>
        <v/>
      </c>
      <c r="AD345" s="35" t="str">
        <f>IF(Eingabe[[#This Row],[R1]]="",IF(Eingabe[[#This Row],[Räumer alternativ]]="","",Eingabe[[#This Row],[Räumer alternativ]]),SUM(Eingabe[[#This Row],[R1]:[R4]]))</f>
        <v/>
      </c>
      <c r="AE345" s="35" t="str">
        <f>IF(Eingabe[[#This Row],[F1]]="",IF(Eingabe[[#This Row],[Fehler alternativ]]="","",Eingabe[[#This Row],[Fehler alternativ]]),SUM(Eingabe[[#This Row],[F1]:[F4]]))</f>
        <v/>
      </c>
      <c r="AF345" s="35" t="str">
        <f>IF(Eingabe[[#This Row],[Volle]]="","",IF(Eingabe[[#This Row],[S1]]="",Eingabe[[#This Row],[Volle]]+Eingabe[[#This Row],[Räumer]],IF(Eingabe[[#This Row],[Volle]]+Eingabe[[#This Row],[Räumer]]=Eingabe[[#This Row],[S1]]+Eingabe[[#This Row],[S2]]+Eingabe[[#This Row],[S3]]+Eingabe[[#This Row],[S4]],Eingabe[[#This Row],[Volle]]+Eingabe[[#This Row],[Räumer]],"FEHLER")))</f>
        <v/>
      </c>
      <c r="AG345" s="35" t="str">
        <f>IF(Eingabe[[#This Row],[V1]]="","",Eingabe[[#This Row],[V1]]+Eingabe[[#This Row],[R1]])</f>
        <v/>
      </c>
      <c r="AH345" s="35" t="str">
        <f>IF(Eingabe[[#This Row],[V2]]="","",Eingabe[[#This Row],[V2]]+Eingabe[[#This Row],[R2]])</f>
        <v/>
      </c>
      <c r="AI345" s="35" t="str">
        <f>IF(Eingabe[[#This Row],[V3]]="","",Eingabe[[#This Row],[V3]]+Eingabe[[#This Row],[R3]])</f>
        <v/>
      </c>
      <c r="AJ345" s="35" t="str">
        <f>IF(Eingabe[[#This Row],[V4]]="","",Eingabe[[#This Row],[V4]]+Eingabe[[#This Row],[R4]])</f>
        <v/>
      </c>
      <c r="AK345" s="35" t="str">
        <f>IF(Eingabe[[#This Row],[S1P]]="","",Eingabe[[#This Row],[S1P]]+Eingabe[[#This Row],[S2P]]+Eingabe[[#This Row],[S3P]]+Eingabe[[#This Row],[S4P]])</f>
        <v/>
      </c>
      <c r="AL345" s="35" t="str">
        <f>IF(Eingabe[[#This Row],[S1P]]="","",IF(Eingabe[[#This Row],[SP]]&gt;2,1,IF(Eingabe[[#This Row],[SP]]&lt;2,0,IF(Eingabe[[#This Row],[GES]]&gt;Eingabe[[#This Row],[GEGGES]],1,IF(Eingabe[[#This Row],[GES]]=Eingabe[[#This Row],[GEGGES]],0.5,0)))))</f>
        <v/>
      </c>
      <c r="AM345" s="35" t="str">
        <f>IF(Eingabe[[#This Row],[MP]]="","",MOD(ROW(Eingabe[[#This Row],[Position]])-3,6)+1)</f>
        <v/>
      </c>
      <c r="AN345" s="35" t="e">
        <f>STANDARDIZE(Eingabe[[#This Row],[GES]],Eingabe[[#This Row],[Schnitt]],VLOOKUP(Eingabe[[#This Row],[Name]],AuswertungG[],21,FALSE))</f>
        <v>#VALUE!</v>
      </c>
      <c r="AO345" s="35">
        <f>VLOOKUP(Eingabe[[#This Row],[ID]],Chronologie[[ID]:[KW]],12,FALSE)</f>
        <v>31</v>
      </c>
      <c r="AP345" s="58" t="str">
        <f>IF(Eingabe[[#This Row],[Wo]]="H",Eingabe[[#This Row],[Gegner]]&amp;" ["&amp;Eingabe[[#This Row],[Wo]]&amp;"]",Eingabe[[#This Row],[Ort]])</f>
        <v>KSV Hainichen 92 [H]</v>
      </c>
      <c r="AQ345" s="35" t="str">
        <f>IFERROR(IF(Eingabe[[#This Row],[Wo]]="H",IF(MOD(Eingabe[[#This Row],[Position]],2)=1,Eingabe[[#This Row],[S1]],Eingabe[[#This Row],[S4]]),""),"")</f>
        <v/>
      </c>
      <c r="AR345" s="35" t="str">
        <f>IFERROR(IF(Eingabe[[#This Row],[Wo]]="H",IF(Eingabe[[#This Row],[S1]]&gt;0,IF(MOD(Eingabe[[#This Row],[Position]],2)=1,Eingabe[[#This Row],[S2]],Eingabe[[#This Row],[S3]]),""),""),"")</f>
        <v/>
      </c>
      <c r="AS345" s="35" t="str">
        <f>IFERROR(IF(Eingabe[[#This Row],[Wo]]="H",IF(Eingabe[[#This Row],[S1]]&gt;0,IF(MOD(ROW(Eingabe[[#This Row],[Heimbahn 3]]),2)=1,Eingabe[[#This Row],[S4]],Eingabe[[#This Row],[S1]]),""),""),"")</f>
        <v/>
      </c>
      <c r="AT345" s="35" t="str">
        <f>IFERROR(IF(Eingabe[[#This Row],[Wo]]="H",IF(Eingabe[[#This Row],[S1]]&gt;0,IF(MOD(ROW(Eingabe[[#This Row],[Heimbahn 4]]),2)=1,Eingabe[[#This Row],[S3]],Eingabe[[#This Row],[S2]]),""),""),"")</f>
        <v/>
      </c>
      <c r="AU345" s="88" t="str">
        <f>IF(Eingabe[[#This Row],[GES]]="","",IF(Eingabe[[#This Row],[Modus]]="L",_xlfn.RANK.EQ(Eingabe[[#This Row],[GES]],AF345:AF350),IF(Eingabe[[#This Row],[Modus]]="P",_xlfn.RANK.EQ(Eingabe[[#This Row],[GES]],AF345:AF350),"")))</f>
        <v/>
      </c>
      <c r="AV345" s="6" t="e">
        <f>VLOOKUP(Eingabe[[#This Row],[Name]],AuswertungG[],8,FALSE)</f>
        <v>#N/A</v>
      </c>
      <c r="AZ345" s="6" t="str">
        <f>IFERROR(ABS(Eingabe[[#This Row],[GES]]-Eingabe[[#This Row],[GEGGES]]),"")</f>
        <v/>
      </c>
    </row>
    <row r="346" spans="1:52" ht="16.2" hidden="1" thickBot="1" x14ac:dyDescent="0.35">
      <c r="A346" s="441"/>
      <c r="B346" s="21">
        <f t="shared" si="44"/>
        <v>58</v>
      </c>
      <c r="C346" s="6" t="str">
        <f>VLOOKUP($B346,Chronologie[],7,TRUE)</f>
        <v>KSV Hainichen 92</v>
      </c>
      <c r="D346" s="6" t="str">
        <f>VLOOKUP($B346,Chronologie[],8,TRUE)</f>
        <v>Hirschfeld</v>
      </c>
      <c r="E346" s="240" t="str">
        <f>VLOOKUP($B346,Chronologie[],9,TRUE)</f>
        <v>H</v>
      </c>
      <c r="F346" s="6" t="str">
        <f>VLOOKUP($B346,Chronologie[],COLUMN(F347)-2,TRUE)</f>
        <v>Z</v>
      </c>
      <c r="G346" s="6" t="str">
        <f>VLOOKUP($B346,Chronologie[],COLUMN(G347)-2,TRUE)</f>
        <v>L</v>
      </c>
      <c r="H346" s="6">
        <f>VLOOKUP($B346,Chronologie[],COLUMN(H347)-2,TRUE)</f>
        <v>14</v>
      </c>
      <c r="I346" s="10" t="str">
        <f>VLOOKUP($B346,Chronologie[],2,TRUE)</f>
        <v>Z-L-14</v>
      </c>
      <c r="J346" s="243">
        <f>VLOOKUP($B346,Chronologie[],3,TRUE)</f>
        <v>46110</v>
      </c>
      <c r="K346" s="237"/>
      <c r="L346" s="237"/>
      <c r="M346" s="237"/>
      <c r="N346" s="237"/>
      <c r="O346" s="237"/>
      <c r="P346" s="237"/>
      <c r="Q346" s="237"/>
      <c r="R346" s="237"/>
      <c r="S346" s="237"/>
      <c r="T346" s="237"/>
      <c r="U346" s="237"/>
      <c r="V346" s="237"/>
      <c r="W346" s="237"/>
      <c r="X346" s="38"/>
      <c r="Y346" s="38"/>
      <c r="Z346" s="38"/>
      <c r="AA346" s="38"/>
      <c r="AB346" s="91"/>
      <c r="AC346" s="94" t="str">
        <f>IF(Eingabe[[#This Row],[V1]]="",IF(Eingabe[[#This Row],[Volle alternativ]]="","",Eingabe[[#This Row],[Volle alternativ]]),SUM(Eingabe[[#This Row],[V1]:[V4]]))</f>
        <v/>
      </c>
      <c r="AD346" s="6" t="str">
        <f>IF(Eingabe[[#This Row],[R1]]="",IF(Eingabe[[#This Row],[Räumer alternativ]]="","",Eingabe[[#This Row],[Räumer alternativ]]),SUM(Eingabe[[#This Row],[R1]:[R4]]))</f>
        <v/>
      </c>
      <c r="AE346" s="6" t="str">
        <f>IF(Eingabe[[#This Row],[F1]]="",IF(Eingabe[[#This Row],[Fehler alternativ]]="","",Eingabe[[#This Row],[Fehler alternativ]]),SUM(Eingabe[[#This Row],[F1]:[F4]]))</f>
        <v/>
      </c>
      <c r="AF346" s="6" t="str">
        <f>IF(Eingabe[[#This Row],[Volle]]="","",IF(Eingabe[[#This Row],[S1]]="",Eingabe[[#This Row],[Volle]]+Eingabe[[#This Row],[Räumer]],IF(Eingabe[[#This Row],[Volle]]+Eingabe[[#This Row],[Räumer]]=Eingabe[[#This Row],[S1]]+Eingabe[[#This Row],[S2]]+Eingabe[[#This Row],[S3]]+Eingabe[[#This Row],[S4]],Eingabe[[#This Row],[Volle]]+Eingabe[[#This Row],[Räumer]],"FEHLER")))</f>
        <v/>
      </c>
      <c r="AG346" s="6" t="str">
        <f>IF(Eingabe[[#This Row],[V1]]="","",Eingabe[[#This Row],[V1]]+Eingabe[[#This Row],[R1]])</f>
        <v/>
      </c>
      <c r="AH346" s="6" t="str">
        <f>IF(Eingabe[[#This Row],[V2]]="","",Eingabe[[#This Row],[V2]]+Eingabe[[#This Row],[R2]])</f>
        <v/>
      </c>
      <c r="AI346" s="6" t="str">
        <f>IF(Eingabe[[#This Row],[V3]]="","",Eingabe[[#This Row],[V3]]+Eingabe[[#This Row],[R3]])</f>
        <v/>
      </c>
      <c r="AJ346" s="6" t="str">
        <f>IF(Eingabe[[#This Row],[V4]]="","",Eingabe[[#This Row],[V4]]+Eingabe[[#This Row],[R4]])</f>
        <v/>
      </c>
      <c r="AK346" s="6" t="str">
        <f>IF(Eingabe[[#This Row],[S1P]]="","",Eingabe[[#This Row],[S1P]]+Eingabe[[#This Row],[S2P]]+Eingabe[[#This Row],[S3P]]+Eingabe[[#This Row],[S4P]])</f>
        <v/>
      </c>
      <c r="AL346" s="6" t="str">
        <f>IF(Eingabe[[#This Row],[S1P]]="","",IF(Eingabe[[#This Row],[SP]]&gt;2,1,IF(Eingabe[[#This Row],[SP]]&lt;2,0,IF(Eingabe[[#This Row],[GES]]&gt;Eingabe[[#This Row],[GEGGES]],1,IF(Eingabe[[#This Row],[GES]]=Eingabe[[#This Row],[GEGGES]],0.5,0)))))</f>
        <v/>
      </c>
      <c r="AM346" s="6" t="str">
        <f>IF(Eingabe[[#This Row],[MP]]="","",MOD(ROW(Eingabe[[#This Row],[Position]])-3,6)+1)</f>
        <v/>
      </c>
      <c r="AN346" s="6" t="e">
        <f>STANDARDIZE(Eingabe[[#This Row],[GES]],Eingabe[[#This Row],[Schnitt]],VLOOKUP(Eingabe[[#This Row],[Name]],AuswertungG[],21,FALSE))</f>
        <v>#VALUE!</v>
      </c>
      <c r="AO346" s="6">
        <f>VLOOKUP(Eingabe[[#This Row],[ID]],Chronologie[[ID]:[KW]],12,FALSE)</f>
        <v>31</v>
      </c>
      <c r="AP346" s="95" t="str">
        <f>IF(Eingabe[[#This Row],[Wo]]="H",Eingabe[[#This Row],[Gegner]]&amp;" ["&amp;Eingabe[[#This Row],[Wo]]&amp;"]",Eingabe[[#This Row],[Ort]])</f>
        <v>KSV Hainichen 92 [H]</v>
      </c>
      <c r="AQ346" s="6" t="str">
        <f>IFERROR(IF(Eingabe[[#This Row],[Wo]]="H",IF(MOD(Eingabe[[#This Row],[Position]],2)=1,Eingabe[[#This Row],[S1]],Eingabe[[#This Row],[S4]]),""),"")</f>
        <v/>
      </c>
      <c r="AR346" s="6" t="str">
        <f>IFERROR(IF(Eingabe[[#This Row],[Wo]]="H",IF(Eingabe[[#This Row],[S1]]&gt;0,IF(MOD(Eingabe[[#This Row],[Position]],2)=1,Eingabe[[#This Row],[S2]],Eingabe[[#This Row],[S3]]),""),""),"")</f>
        <v/>
      </c>
      <c r="AS346" s="6" t="str">
        <f>IFERROR(IF(Eingabe[[#This Row],[Wo]]="H",IF(Eingabe[[#This Row],[S1]]&gt;0,IF(MOD(ROW(Eingabe[[#This Row],[Heimbahn 3]]),2)=1,Eingabe[[#This Row],[S4]],Eingabe[[#This Row],[S1]]),""),""),"")</f>
        <v/>
      </c>
      <c r="AT346" s="6" t="str">
        <f>IFERROR(IF(Eingabe[[#This Row],[Wo]]="H",IF(Eingabe[[#This Row],[S1]]&gt;0,IF(MOD(ROW(Eingabe[[#This Row],[Heimbahn 4]]),2)=1,Eingabe[[#This Row],[S3]],Eingabe[[#This Row],[S2]]),""),""),"")</f>
        <v/>
      </c>
      <c r="AU346" s="22" t="str">
        <f>IF(Eingabe[[#This Row],[GES]]="","",IF(Eingabe[[#This Row],[Modus]]="L",_xlfn.RANK.EQ(Eingabe[[#This Row],[GES]],AF345:AF350),IF(Eingabe[[#This Row],[Modus]]="P",_xlfn.RANK.EQ(Eingabe[[#This Row],[GES]],AF345:AF350),"")))</f>
        <v/>
      </c>
      <c r="AV346" s="6" t="e">
        <f>VLOOKUP(Eingabe[[#This Row],[Name]],AuswertungG[],8,FALSE)</f>
        <v>#N/A</v>
      </c>
      <c r="AZ346" s="6" t="str">
        <f>IFERROR(ABS(Eingabe[[#This Row],[GES]]-Eingabe[[#This Row],[GEGGES]]),"")</f>
        <v/>
      </c>
    </row>
    <row r="347" spans="1:52" ht="16.2" hidden="1" thickBot="1" x14ac:dyDescent="0.35">
      <c r="A347" s="441"/>
      <c r="B347" s="21">
        <f t="shared" si="44"/>
        <v>58</v>
      </c>
      <c r="C347" s="6" t="str">
        <f>VLOOKUP($B347,Chronologie[],7,TRUE)</f>
        <v>KSV Hainichen 92</v>
      </c>
      <c r="D347" s="6" t="str">
        <f>VLOOKUP($B347,Chronologie[],8,TRUE)</f>
        <v>Hirschfeld</v>
      </c>
      <c r="E347" s="240" t="str">
        <f>VLOOKUP($B347,Chronologie[],9,TRUE)</f>
        <v>H</v>
      </c>
      <c r="F347" s="6" t="str">
        <f>VLOOKUP($B347,Chronologie[],COLUMN(F348)-2,TRUE)</f>
        <v>Z</v>
      </c>
      <c r="G347" s="6" t="str">
        <f>VLOOKUP($B347,Chronologie[],COLUMN(G348)-2,TRUE)</f>
        <v>L</v>
      </c>
      <c r="H347" s="6">
        <f>VLOOKUP($B347,Chronologie[],COLUMN(H348)-2,TRUE)</f>
        <v>14</v>
      </c>
      <c r="I347" s="10" t="str">
        <f>VLOOKUP($B347,Chronologie[],2,TRUE)</f>
        <v>Z-L-14</v>
      </c>
      <c r="J347" s="243">
        <f>VLOOKUP($B347,Chronologie[],3,TRUE)</f>
        <v>46110</v>
      </c>
      <c r="K347" s="237"/>
      <c r="L347" s="237"/>
      <c r="M347" s="237"/>
      <c r="N347" s="237"/>
      <c r="O347" s="237"/>
      <c r="P347" s="237"/>
      <c r="Q347" s="237"/>
      <c r="R347" s="237"/>
      <c r="S347" s="237"/>
      <c r="T347" s="237"/>
      <c r="U347" s="237"/>
      <c r="V347" s="237"/>
      <c r="W347" s="237"/>
      <c r="X347" s="38"/>
      <c r="Y347" s="38"/>
      <c r="Z347" s="38"/>
      <c r="AA347" s="38"/>
      <c r="AB347" s="91"/>
      <c r="AC347" s="94" t="str">
        <f>IF(Eingabe[[#This Row],[V1]]="",IF(Eingabe[[#This Row],[Volle alternativ]]="","",Eingabe[[#This Row],[Volle alternativ]]),SUM(Eingabe[[#This Row],[V1]:[V4]]))</f>
        <v/>
      </c>
      <c r="AD347" s="6" t="str">
        <f>IF(Eingabe[[#This Row],[R1]]="",IF(Eingabe[[#This Row],[Räumer alternativ]]="","",Eingabe[[#This Row],[Räumer alternativ]]),SUM(Eingabe[[#This Row],[R1]:[R4]]))</f>
        <v/>
      </c>
      <c r="AE347" s="6" t="str">
        <f>IF(Eingabe[[#This Row],[F1]]="",IF(Eingabe[[#This Row],[Fehler alternativ]]="","",Eingabe[[#This Row],[Fehler alternativ]]),SUM(Eingabe[[#This Row],[F1]:[F4]]))</f>
        <v/>
      </c>
      <c r="AF347" s="6" t="str">
        <f>IF(Eingabe[[#This Row],[Volle]]="","",IF(Eingabe[[#This Row],[S1]]="",Eingabe[[#This Row],[Volle]]+Eingabe[[#This Row],[Räumer]],IF(Eingabe[[#This Row],[Volle]]+Eingabe[[#This Row],[Räumer]]=Eingabe[[#This Row],[S1]]+Eingabe[[#This Row],[S2]]+Eingabe[[#This Row],[S3]]+Eingabe[[#This Row],[S4]],Eingabe[[#This Row],[Volle]]+Eingabe[[#This Row],[Räumer]],"FEHLER")))</f>
        <v/>
      </c>
      <c r="AG347" s="6" t="str">
        <f>IF(Eingabe[[#This Row],[V1]]="","",Eingabe[[#This Row],[V1]]+Eingabe[[#This Row],[R1]])</f>
        <v/>
      </c>
      <c r="AH347" s="6" t="str">
        <f>IF(Eingabe[[#This Row],[V2]]="","",Eingabe[[#This Row],[V2]]+Eingabe[[#This Row],[R2]])</f>
        <v/>
      </c>
      <c r="AI347" s="6" t="str">
        <f>IF(Eingabe[[#This Row],[V3]]="","",Eingabe[[#This Row],[V3]]+Eingabe[[#This Row],[R3]])</f>
        <v/>
      </c>
      <c r="AJ347" s="6" t="str">
        <f>IF(Eingabe[[#This Row],[V4]]="","",Eingabe[[#This Row],[V4]]+Eingabe[[#This Row],[R4]])</f>
        <v/>
      </c>
      <c r="AK347" s="6" t="str">
        <f>IF(Eingabe[[#This Row],[S1P]]="","",Eingabe[[#This Row],[S1P]]+Eingabe[[#This Row],[S2P]]+Eingabe[[#This Row],[S3P]]+Eingabe[[#This Row],[S4P]])</f>
        <v/>
      </c>
      <c r="AL347" s="6" t="str">
        <f>IF(Eingabe[[#This Row],[S1P]]="","",IF(Eingabe[[#This Row],[SP]]&gt;2,1,IF(Eingabe[[#This Row],[SP]]&lt;2,0,IF(Eingabe[[#This Row],[GES]]&gt;Eingabe[[#This Row],[GEGGES]],1,IF(Eingabe[[#This Row],[GES]]=Eingabe[[#This Row],[GEGGES]],0.5,0)))))</f>
        <v/>
      </c>
      <c r="AM347" s="6" t="str">
        <f>IF(Eingabe[[#This Row],[MP]]="","",MOD(ROW(Eingabe[[#This Row],[Position]])-3,6)+1)</f>
        <v/>
      </c>
      <c r="AN347" s="6" t="e">
        <f>STANDARDIZE(Eingabe[[#This Row],[GES]],Eingabe[[#This Row],[Schnitt]],VLOOKUP(Eingabe[[#This Row],[Name]],AuswertungG[],21,FALSE))</f>
        <v>#VALUE!</v>
      </c>
      <c r="AO347" s="6">
        <f>VLOOKUP(Eingabe[[#This Row],[ID]],Chronologie[[ID]:[KW]],12,FALSE)</f>
        <v>31</v>
      </c>
      <c r="AP347" s="95" t="str">
        <f>IF(Eingabe[[#This Row],[Wo]]="H",Eingabe[[#This Row],[Gegner]]&amp;" ["&amp;Eingabe[[#This Row],[Wo]]&amp;"]",Eingabe[[#This Row],[Ort]])</f>
        <v>KSV Hainichen 92 [H]</v>
      </c>
      <c r="AQ347" s="6" t="str">
        <f>IFERROR(IF(Eingabe[[#This Row],[Wo]]="H",IF(MOD(Eingabe[[#This Row],[Position]],2)=1,Eingabe[[#This Row],[S1]],Eingabe[[#This Row],[S4]]),""),"")</f>
        <v/>
      </c>
      <c r="AR347" s="6" t="str">
        <f>IFERROR(IF(Eingabe[[#This Row],[Wo]]="H",IF(Eingabe[[#This Row],[S1]]&gt;0,IF(MOD(Eingabe[[#This Row],[Position]],2)=1,Eingabe[[#This Row],[S2]],Eingabe[[#This Row],[S3]]),""),""),"")</f>
        <v/>
      </c>
      <c r="AS347" s="6" t="str">
        <f>IFERROR(IF(Eingabe[[#This Row],[Wo]]="H",IF(Eingabe[[#This Row],[S1]]&gt;0,IF(MOD(ROW(Eingabe[[#This Row],[Heimbahn 3]]),2)=1,Eingabe[[#This Row],[S4]],Eingabe[[#This Row],[S1]]),""),""),"")</f>
        <v/>
      </c>
      <c r="AT347" s="6" t="str">
        <f>IFERROR(IF(Eingabe[[#This Row],[Wo]]="H",IF(Eingabe[[#This Row],[S1]]&gt;0,IF(MOD(ROW(Eingabe[[#This Row],[Heimbahn 4]]),2)=1,Eingabe[[#This Row],[S3]],Eingabe[[#This Row],[S2]]),""),""),"")</f>
        <v/>
      </c>
      <c r="AU347" s="22" t="str">
        <f>IF(Eingabe[[#This Row],[GES]]="","",IF(Eingabe[[#This Row],[Modus]]="L",_xlfn.RANK.EQ(Eingabe[[#This Row],[GES]],AF345:AF350),IF(Eingabe[[#This Row],[Modus]]="P",_xlfn.RANK.EQ(Eingabe[[#This Row],[GES]],AF345:AF350),"")))</f>
        <v/>
      </c>
      <c r="AV347" s="6" t="e">
        <f>VLOOKUP(Eingabe[[#This Row],[Name]],AuswertungG[],8,FALSE)</f>
        <v>#N/A</v>
      </c>
      <c r="AZ347" s="6" t="str">
        <f>IFERROR(ABS(Eingabe[[#This Row],[GES]]-Eingabe[[#This Row],[GEGGES]]),"")</f>
        <v/>
      </c>
    </row>
    <row r="348" spans="1:52" ht="16.2" hidden="1" thickBot="1" x14ac:dyDescent="0.35">
      <c r="A348" s="441"/>
      <c r="B348" s="21">
        <f t="shared" si="44"/>
        <v>58</v>
      </c>
      <c r="C348" s="6" t="str">
        <f>VLOOKUP($B348,Chronologie[],7,TRUE)</f>
        <v>KSV Hainichen 92</v>
      </c>
      <c r="D348" s="6" t="str">
        <f>VLOOKUP($B348,Chronologie[],8,TRUE)</f>
        <v>Hirschfeld</v>
      </c>
      <c r="E348" s="240" t="str">
        <f>VLOOKUP($B348,Chronologie[],9,TRUE)</f>
        <v>H</v>
      </c>
      <c r="F348" s="6" t="str">
        <f>VLOOKUP($B348,Chronologie[],COLUMN(F349)-2,TRUE)</f>
        <v>Z</v>
      </c>
      <c r="G348" s="6" t="str">
        <f>VLOOKUP($B348,Chronologie[],COLUMN(G349)-2,TRUE)</f>
        <v>L</v>
      </c>
      <c r="H348" s="6">
        <f>VLOOKUP($B348,Chronologie[],COLUMN(H349)-2,TRUE)</f>
        <v>14</v>
      </c>
      <c r="I348" s="10" t="str">
        <f>VLOOKUP($B348,Chronologie[],2,TRUE)</f>
        <v>Z-L-14</v>
      </c>
      <c r="J348" s="243">
        <f>VLOOKUP($B348,Chronologie[],3,TRUE)</f>
        <v>46110</v>
      </c>
      <c r="K348" s="238"/>
      <c r="L348" s="237"/>
      <c r="M348" s="237"/>
      <c r="N348" s="237"/>
      <c r="O348" s="237"/>
      <c r="P348" s="237"/>
      <c r="Q348" s="237"/>
      <c r="R348" s="237"/>
      <c r="S348" s="237"/>
      <c r="T348" s="237"/>
      <c r="U348" s="237"/>
      <c r="V348" s="237"/>
      <c r="W348" s="237"/>
      <c r="X348" s="38"/>
      <c r="Y348" s="38"/>
      <c r="Z348" s="38"/>
      <c r="AA348" s="38"/>
      <c r="AB348" s="91"/>
      <c r="AC348" s="94" t="str">
        <f>IF(Eingabe[[#This Row],[V1]]="",IF(Eingabe[[#This Row],[Volle alternativ]]="","",Eingabe[[#This Row],[Volle alternativ]]),SUM(Eingabe[[#This Row],[V1]:[V4]]))</f>
        <v/>
      </c>
      <c r="AD348" s="6" t="str">
        <f>IF(Eingabe[[#This Row],[R1]]="",IF(Eingabe[[#This Row],[Räumer alternativ]]="","",Eingabe[[#This Row],[Räumer alternativ]]),SUM(Eingabe[[#This Row],[R1]:[R4]]))</f>
        <v/>
      </c>
      <c r="AE348" s="6" t="str">
        <f>IF(Eingabe[[#This Row],[F1]]="",IF(Eingabe[[#This Row],[Fehler alternativ]]="","",Eingabe[[#This Row],[Fehler alternativ]]),SUM(Eingabe[[#This Row],[F1]:[F4]]))</f>
        <v/>
      </c>
      <c r="AF348" s="6" t="str">
        <f>IF(Eingabe[[#This Row],[Volle]]="","",IF(Eingabe[[#This Row],[S1]]="",Eingabe[[#This Row],[Volle]]+Eingabe[[#This Row],[Räumer]],IF(Eingabe[[#This Row],[Volle]]+Eingabe[[#This Row],[Räumer]]=Eingabe[[#This Row],[S1]]+Eingabe[[#This Row],[S2]]+Eingabe[[#This Row],[S3]]+Eingabe[[#This Row],[S4]],Eingabe[[#This Row],[Volle]]+Eingabe[[#This Row],[Räumer]],"FEHLER")))</f>
        <v/>
      </c>
      <c r="AG348" s="6" t="str">
        <f>IF(Eingabe[[#This Row],[V1]]="","",Eingabe[[#This Row],[V1]]+Eingabe[[#This Row],[R1]])</f>
        <v/>
      </c>
      <c r="AH348" s="6" t="str">
        <f>IF(Eingabe[[#This Row],[V2]]="","",Eingabe[[#This Row],[V2]]+Eingabe[[#This Row],[R2]])</f>
        <v/>
      </c>
      <c r="AI348" s="6" t="str">
        <f>IF(Eingabe[[#This Row],[V3]]="","",Eingabe[[#This Row],[V3]]+Eingabe[[#This Row],[R3]])</f>
        <v/>
      </c>
      <c r="AJ348" s="6" t="str">
        <f>IF(Eingabe[[#This Row],[V4]]="","",Eingabe[[#This Row],[V4]]+Eingabe[[#This Row],[R4]])</f>
        <v/>
      </c>
      <c r="AK348" s="6" t="str">
        <f>IF(Eingabe[[#This Row],[S1P]]="","",Eingabe[[#This Row],[S1P]]+Eingabe[[#This Row],[S2P]]+Eingabe[[#This Row],[S3P]]+Eingabe[[#This Row],[S4P]])</f>
        <v/>
      </c>
      <c r="AL348" s="6" t="str">
        <f>IF(Eingabe[[#This Row],[S1P]]="","",IF(Eingabe[[#This Row],[SP]]&gt;2,1,IF(Eingabe[[#This Row],[SP]]&lt;2,0,IF(Eingabe[[#This Row],[GES]]&gt;Eingabe[[#This Row],[GEGGES]],1,IF(Eingabe[[#This Row],[GES]]=Eingabe[[#This Row],[GEGGES]],0.5,0)))))</f>
        <v/>
      </c>
      <c r="AM348" s="6" t="str">
        <f>IF(Eingabe[[#This Row],[MP]]="","",MOD(ROW(Eingabe[[#This Row],[Position]])-3,6)+1)</f>
        <v/>
      </c>
      <c r="AN348" s="6" t="e">
        <f>STANDARDIZE(Eingabe[[#This Row],[GES]],Eingabe[[#This Row],[Schnitt]],VLOOKUP(Eingabe[[#This Row],[Name]],AuswertungG[],21,FALSE))</f>
        <v>#VALUE!</v>
      </c>
      <c r="AO348" s="6">
        <f>VLOOKUP(Eingabe[[#This Row],[ID]],Chronologie[[ID]:[KW]],12,FALSE)</f>
        <v>31</v>
      </c>
      <c r="AP348" s="95" t="str">
        <f>IF(Eingabe[[#This Row],[Wo]]="H",Eingabe[[#This Row],[Gegner]]&amp;" ["&amp;Eingabe[[#This Row],[Wo]]&amp;"]",Eingabe[[#This Row],[Ort]])</f>
        <v>KSV Hainichen 92 [H]</v>
      </c>
      <c r="AQ348" s="6" t="str">
        <f>IFERROR(IF(Eingabe[[#This Row],[Wo]]="H",IF(MOD(Eingabe[[#This Row],[Position]],2)=1,Eingabe[[#This Row],[S1]],Eingabe[[#This Row],[S4]]),""),"")</f>
        <v/>
      </c>
      <c r="AR348" s="6" t="str">
        <f>IFERROR(IF(Eingabe[[#This Row],[Wo]]="H",IF(Eingabe[[#This Row],[S1]]&gt;0,IF(MOD(Eingabe[[#This Row],[Position]],2)=1,Eingabe[[#This Row],[S2]],Eingabe[[#This Row],[S3]]),""),""),"")</f>
        <v/>
      </c>
      <c r="AS348" s="6" t="str">
        <f>IFERROR(IF(Eingabe[[#This Row],[Wo]]="H",IF(Eingabe[[#This Row],[S1]]&gt;0,IF(MOD(ROW(Eingabe[[#This Row],[Heimbahn 3]]),2)=1,Eingabe[[#This Row],[S4]],Eingabe[[#This Row],[S1]]),""),""),"")</f>
        <v/>
      </c>
      <c r="AT348" s="6" t="str">
        <f>IFERROR(IF(Eingabe[[#This Row],[Wo]]="H",IF(Eingabe[[#This Row],[S1]]&gt;0,IF(MOD(ROW(Eingabe[[#This Row],[Heimbahn 4]]),2)=1,Eingabe[[#This Row],[S3]],Eingabe[[#This Row],[S2]]),""),""),"")</f>
        <v/>
      </c>
      <c r="AU348" s="22" t="str">
        <f>IF(Eingabe[[#This Row],[GES]]="","",IF(Eingabe[[#This Row],[Modus]]="L",_xlfn.RANK.EQ(Eingabe[[#This Row],[GES]],AF345:AF350),IF(Eingabe[[#This Row],[Modus]]="P",_xlfn.RANK.EQ(Eingabe[[#This Row],[GES]],AF345:AF350),"")))</f>
        <v/>
      </c>
      <c r="AV348" s="6" t="e">
        <f>VLOOKUP(Eingabe[[#This Row],[Name]],AuswertungG[],8,FALSE)</f>
        <v>#N/A</v>
      </c>
      <c r="AZ348" s="6" t="str">
        <f>IFERROR(ABS(Eingabe[[#This Row],[GES]]-Eingabe[[#This Row],[GEGGES]]),"")</f>
        <v/>
      </c>
    </row>
    <row r="349" spans="1:52" ht="16.2" hidden="1" thickBot="1" x14ac:dyDescent="0.35">
      <c r="A349" s="441"/>
      <c r="B349" s="21">
        <f t="shared" si="44"/>
        <v>58</v>
      </c>
      <c r="C349" s="6" t="str">
        <f>VLOOKUP($B349,Chronologie[],7,TRUE)</f>
        <v>KSV Hainichen 92</v>
      </c>
      <c r="D349" s="6" t="str">
        <f>VLOOKUP($B349,Chronologie[],8,TRUE)</f>
        <v>Hirschfeld</v>
      </c>
      <c r="E349" s="240" t="str">
        <f>VLOOKUP($B349,Chronologie[],9,TRUE)</f>
        <v>H</v>
      </c>
      <c r="F349" s="6" t="str">
        <f>VLOOKUP($B349,Chronologie[],COLUMN(F350)-2,TRUE)</f>
        <v>Z</v>
      </c>
      <c r="G349" s="6" t="str">
        <f>VLOOKUP($B349,Chronologie[],COLUMN(G350)-2,TRUE)</f>
        <v>L</v>
      </c>
      <c r="H349" s="6">
        <f>VLOOKUP($B349,Chronologie[],COLUMN(H350)-2,TRUE)</f>
        <v>14</v>
      </c>
      <c r="I349" s="10" t="str">
        <f>VLOOKUP($B349,Chronologie[],2,TRUE)</f>
        <v>Z-L-14</v>
      </c>
      <c r="J349" s="243">
        <f>VLOOKUP($B349,Chronologie[],3,TRUE)</f>
        <v>46110</v>
      </c>
      <c r="K349" s="237"/>
      <c r="L349" s="237"/>
      <c r="M349" s="237"/>
      <c r="N349" s="237"/>
      <c r="O349" s="237"/>
      <c r="P349" s="237"/>
      <c r="Q349" s="237"/>
      <c r="R349" s="237"/>
      <c r="S349" s="237"/>
      <c r="T349" s="237"/>
      <c r="U349" s="237"/>
      <c r="V349" s="237"/>
      <c r="W349" s="237"/>
      <c r="X349" s="38"/>
      <c r="Y349" s="38"/>
      <c r="Z349" s="38"/>
      <c r="AA349" s="38"/>
      <c r="AB349" s="91"/>
      <c r="AC349" s="94" t="str">
        <f>IF(Eingabe[[#This Row],[V1]]="",IF(Eingabe[[#This Row],[Volle alternativ]]="","",Eingabe[[#This Row],[Volle alternativ]]),SUM(Eingabe[[#This Row],[V1]:[V4]]))</f>
        <v/>
      </c>
      <c r="AD349" s="6" t="str">
        <f>IF(Eingabe[[#This Row],[R1]]="",IF(Eingabe[[#This Row],[Räumer alternativ]]="","",Eingabe[[#This Row],[Räumer alternativ]]),SUM(Eingabe[[#This Row],[R1]:[R4]]))</f>
        <v/>
      </c>
      <c r="AE349" s="6" t="str">
        <f>IF(Eingabe[[#This Row],[F1]]="",IF(Eingabe[[#This Row],[Fehler alternativ]]="","",Eingabe[[#This Row],[Fehler alternativ]]),SUM(Eingabe[[#This Row],[F1]:[F4]]))</f>
        <v/>
      </c>
      <c r="AF349" s="6" t="str">
        <f>IF(Eingabe[[#This Row],[Volle]]="","",IF(Eingabe[[#This Row],[S1]]="",Eingabe[[#This Row],[Volle]]+Eingabe[[#This Row],[Räumer]],IF(Eingabe[[#This Row],[Volle]]+Eingabe[[#This Row],[Räumer]]=Eingabe[[#This Row],[S1]]+Eingabe[[#This Row],[S2]]+Eingabe[[#This Row],[S3]]+Eingabe[[#This Row],[S4]],Eingabe[[#This Row],[Volle]]+Eingabe[[#This Row],[Räumer]],"FEHLER")))</f>
        <v/>
      </c>
      <c r="AG349" s="6" t="str">
        <f>IF(Eingabe[[#This Row],[V1]]="","",Eingabe[[#This Row],[V1]]+Eingabe[[#This Row],[R1]])</f>
        <v/>
      </c>
      <c r="AH349" s="6" t="str">
        <f>IF(Eingabe[[#This Row],[V2]]="","",Eingabe[[#This Row],[V2]]+Eingabe[[#This Row],[R2]])</f>
        <v/>
      </c>
      <c r="AI349" s="6" t="str">
        <f>IF(Eingabe[[#This Row],[V3]]="","",Eingabe[[#This Row],[V3]]+Eingabe[[#This Row],[R3]])</f>
        <v/>
      </c>
      <c r="AJ349" s="6" t="str">
        <f>IF(Eingabe[[#This Row],[V4]]="","",Eingabe[[#This Row],[V4]]+Eingabe[[#This Row],[R4]])</f>
        <v/>
      </c>
      <c r="AK349" s="6" t="str">
        <f>IF(Eingabe[[#This Row],[S1P]]="","",Eingabe[[#This Row],[S1P]]+Eingabe[[#This Row],[S2P]]+Eingabe[[#This Row],[S3P]]+Eingabe[[#This Row],[S4P]])</f>
        <v/>
      </c>
      <c r="AL349" s="6" t="str">
        <f>IF(Eingabe[[#This Row],[S1P]]="","",IF(Eingabe[[#This Row],[SP]]&gt;2,1,IF(Eingabe[[#This Row],[SP]]&lt;2,0,IF(Eingabe[[#This Row],[GES]]&gt;Eingabe[[#This Row],[GEGGES]],1,IF(Eingabe[[#This Row],[GES]]=Eingabe[[#This Row],[GEGGES]],0.5,0)))))</f>
        <v/>
      </c>
      <c r="AM349" s="6" t="str">
        <f>IF(Eingabe[[#This Row],[MP]]="","",MOD(ROW(Eingabe[[#This Row],[Position]])-3,6)+1)</f>
        <v/>
      </c>
      <c r="AN349" s="6" t="e">
        <f>STANDARDIZE(Eingabe[[#This Row],[GES]],Eingabe[[#This Row],[Schnitt]],VLOOKUP(Eingabe[[#This Row],[Name]],AuswertungG[],21,FALSE))</f>
        <v>#VALUE!</v>
      </c>
      <c r="AO349" s="6">
        <f>VLOOKUP(Eingabe[[#This Row],[ID]],Chronologie[[ID]:[KW]],12,FALSE)</f>
        <v>31</v>
      </c>
      <c r="AP349" s="95" t="str">
        <f>IF(Eingabe[[#This Row],[Wo]]="H",Eingabe[[#This Row],[Gegner]]&amp;" ["&amp;Eingabe[[#This Row],[Wo]]&amp;"]",Eingabe[[#This Row],[Ort]])</f>
        <v>KSV Hainichen 92 [H]</v>
      </c>
      <c r="AQ349" s="6" t="str">
        <f>IFERROR(IF(Eingabe[[#This Row],[Wo]]="H",IF(MOD(Eingabe[[#This Row],[Position]],2)=1,Eingabe[[#This Row],[S1]],Eingabe[[#This Row],[S4]]),""),"")</f>
        <v/>
      </c>
      <c r="AR349" s="6" t="str">
        <f>IFERROR(IF(Eingabe[[#This Row],[Wo]]="H",IF(Eingabe[[#This Row],[S1]]&gt;0,IF(MOD(Eingabe[[#This Row],[Position]],2)=1,Eingabe[[#This Row],[S2]],Eingabe[[#This Row],[S3]]),""),""),"")</f>
        <v/>
      </c>
      <c r="AS349" s="6" t="str">
        <f>IFERROR(IF(Eingabe[[#This Row],[Wo]]="H",IF(Eingabe[[#This Row],[S1]]&gt;0,IF(MOD(ROW(Eingabe[[#This Row],[Heimbahn 3]]),2)=1,Eingabe[[#This Row],[S4]],Eingabe[[#This Row],[S1]]),""),""),"")</f>
        <v/>
      </c>
      <c r="AT349" s="6" t="str">
        <f>IFERROR(IF(Eingabe[[#This Row],[Wo]]="H",IF(Eingabe[[#This Row],[S1]]&gt;0,IF(MOD(ROW(Eingabe[[#This Row],[Heimbahn 4]]),2)=1,Eingabe[[#This Row],[S3]],Eingabe[[#This Row],[S2]]),""),""),"")</f>
        <v/>
      </c>
      <c r="AU349" s="22" t="str">
        <f>IF(Eingabe[[#This Row],[GES]]="","",IF(Eingabe[[#This Row],[Modus]]="L",_xlfn.RANK.EQ(Eingabe[[#This Row],[GES]],AF345:AF350),IF(Eingabe[[#This Row],[Modus]]="P",_xlfn.RANK.EQ(Eingabe[[#This Row],[GES]],AF345:AF350),"")))</f>
        <v/>
      </c>
      <c r="AV349" s="6" t="e">
        <f>VLOOKUP(Eingabe[[#This Row],[Name]],AuswertungG[],8,FALSE)</f>
        <v>#N/A</v>
      </c>
      <c r="AZ349" s="6" t="str">
        <f>IFERROR(ABS(Eingabe[[#This Row],[GES]]-Eingabe[[#This Row],[GEGGES]]),"")</f>
        <v/>
      </c>
    </row>
    <row r="350" spans="1:52" ht="16.2" hidden="1" thickBot="1" x14ac:dyDescent="0.35">
      <c r="A350" s="442"/>
      <c r="B350" s="56">
        <f t="shared" si="44"/>
        <v>58</v>
      </c>
      <c r="C350" s="23" t="str">
        <f>VLOOKUP($B350,Chronologie[],7,TRUE)</f>
        <v>KSV Hainichen 92</v>
      </c>
      <c r="D350" s="23" t="str">
        <f>VLOOKUP($B350,Chronologie[],8,TRUE)</f>
        <v>Hirschfeld</v>
      </c>
      <c r="E350" s="39" t="str">
        <f>VLOOKUP($B350,Chronologie[],9,TRUE)</f>
        <v>H</v>
      </c>
      <c r="F350" s="23" t="str">
        <f>VLOOKUP($B350,Chronologie[],COLUMN(F351)-2,TRUE)</f>
        <v>Z</v>
      </c>
      <c r="G350" s="23" t="str">
        <f>VLOOKUP($B350,Chronologie[],COLUMN(G351)-2,TRUE)</f>
        <v>L</v>
      </c>
      <c r="H350" s="23">
        <f>VLOOKUP($B350,Chronologie[],COLUMN(H351)-2,TRUE)</f>
        <v>14</v>
      </c>
      <c r="I350" s="13" t="str">
        <f>VLOOKUP($B350,Chronologie[],2,TRUE)</f>
        <v>Z-L-14</v>
      </c>
      <c r="J350" s="244">
        <f>VLOOKUP($B350,Chronologie[],3,TRUE)</f>
        <v>46110</v>
      </c>
      <c r="K350" s="239"/>
      <c r="L350" s="239"/>
      <c r="M350" s="239"/>
      <c r="N350" s="239"/>
      <c r="O350" s="239"/>
      <c r="P350" s="239"/>
      <c r="Q350" s="239"/>
      <c r="R350" s="239"/>
      <c r="S350" s="239"/>
      <c r="T350" s="239"/>
      <c r="U350" s="239"/>
      <c r="V350" s="239"/>
      <c r="W350" s="239"/>
      <c r="X350" s="40"/>
      <c r="Y350" s="40"/>
      <c r="Z350" s="40"/>
      <c r="AA350" s="40"/>
      <c r="AB350" s="92"/>
      <c r="AC350" s="96" t="str">
        <f>IF(Eingabe[[#This Row],[V1]]="",IF(Eingabe[[#This Row],[Volle alternativ]]="","",Eingabe[[#This Row],[Volle alternativ]]),SUM(Eingabe[[#This Row],[V1]:[V4]]))</f>
        <v/>
      </c>
      <c r="AD350" s="23" t="str">
        <f>IF(Eingabe[[#This Row],[R1]]="",IF(Eingabe[[#This Row],[Räumer alternativ]]="","",Eingabe[[#This Row],[Räumer alternativ]]),SUM(Eingabe[[#This Row],[R1]:[R4]]))</f>
        <v/>
      </c>
      <c r="AE350" s="23" t="str">
        <f>IF(Eingabe[[#This Row],[F1]]="",IF(Eingabe[[#This Row],[Fehler alternativ]]="","",Eingabe[[#This Row],[Fehler alternativ]]),SUM(Eingabe[[#This Row],[F1]:[F4]]))</f>
        <v/>
      </c>
      <c r="AF350" s="23" t="str">
        <f>IF(Eingabe[[#This Row],[Volle]]="","",IF(Eingabe[[#This Row],[S1]]="",Eingabe[[#This Row],[Volle]]+Eingabe[[#This Row],[Räumer]],IF(Eingabe[[#This Row],[Volle]]+Eingabe[[#This Row],[Räumer]]=Eingabe[[#This Row],[S1]]+Eingabe[[#This Row],[S2]]+Eingabe[[#This Row],[S3]]+Eingabe[[#This Row],[S4]],Eingabe[[#This Row],[Volle]]+Eingabe[[#This Row],[Räumer]],"FEHLER")))</f>
        <v/>
      </c>
      <c r="AG350" s="23" t="str">
        <f>IF(Eingabe[[#This Row],[V1]]="","",Eingabe[[#This Row],[V1]]+Eingabe[[#This Row],[R1]])</f>
        <v/>
      </c>
      <c r="AH350" s="23" t="str">
        <f>IF(Eingabe[[#This Row],[V2]]="","",Eingabe[[#This Row],[V2]]+Eingabe[[#This Row],[R2]])</f>
        <v/>
      </c>
      <c r="AI350" s="23" t="str">
        <f>IF(Eingabe[[#This Row],[V3]]="","",Eingabe[[#This Row],[V3]]+Eingabe[[#This Row],[R3]])</f>
        <v/>
      </c>
      <c r="AJ350" s="23" t="str">
        <f>IF(Eingabe[[#This Row],[V4]]="","",Eingabe[[#This Row],[V4]]+Eingabe[[#This Row],[R4]])</f>
        <v/>
      </c>
      <c r="AK350" s="23" t="str">
        <f>IF(Eingabe[[#This Row],[S1P]]="","",Eingabe[[#This Row],[S1P]]+Eingabe[[#This Row],[S2P]]+Eingabe[[#This Row],[S3P]]+Eingabe[[#This Row],[S4P]])</f>
        <v/>
      </c>
      <c r="AL350" s="23" t="str">
        <f>IF(Eingabe[[#This Row],[S1P]]="","",IF(Eingabe[[#This Row],[SP]]&gt;2,1,IF(Eingabe[[#This Row],[SP]]&lt;2,0,IF(Eingabe[[#This Row],[GES]]&gt;Eingabe[[#This Row],[GEGGES]],1,IF(Eingabe[[#This Row],[GES]]=Eingabe[[#This Row],[GEGGES]],0.5,0)))))</f>
        <v/>
      </c>
      <c r="AM350" s="23" t="str">
        <f>IF(Eingabe[[#This Row],[MP]]="","",MOD(ROW(Eingabe[[#This Row],[Position]])-3,6)+1)</f>
        <v/>
      </c>
      <c r="AN350" s="23" t="e">
        <f>STANDARDIZE(Eingabe[[#This Row],[GES]],Eingabe[[#This Row],[Schnitt]],VLOOKUP(Eingabe[[#This Row],[Name]],AuswertungG[],21,FALSE))</f>
        <v>#VALUE!</v>
      </c>
      <c r="AO350" s="23">
        <f>VLOOKUP(Eingabe[[#This Row],[ID]],Chronologie[[ID]:[KW]],12,FALSE)</f>
        <v>31</v>
      </c>
      <c r="AP350" s="59" t="str">
        <f>IF(Eingabe[[#This Row],[Wo]]="H",Eingabe[[#This Row],[Gegner]]&amp;" ["&amp;Eingabe[[#This Row],[Wo]]&amp;"]",Eingabe[[#This Row],[Ort]])</f>
        <v>KSV Hainichen 92 [H]</v>
      </c>
      <c r="AQ350" s="23" t="str">
        <f>IFERROR(IF(Eingabe[[#This Row],[Wo]]="H",IF(MOD(Eingabe[[#This Row],[Position]],2)=1,Eingabe[[#This Row],[S1]],Eingabe[[#This Row],[S4]]),""),"")</f>
        <v/>
      </c>
      <c r="AR350" s="23" t="str">
        <f>IFERROR(IF(Eingabe[[#This Row],[Wo]]="H",IF(Eingabe[[#This Row],[S1]]&gt;0,IF(MOD(Eingabe[[#This Row],[Position]],2)=1,Eingabe[[#This Row],[S2]],Eingabe[[#This Row],[S3]]),""),""),"")</f>
        <v/>
      </c>
      <c r="AS350" s="23" t="str">
        <f>IFERROR(IF(Eingabe[[#This Row],[Wo]]="H",IF(Eingabe[[#This Row],[S1]]&gt;0,IF(MOD(ROW(Eingabe[[#This Row],[Heimbahn 3]]),2)=1,Eingabe[[#This Row],[S4]],Eingabe[[#This Row],[S1]]),""),""),"")</f>
        <v/>
      </c>
      <c r="AT350" s="23" t="str">
        <f>IFERROR(IF(Eingabe[[#This Row],[Wo]]="H",IF(Eingabe[[#This Row],[S1]]&gt;0,IF(MOD(ROW(Eingabe[[#This Row],[Heimbahn 4]]),2)=1,Eingabe[[#This Row],[S3]],Eingabe[[#This Row],[S2]]),""),""),"")</f>
        <v/>
      </c>
      <c r="AU350" s="89" t="str">
        <f>IF(Eingabe[[#This Row],[GES]]="","",IF(Eingabe[[#This Row],[Modus]]="L",_xlfn.RANK.EQ(Eingabe[[#This Row],[GES]],AF345:AF350),IF(Eingabe[[#This Row],[Modus]]="P",_xlfn.RANK.EQ(Eingabe[[#This Row],[GES]],AF345:AF350),"")))</f>
        <v/>
      </c>
      <c r="AV350" s="6" t="e">
        <f>VLOOKUP(Eingabe[[#This Row],[Name]],AuswertungG[],8,FALSE)</f>
        <v>#N/A</v>
      </c>
      <c r="AZ350" s="6" t="str">
        <f>IFERROR(ABS(Eingabe[[#This Row],[GES]]-Eingabe[[#This Row],[GEGGES]]),"")</f>
        <v/>
      </c>
    </row>
    <row r="351" spans="1:52" ht="16.2" hidden="1" thickBot="1" x14ac:dyDescent="0.35">
      <c r="A351" s="440">
        <f t="shared" si="43"/>
        <v>59</v>
      </c>
      <c r="B351" s="55">
        <f t="shared" si="44"/>
        <v>59</v>
      </c>
      <c r="C351" s="35" t="str">
        <f>VLOOKUP($B351,Chronologie[],7,TRUE)</f>
        <v xml:space="preserve">TSV 1848 Flöha </v>
      </c>
      <c r="D351" s="35" t="str">
        <f>VLOOKUP($B351,Chronologie[],8,TRUE)</f>
        <v>Hirschfeld</v>
      </c>
      <c r="E351" s="36" t="str">
        <f>VLOOKUP($B351,Chronologie[],9,TRUE)</f>
        <v>H</v>
      </c>
      <c r="F351" s="35" t="str">
        <f>VLOOKUP($B351,Chronologie[],COLUMN(F352)-2,TRUE)</f>
        <v>D</v>
      </c>
      <c r="G351" s="35" t="str">
        <f>VLOOKUP($B351,Chronologie[],COLUMN(G352)-2,TRUE)</f>
        <v>L</v>
      </c>
      <c r="H351" s="35">
        <f>VLOOKUP($B351,Chronologie[],COLUMN(H352)-2,TRUE)</f>
        <v>2</v>
      </c>
      <c r="I351" s="9" t="str">
        <f>VLOOKUP($B351,Chronologie[],2,TRUE)</f>
        <v>D-L-2</v>
      </c>
      <c r="J351" s="242">
        <f>VLOOKUP($B351,Chronologie[],3,TRUE)</f>
        <v>45949</v>
      </c>
      <c r="K351" s="236" t="s">
        <v>493</v>
      </c>
      <c r="L351" s="334">
        <v>82</v>
      </c>
      <c r="M351" s="334">
        <v>95</v>
      </c>
      <c r="N351" s="334">
        <v>82</v>
      </c>
      <c r="O351" s="334">
        <v>83</v>
      </c>
      <c r="P351" s="334">
        <v>34</v>
      </c>
      <c r="Q351" s="334">
        <v>34</v>
      </c>
      <c r="R351" s="334">
        <v>44</v>
      </c>
      <c r="S351" s="334">
        <v>43</v>
      </c>
      <c r="T351" s="334">
        <v>4</v>
      </c>
      <c r="U351" s="334">
        <v>3</v>
      </c>
      <c r="V351" s="334">
        <v>5</v>
      </c>
      <c r="W351" s="334">
        <v>2</v>
      </c>
      <c r="X351" s="37">
        <v>0</v>
      </c>
      <c r="Y351" s="37">
        <v>1</v>
      </c>
      <c r="Z351" s="37">
        <v>1</v>
      </c>
      <c r="AA351" s="37">
        <v>0</v>
      </c>
      <c r="AB351" s="90">
        <v>472</v>
      </c>
      <c r="AC351" s="93">
        <f>IF(Eingabe[[#This Row],[V1]]="",IF(Eingabe[[#This Row],[Volle alternativ]]="","",Eingabe[[#This Row],[Volle alternativ]]),SUM(Eingabe[[#This Row],[V1]:[V4]]))</f>
        <v>342</v>
      </c>
      <c r="AD351" s="35">
        <f>IF(Eingabe[[#This Row],[R1]]="",IF(Eingabe[[#This Row],[Räumer alternativ]]="","",Eingabe[[#This Row],[Räumer alternativ]]),SUM(Eingabe[[#This Row],[R1]:[R4]]))</f>
        <v>155</v>
      </c>
      <c r="AE351" s="35">
        <f>IF(Eingabe[[#This Row],[F1]]="",IF(Eingabe[[#This Row],[Fehler alternativ]]="","",Eingabe[[#This Row],[Fehler alternativ]]),SUM(Eingabe[[#This Row],[F1]:[F4]]))</f>
        <v>14</v>
      </c>
      <c r="AF351" s="35">
        <f>IF(Eingabe[[#This Row],[Volle]]="","",IF(Eingabe[[#This Row],[S1]]="",Eingabe[[#This Row],[Volle]]+Eingabe[[#This Row],[Räumer]],IF(Eingabe[[#This Row],[Volle]]+Eingabe[[#This Row],[Räumer]]=Eingabe[[#This Row],[S1]]+Eingabe[[#This Row],[S2]]+Eingabe[[#This Row],[S3]]+Eingabe[[#This Row],[S4]],Eingabe[[#This Row],[Volle]]+Eingabe[[#This Row],[Räumer]],"FEHLER")))</f>
        <v>497</v>
      </c>
      <c r="AG351" s="35">
        <f>IF(Eingabe[[#This Row],[V1]]="","",Eingabe[[#This Row],[V1]]+Eingabe[[#This Row],[R1]])</f>
        <v>116</v>
      </c>
      <c r="AH351" s="35">
        <f>IF(Eingabe[[#This Row],[V2]]="","",Eingabe[[#This Row],[V2]]+Eingabe[[#This Row],[R2]])</f>
        <v>129</v>
      </c>
      <c r="AI351" s="35">
        <f>IF(Eingabe[[#This Row],[V3]]="","",Eingabe[[#This Row],[V3]]+Eingabe[[#This Row],[R3]])</f>
        <v>126</v>
      </c>
      <c r="AJ351" s="35">
        <f>IF(Eingabe[[#This Row],[V4]]="","",Eingabe[[#This Row],[V4]]+Eingabe[[#This Row],[R4]])</f>
        <v>126</v>
      </c>
      <c r="AK351" s="35">
        <f>IF(Eingabe[[#This Row],[S1P]]="","",Eingabe[[#This Row],[S1P]]+Eingabe[[#This Row],[S2P]]+Eingabe[[#This Row],[S3P]]+Eingabe[[#This Row],[S4P]])</f>
        <v>2</v>
      </c>
      <c r="AL351" s="35">
        <f>IF(Eingabe[[#This Row],[S1P]]="","",IF(Eingabe[[#This Row],[SP]]&gt;2,1,IF(Eingabe[[#This Row],[SP]]&lt;2,0,IF(Eingabe[[#This Row],[GES]]&gt;Eingabe[[#This Row],[GEGGES]],1,IF(Eingabe[[#This Row],[GES]]=Eingabe[[#This Row],[GEGGES]],0.5,0)))))</f>
        <v>1</v>
      </c>
      <c r="AM351" s="35">
        <f>IF(Eingabe[[#This Row],[MP]]="","",MOD(ROW(Eingabe[[#This Row],[Position]])-3,6)+1)</f>
        <v>1</v>
      </c>
      <c r="AN351" s="35">
        <f>STANDARDIZE(Eingabe[[#This Row],[GES]],Eingabe[[#This Row],[Schnitt]],VLOOKUP(Eingabe[[#This Row],[Name]],AuswertungG[],21,FALSE))</f>
        <v>-0.56521739130434778</v>
      </c>
      <c r="AO351" s="35">
        <f>VLOOKUP(Eingabe[[#This Row],[ID]],Chronologie[[ID]:[KW]],12,FALSE)</f>
        <v>8</v>
      </c>
      <c r="AP351" s="58" t="str">
        <f>IF(Eingabe[[#This Row],[Wo]]="H",Eingabe[[#This Row],[Gegner]]&amp;" ["&amp;Eingabe[[#This Row],[Wo]]&amp;"]",Eingabe[[#This Row],[Ort]])</f>
        <v>TSV 1848 Flöha  [H]</v>
      </c>
      <c r="AQ351" s="35">
        <f>IFERROR(IF(Eingabe[[#This Row],[Wo]]="H",IF(MOD(Eingabe[[#This Row],[Position]],2)=1,Eingabe[[#This Row],[S1]],Eingabe[[#This Row],[S4]]),""),"")</f>
        <v>116</v>
      </c>
      <c r="AR351" s="35">
        <f>IFERROR(IF(Eingabe[[#This Row],[Wo]]="H",IF(Eingabe[[#This Row],[S1]]&gt;0,IF(MOD(Eingabe[[#This Row],[Position]],2)=1,Eingabe[[#This Row],[S2]],Eingabe[[#This Row],[S3]]),""),""),"")</f>
        <v>129</v>
      </c>
      <c r="AS351" s="35">
        <f>IFERROR(IF(Eingabe[[#This Row],[Wo]]="H",IF(Eingabe[[#This Row],[S1]]&gt;0,IF(MOD(ROW(Eingabe[[#This Row],[Heimbahn 3]]),2)=1,Eingabe[[#This Row],[S4]],Eingabe[[#This Row],[S1]]),""),""),"")</f>
        <v>126</v>
      </c>
      <c r="AT351" s="35">
        <f>IFERROR(IF(Eingabe[[#This Row],[Wo]]="H",IF(Eingabe[[#This Row],[S1]]&gt;0,IF(MOD(ROW(Eingabe[[#This Row],[Heimbahn 4]]),2)=1,Eingabe[[#This Row],[S3]],Eingabe[[#This Row],[S2]]),""),""),"")</f>
        <v>126</v>
      </c>
      <c r="AU351" s="88">
        <f>IF(Eingabe[[#This Row],[GES]]="","",IF(Eingabe[[#This Row],[Modus]]="L",_xlfn.RANK.EQ(Eingabe[[#This Row],[GES]],AF351:AF356),IF(Eingabe[[#This Row],[Modus]]="P",_xlfn.RANK.EQ(Eingabe[[#This Row],[GES]],AF351:AF356),"")))</f>
        <v>4</v>
      </c>
      <c r="AV351" s="6">
        <f>VLOOKUP(Eingabe[[#This Row],[Name]],AuswertungG[],8,FALSE)</f>
        <v>510</v>
      </c>
      <c r="AZ351" s="6">
        <f>IFERROR(ABS(Eingabe[[#This Row],[GES]]-Eingabe[[#This Row],[GEGGES]]),"")</f>
        <v>25</v>
      </c>
    </row>
    <row r="352" spans="1:52" ht="16.2" hidden="1" thickBot="1" x14ac:dyDescent="0.35">
      <c r="A352" s="441"/>
      <c r="B352" s="21">
        <f t="shared" si="44"/>
        <v>59</v>
      </c>
      <c r="C352" s="6" t="str">
        <f>VLOOKUP($B352,Chronologie[],7,TRUE)</f>
        <v xml:space="preserve">TSV 1848 Flöha </v>
      </c>
      <c r="D352" s="6" t="str">
        <f>VLOOKUP($B352,Chronologie[],8,TRUE)</f>
        <v>Hirschfeld</v>
      </c>
      <c r="E352" s="240" t="str">
        <f>VLOOKUP($B352,Chronologie[],9,TRUE)</f>
        <v>H</v>
      </c>
      <c r="F352" s="6" t="str">
        <f>VLOOKUP($B352,Chronologie[],COLUMN(F353)-2,TRUE)</f>
        <v>D</v>
      </c>
      <c r="G352" s="6" t="str">
        <f>VLOOKUP($B352,Chronologie[],COLUMN(G353)-2,TRUE)</f>
        <v>L</v>
      </c>
      <c r="H352" s="6">
        <f>VLOOKUP($B352,Chronologie[],COLUMN(H353)-2,TRUE)</f>
        <v>2</v>
      </c>
      <c r="I352" s="10" t="str">
        <f>VLOOKUP($B352,Chronologie[],2,TRUE)</f>
        <v>D-L-2</v>
      </c>
      <c r="J352" s="243">
        <f>VLOOKUP($B352,Chronologie[],3,TRUE)</f>
        <v>45949</v>
      </c>
      <c r="K352" s="237" t="s">
        <v>736</v>
      </c>
      <c r="L352" s="237">
        <v>98</v>
      </c>
      <c r="M352" s="237">
        <v>91</v>
      </c>
      <c r="N352" s="237">
        <v>92</v>
      </c>
      <c r="O352" s="237">
        <v>92</v>
      </c>
      <c r="P352" s="237">
        <v>44</v>
      </c>
      <c r="Q352" s="237">
        <v>34</v>
      </c>
      <c r="R352" s="237">
        <v>31</v>
      </c>
      <c r="S352" s="237">
        <v>26</v>
      </c>
      <c r="T352" s="237">
        <v>1</v>
      </c>
      <c r="U352" s="237">
        <v>2</v>
      </c>
      <c r="V352" s="237">
        <v>3</v>
      </c>
      <c r="W352" s="237">
        <v>3</v>
      </c>
      <c r="X352" s="38">
        <v>1</v>
      </c>
      <c r="Y352" s="38">
        <v>0.5</v>
      </c>
      <c r="Z352" s="38">
        <v>1</v>
      </c>
      <c r="AA352" s="38">
        <v>0</v>
      </c>
      <c r="AB352" s="91">
        <v>446</v>
      </c>
      <c r="AC352" s="94">
        <f>IF(Eingabe[[#This Row],[V1]]="",IF(Eingabe[[#This Row],[Volle alternativ]]="","",Eingabe[[#This Row],[Volle alternativ]]),SUM(Eingabe[[#This Row],[V1]:[V4]]))</f>
        <v>373</v>
      </c>
      <c r="AD352" s="6">
        <f>IF(Eingabe[[#This Row],[R1]]="",IF(Eingabe[[#This Row],[Räumer alternativ]]="","",Eingabe[[#This Row],[Räumer alternativ]]),SUM(Eingabe[[#This Row],[R1]:[R4]]))</f>
        <v>135</v>
      </c>
      <c r="AE352" s="6">
        <f>IF(Eingabe[[#This Row],[F1]]="",IF(Eingabe[[#This Row],[Fehler alternativ]]="","",Eingabe[[#This Row],[Fehler alternativ]]),SUM(Eingabe[[#This Row],[F1]:[F4]]))</f>
        <v>9</v>
      </c>
      <c r="AF352" s="6">
        <f>IF(Eingabe[[#This Row],[Volle]]="","",IF(Eingabe[[#This Row],[S1]]="",Eingabe[[#This Row],[Volle]]+Eingabe[[#This Row],[Räumer]],IF(Eingabe[[#This Row],[Volle]]+Eingabe[[#This Row],[Räumer]]=Eingabe[[#This Row],[S1]]+Eingabe[[#This Row],[S2]]+Eingabe[[#This Row],[S3]]+Eingabe[[#This Row],[S4]],Eingabe[[#This Row],[Volle]]+Eingabe[[#This Row],[Räumer]],"FEHLER")))</f>
        <v>508</v>
      </c>
      <c r="AG352" s="6">
        <f>IF(Eingabe[[#This Row],[V1]]="","",Eingabe[[#This Row],[V1]]+Eingabe[[#This Row],[R1]])</f>
        <v>142</v>
      </c>
      <c r="AH352" s="6">
        <f>IF(Eingabe[[#This Row],[V2]]="","",Eingabe[[#This Row],[V2]]+Eingabe[[#This Row],[R2]])</f>
        <v>125</v>
      </c>
      <c r="AI352" s="6">
        <f>IF(Eingabe[[#This Row],[V3]]="","",Eingabe[[#This Row],[V3]]+Eingabe[[#This Row],[R3]])</f>
        <v>123</v>
      </c>
      <c r="AJ352" s="6">
        <f>IF(Eingabe[[#This Row],[V4]]="","",Eingabe[[#This Row],[V4]]+Eingabe[[#This Row],[R4]])</f>
        <v>118</v>
      </c>
      <c r="AK352" s="6">
        <f>IF(Eingabe[[#This Row],[S1P]]="","",Eingabe[[#This Row],[S1P]]+Eingabe[[#This Row],[S2P]]+Eingabe[[#This Row],[S3P]]+Eingabe[[#This Row],[S4P]])</f>
        <v>2.5</v>
      </c>
      <c r="AL352" s="6">
        <f>IF(Eingabe[[#This Row],[S1P]]="","",IF(Eingabe[[#This Row],[SP]]&gt;2,1,IF(Eingabe[[#This Row],[SP]]&lt;2,0,IF(Eingabe[[#This Row],[GES]]&gt;Eingabe[[#This Row],[GEGGES]],1,IF(Eingabe[[#This Row],[GES]]=Eingabe[[#This Row],[GEGGES]],0.5,0)))))</f>
        <v>1</v>
      </c>
      <c r="AM352" s="6">
        <f>IF(Eingabe[[#This Row],[MP]]="","",MOD(ROW(Eingabe[[#This Row],[Position]])-3,6)+1)</f>
        <v>2</v>
      </c>
      <c r="AN352" s="6">
        <f>STANDARDIZE(Eingabe[[#This Row],[GES]],Eingabe[[#This Row],[Schnitt]],VLOOKUP(Eingabe[[#This Row],[Name]],AuswertungG[],21,FALSE))</f>
        <v>-0.42105263157894735</v>
      </c>
      <c r="AO352" s="6">
        <f>VLOOKUP(Eingabe[[#This Row],[ID]],Chronologie[[ID]:[KW]],12,FALSE)</f>
        <v>8</v>
      </c>
      <c r="AP352" s="95" t="str">
        <f>IF(Eingabe[[#This Row],[Wo]]="H",Eingabe[[#This Row],[Gegner]]&amp;" ["&amp;Eingabe[[#This Row],[Wo]]&amp;"]",Eingabe[[#This Row],[Ort]])</f>
        <v>TSV 1848 Flöha  [H]</v>
      </c>
      <c r="AQ352" s="6">
        <f>IFERROR(IF(Eingabe[[#This Row],[Wo]]="H",IF(MOD(Eingabe[[#This Row],[Position]],2)=1,Eingabe[[#This Row],[S1]],Eingabe[[#This Row],[S4]]),""),"")</f>
        <v>118</v>
      </c>
      <c r="AR352" s="6">
        <f>IFERROR(IF(Eingabe[[#This Row],[Wo]]="H",IF(Eingabe[[#This Row],[S1]]&gt;0,IF(MOD(Eingabe[[#This Row],[Position]],2)=1,Eingabe[[#This Row],[S2]],Eingabe[[#This Row],[S3]]),""),""),"")</f>
        <v>123</v>
      </c>
      <c r="AS352" s="6">
        <f>IFERROR(IF(Eingabe[[#This Row],[Wo]]="H",IF(Eingabe[[#This Row],[S1]]&gt;0,IF(MOD(ROW(Eingabe[[#This Row],[Heimbahn 3]]),2)=1,Eingabe[[#This Row],[S4]],Eingabe[[#This Row],[S1]]),""),""),"")</f>
        <v>142</v>
      </c>
      <c r="AT352" s="6">
        <f>IFERROR(IF(Eingabe[[#This Row],[Wo]]="H",IF(Eingabe[[#This Row],[S1]]&gt;0,IF(MOD(ROW(Eingabe[[#This Row],[Heimbahn 4]]),2)=1,Eingabe[[#This Row],[S3]],Eingabe[[#This Row],[S2]]),""),""),"")</f>
        <v>125</v>
      </c>
      <c r="AU352" s="22">
        <f>IF(Eingabe[[#This Row],[GES]]="","",IF(Eingabe[[#This Row],[Modus]]="L",_xlfn.RANK.EQ(Eingabe[[#This Row],[GES]],AF351:AF356),IF(Eingabe[[#This Row],[Modus]]="P",_xlfn.RANK.EQ(Eingabe[[#This Row],[GES]],AF351:AF356),"")))</f>
        <v>3</v>
      </c>
      <c r="AV352" s="6">
        <f>VLOOKUP(Eingabe[[#This Row],[Name]],AuswertungG[],8,FALSE)</f>
        <v>516</v>
      </c>
      <c r="AZ352" s="6">
        <f>IFERROR(ABS(Eingabe[[#This Row],[GES]]-Eingabe[[#This Row],[GEGGES]]),"")</f>
        <v>62</v>
      </c>
    </row>
    <row r="353" spans="1:52" ht="16.2" hidden="1" thickBot="1" x14ac:dyDescent="0.35">
      <c r="A353" s="441"/>
      <c r="B353" s="21">
        <f t="shared" si="44"/>
        <v>59</v>
      </c>
      <c r="C353" s="6" t="str">
        <f>VLOOKUP($B353,Chronologie[],7,TRUE)</f>
        <v xml:space="preserve">TSV 1848 Flöha </v>
      </c>
      <c r="D353" s="6" t="str">
        <f>VLOOKUP($B353,Chronologie[],8,TRUE)</f>
        <v>Hirschfeld</v>
      </c>
      <c r="E353" s="240" t="str">
        <f>VLOOKUP($B353,Chronologie[],9,TRUE)</f>
        <v>H</v>
      </c>
      <c r="F353" s="6" t="str">
        <f>VLOOKUP($B353,Chronologie[],COLUMN(F354)-2,TRUE)</f>
        <v>D</v>
      </c>
      <c r="G353" s="6" t="str">
        <f>VLOOKUP($B353,Chronologie[],COLUMN(G354)-2,TRUE)</f>
        <v>L</v>
      </c>
      <c r="H353" s="6">
        <f>VLOOKUP($B353,Chronologie[],COLUMN(H354)-2,TRUE)</f>
        <v>2</v>
      </c>
      <c r="I353" s="10" t="str">
        <f>VLOOKUP($B353,Chronologie[],2,TRUE)</f>
        <v>D-L-2</v>
      </c>
      <c r="J353" s="243">
        <f>VLOOKUP($B353,Chronologie[],3,TRUE)</f>
        <v>45949</v>
      </c>
      <c r="K353" s="237" t="s">
        <v>495</v>
      </c>
      <c r="L353" s="237">
        <v>82</v>
      </c>
      <c r="M353" s="237">
        <v>87</v>
      </c>
      <c r="N353" s="237">
        <v>85</v>
      </c>
      <c r="O353" s="237">
        <v>97</v>
      </c>
      <c r="P353" s="237">
        <v>44</v>
      </c>
      <c r="Q353" s="237">
        <v>45</v>
      </c>
      <c r="R353" s="237">
        <v>36</v>
      </c>
      <c r="S353" s="237">
        <v>53</v>
      </c>
      <c r="T353" s="237">
        <v>0</v>
      </c>
      <c r="U353" s="237">
        <v>1</v>
      </c>
      <c r="V353" s="237">
        <v>4</v>
      </c>
      <c r="W353" s="237">
        <v>1</v>
      </c>
      <c r="X353" s="38">
        <v>1</v>
      </c>
      <c r="Y353" s="38">
        <v>1</v>
      </c>
      <c r="Z353" s="38">
        <v>1</v>
      </c>
      <c r="AA353" s="38">
        <v>1</v>
      </c>
      <c r="AB353" s="91">
        <v>441</v>
      </c>
      <c r="AC353" s="94">
        <f>IF(Eingabe[[#This Row],[V1]]="",IF(Eingabe[[#This Row],[Volle alternativ]]="","",Eingabe[[#This Row],[Volle alternativ]]),SUM(Eingabe[[#This Row],[V1]:[V4]]))</f>
        <v>351</v>
      </c>
      <c r="AD353" s="6">
        <f>IF(Eingabe[[#This Row],[R1]]="",IF(Eingabe[[#This Row],[Räumer alternativ]]="","",Eingabe[[#This Row],[Räumer alternativ]]),SUM(Eingabe[[#This Row],[R1]:[R4]]))</f>
        <v>178</v>
      </c>
      <c r="AE353" s="6">
        <f>IF(Eingabe[[#This Row],[F1]]="",IF(Eingabe[[#This Row],[Fehler alternativ]]="","",Eingabe[[#This Row],[Fehler alternativ]]),SUM(Eingabe[[#This Row],[F1]:[F4]]))</f>
        <v>6</v>
      </c>
      <c r="AF353" s="6">
        <f>IF(Eingabe[[#This Row],[Volle]]="","",IF(Eingabe[[#This Row],[S1]]="",Eingabe[[#This Row],[Volle]]+Eingabe[[#This Row],[Räumer]],IF(Eingabe[[#This Row],[Volle]]+Eingabe[[#This Row],[Räumer]]=Eingabe[[#This Row],[S1]]+Eingabe[[#This Row],[S2]]+Eingabe[[#This Row],[S3]]+Eingabe[[#This Row],[S4]],Eingabe[[#This Row],[Volle]]+Eingabe[[#This Row],[Räumer]],"FEHLER")))</f>
        <v>529</v>
      </c>
      <c r="AG353" s="6">
        <f>IF(Eingabe[[#This Row],[V1]]="","",Eingabe[[#This Row],[V1]]+Eingabe[[#This Row],[R1]])</f>
        <v>126</v>
      </c>
      <c r="AH353" s="6">
        <f>IF(Eingabe[[#This Row],[V2]]="","",Eingabe[[#This Row],[V2]]+Eingabe[[#This Row],[R2]])</f>
        <v>132</v>
      </c>
      <c r="AI353" s="6">
        <f>IF(Eingabe[[#This Row],[V3]]="","",Eingabe[[#This Row],[V3]]+Eingabe[[#This Row],[R3]])</f>
        <v>121</v>
      </c>
      <c r="AJ353" s="6">
        <f>IF(Eingabe[[#This Row],[V4]]="","",Eingabe[[#This Row],[V4]]+Eingabe[[#This Row],[R4]])</f>
        <v>150</v>
      </c>
      <c r="AK353" s="6">
        <f>IF(Eingabe[[#This Row],[S1P]]="","",Eingabe[[#This Row],[S1P]]+Eingabe[[#This Row],[S2P]]+Eingabe[[#This Row],[S3P]]+Eingabe[[#This Row],[S4P]])</f>
        <v>4</v>
      </c>
      <c r="AL353" s="6">
        <f>IF(Eingabe[[#This Row],[S1P]]="","",IF(Eingabe[[#This Row],[SP]]&gt;2,1,IF(Eingabe[[#This Row],[SP]]&lt;2,0,IF(Eingabe[[#This Row],[GES]]&gt;Eingabe[[#This Row],[GEGGES]],1,IF(Eingabe[[#This Row],[GES]]=Eingabe[[#This Row],[GEGGES]],0.5,0)))))</f>
        <v>1</v>
      </c>
      <c r="AM353" s="6">
        <f>IF(Eingabe[[#This Row],[MP]]="","",MOD(ROW(Eingabe[[#This Row],[Position]])-3,6)+1)</f>
        <v>3</v>
      </c>
      <c r="AN353" s="6" t="e">
        <f>STANDARDIZE(Eingabe[[#This Row],[GES]],Eingabe[[#This Row],[Schnitt]],VLOOKUP(Eingabe[[#This Row],[Name]],AuswertungG[],21,FALSE))</f>
        <v>#VALUE!</v>
      </c>
      <c r="AO353" s="6">
        <f>VLOOKUP(Eingabe[[#This Row],[ID]],Chronologie[[ID]:[KW]],12,FALSE)</f>
        <v>8</v>
      </c>
      <c r="AP353" s="95" t="str">
        <f>IF(Eingabe[[#This Row],[Wo]]="H",Eingabe[[#This Row],[Gegner]]&amp;" ["&amp;Eingabe[[#This Row],[Wo]]&amp;"]",Eingabe[[#This Row],[Ort]])</f>
        <v>TSV 1848 Flöha  [H]</v>
      </c>
      <c r="AQ353" s="6">
        <f>IFERROR(IF(Eingabe[[#This Row],[Wo]]="H",IF(MOD(Eingabe[[#This Row],[Position]],2)=1,Eingabe[[#This Row],[S1]],Eingabe[[#This Row],[S4]]),""),"")</f>
        <v>126</v>
      </c>
      <c r="AR353" s="6">
        <f>IFERROR(IF(Eingabe[[#This Row],[Wo]]="H",IF(Eingabe[[#This Row],[S1]]&gt;0,IF(MOD(Eingabe[[#This Row],[Position]],2)=1,Eingabe[[#This Row],[S2]],Eingabe[[#This Row],[S3]]),""),""),"")</f>
        <v>132</v>
      </c>
      <c r="AS353" s="6">
        <f>IFERROR(IF(Eingabe[[#This Row],[Wo]]="H",IF(Eingabe[[#This Row],[S1]]&gt;0,IF(MOD(ROW(Eingabe[[#This Row],[Heimbahn 3]]),2)=1,Eingabe[[#This Row],[S4]],Eingabe[[#This Row],[S1]]),""),""),"")</f>
        <v>150</v>
      </c>
      <c r="AT353" s="6">
        <f>IFERROR(IF(Eingabe[[#This Row],[Wo]]="H",IF(Eingabe[[#This Row],[S1]]&gt;0,IF(MOD(ROW(Eingabe[[#This Row],[Heimbahn 4]]),2)=1,Eingabe[[#This Row],[S3]],Eingabe[[#This Row],[S2]]),""),""),"")</f>
        <v>121</v>
      </c>
      <c r="AU353" s="22">
        <f>IF(Eingabe[[#This Row],[GES]]="","",IF(Eingabe[[#This Row],[Modus]]="L",_xlfn.RANK.EQ(Eingabe[[#This Row],[GES]],AF351:AF356),IF(Eingabe[[#This Row],[Modus]]="P",_xlfn.RANK.EQ(Eingabe[[#This Row],[GES]],AF351:AF356),"")))</f>
        <v>2</v>
      </c>
      <c r="AV353" s="6">
        <f>VLOOKUP(Eingabe[[#This Row],[Name]],AuswertungG[],8,FALSE)</f>
        <v>529</v>
      </c>
      <c r="AZ353" s="6">
        <f>IFERROR(ABS(Eingabe[[#This Row],[GES]]-Eingabe[[#This Row],[GEGGES]]),"")</f>
        <v>88</v>
      </c>
    </row>
    <row r="354" spans="1:52" ht="16.2" hidden="1" thickBot="1" x14ac:dyDescent="0.35">
      <c r="A354" s="441"/>
      <c r="B354" s="21">
        <f t="shared" si="44"/>
        <v>59</v>
      </c>
      <c r="C354" s="6" t="str">
        <f>VLOOKUP($B354,Chronologie[],7,TRUE)</f>
        <v xml:space="preserve">TSV 1848 Flöha </v>
      </c>
      <c r="D354" s="6" t="str">
        <f>VLOOKUP($B354,Chronologie[],8,TRUE)</f>
        <v>Hirschfeld</v>
      </c>
      <c r="E354" s="240" t="str">
        <f>VLOOKUP($B354,Chronologie[],9,TRUE)</f>
        <v>H</v>
      </c>
      <c r="F354" s="6" t="str">
        <f>VLOOKUP($B354,Chronologie[],COLUMN(F355)-2,TRUE)</f>
        <v>D</v>
      </c>
      <c r="G354" s="6" t="str">
        <f>VLOOKUP($B354,Chronologie[],COLUMN(G355)-2,TRUE)</f>
        <v>L</v>
      </c>
      <c r="H354" s="6">
        <f>VLOOKUP($B354,Chronologie[],COLUMN(H355)-2,TRUE)</f>
        <v>2</v>
      </c>
      <c r="I354" s="10" t="str">
        <f>VLOOKUP($B354,Chronologie[],2,TRUE)</f>
        <v>D-L-2</v>
      </c>
      <c r="J354" s="243">
        <f>VLOOKUP($B354,Chronologie[],3,TRUE)</f>
        <v>45949</v>
      </c>
      <c r="K354" s="238"/>
      <c r="L354" s="237">
        <v>61</v>
      </c>
      <c r="M354" s="237">
        <v>89</v>
      </c>
      <c r="N354" s="237">
        <v>80</v>
      </c>
      <c r="O354" s="237">
        <v>80</v>
      </c>
      <c r="P354" s="237">
        <v>40</v>
      </c>
      <c r="Q354" s="237">
        <v>49</v>
      </c>
      <c r="R354" s="237">
        <v>20</v>
      </c>
      <c r="S354" s="237">
        <v>29</v>
      </c>
      <c r="T354" s="237">
        <v>4</v>
      </c>
      <c r="U354" s="237">
        <v>0</v>
      </c>
      <c r="V354" s="237">
        <v>6</v>
      </c>
      <c r="W354" s="237">
        <v>2</v>
      </c>
      <c r="X354" s="38">
        <v>0</v>
      </c>
      <c r="Y354" s="38">
        <v>1</v>
      </c>
      <c r="Z354" s="38">
        <v>0</v>
      </c>
      <c r="AA354" s="38">
        <v>1</v>
      </c>
      <c r="AB354" s="91">
        <v>459</v>
      </c>
      <c r="AC354" s="94">
        <f>IF(Eingabe[[#This Row],[V1]]="",IF(Eingabe[[#This Row],[Volle alternativ]]="","",Eingabe[[#This Row],[Volle alternativ]]),SUM(Eingabe[[#This Row],[V1]:[V4]]))</f>
        <v>310</v>
      </c>
      <c r="AD354" s="6">
        <f>IF(Eingabe[[#This Row],[R1]]="",IF(Eingabe[[#This Row],[Räumer alternativ]]="","",Eingabe[[#This Row],[Räumer alternativ]]),SUM(Eingabe[[#This Row],[R1]:[R4]]))</f>
        <v>138</v>
      </c>
      <c r="AE354" s="6">
        <f>IF(Eingabe[[#This Row],[F1]]="",IF(Eingabe[[#This Row],[Fehler alternativ]]="","",Eingabe[[#This Row],[Fehler alternativ]]),SUM(Eingabe[[#This Row],[F1]:[F4]]))</f>
        <v>12</v>
      </c>
      <c r="AF354" s="6">
        <f>IF(Eingabe[[#This Row],[Volle]]="","",IF(Eingabe[[#This Row],[S1]]="",Eingabe[[#This Row],[Volle]]+Eingabe[[#This Row],[Räumer]],IF(Eingabe[[#This Row],[Volle]]+Eingabe[[#This Row],[Räumer]]=Eingabe[[#This Row],[S1]]+Eingabe[[#This Row],[S2]]+Eingabe[[#This Row],[S3]]+Eingabe[[#This Row],[S4]],Eingabe[[#This Row],[Volle]]+Eingabe[[#This Row],[Räumer]],"FEHLER")))</f>
        <v>448</v>
      </c>
      <c r="AG354" s="6">
        <f>IF(Eingabe[[#This Row],[V1]]="","",Eingabe[[#This Row],[V1]]+Eingabe[[#This Row],[R1]])</f>
        <v>101</v>
      </c>
      <c r="AH354" s="6">
        <f>IF(Eingabe[[#This Row],[V2]]="","",Eingabe[[#This Row],[V2]]+Eingabe[[#This Row],[R2]])</f>
        <v>138</v>
      </c>
      <c r="AI354" s="6">
        <f>IF(Eingabe[[#This Row],[V3]]="","",Eingabe[[#This Row],[V3]]+Eingabe[[#This Row],[R3]])</f>
        <v>100</v>
      </c>
      <c r="AJ354" s="6">
        <f>IF(Eingabe[[#This Row],[V4]]="","",Eingabe[[#This Row],[V4]]+Eingabe[[#This Row],[R4]])</f>
        <v>109</v>
      </c>
      <c r="AK354" s="6">
        <f>IF(Eingabe[[#This Row],[S1P]]="","",Eingabe[[#This Row],[S1P]]+Eingabe[[#This Row],[S2P]]+Eingabe[[#This Row],[S3P]]+Eingabe[[#This Row],[S4P]])</f>
        <v>2</v>
      </c>
      <c r="AL354" s="6">
        <f>IF(Eingabe[[#This Row],[S1P]]="","",IF(Eingabe[[#This Row],[SP]]&gt;2,1,IF(Eingabe[[#This Row],[SP]]&lt;2,0,IF(Eingabe[[#This Row],[GES]]&gt;Eingabe[[#This Row],[GEGGES]],1,IF(Eingabe[[#This Row],[GES]]=Eingabe[[#This Row],[GEGGES]],0.5,0)))))</f>
        <v>0</v>
      </c>
      <c r="AM354" s="6">
        <f>IF(Eingabe[[#This Row],[MP]]="","",MOD(ROW(Eingabe[[#This Row],[Position]])-3,6)+1)</f>
        <v>4</v>
      </c>
      <c r="AN354" s="6" t="e">
        <f>STANDARDIZE(Eingabe[[#This Row],[GES]],Eingabe[[#This Row],[Schnitt]],VLOOKUP(Eingabe[[#This Row],[Name]],AuswertungG[],21,FALSE))</f>
        <v>#N/A</v>
      </c>
      <c r="AO354" s="6">
        <f>VLOOKUP(Eingabe[[#This Row],[ID]],Chronologie[[ID]:[KW]],12,FALSE)</f>
        <v>8</v>
      </c>
      <c r="AP354" s="95" t="str">
        <f>IF(Eingabe[[#This Row],[Wo]]="H",Eingabe[[#This Row],[Gegner]]&amp;" ["&amp;Eingabe[[#This Row],[Wo]]&amp;"]",Eingabe[[#This Row],[Ort]])</f>
        <v>TSV 1848 Flöha  [H]</v>
      </c>
      <c r="AQ354" s="6">
        <f>IFERROR(IF(Eingabe[[#This Row],[Wo]]="H",IF(MOD(Eingabe[[#This Row],[Position]],2)=1,Eingabe[[#This Row],[S1]],Eingabe[[#This Row],[S4]]),""),"")</f>
        <v>109</v>
      </c>
      <c r="AR354" s="6">
        <f>IFERROR(IF(Eingabe[[#This Row],[Wo]]="H",IF(Eingabe[[#This Row],[S1]]&gt;0,IF(MOD(Eingabe[[#This Row],[Position]],2)=1,Eingabe[[#This Row],[S2]],Eingabe[[#This Row],[S3]]),""),""),"")</f>
        <v>100</v>
      </c>
      <c r="AS354" s="6">
        <f>IFERROR(IF(Eingabe[[#This Row],[Wo]]="H",IF(Eingabe[[#This Row],[S1]]&gt;0,IF(MOD(ROW(Eingabe[[#This Row],[Heimbahn 3]]),2)=1,Eingabe[[#This Row],[S4]],Eingabe[[#This Row],[S1]]),""),""),"")</f>
        <v>101</v>
      </c>
      <c r="AT354" s="6">
        <f>IFERROR(IF(Eingabe[[#This Row],[Wo]]="H",IF(Eingabe[[#This Row],[S1]]&gt;0,IF(MOD(ROW(Eingabe[[#This Row],[Heimbahn 4]]),2)=1,Eingabe[[#This Row],[S3]],Eingabe[[#This Row],[S2]]),""),""),"")</f>
        <v>138</v>
      </c>
      <c r="AU354" s="22">
        <f>IF(Eingabe[[#This Row],[GES]]="","",IF(Eingabe[[#This Row],[Modus]]="L",_xlfn.RANK.EQ(Eingabe[[#This Row],[GES]],AF351:AF356),IF(Eingabe[[#This Row],[Modus]]="P",_xlfn.RANK.EQ(Eingabe[[#This Row],[GES]],AF351:AF356),"")))</f>
        <v>6</v>
      </c>
      <c r="AV354" s="6" t="e">
        <f>VLOOKUP(Eingabe[[#This Row],[Name]],AuswertungG[],8,FALSE)</f>
        <v>#N/A</v>
      </c>
      <c r="AZ354" s="6">
        <f>IFERROR(ABS(Eingabe[[#This Row],[GES]]-Eingabe[[#This Row],[GEGGES]]),"")</f>
        <v>11</v>
      </c>
    </row>
    <row r="355" spans="1:52" ht="16.2" hidden="1" thickBot="1" x14ac:dyDescent="0.35">
      <c r="A355" s="441"/>
      <c r="B355" s="21">
        <f t="shared" si="44"/>
        <v>59</v>
      </c>
      <c r="C355" s="6" t="str">
        <f>VLOOKUP($B355,Chronologie[],7,TRUE)</f>
        <v xml:space="preserve">TSV 1848 Flöha </v>
      </c>
      <c r="D355" s="6" t="str">
        <f>VLOOKUP($B355,Chronologie[],8,TRUE)</f>
        <v>Hirschfeld</v>
      </c>
      <c r="E355" s="240" t="str">
        <f>VLOOKUP($B355,Chronologie[],9,TRUE)</f>
        <v>H</v>
      </c>
      <c r="F355" s="6" t="str">
        <f>VLOOKUP($B355,Chronologie[],COLUMN(F356)-2,TRUE)</f>
        <v>D</v>
      </c>
      <c r="G355" s="6" t="str">
        <f>VLOOKUP($B355,Chronologie[],COLUMN(G356)-2,TRUE)</f>
        <v>L</v>
      </c>
      <c r="H355" s="6">
        <f>VLOOKUP($B355,Chronologie[],COLUMN(H356)-2,TRUE)</f>
        <v>2</v>
      </c>
      <c r="I355" s="10" t="str">
        <f>VLOOKUP($B355,Chronologie[],2,TRUE)</f>
        <v>D-L-2</v>
      </c>
      <c r="J355" s="243">
        <f>VLOOKUP($B355,Chronologie[],3,TRUE)</f>
        <v>45949</v>
      </c>
      <c r="K355" s="237" t="s">
        <v>461</v>
      </c>
      <c r="L355" s="237">
        <v>82</v>
      </c>
      <c r="M355" s="237">
        <v>89</v>
      </c>
      <c r="N355" s="237">
        <v>89</v>
      </c>
      <c r="O355" s="237">
        <v>81</v>
      </c>
      <c r="P355" s="237">
        <v>41</v>
      </c>
      <c r="Q355" s="237">
        <v>42</v>
      </c>
      <c r="R355" s="237">
        <v>35</v>
      </c>
      <c r="S355" s="237">
        <v>35</v>
      </c>
      <c r="T355" s="237">
        <v>2</v>
      </c>
      <c r="U355" s="237">
        <v>3</v>
      </c>
      <c r="V355" s="237">
        <v>1</v>
      </c>
      <c r="W355" s="237">
        <v>4</v>
      </c>
      <c r="X355" s="38">
        <v>0</v>
      </c>
      <c r="Y355" s="38">
        <v>1</v>
      </c>
      <c r="Z355" s="38">
        <v>0</v>
      </c>
      <c r="AA355" s="38">
        <v>1</v>
      </c>
      <c r="AB355" s="91">
        <v>480</v>
      </c>
      <c r="AC355" s="94">
        <f>IF(Eingabe[[#This Row],[V1]]="",IF(Eingabe[[#This Row],[Volle alternativ]]="","",Eingabe[[#This Row],[Volle alternativ]]),SUM(Eingabe[[#This Row],[V1]:[V4]]))</f>
        <v>341</v>
      </c>
      <c r="AD355" s="6">
        <f>IF(Eingabe[[#This Row],[R1]]="",IF(Eingabe[[#This Row],[Räumer alternativ]]="","",Eingabe[[#This Row],[Räumer alternativ]]),SUM(Eingabe[[#This Row],[R1]:[R4]]))</f>
        <v>153</v>
      </c>
      <c r="AE355" s="6">
        <f>IF(Eingabe[[#This Row],[F1]]="",IF(Eingabe[[#This Row],[Fehler alternativ]]="","",Eingabe[[#This Row],[Fehler alternativ]]),SUM(Eingabe[[#This Row],[F1]:[F4]]))</f>
        <v>10</v>
      </c>
      <c r="AF355" s="6">
        <f>IF(Eingabe[[#This Row],[Volle]]="","",IF(Eingabe[[#This Row],[S1]]="",Eingabe[[#This Row],[Volle]]+Eingabe[[#This Row],[Räumer]],IF(Eingabe[[#This Row],[Volle]]+Eingabe[[#This Row],[Räumer]]=Eingabe[[#This Row],[S1]]+Eingabe[[#This Row],[S2]]+Eingabe[[#This Row],[S3]]+Eingabe[[#This Row],[S4]],Eingabe[[#This Row],[Volle]]+Eingabe[[#This Row],[Räumer]],"FEHLER")))</f>
        <v>494</v>
      </c>
      <c r="AG355" s="6">
        <f>IF(Eingabe[[#This Row],[V1]]="","",Eingabe[[#This Row],[V1]]+Eingabe[[#This Row],[R1]])</f>
        <v>123</v>
      </c>
      <c r="AH355" s="6">
        <f>IF(Eingabe[[#This Row],[V2]]="","",Eingabe[[#This Row],[V2]]+Eingabe[[#This Row],[R2]])</f>
        <v>131</v>
      </c>
      <c r="AI355" s="6">
        <f>IF(Eingabe[[#This Row],[V3]]="","",Eingabe[[#This Row],[V3]]+Eingabe[[#This Row],[R3]])</f>
        <v>124</v>
      </c>
      <c r="AJ355" s="6">
        <f>IF(Eingabe[[#This Row],[V4]]="","",Eingabe[[#This Row],[V4]]+Eingabe[[#This Row],[R4]])</f>
        <v>116</v>
      </c>
      <c r="AK355" s="6">
        <f>IF(Eingabe[[#This Row],[S1P]]="","",Eingabe[[#This Row],[S1P]]+Eingabe[[#This Row],[S2P]]+Eingabe[[#This Row],[S3P]]+Eingabe[[#This Row],[S4P]])</f>
        <v>2</v>
      </c>
      <c r="AL355" s="6">
        <f>IF(Eingabe[[#This Row],[S1P]]="","",IF(Eingabe[[#This Row],[SP]]&gt;2,1,IF(Eingabe[[#This Row],[SP]]&lt;2,0,IF(Eingabe[[#This Row],[GES]]&gt;Eingabe[[#This Row],[GEGGES]],1,IF(Eingabe[[#This Row],[GES]]=Eingabe[[#This Row],[GEGGES]],0.5,0)))))</f>
        <v>1</v>
      </c>
      <c r="AM355" s="6">
        <f>IF(Eingabe[[#This Row],[MP]]="","",MOD(ROW(Eingabe[[#This Row],[Position]])-3,6)+1)</f>
        <v>5</v>
      </c>
      <c r="AN355" s="6" t="e">
        <f>STANDARDIZE(Eingabe[[#This Row],[GES]],Eingabe[[#This Row],[Schnitt]],VLOOKUP(Eingabe[[#This Row],[Name]],AuswertungG[],21,FALSE))</f>
        <v>#VALUE!</v>
      </c>
      <c r="AO355" s="6">
        <f>VLOOKUP(Eingabe[[#This Row],[ID]],Chronologie[[ID]:[KW]],12,FALSE)</f>
        <v>8</v>
      </c>
      <c r="AP355" s="95" t="str">
        <f>IF(Eingabe[[#This Row],[Wo]]="H",Eingabe[[#This Row],[Gegner]]&amp;" ["&amp;Eingabe[[#This Row],[Wo]]&amp;"]",Eingabe[[#This Row],[Ort]])</f>
        <v>TSV 1848 Flöha  [H]</v>
      </c>
      <c r="AQ355" s="6">
        <f>IFERROR(IF(Eingabe[[#This Row],[Wo]]="H",IF(MOD(Eingabe[[#This Row],[Position]],2)=1,Eingabe[[#This Row],[S1]],Eingabe[[#This Row],[S4]]),""),"")</f>
        <v>123</v>
      </c>
      <c r="AR355" s="6">
        <f>IFERROR(IF(Eingabe[[#This Row],[Wo]]="H",IF(Eingabe[[#This Row],[S1]]&gt;0,IF(MOD(Eingabe[[#This Row],[Position]],2)=1,Eingabe[[#This Row],[S2]],Eingabe[[#This Row],[S3]]),""),""),"")</f>
        <v>131</v>
      </c>
      <c r="AS355" s="6">
        <f>IFERROR(IF(Eingabe[[#This Row],[Wo]]="H",IF(Eingabe[[#This Row],[S1]]&gt;0,IF(MOD(ROW(Eingabe[[#This Row],[Heimbahn 3]]),2)=1,Eingabe[[#This Row],[S4]],Eingabe[[#This Row],[S1]]),""),""),"")</f>
        <v>116</v>
      </c>
      <c r="AT355" s="6">
        <f>IFERROR(IF(Eingabe[[#This Row],[Wo]]="H",IF(Eingabe[[#This Row],[S1]]&gt;0,IF(MOD(ROW(Eingabe[[#This Row],[Heimbahn 4]]),2)=1,Eingabe[[#This Row],[S3]],Eingabe[[#This Row],[S2]]),""),""),"")</f>
        <v>124</v>
      </c>
      <c r="AU355" s="22">
        <f>IF(Eingabe[[#This Row],[GES]]="","",IF(Eingabe[[#This Row],[Modus]]="L",_xlfn.RANK.EQ(Eingabe[[#This Row],[GES]],AF351:AF356),IF(Eingabe[[#This Row],[Modus]]="P",_xlfn.RANK.EQ(Eingabe[[#This Row],[GES]],AF351:AF356),"")))</f>
        <v>5</v>
      </c>
      <c r="AV355" s="6">
        <f>VLOOKUP(Eingabe[[#This Row],[Name]],AuswertungG[],8,FALSE)</f>
        <v>494</v>
      </c>
      <c r="AZ355" s="6">
        <f>IFERROR(ABS(Eingabe[[#This Row],[GES]]-Eingabe[[#This Row],[GEGGES]]),"")</f>
        <v>14</v>
      </c>
    </row>
    <row r="356" spans="1:52" ht="16.2" hidden="1" thickBot="1" x14ac:dyDescent="0.35">
      <c r="A356" s="442"/>
      <c r="B356" s="56">
        <f t="shared" si="44"/>
        <v>59</v>
      </c>
      <c r="C356" s="23" t="str">
        <f>VLOOKUP($B356,Chronologie[],7,TRUE)</f>
        <v xml:space="preserve">TSV 1848 Flöha </v>
      </c>
      <c r="D356" s="23" t="str">
        <f>VLOOKUP($B356,Chronologie[],8,TRUE)</f>
        <v>Hirschfeld</v>
      </c>
      <c r="E356" s="39" t="str">
        <f>VLOOKUP($B356,Chronologie[],9,TRUE)</f>
        <v>H</v>
      </c>
      <c r="F356" s="23" t="str">
        <f>VLOOKUP($B356,Chronologie[],COLUMN(F357)-2,TRUE)</f>
        <v>D</v>
      </c>
      <c r="G356" s="23" t="str">
        <f>VLOOKUP($B356,Chronologie[],COLUMN(G357)-2,TRUE)</f>
        <v>L</v>
      </c>
      <c r="H356" s="23">
        <f>VLOOKUP($B356,Chronologie[],COLUMN(H357)-2,TRUE)</f>
        <v>2</v>
      </c>
      <c r="I356" s="13" t="str">
        <f>VLOOKUP($B356,Chronologie[],2,TRUE)</f>
        <v>D-L-2</v>
      </c>
      <c r="J356" s="244">
        <f>VLOOKUP($B356,Chronologie[],3,TRUE)</f>
        <v>45949</v>
      </c>
      <c r="K356" s="239" t="s">
        <v>467</v>
      </c>
      <c r="L356" s="239">
        <v>90</v>
      </c>
      <c r="M356" s="239">
        <v>84</v>
      </c>
      <c r="N356" s="239">
        <v>97</v>
      </c>
      <c r="O356" s="239">
        <v>93</v>
      </c>
      <c r="P356" s="239">
        <v>44</v>
      </c>
      <c r="Q356" s="239">
        <v>35</v>
      </c>
      <c r="R356" s="239">
        <v>36</v>
      </c>
      <c r="S356" s="239">
        <v>59</v>
      </c>
      <c r="T356" s="239">
        <v>1</v>
      </c>
      <c r="U356" s="239">
        <v>2</v>
      </c>
      <c r="V356" s="239">
        <v>3</v>
      </c>
      <c r="W356" s="239">
        <v>0</v>
      </c>
      <c r="X356" s="40">
        <v>1</v>
      </c>
      <c r="Y356" s="40">
        <v>0</v>
      </c>
      <c r="Z356" s="40">
        <v>1</v>
      </c>
      <c r="AA356" s="40">
        <v>1</v>
      </c>
      <c r="AB356" s="92">
        <v>493</v>
      </c>
      <c r="AC356" s="96">
        <f>IF(Eingabe[[#This Row],[V1]]="",IF(Eingabe[[#This Row],[Volle alternativ]]="","",Eingabe[[#This Row],[Volle alternativ]]),SUM(Eingabe[[#This Row],[V1]:[V4]]))</f>
        <v>364</v>
      </c>
      <c r="AD356" s="23">
        <f>IF(Eingabe[[#This Row],[R1]]="",IF(Eingabe[[#This Row],[Räumer alternativ]]="","",Eingabe[[#This Row],[Räumer alternativ]]),SUM(Eingabe[[#This Row],[R1]:[R4]]))</f>
        <v>174</v>
      </c>
      <c r="AE356" s="23">
        <f>IF(Eingabe[[#This Row],[F1]]="",IF(Eingabe[[#This Row],[Fehler alternativ]]="","",Eingabe[[#This Row],[Fehler alternativ]]),SUM(Eingabe[[#This Row],[F1]:[F4]]))</f>
        <v>6</v>
      </c>
      <c r="AF356" s="23">
        <f>IF(Eingabe[[#This Row],[Volle]]="","",IF(Eingabe[[#This Row],[S1]]="",Eingabe[[#This Row],[Volle]]+Eingabe[[#This Row],[Räumer]],IF(Eingabe[[#This Row],[Volle]]+Eingabe[[#This Row],[Räumer]]=Eingabe[[#This Row],[S1]]+Eingabe[[#This Row],[S2]]+Eingabe[[#This Row],[S3]]+Eingabe[[#This Row],[S4]],Eingabe[[#This Row],[Volle]]+Eingabe[[#This Row],[Räumer]],"FEHLER")))</f>
        <v>538</v>
      </c>
      <c r="AG356" s="23">
        <f>IF(Eingabe[[#This Row],[V1]]="","",Eingabe[[#This Row],[V1]]+Eingabe[[#This Row],[R1]])</f>
        <v>134</v>
      </c>
      <c r="AH356" s="23">
        <f>IF(Eingabe[[#This Row],[V2]]="","",Eingabe[[#This Row],[V2]]+Eingabe[[#This Row],[R2]])</f>
        <v>119</v>
      </c>
      <c r="AI356" s="23">
        <f>IF(Eingabe[[#This Row],[V3]]="","",Eingabe[[#This Row],[V3]]+Eingabe[[#This Row],[R3]])</f>
        <v>133</v>
      </c>
      <c r="AJ356" s="23">
        <f>IF(Eingabe[[#This Row],[V4]]="","",Eingabe[[#This Row],[V4]]+Eingabe[[#This Row],[R4]])</f>
        <v>152</v>
      </c>
      <c r="AK356" s="23">
        <f>IF(Eingabe[[#This Row],[S1P]]="","",Eingabe[[#This Row],[S1P]]+Eingabe[[#This Row],[S2P]]+Eingabe[[#This Row],[S3P]]+Eingabe[[#This Row],[S4P]])</f>
        <v>3</v>
      </c>
      <c r="AL356" s="23">
        <f>IF(Eingabe[[#This Row],[S1P]]="","",IF(Eingabe[[#This Row],[SP]]&gt;2,1,IF(Eingabe[[#This Row],[SP]]&lt;2,0,IF(Eingabe[[#This Row],[GES]]&gt;Eingabe[[#This Row],[GEGGES]],1,IF(Eingabe[[#This Row],[GES]]=Eingabe[[#This Row],[GEGGES]],0.5,0)))))</f>
        <v>1</v>
      </c>
      <c r="AM356" s="23">
        <f>IF(Eingabe[[#This Row],[MP]]="","",MOD(ROW(Eingabe[[#This Row],[Position]])-3,6)+1)</f>
        <v>6</v>
      </c>
      <c r="AN356" s="23">
        <f>STANDARDIZE(Eingabe[[#This Row],[GES]],Eingabe[[#This Row],[Schnitt]],VLOOKUP(Eingabe[[#This Row],[Name]],AuswertungG[],21,FALSE))</f>
        <v>1.1428571428571428</v>
      </c>
      <c r="AO356" s="23">
        <f>VLOOKUP(Eingabe[[#This Row],[ID]],Chronologie[[ID]:[KW]],12,FALSE)</f>
        <v>8</v>
      </c>
      <c r="AP356" s="59" t="str">
        <f>IF(Eingabe[[#This Row],[Wo]]="H",Eingabe[[#This Row],[Gegner]]&amp;" ["&amp;Eingabe[[#This Row],[Wo]]&amp;"]",Eingabe[[#This Row],[Ort]])</f>
        <v>TSV 1848 Flöha  [H]</v>
      </c>
      <c r="AQ356" s="23">
        <f>IFERROR(IF(Eingabe[[#This Row],[Wo]]="H",IF(MOD(Eingabe[[#This Row],[Position]],2)=1,Eingabe[[#This Row],[S1]],Eingabe[[#This Row],[S4]]),""),"")</f>
        <v>152</v>
      </c>
      <c r="AR356" s="23">
        <f>IFERROR(IF(Eingabe[[#This Row],[Wo]]="H",IF(Eingabe[[#This Row],[S1]]&gt;0,IF(MOD(Eingabe[[#This Row],[Position]],2)=1,Eingabe[[#This Row],[S2]],Eingabe[[#This Row],[S3]]),""),""),"")</f>
        <v>133</v>
      </c>
      <c r="AS356" s="23">
        <f>IFERROR(IF(Eingabe[[#This Row],[Wo]]="H",IF(Eingabe[[#This Row],[S1]]&gt;0,IF(MOD(ROW(Eingabe[[#This Row],[Heimbahn 3]]),2)=1,Eingabe[[#This Row],[S4]],Eingabe[[#This Row],[S1]]),""),""),"")</f>
        <v>134</v>
      </c>
      <c r="AT356" s="23">
        <f>IFERROR(IF(Eingabe[[#This Row],[Wo]]="H",IF(Eingabe[[#This Row],[S1]]&gt;0,IF(MOD(ROW(Eingabe[[#This Row],[Heimbahn 4]]),2)=1,Eingabe[[#This Row],[S3]],Eingabe[[#This Row],[S2]]),""),""),"")</f>
        <v>119</v>
      </c>
      <c r="AU356" s="89">
        <f>IF(Eingabe[[#This Row],[GES]]="","",IF(Eingabe[[#This Row],[Modus]]="L",_xlfn.RANK.EQ(Eingabe[[#This Row],[GES]],AF351:AF356),IF(Eingabe[[#This Row],[Modus]]="P",_xlfn.RANK.EQ(Eingabe[[#This Row],[GES]],AF351:AF356),"")))</f>
        <v>1</v>
      </c>
      <c r="AV356" s="6">
        <f>VLOOKUP(Eingabe[[#This Row],[Name]],AuswertungG[],8,FALSE)</f>
        <v>498</v>
      </c>
      <c r="AZ356" s="6">
        <f>IFERROR(ABS(Eingabe[[#This Row],[GES]]-Eingabe[[#This Row],[GEGGES]]),"")</f>
        <v>45</v>
      </c>
    </row>
    <row r="357" spans="1:52" ht="16.2" hidden="1" thickBot="1" x14ac:dyDescent="0.35">
      <c r="A357" s="440">
        <f t="shared" si="43"/>
        <v>60</v>
      </c>
      <c r="B357" s="55">
        <f t="shared" si="44"/>
        <v>60</v>
      </c>
      <c r="C357" s="35" t="str">
        <f>VLOOKUP($B357,Chronologie[],7,TRUE)</f>
        <v xml:space="preserve">SV Grün-Weiß Niederwiesa </v>
      </c>
      <c r="D357" s="35" t="str">
        <f>VLOOKUP($B357,Chronologie[],8,TRUE)</f>
        <v>Niederwiesa</v>
      </c>
      <c r="E357" s="36" t="str">
        <f>VLOOKUP($B357,Chronologie[],9,TRUE)</f>
        <v>A</v>
      </c>
      <c r="F357" s="35" t="str">
        <f>VLOOKUP($B357,Chronologie[],COLUMN(F358)-2,TRUE)</f>
        <v>D</v>
      </c>
      <c r="G357" s="35" t="str">
        <f>VLOOKUP($B357,Chronologie[],COLUMN(G358)-2,TRUE)</f>
        <v>L</v>
      </c>
      <c r="H357" s="35">
        <f>VLOOKUP($B357,Chronologie[],COLUMN(H358)-2,TRUE)</f>
        <v>3</v>
      </c>
      <c r="I357" s="9" t="str">
        <f>VLOOKUP($B357,Chronologie[],2,TRUE)</f>
        <v>D-L-3</v>
      </c>
      <c r="J357" s="242">
        <f>VLOOKUP($B357,Chronologie[],3,TRUE)</f>
        <v>45962</v>
      </c>
      <c r="K357" s="236"/>
      <c r="L357" s="334"/>
      <c r="M357" s="334"/>
      <c r="N357" s="334"/>
      <c r="O357" s="334"/>
      <c r="P357" s="334"/>
      <c r="Q357" s="334"/>
      <c r="R357" s="334"/>
      <c r="S357" s="334"/>
      <c r="T357" s="334"/>
      <c r="U357" s="334"/>
      <c r="V357" s="334"/>
      <c r="W357" s="334"/>
      <c r="X357" s="37"/>
      <c r="Y357" s="37"/>
      <c r="Z357" s="37"/>
      <c r="AA357" s="37"/>
      <c r="AB357" s="90"/>
      <c r="AC357" s="93" t="str">
        <f>IF(Eingabe[[#This Row],[V1]]="",IF(Eingabe[[#This Row],[Volle alternativ]]="","",Eingabe[[#This Row],[Volle alternativ]]),SUM(Eingabe[[#This Row],[V1]:[V4]]))</f>
        <v/>
      </c>
      <c r="AD357" s="35" t="str">
        <f>IF(Eingabe[[#This Row],[R1]]="",IF(Eingabe[[#This Row],[Räumer alternativ]]="","",Eingabe[[#This Row],[Räumer alternativ]]),SUM(Eingabe[[#This Row],[R1]:[R4]]))</f>
        <v/>
      </c>
      <c r="AE357" s="35" t="str">
        <f>IF(Eingabe[[#This Row],[F1]]="",IF(Eingabe[[#This Row],[Fehler alternativ]]="","",Eingabe[[#This Row],[Fehler alternativ]]),SUM(Eingabe[[#This Row],[F1]:[F4]]))</f>
        <v/>
      </c>
      <c r="AF357" s="35" t="str">
        <f>IF(Eingabe[[#This Row],[Volle]]="","",IF(Eingabe[[#This Row],[S1]]="",Eingabe[[#This Row],[Volle]]+Eingabe[[#This Row],[Räumer]],IF(Eingabe[[#This Row],[Volle]]+Eingabe[[#This Row],[Räumer]]=Eingabe[[#This Row],[S1]]+Eingabe[[#This Row],[S2]]+Eingabe[[#This Row],[S3]]+Eingabe[[#This Row],[S4]],Eingabe[[#This Row],[Volle]]+Eingabe[[#This Row],[Räumer]],"FEHLER")))</f>
        <v/>
      </c>
      <c r="AG357" s="35" t="str">
        <f>IF(Eingabe[[#This Row],[V1]]="","",Eingabe[[#This Row],[V1]]+Eingabe[[#This Row],[R1]])</f>
        <v/>
      </c>
      <c r="AH357" s="35" t="str">
        <f>IF(Eingabe[[#This Row],[V2]]="","",Eingabe[[#This Row],[V2]]+Eingabe[[#This Row],[R2]])</f>
        <v/>
      </c>
      <c r="AI357" s="35" t="str">
        <f>IF(Eingabe[[#This Row],[V3]]="","",Eingabe[[#This Row],[V3]]+Eingabe[[#This Row],[R3]])</f>
        <v/>
      </c>
      <c r="AJ357" s="35" t="str">
        <f>IF(Eingabe[[#This Row],[V4]]="","",Eingabe[[#This Row],[V4]]+Eingabe[[#This Row],[R4]])</f>
        <v/>
      </c>
      <c r="AK357" s="35" t="str">
        <f>IF(Eingabe[[#This Row],[S1P]]="","",Eingabe[[#This Row],[S1P]]+Eingabe[[#This Row],[S2P]]+Eingabe[[#This Row],[S3P]]+Eingabe[[#This Row],[S4P]])</f>
        <v/>
      </c>
      <c r="AL357" s="35" t="str">
        <f>IF(Eingabe[[#This Row],[S1P]]="","",IF(Eingabe[[#This Row],[SP]]&gt;2,1,IF(Eingabe[[#This Row],[SP]]&lt;2,0,IF(Eingabe[[#This Row],[GES]]&gt;Eingabe[[#This Row],[GEGGES]],1,IF(Eingabe[[#This Row],[GES]]=Eingabe[[#This Row],[GEGGES]],0.5,0)))))</f>
        <v/>
      </c>
      <c r="AM357" s="35" t="str">
        <f>IF(Eingabe[[#This Row],[MP]]="","",MOD(ROW(Eingabe[[#This Row],[Position]])-3,6)+1)</f>
        <v/>
      </c>
      <c r="AN357" s="35" t="e">
        <f>STANDARDIZE(Eingabe[[#This Row],[GES]],Eingabe[[#This Row],[Schnitt]],VLOOKUP(Eingabe[[#This Row],[Name]],AuswertungG[],21,FALSE))</f>
        <v>#VALUE!</v>
      </c>
      <c r="AO357" s="35">
        <f>VLOOKUP(Eingabe[[#This Row],[ID]],Chronologie[[ID]:[KW]],12,FALSE)</f>
        <v>10</v>
      </c>
      <c r="AP357" s="58" t="str">
        <f>IF(Eingabe[[#This Row],[Wo]]="H",Eingabe[[#This Row],[Gegner]]&amp;" ["&amp;Eingabe[[#This Row],[Wo]]&amp;"]",Eingabe[[#This Row],[Ort]])</f>
        <v>Niederwiesa</v>
      </c>
      <c r="AQ357" s="35" t="str">
        <f>IFERROR(IF(Eingabe[[#This Row],[Wo]]="H",IF(MOD(Eingabe[[#This Row],[Position]],2)=1,Eingabe[[#This Row],[S1]],Eingabe[[#This Row],[S4]]),""),"")</f>
        <v/>
      </c>
      <c r="AR357" s="35" t="str">
        <f>IFERROR(IF(Eingabe[[#This Row],[Wo]]="H",IF(Eingabe[[#This Row],[S1]]&gt;0,IF(MOD(Eingabe[[#This Row],[Position]],2)=1,Eingabe[[#This Row],[S2]],Eingabe[[#This Row],[S3]]),""),""),"")</f>
        <v/>
      </c>
      <c r="AS357" s="35" t="str">
        <f>IFERROR(IF(Eingabe[[#This Row],[Wo]]="H",IF(Eingabe[[#This Row],[S1]]&gt;0,IF(MOD(ROW(Eingabe[[#This Row],[Heimbahn 3]]),2)=1,Eingabe[[#This Row],[S4]],Eingabe[[#This Row],[S1]]),""),""),"")</f>
        <v/>
      </c>
      <c r="AT357" s="35" t="str">
        <f>IFERROR(IF(Eingabe[[#This Row],[Wo]]="H",IF(Eingabe[[#This Row],[S1]]&gt;0,IF(MOD(ROW(Eingabe[[#This Row],[Heimbahn 4]]),2)=1,Eingabe[[#This Row],[S3]],Eingabe[[#This Row],[S2]]),""),""),"")</f>
        <v/>
      </c>
      <c r="AU357" s="88" t="str">
        <f>IF(Eingabe[[#This Row],[GES]]="","",IF(Eingabe[[#This Row],[Modus]]="L",_xlfn.RANK.EQ(Eingabe[[#This Row],[GES]],AF357:AF362),IF(Eingabe[[#This Row],[Modus]]="P",_xlfn.RANK.EQ(Eingabe[[#This Row],[GES]],AF357:AF362),"")))</f>
        <v/>
      </c>
      <c r="AV357" s="6" t="e">
        <f>VLOOKUP(Eingabe[[#This Row],[Name]],AuswertungG[],8,FALSE)</f>
        <v>#N/A</v>
      </c>
      <c r="AZ357" s="6" t="str">
        <f>IFERROR(ABS(Eingabe[[#This Row],[GES]]-Eingabe[[#This Row],[GEGGES]]),"")</f>
        <v/>
      </c>
    </row>
    <row r="358" spans="1:52" ht="16.2" hidden="1" thickBot="1" x14ac:dyDescent="0.35">
      <c r="A358" s="441"/>
      <c r="B358" s="21">
        <f t="shared" si="44"/>
        <v>60</v>
      </c>
      <c r="C358" s="6" t="str">
        <f>VLOOKUP($B358,Chronologie[],7,TRUE)</f>
        <v xml:space="preserve">SV Grün-Weiß Niederwiesa </v>
      </c>
      <c r="D358" s="6" t="str">
        <f>VLOOKUP($B358,Chronologie[],8,TRUE)</f>
        <v>Niederwiesa</v>
      </c>
      <c r="E358" s="240" t="str">
        <f>VLOOKUP($B358,Chronologie[],9,TRUE)</f>
        <v>A</v>
      </c>
      <c r="F358" s="6" t="str">
        <f>VLOOKUP($B358,Chronologie[],COLUMN(F359)-2,TRUE)</f>
        <v>D</v>
      </c>
      <c r="G358" s="6" t="str">
        <f>VLOOKUP($B358,Chronologie[],COLUMN(G359)-2,TRUE)</f>
        <v>L</v>
      </c>
      <c r="H358" s="6">
        <f>VLOOKUP($B358,Chronologie[],COLUMN(H359)-2,TRUE)</f>
        <v>3</v>
      </c>
      <c r="I358" s="10" t="str">
        <f>VLOOKUP($B358,Chronologie[],2,TRUE)</f>
        <v>D-L-3</v>
      </c>
      <c r="J358" s="243">
        <f>VLOOKUP($B358,Chronologie[],3,TRUE)</f>
        <v>45962</v>
      </c>
      <c r="K358" s="237"/>
      <c r="L358" s="237"/>
      <c r="M358" s="237"/>
      <c r="N358" s="237"/>
      <c r="O358" s="237"/>
      <c r="P358" s="237"/>
      <c r="Q358" s="237"/>
      <c r="R358" s="237"/>
      <c r="S358" s="237"/>
      <c r="T358" s="237"/>
      <c r="U358" s="237"/>
      <c r="V358" s="237"/>
      <c r="W358" s="237"/>
      <c r="X358" s="38"/>
      <c r="Y358" s="38"/>
      <c r="Z358" s="38"/>
      <c r="AA358" s="38"/>
      <c r="AB358" s="91"/>
      <c r="AC358" s="94" t="str">
        <f>IF(Eingabe[[#This Row],[V1]]="",IF(Eingabe[[#This Row],[Volle alternativ]]="","",Eingabe[[#This Row],[Volle alternativ]]),SUM(Eingabe[[#This Row],[V1]:[V4]]))</f>
        <v/>
      </c>
      <c r="AD358" s="6" t="str">
        <f>IF(Eingabe[[#This Row],[R1]]="",IF(Eingabe[[#This Row],[Räumer alternativ]]="","",Eingabe[[#This Row],[Räumer alternativ]]),SUM(Eingabe[[#This Row],[R1]:[R4]]))</f>
        <v/>
      </c>
      <c r="AE358" s="6" t="str">
        <f>IF(Eingabe[[#This Row],[F1]]="",IF(Eingabe[[#This Row],[Fehler alternativ]]="","",Eingabe[[#This Row],[Fehler alternativ]]),SUM(Eingabe[[#This Row],[F1]:[F4]]))</f>
        <v/>
      </c>
      <c r="AF358" s="6" t="str">
        <f>IF(Eingabe[[#This Row],[Volle]]="","",IF(Eingabe[[#This Row],[S1]]="",Eingabe[[#This Row],[Volle]]+Eingabe[[#This Row],[Räumer]],IF(Eingabe[[#This Row],[Volle]]+Eingabe[[#This Row],[Räumer]]=Eingabe[[#This Row],[S1]]+Eingabe[[#This Row],[S2]]+Eingabe[[#This Row],[S3]]+Eingabe[[#This Row],[S4]],Eingabe[[#This Row],[Volle]]+Eingabe[[#This Row],[Räumer]],"FEHLER")))</f>
        <v/>
      </c>
      <c r="AG358" s="6" t="str">
        <f>IF(Eingabe[[#This Row],[V1]]="","",Eingabe[[#This Row],[V1]]+Eingabe[[#This Row],[R1]])</f>
        <v/>
      </c>
      <c r="AH358" s="6" t="str">
        <f>IF(Eingabe[[#This Row],[V2]]="","",Eingabe[[#This Row],[V2]]+Eingabe[[#This Row],[R2]])</f>
        <v/>
      </c>
      <c r="AI358" s="6" t="str">
        <f>IF(Eingabe[[#This Row],[V3]]="","",Eingabe[[#This Row],[V3]]+Eingabe[[#This Row],[R3]])</f>
        <v/>
      </c>
      <c r="AJ358" s="6" t="str">
        <f>IF(Eingabe[[#This Row],[V4]]="","",Eingabe[[#This Row],[V4]]+Eingabe[[#This Row],[R4]])</f>
        <v/>
      </c>
      <c r="AK358" s="6" t="str">
        <f>IF(Eingabe[[#This Row],[S1P]]="","",Eingabe[[#This Row],[S1P]]+Eingabe[[#This Row],[S2P]]+Eingabe[[#This Row],[S3P]]+Eingabe[[#This Row],[S4P]])</f>
        <v/>
      </c>
      <c r="AL358" s="6" t="str">
        <f>IF(Eingabe[[#This Row],[S1P]]="","",IF(Eingabe[[#This Row],[SP]]&gt;2,1,IF(Eingabe[[#This Row],[SP]]&lt;2,0,IF(Eingabe[[#This Row],[GES]]&gt;Eingabe[[#This Row],[GEGGES]],1,IF(Eingabe[[#This Row],[GES]]=Eingabe[[#This Row],[GEGGES]],0.5,0)))))</f>
        <v/>
      </c>
      <c r="AM358" s="6" t="str">
        <f>IF(Eingabe[[#This Row],[MP]]="","",MOD(ROW(Eingabe[[#This Row],[Position]])-3,6)+1)</f>
        <v/>
      </c>
      <c r="AN358" s="6" t="e">
        <f>STANDARDIZE(Eingabe[[#This Row],[GES]],Eingabe[[#This Row],[Schnitt]],VLOOKUP(Eingabe[[#This Row],[Name]],AuswertungG[],21,FALSE))</f>
        <v>#VALUE!</v>
      </c>
      <c r="AO358" s="6">
        <f>VLOOKUP(Eingabe[[#This Row],[ID]],Chronologie[[ID]:[KW]],12,FALSE)</f>
        <v>10</v>
      </c>
      <c r="AP358" s="95" t="str">
        <f>IF(Eingabe[[#This Row],[Wo]]="H",Eingabe[[#This Row],[Gegner]]&amp;" ["&amp;Eingabe[[#This Row],[Wo]]&amp;"]",Eingabe[[#This Row],[Ort]])</f>
        <v>Niederwiesa</v>
      </c>
      <c r="AQ358" s="6" t="str">
        <f>IFERROR(IF(Eingabe[[#This Row],[Wo]]="H",IF(MOD(Eingabe[[#This Row],[Position]],2)=1,Eingabe[[#This Row],[S1]],Eingabe[[#This Row],[S4]]),""),"")</f>
        <v/>
      </c>
      <c r="AR358" s="6" t="str">
        <f>IFERROR(IF(Eingabe[[#This Row],[Wo]]="H",IF(Eingabe[[#This Row],[S1]]&gt;0,IF(MOD(Eingabe[[#This Row],[Position]],2)=1,Eingabe[[#This Row],[S2]],Eingabe[[#This Row],[S3]]),""),""),"")</f>
        <v/>
      </c>
      <c r="AS358" s="6" t="str">
        <f>IFERROR(IF(Eingabe[[#This Row],[Wo]]="H",IF(Eingabe[[#This Row],[S1]]&gt;0,IF(MOD(ROW(Eingabe[[#This Row],[Heimbahn 3]]),2)=1,Eingabe[[#This Row],[S4]],Eingabe[[#This Row],[S1]]),""),""),"")</f>
        <v/>
      </c>
      <c r="AT358" s="6" t="str">
        <f>IFERROR(IF(Eingabe[[#This Row],[Wo]]="H",IF(Eingabe[[#This Row],[S1]]&gt;0,IF(MOD(ROW(Eingabe[[#This Row],[Heimbahn 4]]),2)=1,Eingabe[[#This Row],[S3]],Eingabe[[#This Row],[S2]]),""),""),"")</f>
        <v/>
      </c>
      <c r="AU358" s="22" t="str">
        <f>IF(Eingabe[[#This Row],[GES]]="","",IF(Eingabe[[#This Row],[Modus]]="L",_xlfn.RANK.EQ(Eingabe[[#This Row],[GES]],AF357:AF362),IF(Eingabe[[#This Row],[Modus]]="P",_xlfn.RANK.EQ(Eingabe[[#This Row],[GES]],AF357:AF362),"")))</f>
        <v/>
      </c>
      <c r="AV358" s="6" t="e">
        <f>VLOOKUP(Eingabe[[#This Row],[Name]],AuswertungG[],8,FALSE)</f>
        <v>#N/A</v>
      </c>
      <c r="AZ358" s="6" t="str">
        <f>IFERROR(ABS(Eingabe[[#This Row],[GES]]-Eingabe[[#This Row],[GEGGES]]),"")</f>
        <v/>
      </c>
    </row>
    <row r="359" spans="1:52" ht="16.2" hidden="1" thickBot="1" x14ac:dyDescent="0.35">
      <c r="A359" s="441"/>
      <c r="B359" s="21">
        <f t="shared" si="44"/>
        <v>60</v>
      </c>
      <c r="C359" s="6" t="str">
        <f>VLOOKUP($B359,Chronologie[],7,TRUE)</f>
        <v xml:space="preserve">SV Grün-Weiß Niederwiesa </v>
      </c>
      <c r="D359" s="6" t="str">
        <f>VLOOKUP($B359,Chronologie[],8,TRUE)</f>
        <v>Niederwiesa</v>
      </c>
      <c r="E359" s="240" t="str">
        <f>VLOOKUP($B359,Chronologie[],9,TRUE)</f>
        <v>A</v>
      </c>
      <c r="F359" s="6" t="str">
        <f>VLOOKUP($B359,Chronologie[],COLUMN(F360)-2,TRUE)</f>
        <v>D</v>
      </c>
      <c r="G359" s="6" t="str">
        <f>VLOOKUP($B359,Chronologie[],COLUMN(G360)-2,TRUE)</f>
        <v>L</v>
      </c>
      <c r="H359" s="6">
        <f>VLOOKUP($B359,Chronologie[],COLUMN(H360)-2,TRUE)</f>
        <v>3</v>
      </c>
      <c r="I359" s="10" t="str">
        <f>VLOOKUP($B359,Chronologie[],2,TRUE)</f>
        <v>D-L-3</v>
      </c>
      <c r="J359" s="243">
        <f>VLOOKUP($B359,Chronologie[],3,TRUE)</f>
        <v>45962</v>
      </c>
      <c r="K359" s="237"/>
      <c r="L359" s="237"/>
      <c r="M359" s="237"/>
      <c r="N359" s="237"/>
      <c r="O359" s="237"/>
      <c r="P359" s="237"/>
      <c r="Q359" s="237"/>
      <c r="R359" s="237"/>
      <c r="S359" s="237"/>
      <c r="T359" s="237"/>
      <c r="U359" s="237"/>
      <c r="V359" s="237"/>
      <c r="W359" s="237"/>
      <c r="X359" s="38"/>
      <c r="Y359" s="38"/>
      <c r="Z359" s="38"/>
      <c r="AA359" s="38"/>
      <c r="AB359" s="91"/>
      <c r="AC359" s="94" t="str">
        <f>IF(Eingabe[[#This Row],[V1]]="",IF(Eingabe[[#This Row],[Volle alternativ]]="","",Eingabe[[#This Row],[Volle alternativ]]),SUM(Eingabe[[#This Row],[V1]:[V4]]))</f>
        <v/>
      </c>
      <c r="AD359" s="6" t="str">
        <f>IF(Eingabe[[#This Row],[R1]]="",IF(Eingabe[[#This Row],[Räumer alternativ]]="","",Eingabe[[#This Row],[Räumer alternativ]]),SUM(Eingabe[[#This Row],[R1]:[R4]]))</f>
        <v/>
      </c>
      <c r="AE359" s="6" t="str">
        <f>IF(Eingabe[[#This Row],[F1]]="",IF(Eingabe[[#This Row],[Fehler alternativ]]="","",Eingabe[[#This Row],[Fehler alternativ]]),SUM(Eingabe[[#This Row],[F1]:[F4]]))</f>
        <v/>
      </c>
      <c r="AF359" s="6" t="str">
        <f>IF(Eingabe[[#This Row],[Volle]]="","",IF(Eingabe[[#This Row],[S1]]="",Eingabe[[#This Row],[Volle]]+Eingabe[[#This Row],[Räumer]],IF(Eingabe[[#This Row],[Volle]]+Eingabe[[#This Row],[Räumer]]=Eingabe[[#This Row],[S1]]+Eingabe[[#This Row],[S2]]+Eingabe[[#This Row],[S3]]+Eingabe[[#This Row],[S4]],Eingabe[[#This Row],[Volle]]+Eingabe[[#This Row],[Räumer]],"FEHLER")))</f>
        <v/>
      </c>
      <c r="AG359" s="6" t="str">
        <f>IF(Eingabe[[#This Row],[V1]]="","",Eingabe[[#This Row],[V1]]+Eingabe[[#This Row],[R1]])</f>
        <v/>
      </c>
      <c r="AH359" s="6" t="str">
        <f>IF(Eingabe[[#This Row],[V2]]="","",Eingabe[[#This Row],[V2]]+Eingabe[[#This Row],[R2]])</f>
        <v/>
      </c>
      <c r="AI359" s="6" t="str">
        <f>IF(Eingabe[[#This Row],[V3]]="","",Eingabe[[#This Row],[V3]]+Eingabe[[#This Row],[R3]])</f>
        <v/>
      </c>
      <c r="AJ359" s="6" t="str">
        <f>IF(Eingabe[[#This Row],[V4]]="","",Eingabe[[#This Row],[V4]]+Eingabe[[#This Row],[R4]])</f>
        <v/>
      </c>
      <c r="AK359" s="6" t="str">
        <f>IF(Eingabe[[#This Row],[S1P]]="","",Eingabe[[#This Row],[S1P]]+Eingabe[[#This Row],[S2P]]+Eingabe[[#This Row],[S3P]]+Eingabe[[#This Row],[S4P]])</f>
        <v/>
      </c>
      <c r="AL359" s="6" t="str">
        <f>IF(Eingabe[[#This Row],[S1P]]="","",IF(Eingabe[[#This Row],[SP]]&gt;2,1,IF(Eingabe[[#This Row],[SP]]&lt;2,0,IF(Eingabe[[#This Row],[GES]]&gt;Eingabe[[#This Row],[GEGGES]],1,IF(Eingabe[[#This Row],[GES]]=Eingabe[[#This Row],[GEGGES]],0.5,0)))))</f>
        <v/>
      </c>
      <c r="AM359" s="6" t="str">
        <f>IF(Eingabe[[#This Row],[MP]]="","",MOD(ROW(Eingabe[[#This Row],[Position]])-3,6)+1)</f>
        <v/>
      </c>
      <c r="AN359" s="6" t="e">
        <f>STANDARDIZE(Eingabe[[#This Row],[GES]],Eingabe[[#This Row],[Schnitt]],VLOOKUP(Eingabe[[#This Row],[Name]],AuswertungG[],21,FALSE))</f>
        <v>#VALUE!</v>
      </c>
      <c r="AO359" s="6">
        <f>VLOOKUP(Eingabe[[#This Row],[ID]],Chronologie[[ID]:[KW]],12,FALSE)</f>
        <v>10</v>
      </c>
      <c r="AP359" s="95" t="str">
        <f>IF(Eingabe[[#This Row],[Wo]]="H",Eingabe[[#This Row],[Gegner]]&amp;" ["&amp;Eingabe[[#This Row],[Wo]]&amp;"]",Eingabe[[#This Row],[Ort]])</f>
        <v>Niederwiesa</v>
      </c>
      <c r="AQ359" s="6" t="str">
        <f>IFERROR(IF(Eingabe[[#This Row],[Wo]]="H",IF(MOD(Eingabe[[#This Row],[Position]],2)=1,Eingabe[[#This Row],[S1]],Eingabe[[#This Row],[S4]]),""),"")</f>
        <v/>
      </c>
      <c r="AR359" s="6" t="str">
        <f>IFERROR(IF(Eingabe[[#This Row],[Wo]]="H",IF(Eingabe[[#This Row],[S1]]&gt;0,IF(MOD(Eingabe[[#This Row],[Position]],2)=1,Eingabe[[#This Row],[S2]],Eingabe[[#This Row],[S3]]),""),""),"")</f>
        <v/>
      </c>
      <c r="AS359" s="6" t="str">
        <f>IFERROR(IF(Eingabe[[#This Row],[Wo]]="H",IF(Eingabe[[#This Row],[S1]]&gt;0,IF(MOD(ROW(Eingabe[[#This Row],[Heimbahn 3]]),2)=1,Eingabe[[#This Row],[S4]],Eingabe[[#This Row],[S1]]),""),""),"")</f>
        <v/>
      </c>
      <c r="AT359" s="6" t="str">
        <f>IFERROR(IF(Eingabe[[#This Row],[Wo]]="H",IF(Eingabe[[#This Row],[S1]]&gt;0,IF(MOD(ROW(Eingabe[[#This Row],[Heimbahn 4]]),2)=1,Eingabe[[#This Row],[S3]],Eingabe[[#This Row],[S2]]),""),""),"")</f>
        <v/>
      </c>
      <c r="AU359" s="22" t="str">
        <f>IF(Eingabe[[#This Row],[GES]]="","",IF(Eingabe[[#This Row],[Modus]]="L",_xlfn.RANK.EQ(Eingabe[[#This Row],[GES]],AF357:AF362),IF(Eingabe[[#This Row],[Modus]]="P",_xlfn.RANK.EQ(Eingabe[[#This Row],[GES]],AF357:AF362),"")))</f>
        <v/>
      </c>
      <c r="AV359" s="6" t="e">
        <f>VLOOKUP(Eingabe[[#This Row],[Name]],AuswertungG[],8,FALSE)</f>
        <v>#N/A</v>
      </c>
      <c r="AZ359" s="6" t="str">
        <f>IFERROR(ABS(Eingabe[[#This Row],[GES]]-Eingabe[[#This Row],[GEGGES]]),"")</f>
        <v/>
      </c>
    </row>
    <row r="360" spans="1:52" ht="16.2" hidden="1" thickBot="1" x14ac:dyDescent="0.35">
      <c r="A360" s="441"/>
      <c r="B360" s="21">
        <f t="shared" si="44"/>
        <v>60</v>
      </c>
      <c r="C360" s="6" t="str">
        <f>VLOOKUP($B360,Chronologie[],7,TRUE)</f>
        <v xml:space="preserve">SV Grün-Weiß Niederwiesa </v>
      </c>
      <c r="D360" s="6" t="str">
        <f>VLOOKUP($B360,Chronologie[],8,TRUE)</f>
        <v>Niederwiesa</v>
      </c>
      <c r="E360" s="240" t="str">
        <f>VLOOKUP($B360,Chronologie[],9,TRUE)</f>
        <v>A</v>
      </c>
      <c r="F360" s="6" t="str">
        <f>VLOOKUP($B360,Chronologie[],COLUMN(F361)-2,TRUE)</f>
        <v>D</v>
      </c>
      <c r="G360" s="6" t="str">
        <f>VLOOKUP($B360,Chronologie[],COLUMN(G361)-2,TRUE)</f>
        <v>L</v>
      </c>
      <c r="H360" s="6">
        <f>VLOOKUP($B360,Chronologie[],COLUMN(H361)-2,TRUE)</f>
        <v>3</v>
      </c>
      <c r="I360" s="10" t="str">
        <f>VLOOKUP($B360,Chronologie[],2,TRUE)</f>
        <v>D-L-3</v>
      </c>
      <c r="J360" s="243">
        <f>VLOOKUP($B360,Chronologie[],3,TRUE)</f>
        <v>45962</v>
      </c>
      <c r="K360" s="238"/>
      <c r="L360" s="237"/>
      <c r="M360" s="237"/>
      <c r="N360" s="237"/>
      <c r="O360" s="237"/>
      <c r="P360" s="237"/>
      <c r="Q360" s="237"/>
      <c r="R360" s="237"/>
      <c r="S360" s="237"/>
      <c r="T360" s="237"/>
      <c r="U360" s="237"/>
      <c r="V360" s="237"/>
      <c r="W360" s="237"/>
      <c r="X360" s="38"/>
      <c r="Y360" s="38"/>
      <c r="Z360" s="38"/>
      <c r="AA360" s="38"/>
      <c r="AB360" s="91"/>
      <c r="AC360" s="94" t="str">
        <f>IF(Eingabe[[#This Row],[V1]]="",IF(Eingabe[[#This Row],[Volle alternativ]]="","",Eingabe[[#This Row],[Volle alternativ]]),SUM(Eingabe[[#This Row],[V1]:[V4]]))</f>
        <v/>
      </c>
      <c r="AD360" s="6" t="str">
        <f>IF(Eingabe[[#This Row],[R1]]="",IF(Eingabe[[#This Row],[Räumer alternativ]]="","",Eingabe[[#This Row],[Räumer alternativ]]),SUM(Eingabe[[#This Row],[R1]:[R4]]))</f>
        <v/>
      </c>
      <c r="AE360" s="6" t="str">
        <f>IF(Eingabe[[#This Row],[F1]]="",IF(Eingabe[[#This Row],[Fehler alternativ]]="","",Eingabe[[#This Row],[Fehler alternativ]]),SUM(Eingabe[[#This Row],[F1]:[F4]]))</f>
        <v/>
      </c>
      <c r="AF360" s="6" t="str">
        <f>IF(Eingabe[[#This Row],[Volle]]="","",IF(Eingabe[[#This Row],[S1]]="",Eingabe[[#This Row],[Volle]]+Eingabe[[#This Row],[Räumer]],IF(Eingabe[[#This Row],[Volle]]+Eingabe[[#This Row],[Räumer]]=Eingabe[[#This Row],[S1]]+Eingabe[[#This Row],[S2]]+Eingabe[[#This Row],[S3]]+Eingabe[[#This Row],[S4]],Eingabe[[#This Row],[Volle]]+Eingabe[[#This Row],[Räumer]],"FEHLER")))</f>
        <v/>
      </c>
      <c r="AG360" s="6" t="str">
        <f>IF(Eingabe[[#This Row],[V1]]="","",Eingabe[[#This Row],[V1]]+Eingabe[[#This Row],[R1]])</f>
        <v/>
      </c>
      <c r="AH360" s="6" t="str">
        <f>IF(Eingabe[[#This Row],[V2]]="","",Eingabe[[#This Row],[V2]]+Eingabe[[#This Row],[R2]])</f>
        <v/>
      </c>
      <c r="AI360" s="6" t="str">
        <f>IF(Eingabe[[#This Row],[V3]]="","",Eingabe[[#This Row],[V3]]+Eingabe[[#This Row],[R3]])</f>
        <v/>
      </c>
      <c r="AJ360" s="6" t="str">
        <f>IF(Eingabe[[#This Row],[V4]]="","",Eingabe[[#This Row],[V4]]+Eingabe[[#This Row],[R4]])</f>
        <v/>
      </c>
      <c r="AK360" s="6" t="str">
        <f>IF(Eingabe[[#This Row],[S1P]]="","",Eingabe[[#This Row],[S1P]]+Eingabe[[#This Row],[S2P]]+Eingabe[[#This Row],[S3P]]+Eingabe[[#This Row],[S4P]])</f>
        <v/>
      </c>
      <c r="AL360" s="6" t="str">
        <f>IF(Eingabe[[#This Row],[S1P]]="","",IF(Eingabe[[#This Row],[SP]]&gt;2,1,IF(Eingabe[[#This Row],[SP]]&lt;2,0,IF(Eingabe[[#This Row],[GES]]&gt;Eingabe[[#This Row],[GEGGES]],1,IF(Eingabe[[#This Row],[GES]]=Eingabe[[#This Row],[GEGGES]],0.5,0)))))</f>
        <v/>
      </c>
      <c r="AM360" s="6" t="str">
        <f>IF(Eingabe[[#This Row],[MP]]="","",MOD(ROW(Eingabe[[#This Row],[Position]])-3,6)+1)</f>
        <v/>
      </c>
      <c r="AN360" s="6" t="e">
        <f>STANDARDIZE(Eingabe[[#This Row],[GES]],Eingabe[[#This Row],[Schnitt]],VLOOKUP(Eingabe[[#This Row],[Name]],AuswertungG[],21,FALSE))</f>
        <v>#VALUE!</v>
      </c>
      <c r="AO360" s="6">
        <f>VLOOKUP(Eingabe[[#This Row],[ID]],Chronologie[[ID]:[KW]],12,FALSE)</f>
        <v>10</v>
      </c>
      <c r="AP360" s="95" t="str">
        <f>IF(Eingabe[[#This Row],[Wo]]="H",Eingabe[[#This Row],[Gegner]]&amp;" ["&amp;Eingabe[[#This Row],[Wo]]&amp;"]",Eingabe[[#This Row],[Ort]])</f>
        <v>Niederwiesa</v>
      </c>
      <c r="AQ360" s="6" t="str">
        <f>IFERROR(IF(Eingabe[[#This Row],[Wo]]="H",IF(MOD(Eingabe[[#This Row],[Position]],2)=1,Eingabe[[#This Row],[S1]],Eingabe[[#This Row],[S4]]),""),"")</f>
        <v/>
      </c>
      <c r="AR360" s="6" t="str">
        <f>IFERROR(IF(Eingabe[[#This Row],[Wo]]="H",IF(Eingabe[[#This Row],[S1]]&gt;0,IF(MOD(Eingabe[[#This Row],[Position]],2)=1,Eingabe[[#This Row],[S2]],Eingabe[[#This Row],[S3]]),""),""),"")</f>
        <v/>
      </c>
      <c r="AS360" s="6" t="str">
        <f>IFERROR(IF(Eingabe[[#This Row],[Wo]]="H",IF(Eingabe[[#This Row],[S1]]&gt;0,IF(MOD(ROW(Eingabe[[#This Row],[Heimbahn 3]]),2)=1,Eingabe[[#This Row],[S4]],Eingabe[[#This Row],[S1]]),""),""),"")</f>
        <v/>
      </c>
      <c r="AT360" s="6" t="str">
        <f>IFERROR(IF(Eingabe[[#This Row],[Wo]]="H",IF(Eingabe[[#This Row],[S1]]&gt;0,IF(MOD(ROW(Eingabe[[#This Row],[Heimbahn 4]]),2)=1,Eingabe[[#This Row],[S3]],Eingabe[[#This Row],[S2]]),""),""),"")</f>
        <v/>
      </c>
      <c r="AU360" s="22" t="str">
        <f>IF(Eingabe[[#This Row],[GES]]="","",IF(Eingabe[[#This Row],[Modus]]="L",_xlfn.RANK.EQ(Eingabe[[#This Row],[GES]],AF357:AF362),IF(Eingabe[[#This Row],[Modus]]="P",_xlfn.RANK.EQ(Eingabe[[#This Row],[GES]],AF357:AF362),"")))</f>
        <v/>
      </c>
      <c r="AV360" s="6" t="e">
        <f>VLOOKUP(Eingabe[[#This Row],[Name]],AuswertungG[],8,FALSE)</f>
        <v>#N/A</v>
      </c>
      <c r="AZ360" s="6" t="str">
        <f>IFERROR(ABS(Eingabe[[#This Row],[GES]]-Eingabe[[#This Row],[GEGGES]]),"")</f>
        <v/>
      </c>
    </row>
    <row r="361" spans="1:52" ht="16.2" hidden="1" thickBot="1" x14ac:dyDescent="0.35">
      <c r="A361" s="441"/>
      <c r="B361" s="21">
        <f t="shared" si="44"/>
        <v>60</v>
      </c>
      <c r="C361" s="6" t="str">
        <f>VLOOKUP($B361,Chronologie[],7,TRUE)</f>
        <v xml:space="preserve">SV Grün-Weiß Niederwiesa </v>
      </c>
      <c r="D361" s="6" t="str">
        <f>VLOOKUP($B361,Chronologie[],8,TRUE)</f>
        <v>Niederwiesa</v>
      </c>
      <c r="E361" s="240" t="str">
        <f>VLOOKUP($B361,Chronologie[],9,TRUE)</f>
        <v>A</v>
      </c>
      <c r="F361" s="6" t="str">
        <f>VLOOKUP($B361,Chronologie[],COLUMN(F362)-2,TRUE)</f>
        <v>D</v>
      </c>
      <c r="G361" s="6" t="str">
        <f>VLOOKUP($B361,Chronologie[],COLUMN(G362)-2,TRUE)</f>
        <v>L</v>
      </c>
      <c r="H361" s="6">
        <f>VLOOKUP($B361,Chronologie[],COLUMN(H362)-2,TRUE)</f>
        <v>3</v>
      </c>
      <c r="I361" s="10" t="str">
        <f>VLOOKUP($B361,Chronologie[],2,TRUE)</f>
        <v>D-L-3</v>
      </c>
      <c r="J361" s="243">
        <f>VLOOKUP($B361,Chronologie[],3,TRUE)</f>
        <v>45962</v>
      </c>
      <c r="K361" s="237"/>
      <c r="L361" s="237"/>
      <c r="M361" s="237"/>
      <c r="N361" s="237"/>
      <c r="O361" s="237"/>
      <c r="P361" s="237"/>
      <c r="Q361" s="237"/>
      <c r="R361" s="237"/>
      <c r="S361" s="237"/>
      <c r="T361" s="237"/>
      <c r="U361" s="237"/>
      <c r="V361" s="237"/>
      <c r="W361" s="237"/>
      <c r="X361" s="38"/>
      <c r="Y361" s="38"/>
      <c r="Z361" s="38"/>
      <c r="AA361" s="38"/>
      <c r="AB361" s="91"/>
      <c r="AC361" s="94" t="str">
        <f>IF(Eingabe[[#This Row],[V1]]="",IF(Eingabe[[#This Row],[Volle alternativ]]="","",Eingabe[[#This Row],[Volle alternativ]]),SUM(Eingabe[[#This Row],[V1]:[V4]]))</f>
        <v/>
      </c>
      <c r="AD361" s="6" t="str">
        <f>IF(Eingabe[[#This Row],[R1]]="",IF(Eingabe[[#This Row],[Räumer alternativ]]="","",Eingabe[[#This Row],[Räumer alternativ]]),SUM(Eingabe[[#This Row],[R1]:[R4]]))</f>
        <v/>
      </c>
      <c r="AE361" s="6" t="str">
        <f>IF(Eingabe[[#This Row],[F1]]="",IF(Eingabe[[#This Row],[Fehler alternativ]]="","",Eingabe[[#This Row],[Fehler alternativ]]),SUM(Eingabe[[#This Row],[F1]:[F4]]))</f>
        <v/>
      </c>
      <c r="AF361" s="6" t="str">
        <f>IF(Eingabe[[#This Row],[Volle]]="","",IF(Eingabe[[#This Row],[S1]]="",Eingabe[[#This Row],[Volle]]+Eingabe[[#This Row],[Räumer]],IF(Eingabe[[#This Row],[Volle]]+Eingabe[[#This Row],[Räumer]]=Eingabe[[#This Row],[S1]]+Eingabe[[#This Row],[S2]]+Eingabe[[#This Row],[S3]]+Eingabe[[#This Row],[S4]],Eingabe[[#This Row],[Volle]]+Eingabe[[#This Row],[Räumer]],"FEHLER")))</f>
        <v/>
      </c>
      <c r="AG361" s="6" t="str">
        <f>IF(Eingabe[[#This Row],[V1]]="","",Eingabe[[#This Row],[V1]]+Eingabe[[#This Row],[R1]])</f>
        <v/>
      </c>
      <c r="AH361" s="6" t="str">
        <f>IF(Eingabe[[#This Row],[V2]]="","",Eingabe[[#This Row],[V2]]+Eingabe[[#This Row],[R2]])</f>
        <v/>
      </c>
      <c r="AI361" s="6" t="str">
        <f>IF(Eingabe[[#This Row],[V3]]="","",Eingabe[[#This Row],[V3]]+Eingabe[[#This Row],[R3]])</f>
        <v/>
      </c>
      <c r="AJ361" s="6" t="str">
        <f>IF(Eingabe[[#This Row],[V4]]="","",Eingabe[[#This Row],[V4]]+Eingabe[[#This Row],[R4]])</f>
        <v/>
      </c>
      <c r="AK361" s="6" t="str">
        <f>IF(Eingabe[[#This Row],[S1P]]="","",Eingabe[[#This Row],[S1P]]+Eingabe[[#This Row],[S2P]]+Eingabe[[#This Row],[S3P]]+Eingabe[[#This Row],[S4P]])</f>
        <v/>
      </c>
      <c r="AL361" s="6" t="str">
        <f>IF(Eingabe[[#This Row],[S1P]]="","",IF(Eingabe[[#This Row],[SP]]&gt;2,1,IF(Eingabe[[#This Row],[SP]]&lt;2,0,IF(Eingabe[[#This Row],[GES]]&gt;Eingabe[[#This Row],[GEGGES]],1,IF(Eingabe[[#This Row],[GES]]=Eingabe[[#This Row],[GEGGES]],0.5,0)))))</f>
        <v/>
      </c>
      <c r="AM361" s="6" t="str">
        <f>IF(Eingabe[[#This Row],[MP]]="","",MOD(ROW(Eingabe[[#This Row],[Position]])-3,6)+1)</f>
        <v/>
      </c>
      <c r="AN361" s="6" t="e">
        <f>STANDARDIZE(Eingabe[[#This Row],[GES]],Eingabe[[#This Row],[Schnitt]],VLOOKUP(Eingabe[[#This Row],[Name]],AuswertungG[],21,FALSE))</f>
        <v>#VALUE!</v>
      </c>
      <c r="AO361" s="6">
        <f>VLOOKUP(Eingabe[[#This Row],[ID]],Chronologie[[ID]:[KW]],12,FALSE)</f>
        <v>10</v>
      </c>
      <c r="AP361" s="95" t="str">
        <f>IF(Eingabe[[#This Row],[Wo]]="H",Eingabe[[#This Row],[Gegner]]&amp;" ["&amp;Eingabe[[#This Row],[Wo]]&amp;"]",Eingabe[[#This Row],[Ort]])</f>
        <v>Niederwiesa</v>
      </c>
      <c r="AQ361" s="6" t="str">
        <f>IFERROR(IF(Eingabe[[#This Row],[Wo]]="H",IF(MOD(Eingabe[[#This Row],[Position]],2)=1,Eingabe[[#This Row],[S1]],Eingabe[[#This Row],[S4]]),""),"")</f>
        <v/>
      </c>
      <c r="AR361" s="6" t="str">
        <f>IFERROR(IF(Eingabe[[#This Row],[Wo]]="H",IF(Eingabe[[#This Row],[S1]]&gt;0,IF(MOD(Eingabe[[#This Row],[Position]],2)=1,Eingabe[[#This Row],[S2]],Eingabe[[#This Row],[S3]]),""),""),"")</f>
        <v/>
      </c>
      <c r="AS361" s="6" t="str">
        <f>IFERROR(IF(Eingabe[[#This Row],[Wo]]="H",IF(Eingabe[[#This Row],[S1]]&gt;0,IF(MOD(ROW(Eingabe[[#This Row],[Heimbahn 3]]),2)=1,Eingabe[[#This Row],[S4]],Eingabe[[#This Row],[S1]]),""),""),"")</f>
        <v/>
      </c>
      <c r="AT361" s="6" t="str">
        <f>IFERROR(IF(Eingabe[[#This Row],[Wo]]="H",IF(Eingabe[[#This Row],[S1]]&gt;0,IF(MOD(ROW(Eingabe[[#This Row],[Heimbahn 4]]),2)=1,Eingabe[[#This Row],[S3]],Eingabe[[#This Row],[S2]]),""),""),"")</f>
        <v/>
      </c>
      <c r="AU361" s="22" t="str">
        <f>IF(Eingabe[[#This Row],[GES]]="","",IF(Eingabe[[#This Row],[Modus]]="L",_xlfn.RANK.EQ(Eingabe[[#This Row],[GES]],AF357:AF362),IF(Eingabe[[#This Row],[Modus]]="P",_xlfn.RANK.EQ(Eingabe[[#This Row],[GES]],AF357:AF362),"")))</f>
        <v/>
      </c>
      <c r="AV361" s="6" t="e">
        <f>VLOOKUP(Eingabe[[#This Row],[Name]],AuswertungG[],8,FALSE)</f>
        <v>#N/A</v>
      </c>
      <c r="AZ361" s="6" t="str">
        <f>IFERROR(ABS(Eingabe[[#This Row],[GES]]-Eingabe[[#This Row],[GEGGES]]),"")</f>
        <v/>
      </c>
    </row>
    <row r="362" spans="1:52" ht="16.2" hidden="1" thickBot="1" x14ac:dyDescent="0.35">
      <c r="A362" s="442"/>
      <c r="B362" s="56">
        <f t="shared" si="44"/>
        <v>60</v>
      </c>
      <c r="C362" s="23" t="str">
        <f>VLOOKUP($B362,Chronologie[],7,TRUE)</f>
        <v xml:space="preserve">SV Grün-Weiß Niederwiesa </v>
      </c>
      <c r="D362" s="23" t="str">
        <f>VLOOKUP($B362,Chronologie[],8,TRUE)</f>
        <v>Niederwiesa</v>
      </c>
      <c r="E362" s="39" t="str">
        <f>VLOOKUP($B362,Chronologie[],9,TRUE)</f>
        <v>A</v>
      </c>
      <c r="F362" s="23" t="str">
        <f>VLOOKUP($B362,Chronologie[],COLUMN(F363)-2,TRUE)</f>
        <v>D</v>
      </c>
      <c r="G362" s="23" t="str">
        <f>VLOOKUP($B362,Chronologie[],COLUMN(G363)-2,TRUE)</f>
        <v>L</v>
      </c>
      <c r="H362" s="23">
        <f>VLOOKUP($B362,Chronologie[],COLUMN(H363)-2,TRUE)</f>
        <v>3</v>
      </c>
      <c r="I362" s="13" t="str">
        <f>VLOOKUP($B362,Chronologie[],2,TRUE)</f>
        <v>D-L-3</v>
      </c>
      <c r="J362" s="244">
        <f>VLOOKUP($B362,Chronologie[],3,TRUE)</f>
        <v>45962</v>
      </c>
      <c r="K362" s="239"/>
      <c r="L362" s="239"/>
      <c r="M362" s="239"/>
      <c r="N362" s="239"/>
      <c r="O362" s="239"/>
      <c r="P362" s="239"/>
      <c r="Q362" s="239"/>
      <c r="R362" s="239"/>
      <c r="S362" s="239"/>
      <c r="T362" s="239"/>
      <c r="U362" s="239"/>
      <c r="V362" s="239"/>
      <c r="W362" s="239"/>
      <c r="X362" s="40"/>
      <c r="Y362" s="40"/>
      <c r="Z362" s="40"/>
      <c r="AA362" s="40"/>
      <c r="AB362" s="92"/>
      <c r="AC362" s="96" t="str">
        <f>IF(Eingabe[[#This Row],[V1]]="",IF(Eingabe[[#This Row],[Volle alternativ]]="","",Eingabe[[#This Row],[Volle alternativ]]),SUM(Eingabe[[#This Row],[V1]:[V4]]))</f>
        <v/>
      </c>
      <c r="AD362" s="23" t="str">
        <f>IF(Eingabe[[#This Row],[R1]]="",IF(Eingabe[[#This Row],[Räumer alternativ]]="","",Eingabe[[#This Row],[Räumer alternativ]]),SUM(Eingabe[[#This Row],[R1]:[R4]]))</f>
        <v/>
      </c>
      <c r="AE362" s="23" t="str">
        <f>IF(Eingabe[[#This Row],[F1]]="",IF(Eingabe[[#This Row],[Fehler alternativ]]="","",Eingabe[[#This Row],[Fehler alternativ]]),SUM(Eingabe[[#This Row],[F1]:[F4]]))</f>
        <v/>
      </c>
      <c r="AF362" s="23" t="str">
        <f>IF(Eingabe[[#This Row],[Volle]]="","",IF(Eingabe[[#This Row],[S1]]="",Eingabe[[#This Row],[Volle]]+Eingabe[[#This Row],[Räumer]],IF(Eingabe[[#This Row],[Volle]]+Eingabe[[#This Row],[Räumer]]=Eingabe[[#This Row],[S1]]+Eingabe[[#This Row],[S2]]+Eingabe[[#This Row],[S3]]+Eingabe[[#This Row],[S4]],Eingabe[[#This Row],[Volle]]+Eingabe[[#This Row],[Räumer]],"FEHLER")))</f>
        <v/>
      </c>
      <c r="AG362" s="23" t="str">
        <f>IF(Eingabe[[#This Row],[V1]]="","",Eingabe[[#This Row],[V1]]+Eingabe[[#This Row],[R1]])</f>
        <v/>
      </c>
      <c r="AH362" s="23" t="str">
        <f>IF(Eingabe[[#This Row],[V2]]="","",Eingabe[[#This Row],[V2]]+Eingabe[[#This Row],[R2]])</f>
        <v/>
      </c>
      <c r="AI362" s="23" t="str">
        <f>IF(Eingabe[[#This Row],[V3]]="","",Eingabe[[#This Row],[V3]]+Eingabe[[#This Row],[R3]])</f>
        <v/>
      </c>
      <c r="AJ362" s="23" t="str">
        <f>IF(Eingabe[[#This Row],[V4]]="","",Eingabe[[#This Row],[V4]]+Eingabe[[#This Row],[R4]])</f>
        <v/>
      </c>
      <c r="AK362" s="23" t="str">
        <f>IF(Eingabe[[#This Row],[S1P]]="","",Eingabe[[#This Row],[S1P]]+Eingabe[[#This Row],[S2P]]+Eingabe[[#This Row],[S3P]]+Eingabe[[#This Row],[S4P]])</f>
        <v/>
      </c>
      <c r="AL362" s="23" t="str">
        <f>IF(Eingabe[[#This Row],[S1P]]="","",IF(Eingabe[[#This Row],[SP]]&gt;2,1,IF(Eingabe[[#This Row],[SP]]&lt;2,0,IF(Eingabe[[#This Row],[GES]]&gt;Eingabe[[#This Row],[GEGGES]],1,IF(Eingabe[[#This Row],[GES]]=Eingabe[[#This Row],[GEGGES]],0.5,0)))))</f>
        <v/>
      </c>
      <c r="AM362" s="23" t="str">
        <f>IF(Eingabe[[#This Row],[MP]]="","",MOD(ROW(Eingabe[[#This Row],[Position]])-3,6)+1)</f>
        <v/>
      </c>
      <c r="AN362" s="23" t="e">
        <f>STANDARDIZE(Eingabe[[#This Row],[GES]],Eingabe[[#This Row],[Schnitt]],VLOOKUP(Eingabe[[#This Row],[Name]],AuswertungG[],21,FALSE))</f>
        <v>#VALUE!</v>
      </c>
      <c r="AO362" s="23">
        <f>VLOOKUP(Eingabe[[#This Row],[ID]],Chronologie[[ID]:[KW]],12,FALSE)</f>
        <v>10</v>
      </c>
      <c r="AP362" s="59" t="str">
        <f>IF(Eingabe[[#This Row],[Wo]]="H",Eingabe[[#This Row],[Gegner]]&amp;" ["&amp;Eingabe[[#This Row],[Wo]]&amp;"]",Eingabe[[#This Row],[Ort]])</f>
        <v>Niederwiesa</v>
      </c>
      <c r="AQ362" s="23" t="str">
        <f>IFERROR(IF(Eingabe[[#This Row],[Wo]]="H",IF(MOD(Eingabe[[#This Row],[Position]],2)=1,Eingabe[[#This Row],[S1]],Eingabe[[#This Row],[S4]]),""),"")</f>
        <v/>
      </c>
      <c r="AR362" s="23" t="str">
        <f>IFERROR(IF(Eingabe[[#This Row],[Wo]]="H",IF(Eingabe[[#This Row],[S1]]&gt;0,IF(MOD(Eingabe[[#This Row],[Position]],2)=1,Eingabe[[#This Row],[S2]],Eingabe[[#This Row],[S3]]),""),""),"")</f>
        <v/>
      </c>
      <c r="AS362" s="23" t="str">
        <f>IFERROR(IF(Eingabe[[#This Row],[Wo]]="H",IF(Eingabe[[#This Row],[S1]]&gt;0,IF(MOD(ROW(Eingabe[[#This Row],[Heimbahn 3]]),2)=1,Eingabe[[#This Row],[S4]],Eingabe[[#This Row],[S1]]),""),""),"")</f>
        <v/>
      </c>
      <c r="AT362" s="23" t="str">
        <f>IFERROR(IF(Eingabe[[#This Row],[Wo]]="H",IF(Eingabe[[#This Row],[S1]]&gt;0,IF(MOD(ROW(Eingabe[[#This Row],[Heimbahn 4]]),2)=1,Eingabe[[#This Row],[S3]],Eingabe[[#This Row],[S2]]),""),""),"")</f>
        <v/>
      </c>
      <c r="AU362" s="89" t="str">
        <f>IF(Eingabe[[#This Row],[GES]]="","",IF(Eingabe[[#This Row],[Modus]]="L",_xlfn.RANK.EQ(Eingabe[[#This Row],[GES]],AF357:AF362),IF(Eingabe[[#This Row],[Modus]]="P",_xlfn.RANK.EQ(Eingabe[[#This Row],[GES]],AF357:AF362),"")))</f>
        <v/>
      </c>
      <c r="AV362" s="6" t="e">
        <f>VLOOKUP(Eingabe[[#This Row],[Name]],AuswertungG[],8,FALSE)</f>
        <v>#N/A</v>
      </c>
      <c r="AZ362" s="6" t="str">
        <f>IFERROR(ABS(Eingabe[[#This Row],[GES]]-Eingabe[[#This Row],[GEGGES]]),"")</f>
        <v/>
      </c>
    </row>
    <row r="363" spans="1:52" ht="16.2" hidden="1" thickBot="1" x14ac:dyDescent="0.35">
      <c r="A363" s="440">
        <f t="shared" si="43"/>
        <v>61</v>
      </c>
      <c r="B363" s="55">
        <f t="shared" si="44"/>
        <v>61</v>
      </c>
      <c r="C363" s="35" t="str">
        <f>VLOOKUP($B363,Chronologie[],7,TRUE)</f>
        <v>SV Krummenhennersdorf</v>
      </c>
      <c r="D363" s="35" t="str">
        <f>VLOOKUP($B363,Chronologie[],8,TRUE)</f>
        <v>Krummenhennersdorf</v>
      </c>
      <c r="E363" s="36" t="str">
        <f>VLOOKUP($B363,Chronologie[],9,TRUE)</f>
        <v>A</v>
      </c>
      <c r="F363" s="35" t="str">
        <f>VLOOKUP($B363,Chronologie[],COLUMN(F364)-2,TRUE)</f>
        <v>D</v>
      </c>
      <c r="G363" s="35" t="str">
        <f>VLOOKUP($B363,Chronologie[],COLUMN(G364)-2,TRUE)</f>
        <v>L</v>
      </c>
      <c r="H363" s="35">
        <f>VLOOKUP($B363,Chronologie[],COLUMN(H364)-2,TRUE)</f>
        <v>4</v>
      </c>
      <c r="I363" s="9" t="str">
        <f>VLOOKUP($B363,Chronologie[],2,TRUE)</f>
        <v>D-L-4</v>
      </c>
      <c r="J363" s="242">
        <f>VLOOKUP($B363,Chronologie[],3,TRUE)</f>
        <v>45976</v>
      </c>
      <c r="K363" s="236" t="s">
        <v>736</v>
      </c>
      <c r="L363" s="334">
        <v>83</v>
      </c>
      <c r="M363" s="334">
        <v>81</v>
      </c>
      <c r="N363" s="334">
        <v>93</v>
      </c>
      <c r="O363" s="334">
        <v>95</v>
      </c>
      <c r="P363" s="334">
        <v>35</v>
      </c>
      <c r="Q363" s="334">
        <v>43</v>
      </c>
      <c r="R363" s="334">
        <v>36</v>
      </c>
      <c r="S363" s="334">
        <v>54</v>
      </c>
      <c r="T363" s="334">
        <v>3</v>
      </c>
      <c r="U363" s="334">
        <v>1</v>
      </c>
      <c r="V363" s="334">
        <v>1</v>
      </c>
      <c r="W363" s="334">
        <v>0</v>
      </c>
      <c r="X363" s="37">
        <v>0</v>
      </c>
      <c r="Y363" s="37">
        <v>0</v>
      </c>
      <c r="Z363" s="37">
        <v>0</v>
      </c>
      <c r="AA363" s="37">
        <v>1</v>
      </c>
      <c r="AB363" s="90">
        <v>553</v>
      </c>
      <c r="AC363" s="93">
        <f>IF(Eingabe[[#This Row],[V1]]="",IF(Eingabe[[#This Row],[Volle alternativ]]="","",Eingabe[[#This Row],[Volle alternativ]]),SUM(Eingabe[[#This Row],[V1]:[V4]]))</f>
        <v>352</v>
      </c>
      <c r="AD363" s="35">
        <f>IF(Eingabe[[#This Row],[R1]]="",IF(Eingabe[[#This Row],[Räumer alternativ]]="","",Eingabe[[#This Row],[Räumer alternativ]]),SUM(Eingabe[[#This Row],[R1]:[R4]]))</f>
        <v>168</v>
      </c>
      <c r="AE363" s="35">
        <f>IF(Eingabe[[#This Row],[F1]]="",IF(Eingabe[[#This Row],[Fehler alternativ]]="","",Eingabe[[#This Row],[Fehler alternativ]]),SUM(Eingabe[[#This Row],[F1]:[F4]]))</f>
        <v>5</v>
      </c>
      <c r="AF363" s="35">
        <f>IF(Eingabe[[#This Row],[Volle]]="","",IF(Eingabe[[#This Row],[S1]]="",Eingabe[[#This Row],[Volle]]+Eingabe[[#This Row],[Räumer]],IF(Eingabe[[#This Row],[Volle]]+Eingabe[[#This Row],[Räumer]]=Eingabe[[#This Row],[S1]]+Eingabe[[#This Row],[S2]]+Eingabe[[#This Row],[S3]]+Eingabe[[#This Row],[S4]],Eingabe[[#This Row],[Volle]]+Eingabe[[#This Row],[Räumer]],"FEHLER")))</f>
        <v>520</v>
      </c>
      <c r="AG363" s="35">
        <f>IF(Eingabe[[#This Row],[V1]]="","",Eingabe[[#This Row],[V1]]+Eingabe[[#This Row],[R1]])</f>
        <v>118</v>
      </c>
      <c r="AH363" s="35">
        <f>IF(Eingabe[[#This Row],[V2]]="","",Eingabe[[#This Row],[V2]]+Eingabe[[#This Row],[R2]])</f>
        <v>124</v>
      </c>
      <c r="AI363" s="35">
        <f>IF(Eingabe[[#This Row],[V3]]="","",Eingabe[[#This Row],[V3]]+Eingabe[[#This Row],[R3]])</f>
        <v>129</v>
      </c>
      <c r="AJ363" s="35">
        <f>IF(Eingabe[[#This Row],[V4]]="","",Eingabe[[#This Row],[V4]]+Eingabe[[#This Row],[R4]])</f>
        <v>149</v>
      </c>
      <c r="AK363" s="35">
        <f>IF(Eingabe[[#This Row],[S1P]]="","",Eingabe[[#This Row],[S1P]]+Eingabe[[#This Row],[S2P]]+Eingabe[[#This Row],[S3P]]+Eingabe[[#This Row],[S4P]])</f>
        <v>1</v>
      </c>
      <c r="AL363" s="35">
        <f>IF(Eingabe[[#This Row],[S1P]]="","",IF(Eingabe[[#This Row],[SP]]&gt;2,1,IF(Eingabe[[#This Row],[SP]]&lt;2,0,IF(Eingabe[[#This Row],[GES]]&gt;Eingabe[[#This Row],[GEGGES]],1,IF(Eingabe[[#This Row],[GES]]=Eingabe[[#This Row],[GEGGES]],0.5,0)))))</f>
        <v>0</v>
      </c>
      <c r="AM363" s="35">
        <f>IF(Eingabe[[#This Row],[MP]]="","",MOD(ROW(Eingabe[[#This Row],[Position]])-3,6)+1)</f>
        <v>1</v>
      </c>
      <c r="AN363" s="35">
        <f>STANDARDIZE(Eingabe[[#This Row],[GES]],Eingabe[[#This Row],[Schnitt]],VLOOKUP(Eingabe[[#This Row],[Name]],AuswertungG[],21,FALSE))</f>
        <v>0.21052631578947367</v>
      </c>
      <c r="AO363" s="35">
        <f>VLOOKUP(Eingabe[[#This Row],[ID]],Chronologie[[ID]:[KW]],12,FALSE)</f>
        <v>12</v>
      </c>
      <c r="AP363" s="58" t="str">
        <f>IF(Eingabe[[#This Row],[Wo]]="H",Eingabe[[#This Row],[Gegner]]&amp;" ["&amp;Eingabe[[#This Row],[Wo]]&amp;"]",Eingabe[[#This Row],[Ort]])</f>
        <v>Krummenhennersdorf</v>
      </c>
      <c r="AQ363" s="35" t="str">
        <f>IFERROR(IF(Eingabe[[#This Row],[Wo]]="H",IF(MOD(Eingabe[[#This Row],[Position]],2)=1,Eingabe[[#This Row],[S1]],Eingabe[[#This Row],[S4]]),""),"")</f>
        <v/>
      </c>
      <c r="AR363" s="35" t="str">
        <f>IFERROR(IF(Eingabe[[#This Row],[Wo]]="H",IF(Eingabe[[#This Row],[S1]]&gt;0,IF(MOD(Eingabe[[#This Row],[Position]],2)=1,Eingabe[[#This Row],[S2]],Eingabe[[#This Row],[S3]]),""),""),"")</f>
        <v/>
      </c>
      <c r="AS363" s="35" t="str">
        <f>IFERROR(IF(Eingabe[[#This Row],[Wo]]="H",IF(Eingabe[[#This Row],[S1]]&gt;0,IF(MOD(ROW(Eingabe[[#This Row],[Heimbahn 3]]),2)=1,Eingabe[[#This Row],[S4]],Eingabe[[#This Row],[S1]]),""),""),"")</f>
        <v/>
      </c>
      <c r="AT363" s="35" t="str">
        <f>IFERROR(IF(Eingabe[[#This Row],[Wo]]="H",IF(Eingabe[[#This Row],[S1]]&gt;0,IF(MOD(ROW(Eingabe[[#This Row],[Heimbahn 4]]),2)=1,Eingabe[[#This Row],[S3]],Eingabe[[#This Row],[S2]]),""),""),"")</f>
        <v/>
      </c>
      <c r="AU363" s="88">
        <f>IF(Eingabe[[#This Row],[GES]]="","",IF(Eingabe[[#This Row],[Modus]]="L",_xlfn.RANK.EQ(Eingabe[[#This Row],[GES]],AF363:AF368),IF(Eingabe[[#This Row],[Modus]]="P",_xlfn.RANK.EQ(Eingabe[[#This Row],[GES]],AF363:AF368),"")))</f>
        <v>2</v>
      </c>
      <c r="AV363" s="6">
        <f>VLOOKUP(Eingabe[[#This Row],[Name]],AuswertungG[],8,FALSE)</f>
        <v>516</v>
      </c>
      <c r="AZ363" s="6">
        <f>IFERROR(ABS(Eingabe[[#This Row],[GES]]-Eingabe[[#This Row],[GEGGES]]),"")</f>
        <v>33</v>
      </c>
    </row>
    <row r="364" spans="1:52" ht="16.2" hidden="1" thickBot="1" x14ac:dyDescent="0.35">
      <c r="A364" s="441"/>
      <c r="B364" s="21">
        <f t="shared" si="44"/>
        <v>61</v>
      </c>
      <c r="C364" s="6" t="str">
        <f>VLOOKUP($B364,Chronologie[],7,TRUE)</f>
        <v>SV Krummenhennersdorf</v>
      </c>
      <c r="D364" s="6" t="str">
        <f>VLOOKUP($B364,Chronologie[],8,TRUE)</f>
        <v>Krummenhennersdorf</v>
      </c>
      <c r="E364" s="240" t="str">
        <f>VLOOKUP($B364,Chronologie[],9,TRUE)</f>
        <v>A</v>
      </c>
      <c r="F364" s="6" t="str">
        <f>VLOOKUP($B364,Chronologie[],COLUMN(F365)-2,TRUE)</f>
        <v>D</v>
      </c>
      <c r="G364" s="6" t="str">
        <f>VLOOKUP($B364,Chronologie[],COLUMN(G365)-2,TRUE)</f>
        <v>L</v>
      </c>
      <c r="H364" s="6">
        <f>VLOOKUP($B364,Chronologie[],COLUMN(H365)-2,TRUE)</f>
        <v>4</v>
      </c>
      <c r="I364" s="10" t="str">
        <f>VLOOKUP($B364,Chronologie[],2,TRUE)</f>
        <v>D-L-4</v>
      </c>
      <c r="J364" s="243">
        <f>VLOOKUP($B364,Chronologie[],3,TRUE)</f>
        <v>45976</v>
      </c>
      <c r="K364" s="237" t="s">
        <v>488</v>
      </c>
      <c r="L364" s="237">
        <v>84</v>
      </c>
      <c r="M364" s="237">
        <v>83</v>
      </c>
      <c r="N364" s="237">
        <v>92</v>
      </c>
      <c r="O364" s="237">
        <v>95</v>
      </c>
      <c r="P364" s="237">
        <v>35</v>
      </c>
      <c r="Q364" s="237">
        <v>42</v>
      </c>
      <c r="R364" s="237">
        <v>26</v>
      </c>
      <c r="S364" s="237">
        <v>26</v>
      </c>
      <c r="T364" s="237">
        <v>4</v>
      </c>
      <c r="U364" s="237">
        <v>2</v>
      </c>
      <c r="V364" s="237">
        <v>2</v>
      </c>
      <c r="W364" s="237">
        <v>6</v>
      </c>
      <c r="X364" s="38">
        <v>0</v>
      </c>
      <c r="Y364" s="38">
        <v>1</v>
      </c>
      <c r="Z364" s="38">
        <v>1</v>
      </c>
      <c r="AA364" s="38">
        <v>1</v>
      </c>
      <c r="AB364" s="91">
        <v>458</v>
      </c>
      <c r="AC364" s="94">
        <f>IF(Eingabe[[#This Row],[V1]]="",IF(Eingabe[[#This Row],[Volle alternativ]]="","",Eingabe[[#This Row],[Volle alternativ]]),SUM(Eingabe[[#This Row],[V1]:[V4]]))</f>
        <v>354</v>
      </c>
      <c r="AD364" s="6">
        <f>IF(Eingabe[[#This Row],[R1]]="",IF(Eingabe[[#This Row],[Räumer alternativ]]="","",Eingabe[[#This Row],[Räumer alternativ]]),SUM(Eingabe[[#This Row],[R1]:[R4]]))</f>
        <v>129</v>
      </c>
      <c r="AE364" s="6">
        <f>IF(Eingabe[[#This Row],[F1]]="",IF(Eingabe[[#This Row],[Fehler alternativ]]="","",Eingabe[[#This Row],[Fehler alternativ]]),SUM(Eingabe[[#This Row],[F1]:[F4]]))</f>
        <v>14</v>
      </c>
      <c r="AF364" s="6">
        <f>IF(Eingabe[[#This Row],[Volle]]="","",IF(Eingabe[[#This Row],[S1]]="",Eingabe[[#This Row],[Volle]]+Eingabe[[#This Row],[Räumer]],IF(Eingabe[[#This Row],[Volle]]+Eingabe[[#This Row],[Räumer]]=Eingabe[[#This Row],[S1]]+Eingabe[[#This Row],[S2]]+Eingabe[[#This Row],[S3]]+Eingabe[[#This Row],[S4]],Eingabe[[#This Row],[Volle]]+Eingabe[[#This Row],[Räumer]],"FEHLER")))</f>
        <v>483</v>
      </c>
      <c r="AG364" s="6">
        <f>IF(Eingabe[[#This Row],[V1]]="","",Eingabe[[#This Row],[V1]]+Eingabe[[#This Row],[R1]])</f>
        <v>119</v>
      </c>
      <c r="AH364" s="6">
        <f>IF(Eingabe[[#This Row],[V2]]="","",Eingabe[[#This Row],[V2]]+Eingabe[[#This Row],[R2]])</f>
        <v>125</v>
      </c>
      <c r="AI364" s="6">
        <f>IF(Eingabe[[#This Row],[V3]]="","",Eingabe[[#This Row],[V3]]+Eingabe[[#This Row],[R3]])</f>
        <v>118</v>
      </c>
      <c r="AJ364" s="6">
        <f>IF(Eingabe[[#This Row],[V4]]="","",Eingabe[[#This Row],[V4]]+Eingabe[[#This Row],[R4]])</f>
        <v>121</v>
      </c>
      <c r="AK364" s="6">
        <f>IF(Eingabe[[#This Row],[S1P]]="","",Eingabe[[#This Row],[S1P]]+Eingabe[[#This Row],[S2P]]+Eingabe[[#This Row],[S3P]]+Eingabe[[#This Row],[S4P]])</f>
        <v>3</v>
      </c>
      <c r="AL364" s="6">
        <f>IF(Eingabe[[#This Row],[S1P]]="","",IF(Eingabe[[#This Row],[SP]]&gt;2,1,IF(Eingabe[[#This Row],[SP]]&lt;2,0,IF(Eingabe[[#This Row],[GES]]&gt;Eingabe[[#This Row],[GEGGES]],1,IF(Eingabe[[#This Row],[GES]]=Eingabe[[#This Row],[GEGGES]],0.5,0)))))</f>
        <v>1</v>
      </c>
      <c r="AM364" s="6">
        <f>IF(Eingabe[[#This Row],[MP]]="","",MOD(ROW(Eingabe[[#This Row],[Position]])-3,6)+1)</f>
        <v>2</v>
      </c>
      <c r="AN364" s="6">
        <f>STANDARDIZE(Eingabe[[#This Row],[GES]],Eingabe[[#This Row],[Schnitt]],VLOOKUP(Eingabe[[#This Row],[Name]],AuswertungG[],21,FALSE))</f>
        <v>-1.3333333333333333</v>
      </c>
      <c r="AO364" s="6">
        <f>VLOOKUP(Eingabe[[#This Row],[ID]],Chronologie[[ID]:[KW]],12,FALSE)</f>
        <v>12</v>
      </c>
      <c r="AP364" s="95" t="str">
        <f>IF(Eingabe[[#This Row],[Wo]]="H",Eingabe[[#This Row],[Gegner]]&amp;" ["&amp;Eingabe[[#This Row],[Wo]]&amp;"]",Eingabe[[#This Row],[Ort]])</f>
        <v>Krummenhennersdorf</v>
      </c>
      <c r="AQ364" s="6" t="str">
        <f>IFERROR(IF(Eingabe[[#This Row],[Wo]]="H",IF(MOD(Eingabe[[#This Row],[Position]],2)=1,Eingabe[[#This Row],[S1]],Eingabe[[#This Row],[S4]]),""),"")</f>
        <v/>
      </c>
      <c r="AR364" s="6" t="str">
        <f>IFERROR(IF(Eingabe[[#This Row],[Wo]]="H",IF(Eingabe[[#This Row],[S1]]&gt;0,IF(MOD(Eingabe[[#This Row],[Position]],2)=1,Eingabe[[#This Row],[S2]],Eingabe[[#This Row],[S3]]),""),""),"")</f>
        <v/>
      </c>
      <c r="AS364" s="6" t="str">
        <f>IFERROR(IF(Eingabe[[#This Row],[Wo]]="H",IF(Eingabe[[#This Row],[S1]]&gt;0,IF(MOD(ROW(Eingabe[[#This Row],[Heimbahn 3]]),2)=1,Eingabe[[#This Row],[S4]],Eingabe[[#This Row],[S1]]),""),""),"")</f>
        <v/>
      </c>
      <c r="AT364" s="6" t="str">
        <f>IFERROR(IF(Eingabe[[#This Row],[Wo]]="H",IF(Eingabe[[#This Row],[S1]]&gt;0,IF(MOD(ROW(Eingabe[[#This Row],[Heimbahn 4]]),2)=1,Eingabe[[#This Row],[S3]],Eingabe[[#This Row],[S2]]),""),""),"")</f>
        <v/>
      </c>
      <c r="AU364" s="22">
        <f>IF(Eingabe[[#This Row],[GES]]="","",IF(Eingabe[[#This Row],[Modus]]="L",_xlfn.RANK.EQ(Eingabe[[#This Row],[GES]],AF363:AF368),IF(Eingabe[[#This Row],[Modus]]="P",_xlfn.RANK.EQ(Eingabe[[#This Row],[GES]],AF363:AF368),"")))</f>
        <v>6</v>
      </c>
      <c r="AV364" s="6">
        <f>VLOOKUP(Eingabe[[#This Row],[Name]],AuswertungG[],8,FALSE)</f>
        <v>499</v>
      </c>
      <c r="AZ364" s="6">
        <f>IFERROR(ABS(Eingabe[[#This Row],[GES]]-Eingabe[[#This Row],[GEGGES]]),"")</f>
        <v>25</v>
      </c>
    </row>
    <row r="365" spans="1:52" ht="16.2" hidden="1" thickBot="1" x14ac:dyDescent="0.35">
      <c r="A365" s="441"/>
      <c r="B365" s="21">
        <f t="shared" si="44"/>
        <v>61</v>
      </c>
      <c r="C365" s="6" t="str">
        <f>VLOOKUP($B365,Chronologie[],7,TRUE)</f>
        <v>SV Krummenhennersdorf</v>
      </c>
      <c r="D365" s="6" t="str">
        <f>VLOOKUP($B365,Chronologie[],8,TRUE)</f>
        <v>Krummenhennersdorf</v>
      </c>
      <c r="E365" s="240" t="str">
        <f>VLOOKUP($B365,Chronologie[],9,TRUE)</f>
        <v>A</v>
      </c>
      <c r="F365" s="6" t="str">
        <f>VLOOKUP($B365,Chronologie[],COLUMN(F366)-2,TRUE)</f>
        <v>D</v>
      </c>
      <c r="G365" s="6" t="str">
        <f>VLOOKUP($B365,Chronologie[],COLUMN(G366)-2,TRUE)</f>
        <v>L</v>
      </c>
      <c r="H365" s="6">
        <f>VLOOKUP($B365,Chronologie[],COLUMN(H366)-2,TRUE)</f>
        <v>4</v>
      </c>
      <c r="I365" s="10" t="str">
        <f>VLOOKUP($B365,Chronologie[],2,TRUE)</f>
        <v>D-L-4</v>
      </c>
      <c r="J365" s="243">
        <f>VLOOKUP($B365,Chronologie[],3,TRUE)</f>
        <v>45976</v>
      </c>
      <c r="K365" s="237" t="s">
        <v>462</v>
      </c>
      <c r="L365" s="237">
        <v>87</v>
      </c>
      <c r="M365" s="237">
        <v>85</v>
      </c>
      <c r="N365" s="237">
        <v>94</v>
      </c>
      <c r="O365" s="237">
        <v>76</v>
      </c>
      <c r="P365" s="237">
        <v>26</v>
      </c>
      <c r="Q365" s="237">
        <v>53</v>
      </c>
      <c r="R365" s="237">
        <v>36</v>
      </c>
      <c r="S365" s="237">
        <v>30</v>
      </c>
      <c r="T365" s="237">
        <v>5</v>
      </c>
      <c r="U365" s="237">
        <v>0</v>
      </c>
      <c r="V365" s="237">
        <v>2</v>
      </c>
      <c r="W365" s="237">
        <v>1</v>
      </c>
      <c r="X365" s="38">
        <v>0</v>
      </c>
      <c r="Y365" s="38">
        <v>1</v>
      </c>
      <c r="Z365" s="38">
        <v>1</v>
      </c>
      <c r="AA365" s="38">
        <v>0</v>
      </c>
      <c r="AB365" s="91">
        <v>473</v>
      </c>
      <c r="AC365" s="94">
        <f>IF(Eingabe[[#This Row],[V1]]="",IF(Eingabe[[#This Row],[Volle alternativ]]="","",Eingabe[[#This Row],[Volle alternativ]]),SUM(Eingabe[[#This Row],[V1]:[V4]]))</f>
        <v>342</v>
      </c>
      <c r="AD365" s="6">
        <f>IF(Eingabe[[#This Row],[R1]]="",IF(Eingabe[[#This Row],[Räumer alternativ]]="","",Eingabe[[#This Row],[Räumer alternativ]]),SUM(Eingabe[[#This Row],[R1]:[R4]]))</f>
        <v>145</v>
      </c>
      <c r="AE365" s="6">
        <f>IF(Eingabe[[#This Row],[F1]]="",IF(Eingabe[[#This Row],[Fehler alternativ]]="","",Eingabe[[#This Row],[Fehler alternativ]]),SUM(Eingabe[[#This Row],[F1]:[F4]]))</f>
        <v>8</v>
      </c>
      <c r="AF365" s="6">
        <f>IF(Eingabe[[#This Row],[Volle]]="","",IF(Eingabe[[#This Row],[S1]]="",Eingabe[[#This Row],[Volle]]+Eingabe[[#This Row],[Räumer]],IF(Eingabe[[#This Row],[Volle]]+Eingabe[[#This Row],[Räumer]]=Eingabe[[#This Row],[S1]]+Eingabe[[#This Row],[S2]]+Eingabe[[#This Row],[S3]]+Eingabe[[#This Row],[S4]],Eingabe[[#This Row],[Volle]]+Eingabe[[#This Row],[Räumer]],"FEHLER")))</f>
        <v>487</v>
      </c>
      <c r="AG365" s="6">
        <f>IF(Eingabe[[#This Row],[V1]]="","",Eingabe[[#This Row],[V1]]+Eingabe[[#This Row],[R1]])</f>
        <v>113</v>
      </c>
      <c r="AH365" s="6">
        <f>IF(Eingabe[[#This Row],[V2]]="","",Eingabe[[#This Row],[V2]]+Eingabe[[#This Row],[R2]])</f>
        <v>138</v>
      </c>
      <c r="AI365" s="6">
        <f>IF(Eingabe[[#This Row],[V3]]="","",Eingabe[[#This Row],[V3]]+Eingabe[[#This Row],[R3]])</f>
        <v>130</v>
      </c>
      <c r="AJ365" s="6">
        <f>IF(Eingabe[[#This Row],[V4]]="","",Eingabe[[#This Row],[V4]]+Eingabe[[#This Row],[R4]])</f>
        <v>106</v>
      </c>
      <c r="AK365" s="6">
        <f>IF(Eingabe[[#This Row],[S1P]]="","",Eingabe[[#This Row],[S1P]]+Eingabe[[#This Row],[S2P]]+Eingabe[[#This Row],[S3P]]+Eingabe[[#This Row],[S4P]])</f>
        <v>2</v>
      </c>
      <c r="AL365" s="6">
        <f>IF(Eingabe[[#This Row],[S1P]]="","",IF(Eingabe[[#This Row],[SP]]&gt;2,1,IF(Eingabe[[#This Row],[SP]]&lt;2,0,IF(Eingabe[[#This Row],[GES]]&gt;Eingabe[[#This Row],[GEGGES]],1,IF(Eingabe[[#This Row],[GES]]=Eingabe[[#This Row],[GEGGES]],0.5,0)))))</f>
        <v>1</v>
      </c>
      <c r="AM365" s="6">
        <f>IF(Eingabe[[#This Row],[MP]]="","",MOD(ROW(Eingabe[[#This Row],[Position]])-3,6)+1)</f>
        <v>3</v>
      </c>
      <c r="AN365" s="6" t="e">
        <f>STANDARDIZE(Eingabe[[#This Row],[GES]],Eingabe[[#This Row],[Schnitt]],VLOOKUP(Eingabe[[#This Row],[Name]],AuswertungG[],21,FALSE))</f>
        <v>#VALUE!</v>
      </c>
      <c r="AO365" s="6">
        <f>VLOOKUP(Eingabe[[#This Row],[ID]],Chronologie[[ID]:[KW]],12,FALSE)</f>
        <v>12</v>
      </c>
      <c r="AP365" s="95" t="str">
        <f>IF(Eingabe[[#This Row],[Wo]]="H",Eingabe[[#This Row],[Gegner]]&amp;" ["&amp;Eingabe[[#This Row],[Wo]]&amp;"]",Eingabe[[#This Row],[Ort]])</f>
        <v>Krummenhennersdorf</v>
      </c>
      <c r="AQ365" s="6" t="str">
        <f>IFERROR(IF(Eingabe[[#This Row],[Wo]]="H",IF(MOD(Eingabe[[#This Row],[Position]],2)=1,Eingabe[[#This Row],[S1]],Eingabe[[#This Row],[S4]]),""),"")</f>
        <v/>
      </c>
      <c r="AR365" s="6" t="str">
        <f>IFERROR(IF(Eingabe[[#This Row],[Wo]]="H",IF(Eingabe[[#This Row],[S1]]&gt;0,IF(MOD(Eingabe[[#This Row],[Position]],2)=1,Eingabe[[#This Row],[S2]],Eingabe[[#This Row],[S3]]),""),""),"")</f>
        <v/>
      </c>
      <c r="AS365" s="6" t="str">
        <f>IFERROR(IF(Eingabe[[#This Row],[Wo]]="H",IF(Eingabe[[#This Row],[S1]]&gt;0,IF(MOD(ROW(Eingabe[[#This Row],[Heimbahn 3]]),2)=1,Eingabe[[#This Row],[S4]],Eingabe[[#This Row],[S1]]),""),""),"")</f>
        <v/>
      </c>
      <c r="AT365" s="6" t="str">
        <f>IFERROR(IF(Eingabe[[#This Row],[Wo]]="H",IF(Eingabe[[#This Row],[S1]]&gt;0,IF(MOD(ROW(Eingabe[[#This Row],[Heimbahn 4]]),2)=1,Eingabe[[#This Row],[S3]],Eingabe[[#This Row],[S2]]),""),""),"")</f>
        <v/>
      </c>
      <c r="AU365" s="22">
        <f>IF(Eingabe[[#This Row],[GES]]="","",IF(Eingabe[[#This Row],[Modus]]="L",_xlfn.RANK.EQ(Eingabe[[#This Row],[GES]],AF363:AF368),IF(Eingabe[[#This Row],[Modus]]="P",_xlfn.RANK.EQ(Eingabe[[#This Row],[GES]],AF363:AF368),"")))</f>
        <v>5</v>
      </c>
      <c r="AV365" s="6">
        <f>VLOOKUP(Eingabe[[#This Row],[Name]],AuswertungG[],8,FALSE)</f>
        <v>487</v>
      </c>
      <c r="AZ365" s="6">
        <f>IFERROR(ABS(Eingabe[[#This Row],[GES]]-Eingabe[[#This Row],[GEGGES]]),"")</f>
        <v>14</v>
      </c>
    </row>
    <row r="366" spans="1:52" ht="16.2" hidden="1" thickBot="1" x14ac:dyDescent="0.35">
      <c r="A366" s="441"/>
      <c r="B366" s="21">
        <f t="shared" si="44"/>
        <v>61</v>
      </c>
      <c r="C366" s="6" t="str">
        <f>VLOOKUP($B366,Chronologie[],7,TRUE)</f>
        <v>SV Krummenhennersdorf</v>
      </c>
      <c r="D366" s="6" t="str">
        <f>VLOOKUP($B366,Chronologie[],8,TRUE)</f>
        <v>Krummenhennersdorf</v>
      </c>
      <c r="E366" s="240" t="str">
        <f>VLOOKUP($B366,Chronologie[],9,TRUE)</f>
        <v>A</v>
      </c>
      <c r="F366" s="6" t="str">
        <f>VLOOKUP($B366,Chronologie[],COLUMN(F367)-2,TRUE)</f>
        <v>D</v>
      </c>
      <c r="G366" s="6" t="str">
        <f>VLOOKUP($B366,Chronologie[],COLUMN(G367)-2,TRUE)</f>
        <v>L</v>
      </c>
      <c r="H366" s="6">
        <f>VLOOKUP($B366,Chronologie[],COLUMN(H367)-2,TRUE)</f>
        <v>4</v>
      </c>
      <c r="I366" s="10" t="str">
        <f>VLOOKUP($B366,Chronologie[],2,TRUE)</f>
        <v>D-L-4</v>
      </c>
      <c r="J366" s="243">
        <f>VLOOKUP($B366,Chronologie[],3,TRUE)</f>
        <v>45976</v>
      </c>
      <c r="K366" s="238" t="s">
        <v>493</v>
      </c>
      <c r="L366" s="237">
        <v>96</v>
      </c>
      <c r="M366" s="237">
        <v>76</v>
      </c>
      <c r="N366" s="237">
        <v>85</v>
      </c>
      <c r="O366" s="237">
        <v>94</v>
      </c>
      <c r="P366" s="237">
        <v>44</v>
      </c>
      <c r="Q366" s="237">
        <v>50</v>
      </c>
      <c r="R366" s="237">
        <v>45</v>
      </c>
      <c r="S366" s="237">
        <v>52</v>
      </c>
      <c r="T366" s="237">
        <v>2</v>
      </c>
      <c r="U366" s="237">
        <v>1</v>
      </c>
      <c r="V366" s="237">
        <v>4</v>
      </c>
      <c r="W366" s="237">
        <v>5</v>
      </c>
      <c r="X366" s="38">
        <v>1</v>
      </c>
      <c r="Y366" s="38">
        <v>0</v>
      </c>
      <c r="Z366" s="38">
        <v>0</v>
      </c>
      <c r="AA366" s="38">
        <v>1</v>
      </c>
      <c r="AB366" s="91">
        <v>550</v>
      </c>
      <c r="AC366" s="94">
        <f>IF(Eingabe[[#This Row],[V1]]="",IF(Eingabe[[#This Row],[Volle alternativ]]="","",Eingabe[[#This Row],[Volle alternativ]]),SUM(Eingabe[[#This Row],[V1]:[V4]]))</f>
        <v>351</v>
      </c>
      <c r="AD366" s="6">
        <f>IF(Eingabe[[#This Row],[R1]]="",IF(Eingabe[[#This Row],[Räumer alternativ]]="","",Eingabe[[#This Row],[Räumer alternativ]]),SUM(Eingabe[[#This Row],[R1]:[R4]]))</f>
        <v>191</v>
      </c>
      <c r="AE366" s="6">
        <f>IF(Eingabe[[#This Row],[F1]]="",IF(Eingabe[[#This Row],[Fehler alternativ]]="","",Eingabe[[#This Row],[Fehler alternativ]]),SUM(Eingabe[[#This Row],[F1]:[F4]]))</f>
        <v>12</v>
      </c>
      <c r="AF366" s="6">
        <f>IF(Eingabe[[#This Row],[Volle]]="","",IF(Eingabe[[#This Row],[S1]]="",Eingabe[[#This Row],[Volle]]+Eingabe[[#This Row],[Räumer]],IF(Eingabe[[#This Row],[Volle]]+Eingabe[[#This Row],[Räumer]]=Eingabe[[#This Row],[S1]]+Eingabe[[#This Row],[S2]]+Eingabe[[#This Row],[S3]]+Eingabe[[#This Row],[S4]],Eingabe[[#This Row],[Volle]]+Eingabe[[#This Row],[Räumer]],"FEHLER")))</f>
        <v>542</v>
      </c>
      <c r="AG366" s="6">
        <f>IF(Eingabe[[#This Row],[V1]]="","",Eingabe[[#This Row],[V1]]+Eingabe[[#This Row],[R1]])</f>
        <v>140</v>
      </c>
      <c r="AH366" s="6">
        <f>IF(Eingabe[[#This Row],[V2]]="","",Eingabe[[#This Row],[V2]]+Eingabe[[#This Row],[R2]])</f>
        <v>126</v>
      </c>
      <c r="AI366" s="6">
        <f>IF(Eingabe[[#This Row],[V3]]="","",Eingabe[[#This Row],[V3]]+Eingabe[[#This Row],[R3]])</f>
        <v>130</v>
      </c>
      <c r="AJ366" s="6">
        <f>IF(Eingabe[[#This Row],[V4]]="","",Eingabe[[#This Row],[V4]]+Eingabe[[#This Row],[R4]])</f>
        <v>146</v>
      </c>
      <c r="AK366" s="6">
        <f>IF(Eingabe[[#This Row],[S1P]]="","",Eingabe[[#This Row],[S1P]]+Eingabe[[#This Row],[S2P]]+Eingabe[[#This Row],[S3P]]+Eingabe[[#This Row],[S4P]])</f>
        <v>2</v>
      </c>
      <c r="AL366" s="6">
        <f>IF(Eingabe[[#This Row],[S1P]]="","",IF(Eingabe[[#This Row],[SP]]&gt;2,1,IF(Eingabe[[#This Row],[SP]]&lt;2,0,IF(Eingabe[[#This Row],[GES]]&gt;Eingabe[[#This Row],[GEGGES]],1,IF(Eingabe[[#This Row],[GES]]=Eingabe[[#This Row],[GEGGES]],0.5,0)))))</f>
        <v>0</v>
      </c>
      <c r="AM366" s="6">
        <f>IF(Eingabe[[#This Row],[MP]]="","",MOD(ROW(Eingabe[[#This Row],[Position]])-3,6)+1)</f>
        <v>4</v>
      </c>
      <c r="AN366" s="6">
        <f>STANDARDIZE(Eingabe[[#This Row],[GES]],Eingabe[[#This Row],[Schnitt]],VLOOKUP(Eingabe[[#This Row],[Name]],AuswertungG[],21,FALSE))</f>
        <v>1.3913043478260869</v>
      </c>
      <c r="AO366" s="6">
        <f>VLOOKUP(Eingabe[[#This Row],[ID]],Chronologie[[ID]:[KW]],12,FALSE)</f>
        <v>12</v>
      </c>
      <c r="AP366" s="95" t="str">
        <f>IF(Eingabe[[#This Row],[Wo]]="H",Eingabe[[#This Row],[Gegner]]&amp;" ["&amp;Eingabe[[#This Row],[Wo]]&amp;"]",Eingabe[[#This Row],[Ort]])</f>
        <v>Krummenhennersdorf</v>
      </c>
      <c r="AQ366" s="6" t="str">
        <f>IFERROR(IF(Eingabe[[#This Row],[Wo]]="H",IF(MOD(Eingabe[[#This Row],[Position]],2)=1,Eingabe[[#This Row],[S1]],Eingabe[[#This Row],[S4]]),""),"")</f>
        <v/>
      </c>
      <c r="AR366" s="6" t="str">
        <f>IFERROR(IF(Eingabe[[#This Row],[Wo]]="H",IF(Eingabe[[#This Row],[S1]]&gt;0,IF(MOD(Eingabe[[#This Row],[Position]],2)=1,Eingabe[[#This Row],[S2]],Eingabe[[#This Row],[S3]]),""),""),"")</f>
        <v/>
      </c>
      <c r="AS366" s="6" t="str">
        <f>IFERROR(IF(Eingabe[[#This Row],[Wo]]="H",IF(Eingabe[[#This Row],[S1]]&gt;0,IF(MOD(ROW(Eingabe[[#This Row],[Heimbahn 3]]),2)=1,Eingabe[[#This Row],[S4]],Eingabe[[#This Row],[S1]]),""),""),"")</f>
        <v/>
      </c>
      <c r="AT366" s="6" t="str">
        <f>IFERROR(IF(Eingabe[[#This Row],[Wo]]="H",IF(Eingabe[[#This Row],[S1]]&gt;0,IF(MOD(ROW(Eingabe[[#This Row],[Heimbahn 4]]),2)=1,Eingabe[[#This Row],[S3]],Eingabe[[#This Row],[S2]]),""),""),"")</f>
        <v/>
      </c>
      <c r="AU366" s="22">
        <f>IF(Eingabe[[#This Row],[GES]]="","",IF(Eingabe[[#This Row],[Modus]]="L",_xlfn.RANK.EQ(Eingabe[[#This Row],[GES]],AF363:AF368),IF(Eingabe[[#This Row],[Modus]]="P",_xlfn.RANK.EQ(Eingabe[[#This Row],[GES]],AF363:AF368),"")))</f>
        <v>1</v>
      </c>
      <c r="AV366" s="6">
        <f>VLOOKUP(Eingabe[[#This Row],[Name]],AuswertungG[],8,FALSE)</f>
        <v>510</v>
      </c>
      <c r="AZ366" s="6">
        <f>IFERROR(ABS(Eingabe[[#This Row],[GES]]-Eingabe[[#This Row],[GEGGES]]),"")</f>
        <v>8</v>
      </c>
    </row>
    <row r="367" spans="1:52" ht="16.2" hidden="1" thickBot="1" x14ac:dyDescent="0.35">
      <c r="A367" s="441"/>
      <c r="B367" s="21">
        <f t="shared" si="44"/>
        <v>61</v>
      </c>
      <c r="C367" s="6" t="str">
        <f>VLOOKUP($B367,Chronologie[],7,TRUE)</f>
        <v>SV Krummenhennersdorf</v>
      </c>
      <c r="D367" s="6" t="str">
        <f>VLOOKUP($B367,Chronologie[],8,TRUE)</f>
        <v>Krummenhennersdorf</v>
      </c>
      <c r="E367" s="240" t="str">
        <f>VLOOKUP($B367,Chronologie[],9,TRUE)</f>
        <v>A</v>
      </c>
      <c r="F367" s="6" t="str">
        <f>VLOOKUP($B367,Chronologie[],COLUMN(F368)-2,TRUE)</f>
        <v>D</v>
      </c>
      <c r="G367" s="6" t="str">
        <f>VLOOKUP($B367,Chronologie[],COLUMN(G368)-2,TRUE)</f>
        <v>L</v>
      </c>
      <c r="H367" s="6">
        <f>VLOOKUP($B367,Chronologie[],COLUMN(H368)-2,TRUE)</f>
        <v>4</v>
      </c>
      <c r="I367" s="10" t="str">
        <f>VLOOKUP($B367,Chronologie[],2,TRUE)</f>
        <v>D-L-4</v>
      </c>
      <c r="J367" s="243">
        <f>VLOOKUP($B367,Chronologie[],3,TRUE)</f>
        <v>45976</v>
      </c>
      <c r="K367" s="237" t="s">
        <v>463</v>
      </c>
      <c r="L367" s="237">
        <v>90</v>
      </c>
      <c r="M367" s="237">
        <v>75</v>
      </c>
      <c r="N367" s="237">
        <v>84</v>
      </c>
      <c r="O367" s="237">
        <v>76</v>
      </c>
      <c r="P367" s="237">
        <v>45</v>
      </c>
      <c r="Q367" s="237">
        <v>42</v>
      </c>
      <c r="R367" s="237">
        <v>26</v>
      </c>
      <c r="S367" s="237">
        <v>60</v>
      </c>
      <c r="T367" s="237">
        <v>0</v>
      </c>
      <c r="U367" s="237">
        <v>3</v>
      </c>
      <c r="V367" s="237">
        <v>5</v>
      </c>
      <c r="W367" s="237">
        <v>1</v>
      </c>
      <c r="X367" s="38">
        <v>1</v>
      </c>
      <c r="Y367" s="38">
        <v>0</v>
      </c>
      <c r="Z367" s="38">
        <v>0</v>
      </c>
      <c r="AA367" s="38">
        <v>0</v>
      </c>
      <c r="AB367" s="91">
        <v>504</v>
      </c>
      <c r="AC367" s="94">
        <f>IF(Eingabe[[#This Row],[V1]]="",IF(Eingabe[[#This Row],[Volle alternativ]]="","",Eingabe[[#This Row],[Volle alternativ]]),SUM(Eingabe[[#This Row],[V1]:[V4]]))</f>
        <v>325</v>
      </c>
      <c r="AD367" s="6">
        <f>IF(Eingabe[[#This Row],[R1]]="",IF(Eingabe[[#This Row],[Räumer alternativ]]="","",Eingabe[[#This Row],[Räumer alternativ]]),SUM(Eingabe[[#This Row],[R1]:[R4]]))</f>
        <v>173</v>
      </c>
      <c r="AE367" s="6">
        <f>IF(Eingabe[[#This Row],[F1]]="",IF(Eingabe[[#This Row],[Fehler alternativ]]="","",Eingabe[[#This Row],[Fehler alternativ]]),SUM(Eingabe[[#This Row],[F1]:[F4]]))</f>
        <v>9</v>
      </c>
      <c r="AF367" s="6">
        <f>IF(Eingabe[[#This Row],[Volle]]="","",IF(Eingabe[[#This Row],[S1]]="",Eingabe[[#This Row],[Volle]]+Eingabe[[#This Row],[Räumer]],IF(Eingabe[[#This Row],[Volle]]+Eingabe[[#This Row],[Räumer]]=Eingabe[[#This Row],[S1]]+Eingabe[[#This Row],[S2]]+Eingabe[[#This Row],[S3]]+Eingabe[[#This Row],[S4]],Eingabe[[#This Row],[Volle]]+Eingabe[[#This Row],[Räumer]],"FEHLER")))</f>
        <v>498</v>
      </c>
      <c r="AG367" s="6">
        <f>IF(Eingabe[[#This Row],[V1]]="","",Eingabe[[#This Row],[V1]]+Eingabe[[#This Row],[R1]])</f>
        <v>135</v>
      </c>
      <c r="AH367" s="6">
        <f>IF(Eingabe[[#This Row],[V2]]="","",Eingabe[[#This Row],[V2]]+Eingabe[[#This Row],[R2]])</f>
        <v>117</v>
      </c>
      <c r="AI367" s="6">
        <f>IF(Eingabe[[#This Row],[V3]]="","",Eingabe[[#This Row],[V3]]+Eingabe[[#This Row],[R3]])</f>
        <v>110</v>
      </c>
      <c r="AJ367" s="6">
        <f>IF(Eingabe[[#This Row],[V4]]="","",Eingabe[[#This Row],[V4]]+Eingabe[[#This Row],[R4]])</f>
        <v>136</v>
      </c>
      <c r="AK367" s="6">
        <f>IF(Eingabe[[#This Row],[S1P]]="","",Eingabe[[#This Row],[S1P]]+Eingabe[[#This Row],[S2P]]+Eingabe[[#This Row],[S3P]]+Eingabe[[#This Row],[S4P]])</f>
        <v>1</v>
      </c>
      <c r="AL367" s="6">
        <f>IF(Eingabe[[#This Row],[S1P]]="","",IF(Eingabe[[#This Row],[SP]]&gt;2,1,IF(Eingabe[[#This Row],[SP]]&lt;2,0,IF(Eingabe[[#This Row],[GES]]&gt;Eingabe[[#This Row],[GEGGES]],1,IF(Eingabe[[#This Row],[GES]]=Eingabe[[#This Row],[GEGGES]],0.5,0)))))</f>
        <v>0</v>
      </c>
      <c r="AM367" s="6">
        <f>IF(Eingabe[[#This Row],[MP]]="","",MOD(ROW(Eingabe[[#This Row],[Position]])-3,6)+1)</f>
        <v>5</v>
      </c>
      <c r="AN367" s="6">
        <f>STANDARDIZE(Eingabe[[#This Row],[GES]],Eingabe[[#This Row],[Schnitt]],VLOOKUP(Eingabe[[#This Row],[Name]],AuswertungG[],21,FALSE))</f>
        <v>-0.54838709677419351</v>
      </c>
      <c r="AO367" s="6">
        <f>VLOOKUP(Eingabe[[#This Row],[ID]],Chronologie[[ID]:[KW]],12,FALSE)</f>
        <v>12</v>
      </c>
      <c r="AP367" s="95" t="str">
        <f>IF(Eingabe[[#This Row],[Wo]]="H",Eingabe[[#This Row],[Gegner]]&amp;" ["&amp;Eingabe[[#This Row],[Wo]]&amp;"]",Eingabe[[#This Row],[Ort]])</f>
        <v>Krummenhennersdorf</v>
      </c>
      <c r="AQ367" s="6" t="str">
        <f>IFERROR(IF(Eingabe[[#This Row],[Wo]]="H",IF(MOD(Eingabe[[#This Row],[Position]],2)=1,Eingabe[[#This Row],[S1]],Eingabe[[#This Row],[S4]]),""),"")</f>
        <v/>
      </c>
      <c r="AR367" s="6" t="str">
        <f>IFERROR(IF(Eingabe[[#This Row],[Wo]]="H",IF(Eingabe[[#This Row],[S1]]&gt;0,IF(MOD(Eingabe[[#This Row],[Position]],2)=1,Eingabe[[#This Row],[S2]],Eingabe[[#This Row],[S3]]),""),""),"")</f>
        <v/>
      </c>
      <c r="AS367" s="6" t="str">
        <f>IFERROR(IF(Eingabe[[#This Row],[Wo]]="H",IF(Eingabe[[#This Row],[S1]]&gt;0,IF(MOD(ROW(Eingabe[[#This Row],[Heimbahn 3]]),2)=1,Eingabe[[#This Row],[S4]],Eingabe[[#This Row],[S1]]),""),""),"")</f>
        <v/>
      </c>
      <c r="AT367" s="6" t="str">
        <f>IFERROR(IF(Eingabe[[#This Row],[Wo]]="H",IF(Eingabe[[#This Row],[S1]]&gt;0,IF(MOD(ROW(Eingabe[[#This Row],[Heimbahn 4]]),2)=1,Eingabe[[#This Row],[S3]],Eingabe[[#This Row],[S2]]),""),""),"")</f>
        <v/>
      </c>
      <c r="AU367" s="22">
        <f>IF(Eingabe[[#This Row],[GES]]="","",IF(Eingabe[[#This Row],[Modus]]="L",_xlfn.RANK.EQ(Eingabe[[#This Row],[GES]],AF363:AF368),IF(Eingabe[[#This Row],[Modus]]="P",_xlfn.RANK.EQ(Eingabe[[#This Row],[GES]],AF363:AF368),"")))</f>
        <v>4</v>
      </c>
      <c r="AV367" s="6">
        <f>VLOOKUP(Eingabe[[#This Row],[Name]],AuswertungG[],8,FALSE)</f>
        <v>515</v>
      </c>
      <c r="AZ367" s="6">
        <f>IFERROR(ABS(Eingabe[[#This Row],[GES]]-Eingabe[[#This Row],[GEGGES]]),"")</f>
        <v>6</v>
      </c>
    </row>
    <row r="368" spans="1:52" ht="16.2" hidden="1" thickBot="1" x14ac:dyDescent="0.35">
      <c r="A368" s="442"/>
      <c r="B368" s="56">
        <f t="shared" si="44"/>
        <v>61</v>
      </c>
      <c r="C368" s="23" t="str">
        <f>VLOOKUP($B368,Chronologie[],7,TRUE)</f>
        <v>SV Krummenhennersdorf</v>
      </c>
      <c r="D368" s="23" t="str">
        <f>VLOOKUP($B368,Chronologie[],8,TRUE)</f>
        <v>Krummenhennersdorf</v>
      </c>
      <c r="E368" s="39" t="str">
        <f>VLOOKUP($B368,Chronologie[],9,TRUE)</f>
        <v>A</v>
      </c>
      <c r="F368" s="23" t="str">
        <f>VLOOKUP($B368,Chronologie[],COLUMN(F369)-2,TRUE)</f>
        <v>D</v>
      </c>
      <c r="G368" s="23" t="str">
        <f>VLOOKUP($B368,Chronologie[],COLUMN(G369)-2,TRUE)</f>
        <v>L</v>
      </c>
      <c r="H368" s="23">
        <f>VLOOKUP($B368,Chronologie[],COLUMN(H369)-2,TRUE)</f>
        <v>4</v>
      </c>
      <c r="I368" s="13" t="str">
        <f>VLOOKUP($B368,Chronologie[],2,TRUE)</f>
        <v>D-L-4</v>
      </c>
      <c r="J368" s="244">
        <f>VLOOKUP($B368,Chronologie[],3,TRUE)</f>
        <v>45976</v>
      </c>
      <c r="K368" s="239" t="s">
        <v>479</v>
      </c>
      <c r="L368" s="239">
        <v>84</v>
      </c>
      <c r="M368" s="239">
        <v>75</v>
      </c>
      <c r="N368" s="239">
        <v>89</v>
      </c>
      <c r="O368" s="239">
        <v>77</v>
      </c>
      <c r="P368" s="239">
        <v>53</v>
      </c>
      <c r="Q368" s="239">
        <v>59</v>
      </c>
      <c r="R368" s="239">
        <v>40</v>
      </c>
      <c r="S368" s="239">
        <v>34</v>
      </c>
      <c r="T368" s="239">
        <v>1</v>
      </c>
      <c r="U368" s="239">
        <v>0</v>
      </c>
      <c r="V368" s="239">
        <v>1</v>
      </c>
      <c r="W368" s="239">
        <v>2</v>
      </c>
      <c r="X368" s="40">
        <v>1</v>
      </c>
      <c r="Y368" s="40">
        <v>1</v>
      </c>
      <c r="Z368" s="40">
        <v>1</v>
      </c>
      <c r="AA368" s="40">
        <v>0</v>
      </c>
      <c r="AB368" s="92">
        <v>481</v>
      </c>
      <c r="AC368" s="96">
        <f>IF(Eingabe[[#This Row],[V1]]="",IF(Eingabe[[#This Row],[Volle alternativ]]="","",Eingabe[[#This Row],[Volle alternativ]]),SUM(Eingabe[[#This Row],[V1]:[V4]]))</f>
        <v>325</v>
      </c>
      <c r="AD368" s="23">
        <f>IF(Eingabe[[#This Row],[R1]]="",IF(Eingabe[[#This Row],[Räumer alternativ]]="","",Eingabe[[#This Row],[Räumer alternativ]]),SUM(Eingabe[[#This Row],[R1]:[R4]]))</f>
        <v>186</v>
      </c>
      <c r="AE368" s="23">
        <f>IF(Eingabe[[#This Row],[F1]]="",IF(Eingabe[[#This Row],[Fehler alternativ]]="","",Eingabe[[#This Row],[Fehler alternativ]]),SUM(Eingabe[[#This Row],[F1]:[F4]]))</f>
        <v>4</v>
      </c>
      <c r="AF368" s="23">
        <f>IF(Eingabe[[#This Row],[Volle]]="","",IF(Eingabe[[#This Row],[S1]]="",Eingabe[[#This Row],[Volle]]+Eingabe[[#This Row],[Räumer]],IF(Eingabe[[#This Row],[Volle]]+Eingabe[[#This Row],[Räumer]]=Eingabe[[#This Row],[S1]]+Eingabe[[#This Row],[S2]]+Eingabe[[#This Row],[S3]]+Eingabe[[#This Row],[S4]],Eingabe[[#This Row],[Volle]]+Eingabe[[#This Row],[Räumer]],"FEHLER")))</f>
        <v>511</v>
      </c>
      <c r="AG368" s="23">
        <f>IF(Eingabe[[#This Row],[V1]]="","",Eingabe[[#This Row],[V1]]+Eingabe[[#This Row],[R1]])</f>
        <v>137</v>
      </c>
      <c r="AH368" s="23">
        <f>IF(Eingabe[[#This Row],[V2]]="","",Eingabe[[#This Row],[V2]]+Eingabe[[#This Row],[R2]])</f>
        <v>134</v>
      </c>
      <c r="AI368" s="23">
        <f>IF(Eingabe[[#This Row],[V3]]="","",Eingabe[[#This Row],[V3]]+Eingabe[[#This Row],[R3]])</f>
        <v>129</v>
      </c>
      <c r="AJ368" s="23">
        <f>IF(Eingabe[[#This Row],[V4]]="","",Eingabe[[#This Row],[V4]]+Eingabe[[#This Row],[R4]])</f>
        <v>111</v>
      </c>
      <c r="AK368" s="23">
        <f>IF(Eingabe[[#This Row],[S1P]]="","",Eingabe[[#This Row],[S1P]]+Eingabe[[#This Row],[S2P]]+Eingabe[[#This Row],[S3P]]+Eingabe[[#This Row],[S4P]])</f>
        <v>3</v>
      </c>
      <c r="AL368" s="23">
        <f>IF(Eingabe[[#This Row],[S1P]]="","",IF(Eingabe[[#This Row],[SP]]&gt;2,1,IF(Eingabe[[#This Row],[SP]]&lt;2,0,IF(Eingabe[[#This Row],[GES]]&gt;Eingabe[[#This Row],[GEGGES]],1,IF(Eingabe[[#This Row],[GES]]=Eingabe[[#This Row],[GEGGES]],0.5,0)))))</f>
        <v>1</v>
      </c>
      <c r="AM368" s="23">
        <f>IF(Eingabe[[#This Row],[MP]]="","",MOD(ROW(Eingabe[[#This Row],[Position]])-3,6)+1)</f>
        <v>6</v>
      </c>
      <c r="AN368" s="23">
        <f>STANDARDIZE(Eingabe[[#This Row],[GES]],Eingabe[[#This Row],[Schnitt]],VLOOKUP(Eingabe[[#This Row],[Name]],AuswertungG[],21,FALSE))</f>
        <v>0.95</v>
      </c>
      <c r="AO368" s="23">
        <f>VLOOKUP(Eingabe[[#This Row],[ID]],Chronologie[[ID]:[KW]],12,FALSE)</f>
        <v>12</v>
      </c>
      <c r="AP368" s="59" t="str">
        <f>IF(Eingabe[[#This Row],[Wo]]="H",Eingabe[[#This Row],[Gegner]]&amp;" ["&amp;Eingabe[[#This Row],[Wo]]&amp;"]",Eingabe[[#This Row],[Ort]])</f>
        <v>Krummenhennersdorf</v>
      </c>
      <c r="AQ368" s="23" t="str">
        <f>IFERROR(IF(Eingabe[[#This Row],[Wo]]="H",IF(MOD(Eingabe[[#This Row],[Position]],2)=1,Eingabe[[#This Row],[S1]],Eingabe[[#This Row],[S4]]),""),"")</f>
        <v/>
      </c>
      <c r="AR368" s="23" t="str">
        <f>IFERROR(IF(Eingabe[[#This Row],[Wo]]="H",IF(Eingabe[[#This Row],[S1]]&gt;0,IF(MOD(Eingabe[[#This Row],[Position]],2)=1,Eingabe[[#This Row],[S2]],Eingabe[[#This Row],[S3]]),""),""),"")</f>
        <v/>
      </c>
      <c r="AS368" s="23" t="str">
        <f>IFERROR(IF(Eingabe[[#This Row],[Wo]]="H",IF(Eingabe[[#This Row],[S1]]&gt;0,IF(MOD(ROW(Eingabe[[#This Row],[Heimbahn 3]]),2)=1,Eingabe[[#This Row],[S4]],Eingabe[[#This Row],[S1]]),""),""),"")</f>
        <v/>
      </c>
      <c r="AT368" s="23" t="str">
        <f>IFERROR(IF(Eingabe[[#This Row],[Wo]]="H",IF(Eingabe[[#This Row],[S1]]&gt;0,IF(MOD(ROW(Eingabe[[#This Row],[Heimbahn 4]]),2)=1,Eingabe[[#This Row],[S3]],Eingabe[[#This Row],[S2]]),""),""),"")</f>
        <v/>
      </c>
      <c r="AU368" s="89">
        <f>IF(Eingabe[[#This Row],[GES]]="","",IF(Eingabe[[#This Row],[Modus]]="L",_xlfn.RANK.EQ(Eingabe[[#This Row],[GES]],AF363:AF368),IF(Eingabe[[#This Row],[Modus]]="P",_xlfn.RANK.EQ(Eingabe[[#This Row],[GES]],AF363:AF368),"")))</f>
        <v>3</v>
      </c>
      <c r="AV368" s="6">
        <f>VLOOKUP(Eingabe[[#This Row],[Name]],AuswertungG[],8,FALSE)</f>
        <v>492</v>
      </c>
      <c r="AZ368" s="6">
        <f>IFERROR(ABS(Eingabe[[#This Row],[GES]]-Eingabe[[#This Row],[GEGGES]]),"")</f>
        <v>30</v>
      </c>
    </row>
    <row r="369" spans="1:52" ht="16.2" hidden="1" thickBot="1" x14ac:dyDescent="0.35">
      <c r="A369" s="440">
        <f t="shared" ref="A369:A429" si="45">B369</f>
        <v>62</v>
      </c>
      <c r="B369" s="55">
        <f t="shared" si="44"/>
        <v>62</v>
      </c>
      <c r="C369" s="35" t="str">
        <f>VLOOKUP($B369,Chronologie[],7,TRUE)</f>
        <v>BKC 52</v>
      </c>
      <c r="D369" s="35" t="str">
        <f>VLOOKUP($B369,Chronologie[],8,TRUE)</f>
        <v>Hirschfeld</v>
      </c>
      <c r="E369" s="36" t="str">
        <f>VLOOKUP($B369,Chronologie[],9,TRUE)</f>
        <v>H</v>
      </c>
      <c r="F369" s="35" t="str">
        <f>VLOOKUP($B369,Chronologie[],COLUMN(F370)-2,TRUE)</f>
        <v>D</v>
      </c>
      <c r="G369" s="35" t="str">
        <f>VLOOKUP($B369,Chronologie[],COLUMN(G370)-2,TRUE)</f>
        <v>L</v>
      </c>
      <c r="H369" s="35">
        <f>VLOOKUP($B369,Chronologie[],COLUMN(H370)-2,TRUE)</f>
        <v>5</v>
      </c>
      <c r="I369" s="9" t="str">
        <f>VLOOKUP($B369,Chronologie[],2,TRUE)</f>
        <v>D-L-5</v>
      </c>
      <c r="J369" s="242">
        <f>VLOOKUP($B369,Chronologie[],3,TRUE)</f>
        <v>45991</v>
      </c>
      <c r="K369" s="236"/>
      <c r="L369" s="334">
        <v>82</v>
      </c>
      <c r="M369" s="334">
        <v>80</v>
      </c>
      <c r="N369" s="334">
        <v>78</v>
      </c>
      <c r="O369" s="334">
        <v>68</v>
      </c>
      <c r="P369" s="334">
        <v>51</v>
      </c>
      <c r="Q369" s="334">
        <v>36</v>
      </c>
      <c r="R369" s="334">
        <v>26</v>
      </c>
      <c r="S369" s="334">
        <v>33</v>
      </c>
      <c r="T369" s="334">
        <v>2</v>
      </c>
      <c r="U369" s="334">
        <v>2</v>
      </c>
      <c r="V369" s="334">
        <v>5</v>
      </c>
      <c r="W369" s="334">
        <v>3</v>
      </c>
      <c r="X369" s="37">
        <v>0</v>
      </c>
      <c r="Y369" s="37">
        <v>0</v>
      </c>
      <c r="Z369" s="37">
        <v>0</v>
      </c>
      <c r="AA369" s="37">
        <v>0</v>
      </c>
      <c r="AB369" s="90">
        <v>519</v>
      </c>
      <c r="AC369" s="93">
        <f>IF(Eingabe[[#This Row],[V1]]="",IF(Eingabe[[#This Row],[Volle alternativ]]="","",Eingabe[[#This Row],[Volle alternativ]]),SUM(Eingabe[[#This Row],[V1]:[V4]]))</f>
        <v>308</v>
      </c>
      <c r="AD369" s="35">
        <f>IF(Eingabe[[#This Row],[R1]]="",IF(Eingabe[[#This Row],[Räumer alternativ]]="","",Eingabe[[#This Row],[Räumer alternativ]]),SUM(Eingabe[[#This Row],[R1]:[R4]]))</f>
        <v>146</v>
      </c>
      <c r="AE369" s="35">
        <f>IF(Eingabe[[#This Row],[F1]]="",IF(Eingabe[[#This Row],[Fehler alternativ]]="","",Eingabe[[#This Row],[Fehler alternativ]]),SUM(Eingabe[[#This Row],[F1]:[F4]]))</f>
        <v>12</v>
      </c>
      <c r="AF369" s="35">
        <f>IF(Eingabe[[#This Row],[Volle]]="","",IF(Eingabe[[#This Row],[S1]]="",Eingabe[[#This Row],[Volle]]+Eingabe[[#This Row],[Räumer]],IF(Eingabe[[#This Row],[Volle]]+Eingabe[[#This Row],[Räumer]]=Eingabe[[#This Row],[S1]]+Eingabe[[#This Row],[S2]]+Eingabe[[#This Row],[S3]]+Eingabe[[#This Row],[S4]],Eingabe[[#This Row],[Volle]]+Eingabe[[#This Row],[Räumer]],"FEHLER")))</f>
        <v>454</v>
      </c>
      <c r="AG369" s="35">
        <f>IF(Eingabe[[#This Row],[V1]]="","",Eingabe[[#This Row],[V1]]+Eingabe[[#This Row],[R1]])</f>
        <v>133</v>
      </c>
      <c r="AH369" s="35">
        <f>IF(Eingabe[[#This Row],[V2]]="","",Eingabe[[#This Row],[V2]]+Eingabe[[#This Row],[R2]])</f>
        <v>116</v>
      </c>
      <c r="AI369" s="35">
        <f>IF(Eingabe[[#This Row],[V3]]="","",Eingabe[[#This Row],[V3]]+Eingabe[[#This Row],[R3]])</f>
        <v>104</v>
      </c>
      <c r="AJ369" s="35">
        <f>IF(Eingabe[[#This Row],[V4]]="","",Eingabe[[#This Row],[V4]]+Eingabe[[#This Row],[R4]])</f>
        <v>101</v>
      </c>
      <c r="AK369" s="35">
        <f>IF(Eingabe[[#This Row],[S1P]]="","",Eingabe[[#This Row],[S1P]]+Eingabe[[#This Row],[S2P]]+Eingabe[[#This Row],[S3P]]+Eingabe[[#This Row],[S4P]])</f>
        <v>0</v>
      </c>
      <c r="AL369" s="35">
        <f>IF(Eingabe[[#This Row],[S1P]]="","",IF(Eingabe[[#This Row],[SP]]&gt;2,1,IF(Eingabe[[#This Row],[SP]]&lt;2,0,IF(Eingabe[[#This Row],[GES]]&gt;Eingabe[[#This Row],[GEGGES]],1,IF(Eingabe[[#This Row],[GES]]=Eingabe[[#This Row],[GEGGES]],0.5,0)))))</f>
        <v>0</v>
      </c>
      <c r="AM369" s="35">
        <f>IF(Eingabe[[#This Row],[MP]]="","",MOD(ROW(Eingabe[[#This Row],[Position]])-3,6)+1)</f>
        <v>1</v>
      </c>
      <c r="AN369" s="35" t="e">
        <f>STANDARDIZE(Eingabe[[#This Row],[GES]],Eingabe[[#This Row],[Schnitt]],VLOOKUP(Eingabe[[#This Row],[Name]],AuswertungG[],21,FALSE))</f>
        <v>#N/A</v>
      </c>
      <c r="AO369" s="35">
        <f>VLOOKUP(Eingabe[[#This Row],[ID]],Chronologie[[ID]:[KW]],12,FALSE)</f>
        <v>14</v>
      </c>
      <c r="AP369" s="58" t="str">
        <f>IF(Eingabe[[#This Row],[Wo]]="H",Eingabe[[#This Row],[Gegner]]&amp;" ["&amp;Eingabe[[#This Row],[Wo]]&amp;"]",Eingabe[[#This Row],[Ort]])</f>
        <v>BKC 52 [H]</v>
      </c>
      <c r="AQ369" s="35">
        <f>IFERROR(IF(Eingabe[[#This Row],[Wo]]="H",IF(MOD(Eingabe[[#This Row],[Position]],2)=1,Eingabe[[#This Row],[S1]],Eingabe[[#This Row],[S4]]),""),"")</f>
        <v>133</v>
      </c>
      <c r="AR369" s="35">
        <f>IFERROR(IF(Eingabe[[#This Row],[Wo]]="H",IF(Eingabe[[#This Row],[S1]]&gt;0,IF(MOD(Eingabe[[#This Row],[Position]],2)=1,Eingabe[[#This Row],[S2]],Eingabe[[#This Row],[S3]]),""),""),"")</f>
        <v>116</v>
      </c>
      <c r="AS369" s="35">
        <f>IFERROR(IF(Eingabe[[#This Row],[Wo]]="H",IF(Eingabe[[#This Row],[S1]]&gt;0,IF(MOD(ROW(Eingabe[[#This Row],[Heimbahn 3]]),2)=1,Eingabe[[#This Row],[S4]],Eingabe[[#This Row],[S1]]),""),""),"")</f>
        <v>101</v>
      </c>
      <c r="AT369" s="35">
        <f>IFERROR(IF(Eingabe[[#This Row],[Wo]]="H",IF(Eingabe[[#This Row],[S1]]&gt;0,IF(MOD(ROW(Eingabe[[#This Row],[Heimbahn 4]]),2)=1,Eingabe[[#This Row],[S3]],Eingabe[[#This Row],[S2]]),""),""),"")</f>
        <v>104</v>
      </c>
      <c r="AU369" s="88">
        <f>IF(Eingabe[[#This Row],[GES]]="","",IF(Eingabe[[#This Row],[Modus]]="L",_xlfn.RANK.EQ(Eingabe[[#This Row],[GES]],AF369:AF374),IF(Eingabe[[#This Row],[Modus]]="P",_xlfn.RANK.EQ(Eingabe[[#This Row],[GES]],AF369:AF374),"")))</f>
        <v>5</v>
      </c>
      <c r="AV369" s="6" t="e">
        <f>VLOOKUP(Eingabe[[#This Row],[Name]],AuswertungG[],8,FALSE)</f>
        <v>#N/A</v>
      </c>
      <c r="AZ369" s="6">
        <f>IFERROR(ABS(Eingabe[[#This Row],[GES]]-Eingabe[[#This Row],[GEGGES]]),"")</f>
        <v>65</v>
      </c>
    </row>
    <row r="370" spans="1:52" ht="16.2" hidden="1" thickBot="1" x14ac:dyDescent="0.35">
      <c r="A370" s="441"/>
      <c r="B370" s="21">
        <f t="shared" si="44"/>
        <v>62</v>
      </c>
      <c r="C370" s="6" t="str">
        <f>VLOOKUP($B370,Chronologie[],7,TRUE)</f>
        <v>BKC 52</v>
      </c>
      <c r="D370" s="6" t="str">
        <f>VLOOKUP($B370,Chronologie[],8,TRUE)</f>
        <v>Hirschfeld</v>
      </c>
      <c r="E370" s="240" t="str">
        <f>VLOOKUP($B370,Chronologie[],9,TRUE)</f>
        <v>H</v>
      </c>
      <c r="F370" s="6" t="str">
        <f>VLOOKUP($B370,Chronologie[],COLUMN(F371)-2,TRUE)</f>
        <v>D</v>
      </c>
      <c r="G370" s="6" t="str">
        <f>VLOOKUP($B370,Chronologie[],COLUMN(G371)-2,TRUE)</f>
        <v>L</v>
      </c>
      <c r="H370" s="6">
        <f>VLOOKUP($B370,Chronologie[],COLUMN(H371)-2,TRUE)</f>
        <v>5</v>
      </c>
      <c r="I370" s="10" t="str">
        <f>VLOOKUP($B370,Chronologie[],2,TRUE)</f>
        <v>D-L-5</v>
      </c>
      <c r="J370" s="243">
        <f>VLOOKUP($B370,Chronologie[],3,TRUE)</f>
        <v>45991</v>
      </c>
      <c r="K370" s="237" t="s">
        <v>470</v>
      </c>
      <c r="L370" s="237">
        <v>84</v>
      </c>
      <c r="M370" s="237">
        <v>75</v>
      </c>
      <c r="N370" s="237">
        <v>81</v>
      </c>
      <c r="O370" s="237">
        <v>80</v>
      </c>
      <c r="P370" s="237">
        <v>39</v>
      </c>
      <c r="Q370" s="237">
        <v>43</v>
      </c>
      <c r="R370" s="237">
        <v>27</v>
      </c>
      <c r="S370" s="237">
        <v>25</v>
      </c>
      <c r="T370" s="237">
        <v>4</v>
      </c>
      <c r="U370" s="237">
        <v>1</v>
      </c>
      <c r="V370" s="237">
        <v>4</v>
      </c>
      <c r="W370" s="237">
        <v>4</v>
      </c>
      <c r="X370" s="38">
        <v>0</v>
      </c>
      <c r="Y370" s="38">
        <v>1</v>
      </c>
      <c r="Z370" s="38">
        <v>0</v>
      </c>
      <c r="AA370" s="38">
        <v>0</v>
      </c>
      <c r="AB370" s="91">
        <v>545</v>
      </c>
      <c r="AC370" s="94">
        <f>IF(Eingabe[[#This Row],[V1]]="",IF(Eingabe[[#This Row],[Volle alternativ]]="","",Eingabe[[#This Row],[Volle alternativ]]),SUM(Eingabe[[#This Row],[V1]:[V4]]))</f>
        <v>320</v>
      </c>
      <c r="AD370" s="6">
        <f>IF(Eingabe[[#This Row],[R1]]="",IF(Eingabe[[#This Row],[Räumer alternativ]]="","",Eingabe[[#This Row],[Räumer alternativ]]),SUM(Eingabe[[#This Row],[R1]:[R4]]))</f>
        <v>134</v>
      </c>
      <c r="AE370" s="6">
        <f>IF(Eingabe[[#This Row],[F1]]="",IF(Eingabe[[#This Row],[Fehler alternativ]]="","",Eingabe[[#This Row],[Fehler alternativ]]),SUM(Eingabe[[#This Row],[F1]:[F4]]))</f>
        <v>13</v>
      </c>
      <c r="AF370" s="6">
        <f>IF(Eingabe[[#This Row],[Volle]]="","",IF(Eingabe[[#This Row],[S1]]="",Eingabe[[#This Row],[Volle]]+Eingabe[[#This Row],[Räumer]],IF(Eingabe[[#This Row],[Volle]]+Eingabe[[#This Row],[Räumer]]=Eingabe[[#This Row],[S1]]+Eingabe[[#This Row],[S2]]+Eingabe[[#This Row],[S3]]+Eingabe[[#This Row],[S4]],Eingabe[[#This Row],[Volle]]+Eingabe[[#This Row],[Räumer]],"FEHLER")))</f>
        <v>454</v>
      </c>
      <c r="AG370" s="6">
        <f>IF(Eingabe[[#This Row],[V1]]="","",Eingabe[[#This Row],[V1]]+Eingabe[[#This Row],[R1]])</f>
        <v>123</v>
      </c>
      <c r="AH370" s="6">
        <f>IF(Eingabe[[#This Row],[V2]]="","",Eingabe[[#This Row],[V2]]+Eingabe[[#This Row],[R2]])</f>
        <v>118</v>
      </c>
      <c r="AI370" s="6">
        <f>IF(Eingabe[[#This Row],[V3]]="","",Eingabe[[#This Row],[V3]]+Eingabe[[#This Row],[R3]])</f>
        <v>108</v>
      </c>
      <c r="AJ370" s="6">
        <f>IF(Eingabe[[#This Row],[V4]]="","",Eingabe[[#This Row],[V4]]+Eingabe[[#This Row],[R4]])</f>
        <v>105</v>
      </c>
      <c r="AK370" s="6">
        <f>IF(Eingabe[[#This Row],[S1P]]="","",Eingabe[[#This Row],[S1P]]+Eingabe[[#This Row],[S2P]]+Eingabe[[#This Row],[S3P]]+Eingabe[[#This Row],[S4P]])</f>
        <v>1</v>
      </c>
      <c r="AL370" s="6">
        <f>IF(Eingabe[[#This Row],[S1P]]="","",IF(Eingabe[[#This Row],[SP]]&gt;2,1,IF(Eingabe[[#This Row],[SP]]&lt;2,0,IF(Eingabe[[#This Row],[GES]]&gt;Eingabe[[#This Row],[GEGGES]],1,IF(Eingabe[[#This Row],[GES]]=Eingabe[[#This Row],[GEGGES]],0.5,0)))))</f>
        <v>0</v>
      </c>
      <c r="AM370" s="6">
        <f>IF(Eingabe[[#This Row],[MP]]="","",MOD(ROW(Eingabe[[#This Row],[Position]])-3,6)+1)</f>
        <v>2</v>
      </c>
      <c r="AN370" s="6">
        <f>STANDARDIZE(Eingabe[[#This Row],[GES]],Eingabe[[#This Row],[Schnitt]],VLOOKUP(Eingabe[[#This Row],[Name]],AuswertungG[],21,FALSE))</f>
        <v>-1.1333333333333333</v>
      </c>
      <c r="AO370" s="6">
        <f>VLOOKUP(Eingabe[[#This Row],[ID]],Chronologie[[ID]:[KW]],12,FALSE)</f>
        <v>14</v>
      </c>
      <c r="AP370" s="95" t="str">
        <f>IF(Eingabe[[#This Row],[Wo]]="H",Eingabe[[#This Row],[Gegner]]&amp;" ["&amp;Eingabe[[#This Row],[Wo]]&amp;"]",Eingabe[[#This Row],[Ort]])</f>
        <v>BKC 52 [H]</v>
      </c>
      <c r="AQ370" s="6">
        <f>IFERROR(IF(Eingabe[[#This Row],[Wo]]="H",IF(MOD(Eingabe[[#This Row],[Position]],2)=1,Eingabe[[#This Row],[S1]],Eingabe[[#This Row],[S4]]),""),"")</f>
        <v>105</v>
      </c>
      <c r="AR370" s="6">
        <f>IFERROR(IF(Eingabe[[#This Row],[Wo]]="H",IF(Eingabe[[#This Row],[S1]]&gt;0,IF(MOD(Eingabe[[#This Row],[Position]],2)=1,Eingabe[[#This Row],[S2]],Eingabe[[#This Row],[S3]]),""),""),"")</f>
        <v>108</v>
      </c>
      <c r="AS370" s="6">
        <f>IFERROR(IF(Eingabe[[#This Row],[Wo]]="H",IF(Eingabe[[#This Row],[S1]]&gt;0,IF(MOD(ROW(Eingabe[[#This Row],[Heimbahn 3]]),2)=1,Eingabe[[#This Row],[S4]],Eingabe[[#This Row],[S1]]),""),""),"")</f>
        <v>123</v>
      </c>
      <c r="AT370" s="6">
        <f>IFERROR(IF(Eingabe[[#This Row],[Wo]]="H",IF(Eingabe[[#This Row],[S1]]&gt;0,IF(MOD(ROW(Eingabe[[#This Row],[Heimbahn 4]]),2)=1,Eingabe[[#This Row],[S3]],Eingabe[[#This Row],[S2]]),""),""),"")</f>
        <v>118</v>
      </c>
      <c r="AU370" s="22">
        <f>IF(Eingabe[[#This Row],[GES]]="","",IF(Eingabe[[#This Row],[Modus]]="L",_xlfn.RANK.EQ(Eingabe[[#This Row],[GES]],AF369:AF374),IF(Eingabe[[#This Row],[Modus]]="P",_xlfn.RANK.EQ(Eingabe[[#This Row],[GES]],AF369:AF374),"")))</f>
        <v>5</v>
      </c>
      <c r="AV370" s="6">
        <f>VLOOKUP(Eingabe[[#This Row],[Name]],AuswertungG[],8,FALSE)</f>
        <v>471</v>
      </c>
      <c r="AZ370" s="6">
        <f>IFERROR(ABS(Eingabe[[#This Row],[GES]]-Eingabe[[#This Row],[GEGGES]]),"")</f>
        <v>91</v>
      </c>
    </row>
    <row r="371" spans="1:52" ht="16.2" hidden="1" thickBot="1" x14ac:dyDescent="0.35">
      <c r="A371" s="441"/>
      <c r="B371" s="21">
        <f t="shared" si="44"/>
        <v>62</v>
      </c>
      <c r="C371" s="6" t="str">
        <f>VLOOKUP($B371,Chronologie[],7,TRUE)</f>
        <v>BKC 52</v>
      </c>
      <c r="D371" s="6" t="str">
        <f>VLOOKUP($B371,Chronologie[],8,TRUE)</f>
        <v>Hirschfeld</v>
      </c>
      <c r="E371" s="240" t="str">
        <f>VLOOKUP($B371,Chronologie[],9,TRUE)</f>
        <v>H</v>
      </c>
      <c r="F371" s="6" t="str">
        <f>VLOOKUP($B371,Chronologie[],COLUMN(F372)-2,TRUE)</f>
        <v>D</v>
      </c>
      <c r="G371" s="6" t="str">
        <f>VLOOKUP($B371,Chronologie[],COLUMN(G372)-2,TRUE)</f>
        <v>L</v>
      </c>
      <c r="H371" s="6">
        <f>VLOOKUP($B371,Chronologie[],COLUMN(H372)-2,TRUE)</f>
        <v>5</v>
      </c>
      <c r="I371" s="10" t="str">
        <f>VLOOKUP($B371,Chronologie[],2,TRUE)</f>
        <v>D-L-5</v>
      </c>
      <c r="J371" s="243">
        <f>VLOOKUP($B371,Chronologie[],3,TRUE)</f>
        <v>45991</v>
      </c>
      <c r="K371" s="237" t="s">
        <v>493</v>
      </c>
      <c r="L371" s="237">
        <v>83</v>
      </c>
      <c r="M371" s="237">
        <v>82</v>
      </c>
      <c r="N371" s="237">
        <v>90</v>
      </c>
      <c r="O371" s="237">
        <v>96</v>
      </c>
      <c r="P371" s="237">
        <v>25</v>
      </c>
      <c r="Q371" s="237">
        <v>34</v>
      </c>
      <c r="R371" s="237">
        <v>45</v>
      </c>
      <c r="S371" s="237">
        <v>35</v>
      </c>
      <c r="T371" s="237">
        <v>4</v>
      </c>
      <c r="U371" s="237">
        <v>3</v>
      </c>
      <c r="V371" s="237">
        <v>2</v>
      </c>
      <c r="W371" s="237">
        <v>3</v>
      </c>
      <c r="X371" s="38">
        <v>1</v>
      </c>
      <c r="Y371" s="38">
        <v>1</v>
      </c>
      <c r="Z371" s="38">
        <v>1</v>
      </c>
      <c r="AA371" s="38">
        <v>1</v>
      </c>
      <c r="AB371" s="91">
        <v>412</v>
      </c>
      <c r="AC371" s="94">
        <f>IF(Eingabe[[#This Row],[V1]]="",IF(Eingabe[[#This Row],[Volle alternativ]]="","",Eingabe[[#This Row],[Volle alternativ]]),SUM(Eingabe[[#This Row],[V1]:[V4]]))</f>
        <v>351</v>
      </c>
      <c r="AD371" s="6">
        <f>IF(Eingabe[[#This Row],[R1]]="",IF(Eingabe[[#This Row],[Räumer alternativ]]="","",Eingabe[[#This Row],[Räumer alternativ]]),SUM(Eingabe[[#This Row],[R1]:[R4]]))</f>
        <v>139</v>
      </c>
      <c r="AE371" s="6">
        <f>IF(Eingabe[[#This Row],[F1]]="",IF(Eingabe[[#This Row],[Fehler alternativ]]="","",Eingabe[[#This Row],[Fehler alternativ]]),SUM(Eingabe[[#This Row],[F1]:[F4]]))</f>
        <v>12</v>
      </c>
      <c r="AF371" s="6">
        <f>IF(Eingabe[[#This Row],[Volle]]="","",IF(Eingabe[[#This Row],[S1]]="",Eingabe[[#This Row],[Volle]]+Eingabe[[#This Row],[Räumer]],IF(Eingabe[[#This Row],[Volle]]+Eingabe[[#This Row],[Räumer]]=Eingabe[[#This Row],[S1]]+Eingabe[[#This Row],[S2]]+Eingabe[[#This Row],[S3]]+Eingabe[[#This Row],[S4]],Eingabe[[#This Row],[Volle]]+Eingabe[[#This Row],[Räumer]],"FEHLER")))</f>
        <v>490</v>
      </c>
      <c r="AG371" s="6">
        <f>IF(Eingabe[[#This Row],[V1]]="","",Eingabe[[#This Row],[V1]]+Eingabe[[#This Row],[R1]])</f>
        <v>108</v>
      </c>
      <c r="AH371" s="6">
        <f>IF(Eingabe[[#This Row],[V2]]="","",Eingabe[[#This Row],[V2]]+Eingabe[[#This Row],[R2]])</f>
        <v>116</v>
      </c>
      <c r="AI371" s="6">
        <f>IF(Eingabe[[#This Row],[V3]]="","",Eingabe[[#This Row],[V3]]+Eingabe[[#This Row],[R3]])</f>
        <v>135</v>
      </c>
      <c r="AJ371" s="6">
        <f>IF(Eingabe[[#This Row],[V4]]="","",Eingabe[[#This Row],[V4]]+Eingabe[[#This Row],[R4]])</f>
        <v>131</v>
      </c>
      <c r="AK371" s="6">
        <f>IF(Eingabe[[#This Row],[S1P]]="","",Eingabe[[#This Row],[S1P]]+Eingabe[[#This Row],[S2P]]+Eingabe[[#This Row],[S3P]]+Eingabe[[#This Row],[S4P]])</f>
        <v>4</v>
      </c>
      <c r="AL371" s="6">
        <f>IF(Eingabe[[#This Row],[S1P]]="","",IF(Eingabe[[#This Row],[SP]]&gt;2,1,IF(Eingabe[[#This Row],[SP]]&lt;2,0,IF(Eingabe[[#This Row],[GES]]&gt;Eingabe[[#This Row],[GEGGES]],1,IF(Eingabe[[#This Row],[GES]]=Eingabe[[#This Row],[GEGGES]],0.5,0)))))</f>
        <v>1</v>
      </c>
      <c r="AM371" s="6">
        <f>IF(Eingabe[[#This Row],[MP]]="","",MOD(ROW(Eingabe[[#This Row],[Position]])-3,6)+1)</f>
        <v>3</v>
      </c>
      <c r="AN371" s="6">
        <f>STANDARDIZE(Eingabe[[#This Row],[GES]],Eingabe[[#This Row],[Schnitt]],VLOOKUP(Eingabe[[#This Row],[Name]],AuswertungG[],21,FALSE))</f>
        <v>-0.86956521739130432</v>
      </c>
      <c r="AO371" s="6">
        <f>VLOOKUP(Eingabe[[#This Row],[ID]],Chronologie[[ID]:[KW]],12,FALSE)</f>
        <v>14</v>
      </c>
      <c r="AP371" s="95" t="str">
        <f>IF(Eingabe[[#This Row],[Wo]]="H",Eingabe[[#This Row],[Gegner]]&amp;" ["&amp;Eingabe[[#This Row],[Wo]]&amp;"]",Eingabe[[#This Row],[Ort]])</f>
        <v>BKC 52 [H]</v>
      </c>
      <c r="AQ371" s="6">
        <f>IFERROR(IF(Eingabe[[#This Row],[Wo]]="H",IF(MOD(Eingabe[[#This Row],[Position]],2)=1,Eingabe[[#This Row],[S1]],Eingabe[[#This Row],[S4]]),""),"")</f>
        <v>108</v>
      </c>
      <c r="AR371" s="6">
        <f>IFERROR(IF(Eingabe[[#This Row],[Wo]]="H",IF(Eingabe[[#This Row],[S1]]&gt;0,IF(MOD(Eingabe[[#This Row],[Position]],2)=1,Eingabe[[#This Row],[S2]],Eingabe[[#This Row],[S3]]),""),""),"")</f>
        <v>116</v>
      </c>
      <c r="AS371" s="6">
        <f>IFERROR(IF(Eingabe[[#This Row],[Wo]]="H",IF(Eingabe[[#This Row],[S1]]&gt;0,IF(MOD(ROW(Eingabe[[#This Row],[Heimbahn 3]]),2)=1,Eingabe[[#This Row],[S4]],Eingabe[[#This Row],[S1]]),""),""),"")</f>
        <v>131</v>
      </c>
      <c r="AT371" s="6">
        <f>IFERROR(IF(Eingabe[[#This Row],[Wo]]="H",IF(Eingabe[[#This Row],[S1]]&gt;0,IF(MOD(ROW(Eingabe[[#This Row],[Heimbahn 4]]),2)=1,Eingabe[[#This Row],[S3]],Eingabe[[#This Row],[S2]]),""),""),"")</f>
        <v>135</v>
      </c>
      <c r="AU371" s="22">
        <f>IF(Eingabe[[#This Row],[GES]]="","",IF(Eingabe[[#This Row],[Modus]]="L",_xlfn.RANK.EQ(Eingabe[[#This Row],[GES]],AF369:AF374),IF(Eingabe[[#This Row],[Modus]]="P",_xlfn.RANK.EQ(Eingabe[[#This Row],[GES]],AF369:AF374),"")))</f>
        <v>2</v>
      </c>
      <c r="AV371" s="6">
        <f>VLOOKUP(Eingabe[[#This Row],[Name]],AuswertungG[],8,FALSE)</f>
        <v>510</v>
      </c>
      <c r="AZ371" s="6">
        <f>IFERROR(ABS(Eingabe[[#This Row],[GES]]-Eingabe[[#This Row],[GEGGES]]),"")</f>
        <v>78</v>
      </c>
    </row>
    <row r="372" spans="1:52" ht="16.2" hidden="1" thickBot="1" x14ac:dyDescent="0.35">
      <c r="A372" s="441"/>
      <c r="B372" s="21">
        <f t="shared" si="44"/>
        <v>62</v>
      </c>
      <c r="C372" s="6" t="str">
        <f>VLOOKUP($B372,Chronologie[],7,TRUE)</f>
        <v>BKC 52</v>
      </c>
      <c r="D372" s="6" t="str">
        <f>VLOOKUP($B372,Chronologie[],8,TRUE)</f>
        <v>Hirschfeld</v>
      </c>
      <c r="E372" s="240" t="str">
        <f>VLOOKUP($B372,Chronologie[],9,TRUE)</f>
        <v>H</v>
      </c>
      <c r="F372" s="6" t="str">
        <f>VLOOKUP($B372,Chronologie[],COLUMN(F373)-2,TRUE)</f>
        <v>D</v>
      </c>
      <c r="G372" s="6" t="str">
        <f>VLOOKUP($B372,Chronologie[],COLUMN(G373)-2,TRUE)</f>
        <v>L</v>
      </c>
      <c r="H372" s="6">
        <f>VLOOKUP($B372,Chronologie[],COLUMN(H373)-2,TRUE)</f>
        <v>5</v>
      </c>
      <c r="I372" s="10" t="str">
        <f>VLOOKUP($B372,Chronologie[],2,TRUE)</f>
        <v>D-L-5</v>
      </c>
      <c r="J372" s="243">
        <f>VLOOKUP($B372,Chronologie[],3,TRUE)</f>
        <v>45991</v>
      </c>
      <c r="K372" s="238" t="s">
        <v>736</v>
      </c>
      <c r="L372" s="237">
        <v>80</v>
      </c>
      <c r="M372" s="237">
        <v>94</v>
      </c>
      <c r="N372" s="237">
        <v>80</v>
      </c>
      <c r="O372" s="237">
        <v>90</v>
      </c>
      <c r="P372" s="237">
        <v>61</v>
      </c>
      <c r="Q372" s="237">
        <v>40</v>
      </c>
      <c r="R372" s="237">
        <v>50</v>
      </c>
      <c r="S372" s="237">
        <v>54</v>
      </c>
      <c r="T372" s="237">
        <v>0</v>
      </c>
      <c r="U372" s="237">
        <v>2</v>
      </c>
      <c r="V372" s="237">
        <v>0</v>
      </c>
      <c r="W372" s="237">
        <v>1</v>
      </c>
      <c r="X372" s="38">
        <v>0</v>
      </c>
      <c r="Y372" s="38">
        <v>1</v>
      </c>
      <c r="Z372" s="38">
        <v>0</v>
      </c>
      <c r="AA372" s="38">
        <v>1</v>
      </c>
      <c r="AB372" s="91">
        <v>523</v>
      </c>
      <c r="AC372" s="94">
        <f>IF(Eingabe[[#This Row],[V1]]="",IF(Eingabe[[#This Row],[Volle alternativ]]="","",Eingabe[[#This Row],[Volle alternativ]]),SUM(Eingabe[[#This Row],[V1]:[V4]]))</f>
        <v>344</v>
      </c>
      <c r="AD372" s="6">
        <f>IF(Eingabe[[#This Row],[R1]]="",IF(Eingabe[[#This Row],[Räumer alternativ]]="","",Eingabe[[#This Row],[Räumer alternativ]]),SUM(Eingabe[[#This Row],[R1]:[R4]]))</f>
        <v>205</v>
      </c>
      <c r="AE372" s="6">
        <f>IF(Eingabe[[#This Row],[F1]]="",IF(Eingabe[[#This Row],[Fehler alternativ]]="","",Eingabe[[#This Row],[Fehler alternativ]]),SUM(Eingabe[[#This Row],[F1]:[F4]]))</f>
        <v>3</v>
      </c>
      <c r="AF372" s="6">
        <f>IF(Eingabe[[#This Row],[Volle]]="","",IF(Eingabe[[#This Row],[S1]]="",Eingabe[[#This Row],[Volle]]+Eingabe[[#This Row],[Räumer]],IF(Eingabe[[#This Row],[Volle]]+Eingabe[[#This Row],[Räumer]]=Eingabe[[#This Row],[S1]]+Eingabe[[#This Row],[S2]]+Eingabe[[#This Row],[S3]]+Eingabe[[#This Row],[S4]],Eingabe[[#This Row],[Volle]]+Eingabe[[#This Row],[Räumer]],"FEHLER")))</f>
        <v>549</v>
      </c>
      <c r="AG372" s="6">
        <f>IF(Eingabe[[#This Row],[V1]]="","",Eingabe[[#This Row],[V1]]+Eingabe[[#This Row],[R1]])</f>
        <v>141</v>
      </c>
      <c r="AH372" s="6">
        <f>IF(Eingabe[[#This Row],[V2]]="","",Eingabe[[#This Row],[V2]]+Eingabe[[#This Row],[R2]])</f>
        <v>134</v>
      </c>
      <c r="AI372" s="6">
        <f>IF(Eingabe[[#This Row],[V3]]="","",Eingabe[[#This Row],[V3]]+Eingabe[[#This Row],[R3]])</f>
        <v>130</v>
      </c>
      <c r="AJ372" s="6">
        <f>IF(Eingabe[[#This Row],[V4]]="","",Eingabe[[#This Row],[V4]]+Eingabe[[#This Row],[R4]])</f>
        <v>144</v>
      </c>
      <c r="AK372" s="6">
        <f>IF(Eingabe[[#This Row],[S1P]]="","",Eingabe[[#This Row],[S1P]]+Eingabe[[#This Row],[S2P]]+Eingabe[[#This Row],[S3P]]+Eingabe[[#This Row],[S4P]])</f>
        <v>2</v>
      </c>
      <c r="AL372" s="6">
        <f>IF(Eingabe[[#This Row],[S1P]]="","",IF(Eingabe[[#This Row],[SP]]&gt;2,1,IF(Eingabe[[#This Row],[SP]]&lt;2,0,IF(Eingabe[[#This Row],[GES]]&gt;Eingabe[[#This Row],[GEGGES]],1,IF(Eingabe[[#This Row],[GES]]=Eingabe[[#This Row],[GEGGES]],0.5,0)))))</f>
        <v>1</v>
      </c>
      <c r="AM372" s="6">
        <f>IF(Eingabe[[#This Row],[MP]]="","",MOD(ROW(Eingabe[[#This Row],[Position]])-3,6)+1)</f>
        <v>4</v>
      </c>
      <c r="AN372" s="6">
        <f>STANDARDIZE(Eingabe[[#This Row],[GES]],Eingabe[[#This Row],[Schnitt]],VLOOKUP(Eingabe[[#This Row],[Name]],AuswertungG[],21,FALSE))</f>
        <v>1.736842105263158</v>
      </c>
      <c r="AO372" s="6">
        <f>VLOOKUP(Eingabe[[#This Row],[ID]],Chronologie[[ID]:[KW]],12,FALSE)</f>
        <v>14</v>
      </c>
      <c r="AP372" s="95" t="str">
        <f>IF(Eingabe[[#This Row],[Wo]]="H",Eingabe[[#This Row],[Gegner]]&amp;" ["&amp;Eingabe[[#This Row],[Wo]]&amp;"]",Eingabe[[#This Row],[Ort]])</f>
        <v>BKC 52 [H]</v>
      </c>
      <c r="AQ372" s="6">
        <f>IFERROR(IF(Eingabe[[#This Row],[Wo]]="H",IF(MOD(Eingabe[[#This Row],[Position]],2)=1,Eingabe[[#This Row],[S1]],Eingabe[[#This Row],[S4]]),""),"")</f>
        <v>144</v>
      </c>
      <c r="AR372" s="6">
        <f>IFERROR(IF(Eingabe[[#This Row],[Wo]]="H",IF(Eingabe[[#This Row],[S1]]&gt;0,IF(MOD(Eingabe[[#This Row],[Position]],2)=1,Eingabe[[#This Row],[S2]],Eingabe[[#This Row],[S3]]),""),""),"")</f>
        <v>130</v>
      </c>
      <c r="AS372" s="6">
        <f>IFERROR(IF(Eingabe[[#This Row],[Wo]]="H",IF(Eingabe[[#This Row],[S1]]&gt;0,IF(MOD(ROW(Eingabe[[#This Row],[Heimbahn 3]]),2)=1,Eingabe[[#This Row],[S4]],Eingabe[[#This Row],[S1]]),""),""),"")</f>
        <v>141</v>
      </c>
      <c r="AT372" s="6">
        <f>IFERROR(IF(Eingabe[[#This Row],[Wo]]="H",IF(Eingabe[[#This Row],[S1]]&gt;0,IF(MOD(ROW(Eingabe[[#This Row],[Heimbahn 4]]),2)=1,Eingabe[[#This Row],[S3]],Eingabe[[#This Row],[S2]]),""),""),"")</f>
        <v>134</v>
      </c>
      <c r="AU372" s="22">
        <f>IF(Eingabe[[#This Row],[GES]]="","",IF(Eingabe[[#This Row],[Modus]]="L",_xlfn.RANK.EQ(Eingabe[[#This Row],[GES]],AF369:AF374),IF(Eingabe[[#This Row],[Modus]]="P",_xlfn.RANK.EQ(Eingabe[[#This Row],[GES]],AF369:AF374),"")))</f>
        <v>1</v>
      </c>
      <c r="AV372" s="6">
        <f>VLOOKUP(Eingabe[[#This Row],[Name]],AuswertungG[],8,FALSE)</f>
        <v>516</v>
      </c>
      <c r="AZ372" s="6">
        <f>IFERROR(ABS(Eingabe[[#This Row],[GES]]-Eingabe[[#This Row],[GEGGES]]),"")</f>
        <v>26</v>
      </c>
    </row>
    <row r="373" spans="1:52" ht="16.2" hidden="1" thickBot="1" x14ac:dyDescent="0.35">
      <c r="A373" s="441"/>
      <c r="B373" s="21">
        <f t="shared" si="44"/>
        <v>62</v>
      </c>
      <c r="C373" s="6" t="str">
        <f>VLOOKUP($B373,Chronologie[],7,TRUE)</f>
        <v>BKC 52</v>
      </c>
      <c r="D373" s="6" t="str">
        <f>VLOOKUP($B373,Chronologie[],8,TRUE)</f>
        <v>Hirschfeld</v>
      </c>
      <c r="E373" s="240" t="str">
        <f>VLOOKUP($B373,Chronologie[],9,TRUE)</f>
        <v>H</v>
      </c>
      <c r="F373" s="6" t="str">
        <f>VLOOKUP($B373,Chronologie[],COLUMN(F374)-2,TRUE)</f>
        <v>D</v>
      </c>
      <c r="G373" s="6" t="str">
        <f>VLOOKUP($B373,Chronologie[],COLUMN(G374)-2,TRUE)</f>
        <v>L</v>
      </c>
      <c r="H373" s="6">
        <f>VLOOKUP($B373,Chronologie[],COLUMN(H374)-2,TRUE)</f>
        <v>5</v>
      </c>
      <c r="I373" s="10" t="str">
        <f>VLOOKUP($B373,Chronologie[],2,TRUE)</f>
        <v>D-L-5</v>
      </c>
      <c r="J373" s="243">
        <f>VLOOKUP($B373,Chronologie[],3,TRUE)</f>
        <v>45991</v>
      </c>
      <c r="K373" s="237"/>
      <c r="L373" s="237">
        <v>91</v>
      </c>
      <c r="M373" s="237">
        <v>78</v>
      </c>
      <c r="N373" s="237">
        <v>90</v>
      </c>
      <c r="O373" s="237">
        <v>65</v>
      </c>
      <c r="P373" s="237">
        <v>36</v>
      </c>
      <c r="Q373" s="237">
        <v>42</v>
      </c>
      <c r="R373" s="237">
        <v>36</v>
      </c>
      <c r="S373" s="237">
        <v>24</v>
      </c>
      <c r="T373" s="237">
        <v>2</v>
      </c>
      <c r="U373" s="237">
        <v>2</v>
      </c>
      <c r="V373" s="237">
        <v>1</v>
      </c>
      <c r="W373" s="237">
        <v>5</v>
      </c>
      <c r="X373" s="38">
        <v>1</v>
      </c>
      <c r="Y373" s="38">
        <v>0</v>
      </c>
      <c r="Z373" s="38">
        <v>0</v>
      </c>
      <c r="AA373" s="38">
        <v>0</v>
      </c>
      <c r="AB373" s="91">
        <v>514</v>
      </c>
      <c r="AC373" s="94">
        <f>IF(Eingabe[[#This Row],[V1]]="",IF(Eingabe[[#This Row],[Volle alternativ]]="","",Eingabe[[#This Row],[Volle alternativ]]),SUM(Eingabe[[#This Row],[V1]:[V4]]))</f>
        <v>324</v>
      </c>
      <c r="AD373" s="6">
        <f>IF(Eingabe[[#This Row],[R1]]="",IF(Eingabe[[#This Row],[Räumer alternativ]]="","",Eingabe[[#This Row],[Räumer alternativ]]),SUM(Eingabe[[#This Row],[R1]:[R4]]))</f>
        <v>138</v>
      </c>
      <c r="AE373" s="6">
        <f>IF(Eingabe[[#This Row],[F1]]="",IF(Eingabe[[#This Row],[Fehler alternativ]]="","",Eingabe[[#This Row],[Fehler alternativ]]),SUM(Eingabe[[#This Row],[F1]:[F4]]))</f>
        <v>10</v>
      </c>
      <c r="AF373" s="6">
        <f>IF(Eingabe[[#This Row],[Volle]]="","",IF(Eingabe[[#This Row],[S1]]="",Eingabe[[#This Row],[Volle]]+Eingabe[[#This Row],[Räumer]],IF(Eingabe[[#This Row],[Volle]]+Eingabe[[#This Row],[Räumer]]=Eingabe[[#This Row],[S1]]+Eingabe[[#This Row],[S2]]+Eingabe[[#This Row],[S3]]+Eingabe[[#This Row],[S4]],Eingabe[[#This Row],[Volle]]+Eingabe[[#This Row],[Räumer]],"FEHLER")))</f>
        <v>462</v>
      </c>
      <c r="AG373" s="6">
        <f>IF(Eingabe[[#This Row],[V1]]="","",Eingabe[[#This Row],[V1]]+Eingabe[[#This Row],[R1]])</f>
        <v>127</v>
      </c>
      <c r="AH373" s="6">
        <f>IF(Eingabe[[#This Row],[V2]]="","",Eingabe[[#This Row],[V2]]+Eingabe[[#This Row],[R2]])</f>
        <v>120</v>
      </c>
      <c r="AI373" s="6">
        <f>IF(Eingabe[[#This Row],[V3]]="","",Eingabe[[#This Row],[V3]]+Eingabe[[#This Row],[R3]])</f>
        <v>126</v>
      </c>
      <c r="AJ373" s="6">
        <f>IF(Eingabe[[#This Row],[V4]]="","",Eingabe[[#This Row],[V4]]+Eingabe[[#This Row],[R4]])</f>
        <v>89</v>
      </c>
      <c r="AK373" s="6">
        <f>IF(Eingabe[[#This Row],[S1P]]="","",Eingabe[[#This Row],[S1P]]+Eingabe[[#This Row],[S2P]]+Eingabe[[#This Row],[S3P]]+Eingabe[[#This Row],[S4P]])</f>
        <v>1</v>
      </c>
      <c r="AL373" s="6">
        <f>IF(Eingabe[[#This Row],[S1P]]="","",IF(Eingabe[[#This Row],[SP]]&gt;2,1,IF(Eingabe[[#This Row],[SP]]&lt;2,0,IF(Eingabe[[#This Row],[GES]]&gt;Eingabe[[#This Row],[GEGGES]],1,IF(Eingabe[[#This Row],[GES]]=Eingabe[[#This Row],[GEGGES]],0.5,0)))))</f>
        <v>0</v>
      </c>
      <c r="AM373" s="6">
        <f>IF(Eingabe[[#This Row],[MP]]="","",MOD(ROW(Eingabe[[#This Row],[Position]])-3,6)+1)</f>
        <v>5</v>
      </c>
      <c r="AN373" s="6" t="e">
        <f>STANDARDIZE(Eingabe[[#This Row],[GES]],Eingabe[[#This Row],[Schnitt]],VLOOKUP(Eingabe[[#This Row],[Name]],AuswertungG[],21,FALSE))</f>
        <v>#N/A</v>
      </c>
      <c r="AO373" s="6">
        <f>VLOOKUP(Eingabe[[#This Row],[ID]],Chronologie[[ID]:[KW]],12,FALSE)</f>
        <v>14</v>
      </c>
      <c r="AP373" s="95" t="str">
        <f>IF(Eingabe[[#This Row],[Wo]]="H",Eingabe[[#This Row],[Gegner]]&amp;" ["&amp;Eingabe[[#This Row],[Wo]]&amp;"]",Eingabe[[#This Row],[Ort]])</f>
        <v>BKC 52 [H]</v>
      </c>
      <c r="AQ373" s="6">
        <f>IFERROR(IF(Eingabe[[#This Row],[Wo]]="H",IF(MOD(Eingabe[[#This Row],[Position]],2)=1,Eingabe[[#This Row],[S1]],Eingabe[[#This Row],[S4]]),""),"")</f>
        <v>127</v>
      </c>
      <c r="AR373" s="6">
        <f>IFERROR(IF(Eingabe[[#This Row],[Wo]]="H",IF(Eingabe[[#This Row],[S1]]&gt;0,IF(MOD(Eingabe[[#This Row],[Position]],2)=1,Eingabe[[#This Row],[S2]],Eingabe[[#This Row],[S3]]),""),""),"")</f>
        <v>120</v>
      </c>
      <c r="AS373" s="6">
        <f>IFERROR(IF(Eingabe[[#This Row],[Wo]]="H",IF(Eingabe[[#This Row],[S1]]&gt;0,IF(MOD(ROW(Eingabe[[#This Row],[Heimbahn 3]]),2)=1,Eingabe[[#This Row],[S4]],Eingabe[[#This Row],[S1]]),""),""),"")</f>
        <v>89</v>
      </c>
      <c r="AT373" s="6">
        <f>IFERROR(IF(Eingabe[[#This Row],[Wo]]="H",IF(Eingabe[[#This Row],[S1]]&gt;0,IF(MOD(ROW(Eingabe[[#This Row],[Heimbahn 4]]),2)=1,Eingabe[[#This Row],[S3]],Eingabe[[#This Row],[S2]]),""),""),"")</f>
        <v>126</v>
      </c>
      <c r="AU373" s="22">
        <f>IF(Eingabe[[#This Row],[GES]]="","",IF(Eingabe[[#This Row],[Modus]]="L",_xlfn.RANK.EQ(Eingabe[[#This Row],[GES]],AF369:AF374),IF(Eingabe[[#This Row],[Modus]]="P",_xlfn.RANK.EQ(Eingabe[[#This Row],[GES]],AF369:AF374),"")))</f>
        <v>4</v>
      </c>
      <c r="AV373" s="6" t="e">
        <f>VLOOKUP(Eingabe[[#This Row],[Name]],AuswertungG[],8,FALSE)</f>
        <v>#N/A</v>
      </c>
      <c r="AZ373" s="6">
        <f>IFERROR(ABS(Eingabe[[#This Row],[GES]]-Eingabe[[#This Row],[GEGGES]]),"")</f>
        <v>52</v>
      </c>
    </row>
    <row r="374" spans="1:52" ht="16.2" hidden="1" thickBot="1" x14ac:dyDescent="0.35">
      <c r="A374" s="442"/>
      <c r="B374" s="56">
        <f t="shared" si="44"/>
        <v>62</v>
      </c>
      <c r="C374" s="23" t="str">
        <f>VLOOKUP($B374,Chronologie[],7,TRUE)</f>
        <v>BKC 52</v>
      </c>
      <c r="D374" s="23" t="str">
        <f>VLOOKUP($B374,Chronologie[],8,TRUE)</f>
        <v>Hirschfeld</v>
      </c>
      <c r="E374" s="39" t="str">
        <f>VLOOKUP($B374,Chronologie[],9,TRUE)</f>
        <v>H</v>
      </c>
      <c r="F374" s="23" t="str">
        <f>VLOOKUP($B374,Chronologie[],COLUMN(F375)-2,TRUE)</f>
        <v>D</v>
      </c>
      <c r="G374" s="23" t="str">
        <f>VLOOKUP($B374,Chronologie[],COLUMN(G375)-2,TRUE)</f>
        <v>L</v>
      </c>
      <c r="H374" s="23">
        <f>VLOOKUP($B374,Chronologie[],COLUMN(H375)-2,TRUE)</f>
        <v>5</v>
      </c>
      <c r="I374" s="13" t="str">
        <f>VLOOKUP($B374,Chronologie[],2,TRUE)</f>
        <v>D-L-5</v>
      </c>
      <c r="J374" s="244">
        <f>VLOOKUP($B374,Chronologie[],3,TRUE)</f>
        <v>45991</v>
      </c>
      <c r="K374" s="239" t="s">
        <v>479</v>
      </c>
      <c r="L374" s="239">
        <v>77</v>
      </c>
      <c r="M374" s="239">
        <v>88</v>
      </c>
      <c r="N374" s="239">
        <v>75</v>
      </c>
      <c r="O374" s="239">
        <v>84</v>
      </c>
      <c r="P374" s="239">
        <v>44</v>
      </c>
      <c r="Q374" s="239">
        <v>34</v>
      </c>
      <c r="R374" s="239">
        <v>43</v>
      </c>
      <c r="S374" s="239">
        <v>27</v>
      </c>
      <c r="T374" s="239">
        <v>3</v>
      </c>
      <c r="U374" s="239">
        <v>4</v>
      </c>
      <c r="V374" s="239">
        <v>1</v>
      </c>
      <c r="W374" s="239">
        <v>2</v>
      </c>
      <c r="X374" s="40">
        <v>1</v>
      </c>
      <c r="Y374" s="40">
        <v>1</v>
      </c>
      <c r="Z374" s="40">
        <v>1</v>
      </c>
      <c r="AA374" s="40">
        <v>0</v>
      </c>
      <c r="AB374" s="92">
        <v>465</v>
      </c>
      <c r="AC374" s="96">
        <f>IF(Eingabe[[#This Row],[V1]]="",IF(Eingabe[[#This Row],[Volle alternativ]]="","",Eingabe[[#This Row],[Volle alternativ]]),SUM(Eingabe[[#This Row],[V1]:[V4]]))</f>
        <v>324</v>
      </c>
      <c r="AD374" s="23">
        <f>IF(Eingabe[[#This Row],[R1]]="",IF(Eingabe[[#This Row],[Räumer alternativ]]="","",Eingabe[[#This Row],[Räumer alternativ]]),SUM(Eingabe[[#This Row],[R1]:[R4]]))</f>
        <v>148</v>
      </c>
      <c r="AE374" s="23">
        <f>IF(Eingabe[[#This Row],[F1]]="",IF(Eingabe[[#This Row],[Fehler alternativ]]="","",Eingabe[[#This Row],[Fehler alternativ]]),SUM(Eingabe[[#This Row],[F1]:[F4]]))</f>
        <v>10</v>
      </c>
      <c r="AF374" s="23">
        <f>IF(Eingabe[[#This Row],[Volle]]="","",IF(Eingabe[[#This Row],[S1]]="",Eingabe[[#This Row],[Volle]]+Eingabe[[#This Row],[Räumer]],IF(Eingabe[[#This Row],[Volle]]+Eingabe[[#This Row],[Räumer]]=Eingabe[[#This Row],[S1]]+Eingabe[[#This Row],[S2]]+Eingabe[[#This Row],[S3]]+Eingabe[[#This Row],[S4]],Eingabe[[#This Row],[Volle]]+Eingabe[[#This Row],[Räumer]],"FEHLER")))</f>
        <v>472</v>
      </c>
      <c r="AG374" s="23">
        <f>IF(Eingabe[[#This Row],[V1]]="","",Eingabe[[#This Row],[V1]]+Eingabe[[#This Row],[R1]])</f>
        <v>121</v>
      </c>
      <c r="AH374" s="23">
        <f>IF(Eingabe[[#This Row],[V2]]="","",Eingabe[[#This Row],[V2]]+Eingabe[[#This Row],[R2]])</f>
        <v>122</v>
      </c>
      <c r="AI374" s="23">
        <f>IF(Eingabe[[#This Row],[V3]]="","",Eingabe[[#This Row],[V3]]+Eingabe[[#This Row],[R3]])</f>
        <v>118</v>
      </c>
      <c r="AJ374" s="23">
        <f>IF(Eingabe[[#This Row],[V4]]="","",Eingabe[[#This Row],[V4]]+Eingabe[[#This Row],[R4]])</f>
        <v>111</v>
      </c>
      <c r="AK374" s="23">
        <f>IF(Eingabe[[#This Row],[S1P]]="","",Eingabe[[#This Row],[S1P]]+Eingabe[[#This Row],[S2P]]+Eingabe[[#This Row],[S3P]]+Eingabe[[#This Row],[S4P]])</f>
        <v>3</v>
      </c>
      <c r="AL374" s="23">
        <f>IF(Eingabe[[#This Row],[S1P]]="","",IF(Eingabe[[#This Row],[SP]]&gt;2,1,IF(Eingabe[[#This Row],[SP]]&lt;2,0,IF(Eingabe[[#This Row],[GES]]&gt;Eingabe[[#This Row],[GEGGES]],1,IF(Eingabe[[#This Row],[GES]]=Eingabe[[#This Row],[GEGGES]],0.5,0)))))</f>
        <v>1</v>
      </c>
      <c r="AM374" s="23">
        <f>IF(Eingabe[[#This Row],[MP]]="","",MOD(ROW(Eingabe[[#This Row],[Position]])-3,6)+1)</f>
        <v>6</v>
      </c>
      <c r="AN374" s="23">
        <f>STANDARDIZE(Eingabe[[#This Row],[GES]],Eingabe[[#This Row],[Schnitt]],VLOOKUP(Eingabe[[#This Row],[Name]],AuswertungG[],21,FALSE))</f>
        <v>-1</v>
      </c>
      <c r="AO374" s="23">
        <f>VLOOKUP(Eingabe[[#This Row],[ID]],Chronologie[[ID]:[KW]],12,FALSE)</f>
        <v>14</v>
      </c>
      <c r="AP374" s="59" t="str">
        <f>IF(Eingabe[[#This Row],[Wo]]="H",Eingabe[[#This Row],[Gegner]]&amp;" ["&amp;Eingabe[[#This Row],[Wo]]&amp;"]",Eingabe[[#This Row],[Ort]])</f>
        <v>BKC 52 [H]</v>
      </c>
      <c r="AQ374" s="23">
        <f>IFERROR(IF(Eingabe[[#This Row],[Wo]]="H",IF(MOD(Eingabe[[#This Row],[Position]],2)=1,Eingabe[[#This Row],[S1]],Eingabe[[#This Row],[S4]]),""),"")</f>
        <v>111</v>
      </c>
      <c r="AR374" s="23">
        <f>IFERROR(IF(Eingabe[[#This Row],[Wo]]="H",IF(Eingabe[[#This Row],[S1]]&gt;0,IF(MOD(Eingabe[[#This Row],[Position]],2)=1,Eingabe[[#This Row],[S2]],Eingabe[[#This Row],[S3]]),""),""),"")</f>
        <v>118</v>
      </c>
      <c r="AS374" s="23">
        <f>IFERROR(IF(Eingabe[[#This Row],[Wo]]="H",IF(Eingabe[[#This Row],[S1]]&gt;0,IF(MOD(ROW(Eingabe[[#This Row],[Heimbahn 3]]),2)=1,Eingabe[[#This Row],[S4]],Eingabe[[#This Row],[S1]]),""),""),"")</f>
        <v>121</v>
      </c>
      <c r="AT374" s="23">
        <f>IFERROR(IF(Eingabe[[#This Row],[Wo]]="H",IF(Eingabe[[#This Row],[S1]]&gt;0,IF(MOD(ROW(Eingabe[[#This Row],[Heimbahn 4]]),2)=1,Eingabe[[#This Row],[S3]],Eingabe[[#This Row],[S2]]),""),""),"")</f>
        <v>122</v>
      </c>
      <c r="AU374" s="89">
        <f>IF(Eingabe[[#This Row],[GES]]="","",IF(Eingabe[[#This Row],[Modus]]="L",_xlfn.RANK.EQ(Eingabe[[#This Row],[GES]],AF369:AF374),IF(Eingabe[[#This Row],[Modus]]="P",_xlfn.RANK.EQ(Eingabe[[#This Row],[GES]],AF369:AF374),"")))</f>
        <v>3</v>
      </c>
      <c r="AV374" s="6">
        <f>VLOOKUP(Eingabe[[#This Row],[Name]],AuswertungG[],8,FALSE)</f>
        <v>492</v>
      </c>
      <c r="AZ374" s="6">
        <f>IFERROR(ABS(Eingabe[[#This Row],[GES]]-Eingabe[[#This Row],[GEGGES]]),"")</f>
        <v>7</v>
      </c>
    </row>
    <row r="375" spans="1:52" ht="16.2" hidden="1" thickBot="1" x14ac:dyDescent="0.35">
      <c r="A375" s="440">
        <f t="shared" si="45"/>
        <v>63</v>
      </c>
      <c r="B375" s="55">
        <f t="shared" si="44"/>
        <v>63</v>
      </c>
      <c r="C375" s="35" t="str">
        <f>VLOOKUP($B375,Chronologie[],7,TRUE)</f>
        <v xml:space="preserve">TSV 1848 Flöha </v>
      </c>
      <c r="D375" s="35" t="str">
        <f>VLOOKUP($B375,Chronologie[],8,TRUE)</f>
        <v>Flöha</v>
      </c>
      <c r="E375" s="36" t="str">
        <f>VLOOKUP($B375,Chronologie[],9,TRUE)</f>
        <v>A</v>
      </c>
      <c r="F375" s="35" t="str">
        <f>VLOOKUP($B375,Chronologie[],COLUMN(F376)-2,TRUE)</f>
        <v>D</v>
      </c>
      <c r="G375" s="35" t="str">
        <f>VLOOKUP($B375,Chronologie[],COLUMN(G376)-2,TRUE)</f>
        <v>L</v>
      </c>
      <c r="H375" s="35">
        <f>VLOOKUP($B375,Chronologie[],COLUMN(H376)-2,TRUE)</f>
        <v>7</v>
      </c>
      <c r="I375" s="9" t="str">
        <f>VLOOKUP($B375,Chronologie[],2,TRUE)</f>
        <v>D-L-7</v>
      </c>
      <c r="J375" s="242">
        <f>VLOOKUP($B375,Chronologie[],3,TRUE)</f>
        <v>46039</v>
      </c>
      <c r="K375" s="236" t="s">
        <v>470</v>
      </c>
      <c r="L375" s="334">
        <v>89</v>
      </c>
      <c r="M375" s="334">
        <v>85</v>
      </c>
      <c r="N375" s="334">
        <v>93</v>
      </c>
      <c r="O375" s="334">
        <v>77</v>
      </c>
      <c r="P375" s="334">
        <v>25</v>
      </c>
      <c r="Q375" s="334">
        <v>44</v>
      </c>
      <c r="R375" s="334">
        <v>27</v>
      </c>
      <c r="S375" s="334">
        <v>51</v>
      </c>
      <c r="T375" s="334">
        <v>7</v>
      </c>
      <c r="U375" s="334">
        <v>6</v>
      </c>
      <c r="V375" s="334">
        <v>5</v>
      </c>
      <c r="W375" s="334">
        <v>3</v>
      </c>
      <c r="X375" s="37">
        <v>0.5</v>
      </c>
      <c r="Y375" s="37">
        <v>1</v>
      </c>
      <c r="Z375" s="37">
        <v>0</v>
      </c>
      <c r="AA375" s="37">
        <v>1</v>
      </c>
      <c r="AB375" s="90">
        <v>490</v>
      </c>
      <c r="AC375" s="93">
        <f>IF(Eingabe[[#This Row],[V1]]="",IF(Eingabe[[#This Row],[Volle alternativ]]="","",Eingabe[[#This Row],[Volle alternativ]]),SUM(Eingabe[[#This Row],[V1]:[V4]]))</f>
        <v>344</v>
      </c>
      <c r="AD375" s="35">
        <f>IF(Eingabe[[#This Row],[R1]]="",IF(Eingabe[[#This Row],[Räumer alternativ]]="","",Eingabe[[#This Row],[Räumer alternativ]]),SUM(Eingabe[[#This Row],[R1]:[R4]]))</f>
        <v>147</v>
      </c>
      <c r="AE375" s="35">
        <f>IF(Eingabe[[#This Row],[F1]]="",IF(Eingabe[[#This Row],[Fehler alternativ]]="","",Eingabe[[#This Row],[Fehler alternativ]]),SUM(Eingabe[[#This Row],[F1]:[F4]]))</f>
        <v>21</v>
      </c>
      <c r="AF375" s="35">
        <f>IF(Eingabe[[#This Row],[Volle]]="","",IF(Eingabe[[#This Row],[S1]]="",Eingabe[[#This Row],[Volle]]+Eingabe[[#This Row],[Räumer]],IF(Eingabe[[#This Row],[Volle]]+Eingabe[[#This Row],[Räumer]]=Eingabe[[#This Row],[S1]]+Eingabe[[#This Row],[S2]]+Eingabe[[#This Row],[S3]]+Eingabe[[#This Row],[S4]],Eingabe[[#This Row],[Volle]]+Eingabe[[#This Row],[Räumer]],"FEHLER")))</f>
        <v>491</v>
      </c>
      <c r="AG375" s="35">
        <f>IF(Eingabe[[#This Row],[V1]]="","",Eingabe[[#This Row],[V1]]+Eingabe[[#This Row],[R1]])</f>
        <v>114</v>
      </c>
      <c r="AH375" s="35">
        <f>IF(Eingabe[[#This Row],[V2]]="","",Eingabe[[#This Row],[V2]]+Eingabe[[#This Row],[R2]])</f>
        <v>129</v>
      </c>
      <c r="AI375" s="35">
        <f>IF(Eingabe[[#This Row],[V3]]="","",Eingabe[[#This Row],[V3]]+Eingabe[[#This Row],[R3]])</f>
        <v>120</v>
      </c>
      <c r="AJ375" s="35">
        <f>IF(Eingabe[[#This Row],[V4]]="","",Eingabe[[#This Row],[V4]]+Eingabe[[#This Row],[R4]])</f>
        <v>128</v>
      </c>
      <c r="AK375" s="35">
        <f>IF(Eingabe[[#This Row],[S1P]]="","",Eingabe[[#This Row],[S1P]]+Eingabe[[#This Row],[S2P]]+Eingabe[[#This Row],[S3P]]+Eingabe[[#This Row],[S4P]])</f>
        <v>2.5</v>
      </c>
      <c r="AL375" s="35">
        <f>IF(Eingabe[[#This Row],[S1P]]="","",IF(Eingabe[[#This Row],[SP]]&gt;2,1,IF(Eingabe[[#This Row],[SP]]&lt;2,0,IF(Eingabe[[#This Row],[GES]]&gt;Eingabe[[#This Row],[GEGGES]],1,IF(Eingabe[[#This Row],[GES]]=Eingabe[[#This Row],[GEGGES]],0.5,0)))))</f>
        <v>1</v>
      </c>
      <c r="AM375" s="35">
        <f>IF(Eingabe[[#This Row],[MP]]="","",MOD(ROW(Eingabe[[#This Row],[Position]])-3,6)+1)</f>
        <v>1</v>
      </c>
      <c r="AN375" s="35">
        <f>STANDARDIZE(Eingabe[[#This Row],[GES]],Eingabe[[#This Row],[Schnitt]],VLOOKUP(Eingabe[[#This Row],[Name]],AuswertungG[],21,FALSE))</f>
        <v>1.3333333333333333</v>
      </c>
      <c r="AO375" s="35">
        <f>VLOOKUP(Eingabe[[#This Row],[ID]],Chronologie[[ID]:[KW]],12,FALSE)</f>
        <v>21</v>
      </c>
      <c r="AP375" s="58" t="str">
        <f>IF(Eingabe[[#This Row],[Wo]]="H",Eingabe[[#This Row],[Gegner]]&amp;" ["&amp;Eingabe[[#This Row],[Wo]]&amp;"]",Eingabe[[#This Row],[Ort]])</f>
        <v>Flöha</v>
      </c>
      <c r="AQ375" s="35" t="str">
        <f>IFERROR(IF(Eingabe[[#This Row],[Wo]]="H",IF(MOD(Eingabe[[#This Row],[Position]],2)=1,Eingabe[[#This Row],[S1]],Eingabe[[#This Row],[S4]]),""),"")</f>
        <v/>
      </c>
      <c r="AR375" s="35" t="str">
        <f>IFERROR(IF(Eingabe[[#This Row],[Wo]]="H",IF(Eingabe[[#This Row],[S1]]&gt;0,IF(MOD(Eingabe[[#This Row],[Position]],2)=1,Eingabe[[#This Row],[S2]],Eingabe[[#This Row],[S3]]),""),""),"")</f>
        <v/>
      </c>
      <c r="AS375" s="35" t="str">
        <f>IFERROR(IF(Eingabe[[#This Row],[Wo]]="H",IF(Eingabe[[#This Row],[S1]]&gt;0,IF(MOD(ROW(Eingabe[[#This Row],[Heimbahn 3]]),2)=1,Eingabe[[#This Row],[S4]],Eingabe[[#This Row],[S1]]),""),""),"")</f>
        <v/>
      </c>
      <c r="AT375" s="35" t="str">
        <f>IFERROR(IF(Eingabe[[#This Row],[Wo]]="H",IF(Eingabe[[#This Row],[S1]]&gt;0,IF(MOD(ROW(Eingabe[[#This Row],[Heimbahn 4]]),2)=1,Eingabe[[#This Row],[S3]],Eingabe[[#This Row],[S2]]),""),""),"")</f>
        <v/>
      </c>
      <c r="AU375" s="88">
        <f>IF(Eingabe[[#This Row],[GES]]="","",IF(Eingabe[[#This Row],[Modus]]="L",_xlfn.RANK.EQ(Eingabe[[#This Row],[GES]],AF375:AF380),IF(Eingabe[[#This Row],[Modus]]="P",_xlfn.RANK.EQ(Eingabe[[#This Row],[GES]],AF375:AF380),"")))</f>
        <v>5</v>
      </c>
      <c r="AV375" s="6">
        <f>VLOOKUP(Eingabe[[#This Row],[Name]],AuswertungG[],8,FALSE)</f>
        <v>471</v>
      </c>
      <c r="AZ375" s="6">
        <f>IFERROR(ABS(Eingabe[[#This Row],[GES]]-Eingabe[[#This Row],[GEGGES]]),"")</f>
        <v>1</v>
      </c>
    </row>
    <row r="376" spans="1:52" ht="16.2" hidden="1" thickBot="1" x14ac:dyDescent="0.35">
      <c r="A376" s="441"/>
      <c r="B376" s="21">
        <f t="shared" si="44"/>
        <v>63</v>
      </c>
      <c r="C376" s="6" t="str">
        <f>VLOOKUP($B376,Chronologie[],7,TRUE)</f>
        <v xml:space="preserve">TSV 1848 Flöha </v>
      </c>
      <c r="D376" s="6" t="str">
        <f>VLOOKUP($B376,Chronologie[],8,TRUE)</f>
        <v>Flöha</v>
      </c>
      <c r="E376" s="240" t="str">
        <f>VLOOKUP($B376,Chronologie[],9,TRUE)</f>
        <v>A</v>
      </c>
      <c r="F376" s="6" t="str">
        <f>VLOOKUP($B376,Chronologie[],COLUMN(F377)-2,TRUE)</f>
        <v>D</v>
      </c>
      <c r="G376" s="6" t="str">
        <f>VLOOKUP($B376,Chronologie[],COLUMN(G377)-2,TRUE)</f>
        <v>L</v>
      </c>
      <c r="H376" s="6">
        <f>VLOOKUP($B376,Chronologie[],COLUMN(H377)-2,TRUE)</f>
        <v>7</v>
      </c>
      <c r="I376" s="10" t="str">
        <f>VLOOKUP($B376,Chronologie[],2,TRUE)</f>
        <v>D-L-7</v>
      </c>
      <c r="J376" s="243">
        <f>VLOOKUP($B376,Chronologie[],3,TRUE)</f>
        <v>46039</v>
      </c>
      <c r="K376" s="237" t="s">
        <v>467</v>
      </c>
      <c r="L376" s="237">
        <v>95</v>
      </c>
      <c r="M376" s="237">
        <v>96</v>
      </c>
      <c r="N376" s="237">
        <v>83</v>
      </c>
      <c r="O376" s="237">
        <v>94</v>
      </c>
      <c r="P376" s="237">
        <v>27</v>
      </c>
      <c r="Q376" s="237">
        <v>35</v>
      </c>
      <c r="R376" s="237">
        <v>43</v>
      </c>
      <c r="S376" s="237">
        <v>34</v>
      </c>
      <c r="T376" s="237">
        <v>4</v>
      </c>
      <c r="U376" s="237">
        <v>5</v>
      </c>
      <c r="V376" s="237">
        <v>2</v>
      </c>
      <c r="W376" s="237">
        <v>5</v>
      </c>
      <c r="X376" s="38">
        <v>1</v>
      </c>
      <c r="Y376" s="38">
        <v>0</v>
      </c>
      <c r="Z376" s="38">
        <v>1</v>
      </c>
      <c r="AA376" s="38">
        <v>1</v>
      </c>
      <c r="AB376" s="91">
        <v>503</v>
      </c>
      <c r="AC376" s="94">
        <f>IF(Eingabe[[#This Row],[V1]]="",IF(Eingabe[[#This Row],[Volle alternativ]]="","",Eingabe[[#This Row],[Volle alternativ]]),SUM(Eingabe[[#This Row],[V1]:[V4]]))</f>
        <v>368</v>
      </c>
      <c r="AD376" s="6">
        <f>IF(Eingabe[[#This Row],[R1]]="",IF(Eingabe[[#This Row],[Räumer alternativ]]="","",Eingabe[[#This Row],[Räumer alternativ]]),SUM(Eingabe[[#This Row],[R1]:[R4]]))</f>
        <v>139</v>
      </c>
      <c r="AE376" s="6">
        <f>IF(Eingabe[[#This Row],[F1]]="",IF(Eingabe[[#This Row],[Fehler alternativ]]="","",Eingabe[[#This Row],[Fehler alternativ]]),SUM(Eingabe[[#This Row],[F1]:[F4]]))</f>
        <v>16</v>
      </c>
      <c r="AF376" s="6">
        <f>IF(Eingabe[[#This Row],[Volle]]="","",IF(Eingabe[[#This Row],[S1]]="",Eingabe[[#This Row],[Volle]]+Eingabe[[#This Row],[Räumer]],IF(Eingabe[[#This Row],[Volle]]+Eingabe[[#This Row],[Räumer]]=Eingabe[[#This Row],[S1]]+Eingabe[[#This Row],[S2]]+Eingabe[[#This Row],[S3]]+Eingabe[[#This Row],[S4]],Eingabe[[#This Row],[Volle]]+Eingabe[[#This Row],[Räumer]],"FEHLER")))</f>
        <v>507</v>
      </c>
      <c r="AG376" s="6">
        <f>IF(Eingabe[[#This Row],[V1]]="","",Eingabe[[#This Row],[V1]]+Eingabe[[#This Row],[R1]])</f>
        <v>122</v>
      </c>
      <c r="AH376" s="6">
        <f>IF(Eingabe[[#This Row],[V2]]="","",Eingabe[[#This Row],[V2]]+Eingabe[[#This Row],[R2]])</f>
        <v>131</v>
      </c>
      <c r="AI376" s="6">
        <f>IF(Eingabe[[#This Row],[V3]]="","",Eingabe[[#This Row],[V3]]+Eingabe[[#This Row],[R3]])</f>
        <v>126</v>
      </c>
      <c r="AJ376" s="6">
        <f>IF(Eingabe[[#This Row],[V4]]="","",Eingabe[[#This Row],[V4]]+Eingabe[[#This Row],[R4]])</f>
        <v>128</v>
      </c>
      <c r="AK376" s="6">
        <f>IF(Eingabe[[#This Row],[S1P]]="","",Eingabe[[#This Row],[S1P]]+Eingabe[[#This Row],[S2P]]+Eingabe[[#This Row],[S3P]]+Eingabe[[#This Row],[S4P]])</f>
        <v>3</v>
      </c>
      <c r="AL376" s="6">
        <f>IF(Eingabe[[#This Row],[S1P]]="","",IF(Eingabe[[#This Row],[SP]]&gt;2,1,IF(Eingabe[[#This Row],[SP]]&lt;2,0,IF(Eingabe[[#This Row],[GES]]&gt;Eingabe[[#This Row],[GEGGES]],1,IF(Eingabe[[#This Row],[GES]]=Eingabe[[#This Row],[GEGGES]],0.5,0)))))</f>
        <v>1</v>
      </c>
      <c r="AM376" s="6">
        <f>IF(Eingabe[[#This Row],[MP]]="","",MOD(ROW(Eingabe[[#This Row],[Position]])-3,6)+1)</f>
        <v>2</v>
      </c>
      <c r="AN376" s="6">
        <f>STANDARDIZE(Eingabe[[#This Row],[GES]],Eingabe[[#This Row],[Schnitt]],VLOOKUP(Eingabe[[#This Row],[Name]],AuswertungG[],21,FALSE))</f>
        <v>0.25714285714285712</v>
      </c>
      <c r="AO376" s="6">
        <f>VLOOKUP(Eingabe[[#This Row],[ID]],Chronologie[[ID]:[KW]],12,FALSE)</f>
        <v>21</v>
      </c>
      <c r="AP376" s="95" t="str">
        <f>IF(Eingabe[[#This Row],[Wo]]="H",Eingabe[[#This Row],[Gegner]]&amp;" ["&amp;Eingabe[[#This Row],[Wo]]&amp;"]",Eingabe[[#This Row],[Ort]])</f>
        <v>Flöha</v>
      </c>
      <c r="AQ376" s="6" t="str">
        <f>IFERROR(IF(Eingabe[[#This Row],[Wo]]="H",IF(MOD(Eingabe[[#This Row],[Position]],2)=1,Eingabe[[#This Row],[S1]],Eingabe[[#This Row],[S4]]),""),"")</f>
        <v/>
      </c>
      <c r="AR376" s="6" t="str">
        <f>IFERROR(IF(Eingabe[[#This Row],[Wo]]="H",IF(Eingabe[[#This Row],[S1]]&gt;0,IF(MOD(Eingabe[[#This Row],[Position]],2)=1,Eingabe[[#This Row],[S2]],Eingabe[[#This Row],[S3]]),""),""),"")</f>
        <v/>
      </c>
      <c r="AS376" s="6" t="str">
        <f>IFERROR(IF(Eingabe[[#This Row],[Wo]]="H",IF(Eingabe[[#This Row],[S1]]&gt;0,IF(MOD(ROW(Eingabe[[#This Row],[Heimbahn 3]]),2)=1,Eingabe[[#This Row],[S4]],Eingabe[[#This Row],[S1]]),""),""),"")</f>
        <v/>
      </c>
      <c r="AT376" s="6" t="str">
        <f>IFERROR(IF(Eingabe[[#This Row],[Wo]]="H",IF(Eingabe[[#This Row],[S1]]&gt;0,IF(MOD(ROW(Eingabe[[#This Row],[Heimbahn 4]]),2)=1,Eingabe[[#This Row],[S3]],Eingabe[[#This Row],[S2]]),""),""),"")</f>
        <v/>
      </c>
      <c r="AU376" s="22">
        <f>IF(Eingabe[[#This Row],[GES]]="","",IF(Eingabe[[#This Row],[Modus]]="L",_xlfn.RANK.EQ(Eingabe[[#This Row],[GES]],AF375:AF380),IF(Eingabe[[#This Row],[Modus]]="P",_xlfn.RANK.EQ(Eingabe[[#This Row],[GES]],AF375:AF380),"")))</f>
        <v>4</v>
      </c>
      <c r="AV376" s="6">
        <f>VLOOKUP(Eingabe[[#This Row],[Name]],AuswertungG[],8,FALSE)</f>
        <v>498</v>
      </c>
      <c r="AZ376" s="6">
        <f>IFERROR(ABS(Eingabe[[#This Row],[GES]]-Eingabe[[#This Row],[GEGGES]]),"")</f>
        <v>4</v>
      </c>
    </row>
    <row r="377" spans="1:52" ht="16.2" hidden="1" thickBot="1" x14ac:dyDescent="0.35">
      <c r="A377" s="441"/>
      <c r="B377" s="21">
        <f t="shared" si="44"/>
        <v>63</v>
      </c>
      <c r="C377" s="6" t="str">
        <f>VLOOKUP($B377,Chronologie[],7,TRUE)</f>
        <v xml:space="preserve">TSV 1848 Flöha </v>
      </c>
      <c r="D377" s="6" t="str">
        <f>VLOOKUP($B377,Chronologie[],8,TRUE)</f>
        <v>Flöha</v>
      </c>
      <c r="E377" s="240" t="str">
        <f>VLOOKUP($B377,Chronologie[],9,TRUE)</f>
        <v>A</v>
      </c>
      <c r="F377" s="6" t="str">
        <f>VLOOKUP($B377,Chronologie[],COLUMN(F378)-2,TRUE)</f>
        <v>D</v>
      </c>
      <c r="G377" s="6" t="str">
        <f>VLOOKUP($B377,Chronologie[],COLUMN(G378)-2,TRUE)</f>
        <v>L</v>
      </c>
      <c r="H377" s="6">
        <f>VLOOKUP($B377,Chronologie[],COLUMN(H378)-2,TRUE)</f>
        <v>7</v>
      </c>
      <c r="I377" s="10" t="str">
        <f>VLOOKUP($B377,Chronologie[],2,TRUE)</f>
        <v>D-L-7</v>
      </c>
      <c r="J377" s="243">
        <f>VLOOKUP($B377,Chronologie[],3,TRUE)</f>
        <v>46039</v>
      </c>
      <c r="K377" s="237" t="s">
        <v>736</v>
      </c>
      <c r="L377" s="237">
        <v>83</v>
      </c>
      <c r="M377" s="237">
        <v>86</v>
      </c>
      <c r="N377" s="237">
        <v>77</v>
      </c>
      <c r="O377" s="237">
        <v>93</v>
      </c>
      <c r="P377" s="237">
        <v>35</v>
      </c>
      <c r="Q377" s="237">
        <v>27</v>
      </c>
      <c r="R377" s="237">
        <v>61</v>
      </c>
      <c r="S377" s="237">
        <v>50</v>
      </c>
      <c r="T377" s="237">
        <v>3</v>
      </c>
      <c r="U377" s="237">
        <v>3</v>
      </c>
      <c r="V377" s="237">
        <v>1</v>
      </c>
      <c r="W377" s="237">
        <v>1</v>
      </c>
      <c r="X377" s="38">
        <v>0</v>
      </c>
      <c r="Y377" s="38">
        <v>0</v>
      </c>
      <c r="Z377" s="38">
        <v>1</v>
      </c>
      <c r="AA377" s="38">
        <v>0</v>
      </c>
      <c r="AB377" s="91">
        <v>535</v>
      </c>
      <c r="AC377" s="94">
        <f>IF(Eingabe[[#This Row],[V1]]="",IF(Eingabe[[#This Row],[Volle alternativ]]="","",Eingabe[[#This Row],[Volle alternativ]]),SUM(Eingabe[[#This Row],[V1]:[V4]]))</f>
        <v>339</v>
      </c>
      <c r="AD377" s="6">
        <f>IF(Eingabe[[#This Row],[R1]]="",IF(Eingabe[[#This Row],[Räumer alternativ]]="","",Eingabe[[#This Row],[Räumer alternativ]]),SUM(Eingabe[[#This Row],[R1]:[R4]]))</f>
        <v>173</v>
      </c>
      <c r="AE377" s="6">
        <f>IF(Eingabe[[#This Row],[F1]]="",IF(Eingabe[[#This Row],[Fehler alternativ]]="","",Eingabe[[#This Row],[Fehler alternativ]]),SUM(Eingabe[[#This Row],[F1]:[F4]]))</f>
        <v>8</v>
      </c>
      <c r="AF377" s="6">
        <f>IF(Eingabe[[#This Row],[Volle]]="","",IF(Eingabe[[#This Row],[S1]]="",Eingabe[[#This Row],[Volle]]+Eingabe[[#This Row],[Räumer]],IF(Eingabe[[#This Row],[Volle]]+Eingabe[[#This Row],[Räumer]]=Eingabe[[#This Row],[S1]]+Eingabe[[#This Row],[S2]]+Eingabe[[#This Row],[S3]]+Eingabe[[#This Row],[S4]],Eingabe[[#This Row],[Volle]]+Eingabe[[#This Row],[Räumer]],"FEHLER")))</f>
        <v>512</v>
      </c>
      <c r="AG377" s="6">
        <f>IF(Eingabe[[#This Row],[V1]]="","",Eingabe[[#This Row],[V1]]+Eingabe[[#This Row],[R1]])</f>
        <v>118</v>
      </c>
      <c r="AH377" s="6">
        <f>IF(Eingabe[[#This Row],[V2]]="","",Eingabe[[#This Row],[V2]]+Eingabe[[#This Row],[R2]])</f>
        <v>113</v>
      </c>
      <c r="AI377" s="6">
        <f>IF(Eingabe[[#This Row],[V3]]="","",Eingabe[[#This Row],[V3]]+Eingabe[[#This Row],[R3]])</f>
        <v>138</v>
      </c>
      <c r="AJ377" s="6">
        <f>IF(Eingabe[[#This Row],[V4]]="","",Eingabe[[#This Row],[V4]]+Eingabe[[#This Row],[R4]])</f>
        <v>143</v>
      </c>
      <c r="AK377" s="6">
        <f>IF(Eingabe[[#This Row],[S1P]]="","",Eingabe[[#This Row],[S1P]]+Eingabe[[#This Row],[S2P]]+Eingabe[[#This Row],[S3P]]+Eingabe[[#This Row],[S4P]])</f>
        <v>1</v>
      </c>
      <c r="AL377" s="6">
        <f>IF(Eingabe[[#This Row],[S1P]]="","",IF(Eingabe[[#This Row],[SP]]&gt;2,1,IF(Eingabe[[#This Row],[SP]]&lt;2,0,IF(Eingabe[[#This Row],[GES]]&gt;Eingabe[[#This Row],[GEGGES]],1,IF(Eingabe[[#This Row],[GES]]=Eingabe[[#This Row],[GEGGES]],0.5,0)))))</f>
        <v>0</v>
      </c>
      <c r="AM377" s="6">
        <f>IF(Eingabe[[#This Row],[MP]]="","",MOD(ROW(Eingabe[[#This Row],[Position]])-3,6)+1)</f>
        <v>3</v>
      </c>
      <c r="AN377" s="6">
        <f>STANDARDIZE(Eingabe[[#This Row],[GES]],Eingabe[[#This Row],[Schnitt]],VLOOKUP(Eingabe[[#This Row],[Name]],AuswertungG[],21,FALSE))</f>
        <v>-0.21052631578947367</v>
      </c>
      <c r="AO377" s="6">
        <f>VLOOKUP(Eingabe[[#This Row],[ID]],Chronologie[[ID]:[KW]],12,FALSE)</f>
        <v>21</v>
      </c>
      <c r="AP377" s="95" t="str">
        <f>IF(Eingabe[[#This Row],[Wo]]="H",Eingabe[[#This Row],[Gegner]]&amp;" ["&amp;Eingabe[[#This Row],[Wo]]&amp;"]",Eingabe[[#This Row],[Ort]])</f>
        <v>Flöha</v>
      </c>
      <c r="AQ377" s="6" t="str">
        <f>IFERROR(IF(Eingabe[[#This Row],[Wo]]="H",IF(MOD(Eingabe[[#This Row],[Position]],2)=1,Eingabe[[#This Row],[S1]],Eingabe[[#This Row],[S4]]),""),"")</f>
        <v/>
      </c>
      <c r="AR377" s="6" t="str">
        <f>IFERROR(IF(Eingabe[[#This Row],[Wo]]="H",IF(Eingabe[[#This Row],[S1]]&gt;0,IF(MOD(Eingabe[[#This Row],[Position]],2)=1,Eingabe[[#This Row],[S2]],Eingabe[[#This Row],[S3]]),""),""),"")</f>
        <v/>
      </c>
      <c r="AS377" s="6" t="str">
        <f>IFERROR(IF(Eingabe[[#This Row],[Wo]]="H",IF(Eingabe[[#This Row],[S1]]&gt;0,IF(MOD(ROW(Eingabe[[#This Row],[Heimbahn 3]]),2)=1,Eingabe[[#This Row],[S4]],Eingabe[[#This Row],[S1]]),""),""),"")</f>
        <v/>
      </c>
      <c r="AT377" s="6" t="str">
        <f>IFERROR(IF(Eingabe[[#This Row],[Wo]]="H",IF(Eingabe[[#This Row],[S1]]&gt;0,IF(MOD(ROW(Eingabe[[#This Row],[Heimbahn 4]]),2)=1,Eingabe[[#This Row],[S3]],Eingabe[[#This Row],[S2]]),""),""),"")</f>
        <v/>
      </c>
      <c r="AU377" s="22">
        <f>IF(Eingabe[[#This Row],[GES]]="","",IF(Eingabe[[#This Row],[Modus]]="L",_xlfn.RANK.EQ(Eingabe[[#This Row],[GES]],AF375:AF380),IF(Eingabe[[#This Row],[Modus]]="P",_xlfn.RANK.EQ(Eingabe[[#This Row],[GES]],AF375:AF380),"")))</f>
        <v>3</v>
      </c>
      <c r="AV377" s="6">
        <f>VLOOKUP(Eingabe[[#This Row],[Name]],AuswertungG[],8,FALSE)</f>
        <v>516</v>
      </c>
      <c r="AZ377" s="6">
        <f>IFERROR(ABS(Eingabe[[#This Row],[GES]]-Eingabe[[#This Row],[GEGGES]]),"")</f>
        <v>23</v>
      </c>
    </row>
    <row r="378" spans="1:52" ht="16.2" hidden="1" thickBot="1" x14ac:dyDescent="0.35">
      <c r="A378" s="441"/>
      <c r="B378" s="21">
        <f t="shared" si="44"/>
        <v>63</v>
      </c>
      <c r="C378" s="6" t="str">
        <f>VLOOKUP($B378,Chronologie[],7,TRUE)</f>
        <v xml:space="preserve">TSV 1848 Flöha </v>
      </c>
      <c r="D378" s="6" t="str">
        <f>VLOOKUP($B378,Chronologie[],8,TRUE)</f>
        <v>Flöha</v>
      </c>
      <c r="E378" s="240" t="str">
        <f>VLOOKUP($B378,Chronologie[],9,TRUE)</f>
        <v>A</v>
      </c>
      <c r="F378" s="6" t="str">
        <f>VLOOKUP($B378,Chronologie[],COLUMN(F379)-2,TRUE)</f>
        <v>D</v>
      </c>
      <c r="G378" s="6" t="str">
        <f>VLOOKUP($B378,Chronologie[],COLUMN(G379)-2,TRUE)</f>
        <v>L</v>
      </c>
      <c r="H378" s="6">
        <f>VLOOKUP($B378,Chronologie[],COLUMN(H379)-2,TRUE)</f>
        <v>7</v>
      </c>
      <c r="I378" s="10" t="str">
        <f>VLOOKUP($B378,Chronologie[],2,TRUE)</f>
        <v>D-L-7</v>
      </c>
      <c r="J378" s="243">
        <f>VLOOKUP($B378,Chronologie[],3,TRUE)</f>
        <v>46039</v>
      </c>
      <c r="K378" s="238"/>
      <c r="L378" s="237">
        <v>76</v>
      </c>
      <c r="M378" s="237">
        <v>77</v>
      </c>
      <c r="N378" s="237">
        <v>68</v>
      </c>
      <c r="O378" s="237">
        <v>85</v>
      </c>
      <c r="P378" s="237">
        <v>15</v>
      </c>
      <c r="Q378" s="237">
        <v>31</v>
      </c>
      <c r="R378" s="237">
        <v>43</v>
      </c>
      <c r="S378" s="237">
        <v>57</v>
      </c>
      <c r="T378" s="237">
        <v>11</v>
      </c>
      <c r="U378" s="237">
        <v>3</v>
      </c>
      <c r="V378" s="237">
        <v>3</v>
      </c>
      <c r="W378" s="237">
        <v>0</v>
      </c>
      <c r="X378" s="38">
        <v>0</v>
      </c>
      <c r="Y378" s="38">
        <v>1</v>
      </c>
      <c r="Z378" s="38">
        <v>0</v>
      </c>
      <c r="AA378" s="38">
        <v>1</v>
      </c>
      <c r="AB378" s="91">
        <v>481</v>
      </c>
      <c r="AC378" s="94">
        <f>IF(Eingabe[[#This Row],[V1]]="",IF(Eingabe[[#This Row],[Volle alternativ]]="","",Eingabe[[#This Row],[Volle alternativ]]),SUM(Eingabe[[#This Row],[V1]:[V4]]))</f>
        <v>306</v>
      </c>
      <c r="AD378" s="6">
        <f>IF(Eingabe[[#This Row],[R1]]="",IF(Eingabe[[#This Row],[Räumer alternativ]]="","",Eingabe[[#This Row],[Räumer alternativ]]),SUM(Eingabe[[#This Row],[R1]:[R4]]))</f>
        <v>146</v>
      </c>
      <c r="AE378" s="6">
        <f>IF(Eingabe[[#This Row],[F1]]="",IF(Eingabe[[#This Row],[Fehler alternativ]]="","",Eingabe[[#This Row],[Fehler alternativ]]),SUM(Eingabe[[#This Row],[F1]:[F4]]))</f>
        <v>17</v>
      </c>
      <c r="AF378" s="6">
        <f>IF(Eingabe[[#This Row],[Volle]]="","",IF(Eingabe[[#This Row],[S1]]="",Eingabe[[#This Row],[Volle]]+Eingabe[[#This Row],[Räumer]],IF(Eingabe[[#This Row],[Volle]]+Eingabe[[#This Row],[Räumer]]=Eingabe[[#This Row],[S1]]+Eingabe[[#This Row],[S2]]+Eingabe[[#This Row],[S3]]+Eingabe[[#This Row],[S4]],Eingabe[[#This Row],[Volle]]+Eingabe[[#This Row],[Räumer]],"FEHLER")))</f>
        <v>452</v>
      </c>
      <c r="AG378" s="6">
        <f>IF(Eingabe[[#This Row],[V1]]="","",Eingabe[[#This Row],[V1]]+Eingabe[[#This Row],[R1]])</f>
        <v>91</v>
      </c>
      <c r="AH378" s="6">
        <f>IF(Eingabe[[#This Row],[V2]]="","",Eingabe[[#This Row],[V2]]+Eingabe[[#This Row],[R2]])</f>
        <v>108</v>
      </c>
      <c r="AI378" s="6">
        <f>IF(Eingabe[[#This Row],[V3]]="","",Eingabe[[#This Row],[V3]]+Eingabe[[#This Row],[R3]])</f>
        <v>111</v>
      </c>
      <c r="AJ378" s="6">
        <f>IF(Eingabe[[#This Row],[V4]]="","",Eingabe[[#This Row],[V4]]+Eingabe[[#This Row],[R4]])</f>
        <v>142</v>
      </c>
      <c r="AK378" s="6">
        <f>IF(Eingabe[[#This Row],[S1P]]="","",Eingabe[[#This Row],[S1P]]+Eingabe[[#This Row],[S2P]]+Eingabe[[#This Row],[S3P]]+Eingabe[[#This Row],[S4P]])</f>
        <v>2</v>
      </c>
      <c r="AL378" s="6">
        <f>IF(Eingabe[[#This Row],[S1P]]="","",IF(Eingabe[[#This Row],[SP]]&gt;2,1,IF(Eingabe[[#This Row],[SP]]&lt;2,0,IF(Eingabe[[#This Row],[GES]]&gt;Eingabe[[#This Row],[GEGGES]],1,IF(Eingabe[[#This Row],[GES]]=Eingabe[[#This Row],[GEGGES]],0.5,0)))))</f>
        <v>0</v>
      </c>
      <c r="AM378" s="6">
        <f>IF(Eingabe[[#This Row],[MP]]="","",MOD(ROW(Eingabe[[#This Row],[Position]])-3,6)+1)</f>
        <v>4</v>
      </c>
      <c r="AN378" s="6" t="e">
        <f>STANDARDIZE(Eingabe[[#This Row],[GES]],Eingabe[[#This Row],[Schnitt]],VLOOKUP(Eingabe[[#This Row],[Name]],AuswertungG[],21,FALSE))</f>
        <v>#N/A</v>
      </c>
      <c r="AO378" s="6">
        <f>VLOOKUP(Eingabe[[#This Row],[ID]],Chronologie[[ID]:[KW]],12,FALSE)</f>
        <v>21</v>
      </c>
      <c r="AP378" s="95" t="str">
        <f>IF(Eingabe[[#This Row],[Wo]]="H",Eingabe[[#This Row],[Gegner]]&amp;" ["&amp;Eingabe[[#This Row],[Wo]]&amp;"]",Eingabe[[#This Row],[Ort]])</f>
        <v>Flöha</v>
      </c>
      <c r="AQ378" s="6" t="str">
        <f>IFERROR(IF(Eingabe[[#This Row],[Wo]]="H",IF(MOD(Eingabe[[#This Row],[Position]],2)=1,Eingabe[[#This Row],[S1]],Eingabe[[#This Row],[S4]]),""),"")</f>
        <v/>
      </c>
      <c r="AR378" s="6" t="str">
        <f>IFERROR(IF(Eingabe[[#This Row],[Wo]]="H",IF(Eingabe[[#This Row],[S1]]&gt;0,IF(MOD(Eingabe[[#This Row],[Position]],2)=1,Eingabe[[#This Row],[S2]],Eingabe[[#This Row],[S3]]),""),""),"")</f>
        <v/>
      </c>
      <c r="AS378" s="6" t="str">
        <f>IFERROR(IF(Eingabe[[#This Row],[Wo]]="H",IF(Eingabe[[#This Row],[S1]]&gt;0,IF(MOD(ROW(Eingabe[[#This Row],[Heimbahn 3]]),2)=1,Eingabe[[#This Row],[S4]],Eingabe[[#This Row],[S1]]),""),""),"")</f>
        <v/>
      </c>
      <c r="AT378" s="6" t="str">
        <f>IFERROR(IF(Eingabe[[#This Row],[Wo]]="H",IF(Eingabe[[#This Row],[S1]]&gt;0,IF(MOD(ROW(Eingabe[[#This Row],[Heimbahn 4]]),2)=1,Eingabe[[#This Row],[S3]],Eingabe[[#This Row],[S2]]),""),""),"")</f>
        <v/>
      </c>
      <c r="AU378" s="22">
        <f>IF(Eingabe[[#This Row],[GES]]="","",IF(Eingabe[[#This Row],[Modus]]="L",_xlfn.RANK.EQ(Eingabe[[#This Row],[GES]],AF375:AF380),IF(Eingabe[[#This Row],[Modus]]="P",_xlfn.RANK.EQ(Eingabe[[#This Row],[GES]],AF375:AF380),"")))</f>
        <v>6</v>
      </c>
      <c r="AV378" s="6" t="e">
        <f>VLOOKUP(Eingabe[[#This Row],[Name]],AuswertungG[],8,FALSE)</f>
        <v>#N/A</v>
      </c>
      <c r="AZ378" s="6">
        <f>IFERROR(ABS(Eingabe[[#This Row],[GES]]-Eingabe[[#This Row],[GEGGES]]),"")</f>
        <v>29</v>
      </c>
    </row>
    <row r="379" spans="1:52" ht="16.2" hidden="1" thickBot="1" x14ac:dyDescent="0.35">
      <c r="A379" s="441"/>
      <c r="B379" s="21">
        <f t="shared" si="44"/>
        <v>63</v>
      </c>
      <c r="C379" s="6" t="str">
        <f>VLOOKUP($B379,Chronologie[],7,TRUE)</f>
        <v xml:space="preserve">TSV 1848 Flöha </v>
      </c>
      <c r="D379" s="6" t="str">
        <f>VLOOKUP($B379,Chronologie[],8,TRUE)</f>
        <v>Flöha</v>
      </c>
      <c r="E379" s="240" t="str">
        <f>VLOOKUP($B379,Chronologie[],9,TRUE)</f>
        <v>A</v>
      </c>
      <c r="F379" s="6" t="str">
        <f>VLOOKUP($B379,Chronologie[],COLUMN(F380)-2,TRUE)</f>
        <v>D</v>
      </c>
      <c r="G379" s="6" t="str">
        <f>VLOOKUP($B379,Chronologie[],COLUMN(G380)-2,TRUE)</f>
        <v>L</v>
      </c>
      <c r="H379" s="6">
        <f>VLOOKUP($B379,Chronologie[],COLUMN(H380)-2,TRUE)</f>
        <v>7</v>
      </c>
      <c r="I379" s="10" t="str">
        <f>VLOOKUP($B379,Chronologie[],2,TRUE)</f>
        <v>D-L-7</v>
      </c>
      <c r="J379" s="243">
        <f>VLOOKUP($B379,Chronologie[],3,TRUE)</f>
        <v>46039</v>
      </c>
      <c r="K379" s="237" t="s">
        <v>488</v>
      </c>
      <c r="L379" s="237">
        <v>86</v>
      </c>
      <c r="M379" s="237">
        <v>88</v>
      </c>
      <c r="N379" s="237">
        <v>92</v>
      </c>
      <c r="O379" s="237">
        <v>99</v>
      </c>
      <c r="P379" s="237">
        <v>36</v>
      </c>
      <c r="Q379" s="237">
        <v>44</v>
      </c>
      <c r="R379" s="237">
        <v>42</v>
      </c>
      <c r="S379" s="237">
        <v>26</v>
      </c>
      <c r="T379" s="237">
        <v>2</v>
      </c>
      <c r="U379" s="237">
        <v>3</v>
      </c>
      <c r="V379" s="237">
        <v>2</v>
      </c>
      <c r="W379" s="237">
        <v>2</v>
      </c>
      <c r="X379" s="38">
        <v>0</v>
      </c>
      <c r="Y379" s="38">
        <v>1</v>
      </c>
      <c r="Z379" s="38">
        <v>0</v>
      </c>
      <c r="AA379" s="38">
        <v>0</v>
      </c>
      <c r="AB379" s="91">
        <v>538</v>
      </c>
      <c r="AC379" s="94">
        <f>IF(Eingabe[[#This Row],[V1]]="",IF(Eingabe[[#This Row],[Volle alternativ]]="","",Eingabe[[#This Row],[Volle alternativ]]),SUM(Eingabe[[#This Row],[V1]:[V4]]))</f>
        <v>365</v>
      </c>
      <c r="AD379" s="6">
        <f>IF(Eingabe[[#This Row],[R1]]="",IF(Eingabe[[#This Row],[Räumer alternativ]]="","",Eingabe[[#This Row],[Räumer alternativ]]),SUM(Eingabe[[#This Row],[R1]:[R4]]))</f>
        <v>148</v>
      </c>
      <c r="AE379" s="6">
        <f>IF(Eingabe[[#This Row],[F1]]="",IF(Eingabe[[#This Row],[Fehler alternativ]]="","",Eingabe[[#This Row],[Fehler alternativ]]),SUM(Eingabe[[#This Row],[F1]:[F4]]))</f>
        <v>9</v>
      </c>
      <c r="AF379" s="6">
        <f>IF(Eingabe[[#This Row],[Volle]]="","",IF(Eingabe[[#This Row],[S1]]="",Eingabe[[#This Row],[Volle]]+Eingabe[[#This Row],[Räumer]],IF(Eingabe[[#This Row],[Volle]]+Eingabe[[#This Row],[Räumer]]=Eingabe[[#This Row],[S1]]+Eingabe[[#This Row],[S2]]+Eingabe[[#This Row],[S3]]+Eingabe[[#This Row],[S4]],Eingabe[[#This Row],[Volle]]+Eingabe[[#This Row],[Räumer]],"FEHLER")))</f>
        <v>513</v>
      </c>
      <c r="AG379" s="6">
        <f>IF(Eingabe[[#This Row],[V1]]="","",Eingabe[[#This Row],[V1]]+Eingabe[[#This Row],[R1]])</f>
        <v>122</v>
      </c>
      <c r="AH379" s="6">
        <f>IF(Eingabe[[#This Row],[V2]]="","",Eingabe[[#This Row],[V2]]+Eingabe[[#This Row],[R2]])</f>
        <v>132</v>
      </c>
      <c r="AI379" s="6">
        <f>IF(Eingabe[[#This Row],[V3]]="","",Eingabe[[#This Row],[V3]]+Eingabe[[#This Row],[R3]])</f>
        <v>134</v>
      </c>
      <c r="AJ379" s="6">
        <f>IF(Eingabe[[#This Row],[V4]]="","",Eingabe[[#This Row],[V4]]+Eingabe[[#This Row],[R4]])</f>
        <v>125</v>
      </c>
      <c r="AK379" s="6">
        <f>IF(Eingabe[[#This Row],[S1P]]="","",Eingabe[[#This Row],[S1P]]+Eingabe[[#This Row],[S2P]]+Eingabe[[#This Row],[S3P]]+Eingabe[[#This Row],[S4P]])</f>
        <v>1</v>
      </c>
      <c r="AL379" s="6">
        <f>IF(Eingabe[[#This Row],[S1P]]="","",IF(Eingabe[[#This Row],[SP]]&gt;2,1,IF(Eingabe[[#This Row],[SP]]&lt;2,0,IF(Eingabe[[#This Row],[GES]]&gt;Eingabe[[#This Row],[GEGGES]],1,IF(Eingabe[[#This Row],[GES]]=Eingabe[[#This Row],[GEGGES]],0.5,0)))))</f>
        <v>0</v>
      </c>
      <c r="AM379" s="6">
        <f>IF(Eingabe[[#This Row],[MP]]="","",MOD(ROW(Eingabe[[#This Row],[Position]])-3,6)+1)</f>
        <v>5</v>
      </c>
      <c r="AN379" s="6">
        <f>STANDARDIZE(Eingabe[[#This Row],[GES]],Eingabe[[#This Row],[Schnitt]],VLOOKUP(Eingabe[[#This Row],[Name]],AuswertungG[],21,FALSE))</f>
        <v>1.1666666666666667</v>
      </c>
      <c r="AO379" s="6">
        <f>VLOOKUP(Eingabe[[#This Row],[ID]],Chronologie[[ID]:[KW]],12,FALSE)</f>
        <v>21</v>
      </c>
      <c r="AP379" s="95" t="str">
        <f>IF(Eingabe[[#This Row],[Wo]]="H",Eingabe[[#This Row],[Gegner]]&amp;" ["&amp;Eingabe[[#This Row],[Wo]]&amp;"]",Eingabe[[#This Row],[Ort]])</f>
        <v>Flöha</v>
      </c>
      <c r="AQ379" s="6" t="str">
        <f>IFERROR(IF(Eingabe[[#This Row],[Wo]]="H",IF(MOD(Eingabe[[#This Row],[Position]],2)=1,Eingabe[[#This Row],[S1]],Eingabe[[#This Row],[S4]]),""),"")</f>
        <v/>
      </c>
      <c r="AR379" s="6" t="str">
        <f>IFERROR(IF(Eingabe[[#This Row],[Wo]]="H",IF(Eingabe[[#This Row],[S1]]&gt;0,IF(MOD(Eingabe[[#This Row],[Position]],2)=1,Eingabe[[#This Row],[S2]],Eingabe[[#This Row],[S3]]),""),""),"")</f>
        <v/>
      </c>
      <c r="AS379" s="6" t="str">
        <f>IFERROR(IF(Eingabe[[#This Row],[Wo]]="H",IF(Eingabe[[#This Row],[S1]]&gt;0,IF(MOD(ROW(Eingabe[[#This Row],[Heimbahn 3]]),2)=1,Eingabe[[#This Row],[S4]],Eingabe[[#This Row],[S1]]),""),""),"")</f>
        <v/>
      </c>
      <c r="AT379" s="6" t="str">
        <f>IFERROR(IF(Eingabe[[#This Row],[Wo]]="H",IF(Eingabe[[#This Row],[S1]]&gt;0,IF(MOD(ROW(Eingabe[[#This Row],[Heimbahn 4]]),2)=1,Eingabe[[#This Row],[S3]],Eingabe[[#This Row],[S2]]),""),""),"")</f>
        <v/>
      </c>
      <c r="AU379" s="22">
        <f>IF(Eingabe[[#This Row],[GES]]="","",IF(Eingabe[[#This Row],[Modus]]="L",_xlfn.RANK.EQ(Eingabe[[#This Row],[GES]],AF375:AF380),IF(Eingabe[[#This Row],[Modus]]="P",_xlfn.RANK.EQ(Eingabe[[#This Row],[GES]],AF375:AF380),"")))</f>
        <v>2</v>
      </c>
      <c r="AV379" s="6">
        <f>VLOOKUP(Eingabe[[#This Row],[Name]],AuswertungG[],8,FALSE)</f>
        <v>499</v>
      </c>
      <c r="AZ379" s="6">
        <f>IFERROR(ABS(Eingabe[[#This Row],[GES]]-Eingabe[[#This Row],[GEGGES]]),"")</f>
        <v>25</v>
      </c>
    </row>
    <row r="380" spans="1:52" ht="16.2" hidden="1" thickBot="1" x14ac:dyDescent="0.35">
      <c r="A380" s="442"/>
      <c r="B380" s="56">
        <f t="shared" si="44"/>
        <v>63</v>
      </c>
      <c r="C380" s="23" t="str">
        <f>VLOOKUP($B380,Chronologie[],7,TRUE)</f>
        <v xml:space="preserve">TSV 1848 Flöha </v>
      </c>
      <c r="D380" s="23" t="str">
        <f>VLOOKUP($B380,Chronologie[],8,TRUE)</f>
        <v>Flöha</v>
      </c>
      <c r="E380" s="39" t="str">
        <f>VLOOKUP($B380,Chronologie[],9,TRUE)</f>
        <v>A</v>
      </c>
      <c r="F380" s="23" t="str">
        <f>VLOOKUP($B380,Chronologie[],COLUMN(F381)-2,TRUE)</f>
        <v>D</v>
      </c>
      <c r="G380" s="23" t="str">
        <f>VLOOKUP($B380,Chronologie[],COLUMN(G381)-2,TRUE)</f>
        <v>L</v>
      </c>
      <c r="H380" s="23">
        <f>VLOOKUP($B380,Chronologie[],COLUMN(H381)-2,TRUE)</f>
        <v>7</v>
      </c>
      <c r="I380" s="13" t="str">
        <f>VLOOKUP($B380,Chronologie[],2,TRUE)</f>
        <v>D-L-7</v>
      </c>
      <c r="J380" s="244">
        <f>VLOOKUP($B380,Chronologie[],3,TRUE)</f>
        <v>46039</v>
      </c>
      <c r="K380" s="239" t="s">
        <v>463</v>
      </c>
      <c r="L380" s="239">
        <v>91</v>
      </c>
      <c r="M380" s="239">
        <v>82</v>
      </c>
      <c r="N380" s="239">
        <v>88</v>
      </c>
      <c r="O380" s="239">
        <v>90</v>
      </c>
      <c r="P380" s="239">
        <v>54</v>
      </c>
      <c r="Q380" s="239">
        <v>54</v>
      </c>
      <c r="R380" s="239">
        <v>53</v>
      </c>
      <c r="S380" s="239">
        <v>49</v>
      </c>
      <c r="T380" s="239">
        <v>0</v>
      </c>
      <c r="U380" s="239">
        <v>0</v>
      </c>
      <c r="V380" s="239">
        <v>1</v>
      </c>
      <c r="W380" s="239">
        <v>0</v>
      </c>
      <c r="X380" s="40">
        <v>1</v>
      </c>
      <c r="Y380" s="40">
        <v>1</v>
      </c>
      <c r="Z380" s="40">
        <v>1</v>
      </c>
      <c r="AA380" s="40">
        <v>0.5</v>
      </c>
      <c r="AB380" s="92">
        <v>518</v>
      </c>
      <c r="AC380" s="96">
        <f>IF(Eingabe[[#This Row],[V1]]="",IF(Eingabe[[#This Row],[Volle alternativ]]="","",Eingabe[[#This Row],[Volle alternativ]]),SUM(Eingabe[[#This Row],[V1]:[V4]]))</f>
        <v>351</v>
      </c>
      <c r="AD380" s="23">
        <f>IF(Eingabe[[#This Row],[R1]]="",IF(Eingabe[[#This Row],[Räumer alternativ]]="","",Eingabe[[#This Row],[Räumer alternativ]]),SUM(Eingabe[[#This Row],[R1]:[R4]]))</f>
        <v>210</v>
      </c>
      <c r="AE380" s="23">
        <f>IF(Eingabe[[#This Row],[F1]]="",IF(Eingabe[[#This Row],[Fehler alternativ]]="","",Eingabe[[#This Row],[Fehler alternativ]]),SUM(Eingabe[[#This Row],[F1]:[F4]]))</f>
        <v>1</v>
      </c>
      <c r="AF380" s="23">
        <f>IF(Eingabe[[#This Row],[Volle]]="","",IF(Eingabe[[#This Row],[S1]]="",Eingabe[[#This Row],[Volle]]+Eingabe[[#This Row],[Räumer]],IF(Eingabe[[#This Row],[Volle]]+Eingabe[[#This Row],[Räumer]]=Eingabe[[#This Row],[S1]]+Eingabe[[#This Row],[S2]]+Eingabe[[#This Row],[S3]]+Eingabe[[#This Row],[S4]],Eingabe[[#This Row],[Volle]]+Eingabe[[#This Row],[Räumer]],"FEHLER")))</f>
        <v>561</v>
      </c>
      <c r="AG380" s="23">
        <f>IF(Eingabe[[#This Row],[V1]]="","",Eingabe[[#This Row],[V1]]+Eingabe[[#This Row],[R1]])</f>
        <v>145</v>
      </c>
      <c r="AH380" s="23">
        <f>IF(Eingabe[[#This Row],[V2]]="","",Eingabe[[#This Row],[V2]]+Eingabe[[#This Row],[R2]])</f>
        <v>136</v>
      </c>
      <c r="AI380" s="23">
        <f>IF(Eingabe[[#This Row],[V3]]="","",Eingabe[[#This Row],[V3]]+Eingabe[[#This Row],[R3]])</f>
        <v>141</v>
      </c>
      <c r="AJ380" s="23">
        <f>IF(Eingabe[[#This Row],[V4]]="","",Eingabe[[#This Row],[V4]]+Eingabe[[#This Row],[R4]])</f>
        <v>139</v>
      </c>
      <c r="AK380" s="23">
        <f>IF(Eingabe[[#This Row],[S1P]]="","",Eingabe[[#This Row],[S1P]]+Eingabe[[#This Row],[S2P]]+Eingabe[[#This Row],[S3P]]+Eingabe[[#This Row],[S4P]])</f>
        <v>3.5</v>
      </c>
      <c r="AL380" s="23">
        <f>IF(Eingabe[[#This Row],[S1P]]="","",IF(Eingabe[[#This Row],[SP]]&gt;2,1,IF(Eingabe[[#This Row],[SP]]&lt;2,0,IF(Eingabe[[#This Row],[GES]]&gt;Eingabe[[#This Row],[GEGGES]],1,IF(Eingabe[[#This Row],[GES]]=Eingabe[[#This Row],[GEGGES]],0.5,0)))))</f>
        <v>1</v>
      </c>
      <c r="AM380" s="23">
        <f>IF(Eingabe[[#This Row],[MP]]="","",MOD(ROW(Eingabe[[#This Row],[Position]])-3,6)+1)</f>
        <v>6</v>
      </c>
      <c r="AN380" s="23">
        <f>STANDARDIZE(Eingabe[[#This Row],[GES]],Eingabe[[#This Row],[Schnitt]],VLOOKUP(Eingabe[[#This Row],[Name]],AuswertungG[],21,FALSE))</f>
        <v>1.4838709677419355</v>
      </c>
      <c r="AO380" s="23">
        <f>VLOOKUP(Eingabe[[#This Row],[ID]],Chronologie[[ID]:[KW]],12,FALSE)</f>
        <v>21</v>
      </c>
      <c r="AP380" s="59" t="str">
        <f>IF(Eingabe[[#This Row],[Wo]]="H",Eingabe[[#This Row],[Gegner]]&amp;" ["&amp;Eingabe[[#This Row],[Wo]]&amp;"]",Eingabe[[#This Row],[Ort]])</f>
        <v>Flöha</v>
      </c>
      <c r="AQ380" s="23" t="str">
        <f>IFERROR(IF(Eingabe[[#This Row],[Wo]]="H",IF(MOD(Eingabe[[#This Row],[Position]],2)=1,Eingabe[[#This Row],[S1]],Eingabe[[#This Row],[S4]]),""),"")</f>
        <v/>
      </c>
      <c r="AR380" s="23" t="str">
        <f>IFERROR(IF(Eingabe[[#This Row],[Wo]]="H",IF(Eingabe[[#This Row],[S1]]&gt;0,IF(MOD(Eingabe[[#This Row],[Position]],2)=1,Eingabe[[#This Row],[S2]],Eingabe[[#This Row],[S3]]),""),""),"")</f>
        <v/>
      </c>
      <c r="AS380" s="23" t="str">
        <f>IFERROR(IF(Eingabe[[#This Row],[Wo]]="H",IF(Eingabe[[#This Row],[S1]]&gt;0,IF(MOD(ROW(Eingabe[[#This Row],[Heimbahn 3]]),2)=1,Eingabe[[#This Row],[S4]],Eingabe[[#This Row],[S1]]),""),""),"")</f>
        <v/>
      </c>
      <c r="AT380" s="23" t="str">
        <f>IFERROR(IF(Eingabe[[#This Row],[Wo]]="H",IF(Eingabe[[#This Row],[S1]]&gt;0,IF(MOD(ROW(Eingabe[[#This Row],[Heimbahn 4]]),2)=1,Eingabe[[#This Row],[S3]],Eingabe[[#This Row],[S2]]),""),""),"")</f>
        <v/>
      </c>
      <c r="AU380" s="89">
        <f>IF(Eingabe[[#This Row],[GES]]="","",IF(Eingabe[[#This Row],[Modus]]="L",_xlfn.RANK.EQ(Eingabe[[#This Row],[GES]],AF375:AF380),IF(Eingabe[[#This Row],[Modus]]="P",_xlfn.RANK.EQ(Eingabe[[#This Row],[GES]],AF375:AF380),"")))</f>
        <v>1</v>
      </c>
      <c r="AV380" s="6">
        <f>VLOOKUP(Eingabe[[#This Row],[Name]],AuswertungG[],8,FALSE)</f>
        <v>515</v>
      </c>
      <c r="AZ380" s="6">
        <f>IFERROR(ABS(Eingabe[[#This Row],[GES]]-Eingabe[[#This Row],[GEGGES]]),"")</f>
        <v>43</v>
      </c>
    </row>
    <row r="381" spans="1:52" ht="16.2" hidden="1" thickBot="1" x14ac:dyDescent="0.35">
      <c r="A381" s="440">
        <f t="shared" si="45"/>
        <v>64</v>
      </c>
      <c r="B381" s="55">
        <f t="shared" si="44"/>
        <v>64</v>
      </c>
      <c r="C381" s="35" t="str">
        <f>VLOOKUP($B381,Chronologie[],7,TRUE)</f>
        <v xml:space="preserve">SV Grün-Weiß Niederwiesa </v>
      </c>
      <c r="D381" s="35" t="str">
        <f>VLOOKUP($B381,Chronologie[],8,TRUE)</f>
        <v>Hirschfeld</v>
      </c>
      <c r="E381" s="36" t="str">
        <f>VLOOKUP($B381,Chronologie[],9,TRUE)</f>
        <v>H</v>
      </c>
      <c r="F381" s="35" t="str">
        <f>VLOOKUP($B381,Chronologie[],COLUMN(F382)-2,TRUE)</f>
        <v>D</v>
      </c>
      <c r="G381" s="35" t="str">
        <f>VLOOKUP($B381,Chronologie[],COLUMN(G382)-2,TRUE)</f>
        <v>L</v>
      </c>
      <c r="H381" s="35">
        <f>VLOOKUP($B381,Chronologie[],COLUMN(H382)-2,TRUE)</f>
        <v>8</v>
      </c>
      <c r="I381" s="9" t="str">
        <f>VLOOKUP($B381,Chronologie[],2,TRUE)</f>
        <v>D-L-8</v>
      </c>
      <c r="J381" s="242">
        <f>VLOOKUP($B381,Chronologie[],3,TRUE)</f>
        <v>46082</v>
      </c>
      <c r="K381" s="236"/>
      <c r="L381" s="334"/>
      <c r="M381" s="334"/>
      <c r="N381" s="334"/>
      <c r="O381" s="334"/>
      <c r="P381" s="334"/>
      <c r="Q381" s="334"/>
      <c r="R381" s="334"/>
      <c r="S381" s="334"/>
      <c r="T381" s="334"/>
      <c r="U381" s="334"/>
      <c r="V381" s="334"/>
      <c r="W381" s="334"/>
      <c r="X381" s="37"/>
      <c r="Y381" s="37"/>
      <c r="Z381" s="37"/>
      <c r="AA381" s="37"/>
      <c r="AB381" s="90"/>
      <c r="AC381" s="93" t="str">
        <f>IF(Eingabe[[#This Row],[V1]]="",IF(Eingabe[[#This Row],[Volle alternativ]]="","",Eingabe[[#This Row],[Volle alternativ]]),SUM(Eingabe[[#This Row],[V1]:[V4]]))</f>
        <v/>
      </c>
      <c r="AD381" s="35" t="str">
        <f>IF(Eingabe[[#This Row],[R1]]="",IF(Eingabe[[#This Row],[Räumer alternativ]]="","",Eingabe[[#This Row],[Räumer alternativ]]),SUM(Eingabe[[#This Row],[R1]:[R4]]))</f>
        <v/>
      </c>
      <c r="AE381" s="35" t="str">
        <f>IF(Eingabe[[#This Row],[F1]]="",IF(Eingabe[[#This Row],[Fehler alternativ]]="","",Eingabe[[#This Row],[Fehler alternativ]]),SUM(Eingabe[[#This Row],[F1]:[F4]]))</f>
        <v/>
      </c>
      <c r="AF381" s="35" t="str">
        <f>IF(Eingabe[[#This Row],[Volle]]="","",IF(Eingabe[[#This Row],[S1]]="",Eingabe[[#This Row],[Volle]]+Eingabe[[#This Row],[Räumer]],IF(Eingabe[[#This Row],[Volle]]+Eingabe[[#This Row],[Räumer]]=Eingabe[[#This Row],[S1]]+Eingabe[[#This Row],[S2]]+Eingabe[[#This Row],[S3]]+Eingabe[[#This Row],[S4]],Eingabe[[#This Row],[Volle]]+Eingabe[[#This Row],[Räumer]],"FEHLER")))</f>
        <v/>
      </c>
      <c r="AG381" s="35" t="str">
        <f>IF(Eingabe[[#This Row],[V1]]="","",Eingabe[[#This Row],[V1]]+Eingabe[[#This Row],[R1]])</f>
        <v/>
      </c>
      <c r="AH381" s="35" t="str">
        <f>IF(Eingabe[[#This Row],[V2]]="","",Eingabe[[#This Row],[V2]]+Eingabe[[#This Row],[R2]])</f>
        <v/>
      </c>
      <c r="AI381" s="35" t="str">
        <f>IF(Eingabe[[#This Row],[V3]]="","",Eingabe[[#This Row],[V3]]+Eingabe[[#This Row],[R3]])</f>
        <v/>
      </c>
      <c r="AJ381" s="35" t="str">
        <f>IF(Eingabe[[#This Row],[V4]]="","",Eingabe[[#This Row],[V4]]+Eingabe[[#This Row],[R4]])</f>
        <v/>
      </c>
      <c r="AK381" s="35" t="str">
        <f>IF(Eingabe[[#This Row],[S1P]]="","",Eingabe[[#This Row],[S1P]]+Eingabe[[#This Row],[S2P]]+Eingabe[[#This Row],[S3P]]+Eingabe[[#This Row],[S4P]])</f>
        <v/>
      </c>
      <c r="AL381" s="35" t="str">
        <f>IF(Eingabe[[#This Row],[S1P]]="","",IF(Eingabe[[#This Row],[SP]]&gt;2,1,IF(Eingabe[[#This Row],[SP]]&lt;2,0,IF(Eingabe[[#This Row],[GES]]&gt;Eingabe[[#This Row],[GEGGES]],1,IF(Eingabe[[#This Row],[GES]]=Eingabe[[#This Row],[GEGGES]],0.5,0)))))</f>
        <v/>
      </c>
      <c r="AM381" s="35" t="str">
        <f>IF(Eingabe[[#This Row],[MP]]="","",MOD(ROW(Eingabe[[#This Row],[Position]])-3,6)+1)</f>
        <v/>
      </c>
      <c r="AN381" s="35" t="e">
        <f>STANDARDIZE(Eingabe[[#This Row],[GES]],Eingabe[[#This Row],[Schnitt]],VLOOKUP(Eingabe[[#This Row],[Name]],AuswertungG[],21,FALSE))</f>
        <v>#VALUE!</v>
      </c>
      <c r="AO381" s="35">
        <f>VLOOKUP(Eingabe[[#This Row],[ID]],Chronologie[[ID]:[KW]],12,FALSE)</f>
        <v>27</v>
      </c>
      <c r="AP381" s="58" t="str">
        <f>IF(Eingabe[[#This Row],[Wo]]="H",Eingabe[[#This Row],[Gegner]]&amp;" ["&amp;Eingabe[[#This Row],[Wo]]&amp;"]",Eingabe[[#This Row],[Ort]])</f>
        <v>SV Grün-Weiß Niederwiesa  [H]</v>
      </c>
      <c r="AQ381" s="35" t="str">
        <f>IFERROR(IF(Eingabe[[#This Row],[Wo]]="H",IF(MOD(Eingabe[[#This Row],[Position]],2)=1,Eingabe[[#This Row],[S1]],Eingabe[[#This Row],[S4]]),""),"")</f>
        <v/>
      </c>
      <c r="AR381" s="35" t="str">
        <f>IFERROR(IF(Eingabe[[#This Row],[Wo]]="H",IF(Eingabe[[#This Row],[S1]]&gt;0,IF(MOD(Eingabe[[#This Row],[Position]],2)=1,Eingabe[[#This Row],[S2]],Eingabe[[#This Row],[S3]]),""),""),"")</f>
        <v/>
      </c>
      <c r="AS381" s="35" t="str">
        <f>IFERROR(IF(Eingabe[[#This Row],[Wo]]="H",IF(Eingabe[[#This Row],[S1]]&gt;0,IF(MOD(ROW(Eingabe[[#This Row],[Heimbahn 3]]),2)=1,Eingabe[[#This Row],[S4]],Eingabe[[#This Row],[S1]]),""),""),"")</f>
        <v/>
      </c>
      <c r="AT381" s="35" t="str">
        <f>IFERROR(IF(Eingabe[[#This Row],[Wo]]="H",IF(Eingabe[[#This Row],[S1]]&gt;0,IF(MOD(ROW(Eingabe[[#This Row],[Heimbahn 4]]),2)=1,Eingabe[[#This Row],[S3]],Eingabe[[#This Row],[S2]]),""),""),"")</f>
        <v/>
      </c>
      <c r="AU381" s="88" t="str">
        <f>IF(Eingabe[[#This Row],[GES]]="","",IF(Eingabe[[#This Row],[Modus]]="L",_xlfn.RANK.EQ(Eingabe[[#This Row],[GES]],AF381:AF386),IF(Eingabe[[#This Row],[Modus]]="P",_xlfn.RANK.EQ(Eingabe[[#This Row],[GES]],AF381:AF386),"")))</f>
        <v/>
      </c>
      <c r="AV381" s="6" t="e">
        <f>VLOOKUP(Eingabe[[#This Row],[Name]],AuswertungG[],8,FALSE)</f>
        <v>#N/A</v>
      </c>
      <c r="AZ381" s="6" t="str">
        <f>IFERROR(ABS(Eingabe[[#This Row],[GES]]-Eingabe[[#This Row],[GEGGES]]),"")</f>
        <v/>
      </c>
    </row>
    <row r="382" spans="1:52" ht="16.2" hidden="1" thickBot="1" x14ac:dyDescent="0.35">
      <c r="A382" s="441"/>
      <c r="B382" s="21">
        <f t="shared" si="44"/>
        <v>64</v>
      </c>
      <c r="C382" s="6" t="str">
        <f>VLOOKUP($B382,Chronologie[],7,TRUE)</f>
        <v xml:space="preserve">SV Grün-Weiß Niederwiesa </v>
      </c>
      <c r="D382" s="6" t="str">
        <f>VLOOKUP($B382,Chronologie[],8,TRUE)</f>
        <v>Hirschfeld</v>
      </c>
      <c r="E382" s="240" t="str">
        <f>VLOOKUP($B382,Chronologie[],9,TRUE)</f>
        <v>H</v>
      </c>
      <c r="F382" s="6" t="str">
        <f>VLOOKUP($B382,Chronologie[],COLUMN(F383)-2,TRUE)</f>
        <v>D</v>
      </c>
      <c r="G382" s="6" t="str">
        <f>VLOOKUP($B382,Chronologie[],COLUMN(G383)-2,TRUE)</f>
        <v>L</v>
      </c>
      <c r="H382" s="6">
        <f>VLOOKUP($B382,Chronologie[],COLUMN(H383)-2,TRUE)</f>
        <v>8</v>
      </c>
      <c r="I382" s="10" t="str">
        <f>VLOOKUP($B382,Chronologie[],2,TRUE)</f>
        <v>D-L-8</v>
      </c>
      <c r="J382" s="243">
        <f>VLOOKUP($B382,Chronologie[],3,TRUE)</f>
        <v>46082</v>
      </c>
      <c r="K382" s="237"/>
      <c r="L382" s="237"/>
      <c r="M382" s="237"/>
      <c r="N382" s="237"/>
      <c r="O382" s="237"/>
      <c r="P382" s="237"/>
      <c r="Q382" s="237"/>
      <c r="R382" s="237"/>
      <c r="S382" s="237"/>
      <c r="T382" s="237"/>
      <c r="U382" s="237"/>
      <c r="V382" s="237"/>
      <c r="W382" s="237"/>
      <c r="X382" s="38"/>
      <c r="Y382" s="38"/>
      <c r="Z382" s="38"/>
      <c r="AA382" s="38"/>
      <c r="AB382" s="91"/>
      <c r="AC382" s="94" t="str">
        <f>IF(Eingabe[[#This Row],[V1]]="",IF(Eingabe[[#This Row],[Volle alternativ]]="","",Eingabe[[#This Row],[Volle alternativ]]),SUM(Eingabe[[#This Row],[V1]:[V4]]))</f>
        <v/>
      </c>
      <c r="AD382" s="6" t="str">
        <f>IF(Eingabe[[#This Row],[R1]]="",IF(Eingabe[[#This Row],[Räumer alternativ]]="","",Eingabe[[#This Row],[Räumer alternativ]]),SUM(Eingabe[[#This Row],[R1]:[R4]]))</f>
        <v/>
      </c>
      <c r="AE382" s="6" t="str">
        <f>IF(Eingabe[[#This Row],[F1]]="",IF(Eingabe[[#This Row],[Fehler alternativ]]="","",Eingabe[[#This Row],[Fehler alternativ]]),SUM(Eingabe[[#This Row],[F1]:[F4]]))</f>
        <v/>
      </c>
      <c r="AF382" s="6" t="str">
        <f>IF(Eingabe[[#This Row],[Volle]]="","",IF(Eingabe[[#This Row],[S1]]="",Eingabe[[#This Row],[Volle]]+Eingabe[[#This Row],[Räumer]],IF(Eingabe[[#This Row],[Volle]]+Eingabe[[#This Row],[Räumer]]=Eingabe[[#This Row],[S1]]+Eingabe[[#This Row],[S2]]+Eingabe[[#This Row],[S3]]+Eingabe[[#This Row],[S4]],Eingabe[[#This Row],[Volle]]+Eingabe[[#This Row],[Räumer]],"FEHLER")))</f>
        <v/>
      </c>
      <c r="AG382" s="6" t="str">
        <f>IF(Eingabe[[#This Row],[V1]]="","",Eingabe[[#This Row],[V1]]+Eingabe[[#This Row],[R1]])</f>
        <v/>
      </c>
      <c r="AH382" s="6" t="str">
        <f>IF(Eingabe[[#This Row],[V2]]="","",Eingabe[[#This Row],[V2]]+Eingabe[[#This Row],[R2]])</f>
        <v/>
      </c>
      <c r="AI382" s="6" t="str">
        <f>IF(Eingabe[[#This Row],[V3]]="","",Eingabe[[#This Row],[V3]]+Eingabe[[#This Row],[R3]])</f>
        <v/>
      </c>
      <c r="AJ382" s="6" t="str">
        <f>IF(Eingabe[[#This Row],[V4]]="","",Eingabe[[#This Row],[V4]]+Eingabe[[#This Row],[R4]])</f>
        <v/>
      </c>
      <c r="AK382" s="6" t="str">
        <f>IF(Eingabe[[#This Row],[S1P]]="","",Eingabe[[#This Row],[S1P]]+Eingabe[[#This Row],[S2P]]+Eingabe[[#This Row],[S3P]]+Eingabe[[#This Row],[S4P]])</f>
        <v/>
      </c>
      <c r="AL382" s="6" t="str">
        <f>IF(Eingabe[[#This Row],[S1P]]="","",IF(Eingabe[[#This Row],[SP]]&gt;2,1,IF(Eingabe[[#This Row],[SP]]&lt;2,0,IF(Eingabe[[#This Row],[GES]]&gt;Eingabe[[#This Row],[GEGGES]],1,IF(Eingabe[[#This Row],[GES]]=Eingabe[[#This Row],[GEGGES]],0.5,0)))))</f>
        <v/>
      </c>
      <c r="AM382" s="6" t="str">
        <f>IF(Eingabe[[#This Row],[MP]]="","",MOD(ROW(Eingabe[[#This Row],[Position]])-3,6)+1)</f>
        <v/>
      </c>
      <c r="AN382" s="6" t="e">
        <f>STANDARDIZE(Eingabe[[#This Row],[GES]],Eingabe[[#This Row],[Schnitt]],VLOOKUP(Eingabe[[#This Row],[Name]],AuswertungG[],21,FALSE))</f>
        <v>#VALUE!</v>
      </c>
      <c r="AO382" s="6">
        <f>VLOOKUP(Eingabe[[#This Row],[ID]],Chronologie[[ID]:[KW]],12,FALSE)</f>
        <v>27</v>
      </c>
      <c r="AP382" s="95" t="str">
        <f>IF(Eingabe[[#This Row],[Wo]]="H",Eingabe[[#This Row],[Gegner]]&amp;" ["&amp;Eingabe[[#This Row],[Wo]]&amp;"]",Eingabe[[#This Row],[Ort]])</f>
        <v>SV Grün-Weiß Niederwiesa  [H]</v>
      </c>
      <c r="AQ382" s="6" t="str">
        <f>IFERROR(IF(Eingabe[[#This Row],[Wo]]="H",IF(MOD(Eingabe[[#This Row],[Position]],2)=1,Eingabe[[#This Row],[S1]],Eingabe[[#This Row],[S4]]),""),"")</f>
        <v/>
      </c>
      <c r="AR382" s="6" t="str">
        <f>IFERROR(IF(Eingabe[[#This Row],[Wo]]="H",IF(Eingabe[[#This Row],[S1]]&gt;0,IF(MOD(Eingabe[[#This Row],[Position]],2)=1,Eingabe[[#This Row],[S2]],Eingabe[[#This Row],[S3]]),""),""),"")</f>
        <v/>
      </c>
      <c r="AS382" s="6" t="str">
        <f>IFERROR(IF(Eingabe[[#This Row],[Wo]]="H",IF(Eingabe[[#This Row],[S1]]&gt;0,IF(MOD(ROW(Eingabe[[#This Row],[Heimbahn 3]]),2)=1,Eingabe[[#This Row],[S4]],Eingabe[[#This Row],[S1]]),""),""),"")</f>
        <v/>
      </c>
      <c r="AT382" s="6" t="str">
        <f>IFERROR(IF(Eingabe[[#This Row],[Wo]]="H",IF(Eingabe[[#This Row],[S1]]&gt;0,IF(MOD(ROW(Eingabe[[#This Row],[Heimbahn 4]]),2)=1,Eingabe[[#This Row],[S3]],Eingabe[[#This Row],[S2]]),""),""),"")</f>
        <v/>
      </c>
      <c r="AU382" s="22" t="str">
        <f>IF(Eingabe[[#This Row],[GES]]="","",IF(Eingabe[[#This Row],[Modus]]="L",_xlfn.RANK.EQ(Eingabe[[#This Row],[GES]],AF381:AF386),IF(Eingabe[[#This Row],[Modus]]="P",_xlfn.RANK.EQ(Eingabe[[#This Row],[GES]],AF381:AF386),"")))</f>
        <v/>
      </c>
      <c r="AV382" s="6" t="e">
        <f>VLOOKUP(Eingabe[[#This Row],[Name]],AuswertungG[],8,FALSE)</f>
        <v>#N/A</v>
      </c>
      <c r="AZ382" s="6" t="str">
        <f>IFERROR(ABS(Eingabe[[#This Row],[GES]]-Eingabe[[#This Row],[GEGGES]]),"")</f>
        <v/>
      </c>
    </row>
    <row r="383" spans="1:52" ht="16.2" hidden="1" thickBot="1" x14ac:dyDescent="0.35">
      <c r="A383" s="441"/>
      <c r="B383" s="21">
        <f t="shared" si="44"/>
        <v>64</v>
      </c>
      <c r="C383" s="6" t="str">
        <f>VLOOKUP($B383,Chronologie[],7,TRUE)</f>
        <v xml:space="preserve">SV Grün-Weiß Niederwiesa </v>
      </c>
      <c r="D383" s="6" t="str">
        <f>VLOOKUP($B383,Chronologie[],8,TRUE)</f>
        <v>Hirschfeld</v>
      </c>
      <c r="E383" s="240" t="str">
        <f>VLOOKUP($B383,Chronologie[],9,TRUE)</f>
        <v>H</v>
      </c>
      <c r="F383" s="6" t="str">
        <f>VLOOKUP($B383,Chronologie[],COLUMN(F384)-2,TRUE)</f>
        <v>D</v>
      </c>
      <c r="G383" s="6" t="str">
        <f>VLOOKUP($B383,Chronologie[],COLUMN(G384)-2,TRUE)</f>
        <v>L</v>
      </c>
      <c r="H383" s="6">
        <f>VLOOKUP($B383,Chronologie[],COLUMN(H384)-2,TRUE)</f>
        <v>8</v>
      </c>
      <c r="I383" s="10" t="str">
        <f>VLOOKUP($B383,Chronologie[],2,TRUE)</f>
        <v>D-L-8</v>
      </c>
      <c r="J383" s="243">
        <f>VLOOKUP($B383,Chronologie[],3,TRUE)</f>
        <v>46082</v>
      </c>
      <c r="K383" s="237"/>
      <c r="L383" s="237"/>
      <c r="M383" s="237"/>
      <c r="N383" s="237"/>
      <c r="O383" s="237"/>
      <c r="P383" s="237"/>
      <c r="Q383" s="237"/>
      <c r="R383" s="237"/>
      <c r="S383" s="237"/>
      <c r="T383" s="237"/>
      <c r="U383" s="237"/>
      <c r="V383" s="237"/>
      <c r="W383" s="237"/>
      <c r="X383" s="38"/>
      <c r="Y383" s="38"/>
      <c r="Z383" s="38"/>
      <c r="AA383" s="38"/>
      <c r="AB383" s="91"/>
      <c r="AC383" s="94" t="str">
        <f>IF(Eingabe[[#This Row],[V1]]="",IF(Eingabe[[#This Row],[Volle alternativ]]="","",Eingabe[[#This Row],[Volle alternativ]]),SUM(Eingabe[[#This Row],[V1]:[V4]]))</f>
        <v/>
      </c>
      <c r="AD383" s="6" t="str">
        <f>IF(Eingabe[[#This Row],[R1]]="",IF(Eingabe[[#This Row],[Räumer alternativ]]="","",Eingabe[[#This Row],[Räumer alternativ]]),SUM(Eingabe[[#This Row],[R1]:[R4]]))</f>
        <v/>
      </c>
      <c r="AE383" s="6" t="str">
        <f>IF(Eingabe[[#This Row],[F1]]="",IF(Eingabe[[#This Row],[Fehler alternativ]]="","",Eingabe[[#This Row],[Fehler alternativ]]),SUM(Eingabe[[#This Row],[F1]:[F4]]))</f>
        <v/>
      </c>
      <c r="AF383" s="6" t="str">
        <f>IF(Eingabe[[#This Row],[Volle]]="","",IF(Eingabe[[#This Row],[S1]]="",Eingabe[[#This Row],[Volle]]+Eingabe[[#This Row],[Räumer]],IF(Eingabe[[#This Row],[Volle]]+Eingabe[[#This Row],[Räumer]]=Eingabe[[#This Row],[S1]]+Eingabe[[#This Row],[S2]]+Eingabe[[#This Row],[S3]]+Eingabe[[#This Row],[S4]],Eingabe[[#This Row],[Volle]]+Eingabe[[#This Row],[Räumer]],"FEHLER")))</f>
        <v/>
      </c>
      <c r="AG383" s="6" t="str">
        <f>IF(Eingabe[[#This Row],[V1]]="","",Eingabe[[#This Row],[V1]]+Eingabe[[#This Row],[R1]])</f>
        <v/>
      </c>
      <c r="AH383" s="6" t="str">
        <f>IF(Eingabe[[#This Row],[V2]]="","",Eingabe[[#This Row],[V2]]+Eingabe[[#This Row],[R2]])</f>
        <v/>
      </c>
      <c r="AI383" s="6" t="str">
        <f>IF(Eingabe[[#This Row],[V3]]="","",Eingabe[[#This Row],[V3]]+Eingabe[[#This Row],[R3]])</f>
        <v/>
      </c>
      <c r="AJ383" s="6" t="str">
        <f>IF(Eingabe[[#This Row],[V4]]="","",Eingabe[[#This Row],[V4]]+Eingabe[[#This Row],[R4]])</f>
        <v/>
      </c>
      <c r="AK383" s="6" t="str">
        <f>IF(Eingabe[[#This Row],[S1P]]="","",Eingabe[[#This Row],[S1P]]+Eingabe[[#This Row],[S2P]]+Eingabe[[#This Row],[S3P]]+Eingabe[[#This Row],[S4P]])</f>
        <v/>
      </c>
      <c r="AL383" s="6" t="str">
        <f>IF(Eingabe[[#This Row],[S1P]]="","",IF(Eingabe[[#This Row],[SP]]&gt;2,1,IF(Eingabe[[#This Row],[SP]]&lt;2,0,IF(Eingabe[[#This Row],[GES]]&gt;Eingabe[[#This Row],[GEGGES]],1,IF(Eingabe[[#This Row],[GES]]=Eingabe[[#This Row],[GEGGES]],0.5,0)))))</f>
        <v/>
      </c>
      <c r="AM383" s="6" t="str">
        <f>IF(Eingabe[[#This Row],[MP]]="","",MOD(ROW(Eingabe[[#This Row],[Position]])-3,6)+1)</f>
        <v/>
      </c>
      <c r="AN383" s="6" t="e">
        <f>STANDARDIZE(Eingabe[[#This Row],[GES]],Eingabe[[#This Row],[Schnitt]],VLOOKUP(Eingabe[[#This Row],[Name]],AuswertungG[],21,FALSE))</f>
        <v>#VALUE!</v>
      </c>
      <c r="AO383" s="6">
        <f>VLOOKUP(Eingabe[[#This Row],[ID]],Chronologie[[ID]:[KW]],12,FALSE)</f>
        <v>27</v>
      </c>
      <c r="AP383" s="95" t="str">
        <f>IF(Eingabe[[#This Row],[Wo]]="H",Eingabe[[#This Row],[Gegner]]&amp;" ["&amp;Eingabe[[#This Row],[Wo]]&amp;"]",Eingabe[[#This Row],[Ort]])</f>
        <v>SV Grün-Weiß Niederwiesa  [H]</v>
      </c>
      <c r="AQ383" s="6" t="str">
        <f>IFERROR(IF(Eingabe[[#This Row],[Wo]]="H",IF(MOD(Eingabe[[#This Row],[Position]],2)=1,Eingabe[[#This Row],[S1]],Eingabe[[#This Row],[S4]]),""),"")</f>
        <v/>
      </c>
      <c r="AR383" s="6" t="str">
        <f>IFERROR(IF(Eingabe[[#This Row],[Wo]]="H",IF(Eingabe[[#This Row],[S1]]&gt;0,IF(MOD(Eingabe[[#This Row],[Position]],2)=1,Eingabe[[#This Row],[S2]],Eingabe[[#This Row],[S3]]),""),""),"")</f>
        <v/>
      </c>
      <c r="AS383" s="6" t="str">
        <f>IFERROR(IF(Eingabe[[#This Row],[Wo]]="H",IF(Eingabe[[#This Row],[S1]]&gt;0,IF(MOD(ROW(Eingabe[[#This Row],[Heimbahn 3]]),2)=1,Eingabe[[#This Row],[S4]],Eingabe[[#This Row],[S1]]),""),""),"")</f>
        <v/>
      </c>
      <c r="AT383" s="6" t="str">
        <f>IFERROR(IF(Eingabe[[#This Row],[Wo]]="H",IF(Eingabe[[#This Row],[S1]]&gt;0,IF(MOD(ROW(Eingabe[[#This Row],[Heimbahn 4]]),2)=1,Eingabe[[#This Row],[S3]],Eingabe[[#This Row],[S2]]),""),""),"")</f>
        <v/>
      </c>
      <c r="AU383" s="22" t="str">
        <f>IF(Eingabe[[#This Row],[GES]]="","",IF(Eingabe[[#This Row],[Modus]]="L",_xlfn.RANK.EQ(Eingabe[[#This Row],[GES]],AF381:AF386),IF(Eingabe[[#This Row],[Modus]]="P",_xlfn.RANK.EQ(Eingabe[[#This Row],[GES]],AF381:AF386),"")))</f>
        <v/>
      </c>
      <c r="AV383" s="6" t="e">
        <f>VLOOKUP(Eingabe[[#This Row],[Name]],AuswertungG[],8,FALSE)</f>
        <v>#N/A</v>
      </c>
      <c r="AZ383" s="6" t="str">
        <f>IFERROR(ABS(Eingabe[[#This Row],[GES]]-Eingabe[[#This Row],[GEGGES]]),"")</f>
        <v/>
      </c>
    </row>
    <row r="384" spans="1:52" ht="16.2" hidden="1" thickBot="1" x14ac:dyDescent="0.35">
      <c r="A384" s="441"/>
      <c r="B384" s="21">
        <f t="shared" si="44"/>
        <v>64</v>
      </c>
      <c r="C384" s="6" t="str">
        <f>VLOOKUP($B384,Chronologie[],7,TRUE)</f>
        <v xml:space="preserve">SV Grün-Weiß Niederwiesa </v>
      </c>
      <c r="D384" s="6" t="str">
        <f>VLOOKUP($B384,Chronologie[],8,TRUE)</f>
        <v>Hirschfeld</v>
      </c>
      <c r="E384" s="240" t="str">
        <f>VLOOKUP($B384,Chronologie[],9,TRUE)</f>
        <v>H</v>
      </c>
      <c r="F384" s="6" t="str">
        <f>VLOOKUP($B384,Chronologie[],COLUMN(F385)-2,TRUE)</f>
        <v>D</v>
      </c>
      <c r="G384" s="6" t="str">
        <f>VLOOKUP($B384,Chronologie[],COLUMN(G385)-2,TRUE)</f>
        <v>L</v>
      </c>
      <c r="H384" s="6">
        <f>VLOOKUP($B384,Chronologie[],COLUMN(H385)-2,TRUE)</f>
        <v>8</v>
      </c>
      <c r="I384" s="10" t="str">
        <f>VLOOKUP($B384,Chronologie[],2,TRUE)</f>
        <v>D-L-8</v>
      </c>
      <c r="J384" s="243">
        <f>VLOOKUP($B384,Chronologie[],3,TRUE)</f>
        <v>46082</v>
      </c>
      <c r="K384" s="238"/>
      <c r="L384" s="237"/>
      <c r="M384" s="237"/>
      <c r="N384" s="237"/>
      <c r="O384" s="237"/>
      <c r="P384" s="237"/>
      <c r="Q384" s="237"/>
      <c r="R384" s="237"/>
      <c r="S384" s="237"/>
      <c r="T384" s="237"/>
      <c r="U384" s="237"/>
      <c r="V384" s="237"/>
      <c r="W384" s="237"/>
      <c r="X384" s="38"/>
      <c r="Y384" s="38"/>
      <c r="Z384" s="38"/>
      <c r="AA384" s="38"/>
      <c r="AB384" s="91"/>
      <c r="AC384" s="94" t="str">
        <f>IF(Eingabe[[#This Row],[V1]]="",IF(Eingabe[[#This Row],[Volle alternativ]]="","",Eingabe[[#This Row],[Volle alternativ]]),SUM(Eingabe[[#This Row],[V1]:[V4]]))</f>
        <v/>
      </c>
      <c r="AD384" s="6" t="str">
        <f>IF(Eingabe[[#This Row],[R1]]="",IF(Eingabe[[#This Row],[Räumer alternativ]]="","",Eingabe[[#This Row],[Räumer alternativ]]),SUM(Eingabe[[#This Row],[R1]:[R4]]))</f>
        <v/>
      </c>
      <c r="AE384" s="6" t="str">
        <f>IF(Eingabe[[#This Row],[F1]]="",IF(Eingabe[[#This Row],[Fehler alternativ]]="","",Eingabe[[#This Row],[Fehler alternativ]]),SUM(Eingabe[[#This Row],[F1]:[F4]]))</f>
        <v/>
      </c>
      <c r="AF384" s="6" t="str">
        <f>IF(Eingabe[[#This Row],[Volle]]="","",IF(Eingabe[[#This Row],[S1]]="",Eingabe[[#This Row],[Volle]]+Eingabe[[#This Row],[Räumer]],IF(Eingabe[[#This Row],[Volle]]+Eingabe[[#This Row],[Räumer]]=Eingabe[[#This Row],[S1]]+Eingabe[[#This Row],[S2]]+Eingabe[[#This Row],[S3]]+Eingabe[[#This Row],[S4]],Eingabe[[#This Row],[Volle]]+Eingabe[[#This Row],[Räumer]],"FEHLER")))</f>
        <v/>
      </c>
      <c r="AG384" s="6" t="str">
        <f>IF(Eingabe[[#This Row],[V1]]="","",Eingabe[[#This Row],[V1]]+Eingabe[[#This Row],[R1]])</f>
        <v/>
      </c>
      <c r="AH384" s="6" t="str">
        <f>IF(Eingabe[[#This Row],[V2]]="","",Eingabe[[#This Row],[V2]]+Eingabe[[#This Row],[R2]])</f>
        <v/>
      </c>
      <c r="AI384" s="6" t="str">
        <f>IF(Eingabe[[#This Row],[V3]]="","",Eingabe[[#This Row],[V3]]+Eingabe[[#This Row],[R3]])</f>
        <v/>
      </c>
      <c r="AJ384" s="6" t="str">
        <f>IF(Eingabe[[#This Row],[V4]]="","",Eingabe[[#This Row],[V4]]+Eingabe[[#This Row],[R4]])</f>
        <v/>
      </c>
      <c r="AK384" s="6" t="str">
        <f>IF(Eingabe[[#This Row],[S1P]]="","",Eingabe[[#This Row],[S1P]]+Eingabe[[#This Row],[S2P]]+Eingabe[[#This Row],[S3P]]+Eingabe[[#This Row],[S4P]])</f>
        <v/>
      </c>
      <c r="AL384" s="6" t="str">
        <f>IF(Eingabe[[#This Row],[S1P]]="","",IF(Eingabe[[#This Row],[SP]]&gt;2,1,IF(Eingabe[[#This Row],[SP]]&lt;2,0,IF(Eingabe[[#This Row],[GES]]&gt;Eingabe[[#This Row],[GEGGES]],1,IF(Eingabe[[#This Row],[GES]]=Eingabe[[#This Row],[GEGGES]],0.5,0)))))</f>
        <v/>
      </c>
      <c r="AM384" s="6" t="str">
        <f>IF(Eingabe[[#This Row],[MP]]="","",MOD(ROW(Eingabe[[#This Row],[Position]])-3,6)+1)</f>
        <v/>
      </c>
      <c r="AN384" s="6" t="e">
        <f>STANDARDIZE(Eingabe[[#This Row],[GES]],Eingabe[[#This Row],[Schnitt]],VLOOKUP(Eingabe[[#This Row],[Name]],AuswertungG[],21,FALSE))</f>
        <v>#VALUE!</v>
      </c>
      <c r="AO384" s="6">
        <f>VLOOKUP(Eingabe[[#This Row],[ID]],Chronologie[[ID]:[KW]],12,FALSE)</f>
        <v>27</v>
      </c>
      <c r="AP384" s="95" t="str">
        <f>IF(Eingabe[[#This Row],[Wo]]="H",Eingabe[[#This Row],[Gegner]]&amp;" ["&amp;Eingabe[[#This Row],[Wo]]&amp;"]",Eingabe[[#This Row],[Ort]])</f>
        <v>SV Grün-Weiß Niederwiesa  [H]</v>
      </c>
      <c r="AQ384" s="6" t="str">
        <f>IFERROR(IF(Eingabe[[#This Row],[Wo]]="H",IF(MOD(Eingabe[[#This Row],[Position]],2)=1,Eingabe[[#This Row],[S1]],Eingabe[[#This Row],[S4]]),""),"")</f>
        <v/>
      </c>
      <c r="AR384" s="6" t="str">
        <f>IFERROR(IF(Eingabe[[#This Row],[Wo]]="H",IF(Eingabe[[#This Row],[S1]]&gt;0,IF(MOD(Eingabe[[#This Row],[Position]],2)=1,Eingabe[[#This Row],[S2]],Eingabe[[#This Row],[S3]]),""),""),"")</f>
        <v/>
      </c>
      <c r="AS384" s="6" t="str">
        <f>IFERROR(IF(Eingabe[[#This Row],[Wo]]="H",IF(Eingabe[[#This Row],[S1]]&gt;0,IF(MOD(ROW(Eingabe[[#This Row],[Heimbahn 3]]),2)=1,Eingabe[[#This Row],[S4]],Eingabe[[#This Row],[S1]]),""),""),"")</f>
        <v/>
      </c>
      <c r="AT384" s="6" t="str">
        <f>IFERROR(IF(Eingabe[[#This Row],[Wo]]="H",IF(Eingabe[[#This Row],[S1]]&gt;0,IF(MOD(ROW(Eingabe[[#This Row],[Heimbahn 4]]),2)=1,Eingabe[[#This Row],[S3]],Eingabe[[#This Row],[S2]]),""),""),"")</f>
        <v/>
      </c>
      <c r="AU384" s="22" t="str">
        <f>IF(Eingabe[[#This Row],[GES]]="","",IF(Eingabe[[#This Row],[Modus]]="L",_xlfn.RANK.EQ(Eingabe[[#This Row],[GES]],AF381:AF386),IF(Eingabe[[#This Row],[Modus]]="P",_xlfn.RANK.EQ(Eingabe[[#This Row],[GES]],AF381:AF386),"")))</f>
        <v/>
      </c>
      <c r="AV384" s="6" t="e">
        <f>VLOOKUP(Eingabe[[#This Row],[Name]],AuswertungG[],8,FALSE)</f>
        <v>#N/A</v>
      </c>
      <c r="AZ384" s="6" t="str">
        <f>IFERROR(ABS(Eingabe[[#This Row],[GES]]-Eingabe[[#This Row],[GEGGES]]),"")</f>
        <v/>
      </c>
    </row>
    <row r="385" spans="1:52" ht="16.2" hidden="1" thickBot="1" x14ac:dyDescent="0.35">
      <c r="A385" s="441"/>
      <c r="B385" s="21">
        <f t="shared" si="44"/>
        <v>64</v>
      </c>
      <c r="C385" s="6" t="str">
        <f>VLOOKUP($B385,Chronologie[],7,TRUE)</f>
        <v xml:space="preserve">SV Grün-Weiß Niederwiesa </v>
      </c>
      <c r="D385" s="6" t="str">
        <f>VLOOKUP($B385,Chronologie[],8,TRUE)</f>
        <v>Hirschfeld</v>
      </c>
      <c r="E385" s="240" t="str">
        <f>VLOOKUP($B385,Chronologie[],9,TRUE)</f>
        <v>H</v>
      </c>
      <c r="F385" s="6" t="str">
        <f>VLOOKUP($B385,Chronologie[],COLUMN(F386)-2,TRUE)</f>
        <v>D</v>
      </c>
      <c r="G385" s="6" t="str">
        <f>VLOOKUP($B385,Chronologie[],COLUMN(G386)-2,TRUE)</f>
        <v>L</v>
      </c>
      <c r="H385" s="6">
        <f>VLOOKUP($B385,Chronologie[],COLUMN(H386)-2,TRUE)</f>
        <v>8</v>
      </c>
      <c r="I385" s="10" t="str">
        <f>VLOOKUP($B385,Chronologie[],2,TRUE)</f>
        <v>D-L-8</v>
      </c>
      <c r="J385" s="243">
        <f>VLOOKUP($B385,Chronologie[],3,TRUE)</f>
        <v>46082</v>
      </c>
      <c r="K385" s="237"/>
      <c r="L385" s="237"/>
      <c r="M385" s="237"/>
      <c r="N385" s="237"/>
      <c r="O385" s="237"/>
      <c r="P385" s="237"/>
      <c r="Q385" s="237"/>
      <c r="R385" s="237"/>
      <c r="S385" s="237"/>
      <c r="T385" s="237"/>
      <c r="U385" s="237"/>
      <c r="V385" s="237"/>
      <c r="W385" s="237"/>
      <c r="X385" s="38"/>
      <c r="Y385" s="38"/>
      <c r="Z385" s="38"/>
      <c r="AA385" s="38"/>
      <c r="AB385" s="91"/>
      <c r="AC385" s="94" t="str">
        <f>IF(Eingabe[[#This Row],[V1]]="",IF(Eingabe[[#This Row],[Volle alternativ]]="","",Eingabe[[#This Row],[Volle alternativ]]),SUM(Eingabe[[#This Row],[V1]:[V4]]))</f>
        <v/>
      </c>
      <c r="AD385" s="6" t="str">
        <f>IF(Eingabe[[#This Row],[R1]]="",IF(Eingabe[[#This Row],[Räumer alternativ]]="","",Eingabe[[#This Row],[Räumer alternativ]]),SUM(Eingabe[[#This Row],[R1]:[R4]]))</f>
        <v/>
      </c>
      <c r="AE385" s="6" t="str">
        <f>IF(Eingabe[[#This Row],[F1]]="",IF(Eingabe[[#This Row],[Fehler alternativ]]="","",Eingabe[[#This Row],[Fehler alternativ]]),SUM(Eingabe[[#This Row],[F1]:[F4]]))</f>
        <v/>
      </c>
      <c r="AF385" s="6" t="str">
        <f>IF(Eingabe[[#This Row],[Volle]]="","",IF(Eingabe[[#This Row],[S1]]="",Eingabe[[#This Row],[Volle]]+Eingabe[[#This Row],[Räumer]],IF(Eingabe[[#This Row],[Volle]]+Eingabe[[#This Row],[Räumer]]=Eingabe[[#This Row],[S1]]+Eingabe[[#This Row],[S2]]+Eingabe[[#This Row],[S3]]+Eingabe[[#This Row],[S4]],Eingabe[[#This Row],[Volle]]+Eingabe[[#This Row],[Räumer]],"FEHLER")))</f>
        <v/>
      </c>
      <c r="AG385" s="6" t="str">
        <f>IF(Eingabe[[#This Row],[V1]]="","",Eingabe[[#This Row],[V1]]+Eingabe[[#This Row],[R1]])</f>
        <v/>
      </c>
      <c r="AH385" s="6" t="str">
        <f>IF(Eingabe[[#This Row],[V2]]="","",Eingabe[[#This Row],[V2]]+Eingabe[[#This Row],[R2]])</f>
        <v/>
      </c>
      <c r="AI385" s="6" t="str">
        <f>IF(Eingabe[[#This Row],[V3]]="","",Eingabe[[#This Row],[V3]]+Eingabe[[#This Row],[R3]])</f>
        <v/>
      </c>
      <c r="AJ385" s="6" t="str">
        <f>IF(Eingabe[[#This Row],[V4]]="","",Eingabe[[#This Row],[V4]]+Eingabe[[#This Row],[R4]])</f>
        <v/>
      </c>
      <c r="AK385" s="6" t="str">
        <f>IF(Eingabe[[#This Row],[S1P]]="","",Eingabe[[#This Row],[S1P]]+Eingabe[[#This Row],[S2P]]+Eingabe[[#This Row],[S3P]]+Eingabe[[#This Row],[S4P]])</f>
        <v/>
      </c>
      <c r="AL385" s="6" t="str">
        <f>IF(Eingabe[[#This Row],[S1P]]="","",IF(Eingabe[[#This Row],[SP]]&gt;2,1,IF(Eingabe[[#This Row],[SP]]&lt;2,0,IF(Eingabe[[#This Row],[GES]]&gt;Eingabe[[#This Row],[GEGGES]],1,IF(Eingabe[[#This Row],[GES]]=Eingabe[[#This Row],[GEGGES]],0.5,0)))))</f>
        <v/>
      </c>
      <c r="AM385" s="6" t="str">
        <f>IF(Eingabe[[#This Row],[MP]]="","",MOD(ROW(Eingabe[[#This Row],[Position]])-3,6)+1)</f>
        <v/>
      </c>
      <c r="AN385" s="6" t="e">
        <f>STANDARDIZE(Eingabe[[#This Row],[GES]],Eingabe[[#This Row],[Schnitt]],VLOOKUP(Eingabe[[#This Row],[Name]],AuswertungG[],21,FALSE))</f>
        <v>#VALUE!</v>
      </c>
      <c r="AO385" s="6">
        <f>VLOOKUP(Eingabe[[#This Row],[ID]],Chronologie[[ID]:[KW]],12,FALSE)</f>
        <v>27</v>
      </c>
      <c r="AP385" s="95" t="str">
        <f>IF(Eingabe[[#This Row],[Wo]]="H",Eingabe[[#This Row],[Gegner]]&amp;" ["&amp;Eingabe[[#This Row],[Wo]]&amp;"]",Eingabe[[#This Row],[Ort]])</f>
        <v>SV Grün-Weiß Niederwiesa  [H]</v>
      </c>
      <c r="AQ385" s="6" t="str">
        <f>IFERROR(IF(Eingabe[[#This Row],[Wo]]="H",IF(MOD(Eingabe[[#This Row],[Position]],2)=1,Eingabe[[#This Row],[S1]],Eingabe[[#This Row],[S4]]),""),"")</f>
        <v/>
      </c>
      <c r="AR385" s="6" t="str">
        <f>IFERROR(IF(Eingabe[[#This Row],[Wo]]="H",IF(Eingabe[[#This Row],[S1]]&gt;0,IF(MOD(Eingabe[[#This Row],[Position]],2)=1,Eingabe[[#This Row],[S2]],Eingabe[[#This Row],[S3]]),""),""),"")</f>
        <v/>
      </c>
      <c r="AS385" s="6" t="str">
        <f>IFERROR(IF(Eingabe[[#This Row],[Wo]]="H",IF(Eingabe[[#This Row],[S1]]&gt;0,IF(MOD(ROW(Eingabe[[#This Row],[Heimbahn 3]]),2)=1,Eingabe[[#This Row],[S4]],Eingabe[[#This Row],[S1]]),""),""),"")</f>
        <v/>
      </c>
      <c r="AT385" s="6" t="str">
        <f>IFERROR(IF(Eingabe[[#This Row],[Wo]]="H",IF(Eingabe[[#This Row],[S1]]&gt;0,IF(MOD(ROW(Eingabe[[#This Row],[Heimbahn 4]]),2)=1,Eingabe[[#This Row],[S3]],Eingabe[[#This Row],[S2]]),""),""),"")</f>
        <v/>
      </c>
      <c r="AU385" s="22" t="str">
        <f>IF(Eingabe[[#This Row],[GES]]="","",IF(Eingabe[[#This Row],[Modus]]="L",_xlfn.RANK.EQ(Eingabe[[#This Row],[GES]],AF381:AF386),IF(Eingabe[[#This Row],[Modus]]="P",_xlfn.RANK.EQ(Eingabe[[#This Row],[GES]],AF381:AF386),"")))</f>
        <v/>
      </c>
      <c r="AV385" s="6" t="e">
        <f>VLOOKUP(Eingabe[[#This Row],[Name]],AuswertungG[],8,FALSE)</f>
        <v>#N/A</v>
      </c>
      <c r="AZ385" s="6" t="str">
        <f>IFERROR(ABS(Eingabe[[#This Row],[GES]]-Eingabe[[#This Row],[GEGGES]]),"")</f>
        <v/>
      </c>
    </row>
    <row r="386" spans="1:52" ht="16.2" hidden="1" thickBot="1" x14ac:dyDescent="0.35">
      <c r="A386" s="442"/>
      <c r="B386" s="56">
        <f t="shared" si="44"/>
        <v>64</v>
      </c>
      <c r="C386" s="23" t="str">
        <f>VLOOKUP($B386,Chronologie[],7,TRUE)</f>
        <v xml:space="preserve">SV Grün-Weiß Niederwiesa </v>
      </c>
      <c r="D386" s="23" t="str">
        <f>VLOOKUP($B386,Chronologie[],8,TRUE)</f>
        <v>Hirschfeld</v>
      </c>
      <c r="E386" s="39" t="str">
        <f>VLOOKUP($B386,Chronologie[],9,TRUE)</f>
        <v>H</v>
      </c>
      <c r="F386" s="23" t="str">
        <f>VLOOKUP($B386,Chronologie[],COLUMN(F387)-2,TRUE)</f>
        <v>D</v>
      </c>
      <c r="G386" s="23" t="str">
        <f>VLOOKUP($B386,Chronologie[],COLUMN(G387)-2,TRUE)</f>
        <v>L</v>
      </c>
      <c r="H386" s="23">
        <f>VLOOKUP($B386,Chronologie[],COLUMN(H387)-2,TRUE)</f>
        <v>8</v>
      </c>
      <c r="I386" s="13" t="str">
        <f>VLOOKUP($B386,Chronologie[],2,TRUE)</f>
        <v>D-L-8</v>
      </c>
      <c r="J386" s="244">
        <f>VLOOKUP($B386,Chronologie[],3,TRUE)</f>
        <v>46082</v>
      </c>
      <c r="K386" s="239"/>
      <c r="L386" s="239"/>
      <c r="M386" s="239"/>
      <c r="N386" s="239"/>
      <c r="O386" s="239"/>
      <c r="P386" s="239"/>
      <c r="Q386" s="239"/>
      <c r="R386" s="239"/>
      <c r="S386" s="239"/>
      <c r="T386" s="239"/>
      <c r="U386" s="239"/>
      <c r="V386" s="239"/>
      <c r="W386" s="239"/>
      <c r="X386" s="40"/>
      <c r="Y386" s="40"/>
      <c r="Z386" s="40"/>
      <c r="AA386" s="40"/>
      <c r="AB386" s="92"/>
      <c r="AC386" s="96" t="str">
        <f>IF(Eingabe[[#This Row],[V1]]="",IF(Eingabe[[#This Row],[Volle alternativ]]="","",Eingabe[[#This Row],[Volle alternativ]]),SUM(Eingabe[[#This Row],[V1]:[V4]]))</f>
        <v/>
      </c>
      <c r="AD386" s="23" t="str">
        <f>IF(Eingabe[[#This Row],[R1]]="",IF(Eingabe[[#This Row],[Räumer alternativ]]="","",Eingabe[[#This Row],[Räumer alternativ]]),SUM(Eingabe[[#This Row],[R1]:[R4]]))</f>
        <v/>
      </c>
      <c r="AE386" s="23" t="str">
        <f>IF(Eingabe[[#This Row],[F1]]="",IF(Eingabe[[#This Row],[Fehler alternativ]]="","",Eingabe[[#This Row],[Fehler alternativ]]),SUM(Eingabe[[#This Row],[F1]:[F4]]))</f>
        <v/>
      </c>
      <c r="AF386" s="23" t="str">
        <f>IF(Eingabe[[#This Row],[Volle]]="","",IF(Eingabe[[#This Row],[S1]]="",Eingabe[[#This Row],[Volle]]+Eingabe[[#This Row],[Räumer]],IF(Eingabe[[#This Row],[Volle]]+Eingabe[[#This Row],[Räumer]]=Eingabe[[#This Row],[S1]]+Eingabe[[#This Row],[S2]]+Eingabe[[#This Row],[S3]]+Eingabe[[#This Row],[S4]],Eingabe[[#This Row],[Volle]]+Eingabe[[#This Row],[Räumer]],"FEHLER")))</f>
        <v/>
      </c>
      <c r="AG386" s="23" t="str">
        <f>IF(Eingabe[[#This Row],[V1]]="","",Eingabe[[#This Row],[V1]]+Eingabe[[#This Row],[R1]])</f>
        <v/>
      </c>
      <c r="AH386" s="23" t="str">
        <f>IF(Eingabe[[#This Row],[V2]]="","",Eingabe[[#This Row],[V2]]+Eingabe[[#This Row],[R2]])</f>
        <v/>
      </c>
      <c r="AI386" s="23" t="str">
        <f>IF(Eingabe[[#This Row],[V3]]="","",Eingabe[[#This Row],[V3]]+Eingabe[[#This Row],[R3]])</f>
        <v/>
      </c>
      <c r="AJ386" s="23" t="str">
        <f>IF(Eingabe[[#This Row],[V4]]="","",Eingabe[[#This Row],[V4]]+Eingabe[[#This Row],[R4]])</f>
        <v/>
      </c>
      <c r="AK386" s="23" t="str">
        <f>IF(Eingabe[[#This Row],[S1P]]="","",Eingabe[[#This Row],[S1P]]+Eingabe[[#This Row],[S2P]]+Eingabe[[#This Row],[S3P]]+Eingabe[[#This Row],[S4P]])</f>
        <v/>
      </c>
      <c r="AL386" s="23" t="str">
        <f>IF(Eingabe[[#This Row],[S1P]]="","",IF(Eingabe[[#This Row],[SP]]&gt;2,1,IF(Eingabe[[#This Row],[SP]]&lt;2,0,IF(Eingabe[[#This Row],[GES]]&gt;Eingabe[[#This Row],[GEGGES]],1,IF(Eingabe[[#This Row],[GES]]=Eingabe[[#This Row],[GEGGES]],0.5,0)))))</f>
        <v/>
      </c>
      <c r="AM386" s="23" t="str">
        <f>IF(Eingabe[[#This Row],[MP]]="","",MOD(ROW(Eingabe[[#This Row],[Position]])-3,6)+1)</f>
        <v/>
      </c>
      <c r="AN386" s="23" t="e">
        <f>STANDARDIZE(Eingabe[[#This Row],[GES]],Eingabe[[#This Row],[Schnitt]],VLOOKUP(Eingabe[[#This Row],[Name]],AuswertungG[],21,FALSE))</f>
        <v>#VALUE!</v>
      </c>
      <c r="AO386" s="23">
        <f>VLOOKUP(Eingabe[[#This Row],[ID]],Chronologie[[ID]:[KW]],12,FALSE)</f>
        <v>27</v>
      </c>
      <c r="AP386" s="59" t="str">
        <f>IF(Eingabe[[#This Row],[Wo]]="H",Eingabe[[#This Row],[Gegner]]&amp;" ["&amp;Eingabe[[#This Row],[Wo]]&amp;"]",Eingabe[[#This Row],[Ort]])</f>
        <v>SV Grün-Weiß Niederwiesa  [H]</v>
      </c>
      <c r="AQ386" s="23" t="str">
        <f>IFERROR(IF(Eingabe[[#This Row],[Wo]]="H",IF(MOD(Eingabe[[#This Row],[Position]],2)=1,Eingabe[[#This Row],[S1]],Eingabe[[#This Row],[S4]]),""),"")</f>
        <v/>
      </c>
      <c r="AR386" s="23" t="str">
        <f>IFERROR(IF(Eingabe[[#This Row],[Wo]]="H",IF(Eingabe[[#This Row],[S1]]&gt;0,IF(MOD(Eingabe[[#This Row],[Position]],2)=1,Eingabe[[#This Row],[S2]],Eingabe[[#This Row],[S3]]),""),""),"")</f>
        <v/>
      </c>
      <c r="AS386" s="23" t="str">
        <f>IFERROR(IF(Eingabe[[#This Row],[Wo]]="H",IF(Eingabe[[#This Row],[S1]]&gt;0,IF(MOD(ROW(Eingabe[[#This Row],[Heimbahn 3]]),2)=1,Eingabe[[#This Row],[S4]],Eingabe[[#This Row],[S1]]),""),""),"")</f>
        <v/>
      </c>
      <c r="AT386" s="23" t="str">
        <f>IFERROR(IF(Eingabe[[#This Row],[Wo]]="H",IF(Eingabe[[#This Row],[S1]]&gt;0,IF(MOD(ROW(Eingabe[[#This Row],[Heimbahn 4]]),2)=1,Eingabe[[#This Row],[S3]],Eingabe[[#This Row],[S2]]),""),""),"")</f>
        <v/>
      </c>
      <c r="AU386" s="89" t="str">
        <f>IF(Eingabe[[#This Row],[GES]]="","",IF(Eingabe[[#This Row],[Modus]]="L",_xlfn.RANK.EQ(Eingabe[[#This Row],[GES]],AF381:AF386),IF(Eingabe[[#This Row],[Modus]]="P",_xlfn.RANK.EQ(Eingabe[[#This Row],[GES]],AF381:AF386),"")))</f>
        <v/>
      </c>
      <c r="AV386" s="6" t="e">
        <f>VLOOKUP(Eingabe[[#This Row],[Name]],AuswertungG[],8,FALSE)</f>
        <v>#N/A</v>
      </c>
      <c r="AZ386" s="6" t="str">
        <f>IFERROR(ABS(Eingabe[[#This Row],[GES]]-Eingabe[[#This Row],[GEGGES]]),"")</f>
        <v/>
      </c>
    </row>
    <row r="387" spans="1:52" ht="16.2" hidden="1" thickBot="1" x14ac:dyDescent="0.35">
      <c r="A387" s="440">
        <f t="shared" si="45"/>
        <v>65</v>
      </c>
      <c r="B387" s="55">
        <f t="shared" si="44"/>
        <v>65</v>
      </c>
      <c r="C387" s="35" t="str">
        <f>VLOOKUP($B387,Chronologie[],7,TRUE)</f>
        <v>SV Krummenhennersdorf</v>
      </c>
      <c r="D387" s="35" t="str">
        <f>VLOOKUP($B387,Chronologie[],8,TRUE)</f>
        <v>Hirschfeld</v>
      </c>
      <c r="E387" s="36" t="str">
        <f>VLOOKUP($B387,Chronologie[],9,TRUE)</f>
        <v>H</v>
      </c>
      <c r="F387" s="35" t="str">
        <f>VLOOKUP($B387,Chronologie[],COLUMN(F388)-2,TRUE)</f>
        <v>D</v>
      </c>
      <c r="G387" s="35" t="str">
        <f>VLOOKUP($B387,Chronologie[],COLUMN(G388)-2,TRUE)</f>
        <v>L</v>
      </c>
      <c r="H387" s="35">
        <f>VLOOKUP($B387,Chronologie[],COLUMN(H388)-2,TRUE)</f>
        <v>9</v>
      </c>
      <c r="I387" s="9" t="str">
        <f>VLOOKUP($B387,Chronologie[],2,TRUE)</f>
        <v>D-L-9</v>
      </c>
      <c r="J387" s="242">
        <f>VLOOKUP($B387,Chronologie[],3,TRUE)</f>
        <v>46102</v>
      </c>
      <c r="K387" s="236"/>
      <c r="L387" s="334"/>
      <c r="M387" s="334"/>
      <c r="N387" s="334"/>
      <c r="O387" s="334"/>
      <c r="P387" s="334"/>
      <c r="Q387" s="334"/>
      <c r="R387" s="334"/>
      <c r="S387" s="334"/>
      <c r="T387" s="334"/>
      <c r="U387" s="334"/>
      <c r="V387" s="334"/>
      <c r="W387" s="334"/>
      <c r="X387" s="37"/>
      <c r="Y387" s="37"/>
      <c r="Z387" s="37"/>
      <c r="AA387" s="37"/>
      <c r="AB387" s="90"/>
      <c r="AC387" s="93" t="str">
        <f>IF(Eingabe[[#This Row],[V1]]="",IF(Eingabe[[#This Row],[Volle alternativ]]="","",Eingabe[[#This Row],[Volle alternativ]]),SUM(Eingabe[[#This Row],[V1]:[V4]]))</f>
        <v/>
      </c>
      <c r="AD387" s="35" t="str">
        <f>IF(Eingabe[[#This Row],[R1]]="",IF(Eingabe[[#This Row],[Räumer alternativ]]="","",Eingabe[[#This Row],[Räumer alternativ]]),SUM(Eingabe[[#This Row],[R1]:[R4]]))</f>
        <v/>
      </c>
      <c r="AE387" s="35" t="str">
        <f>IF(Eingabe[[#This Row],[F1]]="",IF(Eingabe[[#This Row],[Fehler alternativ]]="","",Eingabe[[#This Row],[Fehler alternativ]]),SUM(Eingabe[[#This Row],[F1]:[F4]]))</f>
        <v/>
      </c>
      <c r="AF387" s="35" t="str">
        <f>IF(Eingabe[[#This Row],[Volle]]="","",IF(Eingabe[[#This Row],[S1]]="",Eingabe[[#This Row],[Volle]]+Eingabe[[#This Row],[Räumer]],IF(Eingabe[[#This Row],[Volle]]+Eingabe[[#This Row],[Räumer]]=Eingabe[[#This Row],[S1]]+Eingabe[[#This Row],[S2]]+Eingabe[[#This Row],[S3]]+Eingabe[[#This Row],[S4]],Eingabe[[#This Row],[Volle]]+Eingabe[[#This Row],[Räumer]],"FEHLER")))</f>
        <v/>
      </c>
      <c r="AG387" s="35" t="str">
        <f>IF(Eingabe[[#This Row],[V1]]="","",Eingabe[[#This Row],[V1]]+Eingabe[[#This Row],[R1]])</f>
        <v/>
      </c>
      <c r="AH387" s="35" t="str">
        <f>IF(Eingabe[[#This Row],[V2]]="","",Eingabe[[#This Row],[V2]]+Eingabe[[#This Row],[R2]])</f>
        <v/>
      </c>
      <c r="AI387" s="35" t="str">
        <f>IF(Eingabe[[#This Row],[V3]]="","",Eingabe[[#This Row],[V3]]+Eingabe[[#This Row],[R3]])</f>
        <v/>
      </c>
      <c r="AJ387" s="35" t="str">
        <f>IF(Eingabe[[#This Row],[V4]]="","",Eingabe[[#This Row],[V4]]+Eingabe[[#This Row],[R4]])</f>
        <v/>
      </c>
      <c r="AK387" s="35" t="str">
        <f>IF(Eingabe[[#This Row],[S1P]]="","",Eingabe[[#This Row],[S1P]]+Eingabe[[#This Row],[S2P]]+Eingabe[[#This Row],[S3P]]+Eingabe[[#This Row],[S4P]])</f>
        <v/>
      </c>
      <c r="AL387" s="35" t="str">
        <f>IF(Eingabe[[#This Row],[S1P]]="","",IF(Eingabe[[#This Row],[SP]]&gt;2,1,IF(Eingabe[[#This Row],[SP]]&lt;2,0,IF(Eingabe[[#This Row],[GES]]&gt;Eingabe[[#This Row],[GEGGES]],1,IF(Eingabe[[#This Row],[GES]]=Eingabe[[#This Row],[GEGGES]],0.5,0)))))</f>
        <v/>
      </c>
      <c r="AM387" s="35" t="str">
        <f>IF(Eingabe[[#This Row],[MP]]="","",MOD(ROW(Eingabe[[#This Row],[Position]])-3,6)+1)</f>
        <v/>
      </c>
      <c r="AN387" s="35" t="e">
        <f>STANDARDIZE(Eingabe[[#This Row],[GES]],Eingabe[[#This Row],[Schnitt]],VLOOKUP(Eingabe[[#This Row],[Name]],AuswertungG[],21,FALSE))</f>
        <v>#VALUE!</v>
      </c>
      <c r="AO387" s="35">
        <f>VLOOKUP(Eingabe[[#This Row],[ID]],Chronologie[[ID]:[KW]],12,FALSE)</f>
        <v>30</v>
      </c>
      <c r="AP387" s="58" t="str">
        <f>IF(Eingabe[[#This Row],[Wo]]="H",Eingabe[[#This Row],[Gegner]]&amp;" ["&amp;Eingabe[[#This Row],[Wo]]&amp;"]",Eingabe[[#This Row],[Ort]])</f>
        <v>SV Krummenhennersdorf [H]</v>
      </c>
      <c r="AQ387" s="35" t="str">
        <f>IFERROR(IF(Eingabe[[#This Row],[Wo]]="H",IF(MOD(Eingabe[[#This Row],[Position]],2)=1,Eingabe[[#This Row],[S1]],Eingabe[[#This Row],[S4]]),""),"")</f>
        <v/>
      </c>
      <c r="AR387" s="35" t="str">
        <f>IFERROR(IF(Eingabe[[#This Row],[Wo]]="H",IF(Eingabe[[#This Row],[S1]]&gt;0,IF(MOD(Eingabe[[#This Row],[Position]],2)=1,Eingabe[[#This Row],[S2]],Eingabe[[#This Row],[S3]]),""),""),"")</f>
        <v/>
      </c>
      <c r="AS387" s="35" t="str">
        <f>IFERROR(IF(Eingabe[[#This Row],[Wo]]="H",IF(Eingabe[[#This Row],[S1]]&gt;0,IF(MOD(ROW(Eingabe[[#This Row],[Heimbahn 3]]),2)=1,Eingabe[[#This Row],[S4]],Eingabe[[#This Row],[S1]]),""),""),"")</f>
        <v/>
      </c>
      <c r="AT387" s="35" t="str">
        <f>IFERROR(IF(Eingabe[[#This Row],[Wo]]="H",IF(Eingabe[[#This Row],[S1]]&gt;0,IF(MOD(ROW(Eingabe[[#This Row],[Heimbahn 4]]),2)=1,Eingabe[[#This Row],[S3]],Eingabe[[#This Row],[S2]]),""),""),"")</f>
        <v/>
      </c>
      <c r="AU387" s="88" t="str">
        <f>IF(Eingabe[[#This Row],[GES]]="","",IF(Eingabe[[#This Row],[Modus]]="L",_xlfn.RANK.EQ(Eingabe[[#This Row],[GES]],AF387:AF392),IF(Eingabe[[#This Row],[Modus]]="P",_xlfn.RANK.EQ(Eingabe[[#This Row],[GES]],AF387:AF392),"")))</f>
        <v/>
      </c>
      <c r="AV387" s="6" t="e">
        <f>VLOOKUP(Eingabe[[#This Row],[Name]],AuswertungG[],8,FALSE)</f>
        <v>#N/A</v>
      </c>
      <c r="AZ387" s="6" t="str">
        <f>IFERROR(ABS(Eingabe[[#This Row],[GES]]-Eingabe[[#This Row],[GEGGES]]),"")</f>
        <v/>
      </c>
    </row>
    <row r="388" spans="1:52" ht="16.2" hidden="1" thickBot="1" x14ac:dyDescent="0.35">
      <c r="A388" s="441"/>
      <c r="B388" s="21">
        <f t="shared" ref="B388:B451" si="46">ROUNDUP((ROW(B388)-2)/6,0)</f>
        <v>65</v>
      </c>
      <c r="C388" s="6" t="str">
        <f>VLOOKUP($B388,Chronologie[],7,TRUE)</f>
        <v>SV Krummenhennersdorf</v>
      </c>
      <c r="D388" s="6" t="str">
        <f>VLOOKUP($B388,Chronologie[],8,TRUE)</f>
        <v>Hirschfeld</v>
      </c>
      <c r="E388" s="240" t="str">
        <f>VLOOKUP($B388,Chronologie[],9,TRUE)</f>
        <v>H</v>
      </c>
      <c r="F388" s="6" t="str">
        <f>VLOOKUP($B388,Chronologie[],COLUMN(F389)-2,TRUE)</f>
        <v>D</v>
      </c>
      <c r="G388" s="6" t="str">
        <f>VLOOKUP($B388,Chronologie[],COLUMN(G389)-2,TRUE)</f>
        <v>L</v>
      </c>
      <c r="H388" s="6">
        <f>VLOOKUP($B388,Chronologie[],COLUMN(H389)-2,TRUE)</f>
        <v>9</v>
      </c>
      <c r="I388" s="10" t="str">
        <f>VLOOKUP($B388,Chronologie[],2,TRUE)</f>
        <v>D-L-9</v>
      </c>
      <c r="J388" s="243">
        <f>VLOOKUP($B388,Chronologie[],3,TRUE)</f>
        <v>46102</v>
      </c>
      <c r="K388" s="237"/>
      <c r="L388" s="237"/>
      <c r="M388" s="237"/>
      <c r="N388" s="237"/>
      <c r="O388" s="237"/>
      <c r="P388" s="237"/>
      <c r="Q388" s="237"/>
      <c r="R388" s="237"/>
      <c r="S388" s="237"/>
      <c r="T388" s="237"/>
      <c r="U388" s="237"/>
      <c r="V388" s="237"/>
      <c r="W388" s="237"/>
      <c r="X388" s="38"/>
      <c r="Y388" s="38"/>
      <c r="Z388" s="38"/>
      <c r="AA388" s="38"/>
      <c r="AB388" s="91"/>
      <c r="AC388" s="94" t="str">
        <f>IF(Eingabe[[#This Row],[V1]]="",IF(Eingabe[[#This Row],[Volle alternativ]]="","",Eingabe[[#This Row],[Volle alternativ]]),SUM(Eingabe[[#This Row],[V1]:[V4]]))</f>
        <v/>
      </c>
      <c r="AD388" s="6" t="str">
        <f>IF(Eingabe[[#This Row],[R1]]="",IF(Eingabe[[#This Row],[Räumer alternativ]]="","",Eingabe[[#This Row],[Räumer alternativ]]),SUM(Eingabe[[#This Row],[R1]:[R4]]))</f>
        <v/>
      </c>
      <c r="AE388" s="6" t="str">
        <f>IF(Eingabe[[#This Row],[F1]]="",IF(Eingabe[[#This Row],[Fehler alternativ]]="","",Eingabe[[#This Row],[Fehler alternativ]]),SUM(Eingabe[[#This Row],[F1]:[F4]]))</f>
        <v/>
      </c>
      <c r="AF388" s="6" t="str">
        <f>IF(Eingabe[[#This Row],[Volle]]="","",IF(Eingabe[[#This Row],[S1]]="",Eingabe[[#This Row],[Volle]]+Eingabe[[#This Row],[Räumer]],IF(Eingabe[[#This Row],[Volle]]+Eingabe[[#This Row],[Räumer]]=Eingabe[[#This Row],[S1]]+Eingabe[[#This Row],[S2]]+Eingabe[[#This Row],[S3]]+Eingabe[[#This Row],[S4]],Eingabe[[#This Row],[Volle]]+Eingabe[[#This Row],[Räumer]],"FEHLER")))</f>
        <v/>
      </c>
      <c r="AG388" s="6" t="str">
        <f>IF(Eingabe[[#This Row],[V1]]="","",Eingabe[[#This Row],[V1]]+Eingabe[[#This Row],[R1]])</f>
        <v/>
      </c>
      <c r="AH388" s="6" t="str">
        <f>IF(Eingabe[[#This Row],[V2]]="","",Eingabe[[#This Row],[V2]]+Eingabe[[#This Row],[R2]])</f>
        <v/>
      </c>
      <c r="AI388" s="6" t="str">
        <f>IF(Eingabe[[#This Row],[V3]]="","",Eingabe[[#This Row],[V3]]+Eingabe[[#This Row],[R3]])</f>
        <v/>
      </c>
      <c r="AJ388" s="6" t="str">
        <f>IF(Eingabe[[#This Row],[V4]]="","",Eingabe[[#This Row],[V4]]+Eingabe[[#This Row],[R4]])</f>
        <v/>
      </c>
      <c r="AK388" s="6" t="str">
        <f>IF(Eingabe[[#This Row],[S1P]]="","",Eingabe[[#This Row],[S1P]]+Eingabe[[#This Row],[S2P]]+Eingabe[[#This Row],[S3P]]+Eingabe[[#This Row],[S4P]])</f>
        <v/>
      </c>
      <c r="AL388" s="6" t="str">
        <f>IF(Eingabe[[#This Row],[S1P]]="","",IF(Eingabe[[#This Row],[SP]]&gt;2,1,IF(Eingabe[[#This Row],[SP]]&lt;2,0,IF(Eingabe[[#This Row],[GES]]&gt;Eingabe[[#This Row],[GEGGES]],1,IF(Eingabe[[#This Row],[GES]]=Eingabe[[#This Row],[GEGGES]],0.5,0)))))</f>
        <v/>
      </c>
      <c r="AM388" s="6" t="str">
        <f>IF(Eingabe[[#This Row],[MP]]="","",MOD(ROW(Eingabe[[#This Row],[Position]])-3,6)+1)</f>
        <v/>
      </c>
      <c r="AN388" s="6" t="e">
        <f>STANDARDIZE(Eingabe[[#This Row],[GES]],Eingabe[[#This Row],[Schnitt]],VLOOKUP(Eingabe[[#This Row],[Name]],AuswertungG[],21,FALSE))</f>
        <v>#VALUE!</v>
      </c>
      <c r="AO388" s="6">
        <f>VLOOKUP(Eingabe[[#This Row],[ID]],Chronologie[[ID]:[KW]],12,FALSE)</f>
        <v>30</v>
      </c>
      <c r="AP388" s="95" t="str">
        <f>IF(Eingabe[[#This Row],[Wo]]="H",Eingabe[[#This Row],[Gegner]]&amp;" ["&amp;Eingabe[[#This Row],[Wo]]&amp;"]",Eingabe[[#This Row],[Ort]])</f>
        <v>SV Krummenhennersdorf [H]</v>
      </c>
      <c r="AQ388" s="6" t="str">
        <f>IFERROR(IF(Eingabe[[#This Row],[Wo]]="H",IF(MOD(Eingabe[[#This Row],[Position]],2)=1,Eingabe[[#This Row],[S1]],Eingabe[[#This Row],[S4]]),""),"")</f>
        <v/>
      </c>
      <c r="AR388" s="6" t="str">
        <f>IFERROR(IF(Eingabe[[#This Row],[Wo]]="H",IF(Eingabe[[#This Row],[S1]]&gt;0,IF(MOD(Eingabe[[#This Row],[Position]],2)=1,Eingabe[[#This Row],[S2]],Eingabe[[#This Row],[S3]]),""),""),"")</f>
        <v/>
      </c>
      <c r="AS388" s="6" t="str">
        <f>IFERROR(IF(Eingabe[[#This Row],[Wo]]="H",IF(Eingabe[[#This Row],[S1]]&gt;0,IF(MOD(ROW(Eingabe[[#This Row],[Heimbahn 3]]),2)=1,Eingabe[[#This Row],[S4]],Eingabe[[#This Row],[S1]]),""),""),"")</f>
        <v/>
      </c>
      <c r="AT388" s="6" t="str">
        <f>IFERROR(IF(Eingabe[[#This Row],[Wo]]="H",IF(Eingabe[[#This Row],[S1]]&gt;0,IF(MOD(ROW(Eingabe[[#This Row],[Heimbahn 4]]),2)=1,Eingabe[[#This Row],[S3]],Eingabe[[#This Row],[S2]]),""),""),"")</f>
        <v/>
      </c>
      <c r="AU388" s="22" t="str">
        <f>IF(Eingabe[[#This Row],[GES]]="","",IF(Eingabe[[#This Row],[Modus]]="L",_xlfn.RANK.EQ(Eingabe[[#This Row],[GES]],AF387:AF392),IF(Eingabe[[#This Row],[Modus]]="P",_xlfn.RANK.EQ(Eingabe[[#This Row],[GES]],AF387:AF392),"")))</f>
        <v/>
      </c>
      <c r="AV388" s="6" t="e">
        <f>VLOOKUP(Eingabe[[#This Row],[Name]],AuswertungG[],8,FALSE)</f>
        <v>#N/A</v>
      </c>
      <c r="AZ388" s="6" t="str">
        <f>IFERROR(ABS(Eingabe[[#This Row],[GES]]-Eingabe[[#This Row],[GEGGES]]),"")</f>
        <v/>
      </c>
    </row>
    <row r="389" spans="1:52" ht="16.2" hidden="1" thickBot="1" x14ac:dyDescent="0.35">
      <c r="A389" s="441"/>
      <c r="B389" s="21">
        <f t="shared" si="46"/>
        <v>65</v>
      </c>
      <c r="C389" s="6" t="str">
        <f>VLOOKUP($B389,Chronologie[],7,TRUE)</f>
        <v>SV Krummenhennersdorf</v>
      </c>
      <c r="D389" s="6" t="str">
        <f>VLOOKUP($B389,Chronologie[],8,TRUE)</f>
        <v>Hirschfeld</v>
      </c>
      <c r="E389" s="240" t="str">
        <f>VLOOKUP($B389,Chronologie[],9,TRUE)</f>
        <v>H</v>
      </c>
      <c r="F389" s="6" t="str">
        <f>VLOOKUP($B389,Chronologie[],COLUMN(F390)-2,TRUE)</f>
        <v>D</v>
      </c>
      <c r="G389" s="6" t="str">
        <f>VLOOKUP($B389,Chronologie[],COLUMN(G390)-2,TRUE)</f>
        <v>L</v>
      </c>
      <c r="H389" s="6">
        <f>VLOOKUP($B389,Chronologie[],COLUMN(H390)-2,TRUE)</f>
        <v>9</v>
      </c>
      <c r="I389" s="10" t="str">
        <f>VLOOKUP($B389,Chronologie[],2,TRUE)</f>
        <v>D-L-9</v>
      </c>
      <c r="J389" s="243">
        <f>VLOOKUP($B389,Chronologie[],3,TRUE)</f>
        <v>46102</v>
      </c>
      <c r="K389" s="237"/>
      <c r="L389" s="237"/>
      <c r="M389" s="237"/>
      <c r="N389" s="237"/>
      <c r="O389" s="237"/>
      <c r="P389" s="237"/>
      <c r="Q389" s="237"/>
      <c r="R389" s="237"/>
      <c r="S389" s="237"/>
      <c r="T389" s="237"/>
      <c r="U389" s="237"/>
      <c r="V389" s="237"/>
      <c r="W389" s="237"/>
      <c r="X389" s="38"/>
      <c r="Y389" s="38"/>
      <c r="Z389" s="38"/>
      <c r="AA389" s="38"/>
      <c r="AB389" s="91"/>
      <c r="AC389" s="94" t="str">
        <f>IF(Eingabe[[#This Row],[V1]]="",IF(Eingabe[[#This Row],[Volle alternativ]]="","",Eingabe[[#This Row],[Volle alternativ]]),SUM(Eingabe[[#This Row],[V1]:[V4]]))</f>
        <v/>
      </c>
      <c r="AD389" s="6" t="str">
        <f>IF(Eingabe[[#This Row],[R1]]="",IF(Eingabe[[#This Row],[Räumer alternativ]]="","",Eingabe[[#This Row],[Räumer alternativ]]),SUM(Eingabe[[#This Row],[R1]:[R4]]))</f>
        <v/>
      </c>
      <c r="AE389" s="6" t="str">
        <f>IF(Eingabe[[#This Row],[F1]]="",IF(Eingabe[[#This Row],[Fehler alternativ]]="","",Eingabe[[#This Row],[Fehler alternativ]]),SUM(Eingabe[[#This Row],[F1]:[F4]]))</f>
        <v/>
      </c>
      <c r="AF389" s="6" t="str">
        <f>IF(Eingabe[[#This Row],[Volle]]="","",IF(Eingabe[[#This Row],[S1]]="",Eingabe[[#This Row],[Volle]]+Eingabe[[#This Row],[Räumer]],IF(Eingabe[[#This Row],[Volle]]+Eingabe[[#This Row],[Räumer]]=Eingabe[[#This Row],[S1]]+Eingabe[[#This Row],[S2]]+Eingabe[[#This Row],[S3]]+Eingabe[[#This Row],[S4]],Eingabe[[#This Row],[Volle]]+Eingabe[[#This Row],[Räumer]],"FEHLER")))</f>
        <v/>
      </c>
      <c r="AG389" s="6" t="str">
        <f>IF(Eingabe[[#This Row],[V1]]="","",Eingabe[[#This Row],[V1]]+Eingabe[[#This Row],[R1]])</f>
        <v/>
      </c>
      <c r="AH389" s="6" t="str">
        <f>IF(Eingabe[[#This Row],[V2]]="","",Eingabe[[#This Row],[V2]]+Eingabe[[#This Row],[R2]])</f>
        <v/>
      </c>
      <c r="AI389" s="6" t="str">
        <f>IF(Eingabe[[#This Row],[V3]]="","",Eingabe[[#This Row],[V3]]+Eingabe[[#This Row],[R3]])</f>
        <v/>
      </c>
      <c r="AJ389" s="6" t="str">
        <f>IF(Eingabe[[#This Row],[V4]]="","",Eingabe[[#This Row],[V4]]+Eingabe[[#This Row],[R4]])</f>
        <v/>
      </c>
      <c r="AK389" s="6" t="str">
        <f>IF(Eingabe[[#This Row],[S1P]]="","",Eingabe[[#This Row],[S1P]]+Eingabe[[#This Row],[S2P]]+Eingabe[[#This Row],[S3P]]+Eingabe[[#This Row],[S4P]])</f>
        <v/>
      </c>
      <c r="AL389" s="6" t="str">
        <f>IF(Eingabe[[#This Row],[S1P]]="","",IF(Eingabe[[#This Row],[SP]]&gt;2,1,IF(Eingabe[[#This Row],[SP]]&lt;2,0,IF(Eingabe[[#This Row],[GES]]&gt;Eingabe[[#This Row],[GEGGES]],1,IF(Eingabe[[#This Row],[GES]]=Eingabe[[#This Row],[GEGGES]],0.5,0)))))</f>
        <v/>
      </c>
      <c r="AM389" s="6" t="str">
        <f>IF(Eingabe[[#This Row],[MP]]="","",MOD(ROW(Eingabe[[#This Row],[Position]])-3,6)+1)</f>
        <v/>
      </c>
      <c r="AN389" s="6" t="e">
        <f>STANDARDIZE(Eingabe[[#This Row],[GES]],Eingabe[[#This Row],[Schnitt]],VLOOKUP(Eingabe[[#This Row],[Name]],AuswertungG[],21,FALSE))</f>
        <v>#VALUE!</v>
      </c>
      <c r="AO389" s="6">
        <f>VLOOKUP(Eingabe[[#This Row],[ID]],Chronologie[[ID]:[KW]],12,FALSE)</f>
        <v>30</v>
      </c>
      <c r="AP389" s="95" t="str">
        <f>IF(Eingabe[[#This Row],[Wo]]="H",Eingabe[[#This Row],[Gegner]]&amp;" ["&amp;Eingabe[[#This Row],[Wo]]&amp;"]",Eingabe[[#This Row],[Ort]])</f>
        <v>SV Krummenhennersdorf [H]</v>
      </c>
      <c r="AQ389" s="6" t="str">
        <f>IFERROR(IF(Eingabe[[#This Row],[Wo]]="H",IF(MOD(Eingabe[[#This Row],[Position]],2)=1,Eingabe[[#This Row],[S1]],Eingabe[[#This Row],[S4]]),""),"")</f>
        <v/>
      </c>
      <c r="AR389" s="6" t="str">
        <f>IFERROR(IF(Eingabe[[#This Row],[Wo]]="H",IF(Eingabe[[#This Row],[S1]]&gt;0,IF(MOD(Eingabe[[#This Row],[Position]],2)=1,Eingabe[[#This Row],[S2]],Eingabe[[#This Row],[S3]]),""),""),"")</f>
        <v/>
      </c>
      <c r="AS389" s="6" t="str">
        <f>IFERROR(IF(Eingabe[[#This Row],[Wo]]="H",IF(Eingabe[[#This Row],[S1]]&gt;0,IF(MOD(ROW(Eingabe[[#This Row],[Heimbahn 3]]),2)=1,Eingabe[[#This Row],[S4]],Eingabe[[#This Row],[S1]]),""),""),"")</f>
        <v/>
      </c>
      <c r="AT389" s="6" t="str">
        <f>IFERROR(IF(Eingabe[[#This Row],[Wo]]="H",IF(Eingabe[[#This Row],[S1]]&gt;0,IF(MOD(ROW(Eingabe[[#This Row],[Heimbahn 4]]),2)=1,Eingabe[[#This Row],[S3]],Eingabe[[#This Row],[S2]]),""),""),"")</f>
        <v/>
      </c>
      <c r="AU389" s="22" t="str">
        <f>IF(Eingabe[[#This Row],[GES]]="","",IF(Eingabe[[#This Row],[Modus]]="L",_xlfn.RANK.EQ(Eingabe[[#This Row],[GES]],AF387:AF392),IF(Eingabe[[#This Row],[Modus]]="P",_xlfn.RANK.EQ(Eingabe[[#This Row],[GES]],AF387:AF392),"")))</f>
        <v/>
      </c>
      <c r="AV389" s="6" t="e">
        <f>VLOOKUP(Eingabe[[#This Row],[Name]],AuswertungG[],8,FALSE)</f>
        <v>#N/A</v>
      </c>
      <c r="AZ389" s="6" t="str">
        <f>IFERROR(ABS(Eingabe[[#This Row],[GES]]-Eingabe[[#This Row],[GEGGES]]),"")</f>
        <v/>
      </c>
    </row>
    <row r="390" spans="1:52" ht="16.2" hidden="1" thickBot="1" x14ac:dyDescent="0.35">
      <c r="A390" s="441"/>
      <c r="B390" s="21">
        <f t="shared" si="46"/>
        <v>65</v>
      </c>
      <c r="C390" s="6" t="str">
        <f>VLOOKUP($B390,Chronologie[],7,TRUE)</f>
        <v>SV Krummenhennersdorf</v>
      </c>
      <c r="D390" s="6" t="str">
        <f>VLOOKUP($B390,Chronologie[],8,TRUE)</f>
        <v>Hirschfeld</v>
      </c>
      <c r="E390" s="240" t="str">
        <f>VLOOKUP($B390,Chronologie[],9,TRUE)</f>
        <v>H</v>
      </c>
      <c r="F390" s="6" t="str">
        <f>VLOOKUP($B390,Chronologie[],COLUMN(F391)-2,TRUE)</f>
        <v>D</v>
      </c>
      <c r="G390" s="6" t="str">
        <f>VLOOKUP($B390,Chronologie[],COLUMN(G391)-2,TRUE)</f>
        <v>L</v>
      </c>
      <c r="H390" s="6">
        <f>VLOOKUP($B390,Chronologie[],COLUMN(H391)-2,TRUE)</f>
        <v>9</v>
      </c>
      <c r="I390" s="10" t="str">
        <f>VLOOKUP($B390,Chronologie[],2,TRUE)</f>
        <v>D-L-9</v>
      </c>
      <c r="J390" s="243">
        <f>VLOOKUP($B390,Chronologie[],3,TRUE)</f>
        <v>46102</v>
      </c>
      <c r="K390" s="238"/>
      <c r="L390" s="237"/>
      <c r="M390" s="237"/>
      <c r="N390" s="237"/>
      <c r="O390" s="237"/>
      <c r="P390" s="237"/>
      <c r="Q390" s="237"/>
      <c r="R390" s="237"/>
      <c r="S390" s="237"/>
      <c r="T390" s="237"/>
      <c r="U390" s="237"/>
      <c r="V390" s="237"/>
      <c r="W390" s="237"/>
      <c r="X390" s="38"/>
      <c r="Y390" s="38"/>
      <c r="Z390" s="38"/>
      <c r="AA390" s="38"/>
      <c r="AB390" s="91"/>
      <c r="AC390" s="94" t="str">
        <f>IF(Eingabe[[#This Row],[V1]]="",IF(Eingabe[[#This Row],[Volle alternativ]]="","",Eingabe[[#This Row],[Volle alternativ]]),SUM(Eingabe[[#This Row],[V1]:[V4]]))</f>
        <v/>
      </c>
      <c r="AD390" s="6" t="str">
        <f>IF(Eingabe[[#This Row],[R1]]="",IF(Eingabe[[#This Row],[Räumer alternativ]]="","",Eingabe[[#This Row],[Räumer alternativ]]),SUM(Eingabe[[#This Row],[R1]:[R4]]))</f>
        <v/>
      </c>
      <c r="AE390" s="6" t="str">
        <f>IF(Eingabe[[#This Row],[F1]]="",IF(Eingabe[[#This Row],[Fehler alternativ]]="","",Eingabe[[#This Row],[Fehler alternativ]]),SUM(Eingabe[[#This Row],[F1]:[F4]]))</f>
        <v/>
      </c>
      <c r="AF390" s="6" t="str">
        <f>IF(Eingabe[[#This Row],[Volle]]="","",IF(Eingabe[[#This Row],[S1]]="",Eingabe[[#This Row],[Volle]]+Eingabe[[#This Row],[Räumer]],IF(Eingabe[[#This Row],[Volle]]+Eingabe[[#This Row],[Räumer]]=Eingabe[[#This Row],[S1]]+Eingabe[[#This Row],[S2]]+Eingabe[[#This Row],[S3]]+Eingabe[[#This Row],[S4]],Eingabe[[#This Row],[Volle]]+Eingabe[[#This Row],[Räumer]],"FEHLER")))</f>
        <v/>
      </c>
      <c r="AG390" s="6" t="str">
        <f>IF(Eingabe[[#This Row],[V1]]="","",Eingabe[[#This Row],[V1]]+Eingabe[[#This Row],[R1]])</f>
        <v/>
      </c>
      <c r="AH390" s="6" t="str">
        <f>IF(Eingabe[[#This Row],[V2]]="","",Eingabe[[#This Row],[V2]]+Eingabe[[#This Row],[R2]])</f>
        <v/>
      </c>
      <c r="AI390" s="6" t="str">
        <f>IF(Eingabe[[#This Row],[V3]]="","",Eingabe[[#This Row],[V3]]+Eingabe[[#This Row],[R3]])</f>
        <v/>
      </c>
      <c r="AJ390" s="6" t="str">
        <f>IF(Eingabe[[#This Row],[V4]]="","",Eingabe[[#This Row],[V4]]+Eingabe[[#This Row],[R4]])</f>
        <v/>
      </c>
      <c r="AK390" s="6" t="str">
        <f>IF(Eingabe[[#This Row],[S1P]]="","",Eingabe[[#This Row],[S1P]]+Eingabe[[#This Row],[S2P]]+Eingabe[[#This Row],[S3P]]+Eingabe[[#This Row],[S4P]])</f>
        <v/>
      </c>
      <c r="AL390" s="6" t="str">
        <f>IF(Eingabe[[#This Row],[S1P]]="","",IF(Eingabe[[#This Row],[SP]]&gt;2,1,IF(Eingabe[[#This Row],[SP]]&lt;2,0,IF(Eingabe[[#This Row],[GES]]&gt;Eingabe[[#This Row],[GEGGES]],1,IF(Eingabe[[#This Row],[GES]]=Eingabe[[#This Row],[GEGGES]],0.5,0)))))</f>
        <v/>
      </c>
      <c r="AM390" s="6" t="str">
        <f>IF(Eingabe[[#This Row],[MP]]="","",MOD(ROW(Eingabe[[#This Row],[Position]])-3,6)+1)</f>
        <v/>
      </c>
      <c r="AN390" s="6" t="e">
        <f>STANDARDIZE(Eingabe[[#This Row],[GES]],Eingabe[[#This Row],[Schnitt]],VLOOKUP(Eingabe[[#This Row],[Name]],AuswertungG[],21,FALSE))</f>
        <v>#VALUE!</v>
      </c>
      <c r="AO390" s="6">
        <f>VLOOKUP(Eingabe[[#This Row],[ID]],Chronologie[[ID]:[KW]],12,FALSE)</f>
        <v>30</v>
      </c>
      <c r="AP390" s="95" t="str">
        <f>IF(Eingabe[[#This Row],[Wo]]="H",Eingabe[[#This Row],[Gegner]]&amp;" ["&amp;Eingabe[[#This Row],[Wo]]&amp;"]",Eingabe[[#This Row],[Ort]])</f>
        <v>SV Krummenhennersdorf [H]</v>
      </c>
      <c r="AQ390" s="6" t="str">
        <f>IFERROR(IF(Eingabe[[#This Row],[Wo]]="H",IF(MOD(Eingabe[[#This Row],[Position]],2)=1,Eingabe[[#This Row],[S1]],Eingabe[[#This Row],[S4]]),""),"")</f>
        <v/>
      </c>
      <c r="AR390" s="6" t="str">
        <f>IFERROR(IF(Eingabe[[#This Row],[Wo]]="H",IF(Eingabe[[#This Row],[S1]]&gt;0,IF(MOD(Eingabe[[#This Row],[Position]],2)=1,Eingabe[[#This Row],[S2]],Eingabe[[#This Row],[S3]]),""),""),"")</f>
        <v/>
      </c>
      <c r="AS390" s="6" t="str">
        <f>IFERROR(IF(Eingabe[[#This Row],[Wo]]="H",IF(Eingabe[[#This Row],[S1]]&gt;0,IF(MOD(ROW(Eingabe[[#This Row],[Heimbahn 3]]),2)=1,Eingabe[[#This Row],[S4]],Eingabe[[#This Row],[S1]]),""),""),"")</f>
        <v/>
      </c>
      <c r="AT390" s="6" t="str">
        <f>IFERROR(IF(Eingabe[[#This Row],[Wo]]="H",IF(Eingabe[[#This Row],[S1]]&gt;0,IF(MOD(ROW(Eingabe[[#This Row],[Heimbahn 4]]),2)=1,Eingabe[[#This Row],[S3]],Eingabe[[#This Row],[S2]]),""),""),"")</f>
        <v/>
      </c>
      <c r="AU390" s="22" t="str">
        <f>IF(Eingabe[[#This Row],[GES]]="","",IF(Eingabe[[#This Row],[Modus]]="L",_xlfn.RANK.EQ(Eingabe[[#This Row],[GES]],AF387:AF392),IF(Eingabe[[#This Row],[Modus]]="P",_xlfn.RANK.EQ(Eingabe[[#This Row],[GES]],AF387:AF392),"")))</f>
        <v/>
      </c>
      <c r="AV390" s="6" t="e">
        <f>VLOOKUP(Eingabe[[#This Row],[Name]],AuswertungG[],8,FALSE)</f>
        <v>#N/A</v>
      </c>
      <c r="AZ390" s="6" t="str">
        <f>IFERROR(ABS(Eingabe[[#This Row],[GES]]-Eingabe[[#This Row],[GEGGES]]),"")</f>
        <v/>
      </c>
    </row>
    <row r="391" spans="1:52" ht="16.2" hidden="1" thickBot="1" x14ac:dyDescent="0.35">
      <c r="A391" s="441"/>
      <c r="B391" s="21">
        <f t="shared" si="46"/>
        <v>65</v>
      </c>
      <c r="C391" s="6" t="str">
        <f>VLOOKUP($B391,Chronologie[],7,TRUE)</f>
        <v>SV Krummenhennersdorf</v>
      </c>
      <c r="D391" s="6" t="str">
        <f>VLOOKUP($B391,Chronologie[],8,TRUE)</f>
        <v>Hirschfeld</v>
      </c>
      <c r="E391" s="240" t="str">
        <f>VLOOKUP($B391,Chronologie[],9,TRUE)</f>
        <v>H</v>
      </c>
      <c r="F391" s="6" t="str">
        <f>VLOOKUP($B391,Chronologie[],COLUMN(F392)-2,TRUE)</f>
        <v>D</v>
      </c>
      <c r="G391" s="6" t="str">
        <f>VLOOKUP($B391,Chronologie[],COLUMN(G392)-2,TRUE)</f>
        <v>L</v>
      </c>
      <c r="H391" s="6">
        <f>VLOOKUP($B391,Chronologie[],COLUMN(H392)-2,TRUE)</f>
        <v>9</v>
      </c>
      <c r="I391" s="10" t="str">
        <f>VLOOKUP($B391,Chronologie[],2,TRUE)</f>
        <v>D-L-9</v>
      </c>
      <c r="J391" s="243">
        <f>VLOOKUP($B391,Chronologie[],3,TRUE)</f>
        <v>46102</v>
      </c>
      <c r="K391" s="237"/>
      <c r="L391" s="237"/>
      <c r="M391" s="237"/>
      <c r="N391" s="237"/>
      <c r="O391" s="237"/>
      <c r="P391" s="237"/>
      <c r="Q391" s="237"/>
      <c r="R391" s="237"/>
      <c r="S391" s="237"/>
      <c r="T391" s="237"/>
      <c r="U391" s="237"/>
      <c r="V391" s="237"/>
      <c r="W391" s="237"/>
      <c r="X391" s="38"/>
      <c r="Y391" s="38"/>
      <c r="Z391" s="38"/>
      <c r="AA391" s="38"/>
      <c r="AB391" s="91"/>
      <c r="AC391" s="94" t="str">
        <f>IF(Eingabe[[#This Row],[V1]]="",IF(Eingabe[[#This Row],[Volle alternativ]]="","",Eingabe[[#This Row],[Volle alternativ]]),SUM(Eingabe[[#This Row],[V1]:[V4]]))</f>
        <v/>
      </c>
      <c r="AD391" s="6" t="str">
        <f>IF(Eingabe[[#This Row],[R1]]="",IF(Eingabe[[#This Row],[Räumer alternativ]]="","",Eingabe[[#This Row],[Räumer alternativ]]),SUM(Eingabe[[#This Row],[R1]:[R4]]))</f>
        <v/>
      </c>
      <c r="AE391" s="6" t="str">
        <f>IF(Eingabe[[#This Row],[F1]]="",IF(Eingabe[[#This Row],[Fehler alternativ]]="","",Eingabe[[#This Row],[Fehler alternativ]]),SUM(Eingabe[[#This Row],[F1]:[F4]]))</f>
        <v/>
      </c>
      <c r="AF391" s="6" t="str">
        <f>IF(Eingabe[[#This Row],[Volle]]="","",IF(Eingabe[[#This Row],[S1]]="",Eingabe[[#This Row],[Volle]]+Eingabe[[#This Row],[Räumer]],IF(Eingabe[[#This Row],[Volle]]+Eingabe[[#This Row],[Räumer]]=Eingabe[[#This Row],[S1]]+Eingabe[[#This Row],[S2]]+Eingabe[[#This Row],[S3]]+Eingabe[[#This Row],[S4]],Eingabe[[#This Row],[Volle]]+Eingabe[[#This Row],[Räumer]],"FEHLER")))</f>
        <v/>
      </c>
      <c r="AG391" s="6" t="str">
        <f>IF(Eingabe[[#This Row],[V1]]="","",Eingabe[[#This Row],[V1]]+Eingabe[[#This Row],[R1]])</f>
        <v/>
      </c>
      <c r="AH391" s="6" t="str">
        <f>IF(Eingabe[[#This Row],[V2]]="","",Eingabe[[#This Row],[V2]]+Eingabe[[#This Row],[R2]])</f>
        <v/>
      </c>
      <c r="AI391" s="6" t="str">
        <f>IF(Eingabe[[#This Row],[V3]]="","",Eingabe[[#This Row],[V3]]+Eingabe[[#This Row],[R3]])</f>
        <v/>
      </c>
      <c r="AJ391" s="6" t="str">
        <f>IF(Eingabe[[#This Row],[V4]]="","",Eingabe[[#This Row],[V4]]+Eingabe[[#This Row],[R4]])</f>
        <v/>
      </c>
      <c r="AK391" s="6" t="str">
        <f>IF(Eingabe[[#This Row],[S1P]]="","",Eingabe[[#This Row],[S1P]]+Eingabe[[#This Row],[S2P]]+Eingabe[[#This Row],[S3P]]+Eingabe[[#This Row],[S4P]])</f>
        <v/>
      </c>
      <c r="AL391" s="6" t="str">
        <f>IF(Eingabe[[#This Row],[S1P]]="","",IF(Eingabe[[#This Row],[SP]]&gt;2,1,IF(Eingabe[[#This Row],[SP]]&lt;2,0,IF(Eingabe[[#This Row],[GES]]&gt;Eingabe[[#This Row],[GEGGES]],1,IF(Eingabe[[#This Row],[GES]]=Eingabe[[#This Row],[GEGGES]],0.5,0)))))</f>
        <v/>
      </c>
      <c r="AM391" s="6" t="str">
        <f>IF(Eingabe[[#This Row],[MP]]="","",MOD(ROW(Eingabe[[#This Row],[Position]])-3,6)+1)</f>
        <v/>
      </c>
      <c r="AN391" s="6" t="e">
        <f>STANDARDIZE(Eingabe[[#This Row],[GES]],Eingabe[[#This Row],[Schnitt]],VLOOKUP(Eingabe[[#This Row],[Name]],AuswertungG[],21,FALSE))</f>
        <v>#VALUE!</v>
      </c>
      <c r="AO391" s="6">
        <f>VLOOKUP(Eingabe[[#This Row],[ID]],Chronologie[[ID]:[KW]],12,FALSE)</f>
        <v>30</v>
      </c>
      <c r="AP391" s="95" t="str">
        <f>IF(Eingabe[[#This Row],[Wo]]="H",Eingabe[[#This Row],[Gegner]]&amp;" ["&amp;Eingabe[[#This Row],[Wo]]&amp;"]",Eingabe[[#This Row],[Ort]])</f>
        <v>SV Krummenhennersdorf [H]</v>
      </c>
      <c r="AQ391" s="6" t="str">
        <f>IFERROR(IF(Eingabe[[#This Row],[Wo]]="H",IF(MOD(Eingabe[[#This Row],[Position]],2)=1,Eingabe[[#This Row],[S1]],Eingabe[[#This Row],[S4]]),""),"")</f>
        <v/>
      </c>
      <c r="AR391" s="6" t="str">
        <f>IFERROR(IF(Eingabe[[#This Row],[Wo]]="H",IF(Eingabe[[#This Row],[S1]]&gt;0,IF(MOD(Eingabe[[#This Row],[Position]],2)=1,Eingabe[[#This Row],[S2]],Eingabe[[#This Row],[S3]]),""),""),"")</f>
        <v/>
      </c>
      <c r="AS391" s="6" t="str">
        <f>IFERROR(IF(Eingabe[[#This Row],[Wo]]="H",IF(Eingabe[[#This Row],[S1]]&gt;0,IF(MOD(ROW(Eingabe[[#This Row],[Heimbahn 3]]),2)=1,Eingabe[[#This Row],[S4]],Eingabe[[#This Row],[S1]]),""),""),"")</f>
        <v/>
      </c>
      <c r="AT391" s="6" t="str">
        <f>IFERROR(IF(Eingabe[[#This Row],[Wo]]="H",IF(Eingabe[[#This Row],[S1]]&gt;0,IF(MOD(ROW(Eingabe[[#This Row],[Heimbahn 4]]),2)=1,Eingabe[[#This Row],[S3]],Eingabe[[#This Row],[S2]]),""),""),"")</f>
        <v/>
      </c>
      <c r="AU391" s="22" t="str">
        <f>IF(Eingabe[[#This Row],[GES]]="","",IF(Eingabe[[#This Row],[Modus]]="L",_xlfn.RANK.EQ(Eingabe[[#This Row],[GES]],AF387:AF392),IF(Eingabe[[#This Row],[Modus]]="P",_xlfn.RANK.EQ(Eingabe[[#This Row],[GES]],AF387:AF392),"")))</f>
        <v/>
      </c>
      <c r="AV391" s="6" t="e">
        <f>VLOOKUP(Eingabe[[#This Row],[Name]],AuswertungG[],8,FALSE)</f>
        <v>#N/A</v>
      </c>
      <c r="AZ391" s="6" t="str">
        <f>IFERROR(ABS(Eingabe[[#This Row],[GES]]-Eingabe[[#This Row],[GEGGES]]),"")</f>
        <v/>
      </c>
    </row>
    <row r="392" spans="1:52" ht="16.2" hidden="1" thickBot="1" x14ac:dyDescent="0.35">
      <c r="A392" s="442"/>
      <c r="B392" s="56">
        <f t="shared" si="46"/>
        <v>65</v>
      </c>
      <c r="C392" s="23" t="str">
        <f>VLOOKUP($B392,Chronologie[],7,TRUE)</f>
        <v>SV Krummenhennersdorf</v>
      </c>
      <c r="D392" s="23" t="str">
        <f>VLOOKUP($B392,Chronologie[],8,TRUE)</f>
        <v>Hirschfeld</v>
      </c>
      <c r="E392" s="39" t="str">
        <f>VLOOKUP($B392,Chronologie[],9,TRUE)</f>
        <v>H</v>
      </c>
      <c r="F392" s="23" t="str">
        <f>VLOOKUP($B392,Chronologie[],COLUMN(F393)-2,TRUE)</f>
        <v>D</v>
      </c>
      <c r="G392" s="23" t="str">
        <f>VLOOKUP($B392,Chronologie[],COLUMN(G393)-2,TRUE)</f>
        <v>L</v>
      </c>
      <c r="H392" s="23">
        <f>VLOOKUP($B392,Chronologie[],COLUMN(H393)-2,TRUE)</f>
        <v>9</v>
      </c>
      <c r="I392" s="13" t="str">
        <f>VLOOKUP($B392,Chronologie[],2,TRUE)</f>
        <v>D-L-9</v>
      </c>
      <c r="J392" s="244">
        <f>VLOOKUP($B392,Chronologie[],3,TRUE)</f>
        <v>46102</v>
      </c>
      <c r="K392" s="239"/>
      <c r="L392" s="239"/>
      <c r="M392" s="239"/>
      <c r="N392" s="239"/>
      <c r="O392" s="239"/>
      <c r="P392" s="239"/>
      <c r="Q392" s="239"/>
      <c r="R392" s="239"/>
      <c r="S392" s="239"/>
      <c r="T392" s="239"/>
      <c r="U392" s="239"/>
      <c r="V392" s="239"/>
      <c r="W392" s="239"/>
      <c r="X392" s="40"/>
      <c r="Y392" s="40"/>
      <c r="Z392" s="40"/>
      <c r="AA392" s="40"/>
      <c r="AB392" s="92"/>
      <c r="AC392" s="96" t="str">
        <f>IF(Eingabe[[#This Row],[V1]]="",IF(Eingabe[[#This Row],[Volle alternativ]]="","",Eingabe[[#This Row],[Volle alternativ]]),SUM(Eingabe[[#This Row],[V1]:[V4]]))</f>
        <v/>
      </c>
      <c r="AD392" s="23" t="str">
        <f>IF(Eingabe[[#This Row],[R1]]="",IF(Eingabe[[#This Row],[Räumer alternativ]]="","",Eingabe[[#This Row],[Räumer alternativ]]),SUM(Eingabe[[#This Row],[R1]:[R4]]))</f>
        <v/>
      </c>
      <c r="AE392" s="23" t="str">
        <f>IF(Eingabe[[#This Row],[F1]]="",IF(Eingabe[[#This Row],[Fehler alternativ]]="","",Eingabe[[#This Row],[Fehler alternativ]]),SUM(Eingabe[[#This Row],[F1]:[F4]]))</f>
        <v/>
      </c>
      <c r="AF392" s="23" t="str">
        <f>IF(Eingabe[[#This Row],[Volle]]="","",IF(Eingabe[[#This Row],[S1]]="",Eingabe[[#This Row],[Volle]]+Eingabe[[#This Row],[Räumer]],IF(Eingabe[[#This Row],[Volle]]+Eingabe[[#This Row],[Räumer]]=Eingabe[[#This Row],[S1]]+Eingabe[[#This Row],[S2]]+Eingabe[[#This Row],[S3]]+Eingabe[[#This Row],[S4]],Eingabe[[#This Row],[Volle]]+Eingabe[[#This Row],[Räumer]],"FEHLER")))</f>
        <v/>
      </c>
      <c r="AG392" s="23" t="str">
        <f>IF(Eingabe[[#This Row],[V1]]="","",Eingabe[[#This Row],[V1]]+Eingabe[[#This Row],[R1]])</f>
        <v/>
      </c>
      <c r="AH392" s="23" t="str">
        <f>IF(Eingabe[[#This Row],[V2]]="","",Eingabe[[#This Row],[V2]]+Eingabe[[#This Row],[R2]])</f>
        <v/>
      </c>
      <c r="AI392" s="23" t="str">
        <f>IF(Eingabe[[#This Row],[V3]]="","",Eingabe[[#This Row],[V3]]+Eingabe[[#This Row],[R3]])</f>
        <v/>
      </c>
      <c r="AJ392" s="23" t="str">
        <f>IF(Eingabe[[#This Row],[V4]]="","",Eingabe[[#This Row],[V4]]+Eingabe[[#This Row],[R4]])</f>
        <v/>
      </c>
      <c r="AK392" s="23" t="str">
        <f>IF(Eingabe[[#This Row],[S1P]]="","",Eingabe[[#This Row],[S1P]]+Eingabe[[#This Row],[S2P]]+Eingabe[[#This Row],[S3P]]+Eingabe[[#This Row],[S4P]])</f>
        <v/>
      </c>
      <c r="AL392" s="23" t="str">
        <f>IF(Eingabe[[#This Row],[S1P]]="","",IF(Eingabe[[#This Row],[SP]]&gt;2,1,IF(Eingabe[[#This Row],[SP]]&lt;2,0,IF(Eingabe[[#This Row],[GES]]&gt;Eingabe[[#This Row],[GEGGES]],1,IF(Eingabe[[#This Row],[GES]]=Eingabe[[#This Row],[GEGGES]],0.5,0)))))</f>
        <v/>
      </c>
      <c r="AM392" s="23" t="str">
        <f>IF(Eingabe[[#This Row],[MP]]="","",MOD(ROW(Eingabe[[#This Row],[Position]])-3,6)+1)</f>
        <v/>
      </c>
      <c r="AN392" s="23" t="e">
        <f>STANDARDIZE(Eingabe[[#This Row],[GES]],Eingabe[[#This Row],[Schnitt]],VLOOKUP(Eingabe[[#This Row],[Name]],AuswertungG[],21,FALSE))</f>
        <v>#VALUE!</v>
      </c>
      <c r="AO392" s="23">
        <f>VLOOKUP(Eingabe[[#This Row],[ID]],Chronologie[[ID]:[KW]],12,FALSE)</f>
        <v>30</v>
      </c>
      <c r="AP392" s="59" t="str">
        <f>IF(Eingabe[[#This Row],[Wo]]="H",Eingabe[[#This Row],[Gegner]]&amp;" ["&amp;Eingabe[[#This Row],[Wo]]&amp;"]",Eingabe[[#This Row],[Ort]])</f>
        <v>SV Krummenhennersdorf [H]</v>
      </c>
      <c r="AQ392" s="23" t="str">
        <f>IFERROR(IF(Eingabe[[#This Row],[Wo]]="H",IF(MOD(Eingabe[[#This Row],[Position]],2)=1,Eingabe[[#This Row],[S1]],Eingabe[[#This Row],[S4]]),""),"")</f>
        <v/>
      </c>
      <c r="AR392" s="23" t="str">
        <f>IFERROR(IF(Eingabe[[#This Row],[Wo]]="H",IF(Eingabe[[#This Row],[S1]]&gt;0,IF(MOD(Eingabe[[#This Row],[Position]],2)=1,Eingabe[[#This Row],[S2]],Eingabe[[#This Row],[S3]]),""),""),"")</f>
        <v/>
      </c>
      <c r="AS392" s="23" t="str">
        <f>IFERROR(IF(Eingabe[[#This Row],[Wo]]="H",IF(Eingabe[[#This Row],[S1]]&gt;0,IF(MOD(ROW(Eingabe[[#This Row],[Heimbahn 3]]),2)=1,Eingabe[[#This Row],[S4]],Eingabe[[#This Row],[S1]]),""),""),"")</f>
        <v/>
      </c>
      <c r="AT392" s="23" t="str">
        <f>IFERROR(IF(Eingabe[[#This Row],[Wo]]="H",IF(Eingabe[[#This Row],[S1]]&gt;0,IF(MOD(ROW(Eingabe[[#This Row],[Heimbahn 4]]),2)=1,Eingabe[[#This Row],[S3]],Eingabe[[#This Row],[S2]]),""),""),"")</f>
        <v/>
      </c>
      <c r="AU392" s="89" t="str">
        <f>IF(Eingabe[[#This Row],[GES]]="","",IF(Eingabe[[#This Row],[Modus]]="L",_xlfn.RANK.EQ(Eingabe[[#This Row],[GES]],AF387:AF392),IF(Eingabe[[#This Row],[Modus]]="P",_xlfn.RANK.EQ(Eingabe[[#This Row],[GES]],AF387:AF392),"")))</f>
        <v/>
      </c>
      <c r="AV392" s="6" t="e">
        <f>VLOOKUP(Eingabe[[#This Row],[Name]],AuswertungG[],8,FALSE)</f>
        <v>#N/A</v>
      </c>
      <c r="AZ392" s="6" t="str">
        <f>IFERROR(ABS(Eingabe[[#This Row],[GES]]-Eingabe[[#This Row],[GEGGES]]),"")</f>
        <v/>
      </c>
    </row>
    <row r="393" spans="1:52" ht="16.2" hidden="1" thickBot="1" x14ac:dyDescent="0.35">
      <c r="A393" s="440">
        <f t="shared" si="45"/>
        <v>66</v>
      </c>
      <c r="B393" s="55">
        <f t="shared" si="46"/>
        <v>66</v>
      </c>
      <c r="C393" s="35" t="str">
        <f>VLOOKUP($B393,Chronologie[],7,TRUE)</f>
        <v>BKC 52</v>
      </c>
      <c r="D393" s="35" t="str">
        <f>VLOOKUP($B393,Chronologie[],8,TRUE)</f>
        <v>Brand-Erbisdorf</v>
      </c>
      <c r="E393" s="36" t="str">
        <f>VLOOKUP($B393,Chronologie[],9,TRUE)</f>
        <v>A</v>
      </c>
      <c r="F393" s="35" t="str">
        <f>VLOOKUP($B393,Chronologie[],COLUMN(F394)-2,TRUE)</f>
        <v>D</v>
      </c>
      <c r="G393" s="35" t="str">
        <f>VLOOKUP($B393,Chronologie[],COLUMN(G394)-2,TRUE)</f>
        <v>L</v>
      </c>
      <c r="H393" s="35">
        <f>VLOOKUP($B393,Chronologie[],COLUMN(H394)-2,TRUE)</f>
        <v>10</v>
      </c>
      <c r="I393" s="9" t="str">
        <f>VLOOKUP($B393,Chronologie[],2,TRUE)</f>
        <v>D-L-10</v>
      </c>
      <c r="J393" s="242">
        <f>VLOOKUP($B393,Chronologie[],3,TRUE)</f>
        <v>46109</v>
      </c>
      <c r="K393" s="236"/>
      <c r="L393" s="334"/>
      <c r="M393" s="334"/>
      <c r="N393" s="334"/>
      <c r="O393" s="334"/>
      <c r="P393" s="334"/>
      <c r="Q393" s="334"/>
      <c r="R393" s="334"/>
      <c r="S393" s="334"/>
      <c r="T393" s="334"/>
      <c r="U393" s="334"/>
      <c r="V393" s="334"/>
      <c r="W393" s="334"/>
      <c r="X393" s="37"/>
      <c r="Y393" s="37"/>
      <c r="Z393" s="37"/>
      <c r="AA393" s="37"/>
      <c r="AB393" s="90"/>
      <c r="AC393" s="93" t="str">
        <f>IF(Eingabe[[#This Row],[V1]]="",IF(Eingabe[[#This Row],[Volle alternativ]]="","",Eingabe[[#This Row],[Volle alternativ]]),SUM(Eingabe[[#This Row],[V1]:[V4]]))</f>
        <v/>
      </c>
      <c r="AD393" s="35" t="str">
        <f>IF(Eingabe[[#This Row],[R1]]="",IF(Eingabe[[#This Row],[Räumer alternativ]]="","",Eingabe[[#This Row],[Räumer alternativ]]),SUM(Eingabe[[#This Row],[R1]:[R4]]))</f>
        <v/>
      </c>
      <c r="AE393" s="35" t="str">
        <f>IF(Eingabe[[#This Row],[F1]]="",IF(Eingabe[[#This Row],[Fehler alternativ]]="","",Eingabe[[#This Row],[Fehler alternativ]]),SUM(Eingabe[[#This Row],[F1]:[F4]]))</f>
        <v/>
      </c>
      <c r="AF393" s="35" t="str">
        <f>IF(Eingabe[[#This Row],[Volle]]="","",IF(Eingabe[[#This Row],[S1]]="",Eingabe[[#This Row],[Volle]]+Eingabe[[#This Row],[Räumer]],IF(Eingabe[[#This Row],[Volle]]+Eingabe[[#This Row],[Räumer]]=Eingabe[[#This Row],[S1]]+Eingabe[[#This Row],[S2]]+Eingabe[[#This Row],[S3]]+Eingabe[[#This Row],[S4]],Eingabe[[#This Row],[Volle]]+Eingabe[[#This Row],[Räumer]],"FEHLER")))</f>
        <v/>
      </c>
      <c r="AG393" s="35" t="str">
        <f>IF(Eingabe[[#This Row],[V1]]="","",Eingabe[[#This Row],[V1]]+Eingabe[[#This Row],[R1]])</f>
        <v/>
      </c>
      <c r="AH393" s="35" t="str">
        <f>IF(Eingabe[[#This Row],[V2]]="","",Eingabe[[#This Row],[V2]]+Eingabe[[#This Row],[R2]])</f>
        <v/>
      </c>
      <c r="AI393" s="35" t="str">
        <f>IF(Eingabe[[#This Row],[V3]]="","",Eingabe[[#This Row],[V3]]+Eingabe[[#This Row],[R3]])</f>
        <v/>
      </c>
      <c r="AJ393" s="35" t="str">
        <f>IF(Eingabe[[#This Row],[V4]]="","",Eingabe[[#This Row],[V4]]+Eingabe[[#This Row],[R4]])</f>
        <v/>
      </c>
      <c r="AK393" s="35" t="str">
        <f>IF(Eingabe[[#This Row],[S1P]]="","",Eingabe[[#This Row],[S1P]]+Eingabe[[#This Row],[S2P]]+Eingabe[[#This Row],[S3P]]+Eingabe[[#This Row],[S4P]])</f>
        <v/>
      </c>
      <c r="AL393" s="35" t="str">
        <f>IF(Eingabe[[#This Row],[S1P]]="","",IF(Eingabe[[#This Row],[SP]]&gt;2,1,IF(Eingabe[[#This Row],[SP]]&lt;2,0,IF(Eingabe[[#This Row],[GES]]&gt;Eingabe[[#This Row],[GEGGES]],1,IF(Eingabe[[#This Row],[GES]]=Eingabe[[#This Row],[GEGGES]],0.5,0)))))</f>
        <v/>
      </c>
      <c r="AM393" s="35" t="str">
        <f>IF(Eingabe[[#This Row],[MP]]="","",MOD(ROW(Eingabe[[#This Row],[Position]])-3,6)+1)</f>
        <v/>
      </c>
      <c r="AN393" s="35" t="e">
        <f>STANDARDIZE(Eingabe[[#This Row],[GES]],Eingabe[[#This Row],[Schnitt]],VLOOKUP(Eingabe[[#This Row],[Name]],AuswertungG[],21,FALSE))</f>
        <v>#VALUE!</v>
      </c>
      <c r="AO393" s="35">
        <f>VLOOKUP(Eingabe[[#This Row],[ID]],Chronologie[[ID]:[KW]],12,FALSE)</f>
        <v>31</v>
      </c>
      <c r="AP393" s="58" t="str">
        <f>IF(Eingabe[[#This Row],[Wo]]="H",Eingabe[[#This Row],[Gegner]]&amp;" ["&amp;Eingabe[[#This Row],[Wo]]&amp;"]",Eingabe[[#This Row],[Ort]])</f>
        <v>Brand-Erbisdorf</v>
      </c>
      <c r="AQ393" s="35" t="str">
        <f>IFERROR(IF(Eingabe[[#This Row],[Wo]]="H",IF(MOD(Eingabe[[#This Row],[Position]],2)=1,Eingabe[[#This Row],[S1]],Eingabe[[#This Row],[S4]]),""),"")</f>
        <v/>
      </c>
      <c r="AR393" s="35" t="str">
        <f>IFERROR(IF(Eingabe[[#This Row],[Wo]]="H",IF(Eingabe[[#This Row],[S1]]&gt;0,IF(MOD(Eingabe[[#This Row],[Position]],2)=1,Eingabe[[#This Row],[S2]],Eingabe[[#This Row],[S3]]),""),""),"")</f>
        <v/>
      </c>
      <c r="AS393" s="35" t="str">
        <f>IFERROR(IF(Eingabe[[#This Row],[Wo]]="H",IF(Eingabe[[#This Row],[S1]]&gt;0,IF(MOD(ROW(Eingabe[[#This Row],[Heimbahn 3]]),2)=1,Eingabe[[#This Row],[S4]],Eingabe[[#This Row],[S1]]),""),""),"")</f>
        <v/>
      </c>
      <c r="AT393" s="35" t="str">
        <f>IFERROR(IF(Eingabe[[#This Row],[Wo]]="H",IF(Eingabe[[#This Row],[S1]]&gt;0,IF(MOD(ROW(Eingabe[[#This Row],[Heimbahn 4]]),2)=1,Eingabe[[#This Row],[S3]],Eingabe[[#This Row],[S2]]),""),""),"")</f>
        <v/>
      </c>
      <c r="AU393" s="88" t="str">
        <f>IF(Eingabe[[#This Row],[GES]]="","",IF(Eingabe[[#This Row],[Modus]]="L",_xlfn.RANK.EQ(Eingabe[[#This Row],[GES]],AF393:AF398),IF(Eingabe[[#This Row],[Modus]]="P",_xlfn.RANK.EQ(Eingabe[[#This Row],[GES]],AF393:AF398),"")))</f>
        <v/>
      </c>
      <c r="AV393" s="6" t="e">
        <f>VLOOKUP(Eingabe[[#This Row],[Name]],AuswertungG[],8,FALSE)</f>
        <v>#N/A</v>
      </c>
      <c r="AZ393" s="6" t="str">
        <f>IFERROR(ABS(Eingabe[[#This Row],[GES]]-Eingabe[[#This Row],[GEGGES]]),"")</f>
        <v/>
      </c>
    </row>
    <row r="394" spans="1:52" ht="16.2" hidden="1" thickBot="1" x14ac:dyDescent="0.35">
      <c r="A394" s="441"/>
      <c r="B394" s="21">
        <f t="shared" si="46"/>
        <v>66</v>
      </c>
      <c r="C394" s="6" t="str">
        <f>VLOOKUP($B394,Chronologie[],7,TRUE)</f>
        <v>BKC 52</v>
      </c>
      <c r="D394" s="6" t="str">
        <f>VLOOKUP($B394,Chronologie[],8,TRUE)</f>
        <v>Brand-Erbisdorf</v>
      </c>
      <c r="E394" s="240" t="str">
        <f>VLOOKUP($B394,Chronologie[],9,TRUE)</f>
        <v>A</v>
      </c>
      <c r="F394" s="6" t="str">
        <f>VLOOKUP($B394,Chronologie[],COLUMN(F395)-2,TRUE)</f>
        <v>D</v>
      </c>
      <c r="G394" s="6" t="str">
        <f>VLOOKUP($B394,Chronologie[],COLUMN(G395)-2,TRUE)</f>
        <v>L</v>
      </c>
      <c r="H394" s="6">
        <f>VLOOKUP($B394,Chronologie[],COLUMN(H395)-2,TRUE)</f>
        <v>10</v>
      </c>
      <c r="I394" s="10" t="str">
        <f>VLOOKUP($B394,Chronologie[],2,TRUE)</f>
        <v>D-L-10</v>
      </c>
      <c r="J394" s="243">
        <f>VLOOKUP($B394,Chronologie[],3,TRUE)</f>
        <v>46109</v>
      </c>
      <c r="K394" s="237"/>
      <c r="L394" s="237"/>
      <c r="M394" s="237"/>
      <c r="N394" s="237"/>
      <c r="O394" s="237"/>
      <c r="P394" s="237"/>
      <c r="Q394" s="237"/>
      <c r="R394" s="237"/>
      <c r="S394" s="237"/>
      <c r="T394" s="237"/>
      <c r="U394" s="237"/>
      <c r="V394" s="237"/>
      <c r="W394" s="237"/>
      <c r="X394" s="38"/>
      <c r="Y394" s="38"/>
      <c r="Z394" s="38"/>
      <c r="AA394" s="38"/>
      <c r="AB394" s="91"/>
      <c r="AC394" s="94" t="str">
        <f>IF(Eingabe[[#This Row],[V1]]="",IF(Eingabe[[#This Row],[Volle alternativ]]="","",Eingabe[[#This Row],[Volle alternativ]]),SUM(Eingabe[[#This Row],[V1]:[V4]]))</f>
        <v/>
      </c>
      <c r="AD394" s="6" t="str">
        <f>IF(Eingabe[[#This Row],[R1]]="",IF(Eingabe[[#This Row],[Räumer alternativ]]="","",Eingabe[[#This Row],[Räumer alternativ]]),SUM(Eingabe[[#This Row],[R1]:[R4]]))</f>
        <v/>
      </c>
      <c r="AE394" s="6" t="str">
        <f>IF(Eingabe[[#This Row],[F1]]="",IF(Eingabe[[#This Row],[Fehler alternativ]]="","",Eingabe[[#This Row],[Fehler alternativ]]),SUM(Eingabe[[#This Row],[F1]:[F4]]))</f>
        <v/>
      </c>
      <c r="AF394" s="6" t="str">
        <f>IF(Eingabe[[#This Row],[Volle]]="","",IF(Eingabe[[#This Row],[S1]]="",Eingabe[[#This Row],[Volle]]+Eingabe[[#This Row],[Räumer]],IF(Eingabe[[#This Row],[Volle]]+Eingabe[[#This Row],[Räumer]]=Eingabe[[#This Row],[S1]]+Eingabe[[#This Row],[S2]]+Eingabe[[#This Row],[S3]]+Eingabe[[#This Row],[S4]],Eingabe[[#This Row],[Volle]]+Eingabe[[#This Row],[Räumer]],"FEHLER")))</f>
        <v/>
      </c>
      <c r="AG394" s="6" t="str">
        <f>IF(Eingabe[[#This Row],[V1]]="","",Eingabe[[#This Row],[V1]]+Eingabe[[#This Row],[R1]])</f>
        <v/>
      </c>
      <c r="AH394" s="6" t="str">
        <f>IF(Eingabe[[#This Row],[V2]]="","",Eingabe[[#This Row],[V2]]+Eingabe[[#This Row],[R2]])</f>
        <v/>
      </c>
      <c r="AI394" s="6" t="str">
        <f>IF(Eingabe[[#This Row],[V3]]="","",Eingabe[[#This Row],[V3]]+Eingabe[[#This Row],[R3]])</f>
        <v/>
      </c>
      <c r="AJ394" s="6" t="str">
        <f>IF(Eingabe[[#This Row],[V4]]="","",Eingabe[[#This Row],[V4]]+Eingabe[[#This Row],[R4]])</f>
        <v/>
      </c>
      <c r="AK394" s="6" t="str">
        <f>IF(Eingabe[[#This Row],[S1P]]="","",Eingabe[[#This Row],[S1P]]+Eingabe[[#This Row],[S2P]]+Eingabe[[#This Row],[S3P]]+Eingabe[[#This Row],[S4P]])</f>
        <v/>
      </c>
      <c r="AL394" s="6" t="str">
        <f>IF(Eingabe[[#This Row],[S1P]]="","",IF(Eingabe[[#This Row],[SP]]&gt;2,1,IF(Eingabe[[#This Row],[SP]]&lt;2,0,IF(Eingabe[[#This Row],[GES]]&gt;Eingabe[[#This Row],[GEGGES]],1,IF(Eingabe[[#This Row],[GES]]=Eingabe[[#This Row],[GEGGES]],0.5,0)))))</f>
        <v/>
      </c>
      <c r="AM394" s="6" t="str">
        <f>IF(Eingabe[[#This Row],[MP]]="","",MOD(ROW(Eingabe[[#This Row],[Position]])-3,6)+1)</f>
        <v/>
      </c>
      <c r="AN394" s="6" t="e">
        <f>STANDARDIZE(Eingabe[[#This Row],[GES]],Eingabe[[#This Row],[Schnitt]],VLOOKUP(Eingabe[[#This Row],[Name]],AuswertungG[],21,FALSE))</f>
        <v>#VALUE!</v>
      </c>
      <c r="AO394" s="6">
        <f>VLOOKUP(Eingabe[[#This Row],[ID]],Chronologie[[ID]:[KW]],12,FALSE)</f>
        <v>31</v>
      </c>
      <c r="AP394" s="95" t="str">
        <f>IF(Eingabe[[#This Row],[Wo]]="H",Eingabe[[#This Row],[Gegner]]&amp;" ["&amp;Eingabe[[#This Row],[Wo]]&amp;"]",Eingabe[[#This Row],[Ort]])</f>
        <v>Brand-Erbisdorf</v>
      </c>
      <c r="AQ394" s="6" t="str">
        <f>IFERROR(IF(Eingabe[[#This Row],[Wo]]="H",IF(MOD(Eingabe[[#This Row],[Position]],2)=1,Eingabe[[#This Row],[S1]],Eingabe[[#This Row],[S4]]),""),"")</f>
        <v/>
      </c>
      <c r="AR394" s="6" t="str">
        <f>IFERROR(IF(Eingabe[[#This Row],[Wo]]="H",IF(Eingabe[[#This Row],[S1]]&gt;0,IF(MOD(Eingabe[[#This Row],[Position]],2)=1,Eingabe[[#This Row],[S2]],Eingabe[[#This Row],[S3]]),""),""),"")</f>
        <v/>
      </c>
      <c r="AS394" s="6" t="str">
        <f>IFERROR(IF(Eingabe[[#This Row],[Wo]]="H",IF(Eingabe[[#This Row],[S1]]&gt;0,IF(MOD(ROW(Eingabe[[#This Row],[Heimbahn 3]]),2)=1,Eingabe[[#This Row],[S4]],Eingabe[[#This Row],[S1]]),""),""),"")</f>
        <v/>
      </c>
      <c r="AT394" s="6" t="str">
        <f>IFERROR(IF(Eingabe[[#This Row],[Wo]]="H",IF(Eingabe[[#This Row],[S1]]&gt;0,IF(MOD(ROW(Eingabe[[#This Row],[Heimbahn 4]]),2)=1,Eingabe[[#This Row],[S3]],Eingabe[[#This Row],[S2]]),""),""),"")</f>
        <v/>
      </c>
      <c r="AU394" s="22" t="str">
        <f>IF(Eingabe[[#This Row],[GES]]="","",IF(Eingabe[[#This Row],[Modus]]="L",_xlfn.RANK.EQ(Eingabe[[#This Row],[GES]],AF393:AF398),IF(Eingabe[[#This Row],[Modus]]="P",_xlfn.RANK.EQ(Eingabe[[#This Row],[GES]],AF393:AF398),"")))</f>
        <v/>
      </c>
      <c r="AV394" s="6" t="e">
        <f>VLOOKUP(Eingabe[[#This Row],[Name]],AuswertungG[],8,FALSE)</f>
        <v>#N/A</v>
      </c>
      <c r="AZ394" s="6" t="str">
        <f>IFERROR(ABS(Eingabe[[#This Row],[GES]]-Eingabe[[#This Row],[GEGGES]]),"")</f>
        <v/>
      </c>
    </row>
    <row r="395" spans="1:52" ht="16.2" hidden="1" thickBot="1" x14ac:dyDescent="0.35">
      <c r="A395" s="441"/>
      <c r="B395" s="21">
        <f t="shared" si="46"/>
        <v>66</v>
      </c>
      <c r="C395" s="6" t="str">
        <f>VLOOKUP($B395,Chronologie[],7,TRUE)</f>
        <v>BKC 52</v>
      </c>
      <c r="D395" s="6" t="str">
        <f>VLOOKUP($B395,Chronologie[],8,TRUE)</f>
        <v>Brand-Erbisdorf</v>
      </c>
      <c r="E395" s="240" t="str">
        <f>VLOOKUP($B395,Chronologie[],9,TRUE)</f>
        <v>A</v>
      </c>
      <c r="F395" s="6" t="str">
        <f>VLOOKUP($B395,Chronologie[],COLUMN(F396)-2,TRUE)</f>
        <v>D</v>
      </c>
      <c r="G395" s="6" t="str">
        <f>VLOOKUP($B395,Chronologie[],COLUMN(G396)-2,TRUE)</f>
        <v>L</v>
      </c>
      <c r="H395" s="6">
        <f>VLOOKUP($B395,Chronologie[],COLUMN(H396)-2,TRUE)</f>
        <v>10</v>
      </c>
      <c r="I395" s="10" t="str">
        <f>VLOOKUP($B395,Chronologie[],2,TRUE)</f>
        <v>D-L-10</v>
      </c>
      <c r="J395" s="243">
        <f>VLOOKUP($B395,Chronologie[],3,TRUE)</f>
        <v>46109</v>
      </c>
      <c r="K395" s="237"/>
      <c r="L395" s="237"/>
      <c r="M395" s="237"/>
      <c r="N395" s="237"/>
      <c r="O395" s="237"/>
      <c r="P395" s="237"/>
      <c r="Q395" s="237"/>
      <c r="R395" s="237"/>
      <c r="S395" s="237"/>
      <c r="T395" s="237"/>
      <c r="U395" s="237"/>
      <c r="V395" s="237"/>
      <c r="W395" s="237"/>
      <c r="X395" s="38"/>
      <c r="Y395" s="38"/>
      <c r="Z395" s="38"/>
      <c r="AA395" s="38"/>
      <c r="AB395" s="91"/>
      <c r="AC395" s="94" t="str">
        <f>IF(Eingabe[[#This Row],[V1]]="",IF(Eingabe[[#This Row],[Volle alternativ]]="","",Eingabe[[#This Row],[Volle alternativ]]),SUM(Eingabe[[#This Row],[V1]:[V4]]))</f>
        <v/>
      </c>
      <c r="AD395" s="6" t="str">
        <f>IF(Eingabe[[#This Row],[R1]]="",IF(Eingabe[[#This Row],[Räumer alternativ]]="","",Eingabe[[#This Row],[Räumer alternativ]]),SUM(Eingabe[[#This Row],[R1]:[R4]]))</f>
        <v/>
      </c>
      <c r="AE395" s="6" t="str">
        <f>IF(Eingabe[[#This Row],[F1]]="",IF(Eingabe[[#This Row],[Fehler alternativ]]="","",Eingabe[[#This Row],[Fehler alternativ]]),SUM(Eingabe[[#This Row],[F1]:[F4]]))</f>
        <v/>
      </c>
      <c r="AF395" s="6" t="str">
        <f>IF(Eingabe[[#This Row],[Volle]]="","",IF(Eingabe[[#This Row],[S1]]="",Eingabe[[#This Row],[Volle]]+Eingabe[[#This Row],[Räumer]],IF(Eingabe[[#This Row],[Volle]]+Eingabe[[#This Row],[Räumer]]=Eingabe[[#This Row],[S1]]+Eingabe[[#This Row],[S2]]+Eingabe[[#This Row],[S3]]+Eingabe[[#This Row],[S4]],Eingabe[[#This Row],[Volle]]+Eingabe[[#This Row],[Räumer]],"FEHLER")))</f>
        <v/>
      </c>
      <c r="AG395" s="6" t="str">
        <f>IF(Eingabe[[#This Row],[V1]]="","",Eingabe[[#This Row],[V1]]+Eingabe[[#This Row],[R1]])</f>
        <v/>
      </c>
      <c r="AH395" s="6" t="str">
        <f>IF(Eingabe[[#This Row],[V2]]="","",Eingabe[[#This Row],[V2]]+Eingabe[[#This Row],[R2]])</f>
        <v/>
      </c>
      <c r="AI395" s="6" t="str">
        <f>IF(Eingabe[[#This Row],[V3]]="","",Eingabe[[#This Row],[V3]]+Eingabe[[#This Row],[R3]])</f>
        <v/>
      </c>
      <c r="AJ395" s="6" t="str">
        <f>IF(Eingabe[[#This Row],[V4]]="","",Eingabe[[#This Row],[V4]]+Eingabe[[#This Row],[R4]])</f>
        <v/>
      </c>
      <c r="AK395" s="6" t="str">
        <f>IF(Eingabe[[#This Row],[S1P]]="","",Eingabe[[#This Row],[S1P]]+Eingabe[[#This Row],[S2P]]+Eingabe[[#This Row],[S3P]]+Eingabe[[#This Row],[S4P]])</f>
        <v/>
      </c>
      <c r="AL395" s="6" t="str">
        <f>IF(Eingabe[[#This Row],[S1P]]="","",IF(Eingabe[[#This Row],[SP]]&gt;2,1,IF(Eingabe[[#This Row],[SP]]&lt;2,0,IF(Eingabe[[#This Row],[GES]]&gt;Eingabe[[#This Row],[GEGGES]],1,IF(Eingabe[[#This Row],[GES]]=Eingabe[[#This Row],[GEGGES]],0.5,0)))))</f>
        <v/>
      </c>
      <c r="AM395" s="6" t="str">
        <f>IF(Eingabe[[#This Row],[MP]]="","",MOD(ROW(Eingabe[[#This Row],[Position]])-3,6)+1)</f>
        <v/>
      </c>
      <c r="AN395" s="6" t="e">
        <f>STANDARDIZE(Eingabe[[#This Row],[GES]],Eingabe[[#This Row],[Schnitt]],VLOOKUP(Eingabe[[#This Row],[Name]],AuswertungG[],21,FALSE))</f>
        <v>#VALUE!</v>
      </c>
      <c r="AO395" s="6">
        <f>VLOOKUP(Eingabe[[#This Row],[ID]],Chronologie[[ID]:[KW]],12,FALSE)</f>
        <v>31</v>
      </c>
      <c r="AP395" s="95" t="str">
        <f>IF(Eingabe[[#This Row],[Wo]]="H",Eingabe[[#This Row],[Gegner]]&amp;" ["&amp;Eingabe[[#This Row],[Wo]]&amp;"]",Eingabe[[#This Row],[Ort]])</f>
        <v>Brand-Erbisdorf</v>
      </c>
      <c r="AQ395" s="6" t="str">
        <f>IFERROR(IF(Eingabe[[#This Row],[Wo]]="H",IF(MOD(Eingabe[[#This Row],[Position]],2)=1,Eingabe[[#This Row],[S1]],Eingabe[[#This Row],[S4]]),""),"")</f>
        <v/>
      </c>
      <c r="AR395" s="6" t="str">
        <f>IFERROR(IF(Eingabe[[#This Row],[Wo]]="H",IF(Eingabe[[#This Row],[S1]]&gt;0,IF(MOD(Eingabe[[#This Row],[Position]],2)=1,Eingabe[[#This Row],[S2]],Eingabe[[#This Row],[S3]]),""),""),"")</f>
        <v/>
      </c>
      <c r="AS395" s="6" t="str">
        <f>IFERROR(IF(Eingabe[[#This Row],[Wo]]="H",IF(Eingabe[[#This Row],[S1]]&gt;0,IF(MOD(ROW(Eingabe[[#This Row],[Heimbahn 3]]),2)=1,Eingabe[[#This Row],[S4]],Eingabe[[#This Row],[S1]]),""),""),"")</f>
        <v/>
      </c>
      <c r="AT395" s="6" t="str">
        <f>IFERROR(IF(Eingabe[[#This Row],[Wo]]="H",IF(Eingabe[[#This Row],[S1]]&gt;0,IF(MOD(ROW(Eingabe[[#This Row],[Heimbahn 4]]),2)=1,Eingabe[[#This Row],[S3]],Eingabe[[#This Row],[S2]]),""),""),"")</f>
        <v/>
      </c>
      <c r="AU395" s="22" t="str">
        <f>IF(Eingabe[[#This Row],[GES]]="","",IF(Eingabe[[#This Row],[Modus]]="L",_xlfn.RANK.EQ(Eingabe[[#This Row],[GES]],AF393:AF398),IF(Eingabe[[#This Row],[Modus]]="P",_xlfn.RANK.EQ(Eingabe[[#This Row],[GES]],AF393:AF398),"")))</f>
        <v/>
      </c>
      <c r="AV395" s="6" t="e">
        <f>VLOOKUP(Eingabe[[#This Row],[Name]],AuswertungG[],8,FALSE)</f>
        <v>#N/A</v>
      </c>
      <c r="AZ395" s="6" t="str">
        <f>IFERROR(ABS(Eingabe[[#This Row],[GES]]-Eingabe[[#This Row],[GEGGES]]),"")</f>
        <v/>
      </c>
    </row>
    <row r="396" spans="1:52" ht="16.2" hidden="1" thickBot="1" x14ac:dyDescent="0.35">
      <c r="A396" s="441"/>
      <c r="B396" s="21">
        <f t="shared" si="46"/>
        <v>66</v>
      </c>
      <c r="C396" s="6" t="str">
        <f>VLOOKUP($B396,Chronologie[],7,TRUE)</f>
        <v>BKC 52</v>
      </c>
      <c r="D396" s="6" t="str">
        <f>VLOOKUP($B396,Chronologie[],8,TRUE)</f>
        <v>Brand-Erbisdorf</v>
      </c>
      <c r="E396" s="240" t="str">
        <f>VLOOKUP($B396,Chronologie[],9,TRUE)</f>
        <v>A</v>
      </c>
      <c r="F396" s="6" t="str">
        <f>VLOOKUP($B396,Chronologie[],COLUMN(F397)-2,TRUE)</f>
        <v>D</v>
      </c>
      <c r="G396" s="6" t="str">
        <f>VLOOKUP($B396,Chronologie[],COLUMN(G397)-2,TRUE)</f>
        <v>L</v>
      </c>
      <c r="H396" s="6">
        <f>VLOOKUP($B396,Chronologie[],COLUMN(H397)-2,TRUE)</f>
        <v>10</v>
      </c>
      <c r="I396" s="10" t="str">
        <f>VLOOKUP($B396,Chronologie[],2,TRUE)</f>
        <v>D-L-10</v>
      </c>
      <c r="J396" s="243">
        <f>VLOOKUP($B396,Chronologie[],3,TRUE)</f>
        <v>46109</v>
      </c>
      <c r="K396" s="238"/>
      <c r="L396" s="237"/>
      <c r="M396" s="237"/>
      <c r="N396" s="237"/>
      <c r="O396" s="237"/>
      <c r="P396" s="237"/>
      <c r="Q396" s="237"/>
      <c r="R396" s="237"/>
      <c r="S396" s="237"/>
      <c r="T396" s="237"/>
      <c r="U396" s="237"/>
      <c r="V396" s="237"/>
      <c r="W396" s="237"/>
      <c r="X396" s="38"/>
      <c r="Y396" s="38"/>
      <c r="Z396" s="38"/>
      <c r="AA396" s="38"/>
      <c r="AB396" s="91"/>
      <c r="AC396" s="94" t="str">
        <f>IF(Eingabe[[#This Row],[V1]]="",IF(Eingabe[[#This Row],[Volle alternativ]]="","",Eingabe[[#This Row],[Volle alternativ]]),SUM(Eingabe[[#This Row],[V1]:[V4]]))</f>
        <v/>
      </c>
      <c r="AD396" s="6" t="str">
        <f>IF(Eingabe[[#This Row],[R1]]="",IF(Eingabe[[#This Row],[Räumer alternativ]]="","",Eingabe[[#This Row],[Räumer alternativ]]),SUM(Eingabe[[#This Row],[R1]:[R4]]))</f>
        <v/>
      </c>
      <c r="AE396" s="6" t="str">
        <f>IF(Eingabe[[#This Row],[F1]]="",IF(Eingabe[[#This Row],[Fehler alternativ]]="","",Eingabe[[#This Row],[Fehler alternativ]]),SUM(Eingabe[[#This Row],[F1]:[F4]]))</f>
        <v/>
      </c>
      <c r="AF396" s="6" t="str">
        <f>IF(Eingabe[[#This Row],[Volle]]="","",IF(Eingabe[[#This Row],[S1]]="",Eingabe[[#This Row],[Volle]]+Eingabe[[#This Row],[Räumer]],IF(Eingabe[[#This Row],[Volle]]+Eingabe[[#This Row],[Räumer]]=Eingabe[[#This Row],[S1]]+Eingabe[[#This Row],[S2]]+Eingabe[[#This Row],[S3]]+Eingabe[[#This Row],[S4]],Eingabe[[#This Row],[Volle]]+Eingabe[[#This Row],[Räumer]],"FEHLER")))</f>
        <v/>
      </c>
      <c r="AG396" s="6" t="str">
        <f>IF(Eingabe[[#This Row],[V1]]="","",Eingabe[[#This Row],[V1]]+Eingabe[[#This Row],[R1]])</f>
        <v/>
      </c>
      <c r="AH396" s="6" t="str">
        <f>IF(Eingabe[[#This Row],[V2]]="","",Eingabe[[#This Row],[V2]]+Eingabe[[#This Row],[R2]])</f>
        <v/>
      </c>
      <c r="AI396" s="6" t="str">
        <f>IF(Eingabe[[#This Row],[V3]]="","",Eingabe[[#This Row],[V3]]+Eingabe[[#This Row],[R3]])</f>
        <v/>
      </c>
      <c r="AJ396" s="6" t="str">
        <f>IF(Eingabe[[#This Row],[V4]]="","",Eingabe[[#This Row],[V4]]+Eingabe[[#This Row],[R4]])</f>
        <v/>
      </c>
      <c r="AK396" s="6" t="str">
        <f>IF(Eingabe[[#This Row],[S1P]]="","",Eingabe[[#This Row],[S1P]]+Eingabe[[#This Row],[S2P]]+Eingabe[[#This Row],[S3P]]+Eingabe[[#This Row],[S4P]])</f>
        <v/>
      </c>
      <c r="AL396" s="6" t="str">
        <f>IF(Eingabe[[#This Row],[S1P]]="","",IF(Eingabe[[#This Row],[SP]]&gt;2,1,IF(Eingabe[[#This Row],[SP]]&lt;2,0,IF(Eingabe[[#This Row],[GES]]&gt;Eingabe[[#This Row],[GEGGES]],1,IF(Eingabe[[#This Row],[GES]]=Eingabe[[#This Row],[GEGGES]],0.5,0)))))</f>
        <v/>
      </c>
      <c r="AM396" s="6" t="str">
        <f>IF(Eingabe[[#This Row],[MP]]="","",MOD(ROW(Eingabe[[#This Row],[Position]])-3,6)+1)</f>
        <v/>
      </c>
      <c r="AN396" s="6" t="e">
        <f>STANDARDIZE(Eingabe[[#This Row],[GES]],Eingabe[[#This Row],[Schnitt]],VLOOKUP(Eingabe[[#This Row],[Name]],AuswertungG[],21,FALSE))</f>
        <v>#VALUE!</v>
      </c>
      <c r="AO396" s="6">
        <f>VLOOKUP(Eingabe[[#This Row],[ID]],Chronologie[[ID]:[KW]],12,FALSE)</f>
        <v>31</v>
      </c>
      <c r="AP396" s="95" t="str">
        <f>IF(Eingabe[[#This Row],[Wo]]="H",Eingabe[[#This Row],[Gegner]]&amp;" ["&amp;Eingabe[[#This Row],[Wo]]&amp;"]",Eingabe[[#This Row],[Ort]])</f>
        <v>Brand-Erbisdorf</v>
      </c>
      <c r="AQ396" s="6" t="str">
        <f>IFERROR(IF(Eingabe[[#This Row],[Wo]]="H",IF(MOD(Eingabe[[#This Row],[Position]],2)=1,Eingabe[[#This Row],[S1]],Eingabe[[#This Row],[S4]]),""),"")</f>
        <v/>
      </c>
      <c r="AR396" s="6" t="str">
        <f>IFERROR(IF(Eingabe[[#This Row],[Wo]]="H",IF(Eingabe[[#This Row],[S1]]&gt;0,IF(MOD(Eingabe[[#This Row],[Position]],2)=1,Eingabe[[#This Row],[S2]],Eingabe[[#This Row],[S3]]),""),""),"")</f>
        <v/>
      </c>
      <c r="AS396" s="6" t="str">
        <f>IFERROR(IF(Eingabe[[#This Row],[Wo]]="H",IF(Eingabe[[#This Row],[S1]]&gt;0,IF(MOD(ROW(Eingabe[[#This Row],[Heimbahn 3]]),2)=1,Eingabe[[#This Row],[S4]],Eingabe[[#This Row],[S1]]),""),""),"")</f>
        <v/>
      </c>
      <c r="AT396" s="6" t="str">
        <f>IFERROR(IF(Eingabe[[#This Row],[Wo]]="H",IF(Eingabe[[#This Row],[S1]]&gt;0,IF(MOD(ROW(Eingabe[[#This Row],[Heimbahn 4]]),2)=1,Eingabe[[#This Row],[S3]],Eingabe[[#This Row],[S2]]),""),""),"")</f>
        <v/>
      </c>
      <c r="AU396" s="22" t="str">
        <f>IF(Eingabe[[#This Row],[GES]]="","",IF(Eingabe[[#This Row],[Modus]]="L",_xlfn.RANK.EQ(Eingabe[[#This Row],[GES]],AF393:AF398),IF(Eingabe[[#This Row],[Modus]]="P",_xlfn.RANK.EQ(Eingabe[[#This Row],[GES]],AF393:AF398),"")))</f>
        <v/>
      </c>
      <c r="AV396" s="6" t="e">
        <f>VLOOKUP(Eingabe[[#This Row],[Name]],AuswertungG[],8,FALSE)</f>
        <v>#N/A</v>
      </c>
      <c r="AZ396" s="6" t="str">
        <f>IFERROR(ABS(Eingabe[[#This Row],[GES]]-Eingabe[[#This Row],[GEGGES]]),"")</f>
        <v/>
      </c>
    </row>
    <row r="397" spans="1:52" ht="16.2" hidden="1" thickBot="1" x14ac:dyDescent="0.35">
      <c r="A397" s="441"/>
      <c r="B397" s="21">
        <f t="shared" si="46"/>
        <v>66</v>
      </c>
      <c r="C397" s="6" t="str">
        <f>VLOOKUP($B397,Chronologie[],7,TRUE)</f>
        <v>BKC 52</v>
      </c>
      <c r="D397" s="6" t="str">
        <f>VLOOKUP($B397,Chronologie[],8,TRUE)</f>
        <v>Brand-Erbisdorf</v>
      </c>
      <c r="E397" s="240" t="str">
        <f>VLOOKUP($B397,Chronologie[],9,TRUE)</f>
        <v>A</v>
      </c>
      <c r="F397" s="6" t="str">
        <f>VLOOKUP($B397,Chronologie[],COLUMN(F398)-2,TRUE)</f>
        <v>D</v>
      </c>
      <c r="G397" s="6" t="str">
        <f>VLOOKUP($B397,Chronologie[],COLUMN(G398)-2,TRUE)</f>
        <v>L</v>
      </c>
      <c r="H397" s="6">
        <f>VLOOKUP($B397,Chronologie[],COLUMN(H398)-2,TRUE)</f>
        <v>10</v>
      </c>
      <c r="I397" s="10" t="str">
        <f>VLOOKUP($B397,Chronologie[],2,TRUE)</f>
        <v>D-L-10</v>
      </c>
      <c r="J397" s="243">
        <f>VLOOKUP($B397,Chronologie[],3,TRUE)</f>
        <v>46109</v>
      </c>
      <c r="K397" s="237"/>
      <c r="L397" s="237"/>
      <c r="M397" s="237"/>
      <c r="N397" s="237"/>
      <c r="O397" s="237"/>
      <c r="P397" s="237"/>
      <c r="Q397" s="237"/>
      <c r="R397" s="237"/>
      <c r="S397" s="237"/>
      <c r="T397" s="237"/>
      <c r="U397" s="237"/>
      <c r="V397" s="237"/>
      <c r="W397" s="237"/>
      <c r="X397" s="38"/>
      <c r="Y397" s="38"/>
      <c r="Z397" s="38"/>
      <c r="AA397" s="38"/>
      <c r="AB397" s="91"/>
      <c r="AC397" s="94" t="str">
        <f>IF(Eingabe[[#This Row],[V1]]="",IF(Eingabe[[#This Row],[Volle alternativ]]="","",Eingabe[[#This Row],[Volle alternativ]]),SUM(Eingabe[[#This Row],[V1]:[V4]]))</f>
        <v/>
      </c>
      <c r="AD397" s="6" t="str">
        <f>IF(Eingabe[[#This Row],[R1]]="",IF(Eingabe[[#This Row],[Räumer alternativ]]="","",Eingabe[[#This Row],[Räumer alternativ]]),SUM(Eingabe[[#This Row],[R1]:[R4]]))</f>
        <v/>
      </c>
      <c r="AE397" s="6" t="str">
        <f>IF(Eingabe[[#This Row],[F1]]="",IF(Eingabe[[#This Row],[Fehler alternativ]]="","",Eingabe[[#This Row],[Fehler alternativ]]),SUM(Eingabe[[#This Row],[F1]:[F4]]))</f>
        <v/>
      </c>
      <c r="AF397" s="6" t="str">
        <f>IF(Eingabe[[#This Row],[Volle]]="","",IF(Eingabe[[#This Row],[S1]]="",Eingabe[[#This Row],[Volle]]+Eingabe[[#This Row],[Räumer]],IF(Eingabe[[#This Row],[Volle]]+Eingabe[[#This Row],[Räumer]]=Eingabe[[#This Row],[S1]]+Eingabe[[#This Row],[S2]]+Eingabe[[#This Row],[S3]]+Eingabe[[#This Row],[S4]],Eingabe[[#This Row],[Volle]]+Eingabe[[#This Row],[Räumer]],"FEHLER")))</f>
        <v/>
      </c>
      <c r="AG397" s="6" t="str">
        <f>IF(Eingabe[[#This Row],[V1]]="","",Eingabe[[#This Row],[V1]]+Eingabe[[#This Row],[R1]])</f>
        <v/>
      </c>
      <c r="AH397" s="6" t="str">
        <f>IF(Eingabe[[#This Row],[V2]]="","",Eingabe[[#This Row],[V2]]+Eingabe[[#This Row],[R2]])</f>
        <v/>
      </c>
      <c r="AI397" s="6" t="str">
        <f>IF(Eingabe[[#This Row],[V3]]="","",Eingabe[[#This Row],[V3]]+Eingabe[[#This Row],[R3]])</f>
        <v/>
      </c>
      <c r="AJ397" s="6" t="str">
        <f>IF(Eingabe[[#This Row],[V4]]="","",Eingabe[[#This Row],[V4]]+Eingabe[[#This Row],[R4]])</f>
        <v/>
      </c>
      <c r="AK397" s="6" t="str">
        <f>IF(Eingabe[[#This Row],[S1P]]="","",Eingabe[[#This Row],[S1P]]+Eingabe[[#This Row],[S2P]]+Eingabe[[#This Row],[S3P]]+Eingabe[[#This Row],[S4P]])</f>
        <v/>
      </c>
      <c r="AL397" s="6" t="str">
        <f>IF(Eingabe[[#This Row],[S1P]]="","",IF(Eingabe[[#This Row],[SP]]&gt;2,1,IF(Eingabe[[#This Row],[SP]]&lt;2,0,IF(Eingabe[[#This Row],[GES]]&gt;Eingabe[[#This Row],[GEGGES]],1,IF(Eingabe[[#This Row],[GES]]=Eingabe[[#This Row],[GEGGES]],0.5,0)))))</f>
        <v/>
      </c>
      <c r="AM397" s="6" t="str">
        <f>IF(Eingabe[[#This Row],[MP]]="","",MOD(ROW(Eingabe[[#This Row],[Position]])-3,6)+1)</f>
        <v/>
      </c>
      <c r="AN397" s="6" t="e">
        <f>STANDARDIZE(Eingabe[[#This Row],[GES]],Eingabe[[#This Row],[Schnitt]],VLOOKUP(Eingabe[[#This Row],[Name]],AuswertungG[],21,FALSE))</f>
        <v>#VALUE!</v>
      </c>
      <c r="AO397" s="6">
        <f>VLOOKUP(Eingabe[[#This Row],[ID]],Chronologie[[ID]:[KW]],12,FALSE)</f>
        <v>31</v>
      </c>
      <c r="AP397" s="95" t="str">
        <f>IF(Eingabe[[#This Row],[Wo]]="H",Eingabe[[#This Row],[Gegner]]&amp;" ["&amp;Eingabe[[#This Row],[Wo]]&amp;"]",Eingabe[[#This Row],[Ort]])</f>
        <v>Brand-Erbisdorf</v>
      </c>
      <c r="AQ397" s="6" t="str">
        <f>IFERROR(IF(Eingabe[[#This Row],[Wo]]="H",IF(MOD(Eingabe[[#This Row],[Position]],2)=1,Eingabe[[#This Row],[S1]],Eingabe[[#This Row],[S4]]),""),"")</f>
        <v/>
      </c>
      <c r="AR397" s="6" t="str">
        <f>IFERROR(IF(Eingabe[[#This Row],[Wo]]="H",IF(Eingabe[[#This Row],[S1]]&gt;0,IF(MOD(Eingabe[[#This Row],[Position]],2)=1,Eingabe[[#This Row],[S2]],Eingabe[[#This Row],[S3]]),""),""),"")</f>
        <v/>
      </c>
      <c r="AS397" s="6" t="str">
        <f>IFERROR(IF(Eingabe[[#This Row],[Wo]]="H",IF(Eingabe[[#This Row],[S1]]&gt;0,IF(MOD(ROW(Eingabe[[#This Row],[Heimbahn 3]]),2)=1,Eingabe[[#This Row],[S4]],Eingabe[[#This Row],[S1]]),""),""),"")</f>
        <v/>
      </c>
      <c r="AT397" s="6" t="str">
        <f>IFERROR(IF(Eingabe[[#This Row],[Wo]]="H",IF(Eingabe[[#This Row],[S1]]&gt;0,IF(MOD(ROW(Eingabe[[#This Row],[Heimbahn 4]]),2)=1,Eingabe[[#This Row],[S3]],Eingabe[[#This Row],[S2]]),""),""),"")</f>
        <v/>
      </c>
      <c r="AU397" s="22" t="str">
        <f>IF(Eingabe[[#This Row],[GES]]="","",IF(Eingabe[[#This Row],[Modus]]="L",_xlfn.RANK.EQ(Eingabe[[#This Row],[GES]],AF393:AF398),IF(Eingabe[[#This Row],[Modus]]="P",_xlfn.RANK.EQ(Eingabe[[#This Row],[GES]],AF393:AF398),"")))</f>
        <v/>
      </c>
      <c r="AV397" s="6" t="e">
        <f>VLOOKUP(Eingabe[[#This Row],[Name]],AuswertungG[],8,FALSE)</f>
        <v>#N/A</v>
      </c>
      <c r="AZ397" s="6" t="str">
        <f>IFERROR(ABS(Eingabe[[#This Row],[GES]]-Eingabe[[#This Row],[GEGGES]]),"")</f>
        <v/>
      </c>
    </row>
    <row r="398" spans="1:52" ht="16.2" hidden="1" thickBot="1" x14ac:dyDescent="0.35">
      <c r="A398" s="442"/>
      <c r="B398" s="56">
        <f t="shared" si="46"/>
        <v>66</v>
      </c>
      <c r="C398" s="23" t="str">
        <f>VLOOKUP($B398,Chronologie[],7,TRUE)</f>
        <v>BKC 52</v>
      </c>
      <c r="D398" s="23" t="str">
        <f>VLOOKUP($B398,Chronologie[],8,TRUE)</f>
        <v>Brand-Erbisdorf</v>
      </c>
      <c r="E398" s="39" t="str">
        <f>VLOOKUP($B398,Chronologie[],9,TRUE)</f>
        <v>A</v>
      </c>
      <c r="F398" s="23" t="str">
        <f>VLOOKUP($B398,Chronologie[],COLUMN(F399)-2,TRUE)</f>
        <v>D</v>
      </c>
      <c r="G398" s="23" t="str">
        <f>VLOOKUP($B398,Chronologie[],COLUMN(G399)-2,TRUE)</f>
        <v>L</v>
      </c>
      <c r="H398" s="23">
        <f>VLOOKUP($B398,Chronologie[],COLUMN(H399)-2,TRUE)</f>
        <v>10</v>
      </c>
      <c r="I398" s="13" t="str">
        <f>VLOOKUP($B398,Chronologie[],2,TRUE)</f>
        <v>D-L-10</v>
      </c>
      <c r="J398" s="244">
        <f>VLOOKUP($B398,Chronologie[],3,TRUE)</f>
        <v>46109</v>
      </c>
      <c r="K398" s="239"/>
      <c r="L398" s="239"/>
      <c r="M398" s="239"/>
      <c r="N398" s="239"/>
      <c r="O398" s="239"/>
      <c r="P398" s="239"/>
      <c r="Q398" s="239"/>
      <c r="R398" s="239"/>
      <c r="S398" s="239"/>
      <c r="T398" s="239"/>
      <c r="U398" s="239"/>
      <c r="V398" s="239"/>
      <c r="W398" s="239"/>
      <c r="X398" s="40"/>
      <c r="Y398" s="40"/>
      <c r="Z398" s="40"/>
      <c r="AA398" s="40"/>
      <c r="AB398" s="92"/>
      <c r="AC398" s="96" t="str">
        <f>IF(Eingabe[[#This Row],[V1]]="",IF(Eingabe[[#This Row],[Volle alternativ]]="","",Eingabe[[#This Row],[Volle alternativ]]),SUM(Eingabe[[#This Row],[V1]:[V4]]))</f>
        <v/>
      </c>
      <c r="AD398" s="23" t="str">
        <f>IF(Eingabe[[#This Row],[R1]]="",IF(Eingabe[[#This Row],[Räumer alternativ]]="","",Eingabe[[#This Row],[Räumer alternativ]]),SUM(Eingabe[[#This Row],[R1]:[R4]]))</f>
        <v/>
      </c>
      <c r="AE398" s="23" t="str">
        <f>IF(Eingabe[[#This Row],[F1]]="",IF(Eingabe[[#This Row],[Fehler alternativ]]="","",Eingabe[[#This Row],[Fehler alternativ]]),SUM(Eingabe[[#This Row],[F1]:[F4]]))</f>
        <v/>
      </c>
      <c r="AF398" s="23" t="str">
        <f>IF(Eingabe[[#This Row],[Volle]]="","",IF(Eingabe[[#This Row],[S1]]="",Eingabe[[#This Row],[Volle]]+Eingabe[[#This Row],[Räumer]],IF(Eingabe[[#This Row],[Volle]]+Eingabe[[#This Row],[Räumer]]=Eingabe[[#This Row],[S1]]+Eingabe[[#This Row],[S2]]+Eingabe[[#This Row],[S3]]+Eingabe[[#This Row],[S4]],Eingabe[[#This Row],[Volle]]+Eingabe[[#This Row],[Räumer]],"FEHLER")))</f>
        <v/>
      </c>
      <c r="AG398" s="23" t="str">
        <f>IF(Eingabe[[#This Row],[V1]]="","",Eingabe[[#This Row],[V1]]+Eingabe[[#This Row],[R1]])</f>
        <v/>
      </c>
      <c r="AH398" s="23" t="str">
        <f>IF(Eingabe[[#This Row],[V2]]="","",Eingabe[[#This Row],[V2]]+Eingabe[[#This Row],[R2]])</f>
        <v/>
      </c>
      <c r="AI398" s="23" t="str">
        <f>IF(Eingabe[[#This Row],[V3]]="","",Eingabe[[#This Row],[V3]]+Eingabe[[#This Row],[R3]])</f>
        <v/>
      </c>
      <c r="AJ398" s="23" t="str">
        <f>IF(Eingabe[[#This Row],[V4]]="","",Eingabe[[#This Row],[V4]]+Eingabe[[#This Row],[R4]])</f>
        <v/>
      </c>
      <c r="AK398" s="23" t="str">
        <f>IF(Eingabe[[#This Row],[S1P]]="","",Eingabe[[#This Row],[S1P]]+Eingabe[[#This Row],[S2P]]+Eingabe[[#This Row],[S3P]]+Eingabe[[#This Row],[S4P]])</f>
        <v/>
      </c>
      <c r="AL398" s="23" t="str">
        <f>IF(Eingabe[[#This Row],[S1P]]="","",IF(Eingabe[[#This Row],[SP]]&gt;2,1,IF(Eingabe[[#This Row],[SP]]&lt;2,0,IF(Eingabe[[#This Row],[GES]]&gt;Eingabe[[#This Row],[GEGGES]],1,IF(Eingabe[[#This Row],[GES]]=Eingabe[[#This Row],[GEGGES]],0.5,0)))))</f>
        <v/>
      </c>
      <c r="AM398" s="23" t="str">
        <f>IF(Eingabe[[#This Row],[MP]]="","",MOD(ROW(Eingabe[[#This Row],[Position]])-3,6)+1)</f>
        <v/>
      </c>
      <c r="AN398" s="23" t="e">
        <f>STANDARDIZE(Eingabe[[#This Row],[GES]],Eingabe[[#This Row],[Schnitt]],VLOOKUP(Eingabe[[#This Row],[Name]],AuswertungG[],21,FALSE))</f>
        <v>#VALUE!</v>
      </c>
      <c r="AO398" s="23">
        <f>VLOOKUP(Eingabe[[#This Row],[ID]],Chronologie[[ID]:[KW]],12,FALSE)</f>
        <v>31</v>
      </c>
      <c r="AP398" s="59" t="str">
        <f>IF(Eingabe[[#This Row],[Wo]]="H",Eingabe[[#This Row],[Gegner]]&amp;" ["&amp;Eingabe[[#This Row],[Wo]]&amp;"]",Eingabe[[#This Row],[Ort]])</f>
        <v>Brand-Erbisdorf</v>
      </c>
      <c r="AQ398" s="23" t="str">
        <f>IFERROR(IF(Eingabe[[#This Row],[Wo]]="H",IF(MOD(Eingabe[[#This Row],[Position]],2)=1,Eingabe[[#This Row],[S1]],Eingabe[[#This Row],[S4]]),""),"")</f>
        <v/>
      </c>
      <c r="AR398" s="23" t="str">
        <f>IFERROR(IF(Eingabe[[#This Row],[Wo]]="H",IF(Eingabe[[#This Row],[S1]]&gt;0,IF(MOD(Eingabe[[#This Row],[Position]],2)=1,Eingabe[[#This Row],[S2]],Eingabe[[#This Row],[S3]]),""),""),"")</f>
        <v/>
      </c>
      <c r="AS398" s="23" t="str">
        <f>IFERROR(IF(Eingabe[[#This Row],[Wo]]="H",IF(Eingabe[[#This Row],[S1]]&gt;0,IF(MOD(ROW(Eingabe[[#This Row],[Heimbahn 3]]),2)=1,Eingabe[[#This Row],[S4]],Eingabe[[#This Row],[S1]]),""),""),"")</f>
        <v/>
      </c>
      <c r="AT398" s="23" t="str">
        <f>IFERROR(IF(Eingabe[[#This Row],[Wo]]="H",IF(Eingabe[[#This Row],[S1]]&gt;0,IF(MOD(ROW(Eingabe[[#This Row],[Heimbahn 4]]),2)=1,Eingabe[[#This Row],[S3]],Eingabe[[#This Row],[S2]]),""),""),"")</f>
        <v/>
      </c>
      <c r="AU398" s="89" t="str">
        <f>IF(Eingabe[[#This Row],[GES]]="","",IF(Eingabe[[#This Row],[Modus]]="L",_xlfn.RANK.EQ(Eingabe[[#This Row],[GES]],AF393:AF398),IF(Eingabe[[#This Row],[Modus]]="P",_xlfn.RANK.EQ(Eingabe[[#This Row],[GES]],AF393:AF398),"")))</f>
        <v/>
      </c>
      <c r="AV398" s="6" t="e">
        <f>VLOOKUP(Eingabe[[#This Row],[Name]],AuswertungG[],8,FALSE)</f>
        <v>#N/A</v>
      </c>
      <c r="AZ398" s="6" t="str">
        <f>IFERROR(ABS(Eingabe[[#This Row],[GES]]-Eingabe[[#This Row],[GEGGES]]),"")</f>
        <v/>
      </c>
    </row>
    <row r="399" spans="1:52" ht="16.2" hidden="1" thickBot="1" x14ac:dyDescent="0.35">
      <c r="A399" s="440">
        <f t="shared" si="45"/>
        <v>67</v>
      </c>
      <c r="B399" s="55">
        <f t="shared" si="46"/>
        <v>67</v>
      </c>
      <c r="C399" s="35" t="str">
        <f>VLOOKUP($B399,Chronologie[],7,TRUE)</f>
        <v>TuS Gerolsheim</v>
      </c>
      <c r="D399" s="35" t="str">
        <f>VLOOKUP($B399,Chronologie[],8,TRUE)</f>
        <v>Hirschfeld</v>
      </c>
      <c r="E399" s="36" t="str">
        <f>VLOOKUP($B399,Chronologie[],9,TRUE)</f>
        <v>H</v>
      </c>
      <c r="F399" s="35" t="str">
        <f>VLOOKUP($B399,Chronologie[],COLUMN(F400)-2,TRUE)</f>
        <v>E</v>
      </c>
      <c r="G399" s="35" t="str">
        <f>VLOOKUP($B399,Chronologie[],COLUMN(G400)-2,TRUE)</f>
        <v>DKBC-Pokal</v>
      </c>
      <c r="H399" s="35">
        <f>VLOOKUP($B399,Chronologie[],COLUMN(H400)-2,TRUE)</f>
        <v>2</v>
      </c>
      <c r="I399" s="9" t="str">
        <f>VLOOKUP($B399,Chronologie[],2,TRUE)</f>
        <v>E-DKBC-Pokal-2</v>
      </c>
      <c r="J399" s="242">
        <f>VLOOKUP($B399,Chronologie[],3,TRUE)</f>
        <v>45962</v>
      </c>
      <c r="K399" s="236" t="s">
        <v>658</v>
      </c>
      <c r="L399" s="334">
        <v>81</v>
      </c>
      <c r="M399" s="334">
        <v>100</v>
      </c>
      <c r="N399" s="334">
        <v>82</v>
      </c>
      <c r="O399" s="334">
        <v>91</v>
      </c>
      <c r="P399" s="334">
        <v>54</v>
      </c>
      <c r="Q399" s="334">
        <v>45</v>
      </c>
      <c r="R399" s="334">
        <v>36</v>
      </c>
      <c r="S399" s="334">
        <v>42</v>
      </c>
      <c r="T399" s="334">
        <v>0</v>
      </c>
      <c r="U399" s="334">
        <v>2</v>
      </c>
      <c r="V399" s="334">
        <v>2</v>
      </c>
      <c r="W399" s="334">
        <v>0</v>
      </c>
      <c r="X399" s="37">
        <v>1</v>
      </c>
      <c r="Y399" s="37">
        <v>0</v>
      </c>
      <c r="Z399" s="37">
        <v>0</v>
      </c>
      <c r="AA399" s="37">
        <v>1</v>
      </c>
      <c r="AB399" s="90">
        <v>523</v>
      </c>
      <c r="AC399" s="93">
        <f>IF(Eingabe[[#This Row],[V1]]="",IF(Eingabe[[#This Row],[Volle alternativ]]="","",Eingabe[[#This Row],[Volle alternativ]]),SUM(Eingabe[[#This Row],[V1]:[V4]]))</f>
        <v>354</v>
      </c>
      <c r="AD399" s="35">
        <f>IF(Eingabe[[#This Row],[R1]]="",IF(Eingabe[[#This Row],[Räumer alternativ]]="","",Eingabe[[#This Row],[Räumer alternativ]]),SUM(Eingabe[[#This Row],[R1]:[R4]]))</f>
        <v>177</v>
      </c>
      <c r="AE399" s="35">
        <f>IF(Eingabe[[#This Row],[F1]]="",IF(Eingabe[[#This Row],[Fehler alternativ]]="","",Eingabe[[#This Row],[Fehler alternativ]]),SUM(Eingabe[[#This Row],[F1]:[F4]]))</f>
        <v>4</v>
      </c>
      <c r="AF399" s="35">
        <f>IF(Eingabe[[#This Row],[Volle]]="","",IF(Eingabe[[#This Row],[S1]]="",Eingabe[[#This Row],[Volle]]+Eingabe[[#This Row],[Räumer]],IF(Eingabe[[#This Row],[Volle]]+Eingabe[[#This Row],[Räumer]]=Eingabe[[#This Row],[S1]]+Eingabe[[#This Row],[S2]]+Eingabe[[#This Row],[S3]]+Eingabe[[#This Row],[S4]],Eingabe[[#This Row],[Volle]]+Eingabe[[#This Row],[Räumer]],"FEHLER")))</f>
        <v>531</v>
      </c>
      <c r="AG399" s="35">
        <f>IF(Eingabe[[#This Row],[V1]]="","",Eingabe[[#This Row],[V1]]+Eingabe[[#This Row],[R1]])</f>
        <v>135</v>
      </c>
      <c r="AH399" s="35">
        <f>IF(Eingabe[[#This Row],[V2]]="","",Eingabe[[#This Row],[V2]]+Eingabe[[#This Row],[R2]])</f>
        <v>145</v>
      </c>
      <c r="AI399" s="35">
        <f>IF(Eingabe[[#This Row],[V3]]="","",Eingabe[[#This Row],[V3]]+Eingabe[[#This Row],[R3]])</f>
        <v>118</v>
      </c>
      <c r="AJ399" s="35">
        <f>IF(Eingabe[[#This Row],[V4]]="","",Eingabe[[#This Row],[V4]]+Eingabe[[#This Row],[R4]])</f>
        <v>133</v>
      </c>
      <c r="AK399" s="35">
        <f>IF(Eingabe[[#This Row],[S1P]]="","",Eingabe[[#This Row],[S1P]]+Eingabe[[#This Row],[S2P]]+Eingabe[[#This Row],[S3P]]+Eingabe[[#This Row],[S4P]])</f>
        <v>2</v>
      </c>
      <c r="AL399" s="35">
        <f>IF(Eingabe[[#This Row],[S1P]]="","",IF(Eingabe[[#This Row],[SP]]&gt;2,1,IF(Eingabe[[#This Row],[SP]]&lt;2,0,IF(Eingabe[[#This Row],[GES]]&gt;Eingabe[[#This Row],[GEGGES]],1,IF(Eingabe[[#This Row],[GES]]=Eingabe[[#This Row],[GEGGES]],0.5,0)))))</f>
        <v>1</v>
      </c>
      <c r="AM399" s="35">
        <f>IF(Eingabe[[#This Row],[MP]]="","",MOD(ROW(Eingabe[[#This Row],[Position]])-3,6)+1)</f>
        <v>1</v>
      </c>
      <c r="AN399" s="35">
        <f>STANDARDIZE(Eingabe[[#This Row],[GES]],Eingabe[[#This Row],[Schnitt]],VLOOKUP(Eingabe[[#This Row],[Name]],AuswertungG[],21,FALSE))</f>
        <v>-0.54285714285714282</v>
      </c>
      <c r="AO399" s="35">
        <f>VLOOKUP(Eingabe[[#This Row],[ID]],Chronologie[[ID]:[KW]],12,FALSE)</f>
        <v>10</v>
      </c>
      <c r="AP399" s="58" t="str">
        <f>IF(Eingabe[[#This Row],[Wo]]="H",Eingabe[[#This Row],[Gegner]]&amp;" ["&amp;Eingabe[[#This Row],[Wo]]&amp;"]",Eingabe[[#This Row],[Ort]])</f>
        <v>TuS Gerolsheim [H]</v>
      </c>
      <c r="AQ399" s="35">
        <f>IFERROR(IF(Eingabe[[#This Row],[Wo]]="H",IF(MOD(Eingabe[[#This Row],[Position]],2)=1,Eingabe[[#This Row],[S1]],Eingabe[[#This Row],[S4]]),""),"")</f>
        <v>135</v>
      </c>
      <c r="AR399" s="35">
        <f>IFERROR(IF(Eingabe[[#This Row],[Wo]]="H",IF(Eingabe[[#This Row],[S1]]&gt;0,IF(MOD(Eingabe[[#This Row],[Position]],2)=1,Eingabe[[#This Row],[S2]],Eingabe[[#This Row],[S3]]),""),""),"")</f>
        <v>145</v>
      </c>
      <c r="AS399" s="35">
        <f>IFERROR(IF(Eingabe[[#This Row],[Wo]]="H",IF(Eingabe[[#This Row],[S1]]&gt;0,IF(MOD(ROW(Eingabe[[#This Row],[Heimbahn 3]]),2)=1,Eingabe[[#This Row],[S4]],Eingabe[[#This Row],[S1]]),""),""),"")</f>
        <v>133</v>
      </c>
      <c r="AT399" s="35">
        <f>IFERROR(IF(Eingabe[[#This Row],[Wo]]="H",IF(Eingabe[[#This Row],[S1]]&gt;0,IF(MOD(ROW(Eingabe[[#This Row],[Heimbahn 4]]),2)=1,Eingabe[[#This Row],[S3]],Eingabe[[#This Row],[S2]]),""),""),"")</f>
        <v>118</v>
      </c>
      <c r="AU399" s="88" t="str">
        <f>IF(Eingabe[[#This Row],[GES]]="","",IF(Eingabe[[#This Row],[Modus]]="L",_xlfn.RANK.EQ(Eingabe[[#This Row],[GES]],AF399:AF404),IF(Eingabe[[#This Row],[Modus]]="P",_xlfn.RANK.EQ(Eingabe[[#This Row],[GES]],AF399:AF404),"")))</f>
        <v/>
      </c>
      <c r="AV399" s="6">
        <f>VLOOKUP(Eingabe[[#This Row],[Name]],AuswertungG[],8,FALSE)</f>
        <v>550</v>
      </c>
      <c r="AZ399" s="6">
        <f>IFERROR(ABS(Eingabe[[#This Row],[GES]]-Eingabe[[#This Row],[GEGGES]]),"")</f>
        <v>8</v>
      </c>
    </row>
    <row r="400" spans="1:52" ht="16.2" hidden="1" thickBot="1" x14ac:dyDescent="0.35">
      <c r="A400" s="441"/>
      <c r="B400" s="21">
        <f t="shared" si="46"/>
        <v>67</v>
      </c>
      <c r="C400" s="6" t="str">
        <f>VLOOKUP($B400,Chronologie[],7,TRUE)</f>
        <v>TuS Gerolsheim</v>
      </c>
      <c r="D400" s="6" t="str">
        <f>VLOOKUP($B400,Chronologie[],8,TRUE)</f>
        <v>Hirschfeld</v>
      </c>
      <c r="E400" s="240" t="str">
        <f>VLOOKUP($B400,Chronologie[],9,TRUE)</f>
        <v>H</v>
      </c>
      <c r="F400" s="6" t="str">
        <f>VLOOKUP($B400,Chronologie[],COLUMN(F401)-2,TRUE)</f>
        <v>E</v>
      </c>
      <c r="G400" s="6" t="str">
        <f>VLOOKUP($B400,Chronologie[],COLUMN(G401)-2,TRUE)</f>
        <v>DKBC-Pokal</v>
      </c>
      <c r="H400" s="6">
        <f>VLOOKUP($B400,Chronologie[],COLUMN(H401)-2,TRUE)</f>
        <v>2</v>
      </c>
      <c r="I400" s="10" t="str">
        <f>VLOOKUP($B400,Chronologie[],2,TRUE)</f>
        <v>E-DKBC-Pokal-2</v>
      </c>
      <c r="J400" s="243">
        <f>VLOOKUP($B400,Chronologie[],3,TRUE)</f>
        <v>45962</v>
      </c>
      <c r="K400" s="237" t="s">
        <v>489</v>
      </c>
      <c r="L400" s="237">
        <v>92</v>
      </c>
      <c r="M400" s="237">
        <v>72</v>
      </c>
      <c r="N400" s="237">
        <v>89</v>
      </c>
      <c r="O400" s="237">
        <v>88</v>
      </c>
      <c r="P400" s="237">
        <v>49</v>
      </c>
      <c r="Q400" s="237">
        <v>35</v>
      </c>
      <c r="R400" s="237">
        <v>41</v>
      </c>
      <c r="S400" s="237">
        <v>42</v>
      </c>
      <c r="T400" s="237">
        <v>0</v>
      </c>
      <c r="U400" s="237">
        <v>1</v>
      </c>
      <c r="V400" s="237">
        <v>2</v>
      </c>
      <c r="W400" s="237">
        <v>2</v>
      </c>
      <c r="X400" s="38">
        <v>0.5</v>
      </c>
      <c r="Y400" s="38">
        <v>0</v>
      </c>
      <c r="Z400" s="38">
        <v>0</v>
      </c>
      <c r="AA400" s="38">
        <v>0</v>
      </c>
      <c r="AB400" s="91">
        <v>534</v>
      </c>
      <c r="AC400" s="94">
        <f>IF(Eingabe[[#This Row],[V1]]="",IF(Eingabe[[#This Row],[Volle alternativ]]="","",Eingabe[[#This Row],[Volle alternativ]]),SUM(Eingabe[[#This Row],[V1]:[V4]]))</f>
        <v>341</v>
      </c>
      <c r="AD400" s="6">
        <f>IF(Eingabe[[#This Row],[R1]]="",IF(Eingabe[[#This Row],[Räumer alternativ]]="","",Eingabe[[#This Row],[Räumer alternativ]]),SUM(Eingabe[[#This Row],[R1]:[R4]]))</f>
        <v>167</v>
      </c>
      <c r="AE400" s="6">
        <f>IF(Eingabe[[#This Row],[F1]]="",IF(Eingabe[[#This Row],[Fehler alternativ]]="","",Eingabe[[#This Row],[Fehler alternativ]]),SUM(Eingabe[[#This Row],[F1]:[F4]]))</f>
        <v>5</v>
      </c>
      <c r="AF400" s="6">
        <f>IF(Eingabe[[#This Row],[Volle]]="","",IF(Eingabe[[#This Row],[S1]]="",Eingabe[[#This Row],[Volle]]+Eingabe[[#This Row],[Räumer]],IF(Eingabe[[#This Row],[Volle]]+Eingabe[[#This Row],[Räumer]]=Eingabe[[#This Row],[S1]]+Eingabe[[#This Row],[S2]]+Eingabe[[#This Row],[S3]]+Eingabe[[#This Row],[S4]],Eingabe[[#This Row],[Volle]]+Eingabe[[#This Row],[Räumer]],"FEHLER")))</f>
        <v>508</v>
      </c>
      <c r="AG400" s="6">
        <f>IF(Eingabe[[#This Row],[V1]]="","",Eingabe[[#This Row],[V1]]+Eingabe[[#This Row],[R1]])</f>
        <v>141</v>
      </c>
      <c r="AH400" s="6">
        <f>IF(Eingabe[[#This Row],[V2]]="","",Eingabe[[#This Row],[V2]]+Eingabe[[#This Row],[R2]])</f>
        <v>107</v>
      </c>
      <c r="AI400" s="6">
        <f>IF(Eingabe[[#This Row],[V3]]="","",Eingabe[[#This Row],[V3]]+Eingabe[[#This Row],[R3]])</f>
        <v>130</v>
      </c>
      <c r="AJ400" s="6">
        <f>IF(Eingabe[[#This Row],[V4]]="","",Eingabe[[#This Row],[V4]]+Eingabe[[#This Row],[R4]])</f>
        <v>130</v>
      </c>
      <c r="AK400" s="6">
        <f>IF(Eingabe[[#This Row],[S1P]]="","",Eingabe[[#This Row],[S1P]]+Eingabe[[#This Row],[S2P]]+Eingabe[[#This Row],[S3P]]+Eingabe[[#This Row],[S4P]])</f>
        <v>0.5</v>
      </c>
      <c r="AL400" s="6">
        <f>IF(Eingabe[[#This Row],[S1P]]="","",IF(Eingabe[[#This Row],[SP]]&gt;2,1,IF(Eingabe[[#This Row],[SP]]&lt;2,0,IF(Eingabe[[#This Row],[GES]]&gt;Eingabe[[#This Row],[GEGGES]],1,IF(Eingabe[[#This Row],[GES]]=Eingabe[[#This Row],[GEGGES]],0.5,0)))))</f>
        <v>0</v>
      </c>
      <c r="AM400" s="6">
        <f>IF(Eingabe[[#This Row],[MP]]="","",MOD(ROW(Eingabe[[#This Row],[Position]])-3,6)+1)</f>
        <v>2</v>
      </c>
      <c r="AN400" s="6">
        <f>STANDARDIZE(Eingabe[[#This Row],[GES]],Eingabe[[#This Row],[Schnitt]],VLOOKUP(Eingabe[[#This Row],[Name]],AuswertungG[],21,FALSE))</f>
        <v>-0.75</v>
      </c>
      <c r="AO400" s="6">
        <f>VLOOKUP(Eingabe[[#This Row],[ID]],Chronologie[[ID]:[KW]],12,FALSE)</f>
        <v>10</v>
      </c>
      <c r="AP400" s="95" t="str">
        <f>IF(Eingabe[[#This Row],[Wo]]="H",Eingabe[[#This Row],[Gegner]]&amp;" ["&amp;Eingabe[[#This Row],[Wo]]&amp;"]",Eingabe[[#This Row],[Ort]])</f>
        <v>TuS Gerolsheim [H]</v>
      </c>
      <c r="AQ400" s="6">
        <f>IFERROR(IF(Eingabe[[#This Row],[Wo]]="H",IF(MOD(Eingabe[[#This Row],[Position]],2)=1,Eingabe[[#This Row],[S1]],Eingabe[[#This Row],[S4]]),""),"")</f>
        <v>130</v>
      </c>
      <c r="AR400" s="6">
        <f>IFERROR(IF(Eingabe[[#This Row],[Wo]]="H",IF(Eingabe[[#This Row],[S1]]&gt;0,IF(MOD(Eingabe[[#This Row],[Position]],2)=1,Eingabe[[#This Row],[S2]],Eingabe[[#This Row],[S3]]),""),""),"")</f>
        <v>130</v>
      </c>
      <c r="AS400" s="6">
        <f>IFERROR(IF(Eingabe[[#This Row],[Wo]]="H",IF(Eingabe[[#This Row],[S1]]&gt;0,IF(MOD(ROW(Eingabe[[#This Row],[Heimbahn 3]]),2)=1,Eingabe[[#This Row],[S4]],Eingabe[[#This Row],[S1]]),""),""),"")</f>
        <v>141</v>
      </c>
      <c r="AT400" s="6">
        <f>IFERROR(IF(Eingabe[[#This Row],[Wo]]="H",IF(Eingabe[[#This Row],[S1]]&gt;0,IF(MOD(ROW(Eingabe[[#This Row],[Heimbahn 4]]),2)=1,Eingabe[[#This Row],[S3]],Eingabe[[#This Row],[S2]]),""),""),"")</f>
        <v>107</v>
      </c>
      <c r="AU400" s="22" t="str">
        <f>IF(Eingabe[[#This Row],[GES]]="","",IF(Eingabe[[#This Row],[Modus]]="L",_xlfn.RANK.EQ(Eingabe[[#This Row],[GES]],AF399:AF404),IF(Eingabe[[#This Row],[Modus]]="P",_xlfn.RANK.EQ(Eingabe[[#This Row],[GES]],AF399:AF404),"")))</f>
        <v/>
      </c>
      <c r="AV400" s="6">
        <f>VLOOKUP(Eingabe[[#This Row],[Name]],AuswertungG[],8,FALSE)</f>
        <v>526</v>
      </c>
      <c r="AZ400" s="6">
        <f>IFERROR(ABS(Eingabe[[#This Row],[GES]]-Eingabe[[#This Row],[GEGGES]]),"")</f>
        <v>26</v>
      </c>
    </row>
    <row r="401" spans="1:52" ht="16.2" hidden="1" thickBot="1" x14ac:dyDescent="0.35">
      <c r="A401" s="441"/>
      <c r="B401" s="21">
        <f t="shared" si="46"/>
        <v>67</v>
      </c>
      <c r="C401" s="6" t="str">
        <f>VLOOKUP($B401,Chronologie[],7,TRUE)</f>
        <v>TuS Gerolsheim</v>
      </c>
      <c r="D401" s="6" t="str">
        <f>VLOOKUP($B401,Chronologie[],8,TRUE)</f>
        <v>Hirschfeld</v>
      </c>
      <c r="E401" s="240" t="str">
        <f>VLOOKUP($B401,Chronologie[],9,TRUE)</f>
        <v>H</v>
      </c>
      <c r="F401" s="6" t="str">
        <f>VLOOKUP($B401,Chronologie[],COLUMN(F402)-2,TRUE)</f>
        <v>E</v>
      </c>
      <c r="G401" s="6" t="str">
        <f>VLOOKUP($B401,Chronologie[],COLUMN(G402)-2,TRUE)</f>
        <v>DKBC-Pokal</v>
      </c>
      <c r="H401" s="6">
        <f>VLOOKUP($B401,Chronologie[],COLUMN(H402)-2,TRUE)</f>
        <v>2</v>
      </c>
      <c r="I401" s="10" t="str">
        <f>VLOOKUP($B401,Chronologie[],2,TRUE)</f>
        <v>E-DKBC-Pokal-2</v>
      </c>
      <c r="J401" s="243">
        <f>VLOOKUP($B401,Chronologie[],3,TRUE)</f>
        <v>45962</v>
      </c>
      <c r="K401" s="237" t="s">
        <v>469</v>
      </c>
      <c r="L401" s="237">
        <v>84</v>
      </c>
      <c r="M401" s="237">
        <v>102</v>
      </c>
      <c r="N401" s="237">
        <v>86</v>
      </c>
      <c r="O401" s="237">
        <v>87</v>
      </c>
      <c r="P401" s="237">
        <v>44</v>
      </c>
      <c r="Q401" s="237">
        <v>44</v>
      </c>
      <c r="R401" s="237">
        <v>42</v>
      </c>
      <c r="S401" s="237">
        <v>62</v>
      </c>
      <c r="T401" s="237">
        <v>1</v>
      </c>
      <c r="U401" s="237">
        <v>0</v>
      </c>
      <c r="V401" s="237">
        <v>0</v>
      </c>
      <c r="W401" s="237">
        <v>0</v>
      </c>
      <c r="X401" s="38">
        <v>1</v>
      </c>
      <c r="Y401" s="38">
        <v>1</v>
      </c>
      <c r="Z401" s="38">
        <v>0</v>
      </c>
      <c r="AA401" s="38">
        <v>1</v>
      </c>
      <c r="AB401" s="91">
        <v>515</v>
      </c>
      <c r="AC401" s="94">
        <f>IF(Eingabe[[#This Row],[V1]]="",IF(Eingabe[[#This Row],[Volle alternativ]]="","",Eingabe[[#This Row],[Volle alternativ]]),SUM(Eingabe[[#This Row],[V1]:[V4]]))</f>
        <v>359</v>
      </c>
      <c r="AD401" s="6">
        <f>IF(Eingabe[[#This Row],[R1]]="",IF(Eingabe[[#This Row],[Räumer alternativ]]="","",Eingabe[[#This Row],[Räumer alternativ]]),SUM(Eingabe[[#This Row],[R1]:[R4]]))</f>
        <v>192</v>
      </c>
      <c r="AE401" s="6">
        <f>IF(Eingabe[[#This Row],[F1]]="",IF(Eingabe[[#This Row],[Fehler alternativ]]="","",Eingabe[[#This Row],[Fehler alternativ]]),SUM(Eingabe[[#This Row],[F1]:[F4]]))</f>
        <v>1</v>
      </c>
      <c r="AF401" s="6">
        <f>IF(Eingabe[[#This Row],[Volle]]="","",IF(Eingabe[[#This Row],[S1]]="",Eingabe[[#This Row],[Volle]]+Eingabe[[#This Row],[Räumer]],IF(Eingabe[[#This Row],[Volle]]+Eingabe[[#This Row],[Räumer]]=Eingabe[[#This Row],[S1]]+Eingabe[[#This Row],[S2]]+Eingabe[[#This Row],[S3]]+Eingabe[[#This Row],[S4]],Eingabe[[#This Row],[Volle]]+Eingabe[[#This Row],[Räumer]],"FEHLER")))</f>
        <v>551</v>
      </c>
      <c r="AG401" s="6">
        <f>IF(Eingabe[[#This Row],[V1]]="","",Eingabe[[#This Row],[V1]]+Eingabe[[#This Row],[R1]])</f>
        <v>128</v>
      </c>
      <c r="AH401" s="6">
        <f>IF(Eingabe[[#This Row],[V2]]="","",Eingabe[[#This Row],[V2]]+Eingabe[[#This Row],[R2]])</f>
        <v>146</v>
      </c>
      <c r="AI401" s="6">
        <f>IF(Eingabe[[#This Row],[V3]]="","",Eingabe[[#This Row],[V3]]+Eingabe[[#This Row],[R3]])</f>
        <v>128</v>
      </c>
      <c r="AJ401" s="6">
        <f>IF(Eingabe[[#This Row],[V4]]="","",Eingabe[[#This Row],[V4]]+Eingabe[[#This Row],[R4]])</f>
        <v>149</v>
      </c>
      <c r="AK401" s="6">
        <f>IF(Eingabe[[#This Row],[S1P]]="","",Eingabe[[#This Row],[S1P]]+Eingabe[[#This Row],[S2P]]+Eingabe[[#This Row],[S3P]]+Eingabe[[#This Row],[S4P]])</f>
        <v>3</v>
      </c>
      <c r="AL401" s="6">
        <f>IF(Eingabe[[#This Row],[S1P]]="","",IF(Eingabe[[#This Row],[SP]]&gt;2,1,IF(Eingabe[[#This Row],[SP]]&lt;2,0,IF(Eingabe[[#This Row],[GES]]&gt;Eingabe[[#This Row],[GEGGES]],1,IF(Eingabe[[#This Row],[GES]]=Eingabe[[#This Row],[GEGGES]],0.5,0)))))</f>
        <v>1</v>
      </c>
      <c r="AM401" s="6">
        <f>IF(Eingabe[[#This Row],[MP]]="","",MOD(ROW(Eingabe[[#This Row],[Position]])-3,6)+1)</f>
        <v>3</v>
      </c>
      <c r="AN401" s="6">
        <f>STANDARDIZE(Eingabe[[#This Row],[GES]],Eingabe[[#This Row],[Schnitt]],VLOOKUP(Eingabe[[#This Row],[Name]],AuswertungG[],21,FALSE))</f>
        <v>1.0454545454545454</v>
      </c>
      <c r="AO401" s="6">
        <f>VLOOKUP(Eingabe[[#This Row],[ID]],Chronologie[[ID]:[KW]],12,FALSE)</f>
        <v>10</v>
      </c>
      <c r="AP401" s="95" t="str">
        <f>IF(Eingabe[[#This Row],[Wo]]="H",Eingabe[[#This Row],[Gegner]]&amp;" ["&amp;Eingabe[[#This Row],[Wo]]&amp;"]",Eingabe[[#This Row],[Ort]])</f>
        <v>TuS Gerolsheim [H]</v>
      </c>
      <c r="AQ401" s="6">
        <f>IFERROR(IF(Eingabe[[#This Row],[Wo]]="H",IF(MOD(Eingabe[[#This Row],[Position]],2)=1,Eingabe[[#This Row],[S1]],Eingabe[[#This Row],[S4]]),""),"")</f>
        <v>128</v>
      </c>
      <c r="AR401" s="6">
        <f>IFERROR(IF(Eingabe[[#This Row],[Wo]]="H",IF(Eingabe[[#This Row],[S1]]&gt;0,IF(MOD(Eingabe[[#This Row],[Position]],2)=1,Eingabe[[#This Row],[S2]],Eingabe[[#This Row],[S3]]),""),""),"")</f>
        <v>146</v>
      </c>
      <c r="AS401" s="6">
        <f>IFERROR(IF(Eingabe[[#This Row],[Wo]]="H",IF(Eingabe[[#This Row],[S1]]&gt;0,IF(MOD(ROW(Eingabe[[#This Row],[Heimbahn 3]]),2)=1,Eingabe[[#This Row],[S4]],Eingabe[[#This Row],[S1]]),""),""),"")</f>
        <v>149</v>
      </c>
      <c r="AT401" s="6">
        <f>IFERROR(IF(Eingabe[[#This Row],[Wo]]="H",IF(Eingabe[[#This Row],[S1]]&gt;0,IF(MOD(ROW(Eingabe[[#This Row],[Heimbahn 4]]),2)=1,Eingabe[[#This Row],[S3]],Eingabe[[#This Row],[S2]]),""),""),"")</f>
        <v>128</v>
      </c>
      <c r="AU401" s="22" t="str">
        <f>IF(Eingabe[[#This Row],[GES]]="","",IF(Eingabe[[#This Row],[Modus]]="L",_xlfn.RANK.EQ(Eingabe[[#This Row],[GES]],AF399:AF404),IF(Eingabe[[#This Row],[Modus]]="P",_xlfn.RANK.EQ(Eingabe[[#This Row],[GES]],AF399:AF404),"")))</f>
        <v/>
      </c>
      <c r="AV401" s="6">
        <f>VLOOKUP(Eingabe[[#This Row],[Name]],AuswertungG[],8,FALSE)</f>
        <v>528</v>
      </c>
      <c r="AZ401" s="6">
        <f>IFERROR(ABS(Eingabe[[#This Row],[GES]]-Eingabe[[#This Row],[GEGGES]]),"")</f>
        <v>36</v>
      </c>
    </row>
    <row r="402" spans="1:52" ht="16.2" hidden="1" thickBot="1" x14ac:dyDescent="0.35">
      <c r="A402" s="441"/>
      <c r="B402" s="21">
        <f t="shared" si="46"/>
        <v>67</v>
      </c>
      <c r="C402" s="6" t="str">
        <f>VLOOKUP($B402,Chronologie[],7,TRUE)</f>
        <v>TuS Gerolsheim</v>
      </c>
      <c r="D402" s="6" t="str">
        <f>VLOOKUP($B402,Chronologie[],8,TRUE)</f>
        <v>Hirschfeld</v>
      </c>
      <c r="E402" s="240" t="str">
        <f>VLOOKUP($B402,Chronologie[],9,TRUE)</f>
        <v>H</v>
      </c>
      <c r="F402" s="6" t="str">
        <f>VLOOKUP($B402,Chronologie[],COLUMN(F403)-2,TRUE)</f>
        <v>E</v>
      </c>
      <c r="G402" s="6" t="str">
        <f>VLOOKUP($B402,Chronologie[],COLUMN(G403)-2,TRUE)</f>
        <v>DKBC-Pokal</v>
      </c>
      <c r="H402" s="6">
        <f>VLOOKUP($B402,Chronologie[],COLUMN(H403)-2,TRUE)</f>
        <v>2</v>
      </c>
      <c r="I402" s="10" t="str">
        <f>VLOOKUP($B402,Chronologie[],2,TRUE)</f>
        <v>E-DKBC-Pokal-2</v>
      </c>
      <c r="J402" s="243">
        <f>VLOOKUP($B402,Chronologie[],3,TRUE)</f>
        <v>45962</v>
      </c>
      <c r="K402" s="238" t="s">
        <v>6</v>
      </c>
      <c r="L402" s="237">
        <v>88</v>
      </c>
      <c r="M402" s="237">
        <v>82</v>
      </c>
      <c r="N402" s="237">
        <v>97</v>
      </c>
      <c r="O402" s="237">
        <v>99</v>
      </c>
      <c r="P402" s="237">
        <v>36</v>
      </c>
      <c r="Q402" s="237">
        <v>45</v>
      </c>
      <c r="R402" s="237">
        <v>43</v>
      </c>
      <c r="S402" s="237">
        <v>36</v>
      </c>
      <c r="T402" s="237">
        <v>1</v>
      </c>
      <c r="U402" s="237">
        <v>0</v>
      </c>
      <c r="V402" s="237">
        <v>0</v>
      </c>
      <c r="W402" s="237">
        <v>3</v>
      </c>
      <c r="X402" s="38">
        <v>1</v>
      </c>
      <c r="Y402" s="38">
        <v>1</v>
      </c>
      <c r="Z402" s="38">
        <v>1</v>
      </c>
      <c r="AA402" s="38">
        <v>1</v>
      </c>
      <c r="AB402" s="91">
        <v>478</v>
      </c>
      <c r="AC402" s="94">
        <f>IF(Eingabe[[#This Row],[V1]]="",IF(Eingabe[[#This Row],[Volle alternativ]]="","",Eingabe[[#This Row],[Volle alternativ]]),SUM(Eingabe[[#This Row],[V1]:[V4]]))</f>
        <v>366</v>
      </c>
      <c r="AD402" s="6">
        <f>IF(Eingabe[[#This Row],[R1]]="",IF(Eingabe[[#This Row],[Räumer alternativ]]="","",Eingabe[[#This Row],[Räumer alternativ]]),SUM(Eingabe[[#This Row],[R1]:[R4]]))</f>
        <v>160</v>
      </c>
      <c r="AE402" s="6">
        <f>IF(Eingabe[[#This Row],[F1]]="",IF(Eingabe[[#This Row],[Fehler alternativ]]="","",Eingabe[[#This Row],[Fehler alternativ]]),SUM(Eingabe[[#This Row],[F1]:[F4]]))</f>
        <v>4</v>
      </c>
      <c r="AF402" s="6">
        <f>IF(Eingabe[[#This Row],[Volle]]="","",IF(Eingabe[[#This Row],[S1]]="",Eingabe[[#This Row],[Volle]]+Eingabe[[#This Row],[Räumer]],IF(Eingabe[[#This Row],[Volle]]+Eingabe[[#This Row],[Räumer]]=Eingabe[[#This Row],[S1]]+Eingabe[[#This Row],[S2]]+Eingabe[[#This Row],[S3]]+Eingabe[[#This Row],[S4]],Eingabe[[#This Row],[Volle]]+Eingabe[[#This Row],[Räumer]],"FEHLER")))</f>
        <v>526</v>
      </c>
      <c r="AG402" s="6">
        <f>IF(Eingabe[[#This Row],[V1]]="","",Eingabe[[#This Row],[V1]]+Eingabe[[#This Row],[R1]])</f>
        <v>124</v>
      </c>
      <c r="AH402" s="6">
        <f>IF(Eingabe[[#This Row],[V2]]="","",Eingabe[[#This Row],[V2]]+Eingabe[[#This Row],[R2]])</f>
        <v>127</v>
      </c>
      <c r="AI402" s="6">
        <f>IF(Eingabe[[#This Row],[V3]]="","",Eingabe[[#This Row],[V3]]+Eingabe[[#This Row],[R3]])</f>
        <v>140</v>
      </c>
      <c r="AJ402" s="6">
        <f>IF(Eingabe[[#This Row],[V4]]="","",Eingabe[[#This Row],[V4]]+Eingabe[[#This Row],[R4]])</f>
        <v>135</v>
      </c>
      <c r="AK402" s="6">
        <f>IF(Eingabe[[#This Row],[S1P]]="","",Eingabe[[#This Row],[S1P]]+Eingabe[[#This Row],[S2P]]+Eingabe[[#This Row],[S3P]]+Eingabe[[#This Row],[S4P]])</f>
        <v>4</v>
      </c>
      <c r="AL402" s="6">
        <f>IF(Eingabe[[#This Row],[S1P]]="","",IF(Eingabe[[#This Row],[SP]]&gt;2,1,IF(Eingabe[[#This Row],[SP]]&lt;2,0,IF(Eingabe[[#This Row],[GES]]&gt;Eingabe[[#This Row],[GEGGES]],1,IF(Eingabe[[#This Row],[GES]]=Eingabe[[#This Row],[GEGGES]],0.5,0)))))</f>
        <v>1</v>
      </c>
      <c r="AM402" s="6">
        <f>IF(Eingabe[[#This Row],[MP]]="","",MOD(ROW(Eingabe[[#This Row],[Position]])-3,6)+1)</f>
        <v>4</v>
      </c>
      <c r="AN402" s="6">
        <f>STANDARDIZE(Eingabe[[#This Row],[GES]],Eingabe[[#This Row],[Schnitt]],VLOOKUP(Eingabe[[#This Row],[Name]],AuswertungG[],21,FALSE))</f>
        <v>-0.16666666666666666</v>
      </c>
      <c r="AO402" s="6">
        <f>VLOOKUP(Eingabe[[#This Row],[ID]],Chronologie[[ID]:[KW]],12,FALSE)</f>
        <v>10</v>
      </c>
      <c r="AP402" s="95" t="str">
        <f>IF(Eingabe[[#This Row],[Wo]]="H",Eingabe[[#This Row],[Gegner]]&amp;" ["&amp;Eingabe[[#This Row],[Wo]]&amp;"]",Eingabe[[#This Row],[Ort]])</f>
        <v>TuS Gerolsheim [H]</v>
      </c>
      <c r="AQ402" s="6">
        <f>IFERROR(IF(Eingabe[[#This Row],[Wo]]="H",IF(MOD(Eingabe[[#This Row],[Position]],2)=1,Eingabe[[#This Row],[S1]],Eingabe[[#This Row],[S4]]),""),"")</f>
        <v>135</v>
      </c>
      <c r="AR402" s="6">
        <f>IFERROR(IF(Eingabe[[#This Row],[Wo]]="H",IF(Eingabe[[#This Row],[S1]]&gt;0,IF(MOD(Eingabe[[#This Row],[Position]],2)=1,Eingabe[[#This Row],[S2]],Eingabe[[#This Row],[S3]]),""),""),"")</f>
        <v>140</v>
      </c>
      <c r="AS402" s="6">
        <f>IFERROR(IF(Eingabe[[#This Row],[Wo]]="H",IF(Eingabe[[#This Row],[S1]]&gt;0,IF(MOD(ROW(Eingabe[[#This Row],[Heimbahn 3]]),2)=1,Eingabe[[#This Row],[S4]],Eingabe[[#This Row],[S1]]),""),""),"")</f>
        <v>124</v>
      </c>
      <c r="AT402" s="6">
        <f>IFERROR(IF(Eingabe[[#This Row],[Wo]]="H",IF(Eingabe[[#This Row],[S1]]&gt;0,IF(MOD(ROW(Eingabe[[#This Row],[Heimbahn 4]]),2)=1,Eingabe[[#This Row],[S3]],Eingabe[[#This Row],[S2]]),""),""),"")</f>
        <v>127</v>
      </c>
      <c r="AU402" s="22" t="str">
        <f>IF(Eingabe[[#This Row],[GES]]="","",IF(Eingabe[[#This Row],[Modus]]="L",_xlfn.RANK.EQ(Eingabe[[#This Row],[GES]],AF399:AF404),IF(Eingabe[[#This Row],[Modus]]="P",_xlfn.RANK.EQ(Eingabe[[#This Row],[GES]],AF399:AF404),"")))</f>
        <v/>
      </c>
      <c r="AV402" s="6">
        <f>VLOOKUP(Eingabe[[#This Row],[Name]],AuswertungG[],8,FALSE)</f>
        <v>529</v>
      </c>
      <c r="AZ402" s="6">
        <f>IFERROR(ABS(Eingabe[[#This Row],[GES]]-Eingabe[[#This Row],[GEGGES]]),"")</f>
        <v>48</v>
      </c>
    </row>
    <row r="403" spans="1:52" ht="16.2" hidden="1" thickBot="1" x14ac:dyDescent="0.35">
      <c r="A403" s="441"/>
      <c r="B403" s="21">
        <f t="shared" si="46"/>
        <v>67</v>
      </c>
      <c r="C403" s="6" t="str">
        <f>VLOOKUP($B403,Chronologie[],7,TRUE)</f>
        <v>TuS Gerolsheim</v>
      </c>
      <c r="D403" s="6" t="str">
        <f>VLOOKUP($B403,Chronologie[],8,TRUE)</f>
        <v>Hirschfeld</v>
      </c>
      <c r="E403" s="240" t="str">
        <f>VLOOKUP($B403,Chronologie[],9,TRUE)</f>
        <v>H</v>
      </c>
      <c r="F403" s="6" t="str">
        <f>VLOOKUP($B403,Chronologie[],COLUMN(F404)-2,TRUE)</f>
        <v>E</v>
      </c>
      <c r="G403" s="6" t="str">
        <f>VLOOKUP($B403,Chronologie[],COLUMN(G404)-2,TRUE)</f>
        <v>DKBC-Pokal</v>
      </c>
      <c r="H403" s="6">
        <f>VLOOKUP($B403,Chronologie[],COLUMN(H404)-2,TRUE)</f>
        <v>2</v>
      </c>
      <c r="I403" s="10" t="str">
        <f>VLOOKUP($B403,Chronologie[],2,TRUE)</f>
        <v>E-DKBC-Pokal-2</v>
      </c>
      <c r="J403" s="243">
        <f>VLOOKUP($B403,Chronologie[],3,TRUE)</f>
        <v>45962</v>
      </c>
      <c r="K403" s="237" t="s">
        <v>455</v>
      </c>
      <c r="L403" s="237">
        <v>80</v>
      </c>
      <c r="M403" s="237">
        <v>96</v>
      </c>
      <c r="N403" s="237">
        <v>96</v>
      </c>
      <c r="O403" s="237">
        <v>92</v>
      </c>
      <c r="P403" s="237">
        <v>52</v>
      </c>
      <c r="Q403" s="237">
        <v>50</v>
      </c>
      <c r="R403" s="237">
        <v>42</v>
      </c>
      <c r="S403" s="237">
        <v>50</v>
      </c>
      <c r="T403" s="237">
        <v>0</v>
      </c>
      <c r="U403" s="237">
        <v>0</v>
      </c>
      <c r="V403" s="237">
        <v>0</v>
      </c>
      <c r="W403" s="237">
        <v>0</v>
      </c>
      <c r="X403" s="38">
        <v>0</v>
      </c>
      <c r="Y403" s="38">
        <v>1</v>
      </c>
      <c r="Z403" s="38">
        <v>0</v>
      </c>
      <c r="AA403" s="38">
        <v>0</v>
      </c>
      <c r="AB403" s="91">
        <v>564</v>
      </c>
      <c r="AC403" s="94">
        <f>IF(Eingabe[[#This Row],[V1]]="",IF(Eingabe[[#This Row],[Volle alternativ]]="","",Eingabe[[#This Row],[Volle alternativ]]),SUM(Eingabe[[#This Row],[V1]:[V4]]))</f>
        <v>364</v>
      </c>
      <c r="AD403" s="6">
        <f>IF(Eingabe[[#This Row],[R1]]="",IF(Eingabe[[#This Row],[Räumer alternativ]]="","",Eingabe[[#This Row],[Räumer alternativ]]),SUM(Eingabe[[#This Row],[R1]:[R4]]))</f>
        <v>194</v>
      </c>
      <c r="AE403" s="6">
        <f>IF(Eingabe[[#This Row],[F1]]="",IF(Eingabe[[#This Row],[Fehler alternativ]]="","",Eingabe[[#This Row],[Fehler alternativ]]),SUM(Eingabe[[#This Row],[F1]:[F4]]))</f>
        <v>0</v>
      </c>
      <c r="AF403" s="6">
        <f>IF(Eingabe[[#This Row],[Volle]]="","",IF(Eingabe[[#This Row],[S1]]="",Eingabe[[#This Row],[Volle]]+Eingabe[[#This Row],[Räumer]],IF(Eingabe[[#This Row],[Volle]]+Eingabe[[#This Row],[Räumer]]=Eingabe[[#This Row],[S1]]+Eingabe[[#This Row],[S2]]+Eingabe[[#This Row],[S3]]+Eingabe[[#This Row],[S4]],Eingabe[[#This Row],[Volle]]+Eingabe[[#This Row],[Räumer]],"FEHLER")))</f>
        <v>558</v>
      </c>
      <c r="AG403" s="6">
        <f>IF(Eingabe[[#This Row],[V1]]="","",Eingabe[[#This Row],[V1]]+Eingabe[[#This Row],[R1]])</f>
        <v>132</v>
      </c>
      <c r="AH403" s="6">
        <f>IF(Eingabe[[#This Row],[V2]]="","",Eingabe[[#This Row],[V2]]+Eingabe[[#This Row],[R2]])</f>
        <v>146</v>
      </c>
      <c r="AI403" s="6">
        <f>IF(Eingabe[[#This Row],[V3]]="","",Eingabe[[#This Row],[V3]]+Eingabe[[#This Row],[R3]])</f>
        <v>138</v>
      </c>
      <c r="AJ403" s="6">
        <f>IF(Eingabe[[#This Row],[V4]]="","",Eingabe[[#This Row],[V4]]+Eingabe[[#This Row],[R4]])</f>
        <v>142</v>
      </c>
      <c r="AK403" s="6">
        <f>IF(Eingabe[[#This Row],[S1P]]="","",Eingabe[[#This Row],[S1P]]+Eingabe[[#This Row],[S2P]]+Eingabe[[#This Row],[S3P]]+Eingabe[[#This Row],[S4P]])</f>
        <v>1</v>
      </c>
      <c r="AL403" s="6">
        <f>IF(Eingabe[[#This Row],[S1P]]="","",IF(Eingabe[[#This Row],[SP]]&gt;2,1,IF(Eingabe[[#This Row],[SP]]&lt;2,0,IF(Eingabe[[#This Row],[GES]]&gt;Eingabe[[#This Row],[GEGGES]],1,IF(Eingabe[[#This Row],[GES]]=Eingabe[[#This Row],[GEGGES]],0.5,0)))))</f>
        <v>0</v>
      </c>
      <c r="AM403" s="6">
        <f>IF(Eingabe[[#This Row],[MP]]="","",MOD(ROW(Eingabe[[#This Row],[Position]])-3,6)+1)</f>
        <v>5</v>
      </c>
      <c r="AN403" s="6">
        <f>STANDARDIZE(Eingabe[[#This Row],[GES]],Eingabe[[#This Row],[Schnitt]],VLOOKUP(Eingabe[[#This Row],[Name]],AuswertungG[],21,FALSE))</f>
        <v>-0.25641025641025639</v>
      </c>
      <c r="AO403" s="6">
        <f>VLOOKUP(Eingabe[[#This Row],[ID]],Chronologie[[ID]:[KW]],12,FALSE)</f>
        <v>10</v>
      </c>
      <c r="AP403" s="95" t="str">
        <f>IF(Eingabe[[#This Row],[Wo]]="H",Eingabe[[#This Row],[Gegner]]&amp;" ["&amp;Eingabe[[#This Row],[Wo]]&amp;"]",Eingabe[[#This Row],[Ort]])</f>
        <v>TuS Gerolsheim [H]</v>
      </c>
      <c r="AQ403" s="6">
        <f>IFERROR(IF(Eingabe[[#This Row],[Wo]]="H",IF(MOD(Eingabe[[#This Row],[Position]],2)=1,Eingabe[[#This Row],[S1]],Eingabe[[#This Row],[S4]]),""),"")</f>
        <v>132</v>
      </c>
      <c r="AR403" s="6">
        <f>IFERROR(IF(Eingabe[[#This Row],[Wo]]="H",IF(Eingabe[[#This Row],[S1]]&gt;0,IF(MOD(Eingabe[[#This Row],[Position]],2)=1,Eingabe[[#This Row],[S2]],Eingabe[[#This Row],[S3]]),""),""),"")</f>
        <v>146</v>
      </c>
      <c r="AS403" s="6">
        <f>IFERROR(IF(Eingabe[[#This Row],[Wo]]="H",IF(Eingabe[[#This Row],[S1]]&gt;0,IF(MOD(ROW(Eingabe[[#This Row],[Heimbahn 3]]),2)=1,Eingabe[[#This Row],[S4]],Eingabe[[#This Row],[S1]]),""),""),"")</f>
        <v>142</v>
      </c>
      <c r="AT403" s="6">
        <f>IFERROR(IF(Eingabe[[#This Row],[Wo]]="H",IF(Eingabe[[#This Row],[S1]]&gt;0,IF(MOD(ROW(Eingabe[[#This Row],[Heimbahn 4]]),2)=1,Eingabe[[#This Row],[S3]],Eingabe[[#This Row],[S2]]),""),""),"")</f>
        <v>138</v>
      </c>
      <c r="AU403" s="22" t="str">
        <f>IF(Eingabe[[#This Row],[GES]]="","",IF(Eingabe[[#This Row],[Modus]]="L",_xlfn.RANK.EQ(Eingabe[[#This Row],[GES]],AF399:AF404),IF(Eingabe[[#This Row],[Modus]]="P",_xlfn.RANK.EQ(Eingabe[[#This Row],[GES]],AF399:AF404),"")))</f>
        <v/>
      </c>
      <c r="AV403" s="6">
        <f>VLOOKUP(Eingabe[[#This Row],[Name]],AuswertungG[],8,FALSE)</f>
        <v>568</v>
      </c>
      <c r="AZ403" s="6">
        <f>IFERROR(ABS(Eingabe[[#This Row],[GES]]-Eingabe[[#This Row],[GEGGES]]),"")</f>
        <v>6</v>
      </c>
    </row>
    <row r="404" spans="1:52" ht="16.2" hidden="1" thickBot="1" x14ac:dyDescent="0.35">
      <c r="A404" s="442"/>
      <c r="B404" s="56">
        <f t="shared" si="46"/>
        <v>67</v>
      </c>
      <c r="C404" s="23" t="str">
        <f>VLOOKUP($B404,Chronologie[],7,TRUE)</f>
        <v>TuS Gerolsheim</v>
      </c>
      <c r="D404" s="23" t="str">
        <f>VLOOKUP($B404,Chronologie[],8,TRUE)</f>
        <v>Hirschfeld</v>
      </c>
      <c r="E404" s="39" t="str">
        <f>VLOOKUP($B404,Chronologie[],9,TRUE)</f>
        <v>H</v>
      </c>
      <c r="F404" s="23" t="str">
        <f>VLOOKUP($B404,Chronologie[],COLUMN(F405)-2,TRUE)</f>
        <v>E</v>
      </c>
      <c r="G404" s="23" t="str">
        <f>VLOOKUP($B404,Chronologie[],COLUMN(G405)-2,TRUE)</f>
        <v>DKBC-Pokal</v>
      </c>
      <c r="H404" s="23">
        <f>VLOOKUP($B404,Chronologie[],COLUMN(H405)-2,TRUE)</f>
        <v>2</v>
      </c>
      <c r="I404" s="13" t="str">
        <f>VLOOKUP($B404,Chronologie[],2,TRUE)</f>
        <v>E-DKBC-Pokal-2</v>
      </c>
      <c r="J404" s="244">
        <f>VLOOKUP($B404,Chronologie[],3,TRUE)</f>
        <v>45962</v>
      </c>
      <c r="K404" s="239" t="s">
        <v>659</v>
      </c>
      <c r="L404" s="239">
        <v>86</v>
      </c>
      <c r="M404" s="239">
        <v>100</v>
      </c>
      <c r="N404" s="239">
        <v>87</v>
      </c>
      <c r="O404" s="239">
        <v>91</v>
      </c>
      <c r="P404" s="239">
        <v>44</v>
      </c>
      <c r="Q404" s="239">
        <v>27</v>
      </c>
      <c r="R404" s="239">
        <v>43</v>
      </c>
      <c r="S404" s="239">
        <v>39</v>
      </c>
      <c r="T404" s="239">
        <v>0</v>
      </c>
      <c r="U404" s="239">
        <v>1</v>
      </c>
      <c r="V404" s="239">
        <v>1</v>
      </c>
      <c r="W404" s="239">
        <v>0</v>
      </c>
      <c r="X404" s="40">
        <v>0</v>
      </c>
      <c r="Y404" s="40">
        <v>0</v>
      </c>
      <c r="Z404" s="40">
        <v>1</v>
      </c>
      <c r="AA404" s="40">
        <v>0</v>
      </c>
      <c r="AB404" s="92">
        <v>544</v>
      </c>
      <c r="AC404" s="96">
        <f>IF(Eingabe[[#This Row],[V1]]="",IF(Eingabe[[#This Row],[Volle alternativ]]="","",Eingabe[[#This Row],[Volle alternativ]]),SUM(Eingabe[[#This Row],[V1]:[V4]]))</f>
        <v>364</v>
      </c>
      <c r="AD404" s="23">
        <f>IF(Eingabe[[#This Row],[R1]]="",IF(Eingabe[[#This Row],[Räumer alternativ]]="","",Eingabe[[#This Row],[Räumer alternativ]]),SUM(Eingabe[[#This Row],[R1]:[R4]]))</f>
        <v>153</v>
      </c>
      <c r="AE404" s="23">
        <f>IF(Eingabe[[#This Row],[F1]]="",IF(Eingabe[[#This Row],[Fehler alternativ]]="","",Eingabe[[#This Row],[Fehler alternativ]]),SUM(Eingabe[[#This Row],[F1]:[F4]]))</f>
        <v>2</v>
      </c>
      <c r="AF404" s="23">
        <f>IF(Eingabe[[#This Row],[Volle]]="","",IF(Eingabe[[#This Row],[S1]]="",Eingabe[[#This Row],[Volle]]+Eingabe[[#This Row],[Räumer]],IF(Eingabe[[#This Row],[Volle]]+Eingabe[[#This Row],[Räumer]]=Eingabe[[#This Row],[S1]]+Eingabe[[#This Row],[S2]]+Eingabe[[#This Row],[S3]]+Eingabe[[#This Row],[S4]],Eingabe[[#This Row],[Volle]]+Eingabe[[#This Row],[Räumer]],"FEHLER")))</f>
        <v>517</v>
      </c>
      <c r="AG404" s="23">
        <f>IF(Eingabe[[#This Row],[V1]]="","",Eingabe[[#This Row],[V1]]+Eingabe[[#This Row],[R1]])</f>
        <v>130</v>
      </c>
      <c r="AH404" s="23">
        <f>IF(Eingabe[[#This Row],[V2]]="","",Eingabe[[#This Row],[V2]]+Eingabe[[#This Row],[R2]])</f>
        <v>127</v>
      </c>
      <c r="AI404" s="23">
        <f>IF(Eingabe[[#This Row],[V3]]="","",Eingabe[[#This Row],[V3]]+Eingabe[[#This Row],[R3]])</f>
        <v>130</v>
      </c>
      <c r="AJ404" s="23">
        <f>IF(Eingabe[[#This Row],[V4]]="","",Eingabe[[#This Row],[V4]]+Eingabe[[#This Row],[R4]])</f>
        <v>130</v>
      </c>
      <c r="AK404" s="23">
        <f>IF(Eingabe[[#This Row],[S1P]]="","",Eingabe[[#This Row],[S1P]]+Eingabe[[#This Row],[S2P]]+Eingabe[[#This Row],[S3P]]+Eingabe[[#This Row],[S4P]])</f>
        <v>1</v>
      </c>
      <c r="AL404" s="23">
        <f>IF(Eingabe[[#This Row],[S1P]]="","",IF(Eingabe[[#This Row],[SP]]&gt;2,1,IF(Eingabe[[#This Row],[SP]]&lt;2,0,IF(Eingabe[[#This Row],[GES]]&gt;Eingabe[[#This Row],[GEGGES]],1,IF(Eingabe[[#This Row],[GES]]=Eingabe[[#This Row],[GEGGES]],0.5,0)))))</f>
        <v>0</v>
      </c>
      <c r="AM404" s="23">
        <f>IF(Eingabe[[#This Row],[MP]]="","",MOD(ROW(Eingabe[[#This Row],[Position]])-3,6)+1)</f>
        <v>6</v>
      </c>
      <c r="AN404" s="23">
        <f>STANDARDIZE(Eingabe[[#This Row],[GES]],Eingabe[[#This Row],[Schnitt]],VLOOKUP(Eingabe[[#This Row],[Name]],AuswertungG[],21,FALSE))</f>
        <v>-0.625</v>
      </c>
      <c r="AO404" s="23">
        <f>VLOOKUP(Eingabe[[#This Row],[ID]],Chronologie[[ID]:[KW]],12,FALSE)</f>
        <v>10</v>
      </c>
      <c r="AP404" s="59" t="str">
        <f>IF(Eingabe[[#This Row],[Wo]]="H",Eingabe[[#This Row],[Gegner]]&amp;" ["&amp;Eingabe[[#This Row],[Wo]]&amp;"]",Eingabe[[#This Row],[Ort]])</f>
        <v>TuS Gerolsheim [H]</v>
      </c>
      <c r="AQ404" s="23">
        <f>IFERROR(IF(Eingabe[[#This Row],[Wo]]="H",IF(MOD(Eingabe[[#This Row],[Position]],2)=1,Eingabe[[#This Row],[S1]],Eingabe[[#This Row],[S4]]),""),"")</f>
        <v>130</v>
      </c>
      <c r="AR404" s="23">
        <f>IFERROR(IF(Eingabe[[#This Row],[Wo]]="H",IF(Eingabe[[#This Row],[S1]]&gt;0,IF(MOD(Eingabe[[#This Row],[Position]],2)=1,Eingabe[[#This Row],[S2]],Eingabe[[#This Row],[S3]]),""),""),"")</f>
        <v>130</v>
      </c>
      <c r="AS404" s="23">
        <f>IFERROR(IF(Eingabe[[#This Row],[Wo]]="H",IF(Eingabe[[#This Row],[S1]]&gt;0,IF(MOD(ROW(Eingabe[[#This Row],[Heimbahn 3]]),2)=1,Eingabe[[#This Row],[S4]],Eingabe[[#This Row],[S1]]),""),""),"")</f>
        <v>130</v>
      </c>
      <c r="AT404" s="23">
        <f>IFERROR(IF(Eingabe[[#This Row],[Wo]]="H",IF(Eingabe[[#This Row],[S1]]&gt;0,IF(MOD(ROW(Eingabe[[#This Row],[Heimbahn 4]]),2)=1,Eingabe[[#This Row],[S3]],Eingabe[[#This Row],[S2]]),""),""),"")</f>
        <v>127</v>
      </c>
      <c r="AU404" s="89" t="str">
        <f>IF(Eingabe[[#This Row],[GES]]="","",IF(Eingabe[[#This Row],[Modus]]="L",_xlfn.RANK.EQ(Eingabe[[#This Row],[GES]],AF399:AF404),IF(Eingabe[[#This Row],[Modus]]="P",_xlfn.RANK.EQ(Eingabe[[#This Row],[GES]],AF399:AF404),"")))</f>
        <v/>
      </c>
      <c r="AV404" s="6">
        <f>VLOOKUP(Eingabe[[#This Row],[Name]],AuswertungG[],8,FALSE)</f>
        <v>532</v>
      </c>
      <c r="AZ404" s="6">
        <f>IFERROR(ABS(Eingabe[[#This Row],[GES]]-Eingabe[[#This Row],[GEGGES]]),"")</f>
        <v>27</v>
      </c>
    </row>
    <row r="405" spans="1:52" x14ac:dyDescent="0.3">
      <c r="A405" s="440">
        <f t="shared" si="45"/>
        <v>68</v>
      </c>
      <c r="B405" s="55">
        <f t="shared" si="46"/>
        <v>68</v>
      </c>
      <c r="C405" s="35" t="str">
        <f>VLOOKUP($B405,Chronologie[],7,TRUE)</f>
        <v>Hirschfelder SV</v>
      </c>
      <c r="D405" s="35" t="str">
        <f>VLOOKUP($B405,Chronologie[],8,TRUE)</f>
        <v>Hirschfeld</v>
      </c>
      <c r="E405" s="36" t="str">
        <f>VLOOKUP($B405,Chronologie[],9,TRUE)</f>
        <v>H</v>
      </c>
      <c r="F405" s="35" t="str">
        <f>VLOOKUP($B405,Chronologie[],COLUMN(F406)-2,TRUE)</f>
        <v>U14</v>
      </c>
      <c r="G405" s="35" t="str">
        <f>VLOOKUP($B405,Chronologie[],COLUMN(G406)-2,TRUE)</f>
        <v>L</v>
      </c>
      <c r="H405" s="35">
        <f>VLOOKUP($B405,Chronologie[],COLUMN(H406)-2,TRUE)</f>
        <v>1</v>
      </c>
      <c r="I405" s="9" t="str">
        <f>VLOOKUP($B405,Chronologie[],2,TRUE)</f>
        <v>U14-L-1</v>
      </c>
      <c r="J405" s="242">
        <f>VLOOKUP($B405,Chronologie[],3,TRUE)</f>
        <v>45914</v>
      </c>
      <c r="K405" s="236" t="s">
        <v>476</v>
      </c>
      <c r="L405" s="334">
        <v>74</v>
      </c>
      <c r="M405" s="334">
        <v>72</v>
      </c>
      <c r="N405" s="334">
        <v>76</v>
      </c>
      <c r="O405" s="334">
        <v>79</v>
      </c>
      <c r="P405" s="334">
        <v>35</v>
      </c>
      <c r="Q405" s="334">
        <v>36</v>
      </c>
      <c r="R405" s="334">
        <v>36</v>
      </c>
      <c r="S405" s="334">
        <v>21</v>
      </c>
      <c r="T405" s="334">
        <v>2</v>
      </c>
      <c r="U405" s="334">
        <v>4</v>
      </c>
      <c r="V405" s="334">
        <v>3</v>
      </c>
      <c r="W405" s="334">
        <v>6</v>
      </c>
      <c r="X405" s="37"/>
      <c r="Y405" s="37"/>
      <c r="Z405" s="37"/>
      <c r="AA405" s="37"/>
      <c r="AB405" s="90"/>
      <c r="AC405" s="93">
        <f>IF(Eingabe[[#This Row],[V1]]="",IF(Eingabe[[#This Row],[Volle alternativ]]="","",Eingabe[[#This Row],[Volle alternativ]]),SUM(Eingabe[[#This Row],[V1]:[V4]]))</f>
        <v>301</v>
      </c>
      <c r="AD405" s="35">
        <f>IF(Eingabe[[#This Row],[R1]]="",IF(Eingabe[[#This Row],[Räumer alternativ]]="","",Eingabe[[#This Row],[Räumer alternativ]]),SUM(Eingabe[[#This Row],[R1]:[R4]]))</f>
        <v>128</v>
      </c>
      <c r="AE405" s="35">
        <f>IF(Eingabe[[#This Row],[F1]]="",IF(Eingabe[[#This Row],[Fehler alternativ]]="","",Eingabe[[#This Row],[Fehler alternativ]]),SUM(Eingabe[[#This Row],[F1]:[F4]]))</f>
        <v>15</v>
      </c>
      <c r="AF405" s="35">
        <f>IF(Eingabe[[#This Row],[Volle]]="","",IF(Eingabe[[#This Row],[S1]]="",Eingabe[[#This Row],[Volle]]+Eingabe[[#This Row],[Räumer]],IF(Eingabe[[#This Row],[Volle]]+Eingabe[[#This Row],[Räumer]]=Eingabe[[#This Row],[S1]]+Eingabe[[#This Row],[S2]]+Eingabe[[#This Row],[S3]]+Eingabe[[#This Row],[S4]],Eingabe[[#This Row],[Volle]]+Eingabe[[#This Row],[Räumer]],"FEHLER")))</f>
        <v>429</v>
      </c>
      <c r="AG405" s="35">
        <f>IF(Eingabe[[#This Row],[V1]]="","",Eingabe[[#This Row],[V1]]+Eingabe[[#This Row],[R1]])</f>
        <v>109</v>
      </c>
      <c r="AH405" s="35">
        <f>IF(Eingabe[[#This Row],[V2]]="","",Eingabe[[#This Row],[V2]]+Eingabe[[#This Row],[R2]])</f>
        <v>108</v>
      </c>
      <c r="AI405" s="35">
        <f>IF(Eingabe[[#This Row],[V3]]="","",Eingabe[[#This Row],[V3]]+Eingabe[[#This Row],[R3]])</f>
        <v>112</v>
      </c>
      <c r="AJ405" s="35">
        <f>IF(Eingabe[[#This Row],[V4]]="","",Eingabe[[#This Row],[V4]]+Eingabe[[#This Row],[R4]])</f>
        <v>100</v>
      </c>
      <c r="AK405" s="35" t="str">
        <f>IF(Eingabe[[#This Row],[S1P]]="","",Eingabe[[#This Row],[S1P]]+Eingabe[[#This Row],[S2P]]+Eingabe[[#This Row],[S3P]]+Eingabe[[#This Row],[S4P]])</f>
        <v/>
      </c>
      <c r="AL405" s="35" t="str">
        <f>IF(Eingabe[[#This Row],[S1P]]="","",IF(Eingabe[[#This Row],[SP]]&gt;2,1,IF(Eingabe[[#This Row],[SP]]&lt;2,0,IF(Eingabe[[#This Row],[GES]]&gt;Eingabe[[#This Row],[GEGGES]],1,IF(Eingabe[[#This Row],[GES]]=Eingabe[[#This Row],[GEGGES]],0.5,0)))))</f>
        <v/>
      </c>
      <c r="AM405" s="35" t="str">
        <f>IF(Eingabe[[#This Row],[MP]]="","",MOD(ROW(Eingabe[[#This Row],[Position]])-3,6)+1)</f>
        <v/>
      </c>
      <c r="AN405" s="35">
        <f>STANDARDIZE(Eingabe[[#This Row],[GES]],Eingabe[[#This Row],[Schnitt]],VLOOKUP(Eingabe[[#This Row],[Name]],AuswertungG[],21,FALSE))</f>
        <v>0.48717948717948717</v>
      </c>
      <c r="AO405" s="35">
        <f>VLOOKUP(Eingabe[[#This Row],[ID]],Chronologie[[ID]:[KW]],12,FALSE)</f>
        <v>3</v>
      </c>
      <c r="AP405" s="58" t="str">
        <f>IF(Eingabe[[#This Row],[Wo]]="H",Eingabe[[#This Row],[Gegner]]&amp;" ["&amp;Eingabe[[#This Row],[Wo]]&amp;"]",Eingabe[[#This Row],[Ort]])</f>
        <v>Hirschfelder SV [H]</v>
      </c>
      <c r="AQ405" s="35" t="str">
        <f>IFERROR(IF(Eingabe[[#This Row],[Wo]]="H",IF(MOD(Eingabe[[#This Row],[Position]],2)=1,Eingabe[[#This Row],[S1]],Eingabe[[#This Row],[S4]]),""),"")</f>
        <v/>
      </c>
      <c r="AR405" s="35" t="str">
        <f>IFERROR(IF(Eingabe[[#This Row],[Wo]]="H",IF(Eingabe[[#This Row],[S1]]&gt;0,IF(MOD(Eingabe[[#This Row],[Position]],2)=1,Eingabe[[#This Row],[S2]],Eingabe[[#This Row],[S3]]),""),""),"")</f>
        <v/>
      </c>
      <c r="AS405" s="35">
        <f>IFERROR(IF(Eingabe[[#This Row],[Wo]]="H",IF(Eingabe[[#This Row],[S1]]&gt;0,IF(MOD(ROW(Eingabe[[#This Row],[Heimbahn 3]]),2)=1,Eingabe[[#This Row],[S4]],Eingabe[[#This Row],[S1]]),""),""),"")</f>
        <v>100</v>
      </c>
      <c r="AT405" s="35">
        <f>IFERROR(IF(Eingabe[[#This Row],[Wo]]="H",IF(Eingabe[[#This Row],[S1]]&gt;0,IF(MOD(ROW(Eingabe[[#This Row],[Heimbahn 4]]),2)=1,Eingabe[[#This Row],[S3]],Eingabe[[#This Row],[S2]]),""),""),"")</f>
        <v>112</v>
      </c>
      <c r="AU405" s="88">
        <f>IF(Eingabe[[#This Row],[GES]]="","",IF(Eingabe[[#This Row],[Modus]]="L",_xlfn.RANK.EQ(Eingabe[[#This Row],[GES]],AF405:AF410),IF(Eingabe[[#This Row],[Modus]]="P",_xlfn.RANK.EQ(Eingabe[[#This Row],[GES]],AF405:AF410),"")))</f>
        <v>1</v>
      </c>
      <c r="AV405" s="6">
        <f>VLOOKUP(Eingabe[[#This Row],[Name]],AuswertungG[],8,FALSE)</f>
        <v>410</v>
      </c>
      <c r="AZ405" s="6">
        <f>IFERROR(ABS(Eingabe[[#This Row],[GES]]-Eingabe[[#This Row],[GEGGES]]),"")</f>
        <v>429</v>
      </c>
    </row>
    <row r="406" spans="1:52" x14ac:dyDescent="0.3">
      <c r="A406" s="441"/>
      <c r="B406" s="21">
        <f t="shared" si="46"/>
        <v>68</v>
      </c>
      <c r="C406" s="6" t="str">
        <f>VLOOKUP($B406,Chronologie[],7,TRUE)</f>
        <v>Hirschfelder SV</v>
      </c>
      <c r="D406" s="6" t="str">
        <f>VLOOKUP($B406,Chronologie[],8,TRUE)</f>
        <v>Hirschfeld</v>
      </c>
      <c r="E406" s="240" t="str">
        <f>VLOOKUP($B406,Chronologie[],9,TRUE)</f>
        <v>H</v>
      </c>
      <c r="F406" s="6" t="str">
        <f>VLOOKUP($B406,Chronologie[],COLUMN(F407)-2,TRUE)</f>
        <v>U14</v>
      </c>
      <c r="G406" s="6" t="str">
        <f>VLOOKUP($B406,Chronologie[],COLUMN(G407)-2,TRUE)</f>
        <v>L</v>
      </c>
      <c r="H406" s="6">
        <f>VLOOKUP($B406,Chronologie[],COLUMN(H407)-2,TRUE)</f>
        <v>1</v>
      </c>
      <c r="I406" s="10" t="str">
        <f>VLOOKUP($B406,Chronologie[],2,TRUE)</f>
        <v>U14-L-1</v>
      </c>
      <c r="J406" s="243">
        <f>VLOOKUP($B406,Chronologie[],3,TRUE)</f>
        <v>45914</v>
      </c>
      <c r="K406" s="237" t="s">
        <v>591</v>
      </c>
      <c r="L406" s="237">
        <v>57</v>
      </c>
      <c r="M406" s="237">
        <v>63</v>
      </c>
      <c r="N406" s="237">
        <v>54</v>
      </c>
      <c r="O406" s="237">
        <v>70</v>
      </c>
      <c r="P406" s="237">
        <v>18</v>
      </c>
      <c r="Q406" s="237">
        <v>24</v>
      </c>
      <c r="R406" s="237">
        <v>17</v>
      </c>
      <c r="S406" s="237">
        <v>25</v>
      </c>
      <c r="T406" s="237">
        <v>13</v>
      </c>
      <c r="U406" s="237">
        <v>8</v>
      </c>
      <c r="V406" s="237">
        <v>10</v>
      </c>
      <c r="W406" s="237">
        <v>8</v>
      </c>
      <c r="X406" s="38"/>
      <c r="Y406" s="38"/>
      <c r="Z406" s="38"/>
      <c r="AA406" s="38"/>
      <c r="AB406" s="91"/>
      <c r="AC406" s="94">
        <f>IF(Eingabe[[#This Row],[V1]]="",IF(Eingabe[[#This Row],[Volle alternativ]]="","",Eingabe[[#This Row],[Volle alternativ]]),SUM(Eingabe[[#This Row],[V1]:[V4]]))</f>
        <v>244</v>
      </c>
      <c r="AD406" s="6">
        <f>IF(Eingabe[[#This Row],[R1]]="",IF(Eingabe[[#This Row],[Räumer alternativ]]="","",Eingabe[[#This Row],[Räumer alternativ]]),SUM(Eingabe[[#This Row],[R1]:[R4]]))</f>
        <v>84</v>
      </c>
      <c r="AE406" s="6">
        <f>IF(Eingabe[[#This Row],[F1]]="",IF(Eingabe[[#This Row],[Fehler alternativ]]="","",Eingabe[[#This Row],[Fehler alternativ]]),SUM(Eingabe[[#This Row],[F1]:[F4]]))</f>
        <v>39</v>
      </c>
      <c r="AF406" s="6">
        <f>IF(Eingabe[[#This Row],[Volle]]="","",IF(Eingabe[[#This Row],[S1]]="",Eingabe[[#This Row],[Volle]]+Eingabe[[#This Row],[Räumer]],IF(Eingabe[[#This Row],[Volle]]+Eingabe[[#This Row],[Räumer]]=Eingabe[[#This Row],[S1]]+Eingabe[[#This Row],[S2]]+Eingabe[[#This Row],[S3]]+Eingabe[[#This Row],[S4]],Eingabe[[#This Row],[Volle]]+Eingabe[[#This Row],[Räumer]],"FEHLER")))</f>
        <v>328</v>
      </c>
      <c r="AG406" s="6">
        <f>IF(Eingabe[[#This Row],[V1]]="","",Eingabe[[#This Row],[V1]]+Eingabe[[#This Row],[R1]])</f>
        <v>75</v>
      </c>
      <c r="AH406" s="6">
        <f>IF(Eingabe[[#This Row],[V2]]="","",Eingabe[[#This Row],[V2]]+Eingabe[[#This Row],[R2]])</f>
        <v>87</v>
      </c>
      <c r="AI406" s="6">
        <f>IF(Eingabe[[#This Row],[V3]]="","",Eingabe[[#This Row],[V3]]+Eingabe[[#This Row],[R3]])</f>
        <v>71</v>
      </c>
      <c r="AJ406" s="6">
        <f>IF(Eingabe[[#This Row],[V4]]="","",Eingabe[[#This Row],[V4]]+Eingabe[[#This Row],[R4]])</f>
        <v>95</v>
      </c>
      <c r="AK406" s="6" t="str">
        <f>IF(Eingabe[[#This Row],[S1P]]="","",Eingabe[[#This Row],[S1P]]+Eingabe[[#This Row],[S2P]]+Eingabe[[#This Row],[S3P]]+Eingabe[[#This Row],[S4P]])</f>
        <v/>
      </c>
      <c r="AL406" s="6" t="str">
        <f>IF(Eingabe[[#This Row],[S1P]]="","",IF(Eingabe[[#This Row],[SP]]&gt;2,1,IF(Eingabe[[#This Row],[SP]]&lt;2,0,IF(Eingabe[[#This Row],[GES]]&gt;Eingabe[[#This Row],[GEGGES]],1,IF(Eingabe[[#This Row],[GES]]=Eingabe[[#This Row],[GEGGES]],0.5,0)))))</f>
        <v/>
      </c>
      <c r="AM406" s="6" t="str">
        <f>IF(Eingabe[[#This Row],[MP]]="","",MOD(ROW(Eingabe[[#This Row],[Position]])-3,6)+1)</f>
        <v/>
      </c>
      <c r="AN406" s="6">
        <f>STANDARDIZE(Eingabe[[#This Row],[GES]],Eingabe[[#This Row],[Schnitt]],VLOOKUP(Eingabe[[#This Row],[Name]],AuswertungG[],21,FALSE))</f>
        <v>-0.11764705882352941</v>
      </c>
      <c r="AO406" s="6">
        <f>VLOOKUP(Eingabe[[#This Row],[ID]],Chronologie[[ID]:[KW]],12,FALSE)</f>
        <v>3</v>
      </c>
      <c r="AP406" s="95" t="str">
        <f>IF(Eingabe[[#This Row],[Wo]]="H",Eingabe[[#This Row],[Gegner]]&amp;" ["&amp;Eingabe[[#This Row],[Wo]]&amp;"]",Eingabe[[#This Row],[Ort]])</f>
        <v>Hirschfelder SV [H]</v>
      </c>
      <c r="AQ406" s="6" t="str">
        <f>IFERROR(IF(Eingabe[[#This Row],[Wo]]="H",IF(MOD(Eingabe[[#This Row],[Position]],2)=1,Eingabe[[#This Row],[S1]],Eingabe[[#This Row],[S4]]),""),"")</f>
        <v/>
      </c>
      <c r="AR406" s="6" t="str">
        <f>IFERROR(IF(Eingabe[[#This Row],[Wo]]="H",IF(Eingabe[[#This Row],[S1]]&gt;0,IF(MOD(Eingabe[[#This Row],[Position]],2)=1,Eingabe[[#This Row],[S2]],Eingabe[[#This Row],[S3]]),""),""),"")</f>
        <v/>
      </c>
      <c r="AS406" s="6">
        <f>IFERROR(IF(Eingabe[[#This Row],[Wo]]="H",IF(Eingabe[[#This Row],[S1]]&gt;0,IF(MOD(ROW(Eingabe[[#This Row],[Heimbahn 3]]),2)=1,Eingabe[[#This Row],[S4]],Eingabe[[#This Row],[S1]]),""),""),"")</f>
        <v>75</v>
      </c>
      <c r="AT406" s="6">
        <f>IFERROR(IF(Eingabe[[#This Row],[Wo]]="H",IF(Eingabe[[#This Row],[S1]]&gt;0,IF(MOD(ROW(Eingabe[[#This Row],[Heimbahn 4]]),2)=1,Eingabe[[#This Row],[S3]],Eingabe[[#This Row],[S2]]),""),""),"")</f>
        <v>87</v>
      </c>
      <c r="AU406" s="22">
        <f>IF(Eingabe[[#This Row],[GES]]="","",IF(Eingabe[[#This Row],[Modus]]="L",_xlfn.RANK.EQ(Eingabe[[#This Row],[GES]],AF405:AF410),IF(Eingabe[[#This Row],[Modus]]="P",_xlfn.RANK.EQ(Eingabe[[#This Row],[GES]],AF405:AF410),"")))</f>
        <v>5</v>
      </c>
      <c r="AV406" s="6">
        <f>VLOOKUP(Eingabe[[#This Row],[Name]],AuswertungG[],8,FALSE)</f>
        <v>330</v>
      </c>
      <c r="AZ406" s="6">
        <f>IFERROR(ABS(Eingabe[[#This Row],[GES]]-Eingabe[[#This Row],[GEGGES]]),"")</f>
        <v>328</v>
      </c>
    </row>
    <row r="407" spans="1:52" x14ac:dyDescent="0.3">
      <c r="A407" s="441"/>
      <c r="B407" s="21">
        <f t="shared" si="46"/>
        <v>68</v>
      </c>
      <c r="C407" s="6" t="str">
        <f>VLOOKUP($B407,Chronologie[],7,TRUE)</f>
        <v>Hirschfelder SV</v>
      </c>
      <c r="D407" s="6" t="str">
        <f>VLOOKUP($B407,Chronologie[],8,TRUE)</f>
        <v>Hirschfeld</v>
      </c>
      <c r="E407" s="240" t="str">
        <f>VLOOKUP($B407,Chronologie[],9,TRUE)</f>
        <v>H</v>
      </c>
      <c r="F407" s="6" t="str">
        <f>VLOOKUP($B407,Chronologie[],COLUMN(F408)-2,TRUE)</f>
        <v>U14</v>
      </c>
      <c r="G407" s="6" t="str">
        <f>VLOOKUP($B407,Chronologie[],COLUMN(G408)-2,TRUE)</f>
        <v>L</v>
      </c>
      <c r="H407" s="6">
        <f>VLOOKUP($B407,Chronologie[],COLUMN(H408)-2,TRUE)</f>
        <v>1</v>
      </c>
      <c r="I407" s="10" t="str">
        <f>VLOOKUP($B407,Chronologie[],2,TRUE)</f>
        <v>U14-L-1</v>
      </c>
      <c r="J407" s="243">
        <f>VLOOKUP($B407,Chronologie[],3,TRUE)</f>
        <v>45914</v>
      </c>
      <c r="K407" s="237"/>
      <c r="L407" s="237">
        <v>31</v>
      </c>
      <c r="M407" s="237">
        <v>51</v>
      </c>
      <c r="N407" s="237">
        <v>51</v>
      </c>
      <c r="O407" s="237">
        <v>52</v>
      </c>
      <c r="P407" s="237">
        <v>8</v>
      </c>
      <c r="Q407" s="237">
        <v>8</v>
      </c>
      <c r="R407" s="237">
        <v>8</v>
      </c>
      <c r="S407" s="237">
        <v>22</v>
      </c>
      <c r="T407" s="237">
        <v>16</v>
      </c>
      <c r="U407" s="237">
        <v>19</v>
      </c>
      <c r="V407" s="237">
        <v>15</v>
      </c>
      <c r="W407" s="237">
        <v>11</v>
      </c>
      <c r="X407" s="38"/>
      <c r="Y407" s="38"/>
      <c r="Z407" s="38"/>
      <c r="AA407" s="38"/>
      <c r="AB407" s="91"/>
      <c r="AC407" s="94">
        <f>IF(Eingabe[[#This Row],[V1]]="",IF(Eingabe[[#This Row],[Volle alternativ]]="","",Eingabe[[#This Row],[Volle alternativ]]),SUM(Eingabe[[#This Row],[V1]:[V4]]))</f>
        <v>185</v>
      </c>
      <c r="AD407" s="6">
        <f>IF(Eingabe[[#This Row],[R1]]="",IF(Eingabe[[#This Row],[Räumer alternativ]]="","",Eingabe[[#This Row],[Räumer alternativ]]),SUM(Eingabe[[#This Row],[R1]:[R4]]))</f>
        <v>46</v>
      </c>
      <c r="AE407" s="6">
        <f>IF(Eingabe[[#This Row],[F1]]="",IF(Eingabe[[#This Row],[Fehler alternativ]]="","",Eingabe[[#This Row],[Fehler alternativ]]),SUM(Eingabe[[#This Row],[F1]:[F4]]))</f>
        <v>61</v>
      </c>
      <c r="AF407" s="6">
        <f>IF(Eingabe[[#This Row],[Volle]]="","",IF(Eingabe[[#This Row],[S1]]="",Eingabe[[#This Row],[Volle]]+Eingabe[[#This Row],[Räumer]],IF(Eingabe[[#This Row],[Volle]]+Eingabe[[#This Row],[Räumer]]=Eingabe[[#This Row],[S1]]+Eingabe[[#This Row],[S2]]+Eingabe[[#This Row],[S3]]+Eingabe[[#This Row],[S4]],Eingabe[[#This Row],[Volle]]+Eingabe[[#This Row],[Räumer]],"FEHLER")))</f>
        <v>231</v>
      </c>
      <c r="AG407" s="6">
        <f>IF(Eingabe[[#This Row],[V1]]="","",Eingabe[[#This Row],[V1]]+Eingabe[[#This Row],[R1]])</f>
        <v>39</v>
      </c>
      <c r="AH407" s="6">
        <f>IF(Eingabe[[#This Row],[V2]]="","",Eingabe[[#This Row],[V2]]+Eingabe[[#This Row],[R2]])</f>
        <v>59</v>
      </c>
      <c r="AI407" s="6">
        <f>IF(Eingabe[[#This Row],[V3]]="","",Eingabe[[#This Row],[V3]]+Eingabe[[#This Row],[R3]])</f>
        <v>59</v>
      </c>
      <c r="AJ407" s="6">
        <f>IF(Eingabe[[#This Row],[V4]]="","",Eingabe[[#This Row],[V4]]+Eingabe[[#This Row],[R4]])</f>
        <v>74</v>
      </c>
      <c r="AK407" s="6" t="str">
        <f>IF(Eingabe[[#This Row],[S1P]]="","",Eingabe[[#This Row],[S1P]]+Eingabe[[#This Row],[S2P]]+Eingabe[[#This Row],[S3P]]+Eingabe[[#This Row],[S4P]])</f>
        <v/>
      </c>
      <c r="AL407" s="6" t="str">
        <f>IF(Eingabe[[#This Row],[S1P]]="","",IF(Eingabe[[#This Row],[SP]]&gt;2,1,IF(Eingabe[[#This Row],[SP]]&lt;2,0,IF(Eingabe[[#This Row],[GES]]&gt;Eingabe[[#This Row],[GEGGES]],1,IF(Eingabe[[#This Row],[GES]]=Eingabe[[#This Row],[GEGGES]],0.5,0)))))</f>
        <v/>
      </c>
      <c r="AM407" s="6" t="str">
        <f>IF(Eingabe[[#This Row],[MP]]="","",MOD(ROW(Eingabe[[#This Row],[Position]])-3,6)+1)</f>
        <v/>
      </c>
      <c r="AN407" s="6" t="e">
        <f>STANDARDIZE(Eingabe[[#This Row],[GES]],Eingabe[[#This Row],[Schnitt]],VLOOKUP(Eingabe[[#This Row],[Name]],AuswertungG[],21,FALSE))</f>
        <v>#N/A</v>
      </c>
      <c r="AO407" s="6">
        <f>VLOOKUP(Eingabe[[#This Row],[ID]],Chronologie[[ID]:[KW]],12,FALSE)</f>
        <v>3</v>
      </c>
      <c r="AP407" s="95" t="str">
        <f>IF(Eingabe[[#This Row],[Wo]]="H",Eingabe[[#This Row],[Gegner]]&amp;" ["&amp;Eingabe[[#This Row],[Wo]]&amp;"]",Eingabe[[#This Row],[Ort]])</f>
        <v>Hirschfelder SV [H]</v>
      </c>
      <c r="AQ407" s="6" t="str">
        <f>IFERROR(IF(Eingabe[[#This Row],[Wo]]="H",IF(MOD(Eingabe[[#This Row],[Position]],2)=1,Eingabe[[#This Row],[S1]],Eingabe[[#This Row],[S4]]),""),"")</f>
        <v/>
      </c>
      <c r="AR407" s="6" t="str">
        <f>IFERROR(IF(Eingabe[[#This Row],[Wo]]="H",IF(Eingabe[[#This Row],[S1]]&gt;0,IF(MOD(Eingabe[[#This Row],[Position]],2)=1,Eingabe[[#This Row],[S2]],Eingabe[[#This Row],[S3]]),""),""),"")</f>
        <v/>
      </c>
      <c r="AS407" s="6">
        <f>IFERROR(IF(Eingabe[[#This Row],[Wo]]="H",IF(Eingabe[[#This Row],[S1]]&gt;0,IF(MOD(ROW(Eingabe[[#This Row],[Heimbahn 3]]),2)=1,Eingabe[[#This Row],[S4]],Eingabe[[#This Row],[S1]]),""),""),"")</f>
        <v>74</v>
      </c>
      <c r="AT407" s="6">
        <f>IFERROR(IF(Eingabe[[#This Row],[Wo]]="H",IF(Eingabe[[#This Row],[S1]]&gt;0,IF(MOD(ROW(Eingabe[[#This Row],[Heimbahn 4]]),2)=1,Eingabe[[#This Row],[S3]],Eingabe[[#This Row],[S2]]),""),""),"")</f>
        <v>59</v>
      </c>
      <c r="AU407" s="22">
        <f>IF(Eingabe[[#This Row],[GES]]="","",IF(Eingabe[[#This Row],[Modus]]="L",_xlfn.RANK.EQ(Eingabe[[#This Row],[GES]],AF405:AF410),IF(Eingabe[[#This Row],[Modus]]="P",_xlfn.RANK.EQ(Eingabe[[#This Row],[GES]],AF405:AF410),"")))</f>
        <v>6</v>
      </c>
      <c r="AV407" s="6" t="e">
        <f>VLOOKUP(Eingabe[[#This Row],[Name]],AuswertungG[],8,FALSE)</f>
        <v>#N/A</v>
      </c>
      <c r="AZ407" s="6">
        <f>IFERROR(ABS(Eingabe[[#This Row],[GES]]-Eingabe[[#This Row],[GEGGES]]),"")</f>
        <v>231</v>
      </c>
    </row>
    <row r="408" spans="1:52" x14ac:dyDescent="0.3">
      <c r="A408" s="441"/>
      <c r="B408" s="21">
        <f t="shared" si="46"/>
        <v>68</v>
      </c>
      <c r="C408" s="6" t="str">
        <f>VLOOKUP($B408,Chronologie[],7,TRUE)</f>
        <v>Hirschfelder SV</v>
      </c>
      <c r="D408" s="6" t="str">
        <f>VLOOKUP($B408,Chronologie[],8,TRUE)</f>
        <v>Hirschfeld</v>
      </c>
      <c r="E408" s="240" t="str">
        <f>VLOOKUP($B408,Chronologie[],9,TRUE)</f>
        <v>H</v>
      </c>
      <c r="F408" s="6" t="str">
        <f>VLOOKUP($B408,Chronologie[],COLUMN(F409)-2,TRUE)</f>
        <v>U14</v>
      </c>
      <c r="G408" s="6" t="str">
        <f>VLOOKUP($B408,Chronologie[],COLUMN(G409)-2,TRUE)</f>
        <v>L</v>
      </c>
      <c r="H408" s="6">
        <f>VLOOKUP($B408,Chronologie[],COLUMN(H409)-2,TRUE)</f>
        <v>1</v>
      </c>
      <c r="I408" s="10" t="str">
        <f>VLOOKUP($B408,Chronologie[],2,TRUE)</f>
        <v>U14-L-1</v>
      </c>
      <c r="J408" s="243">
        <f>VLOOKUP($B408,Chronologie[],3,TRUE)</f>
        <v>45914</v>
      </c>
      <c r="K408" s="238" t="s">
        <v>484</v>
      </c>
      <c r="L408" s="237">
        <v>51</v>
      </c>
      <c r="M408" s="237">
        <v>67</v>
      </c>
      <c r="N408" s="237">
        <v>70</v>
      </c>
      <c r="O408" s="237">
        <v>62</v>
      </c>
      <c r="P408" s="237">
        <v>23</v>
      </c>
      <c r="Q408" s="237">
        <v>27</v>
      </c>
      <c r="R408" s="237">
        <v>25</v>
      </c>
      <c r="S408" s="237">
        <v>17</v>
      </c>
      <c r="T408" s="237">
        <v>7</v>
      </c>
      <c r="U408" s="237">
        <v>5</v>
      </c>
      <c r="V408" s="237">
        <v>4</v>
      </c>
      <c r="W408" s="237">
        <v>10</v>
      </c>
      <c r="X408" s="38"/>
      <c r="Y408" s="38"/>
      <c r="Z408" s="38"/>
      <c r="AA408" s="38"/>
      <c r="AB408" s="91"/>
      <c r="AC408" s="94">
        <f>IF(Eingabe[[#This Row],[V1]]="",IF(Eingabe[[#This Row],[Volle alternativ]]="","",Eingabe[[#This Row],[Volle alternativ]]),SUM(Eingabe[[#This Row],[V1]:[V4]]))</f>
        <v>250</v>
      </c>
      <c r="AD408" s="6">
        <f>IF(Eingabe[[#This Row],[R1]]="",IF(Eingabe[[#This Row],[Räumer alternativ]]="","",Eingabe[[#This Row],[Räumer alternativ]]),SUM(Eingabe[[#This Row],[R1]:[R4]]))</f>
        <v>92</v>
      </c>
      <c r="AE408" s="6">
        <f>IF(Eingabe[[#This Row],[F1]]="",IF(Eingabe[[#This Row],[Fehler alternativ]]="","",Eingabe[[#This Row],[Fehler alternativ]]),SUM(Eingabe[[#This Row],[F1]:[F4]]))</f>
        <v>26</v>
      </c>
      <c r="AF408" s="6">
        <f>IF(Eingabe[[#This Row],[Volle]]="","",IF(Eingabe[[#This Row],[S1]]="",Eingabe[[#This Row],[Volle]]+Eingabe[[#This Row],[Räumer]],IF(Eingabe[[#This Row],[Volle]]+Eingabe[[#This Row],[Räumer]]=Eingabe[[#This Row],[S1]]+Eingabe[[#This Row],[S2]]+Eingabe[[#This Row],[S3]]+Eingabe[[#This Row],[S4]],Eingabe[[#This Row],[Volle]]+Eingabe[[#This Row],[Räumer]],"FEHLER")))</f>
        <v>342</v>
      </c>
      <c r="AG408" s="6">
        <f>IF(Eingabe[[#This Row],[V1]]="","",Eingabe[[#This Row],[V1]]+Eingabe[[#This Row],[R1]])</f>
        <v>74</v>
      </c>
      <c r="AH408" s="6">
        <f>IF(Eingabe[[#This Row],[V2]]="","",Eingabe[[#This Row],[V2]]+Eingabe[[#This Row],[R2]])</f>
        <v>94</v>
      </c>
      <c r="AI408" s="6">
        <f>IF(Eingabe[[#This Row],[V3]]="","",Eingabe[[#This Row],[V3]]+Eingabe[[#This Row],[R3]])</f>
        <v>95</v>
      </c>
      <c r="AJ408" s="6">
        <f>IF(Eingabe[[#This Row],[V4]]="","",Eingabe[[#This Row],[V4]]+Eingabe[[#This Row],[R4]])</f>
        <v>79</v>
      </c>
      <c r="AK408" s="6" t="str">
        <f>IF(Eingabe[[#This Row],[S1P]]="","",Eingabe[[#This Row],[S1P]]+Eingabe[[#This Row],[S2P]]+Eingabe[[#This Row],[S3P]]+Eingabe[[#This Row],[S4P]])</f>
        <v/>
      </c>
      <c r="AL408" s="6" t="str">
        <f>IF(Eingabe[[#This Row],[S1P]]="","",IF(Eingabe[[#This Row],[SP]]&gt;2,1,IF(Eingabe[[#This Row],[SP]]&lt;2,0,IF(Eingabe[[#This Row],[GES]]&gt;Eingabe[[#This Row],[GEGGES]],1,IF(Eingabe[[#This Row],[GES]]=Eingabe[[#This Row],[GEGGES]],0.5,0)))))</f>
        <v/>
      </c>
      <c r="AM408" s="6" t="str">
        <f>IF(Eingabe[[#This Row],[MP]]="","",MOD(ROW(Eingabe[[#This Row],[Position]])-3,6)+1)</f>
        <v/>
      </c>
      <c r="AN408" s="6">
        <f>STANDARDIZE(Eingabe[[#This Row],[GES]],Eingabe[[#This Row],[Schnitt]],VLOOKUP(Eingabe[[#This Row],[Name]],AuswertungG[],21,FALSE))</f>
        <v>-1.2941176470588236</v>
      </c>
      <c r="AO408" s="6">
        <f>VLOOKUP(Eingabe[[#This Row],[ID]],Chronologie[[ID]:[KW]],12,FALSE)</f>
        <v>3</v>
      </c>
      <c r="AP408" s="95" t="str">
        <f>IF(Eingabe[[#This Row],[Wo]]="H",Eingabe[[#This Row],[Gegner]]&amp;" ["&amp;Eingabe[[#This Row],[Wo]]&amp;"]",Eingabe[[#This Row],[Ort]])</f>
        <v>Hirschfelder SV [H]</v>
      </c>
      <c r="AQ408" s="6" t="str">
        <f>IFERROR(IF(Eingabe[[#This Row],[Wo]]="H",IF(MOD(Eingabe[[#This Row],[Position]],2)=1,Eingabe[[#This Row],[S1]],Eingabe[[#This Row],[S4]]),""),"")</f>
        <v/>
      </c>
      <c r="AR408" s="6" t="str">
        <f>IFERROR(IF(Eingabe[[#This Row],[Wo]]="H",IF(Eingabe[[#This Row],[S1]]&gt;0,IF(MOD(Eingabe[[#This Row],[Position]],2)=1,Eingabe[[#This Row],[S2]],Eingabe[[#This Row],[S3]]),""),""),"")</f>
        <v/>
      </c>
      <c r="AS408" s="6">
        <f>IFERROR(IF(Eingabe[[#This Row],[Wo]]="H",IF(Eingabe[[#This Row],[S1]]&gt;0,IF(MOD(ROW(Eingabe[[#This Row],[Heimbahn 3]]),2)=1,Eingabe[[#This Row],[S4]],Eingabe[[#This Row],[S1]]),""),""),"")</f>
        <v>74</v>
      </c>
      <c r="AT408" s="6">
        <f>IFERROR(IF(Eingabe[[#This Row],[Wo]]="H",IF(Eingabe[[#This Row],[S1]]&gt;0,IF(MOD(ROW(Eingabe[[#This Row],[Heimbahn 4]]),2)=1,Eingabe[[#This Row],[S3]],Eingabe[[#This Row],[S2]]),""),""),"")</f>
        <v>94</v>
      </c>
      <c r="AU408" s="22">
        <f>IF(Eingabe[[#This Row],[GES]]="","",IF(Eingabe[[#This Row],[Modus]]="L",_xlfn.RANK.EQ(Eingabe[[#This Row],[GES]],AF405:AF410),IF(Eingabe[[#This Row],[Modus]]="P",_xlfn.RANK.EQ(Eingabe[[#This Row],[GES]],AF405:AF410),"")))</f>
        <v>4</v>
      </c>
      <c r="AV408" s="6">
        <f>VLOOKUP(Eingabe[[#This Row],[Name]],AuswertungG[],8,FALSE)</f>
        <v>386</v>
      </c>
      <c r="AZ408" s="6">
        <f>IFERROR(ABS(Eingabe[[#This Row],[GES]]-Eingabe[[#This Row],[GEGGES]]),"")</f>
        <v>342</v>
      </c>
    </row>
    <row r="409" spans="1:52" x14ac:dyDescent="0.3">
      <c r="A409" s="441"/>
      <c r="B409" s="21">
        <f t="shared" si="46"/>
        <v>68</v>
      </c>
      <c r="C409" s="6" t="str">
        <f>VLOOKUP($B409,Chronologie[],7,TRUE)</f>
        <v>Hirschfelder SV</v>
      </c>
      <c r="D409" s="6" t="str">
        <f>VLOOKUP($B409,Chronologie[],8,TRUE)</f>
        <v>Hirschfeld</v>
      </c>
      <c r="E409" s="240" t="str">
        <f>VLOOKUP($B409,Chronologie[],9,TRUE)</f>
        <v>H</v>
      </c>
      <c r="F409" s="6" t="str">
        <f>VLOOKUP($B409,Chronologie[],COLUMN(F410)-2,TRUE)</f>
        <v>U14</v>
      </c>
      <c r="G409" s="6" t="str">
        <f>VLOOKUP($B409,Chronologie[],COLUMN(G410)-2,TRUE)</f>
        <v>L</v>
      </c>
      <c r="H409" s="6">
        <f>VLOOKUP($B409,Chronologie[],COLUMN(H410)-2,TRUE)</f>
        <v>1</v>
      </c>
      <c r="I409" s="10" t="str">
        <f>VLOOKUP($B409,Chronologie[],2,TRUE)</f>
        <v>U14-L-1</v>
      </c>
      <c r="J409" s="243">
        <f>VLOOKUP($B409,Chronologie[],3,TRUE)</f>
        <v>45914</v>
      </c>
      <c r="K409" s="237" t="s">
        <v>599</v>
      </c>
      <c r="L409" s="237">
        <v>60</v>
      </c>
      <c r="M409" s="237">
        <v>60</v>
      </c>
      <c r="N409" s="237">
        <v>72</v>
      </c>
      <c r="O409" s="237">
        <v>62</v>
      </c>
      <c r="P409" s="237">
        <v>23</v>
      </c>
      <c r="Q409" s="237">
        <v>9</v>
      </c>
      <c r="R409" s="237">
        <v>35</v>
      </c>
      <c r="S409" s="237">
        <v>26</v>
      </c>
      <c r="T409" s="237">
        <v>13</v>
      </c>
      <c r="U409" s="237">
        <v>10</v>
      </c>
      <c r="V409" s="237">
        <v>4</v>
      </c>
      <c r="W409" s="237">
        <v>8</v>
      </c>
      <c r="X409" s="38"/>
      <c r="Y409" s="38"/>
      <c r="Z409" s="38"/>
      <c r="AA409" s="38"/>
      <c r="AB409" s="91"/>
      <c r="AC409" s="94">
        <f>IF(Eingabe[[#This Row],[V1]]="",IF(Eingabe[[#This Row],[Volle alternativ]]="","",Eingabe[[#This Row],[Volle alternativ]]),SUM(Eingabe[[#This Row],[V1]:[V4]]))</f>
        <v>254</v>
      </c>
      <c r="AD409" s="6">
        <f>IF(Eingabe[[#This Row],[R1]]="",IF(Eingabe[[#This Row],[Räumer alternativ]]="","",Eingabe[[#This Row],[Räumer alternativ]]),SUM(Eingabe[[#This Row],[R1]:[R4]]))</f>
        <v>93</v>
      </c>
      <c r="AE409" s="6">
        <f>IF(Eingabe[[#This Row],[F1]]="",IF(Eingabe[[#This Row],[Fehler alternativ]]="","",Eingabe[[#This Row],[Fehler alternativ]]),SUM(Eingabe[[#This Row],[F1]:[F4]]))</f>
        <v>35</v>
      </c>
      <c r="AF409" s="6">
        <f>IF(Eingabe[[#This Row],[Volle]]="","",IF(Eingabe[[#This Row],[S1]]="",Eingabe[[#This Row],[Volle]]+Eingabe[[#This Row],[Räumer]],IF(Eingabe[[#This Row],[Volle]]+Eingabe[[#This Row],[Räumer]]=Eingabe[[#This Row],[S1]]+Eingabe[[#This Row],[S2]]+Eingabe[[#This Row],[S3]]+Eingabe[[#This Row],[S4]],Eingabe[[#This Row],[Volle]]+Eingabe[[#This Row],[Räumer]],"FEHLER")))</f>
        <v>347</v>
      </c>
      <c r="AG409" s="6">
        <f>IF(Eingabe[[#This Row],[V1]]="","",Eingabe[[#This Row],[V1]]+Eingabe[[#This Row],[R1]])</f>
        <v>83</v>
      </c>
      <c r="AH409" s="6">
        <f>IF(Eingabe[[#This Row],[V2]]="","",Eingabe[[#This Row],[V2]]+Eingabe[[#This Row],[R2]])</f>
        <v>69</v>
      </c>
      <c r="AI409" s="6">
        <f>IF(Eingabe[[#This Row],[V3]]="","",Eingabe[[#This Row],[V3]]+Eingabe[[#This Row],[R3]])</f>
        <v>107</v>
      </c>
      <c r="AJ409" s="6">
        <f>IF(Eingabe[[#This Row],[V4]]="","",Eingabe[[#This Row],[V4]]+Eingabe[[#This Row],[R4]])</f>
        <v>88</v>
      </c>
      <c r="AK409" s="6" t="str">
        <f>IF(Eingabe[[#This Row],[S1P]]="","",Eingabe[[#This Row],[S1P]]+Eingabe[[#This Row],[S2P]]+Eingabe[[#This Row],[S3P]]+Eingabe[[#This Row],[S4P]])</f>
        <v/>
      </c>
      <c r="AL409" s="6" t="str">
        <f>IF(Eingabe[[#This Row],[S1P]]="","",IF(Eingabe[[#This Row],[SP]]&gt;2,1,IF(Eingabe[[#This Row],[SP]]&lt;2,0,IF(Eingabe[[#This Row],[GES]]&gt;Eingabe[[#This Row],[GEGGES]],1,IF(Eingabe[[#This Row],[GES]]=Eingabe[[#This Row],[GEGGES]],0.5,0)))))</f>
        <v/>
      </c>
      <c r="AM409" s="6" t="str">
        <f>IF(Eingabe[[#This Row],[MP]]="","",MOD(ROW(Eingabe[[#This Row],[Position]])-3,6)+1)</f>
        <v/>
      </c>
      <c r="AN409" s="6">
        <f>STANDARDIZE(Eingabe[[#This Row],[GES]],Eingabe[[#This Row],[Schnitt]],VLOOKUP(Eingabe[[#This Row],[Name]],AuswertungG[],21,FALSE))</f>
        <v>-0.69565217391304346</v>
      </c>
      <c r="AO409" s="6">
        <f>VLOOKUP(Eingabe[[#This Row],[ID]],Chronologie[[ID]:[KW]],12,FALSE)</f>
        <v>3</v>
      </c>
      <c r="AP409" s="95" t="str">
        <f>IF(Eingabe[[#This Row],[Wo]]="H",Eingabe[[#This Row],[Gegner]]&amp;" ["&amp;Eingabe[[#This Row],[Wo]]&amp;"]",Eingabe[[#This Row],[Ort]])</f>
        <v>Hirschfelder SV [H]</v>
      </c>
      <c r="AQ409" s="6" t="str">
        <f>IFERROR(IF(Eingabe[[#This Row],[Wo]]="H",IF(MOD(Eingabe[[#This Row],[Position]],2)=1,Eingabe[[#This Row],[S1]],Eingabe[[#This Row],[S4]]),""),"")</f>
        <v/>
      </c>
      <c r="AR409" s="6" t="str">
        <f>IFERROR(IF(Eingabe[[#This Row],[Wo]]="H",IF(Eingabe[[#This Row],[S1]]&gt;0,IF(MOD(Eingabe[[#This Row],[Position]],2)=1,Eingabe[[#This Row],[S2]],Eingabe[[#This Row],[S3]]),""),""),"")</f>
        <v/>
      </c>
      <c r="AS409" s="6">
        <f>IFERROR(IF(Eingabe[[#This Row],[Wo]]="H",IF(Eingabe[[#This Row],[S1]]&gt;0,IF(MOD(ROW(Eingabe[[#This Row],[Heimbahn 3]]),2)=1,Eingabe[[#This Row],[S4]],Eingabe[[#This Row],[S1]]),""),""),"")</f>
        <v>88</v>
      </c>
      <c r="AT409" s="6">
        <f>IFERROR(IF(Eingabe[[#This Row],[Wo]]="H",IF(Eingabe[[#This Row],[S1]]&gt;0,IF(MOD(ROW(Eingabe[[#This Row],[Heimbahn 4]]),2)=1,Eingabe[[#This Row],[S3]],Eingabe[[#This Row],[S2]]),""),""),"")</f>
        <v>107</v>
      </c>
      <c r="AU409" s="22">
        <f>IF(Eingabe[[#This Row],[GES]]="","",IF(Eingabe[[#This Row],[Modus]]="L",_xlfn.RANK.EQ(Eingabe[[#This Row],[GES]],AF405:AF410),IF(Eingabe[[#This Row],[Modus]]="P",_xlfn.RANK.EQ(Eingabe[[#This Row],[GES]],AF405:AF410),"")))</f>
        <v>3</v>
      </c>
      <c r="AV409" s="6">
        <f>VLOOKUP(Eingabe[[#This Row],[Name]],AuswertungG[],8,FALSE)</f>
        <v>363</v>
      </c>
      <c r="AZ409" s="6">
        <f>IFERROR(ABS(Eingabe[[#This Row],[GES]]-Eingabe[[#This Row],[GEGGES]]),"")</f>
        <v>347</v>
      </c>
    </row>
    <row r="410" spans="1:52" ht="16.2" thickBot="1" x14ac:dyDescent="0.35">
      <c r="A410" s="442"/>
      <c r="B410" s="56">
        <f t="shared" si="46"/>
        <v>68</v>
      </c>
      <c r="C410" s="23" t="str">
        <f>VLOOKUP($B410,Chronologie[],7,TRUE)</f>
        <v>Hirschfelder SV</v>
      </c>
      <c r="D410" s="23" t="str">
        <f>VLOOKUP($B410,Chronologie[],8,TRUE)</f>
        <v>Hirschfeld</v>
      </c>
      <c r="E410" s="39" t="str">
        <f>VLOOKUP($B410,Chronologie[],9,TRUE)</f>
        <v>H</v>
      </c>
      <c r="F410" s="23" t="str">
        <f>VLOOKUP($B410,Chronologie[],COLUMN(F411)-2,TRUE)</f>
        <v>U14</v>
      </c>
      <c r="G410" s="23" t="str">
        <f>VLOOKUP($B410,Chronologie[],COLUMN(G411)-2,TRUE)</f>
        <v>L</v>
      </c>
      <c r="H410" s="23">
        <f>VLOOKUP($B410,Chronologie[],COLUMN(H411)-2,TRUE)</f>
        <v>1</v>
      </c>
      <c r="I410" s="13" t="str">
        <f>VLOOKUP($B410,Chronologie[],2,TRUE)</f>
        <v>U14-L-1</v>
      </c>
      <c r="J410" s="244">
        <v>45915</v>
      </c>
      <c r="K410" s="239" t="s">
        <v>484</v>
      </c>
      <c r="L410" s="239">
        <v>67</v>
      </c>
      <c r="M410" s="239">
        <v>65</v>
      </c>
      <c r="N410" s="239">
        <v>75</v>
      </c>
      <c r="O410" s="239">
        <v>71</v>
      </c>
      <c r="P410" s="239">
        <v>25</v>
      </c>
      <c r="Q410" s="239">
        <v>27</v>
      </c>
      <c r="R410" s="239">
        <v>8</v>
      </c>
      <c r="S410" s="239">
        <v>27</v>
      </c>
      <c r="T410" s="239">
        <v>6</v>
      </c>
      <c r="U410" s="239">
        <v>8</v>
      </c>
      <c r="V410" s="239">
        <v>11</v>
      </c>
      <c r="W410" s="239">
        <v>3</v>
      </c>
      <c r="X410" s="40"/>
      <c r="Y410" s="40"/>
      <c r="Z410" s="40"/>
      <c r="AA410" s="40"/>
      <c r="AB410" s="92"/>
      <c r="AC410" s="96">
        <f>IF(Eingabe[[#This Row],[V1]]="",IF(Eingabe[[#This Row],[Volle alternativ]]="","",Eingabe[[#This Row],[Volle alternativ]]),SUM(Eingabe[[#This Row],[V1]:[V4]]))</f>
        <v>278</v>
      </c>
      <c r="AD410" s="23">
        <f>IF(Eingabe[[#This Row],[R1]]="",IF(Eingabe[[#This Row],[Räumer alternativ]]="","",Eingabe[[#This Row],[Räumer alternativ]]),SUM(Eingabe[[#This Row],[R1]:[R4]]))</f>
        <v>87</v>
      </c>
      <c r="AE410" s="23">
        <f>IF(Eingabe[[#This Row],[F1]]="",IF(Eingabe[[#This Row],[Fehler alternativ]]="","",Eingabe[[#This Row],[Fehler alternativ]]),SUM(Eingabe[[#This Row],[F1]:[F4]]))</f>
        <v>28</v>
      </c>
      <c r="AF410" s="23">
        <f>IF(Eingabe[[#This Row],[Volle]]="","",IF(Eingabe[[#This Row],[S1]]="",Eingabe[[#This Row],[Volle]]+Eingabe[[#This Row],[Räumer]],IF(Eingabe[[#This Row],[Volle]]+Eingabe[[#This Row],[Räumer]]=Eingabe[[#This Row],[S1]]+Eingabe[[#This Row],[S2]]+Eingabe[[#This Row],[S3]]+Eingabe[[#This Row],[S4]],Eingabe[[#This Row],[Volle]]+Eingabe[[#This Row],[Räumer]],"FEHLER")))</f>
        <v>365</v>
      </c>
      <c r="AG410" s="23">
        <f>IF(Eingabe[[#This Row],[V1]]="","",Eingabe[[#This Row],[V1]]+Eingabe[[#This Row],[R1]])</f>
        <v>92</v>
      </c>
      <c r="AH410" s="23">
        <f>IF(Eingabe[[#This Row],[V2]]="","",Eingabe[[#This Row],[V2]]+Eingabe[[#This Row],[R2]])</f>
        <v>92</v>
      </c>
      <c r="AI410" s="23">
        <f>IF(Eingabe[[#This Row],[V3]]="","",Eingabe[[#This Row],[V3]]+Eingabe[[#This Row],[R3]])</f>
        <v>83</v>
      </c>
      <c r="AJ410" s="23">
        <f>IF(Eingabe[[#This Row],[V4]]="","",Eingabe[[#This Row],[V4]]+Eingabe[[#This Row],[R4]])</f>
        <v>98</v>
      </c>
      <c r="AK410" s="23" t="str">
        <f>IF(Eingabe[[#This Row],[S1P]]="","",Eingabe[[#This Row],[S1P]]+Eingabe[[#This Row],[S2P]]+Eingabe[[#This Row],[S3P]]+Eingabe[[#This Row],[S4P]])</f>
        <v/>
      </c>
      <c r="AL410" s="23" t="str">
        <f>IF(Eingabe[[#This Row],[S1P]]="","",IF(Eingabe[[#This Row],[SP]]&gt;2,1,IF(Eingabe[[#This Row],[SP]]&lt;2,0,IF(Eingabe[[#This Row],[GES]]&gt;Eingabe[[#This Row],[GEGGES]],1,IF(Eingabe[[#This Row],[GES]]=Eingabe[[#This Row],[GEGGES]],0.5,0)))))</f>
        <v/>
      </c>
      <c r="AM410" s="23" t="str">
        <f>IF(Eingabe[[#This Row],[MP]]="","",MOD(ROW(Eingabe[[#This Row],[Position]])-3,6)+1)</f>
        <v/>
      </c>
      <c r="AN410" s="23">
        <f>STANDARDIZE(Eingabe[[#This Row],[GES]],Eingabe[[#This Row],[Schnitt]],VLOOKUP(Eingabe[[#This Row],[Name]],AuswertungG[],21,FALSE))</f>
        <v>-0.61764705882352944</v>
      </c>
      <c r="AO410" s="23">
        <f>VLOOKUP(Eingabe[[#This Row],[ID]],Chronologie[[ID]:[KW]],12,FALSE)</f>
        <v>3</v>
      </c>
      <c r="AP410" s="59" t="str">
        <f>IF(Eingabe[[#This Row],[Wo]]="H",Eingabe[[#This Row],[Gegner]]&amp;" ["&amp;Eingabe[[#This Row],[Wo]]&amp;"]",Eingabe[[#This Row],[Ort]])</f>
        <v>Hirschfelder SV [H]</v>
      </c>
      <c r="AQ410" s="23" t="str">
        <f>IFERROR(IF(Eingabe[[#This Row],[Wo]]="H",IF(MOD(Eingabe[[#This Row],[Position]],2)=1,Eingabe[[#This Row],[S1]],Eingabe[[#This Row],[S4]]),""),"")</f>
        <v/>
      </c>
      <c r="AR410" s="23" t="str">
        <f>IFERROR(IF(Eingabe[[#This Row],[Wo]]="H",IF(Eingabe[[#This Row],[S1]]&gt;0,IF(MOD(Eingabe[[#This Row],[Position]],2)=1,Eingabe[[#This Row],[S2]],Eingabe[[#This Row],[S3]]),""),""),"")</f>
        <v/>
      </c>
      <c r="AS410" s="23">
        <f>IFERROR(IF(Eingabe[[#This Row],[Wo]]="H",IF(Eingabe[[#This Row],[S1]]&gt;0,IF(MOD(ROW(Eingabe[[#This Row],[Heimbahn 3]]),2)=1,Eingabe[[#This Row],[S4]],Eingabe[[#This Row],[S1]]),""),""),"")</f>
        <v>92</v>
      </c>
      <c r="AT410" s="23">
        <f>IFERROR(IF(Eingabe[[#This Row],[Wo]]="H",IF(Eingabe[[#This Row],[S1]]&gt;0,IF(MOD(ROW(Eingabe[[#This Row],[Heimbahn 4]]),2)=1,Eingabe[[#This Row],[S3]],Eingabe[[#This Row],[S2]]),""),""),"")</f>
        <v>92</v>
      </c>
      <c r="AU410" s="89">
        <f>IF(Eingabe[[#This Row],[GES]]="","",IF(Eingabe[[#This Row],[Modus]]="L",_xlfn.RANK.EQ(Eingabe[[#This Row],[GES]],AF405:AF410),IF(Eingabe[[#This Row],[Modus]]="P",_xlfn.RANK.EQ(Eingabe[[#This Row],[GES]],AF405:AF410),"")))</f>
        <v>2</v>
      </c>
      <c r="AV410" s="6">
        <f>VLOOKUP(Eingabe[[#This Row],[Name]],AuswertungG[],8,FALSE)</f>
        <v>386</v>
      </c>
      <c r="AZ410" s="6">
        <f>IFERROR(ABS(Eingabe[[#This Row],[GES]]-Eingabe[[#This Row],[GEGGES]]),"")</f>
        <v>365</v>
      </c>
    </row>
    <row r="411" spans="1:52" x14ac:dyDescent="0.3">
      <c r="A411" s="440">
        <f t="shared" si="45"/>
        <v>69</v>
      </c>
      <c r="B411" s="55">
        <f t="shared" si="46"/>
        <v>69</v>
      </c>
      <c r="C411" s="35" t="str">
        <f>VLOOKUP($B411,Chronologie[],7,TRUE)</f>
        <v>SV Siltronic Freiberg</v>
      </c>
      <c r="D411" s="35" t="str">
        <f>VLOOKUP($B411,Chronologie[],8,TRUE)</f>
        <v>Freiberg</v>
      </c>
      <c r="E411" s="36" t="str">
        <f>VLOOKUP($B411,Chronologie[],9,TRUE)</f>
        <v>A</v>
      </c>
      <c r="F411" s="35" t="str">
        <f>VLOOKUP($B411,Chronologie[],COLUMN(F412)-2,TRUE)</f>
        <v>U14</v>
      </c>
      <c r="G411" s="35" t="str">
        <f>VLOOKUP($B411,Chronologie[],COLUMN(G412)-2,TRUE)</f>
        <v>L</v>
      </c>
      <c r="H411" s="35">
        <f>VLOOKUP($B411,Chronologie[],COLUMN(H412)-2,TRUE)</f>
        <v>2</v>
      </c>
      <c r="I411" s="9" t="str">
        <f>VLOOKUP($B411,Chronologie[],2,TRUE)</f>
        <v>U14-L-2</v>
      </c>
      <c r="J411" s="242">
        <f>VLOOKUP($B411,Chronologie[],3,TRUE)</f>
        <v>45921</v>
      </c>
      <c r="K411" s="236" t="s">
        <v>476</v>
      </c>
      <c r="L411" s="334">
        <v>67</v>
      </c>
      <c r="M411" s="334">
        <v>70</v>
      </c>
      <c r="N411" s="334">
        <v>63</v>
      </c>
      <c r="O411" s="334">
        <v>85</v>
      </c>
      <c r="P411" s="334">
        <v>18</v>
      </c>
      <c r="Q411" s="334">
        <v>15</v>
      </c>
      <c r="R411" s="334">
        <v>16</v>
      </c>
      <c r="S411" s="334">
        <v>14</v>
      </c>
      <c r="T411" s="334">
        <v>9</v>
      </c>
      <c r="U411" s="334">
        <v>10</v>
      </c>
      <c r="V411" s="334">
        <v>9</v>
      </c>
      <c r="W411" s="334">
        <v>10</v>
      </c>
      <c r="X411" s="37"/>
      <c r="Y411" s="37"/>
      <c r="Z411" s="37"/>
      <c r="AA411" s="37"/>
      <c r="AB411" s="90"/>
      <c r="AC411" s="93">
        <f>IF(Eingabe[[#This Row],[V1]]="",IF(Eingabe[[#This Row],[Volle alternativ]]="","",Eingabe[[#This Row],[Volle alternativ]]),SUM(Eingabe[[#This Row],[V1]:[V4]]))</f>
        <v>285</v>
      </c>
      <c r="AD411" s="35">
        <f>IF(Eingabe[[#This Row],[R1]]="",IF(Eingabe[[#This Row],[Räumer alternativ]]="","",Eingabe[[#This Row],[Räumer alternativ]]),SUM(Eingabe[[#This Row],[R1]:[R4]]))</f>
        <v>63</v>
      </c>
      <c r="AE411" s="35">
        <f>IF(Eingabe[[#This Row],[F1]]="",IF(Eingabe[[#This Row],[Fehler alternativ]]="","",Eingabe[[#This Row],[Fehler alternativ]]),SUM(Eingabe[[#This Row],[F1]:[F4]]))</f>
        <v>38</v>
      </c>
      <c r="AF411" s="35">
        <f>IF(Eingabe[[#This Row],[Volle]]="","",IF(Eingabe[[#This Row],[S1]]="",Eingabe[[#This Row],[Volle]]+Eingabe[[#This Row],[Räumer]],IF(Eingabe[[#This Row],[Volle]]+Eingabe[[#This Row],[Räumer]]=Eingabe[[#This Row],[S1]]+Eingabe[[#This Row],[S2]]+Eingabe[[#This Row],[S3]]+Eingabe[[#This Row],[S4]],Eingabe[[#This Row],[Volle]]+Eingabe[[#This Row],[Räumer]],"FEHLER")))</f>
        <v>348</v>
      </c>
      <c r="AG411" s="35">
        <f>IF(Eingabe[[#This Row],[V1]]="","",Eingabe[[#This Row],[V1]]+Eingabe[[#This Row],[R1]])</f>
        <v>85</v>
      </c>
      <c r="AH411" s="35">
        <f>IF(Eingabe[[#This Row],[V2]]="","",Eingabe[[#This Row],[V2]]+Eingabe[[#This Row],[R2]])</f>
        <v>85</v>
      </c>
      <c r="AI411" s="35">
        <f>IF(Eingabe[[#This Row],[V3]]="","",Eingabe[[#This Row],[V3]]+Eingabe[[#This Row],[R3]])</f>
        <v>79</v>
      </c>
      <c r="AJ411" s="35">
        <f>IF(Eingabe[[#This Row],[V4]]="","",Eingabe[[#This Row],[V4]]+Eingabe[[#This Row],[R4]])</f>
        <v>99</v>
      </c>
      <c r="AK411" s="35" t="str">
        <f>IF(Eingabe[[#This Row],[S1P]]="","",Eingabe[[#This Row],[S1P]]+Eingabe[[#This Row],[S2P]]+Eingabe[[#This Row],[S3P]]+Eingabe[[#This Row],[S4P]])</f>
        <v/>
      </c>
      <c r="AL411" s="35" t="str">
        <f>IF(Eingabe[[#This Row],[S1P]]="","",IF(Eingabe[[#This Row],[SP]]&gt;2,1,IF(Eingabe[[#This Row],[SP]]&lt;2,0,IF(Eingabe[[#This Row],[GES]]&gt;Eingabe[[#This Row],[GEGGES]],1,IF(Eingabe[[#This Row],[GES]]=Eingabe[[#This Row],[GEGGES]],0.5,0)))))</f>
        <v/>
      </c>
      <c r="AM411" s="35" t="str">
        <f>IF(Eingabe[[#This Row],[MP]]="","",MOD(ROW(Eingabe[[#This Row],[Position]])-3,6)+1)</f>
        <v/>
      </c>
      <c r="AN411" s="35">
        <f>STANDARDIZE(Eingabe[[#This Row],[GES]],Eingabe[[#This Row],[Schnitt]],VLOOKUP(Eingabe[[#This Row],[Name]],AuswertungG[],21,FALSE))</f>
        <v>-1.5897435897435896</v>
      </c>
      <c r="AO411" s="35">
        <f>VLOOKUP(Eingabe[[#This Row],[ID]],Chronologie[[ID]:[KW]],12,FALSE)</f>
        <v>4</v>
      </c>
      <c r="AP411" s="58" t="str">
        <f>IF(Eingabe[[#This Row],[Wo]]="H",Eingabe[[#This Row],[Gegner]]&amp;" ["&amp;Eingabe[[#This Row],[Wo]]&amp;"]",Eingabe[[#This Row],[Ort]])</f>
        <v>Freiberg</v>
      </c>
      <c r="AQ411" s="35" t="str">
        <f>IFERROR(IF(Eingabe[[#This Row],[Wo]]="H",IF(MOD(Eingabe[[#This Row],[Position]],2)=1,Eingabe[[#This Row],[S1]],Eingabe[[#This Row],[S4]]),""),"")</f>
        <v/>
      </c>
      <c r="AR411" s="35" t="str">
        <f>IFERROR(IF(Eingabe[[#This Row],[Wo]]="H",IF(Eingabe[[#This Row],[S1]]&gt;0,IF(MOD(Eingabe[[#This Row],[Position]],2)=1,Eingabe[[#This Row],[S2]],Eingabe[[#This Row],[S3]]),""),""),"")</f>
        <v/>
      </c>
      <c r="AS411" s="35" t="str">
        <f>IFERROR(IF(Eingabe[[#This Row],[Wo]]="H",IF(Eingabe[[#This Row],[S1]]&gt;0,IF(MOD(ROW(Eingabe[[#This Row],[Heimbahn 3]]),2)=1,Eingabe[[#This Row],[S4]],Eingabe[[#This Row],[S1]]),""),""),"")</f>
        <v/>
      </c>
      <c r="AT411" s="35" t="str">
        <f>IFERROR(IF(Eingabe[[#This Row],[Wo]]="H",IF(Eingabe[[#This Row],[S1]]&gt;0,IF(MOD(ROW(Eingabe[[#This Row],[Heimbahn 4]]),2)=1,Eingabe[[#This Row],[S3]],Eingabe[[#This Row],[S2]]),""),""),"")</f>
        <v/>
      </c>
      <c r="AU411" s="88">
        <f>IF(Eingabe[[#This Row],[GES]]="","",IF(Eingabe[[#This Row],[Modus]]="L",_xlfn.RANK.EQ(Eingabe[[#This Row],[GES]],AF411:AF416),IF(Eingabe[[#This Row],[Modus]]="P",_xlfn.RANK.EQ(Eingabe[[#This Row],[GES]],AF411:AF416),"")))</f>
        <v>3</v>
      </c>
      <c r="AV411" s="6">
        <f>VLOOKUP(Eingabe[[#This Row],[Name]],AuswertungG[],8,FALSE)</f>
        <v>410</v>
      </c>
      <c r="AZ411" s="6">
        <f>IFERROR(ABS(Eingabe[[#This Row],[GES]]-Eingabe[[#This Row],[GEGGES]]),"")</f>
        <v>348</v>
      </c>
    </row>
    <row r="412" spans="1:52" x14ac:dyDescent="0.3">
      <c r="A412" s="441"/>
      <c r="B412" s="21">
        <f t="shared" si="46"/>
        <v>69</v>
      </c>
      <c r="C412" s="6" t="str">
        <f>VLOOKUP($B412,Chronologie[],7,TRUE)</f>
        <v>SV Siltronic Freiberg</v>
      </c>
      <c r="D412" s="6" t="str">
        <f>VLOOKUP($B412,Chronologie[],8,TRUE)</f>
        <v>Freiberg</v>
      </c>
      <c r="E412" s="240" t="str">
        <f>VLOOKUP($B412,Chronologie[],9,TRUE)</f>
        <v>A</v>
      </c>
      <c r="F412" s="6" t="str">
        <f>VLOOKUP($B412,Chronologie[],COLUMN(F413)-2,TRUE)</f>
        <v>U14</v>
      </c>
      <c r="G412" s="6" t="str">
        <f>VLOOKUP($B412,Chronologie[],COLUMN(G413)-2,TRUE)</f>
        <v>L</v>
      </c>
      <c r="H412" s="6">
        <f>VLOOKUP($B412,Chronologie[],COLUMN(H413)-2,TRUE)</f>
        <v>2</v>
      </c>
      <c r="I412" s="10" t="str">
        <f>VLOOKUP($B412,Chronologie[],2,TRUE)</f>
        <v>U14-L-2</v>
      </c>
      <c r="J412" s="243">
        <f>VLOOKUP($B412,Chronologie[],3,TRUE)</f>
        <v>45921</v>
      </c>
      <c r="K412" s="237" t="s">
        <v>599</v>
      </c>
      <c r="L412" s="237">
        <v>41</v>
      </c>
      <c r="M412" s="237">
        <v>71</v>
      </c>
      <c r="N412" s="237">
        <v>78</v>
      </c>
      <c r="O412" s="237">
        <v>73</v>
      </c>
      <c r="P412" s="237">
        <v>17</v>
      </c>
      <c r="Q412" s="237">
        <v>24</v>
      </c>
      <c r="R412" s="237">
        <v>26</v>
      </c>
      <c r="S412" s="237">
        <v>34</v>
      </c>
      <c r="T412" s="237">
        <v>14</v>
      </c>
      <c r="U412" s="237">
        <v>7</v>
      </c>
      <c r="V412" s="237">
        <v>5</v>
      </c>
      <c r="W412" s="237">
        <v>3</v>
      </c>
      <c r="X412" s="38"/>
      <c r="Y412" s="38"/>
      <c r="Z412" s="38"/>
      <c r="AA412" s="38"/>
      <c r="AB412" s="91"/>
      <c r="AC412" s="94">
        <f>IF(Eingabe[[#This Row],[V1]]="",IF(Eingabe[[#This Row],[Volle alternativ]]="","",Eingabe[[#This Row],[Volle alternativ]]),SUM(Eingabe[[#This Row],[V1]:[V4]]))</f>
        <v>263</v>
      </c>
      <c r="AD412" s="6">
        <f>IF(Eingabe[[#This Row],[R1]]="",IF(Eingabe[[#This Row],[Räumer alternativ]]="","",Eingabe[[#This Row],[Räumer alternativ]]),SUM(Eingabe[[#This Row],[R1]:[R4]]))</f>
        <v>101</v>
      </c>
      <c r="AE412" s="6">
        <f>IF(Eingabe[[#This Row],[F1]]="",IF(Eingabe[[#This Row],[Fehler alternativ]]="","",Eingabe[[#This Row],[Fehler alternativ]]),SUM(Eingabe[[#This Row],[F1]:[F4]]))</f>
        <v>29</v>
      </c>
      <c r="AF412" s="6">
        <f>IF(Eingabe[[#This Row],[Volle]]="","",IF(Eingabe[[#This Row],[S1]]="",Eingabe[[#This Row],[Volle]]+Eingabe[[#This Row],[Räumer]],IF(Eingabe[[#This Row],[Volle]]+Eingabe[[#This Row],[Räumer]]=Eingabe[[#This Row],[S1]]+Eingabe[[#This Row],[S2]]+Eingabe[[#This Row],[S3]]+Eingabe[[#This Row],[S4]],Eingabe[[#This Row],[Volle]]+Eingabe[[#This Row],[Räumer]],"FEHLER")))</f>
        <v>364</v>
      </c>
      <c r="AG412" s="6">
        <f>IF(Eingabe[[#This Row],[V1]]="","",Eingabe[[#This Row],[V1]]+Eingabe[[#This Row],[R1]])</f>
        <v>58</v>
      </c>
      <c r="AH412" s="6">
        <f>IF(Eingabe[[#This Row],[V2]]="","",Eingabe[[#This Row],[V2]]+Eingabe[[#This Row],[R2]])</f>
        <v>95</v>
      </c>
      <c r="AI412" s="6">
        <f>IF(Eingabe[[#This Row],[V3]]="","",Eingabe[[#This Row],[V3]]+Eingabe[[#This Row],[R3]])</f>
        <v>104</v>
      </c>
      <c r="AJ412" s="6">
        <f>IF(Eingabe[[#This Row],[V4]]="","",Eingabe[[#This Row],[V4]]+Eingabe[[#This Row],[R4]])</f>
        <v>107</v>
      </c>
      <c r="AK412" s="6" t="str">
        <f>IF(Eingabe[[#This Row],[S1P]]="","",Eingabe[[#This Row],[S1P]]+Eingabe[[#This Row],[S2P]]+Eingabe[[#This Row],[S3P]]+Eingabe[[#This Row],[S4P]])</f>
        <v/>
      </c>
      <c r="AL412" s="6" t="str">
        <f>IF(Eingabe[[#This Row],[S1P]]="","",IF(Eingabe[[#This Row],[SP]]&gt;2,1,IF(Eingabe[[#This Row],[SP]]&lt;2,0,IF(Eingabe[[#This Row],[GES]]&gt;Eingabe[[#This Row],[GEGGES]],1,IF(Eingabe[[#This Row],[GES]]=Eingabe[[#This Row],[GEGGES]],0.5,0)))))</f>
        <v/>
      </c>
      <c r="AM412" s="6" t="str">
        <f>IF(Eingabe[[#This Row],[MP]]="","",MOD(ROW(Eingabe[[#This Row],[Position]])-3,6)+1)</f>
        <v/>
      </c>
      <c r="AN412" s="6">
        <f>STANDARDIZE(Eingabe[[#This Row],[GES]],Eingabe[[#This Row],[Schnitt]],VLOOKUP(Eingabe[[#This Row],[Name]],AuswertungG[],21,FALSE))</f>
        <v>4.3478260869565216E-2</v>
      </c>
      <c r="AO412" s="6">
        <f>VLOOKUP(Eingabe[[#This Row],[ID]],Chronologie[[ID]:[KW]],12,FALSE)</f>
        <v>4</v>
      </c>
      <c r="AP412" s="95" t="str">
        <f>IF(Eingabe[[#This Row],[Wo]]="H",Eingabe[[#This Row],[Gegner]]&amp;" ["&amp;Eingabe[[#This Row],[Wo]]&amp;"]",Eingabe[[#This Row],[Ort]])</f>
        <v>Freiberg</v>
      </c>
      <c r="AQ412" s="6" t="str">
        <f>IFERROR(IF(Eingabe[[#This Row],[Wo]]="H",IF(MOD(Eingabe[[#This Row],[Position]],2)=1,Eingabe[[#This Row],[S1]],Eingabe[[#This Row],[S4]]),""),"")</f>
        <v/>
      </c>
      <c r="AR412" s="6" t="str">
        <f>IFERROR(IF(Eingabe[[#This Row],[Wo]]="H",IF(Eingabe[[#This Row],[S1]]&gt;0,IF(MOD(Eingabe[[#This Row],[Position]],2)=1,Eingabe[[#This Row],[S2]],Eingabe[[#This Row],[S3]]),""),""),"")</f>
        <v/>
      </c>
      <c r="AS412" s="6" t="str">
        <f>IFERROR(IF(Eingabe[[#This Row],[Wo]]="H",IF(Eingabe[[#This Row],[S1]]&gt;0,IF(MOD(ROW(Eingabe[[#This Row],[Heimbahn 3]]),2)=1,Eingabe[[#This Row],[S4]],Eingabe[[#This Row],[S1]]),""),""),"")</f>
        <v/>
      </c>
      <c r="AT412" s="6" t="str">
        <f>IFERROR(IF(Eingabe[[#This Row],[Wo]]="H",IF(Eingabe[[#This Row],[S1]]&gt;0,IF(MOD(ROW(Eingabe[[#This Row],[Heimbahn 4]]),2)=1,Eingabe[[#This Row],[S3]],Eingabe[[#This Row],[S2]]),""),""),"")</f>
        <v/>
      </c>
      <c r="AU412" s="22">
        <f>IF(Eingabe[[#This Row],[GES]]="","",IF(Eingabe[[#This Row],[Modus]]="L",_xlfn.RANK.EQ(Eingabe[[#This Row],[GES]],AF411:AF416),IF(Eingabe[[#This Row],[Modus]]="P",_xlfn.RANK.EQ(Eingabe[[#This Row],[GES]],AF411:AF416),"")))</f>
        <v>1</v>
      </c>
      <c r="AV412" s="6">
        <f>VLOOKUP(Eingabe[[#This Row],[Name]],AuswertungG[],8,FALSE)</f>
        <v>363</v>
      </c>
      <c r="AZ412" s="6">
        <f>IFERROR(ABS(Eingabe[[#This Row],[GES]]-Eingabe[[#This Row],[GEGGES]]),"")</f>
        <v>364</v>
      </c>
    </row>
    <row r="413" spans="1:52" x14ac:dyDescent="0.3">
      <c r="A413" s="441"/>
      <c r="B413" s="21">
        <f t="shared" si="46"/>
        <v>69</v>
      </c>
      <c r="C413" s="6" t="str">
        <f>VLOOKUP($B413,Chronologie[],7,TRUE)</f>
        <v>SV Siltronic Freiberg</v>
      </c>
      <c r="D413" s="6" t="str">
        <f>VLOOKUP($B413,Chronologie[],8,TRUE)</f>
        <v>Freiberg</v>
      </c>
      <c r="E413" s="240" t="str">
        <f>VLOOKUP($B413,Chronologie[],9,TRUE)</f>
        <v>A</v>
      </c>
      <c r="F413" s="6" t="str">
        <f>VLOOKUP($B413,Chronologie[],COLUMN(F414)-2,TRUE)</f>
        <v>U14</v>
      </c>
      <c r="G413" s="6" t="str">
        <f>VLOOKUP($B413,Chronologie[],COLUMN(G414)-2,TRUE)</f>
        <v>L</v>
      </c>
      <c r="H413" s="6">
        <f>VLOOKUP($B413,Chronologie[],COLUMN(H414)-2,TRUE)</f>
        <v>2</v>
      </c>
      <c r="I413" s="10" t="str">
        <f>VLOOKUP($B413,Chronologie[],2,TRUE)</f>
        <v>U14-L-2</v>
      </c>
      <c r="J413" s="243">
        <f>VLOOKUP($B413,Chronologie[],3,TRUE)</f>
        <v>45921</v>
      </c>
      <c r="K413" s="237" t="s">
        <v>591</v>
      </c>
      <c r="L413" s="237">
        <v>66</v>
      </c>
      <c r="M413" s="237">
        <v>54</v>
      </c>
      <c r="N413" s="237">
        <v>48</v>
      </c>
      <c r="O413" s="237">
        <v>60</v>
      </c>
      <c r="P413" s="237">
        <v>21</v>
      </c>
      <c r="Q413" s="237">
        <v>26</v>
      </c>
      <c r="R413" s="237">
        <v>8</v>
      </c>
      <c r="S413" s="237">
        <v>16</v>
      </c>
      <c r="T413" s="237">
        <v>11</v>
      </c>
      <c r="U413" s="237">
        <v>8</v>
      </c>
      <c r="V413" s="237">
        <v>15</v>
      </c>
      <c r="W413" s="237">
        <v>12</v>
      </c>
      <c r="X413" s="38"/>
      <c r="Y413" s="38"/>
      <c r="Z413" s="38"/>
      <c r="AA413" s="38"/>
      <c r="AB413" s="91"/>
      <c r="AC413" s="94">
        <f>IF(Eingabe[[#This Row],[V1]]="",IF(Eingabe[[#This Row],[Volle alternativ]]="","",Eingabe[[#This Row],[Volle alternativ]]),SUM(Eingabe[[#This Row],[V1]:[V4]]))</f>
        <v>228</v>
      </c>
      <c r="AD413" s="6">
        <f>IF(Eingabe[[#This Row],[R1]]="",IF(Eingabe[[#This Row],[Räumer alternativ]]="","",Eingabe[[#This Row],[Räumer alternativ]]),SUM(Eingabe[[#This Row],[R1]:[R4]]))</f>
        <v>71</v>
      </c>
      <c r="AE413" s="6">
        <f>IF(Eingabe[[#This Row],[F1]]="",IF(Eingabe[[#This Row],[Fehler alternativ]]="","",Eingabe[[#This Row],[Fehler alternativ]]),SUM(Eingabe[[#This Row],[F1]:[F4]]))</f>
        <v>46</v>
      </c>
      <c r="AF413" s="6">
        <f>IF(Eingabe[[#This Row],[Volle]]="","",IF(Eingabe[[#This Row],[S1]]="",Eingabe[[#This Row],[Volle]]+Eingabe[[#This Row],[Räumer]],IF(Eingabe[[#This Row],[Volle]]+Eingabe[[#This Row],[Räumer]]=Eingabe[[#This Row],[S1]]+Eingabe[[#This Row],[S2]]+Eingabe[[#This Row],[S3]]+Eingabe[[#This Row],[S4]],Eingabe[[#This Row],[Volle]]+Eingabe[[#This Row],[Räumer]],"FEHLER")))</f>
        <v>299</v>
      </c>
      <c r="AG413" s="6">
        <f>IF(Eingabe[[#This Row],[V1]]="","",Eingabe[[#This Row],[V1]]+Eingabe[[#This Row],[R1]])</f>
        <v>87</v>
      </c>
      <c r="AH413" s="6">
        <f>IF(Eingabe[[#This Row],[V2]]="","",Eingabe[[#This Row],[V2]]+Eingabe[[#This Row],[R2]])</f>
        <v>80</v>
      </c>
      <c r="AI413" s="6">
        <f>IF(Eingabe[[#This Row],[V3]]="","",Eingabe[[#This Row],[V3]]+Eingabe[[#This Row],[R3]])</f>
        <v>56</v>
      </c>
      <c r="AJ413" s="6">
        <f>IF(Eingabe[[#This Row],[V4]]="","",Eingabe[[#This Row],[V4]]+Eingabe[[#This Row],[R4]])</f>
        <v>76</v>
      </c>
      <c r="AK413" s="6" t="str">
        <f>IF(Eingabe[[#This Row],[S1P]]="","",Eingabe[[#This Row],[S1P]]+Eingabe[[#This Row],[S2P]]+Eingabe[[#This Row],[S3P]]+Eingabe[[#This Row],[S4P]])</f>
        <v/>
      </c>
      <c r="AL413" s="6" t="str">
        <f>IF(Eingabe[[#This Row],[S1P]]="","",IF(Eingabe[[#This Row],[SP]]&gt;2,1,IF(Eingabe[[#This Row],[SP]]&lt;2,0,IF(Eingabe[[#This Row],[GES]]&gt;Eingabe[[#This Row],[GEGGES]],1,IF(Eingabe[[#This Row],[GES]]=Eingabe[[#This Row],[GEGGES]],0.5,0)))))</f>
        <v/>
      </c>
      <c r="AM413" s="6" t="str">
        <f>IF(Eingabe[[#This Row],[MP]]="","",MOD(ROW(Eingabe[[#This Row],[Position]])-3,6)+1)</f>
        <v/>
      </c>
      <c r="AN413" s="6">
        <f>STANDARDIZE(Eingabe[[#This Row],[GES]],Eingabe[[#This Row],[Schnitt]],VLOOKUP(Eingabe[[#This Row],[Name]],AuswertungG[],21,FALSE))</f>
        <v>-1.8235294117647058</v>
      </c>
      <c r="AO413" s="6">
        <f>VLOOKUP(Eingabe[[#This Row],[ID]],Chronologie[[ID]:[KW]],12,FALSE)</f>
        <v>4</v>
      </c>
      <c r="AP413" s="95" t="str">
        <f>IF(Eingabe[[#This Row],[Wo]]="H",Eingabe[[#This Row],[Gegner]]&amp;" ["&amp;Eingabe[[#This Row],[Wo]]&amp;"]",Eingabe[[#This Row],[Ort]])</f>
        <v>Freiberg</v>
      </c>
      <c r="AQ413" s="6" t="str">
        <f>IFERROR(IF(Eingabe[[#This Row],[Wo]]="H",IF(MOD(Eingabe[[#This Row],[Position]],2)=1,Eingabe[[#This Row],[S1]],Eingabe[[#This Row],[S4]]),""),"")</f>
        <v/>
      </c>
      <c r="AR413" s="6" t="str">
        <f>IFERROR(IF(Eingabe[[#This Row],[Wo]]="H",IF(Eingabe[[#This Row],[S1]]&gt;0,IF(MOD(Eingabe[[#This Row],[Position]],2)=1,Eingabe[[#This Row],[S2]],Eingabe[[#This Row],[S3]]),""),""),"")</f>
        <v/>
      </c>
      <c r="AS413" s="6" t="str">
        <f>IFERROR(IF(Eingabe[[#This Row],[Wo]]="H",IF(Eingabe[[#This Row],[S1]]&gt;0,IF(MOD(ROW(Eingabe[[#This Row],[Heimbahn 3]]),2)=1,Eingabe[[#This Row],[S4]],Eingabe[[#This Row],[S1]]),""),""),"")</f>
        <v/>
      </c>
      <c r="AT413" s="6" t="str">
        <f>IFERROR(IF(Eingabe[[#This Row],[Wo]]="H",IF(Eingabe[[#This Row],[S1]]&gt;0,IF(MOD(ROW(Eingabe[[#This Row],[Heimbahn 4]]),2)=1,Eingabe[[#This Row],[S3]],Eingabe[[#This Row],[S2]]),""),""),"")</f>
        <v/>
      </c>
      <c r="AU413" s="22">
        <f>IF(Eingabe[[#This Row],[GES]]="","",IF(Eingabe[[#This Row],[Modus]]="L",_xlfn.RANK.EQ(Eingabe[[#This Row],[GES]],AF411:AF416),IF(Eingabe[[#This Row],[Modus]]="P",_xlfn.RANK.EQ(Eingabe[[#This Row],[GES]],AF411:AF416),"")))</f>
        <v>4</v>
      </c>
      <c r="AV413" s="6">
        <f>VLOOKUP(Eingabe[[#This Row],[Name]],AuswertungG[],8,FALSE)</f>
        <v>330</v>
      </c>
      <c r="AZ413" s="6">
        <f>IFERROR(ABS(Eingabe[[#This Row],[GES]]-Eingabe[[#This Row],[GEGGES]]),"")</f>
        <v>299</v>
      </c>
    </row>
    <row r="414" spans="1:52" x14ac:dyDescent="0.3">
      <c r="A414" s="441"/>
      <c r="B414" s="21">
        <f t="shared" si="46"/>
        <v>69</v>
      </c>
      <c r="C414" s="6" t="str">
        <f>VLOOKUP($B414,Chronologie[],7,TRUE)</f>
        <v>SV Siltronic Freiberg</v>
      </c>
      <c r="D414" s="6" t="str">
        <f>VLOOKUP($B414,Chronologie[],8,TRUE)</f>
        <v>Freiberg</v>
      </c>
      <c r="E414" s="240" t="str">
        <f>VLOOKUP($B414,Chronologie[],9,TRUE)</f>
        <v>A</v>
      </c>
      <c r="F414" s="6" t="str">
        <f>VLOOKUP($B414,Chronologie[],COLUMN(F415)-2,TRUE)</f>
        <v>U14</v>
      </c>
      <c r="G414" s="6" t="str">
        <f>VLOOKUP($B414,Chronologie[],COLUMN(G415)-2,TRUE)</f>
        <v>L</v>
      </c>
      <c r="H414" s="6">
        <f>VLOOKUP($B414,Chronologie[],COLUMN(H415)-2,TRUE)</f>
        <v>2</v>
      </c>
      <c r="I414" s="10" t="str">
        <f>VLOOKUP($B414,Chronologie[],2,TRUE)</f>
        <v>U14-L-2</v>
      </c>
      <c r="J414" s="243">
        <f>VLOOKUP($B414,Chronologie[],3,TRUE)</f>
        <v>45921</v>
      </c>
      <c r="K414" s="238" t="s">
        <v>484</v>
      </c>
      <c r="L414" s="237">
        <v>64</v>
      </c>
      <c r="M414" s="237">
        <v>61</v>
      </c>
      <c r="N414" s="237">
        <v>69</v>
      </c>
      <c r="O414" s="237">
        <v>80</v>
      </c>
      <c r="P414" s="237">
        <v>17</v>
      </c>
      <c r="Q414" s="237">
        <v>14</v>
      </c>
      <c r="R414" s="237">
        <v>33</v>
      </c>
      <c r="S414" s="237">
        <v>16</v>
      </c>
      <c r="T414" s="237">
        <v>9</v>
      </c>
      <c r="U414" s="237">
        <v>7</v>
      </c>
      <c r="V414" s="237">
        <v>5</v>
      </c>
      <c r="W414" s="237">
        <v>7</v>
      </c>
      <c r="X414" s="38"/>
      <c r="Y414" s="38"/>
      <c r="Z414" s="38"/>
      <c r="AA414" s="38"/>
      <c r="AB414" s="91"/>
      <c r="AC414" s="94">
        <f>IF(Eingabe[[#This Row],[V1]]="",IF(Eingabe[[#This Row],[Volle alternativ]]="","",Eingabe[[#This Row],[Volle alternativ]]),SUM(Eingabe[[#This Row],[V1]:[V4]]))</f>
        <v>274</v>
      </c>
      <c r="AD414" s="6">
        <f>IF(Eingabe[[#This Row],[R1]]="",IF(Eingabe[[#This Row],[Räumer alternativ]]="","",Eingabe[[#This Row],[Räumer alternativ]]),SUM(Eingabe[[#This Row],[R1]:[R4]]))</f>
        <v>80</v>
      </c>
      <c r="AE414" s="6">
        <f>IF(Eingabe[[#This Row],[F1]]="",IF(Eingabe[[#This Row],[Fehler alternativ]]="","",Eingabe[[#This Row],[Fehler alternativ]]),SUM(Eingabe[[#This Row],[F1]:[F4]]))</f>
        <v>28</v>
      </c>
      <c r="AF414" s="6">
        <f>IF(Eingabe[[#This Row],[Volle]]="","",IF(Eingabe[[#This Row],[S1]]="",Eingabe[[#This Row],[Volle]]+Eingabe[[#This Row],[Räumer]],IF(Eingabe[[#This Row],[Volle]]+Eingabe[[#This Row],[Räumer]]=Eingabe[[#This Row],[S1]]+Eingabe[[#This Row],[S2]]+Eingabe[[#This Row],[S3]]+Eingabe[[#This Row],[S4]],Eingabe[[#This Row],[Volle]]+Eingabe[[#This Row],[Räumer]],"FEHLER")))</f>
        <v>354</v>
      </c>
      <c r="AG414" s="6">
        <f>IF(Eingabe[[#This Row],[V1]]="","",Eingabe[[#This Row],[V1]]+Eingabe[[#This Row],[R1]])</f>
        <v>81</v>
      </c>
      <c r="AH414" s="6">
        <f>IF(Eingabe[[#This Row],[V2]]="","",Eingabe[[#This Row],[V2]]+Eingabe[[#This Row],[R2]])</f>
        <v>75</v>
      </c>
      <c r="AI414" s="6">
        <f>IF(Eingabe[[#This Row],[V3]]="","",Eingabe[[#This Row],[V3]]+Eingabe[[#This Row],[R3]])</f>
        <v>102</v>
      </c>
      <c r="AJ414" s="6">
        <f>IF(Eingabe[[#This Row],[V4]]="","",Eingabe[[#This Row],[V4]]+Eingabe[[#This Row],[R4]])</f>
        <v>96</v>
      </c>
      <c r="AK414" s="6" t="str">
        <f>IF(Eingabe[[#This Row],[S1P]]="","",Eingabe[[#This Row],[S1P]]+Eingabe[[#This Row],[S2P]]+Eingabe[[#This Row],[S3P]]+Eingabe[[#This Row],[S4P]])</f>
        <v/>
      </c>
      <c r="AL414" s="6" t="str">
        <f>IF(Eingabe[[#This Row],[S1P]]="","",IF(Eingabe[[#This Row],[SP]]&gt;2,1,IF(Eingabe[[#This Row],[SP]]&lt;2,0,IF(Eingabe[[#This Row],[GES]]&gt;Eingabe[[#This Row],[GEGGES]],1,IF(Eingabe[[#This Row],[GES]]=Eingabe[[#This Row],[GEGGES]],0.5,0)))))</f>
        <v/>
      </c>
      <c r="AM414" s="6" t="str">
        <f>IF(Eingabe[[#This Row],[MP]]="","",MOD(ROW(Eingabe[[#This Row],[Position]])-3,6)+1)</f>
        <v/>
      </c>
      <c r="AN414" s="6">
        <f>STANDARDIZE(Eingabe[[#This Row],[GES]],Eingabe[[#This Row],[Schnitt]],VLOOKUP(Eingabe[[#This Row],[Name]],AuswertungG[],21,FALSE))</f>
        <v>-0.94117647058823528</v>
      </c>
      <c r="AO414" s="6">
        <f>VLOOKUP(Eingabe[[#This Row],[ID]],Chronologie[[ID]:[KW]],12,FALSE)</f>
        <v>4</v>
      </c>
      <c r="AP414" s="95" t="str">
        <f>IF(Eingabe[[#This Row],[Wo]]="H",Eingabe[[#This Row],[Gegner]]&amp;" ["&amp;Eingabe[[#This Row],[Wo]]&amp;"]",Eingabe[[#This Row],[Ort]])</f>
        <v>Freiberg</v>
      </c>
      <c r="AQ414" s="6" t="str">
        <f>IFERROR(IF(Eingabe[[#This Row],[Wo]]="H",IF(MOD(Eingabe[[#This Row],[Position]],2)=1,Eingabe[[#This Row],[S1]],Eingabe[[#This Row],[S4]]),""),"")</f>
        <v/>
      </c>
      <c r="AR414" s="6" t="str">
        <f>IFERROR(IF(Eingabe[[#This Row],[Wo]]="H",IF(Eingabe[[#This Row],[S1]]&gt;0,IF(MOD(Eingabe[[#This Row],[Position]],2)=1,Eingabe[[#This Row],[S2]],Eingabe[[#This Row],[S3]]),""),""),"")</f>
        <v/>
      </c>
      <c r="AS414" s="6" t="str">
        <f>IFERROR(IF(Eingabe[[#This Row],[Wo]]="H",IF(Eingabe[[#This Row],[S1]]&gt;0,IF(MOD(ROW(Eingabe[[#This Row],[Heimbahn 3]]),2)=1,Eingabe[[#This Row],[S4]],Eingabe[[#This Row],[S1]]),""),""),"")</f>
        <v/>
      </c>
      <c r="AT414" s="6" t="str">
        <f>IFERROR(IF(Eingabe[[#This Row],[Wo]]="H",IF(Eingabe[[#This Row],[S1]]&gt;0,IF(MOD(ROW(Eingabe[[#This Row],[Heimbahn 4]]),2)=1,Eingabe[[#This Row],[S3]],Eingabe[[#This Row],[S2]]),""),""),"")</f>
        <v/>
      </c>
      <c r="AU414" s="22">
        <f>IF(Eingabe[[#This Row],[GES]]="","",IF(Eingabe[[#This Row],[Modus]]="L",_xlfn.RANK.EQ(Eingabe[[#This Row],[GES]],AF411:AF416),IF(Eingabe[[#This Row],[Modus]]="P",_xlfn.RANK.EQ(Eingabe[[#This Row],[GES]],AF411:AF416),"")))</f>
        <v>2</v>
      </c>
      <c r="AV414" s="6">
        <f>VLOOKUP(Eingabe[[#This Row],[Name]],AuswertungG[],8,FALSE)</f>
        <v>386</v>
      </c>
      <c r="AZ414" s="6">
        <f>IFERROR(ABS(Eingabe[[#This Row],[GES]]-Eingabe[[#This Row],[GEGGES]]),"")</f>
        <v>354</v>
      </c>
    </row>
    <row r="415" spans="1:52" x14ac:dyDescent="0.3">
      <c r="A415" s="441"/>
      <c r="B415" s="21">
        <f t="shared" si="46"/>
        <v>69</v>
      </c>
      <c r="C415" s="6" t="str">
        <f>VLOOKUP($B415,Chronologie[],7,TRUE)</f>
        <v>SV Siltronic Freiberg</v>
      </c>
      <c r="D415" s="6" t="str">
        <f>VLOOKUP($B415,Chronologie[],8,TRUE)</f>
        <v>Freiberg</v>
      </c>
      <c r="E415" s="240" t="str">
        <f>VLOOKUP($B415,Chronologie[],9,TRUE)</f>
        <v>A</v>
      </c>
      <c r="F415" s="6" t="str">
        <f>VLOOKUP($B415,Chronologie[],COLUMN(F416)-2,TRUE)</f>
        <v>U14</v>
      </c>
      <c r="G415" s="6" t="str">
        <f>VLOOKUP($B415,Chronologie[],COLUMN(G416)-2,TRUE)</f>
        <v>L</v>
      </c>
      <c r="H415" s="6">
        <f>VLOOKUP($B415,Chronologie[],COLUMN(H416)-2,TRUE)</f>
        <v>2</v>
      </c>
      <c r="I415" s="10" t="str">
        <f>VLOOKUP($B415,Chronologie[],2,TRUE)</f>
        <v>U14-L-2</v>
      </c>
      <c r="J415" s="243">
        <f>VLOOKUP($B415,Chronologie[],3,TRUE)</f>
        <v>45921</v>
      </c>
      <c r="K415" s="237"/>
      <c r="L415" s="237"/>
      <c r="M415" s="237"/>
      <c r="N415" s="237"/>
      <c r="O415" s="237"/>
      <c r="P415" s="237"/>
      <c r="Q415" s="237"/>
      <c r="R415" s="237"/>
      <c r="S415" s="237"/>
      <c r="T415" s="237"/>
      <c r="U415" s="237"/>
      <c r="V415" s="237"/>
      <c r="W415" s="237"/>
      <c r="X415" s="38"/>
      <c r="Y415" s="38"/>
      <c r="Z415" s="38"/>
      <c r="AA415" s="38"/>
      <c r="AB415" s="91"/>
      <c r="AC415" s="94" t="str">
        <f>IF(Eingabe[[#This Row],[V1]]="",IF(Eingabe[[#This Row],[Volle alternativ]]="","",Eingabe[[#This Row],[Volle alternativ]]),SUM(Eingabe[[#This Row],[V1]:[V4]]))</f>
        <v/>
      </c>
      <c r="AD415" s="6" t="str">
        <f>IF(Eingabe[[#This Row],[R1]]="",IF(Eingabe[[#This Row],[Räumer alternativ]]="","",Eingabe[[#This Row],[Räumer alternativ]]),SUM(Eingabe[[#This Row],[R1]:[R4]]))</f>
        <v/>
      </c>
      <c r="AE415" s="6" t="str">
        <f>IF(Eingabe[[#This Row],[F1]]="",IF(Eingabe[[#This Row],[Fehler alternativ]]="","",Eingabe[[#This Row],[Fehler alternativ]]),SUM(Eingabe[[#This Row],[F1]:[F4]]))</f>
        <v/>
      </c>
      <c r="AF415" s="6" t="str">
        <f>IF(Eingabe[[#This Row],[Volle]]="","",IF(Eingabe[[#This Row],[S1]]="",Eingabe[[#This Row],[Volle]]+Eingabe[[#This Row],[Räumer]],IF(Eingabe[[#This Row],[Volle]]+Eingabe[[#This Row],[Räumer]]=Eingabe[[#This Row],[S1]]+Eingabe[[#This Row],[S2]]+Eingabe[[#This Row],[S3]]+Eingabe[[#This Row],[S4]],Eingabe[[#This Row],[Volle]]+Eingabe[[#This Row],[Räumer]],"FEHLER")))</f>
        <v/>
      </c>
      <c r="AG415" s="6" t="str">
        <f>IF(Eingabe[[#This Row],[V1]]="","",Eingabe[[#This Row],[V1]]+Eingabe[[#This Row],[R1]])</f>
        <v/>
      </c>
      <c r="AH415" s="6" t="str">
        <f>IF(Eingabe[[#This Row],[V2]]="","",Eingabe[[#This Row],[V2]]+Eingabe[[#This Row],[R2]])</f>
        <v/>
      </c>
      <c r="AI415" s="6" t="str">
        <f>IF(Eingabe[[#This Row],[V3]]="","",Eingabe[[#This Row],[V3]]+Eingabe[[#This Row],[R3]])</f>
        <v/>
      </c>
      <c r="AJ415" s="6" t="str">
        <f>IF(Eingabe[[#This Row],[V4]]="","",Eingabe[[#This Row],[V4]]+Eingabe[[#This Row],[R4]])</f>
        <v/>
      </c>
      <c r="AK415" s="6" t="str">
        <f>IF(Eingabe[[#This Row],[S1P]]="","",Eingabe[[#This Row],[S1P]]+Eingabe[[#This Row],[S2P]]+Eingabe[[#This Row],[S3P]]+Eingabe[[#This Row],[S4P]])</f>
        <v/>
      </c>
      <c r="AL415" s="6" t="str">
        <f>IF(Eingabe[[#This Row],[S1P]]="","",IF(Eingabe[[#This Row],[SP]]&gt;2,1,IF(Eingabe[[#This Row],[SP]]&lt;2,0,IF(Eingabe[[#This Row],[GES]]&gt;Eingabe[[#This Row],[GEGGES]],1,IF(Eingabe[[#This Row],[GES]]=Eingabe[[#This Row],[GEGGES]],0.5,0)))))</f>
        <v/>
      </c>
      <c r="AM415" s="6" t="str">
        <f>IF(Eingabe[[#This Row],[MP]]="","",MOD(ROW(Eingabe[[#This Row],[Position]])-3,6)+1)</f>
        <v/>
      </c>
      <c r="AN415" s="6" t="e">
        <f>STANDARDIZE(Eingabe[[#This Row],[GES]],Eingabe[[#This Row],[Schnitt]],VLOOKUP(Eingabe[[#This Row],[Name]],AuswertungG[],21,FALSE))</f>
        <v>#VALUE!</v>
      </c>
      <c r="AO415" s="6">
        <f>VLOOKUP(Eingabe[[#This Row],[ID]],Chronologie[[ID]:[KW]],12,FALSE)</f>
        <v>4</v>
      </c>
      <c r="AP415" s="95" t="str">
        <f>IF(Eingabe[[#This Row],[Wo]]="H",Eingabe[[#This Row],[Gegner]]&amp;" ["&amp;Eingabe[[#This Row],[Wo]]&amp;"]",Eingabe[[#This Row],[Ort]])</f>
        <v>Freiberg</v>
      </c>
      <c r="AQ415" s="6" t="str">
        <f>IFERROR(IF(Eingabe[[#This Row],[Wo]]="H",IF(MOD(Eingabe[[#This Row],[Position]],2)=1,Eingabe[[#This Row],[S1]],Eingabe[[#This Row],[S4]]),""),"")</f>
        <v/>
      </c>
      <c r="AR415" s="6" t="str">
        <f>IFERROR(IF(Eingabe[[#This Row],[Wo]]="H",IF(Eingabe[[#This Row],[S1]]&gt;0,IF(MOD(Eingabe[[#This Row],[Position]],2)=1,Eingabe[[#This Row],[S2]],Eingabe[[#This Row],[S3]]),""),""),"")</f>
        <v/>
      </c>
      <c r="AS415" s="6" t="str">
        <f>IFERROR(IF(Eingabe[[#This Row],[Wo]]="H",IF(Eingabe[[#This Row],[S1]]&gt;0,IF(MOD(ROW(Eingabe[[#This Row],[Heimbahn 3]]),2)=1,Eingabe[[#This Row],[S4]],Eingabe[[#This Row],[S1]]),""),""),"")</f>
        <v/>
      </c>
      <c r="AT415" s="6" t="str">
        <f>IFERROR(IF(Eingabe[[#This Row],[Wo]]="H",IF(Eingabe[[#This Row],[S1]]&gt;0,IF(MOD(ROW(Eingabe[[#This Row],[Heimbahn 4]]),2)=1,Eingabe[[#This Row],[S3]],Eingabe[[#This Row],[S2]]),""),""),"")</f>
        <v/>
      </c>
      <c r="AU415" s="22" t="str">
        <f>IF(Eingabe[[#This Row],[GES]]="","",IF(Eingabe[[#This Row],[Modus]]="L",_xlfn.RANK.EQ(Eingabe[[#This Row],[GES]],AF411:AF416),IF(Eingabe[[#This Row],[Modus]]="P",_xlfn.RANK.EQ(Eingabe[[#This Row],[GES]],AF411:AF416),"")))</f>
        <v/>
      </c>
      <c r="AV415" s="6" t="e">
        <f>VLOOKUP(Eingabe[[#This Row],[Name]],AuswertungG[],8,FALSE)</f>
        <v>#N/A</v>
      </c>
      <c r="AZ415" s="6" t="str">
        <f>IFERROR(ABS(Eingabe[[#This Row],[GES]]-Eingabe[[#This Row],[GEGGES]]),"")</f>
        <v/>
      </c>
    </row>
    <row r="416" spans="1:52" ht="16.2" thickBot="1" x14ac:dyDescent="0.35">
      <c r="A416" s="442"/>
      <c r="B416" s="56">
        <f t="shared" si="46"/>
        <v>69</v>
      </c>
      <c r="C416" s="23" t="str">
        <f>VLOOKUP($B416,Chronologie[],7,TRUE)</f>
        <v>SV Siltronic Freiberg</v>
      </c>
      <c r="D416" s="23" t="str">
        <f>VLOOKUP($B416,Chronologie[],8,TRUE)</f>
        <v>Freiberg</v>
      </c>
      <c r="E416" s="39" t="str">
        <f>VLOOKUP($B416,Chronologie[],9,TRUE)</f>
        <v>A</v>
      </c>
      <c r="F416" s="23" t="str">
        <f>VLOOKUP($B416,Chronologie[],COLUMN(F417)-2,TRUE)</f>
        <v>U14</v>
      </c>
      <c r="G416" s="23" t="str">
        <f>VLOOKUP($B416,Chronologie[],COLUMN(G417)-2,TRUE)</f>
        <v>L</v>
      </c>
      <c r="H416" s="23">
        <f>VLOOKUP($B416,Chronologie[],COLUMN(H417)-2,TRUE)</f>
        <v>2</v>
      </c>
      <c r="I416" s="13" t="str">
        <f>VLOOKUP($B416,Chronologie[],2,TRUE)</f>
        <v>U14-L-2</v>
      </c>
      <c r="J416" s="244">
        <f>VLOOKUP($B416,Chronologie[],3,TRUE)</f>
        <v>45921</v>
      </c>
      <c r="K416" s="239"/>
      <c r="L416" s="239"/>
      <c r="M416" s="239"/>
      <c r="N416" s="239"/>
      <c r="O416" s="239"/>
      <c r="P416" s="239"/>
      <c r="Q416" s="239"/>
      <c r="R416" s="239"/>
      <c r="S416" s="239"/>
      <c r="T416" s="239"/>
      <c r="U416" s="239"/>
      <c r="V416" s="239"/>
      <c r="W416" s="239"/>
      <c r="X416" s="40"/>
      <c r="Y416" s="40"/>
      <c r="Z416" s="40"/>
      <c r="AA416" s="40"/>
      <c r="AB416" s="92"/>
      <c r="AC416" s="96" t="str">
        <f>IF(Eingabe[[#This Row],[V1]]="",IF(Eingabe[[#This Row],[Volle alternativ]]="","",Eingabe[[#This Row],[Volle alternativ]]),SUM(Eingabe[[#This Row],[V1]:[V4]]))</f>
        <v/>
      </c>
      <c r="AD416" s="23" t="str">
        <f>IF(Eingabe[[#This Row],[R1]]="",IF(Eingabe[[#This Row],[Räumer alternativ]]="","",Eingabe[[#This Row],[Räumer alternativ]]),SUM(Eingabe[[#This Row],[R1]:[R4]]))</f>
        <v/>
      </c>
      <c r="AE416" s="23" t="str">
        <f>IF(Eingabe[[#This Row],[F1]]="",IF(Eingabe[[#This Row],[Fehler alternativ]]="","",Eingabe[[#This Row],[Fehler alternativ]]),SUM(Eingabe[[#This Row],[F1]:[F4]]))</f>
        <v/>
      </c>
      <c r="AF416" s="23" t="str">
        <f>IF(Eingabe[[#This Row],[Volle]]="","",IF(Eingabe[[#This Row],[S1]]="",Eingabe[[#This Row],[Volle]]+Eingabe[[#This Row],[Räumer]],IF(Eingabe[[#This Row],[Volle]]+Eingabe[[#This Row],[Räumer]]=Eingabe[[#This Row],[S1]]+Eingabe[[#This Row],[S2]]+Eingabe[[#This Row],[S3]]+Eingabe[[#This Row],[S4]],Eingabe[[#This Row],[Volle]]+Eingabe[[#This Row],[Räumer]],"FEHLER")))</f>
        <v/>
      </c>
      <c r="AG416" s="23" t="str">
        <f>IF(Eingabe[[#This Row],[V1]]="","",Eingabe[[#This Row],[V1]]+Eingabe[[#This Row],[R1]])</f>
        <v/>
      </c>
      <c r="AH416" s="23" t="str">
        <f>IF(Eingabe[[#This Row],[V2]]="","",Eingabe[[#This Row],[V2]]+Eingabe[[#This Row],[R2]])</f>
        <v/>
      </c>
      <c r="AI416" s="23" t="str">
        <f>IF(Eingabe[[#This Row],[V3]]="","",Eingabe[[#This Row],[V3]]+Eingabe[[#This Row],[R3]])</f>
        <v/>
      </c>
      <c r="AJ416" s="23" t="str">
        <f>IF(Eingabe[[#This Row],[V4]]="","",Eingabe[[#This Row],[V4]]+Eingabe[[#This Row],[R4]])</f>
        <v/>
      </c>
      <c r="AK416" s="23" t="str">
        <f>IF(Eingabe[[#This Row],[S1P]]="","",Eingabe[[#This Row],[S1P]]+Eingabe[[#This Row],[S2P]]+Eingabe[[#This Row],[S3P]]+Eingabe[[#This Row],[S4P]])</f>
        <v/>
      </c>
      <c r="AL416" s="23" t="str">
        <f>IF(Eingabe[[#This Row],[S1P]]="","",IF(Eingabe[[#This Row],[SP]]&gt;2,1,IF(Eingabe[[#This Row],[SP]]&lt;2,0,IF(Eingabe[[#This Row],[GES]]&gt;Eingabe[[#This Row],[GEGGES]],1,IF(Eingabe[[#This Row],[GES]]=Eingabe[[#This Row],[GEGGES]],0.5,0)))))</f>
        <v/>
      </c>
      <c r="AM416" s="23" t="str">
        <f>IF(Eingabe[[#This Row],[MP]]="","",MOD(ROW(Eingabe[[#This Row],[Position]])-3,6)+1)</f>
        <v/>
      </c>
      <c r="AN416" s="23" t="e">
        <f>STANDARDIZE(Eingabe[[#This Row],[GES]],Eingabe[[#This Row],[Schnitt]],VLOOKUP(Eingabe[[#This Row],[Name]],AuswertungG[],21,FALSE))</f>
        <v>#VALUE!</v>
      </c>
      <c r="AO416" s="23">
        <f>VLOOKUP(Eingabe[[#This Row],[ID]],Chronologie[[ID]:[KW]],12,FALSE)</f>
        <v>4</v>
      </c>
      <c r="AP416" s="59" t="str">
        <f>IF(Eingabe[[#This Row],[Wo]]="H",Eingabe[[#This Row],[Gegner]]&amp;" ["&amp;Eingabe[[#This Row],[Wo]]&amp;"]",Eingabe[[#This Row],[Ort]])</f>
        <v>Freiberg</v>
      </c>
      <c r="AQ416" s="23" t="str">
        <f>IFERROR(IF(Eingabe[[#This Row],[Wo]]="H",IF(MOD(Eingabe[[#This Row],[Position]],2)=1,Eingabe[[#This Row],[S1]],Eingabe[[#This Row],[S4]]),""),"")</f>
        <v/>
      </c>
      <c r="AR416" s="23" t="str">
        <f>IFERROR(IF(Eingabe[[#This Row],[Wo]]="H",IF(Eingabe[[#This Row],[S1]]&gt;0,IF(MOD(Eingabe[[#This Row],[Position]],2)=1,Eingabe[[#This Row],[S2]],Eingabe[[#This Row],[S3]]),""),""),"")</f>
        <v/>
      </c>
      <c r="AS416" s="23" t="str">
        <f>IFERROR(IF(Eingabe[[#This Row],[Wo]]="H",IF(Eingabe[[#This Row],[S1]]&gt;0,IF(MOD(ROW(Eingabe[[#This Row],[Heimbahn 3]]),2)=1,Eingabe[[#This Row],[S4]],Eingabe[[#This Row],[S1]]),""),""),"")</f>
        <v/>
      </c>
      <c r="AT416" s="23" t="str">
        <f>IFERROR(IF(Eingabe[[#This Row],[Wo]]="H",IF(Eingabe[[#This Row],[S1]]&gt;0,IF(MOD(ROW(Eingabe[[#This Row],[Heimbahn 4]]),2)=1,Eingabe[[#This Row],[S3]],Eingabe[[#This Row],[S2]]),""),""),"")</f>
        <v/>
      </c>
      <c r="AU416" s="89" t="str">
        <f>IF(Eingabe[[#This Row],[GES]]="","",IF(Eingabe[[#This Row],[Modus]]="L",_xlfn.RANK.EQ(Eingabe[[#This Row],[GES]],AF411:AF416),IF(Eingabe[[#This Row],[Modus]]="P",_xlfn.RANK.EQ(Eingabe[[#This Row],[GES]],AF411:AF416),"")))</f>
        <v/>
      </c>
      <c r="AV416" s="6" t="e">
        <f>VLOOKUP(Eingabe[[#This Row],[Name]],AuswertungG[],8,FALSE)</f>
        <v>#N/A</v>
      </c>
      <c r="AZ416" s="6" t="str">
        <f>IFERROR(ABS(Eingabe[[#This Row],[GES]]-Eingabe[[#This Row],[GEGGES]]),"")</f>
        <v/>
      </c>
    </row>
    <row r="417" spans="1:52" x14ac:dyDescent="0.3">
      <c r="A417" s="440">
        <f t="shared" si="45"/>
        <v>70</v>
      </c>
      <c r="B417" s="55">
        <f t="shared" si="46"/>
        <v>70</v>
      </c>
      <c r="C417" s="35" t="str">
        <f>VLOOKUP($B417,Chronologie[],7,TRUE)</f>
        <v>TKV Flöha/Plaue</v>
      </c>
      <c r="D417" s="35" t="str">
        <f>VLOOKUP($B417,Chronologie[],8,TRUE)</f>
        <v>Flöha</v>
      </c>
      <c r="E417" s="36" t="str">
        <f>VLOOKUP($B417,Chronologie[],9,TRUE)</f>
        <v>A</v>
      </c>
      <c r="F417" s="35" t="str">
        <f>VLOOKUP($B417,Chronologie[],COLUMN(F418)-2,TRUE)</f>
        <v>U14</v>
      </c>
      <c r="G417" s="35" t="str">
        <f>VLOOKUP($B417,Chronologie[],COLUMN(G418)-2,TRUE)</f>
        <v>L</v>
      </c>
      <c r="H417" s="35">
        <f>VLOOKUP($B417,Chronologie[],COLUMN(H418)-2,TRUE)</f>
        <v>3</v>
      </c>
      <c r="I417" s="9" t="str">
        <f>VLOOKUP($B417,Chronologie[],2,TRUE)</f>
        <v>U14-L-3</v>
      </c>
      <c r="J417" s="242">
        <f>VLOOKUP($B417,Chronologie[],3,TRUE)</f>
        <v>45927</v>
      </c>
      <c r="K417" s="236" t="s">
        <v>599</v>
      </c>
      <c r="L417" s="334">
        <v>70</v>
      </c>
      <c r="M417" s="334">
        <v>65</v>
      </c>
      <c r="N417" s="334">
        <v>74</v>
      </c>
      <c r="O417" s="334">
        <v>65</v>
      </c>
      <c r="P417" s="334">
        <v>27</v>
      </c>
      <c r="Q417" s="334">
        <v>26</v>
      </c>
      <c r="R417" s="334">
        <v>25</v>
      </c>
      <c r="S417" s="334">
        <v>26</v>
      </c>
      <c r="T417" s="334">
        <v>5</v>
      </c>
      <c r="U417" s="334">
        <v>7</v>
      </c>
      <c r="V417" s="334">
        <v>7</v>
      </c>
      <c r="W417" s="334">
        <v>8</v>
      </c>
      <c r="X417" s="37"/>
      <c r="Y417" s="37"/>
      <c r="Z417" s="37"/>
      <c r="AA417" s="37"/>
      <c r="AB417" s="90"/>
      <c r="AC417" s="93">
        <f>IF(Eingabe[[#This Row],[V1]]="",IF(Eingabe[[#This Row],[Volle alternativ]]="","",Eingabe[[#This Row],[Volle alternativ]]),SUM(Eingabe[[#This Row],[V1]:[V4]]))</f>
        <v>274</v>
      </c>
      <c r="AD417" s="35">
        <f>IF(Eingabe[[#This Row],[R1]]="",IF(Eingabe[[#This Row],[Räumer alternativ]]="","",Eingabe[[#This Row],[Räumer alternativ]]),SUM(Eingabe[[#This Row],[R1]:[R4]]))</f>
        <v>104</v>
      </c>
      <c r="AE417" s="35">
        <f>IF(Eingabe[[#This Row],[F1]]="",IF(Eingabe[[#This Row],[Fehler alternativ]]="","",Eingabe[[#This Row],[Fehler alternativ]]),SUM(Eingabe[[#This Row],[F1]:[F4]]))</f>
        <v>27</v>
      </c>
      <c r="AF417" s="35">
        <f>IF(Eingabe[[#This Row],[Volle]]="","",IF(Eingabe[[#This Row],[S1]]="",Eingabe[[#This Row],[Volle]]+Eingabe[[#This Row],[Räumer]],IF(Eingabe[[#This Row],[Volle]]+Eingabe[[#This Row],[Räumer]]=Eingabe[[#This Row],[S1]]+Eingabe[[#This Row],[S2]]+Eingabe[[#This Row],[S3]]+Eingabe[[#This Row],[S4]],Eingabe[[#This Row],[Volle]]+Eingabe[[#This Row],[Räumer]],"FEHLER")))</f>
        <v>378</v>
      </c>
      <c r="AG417" s="35">
        <f>IF(Eingabe[[#This Row],[V1]]="","",Eingabe[[#This Row],[V1]]+Eingabe[[#This Row],[R1]])</f>
        <v>97</v>
      </c>
      <c r="AH417" s="35">
        <f>IF(Eingabe[[#This Row],[V2]]="","",Eingabe[[#This Row],[V2]]+Eingabe[[#This Row],[R2]])</f>
        <v>91</v>
      </c>
      <c r="AI417" s="35">
        <f>IF(Eingabe[[#This Row],[V3]]="","",Eingabe[[#This Row],[V3]]+Eingabe[[#This Row],[R3]])</f>
        <v>99</v>
      </c>
      <c r="AJ417" s="35">
        <f>IF(Eingabe[[#This Row],[V4]]="","",Eingabe[[#This Row],[V4]]+Eingabe[[#This Row],[R4]])</f>
        <v>91</v>
      </c>
      <c r="AK417" s="35" t="str">
        <f>IF(Eingabe[[#This Row],[S1P]]="","",Eingabe[[#This Row],[S1P]]+Eingabe[[#This Row],[S2P]]+Eingabe[[#This Row],[S3P]]+Eingabe[[#This Row],[S4P]])</f>
        <v/>
      </c>
      <c r="AL417" s="35" t="str">
        <f>IF(Eingabe[[#This Row],[S1P]]="","",IF(Eingabe[[#This Row],[SP]]&gt;2,1,IF(Eingabe[[#This Row],[SP]]&lt;2,0,IF(Eingabe[[#This Row],[GES]]&gt;Eingabe[[#This Row],[GEGGES]],1,IF(Eingabe[[#This Row],[GES]]=Eingabe[[#This Row],[GEGGES]],0.5,0)))))</f>
        <v/>
      </c>
      <c r="AM417" s="35" t="str">
        <f>IF(Eingabe[[#This Row],[MP]]="","",MOD(ROW(Eingabe[[#This Row],[Position]])-3,6)+1)</f>
        <v/>
      </c>
      <c r="AN417" s="35">
        <f>STANDARDIZE(Eingabe[[#This Row],[GES]],Eingabe[[#This Row],[Schnitt]],VLOOKUP(Eingabe[[#This Row],[Name]],AuswertungG[],21,FALSE))</f>
        <v>0.65217391304347827</v>
      </c>
      <c r="AO417" s="35">
        <f>VLOOKUP(Eingabe[[#This Row],[ID]],Chronologie[[ID]:[KW]],12,FALSE)</f>
        <v>5</v>
      </c>
      <c r="AP417" s="58" t="str">
        <f>IF(Eingabe[[#This Row],[Wo]]="H",Eingabe[[#This Row],[Gegner]]&amp;" ["&amp;Eingabe[[#This Row],[Wo]]&amp;"]",Eingabe[[#This Row],[Ort]])</f>
        <v>Flöha</v>
      </c>
      <c r="AQ417" s="35" t="str">
        <f>IFERROR(IF(Eingabe[[#This Row],[Wo]]="H",IF(MOD(Eingabe[[#This Row],[Position]],2)=1,Eingabe[[#This Row],[S1]],Eingabe[[#This Row],[S4]]),""),"")</f>
        <v/>
      </c>
      <c r="AR417" s="35" t="str">
        <f>IFERROR(IF(Eingabe[[#This Row],[Wo]]="H",IF(Eingabe[[#This Row],[S1]]&gt;0,IF(MOD(Eingabe[[#This Row],[Position]],2)=1,Eingabe[[#This Row],[S2]],Eingabe[[#This Row],[S3]]),""),""),"")</f>
        <v/>
      </c>
      <c r="AS417" s="35" t="str">
        <f>IFERROR(IF(Eingabe[[#This Row],[Wo]]="H",IF(Eingabe[[#This Row],[S1]]&gt;0,IF(MOD(ROW(Eingabe[[#This Row],[Heimbahn 3]]),2)=1,Eingabe[[#This Row],[S4]],Eingabe[[#This Row],[S1]]),""),""),"")</f>
        <v/>
      </c>
      <c r="AT417" s="35" t="str">
        <f>IFERROR(IF(Eingabe[[#This Row],[Wo]]="H",IF(Eingabe[[#This Row],[S1]]&gt;0,IF(MOD(ROW(Eingabe[[#This Row],[Heimbahn 4]]),2)=1,Eingabe[[#This Row],[S3]],Eingabe[[#This Row],[S2]]),""),""),"")</f>
        <v/>
      </c>
      <c r="AU417" s="88">
        <f>IF(Eingabe[[#This Row],[GES]]="","",IF(Eingabe[[#This Row],[Modus]]="L",_xlfn.RANK.EQ(Eingabe[[#This Row],[GES]],AF417:AF422),IF(Eingabe[[#This Row],[Modus]]="P",_xlfn.RANK.EQ(Eingabe[[#This Row],[GES]],AF417:AF422),"")))</f>
        <v>2</v>
      </c>
      <c r="AV417" s="6">
        <f>VLOOKUP(Eingabe[[#This Row],[Name]],AuswertungG[],8,FALSE)</f>
        <v>363</v>
      </c>
      <c r="AZ417" s="6">
        <f>IFERROR(ABS(Eingabe[[#This Row],[GES]]-Eingabe[[#This Row],[GEGGES]]),"")</f>
        <v>378</v>
      </c>
    </row>
    <row r="418" spans="1:52" x14ac:dyDescent="0.3">
      <c r="A418" s="441"/>
      <c r="B418" s="21">
        <f t="shared" si="46"/>
        <v>70</v>
      </c>
      <c r="C418" s="6" t="str">
        <f>VLOOKUP($B418,Chronologie[],7,TRUE)</f>
        <v>TKV Flöha/Plaue</v>
      </c>
      <c r="D418" s="6" t="str">
        <f>VLOOKUP($B418,Chronologie[],8,TRUE)</f>
        <v>Flöha</v>
      </c>
      <c r="E418" s="240" t="str">
        <f>VLOOKUP($B418,Chronologie[],9,TRUE)</f>
        <v>A</v>
      </c>
      <c r="F418" s="6" t="str">
        <f>VLOOKUP($B418,Chronologie[],COLUMN(F419)-2,TRUE)</f>
        <v>U14</v>
      </c>
      <c r="G418" s="6" t="str">
        <f>VLOOKUP($B418,Chronologie[],COLUMN(G419)-2,TRUE)</f>
        <v>L</v>
      </c>
      <c r="H418" s="6">
        <f>VLOOKUP($B418,Chronologie[],COLUMN(H419)-2,TRUE)</f>
        <v>3</v>
      </c>
      <c r="I418" s="10" t="str">
        <f>VLOOKUP($B418,Chronologie[],2,TRUE)</f>
        <v>U14-L-3</v>
      </c>
      <c r="J418" s="243">
        <f>VLOOKUP($B418,Chronologie[],3,TRUE)</f>
        <v>45927</v>
      </c>
      <c r="K418" s="237" t="s">
        <v>476</v>
      </c>
      <c r="L418" s="237">
        <v>95</v>
      </c>
      <c r="M418" s="237">
        <v>91</v>
      </c>
      <c r="N418" s="237">
        <v>76</v>
      </c>
      <c r="O418" s="237">
        <v>72</v>
      </c>
      <c r="P418" s="237">
        <v>35</v>
      </c>
      <c r="Q418" s="237">
        <v>35</v>
      </c>
      <c r="R418" s="237">
        <v>32</v>
      </c>
      <c r="S418" s="237">
        <v>35</v>
      </c>
      <c r="T418" s="237">
        <v>4</v>
      </c>
      <c r="U418" s="237">
        <v>5</v>
      </c>
      <c r="V418" s="237">
        <v>1</v>
      </c>
      <c r="W418" s="237">
        <v>5</v>
      </c>
      <c r="X418" s="38"/>
      <c r="Y418" s="38"/>
      <c r="Z418" s="38"/>
      <c r="AA418" s="38"/>
      <c r="AB418" s="91"/>
      <c r="AC418" s="94">
        <f>IF(Eingabe[[#This Row],[V1]]="",IF(Eingabe[[#This Row],[Volle alternativ]]="","",Eingabe[[#This Row],[Volle alternativ]]),SUM(Eingabe[[#This Row],[V1]:[V4]]))</f>
        <v>334</v>
      </c>
      <c r="AD418" s="6">
        <f>IF(Eingabe[[#This Row],[R1]]="",IF(Eingabe[[#This Row],[Räumer alternativ]]="","",Eingabe[[#This Row],[Räumer alternativ]]),SUM(Eingabe[[#This Row],[R1]:[R4]]))</f>
        <v>137</v>
      </c>
      <c r="AE418" s="6">
        <f>IF(Eingabe[[#This Row],[F1]]="",IF(Eingabe[[#This Row],[Fehler alternativ]]="","",Eingabe[[#This Row],[Fehler alternativ]]),SUM(Eingabe[[#This Row],[F1]:[F4]]))</f>
        <v>15</v>
      </c>
      <c r="AF418" s="6">
        <f>IF(Eingabe[[#This Row],[Volle]]="","",IF(Eingabe[[#This Row],[S1]]="",Eingabe[[#This Row],[Volle]]+Eingabe[[#This Row],[Räumer]],IF(Eingabe[[#This Row],[Volle]]+Eingabe[[#This Row],[Räumer]]=Eingabe[[#This Row],[S1]]+Eingabe[[#This Row],[S2]]+Eingabe[[#This Row],[S3]]+Eingabe[[#This Row],[S4]],Eingabe[[#This Row],[Volle]]+Eingabe[[#This Row],[Räumer]],"FEHLER")))</f>
        <v>471</v>
      </c>
      <c r="AG418" s="6">
        <f>IF(Eingabe[[#This Row],[V1]]="","",Eingabe[[#This Row],[V1]]+Eingabe[[#This Row],[R1]])</f>
        <v>130</v>
      </c>
      <c r="AH418" s="6">
        <f>IF(Eingabe[[#This Row],[V2]]="","",Eingabe[[#This Row],[V2]]+Eingabe[[#This Row],[R2]])</f>
        <v>126</v>
      </c>
      <c r="AI418" s="6">
        <f>IF(Eingabe[[#This Row],[V3]]="","",Eingabe[[#This Row],[V3]]+Eingabe[[#This Row],[R3]])</f>
        <v>108</v>
      </c>
      <c r="AJ418" s="6">
        <f>IF(Eingabe[[#This Row],[V4]]="","",Eingabe[[#This Row],[V4]]+Eingabe[[#This Row],[R4]])</f>
        <v>107</v>
      </c>
      <c r="AK418" s="6" t="str">
        <f>IF(Eingabe[[#This Row],[S1P]]="","",Eingabe[[#This Row],[S1P]]+Eingabe[[#This Row],[S2P]]+Eingabe[[#This Row],[S3P]]+Eingabe[[#This Row],[S4P]])</f>
        <v/>
      </c>
      <c r="AL418" s="6" t="str">
        <f>IF(Eingabe[[#This Row],[S1P]]="","",IF(Eingabe[[#This Row],[SP]]&gt;2,1,IF(Eingabe[[#This Row],[SP]]&lt;2,0,IF(Eingabe[[#This Row],[GES]]&gt;Eingabe[[#This Row],[GEGGES]],1,IF(Eingabe[[#This Row],[GES]]=Eingabe[[#This Row],[GEGGES]],0.5,0)))))</f>
        <v/>
      </c>
      <c r="AM418" s="6" t="str">
        <f>IF(Eingabe[[#This Row],[MP]]="","",MOD(ROW(Eingabe[[#This Row],[Position]])-3,6)+1)</f>
        <v/>
      </c>
      <c r="AN418" s="6">
        <f>STANDARDIZE(Eingabe[[#This Row],[GES]],Eingabe[[#This Row],[Schnitt]],VLOOKUP(Eingabe[[#This Row],[Name]],AuswertungG[],21,FALSE))</f>
        <v>1.5641025641025641</v>
      </c>
      <c r="AO418" s="6">
        <f>VLOOKUP(Eingabe[[#This Row],[ID]],Chronologie[[ID]:[KW]],12,FALSE)</f>
        <v>5</v>
      </c>
      <c r="AP418" s="95" t="str">
        <f>IF(Eingabe[[#This Row],[Wo]]="H",Eingabe[[#This Row],[Gegner]]&amp;" ["&amp;Eingabe[[#This Row],[Wo]]&amp;"]",Eingabe[[#This Row],[Ort]])</f>
        <v>Flöha</v>
      </c>
      <c r="AQ418" s="6" t="str">
        <f>IFERROR(IF(Eingabe[[#This Row],[Wo]]="H",IF(MOD(Eingabe[[#This Row],[Position]],2)=1,Eingabe[[#This Row],[S1]],Eingabe[[#This Row],[S4]]),""),"")</f>
        <v/>
      </c>
      <c r="AR418" s="6" t="str">
        <f>IFERROR(IF(Eingabe[[#This Row],[Wo]]="H",IF(Eingabe[[#This Row],[S1]]&gt;0,IF(MOD(Eingabe[[#This Row],[Position]],2)=1,Eingabe[[#This Row],[S2]],Eingabe[[#This Row],[S3]]),""),""),"")</f>
        <v/>
      </c>
      <c r="AS418" s="6" t="str">
        <f>IFERROR(IF(Eingabe[[#This Row],[Wo]]="H",IF(Eingabe[[#This Row],[S1]]&gt;0,IF(MOD(ROW(Eingabe[[#This Row],[Heimbahn 3]]),2)=1,Eingabe[[#This Row],[S4]],Eingabe[[#This Row],[S1]]),""),""),"")</f>
        <v/>
      </c>
      <c r="AT418" s="6" t="str">
        <f>IFERROR(IF(Eingabe[[#This Row],[Wo]]="H",IF(Eingabe[[#This Row],[S1]]&gt;0,IF(MOD(ROW(Eingabe[[#This Row],[Heimbahn 4]]),2)=1,Eingabe[[#This Row],[S3]],Eingabe[[#This Row],[S2]]),""),""),"")</f>
        <v/>
      </c>
      <c r="AU418" s="22">
        <f>IF(Eingabe[[#This Row],[GES]]="","",IF(Eingabe[[#This Row],[Modus]]="L",_xlfn.RANK.EQ(Eingabe[[#This Row],[GES]],AF417:AF422),IF(Eingabe[[#This Row],[Modus]]="P",_xlfn.RANK.EQ(Eingabe[[#This Row],[GES]],AF417:AF422),"")))</f>
        <v>1</v>
      </c>
      <c r="AV418" s="6">
        <f>VLOOKUP(Eingabe[[#This Row],[Name]],AuswertungG[],8,FALSE)</f>
        <v>410</v>
      </c>
      <c r="AZ418" s="6">
        <f>IFERROR(ABS(Eingabe[[#This Row],[GES]]-Eingabe[[#This Row],[GEGGES]]),"")</f>
        <v>471</v>
      </c>
    </row>
    <row r="419" spans="1:52" x14ac:dyDescent="0.3">
      <c r="A419" s="441"/>
      <c r="B419" s="21">
        <f t="shared" si="46"/>
        <v>70</v>
      </c>
      <c r="C419" s="6" t="str">
        <f>VLOOKUP($B419,Chronologie[],7,TRUE)</f>
        <v>TKV Flöha/Plaue</v>
      </c>
      <c r="D419" s="6" t="str">
        <f>VLOOKUP($B419,Chronologie[],8,TRUE)</f>
        <v>Flöha</v>
      </c>
      <c r="E419" s="240" t="str">
        <f>VLOOKUP($B419,Chronologie[],9,TRUE)</f>
        <v>A</v>
      </c>
      <c r="F419" s="6" t="str">
        <f>VLOOKUP($B419,Chronologie[],COLUMN(F420)-2,TRUE)</f>
        <v>U14</v>
      </c>
      <c r="G419" s="6" t="str">
        <f>VLOOKUP($B419,Chronologie[],COLUMN(G420)-2,TRUE)</f>
        <v>L</v>
      </c>
      <c r="H419" s="6">
        <f>VLOOKUP($B419,Chronologie[],COLUMN(H420)-2,TRUE)</f>
        <v>3</v>
      </c>
      <c r="I419" s="10" t="str">
        <f>VLOOKUP($B419,Chronologie[],2,TRUE)</f>
        <v>U14-L-3</v>
      </c>
      <c r="J419" s="243">
        <f>VLOOKUP($B419,Chronologie[],3,TRUE)</f>
        <v>45927</v>
      </c>
      <c r="K419" s="237" t="s">
        <v>591</v>
      </c>
      <c r="L419" s="237">
        <v>71</v>
      </c>
      <c r="M419" s="237">
        <v>73</v>
      </c>
      <c r="N419" s="237">
        <v>56</v>
      </c>
      <c r="O419" s="237">
        <v>65</v>
      </c>
      <c r="P419" s="237">
        <v>26</v>
      </c>
      <c r="Q419" s="237">
        <v>35</v>
      </c>
      <c r="R419" s="237">
        <v>8</v>
      </c>
      <c r="S419" s="237">
        <v>15</v>
      </c>
      <c r="T419" s="237">
        <v>6</v>
      </c>
      <c r="U419" s="237">
        <v>7</v>
      </c>
      <c r="V419" s="237">
        <v>13</v>
      </c>
      <c r="W419" s="237">
        <v>11</v>
      </c>
      <c r="X419" s="38"/>
      <c r="Y419" s="38"/>
      <c r="Z419" s="38"/>
      <c r="AA419" s="38"/>
      <c r="AB419" s="91"/>
      <c r="AC419" s="94">
        <f>IF(Eingabe[[#This Row],[V1]]="",IF(Eingabe[[#This Row],[Volle alternativ]]="","",Eingabe[[#This Row],[Volle alternativ]]),SUM(Eingabe[[#This Row],[V1]:[V4]]))</f>
        <v>265</v>
      </c>
      <c r="AD419" s="6">
        <f>IF(Eingabe[[#This Row],[R1]]="",IF(Eingabe[[#This Row],[Räumer alternativ]]="","",Eingabe[[#This Row],[Räumer alternativ]]),SUM(Eingabe[[#This Row],[R1]:[R4]]))</f>
        <v>84</v>
      </c>
      <c r="AE419" s="6">
        <f>IF(Eingabe[[#This Row],[F1]]="",IF(Eingabe[[#This Row],[Fehler alternativ]]="","",Eingabe[[#This Row],[Fehler alternativ]]),SUM(Eingabe[[#This Row],[F1]:[F4]]))</f>
        <v>37</v>
      </c>
      <c r="AF419" s="6">
        <f>IF(Eingabe[[#This Row],[Volle]]="","",IF(Eingabe[[#This Row],[S1]]="",Eingabe[[#This Row],[Volle]]+Eingabe[[#This Row],[Räumer]],IF(Eingabe[[#This Row],[Volle]]+Eingabe[[#This Row],[Räumer]]=Eingabe[[#This Row],[S1]]+Eingabe[[#This Row],[S2]]+Eingabe[[#This Row],[S3]]+Eingabe[[#This Row],[S4]],Eingabe[[#This Row],[Volle]]+Eingabe[[#This Row],[Räumer]],"FEHLER")))</f>
        <v>349</v>
      </c>
      <c r="AG419" s="6">
        <f>IF(Eingabe[[#This Row],[V1]]="","",Eingabe[[#This Row],[V1]]+Eingabe[[#This Row],[R1]])</f>
        <v>97</v>
      </c>
      <c r="AH419" s="6">
        <f>IF(Eingabe[[#This Row],[V2]]="","",Eingabe[[#This Row],[V2]]+Eingabe[[#This Row],[R2]])</f>
        <v>108</v>
      </c>
      <c r="AI419" s="6">
        <f>IF(Eingabe[[#This Row],[V3]]="","",Eingabe[[#This Row],[V3]]+Eingabe[[#This Row],[R3]])</f>
        <v>64</v>
      </c>
      <c r="AJ419" s="6">
        <f>IF(Eingabe[[#This Row],[V4]]="","",Eingabe[[#This Row],[V4]]+Eingabe[[#This Row],[R4]])</f>
        <v>80</v>
      </c>
      <c r="AK419" s="6" t="str">
        <f>IF(Eingabe[[#This Row],[S1P]]="","",Eingabe[[#This Row],[S1P]]+Eingabe[[#This Row],[S2P]]+Eingabe[[#This Row],[S3P]]+Eingabe[[#This Row],[S4P]])</f>
        <v/>
      </c>
      <c r="AL419" s="6" t="str">
        <f>IF(Eingabe[[#This Row],[S1P]]="","",IF(Eingabe[[#This Row],[SP]]&gt;2,1,IF(Eingabe[[#This Row],[SP]]&lt;2,0,IF(Eingabe[[#This Row],[GES]]&gt;Eingabe[[#This Row],[GEGGES]],1,IF(Eingabe[[#This Row],[GES]]=Eingabe[[#This Row],[GEGGES]],0.5,0)))))</f>
        <v/>
      </c>
      <c r="AM419" s="6" t="str">
        <f>IF(Eingabe[[#This Row],[MP]]="","",MOD(ROW(Eingabe[[#This Row],[Position]])-3,6)+1)</f>
        <v/>
      </c>
      <c r="AN419" s="6">
        <f>STANDARDIZE(Eingabe[[#This Row],[GES]],Eingabe[[#This Row],[Schnitt]],VLOOKUP(Eingabe[[#This Row],[Name]],AuswertungG[],21,FALSE))</f>
        <v>1.1176470588235294</v>
      </c>
      <c r="AO419" s="6">
        <f>VLOOKUP(Eingabe[[#This Row],[ID]],Chronologie[[ID]:[KW]],12,FALSE)</f>
        <v>5</v>
      </c>
      <c r="AP419" s="95" t="str">
        <f>IF(Eingabe[[#This Row],[Wo]]="H",Eingabe[[#This Row],[Gegner]]&amp;" ["&amp;Eingabe[[#This Row],[Wo]]&amp;"]",Eingabe[[#This Row],[Ort]])</f>
        <v>Flöha</v>
      </c>
      <c r="AQ419" s="6" t="str">
        <f>IFERROR(IF(Eingabe[[#This Row],[Wo]]="H",IF(MOD(Eingabe[[#This Row],[Position]],2)=1,Eingabe[[#This Row],[S1]],Eingabe[[#This Row],[S4]]),""),"")</f>
        <v/>
      </c>
      <c r="AR419" s="6" t="str">
        <f>IFERROR(IF(Eingabe[[#This Row],[Wo]]="H",IF(Eingabe[[#This Row],[S1]]&gt;0,IF(MOD(Eingabe[[#This Row],[Position]],2)=1,Eingabe[[#This Row],[S2]],Eingabe[[#This Row],[S3]]),""),""),"")</f>
        <v/>
      </c>
      <c r="AS419" s="6" t="str">
        <f>IFERROR(IF(Eingabe[[#This Row],[Wo]]="H",IF(Eingabe[[#This Row],[S1]]&gt;0,IF(MOD(ROW(Eingabe[[#This Row],[Heimbahn 3]]),2)=1,Eingabe[[#This Row],[S4]],Eingabe[[#This Row],[S1]]),""),""),"")</f>
        <v/>
      </c>
      <c r="AT419" s="6" t="str">
        <f>IFERROR(IF(Eingabe[[#This Row],[Wo]]="H",IF(Eingabe[[#This Row],[S1]]&gt;0,IF(MOD(ROW(Eingabe[[#This Row],[Heimbahn 4]]),2)=1,Eingabe[[#This Row],[S3]],Eingabe[[#This Row],[S2]]),""),""),"")</f>
        <v/>
      </c>
      <c r="AU419" s="22">
        <f>IF(Eingabe[[#This Row],[GES]]="","",IF(Eingabe[[#This Row],[Modus]]="L",_xlfn.RANK.EQ(Eingabe[[#This Row],[GES]],AF417:AF422),IF(Eingabe[[#This Row],[Modus]]="P",_xlfn.RANK.EQ(Eingabe[[#This Row],[GES]],AF417:AF422),"")))</f>
        <v>3</v>
      </c>
      <c r="AV419" s="6">
        <f>VLOOKUP(Eingabe[[#This Row],[Name]],AuswertungG[],8,FALSE)</f>
        <v>330</v>
      </c>
      <c r="AZ419" s="6">
        <f>IFERROR(ABS(Eingabe[[#This Row],[GES]]-Eingabe[[#This Row],[GEGGES]]),"")</f>
        <v>349</v>
      </c>
    </row>
    <row r="420" spans="1:52" x14ac:dyDescent="0.3">
      <c r="A420" s="441"/>
      <c r="B420" s="21">
        <f t="shared" si="46"/>
        <v>70</v>
      </c>
      <c r="C420" s="6" t="str">
        <f>VLOOKUP($B420,Chronologie[],7,TRUE)</f>
        <v>TKV Flöha/Plaue</v>
      </c>
      <c r="D420" s="6" t="str">
        <f>VLOOKUP($B420,Chronologie[],8,TRUE)</f>
        <v>Flöha</v>
      </c>
      <c r="E420" s="240" t="str">
        <f>VLOOKUP($B420,Chronologie[],9,TRUE)</f>
        <v>A</v>
      </c>
      <c r="F420" s="6" t="str">
        <f>VLOOKUP($B420,Chronologie[],COLUMN(F421)-2,TRUE)</f>
        <v>U14</v>
      </c>
      <c r="G420" s="6" t="str">
        <f>VLOOKUP($B420,Chronologie[],COLUMN(G421)-2,TRUE)</f>
        <v>L</v>
      </c>
      <c r="H420" s="6">
        <f>VLOOKUP($B420,Chronologie[],COLUMN(H421)-2,TRUE)</f>
        <v>3</v>
      </c>
      <c r="I420" s="10" t="str">
        <f>VLOOKUP($B420,Chronologie[],2,TRUE)</f>
        <v>U14-L-3</v>
      </c>
      <c r="J420" s="243">
        <f>VLOOKUP($B420,Chronologie[],3,TRUE)</f>
        <v>45927</v>
      </c>
      <c r="K420" s="238"/>
      <c r="L420" s="237">
        <v>36</v>
      </c>
      <c r="M420" s="237">
        <v>46</v>
      </c>
      <c r="N420" s="237">
        <v>51</v>
      </c>
      <c r="O420" s="237">
        <v>49</v>
      </c>
      <c r="P420" s="237">
        <v>8</v>
      </c>
      <c r="Q420" s="237">
        <v>24</v>
      </c>
      <c r="R420" s="237">
        <v>17</v>
      </c>
      <c r="S420" s="237">
        <v>17</v>
      </c>
      <c r="T420" s="237">
        <v>16</v>
      </c>
      <c r="U420" s="237">
        <v>11</v>
      </c>
      <c r="V420" s="237">
        <v>14</v>
      </c>
      <c r="W420" s="237">
        <v>12</v>
      </c>
      <c r="X420" s="38"/>
      <c r="Y420" s="38"/>
      <c r="Z420" s="38"/>
      <c r="AA420" s="38"/>
      <c r="AB420" s="91"/>
      <c r="AC420" s="94">
        <f>IF(Eingabe[[#This Row],[V1]]="",IF(Eingabe[[#This Row],[Volle alternativ]]="","",Eingabe[[#This Row],[Volle alternativ]]),SUM(Eingabe[[#This Row],[V1]:[V4]]))</f>
        <v>182</v>
      </c>
      <c r="AD420" s="6">
        <f>IF(Eingabe[[#This Row],[R1]]="",IF(Eingabe[[#This Row],[Räumer alternativ]]="","",Eingabe[[#This Row],[Räumer alternativ]]),SUM(Eingabe[[#This Row],[R1]:[R4]]))</f>
        <v>66</v>
      </c>
      <c r="AE420" s="6">
        <f>IF(Eingabe[[#This Row],[F1]]="",IF(Eingabe[[#This Row],[Fehler alternativ]]="","",Eingabe[[#This Row],[Fehler alternativ]]),SUM(Eingabe[[#This Row],[F1]:[F4]]))</f>
        <v>53</v>
      </c>
      <c r="AF420" s="6">
        <f>IF(Eingabe[[#This Row],[Volle]]="","",IF(Eingabe[[#This Row],[S1]]="",Eingabe[[#This Row],[Volle]]+Eingabe[[#This Row],[Räumer]],IF(Eingabe[[#This Row],[Volle]]+Eingabe[[#This Row],[Räumer]]=Eingabe[[#This Row],[S1]]+Eingabe[[#This Row],[S2]]+Eingabe[[#This Row],[S3]]+Eingabe[[#This Row],[S4]],Eingabe[[#This Row],[Volle]]+Eingabe[[#This Row],[Räumer]],"FEHLER")))</f>
        <v>248</v>
      </c>
      <c r="AG420" s="6">
        <f>IF(Eingabe[[#This Row],[V1]]="","",Eingabe[[#This Row],[V1]]+Eingabe[[#This Row],[R1]])</f>
        <v>44</v>
      </c>
      <c r="AH420" s="6">
        <f>IF(Eingabe[[#This Row],[V2]]="","",Eingabe[[#This Row],[V2]]+Eingabe[[#This Row],[R2]])</f>
        <v>70</v>
      </c>
      <c r="AI420" s="6">
        <f>IF(Eingabe[[#This Row],[V3]]="","",Eingabe[[#This Row],[V3]]+Eingabe[[#This Row],[R3]])</f>
        <v>68</v>
      </c>
      <c r="AJ420" s="6">
        <f>IF(Eingabe[[#This Row],[V4]]="","",Eingabe[[#This Row],[V4]]+Eingabe[[#This Row],[R4]])</f>
        <v>66</v>
      </c>
      <c r="AK420" s="6" t="str">
        <f>IF(Eingabe[[#This Row],[S1P]]="","",Eingabe[[#This Row],[S1P]]+Eingabe[[#This Row],[S2P]]+Eingabe[[#This Row],[S3P]]+Eingabe[[#This Row],[S4P]])</f>
        <v/>
      </c>
      <c r="AL420" s="6" t="str">
        <f>IF(Eingabe[[#This Row],[S1P]]="","",IF(Eingabe[[#This Row],[SP]]&gt;2,1,IF(Eingabe[[#This Row],[SP]]&lt;2,0,IF(Eingabe[[#This Row],[GES]]&gt;Eingabe[[#This Row],[GEGGES]],1,IF(Eingabe[[#This Row],[GES]]=Eingabe[[#This Row],[GEGGES]],0.5,0)))))</f>
        <v/>
      </c>
      <c r="AM420" s="6" t="str">
        <f>IF(Eingabe[[#This Row],[MP]]="","",MOD(ROW(Eingabe[[#This Row],[Position]])-3,6)+1)</f>
        <v/>
      </c>
      <c r="AN420" s="6" t="e">
        <f>STANDARDIZE(Eingabe[[#This Row],[GES]],Eingabe[[#This Row],[Schnitt]],VLOOKUP(Eingabe[[#This Row],[Name]],AuswertungG[],21,FALSE))</f>
        <v>#N/A</v>
      </c>
      <c r="AO420" s="6">
        <f>VLOOKUP(Eingabe[[#This Row],[ID]],Chronologie[[ID]:[KW]],12,FALSE)</f>
        <v>5</v>
      </c>
      <c r="AP420" s="95" t="str">
        <f>IF(Eingabe[[#This Row],[Wo]]="H",Eingabe[[#This Row],[Gegner]]&amp;" ["&amp;Eingabe[[#This Row],[Wo]]&amp;"]",Eingabe[[#This Row],[Ort]])</f>
        <v>Flöha</v>
      </c>
      <c r="AQ420" s="6" t="str">
        <f>IFERROR(IF(Eingabe[[#This Row],[Wo]]="H",IF(MOD(Eingabe[[#This Row],[Position]],2)=1,Eingabe[[#This Row],[S1]],Eingabe[[#This Row],[S4]]),""),"")</f>
        <v/>
      </c>
      <c r="AR420" s="6" t="str">
        <f>IFERROR(IF(Eingabe[[#This Row],[Wo]]="H",IF(Eingabe[[#This Row],[S1]]&gt;0,IF(MOD(Eingabe[[#This Row],[Position]],2)=1,Eingabe[[#This Row],[S2]],Eingabe[[#This Row],[S3]]),""),""),"")</f>
        <v/>
      </c>
      <c r="AS420" s="6" t="str">
        <f>IFERROR(IF(Eingabe[[#This Row],[Wo]]="H",IF(Eingabe[[#This Row],[S1]]&gt;0,IF(MOD(ROW(Eingabe[[#This Row],[Heimbahn 3]]),2)=1,Eingabe[[#This Row],[S4]],Eingabe[[#This Row],[S1]]),""),""),"")</f>
        <v/>
      </c>
      <c r="AT420" s="6" t="str">
        <f>IFERROR(IF(Eingabe[[#This Row],[Wo]]="H",IF(Eingabe[[#This Row],[S1]]&gt;0,IF(MOD(ROW(Eingabe[[#This Row],[Heimbahn 4]]),2)=1,Eingabe[[#This Row],[S3]],Eingabe[[#This Row],[S2]]),""),""),"")</f>
        <v/>
      </c>
      <c r="AU420" s="22">
        <f>IF(Eingabe[[#This Row],[GES]]="","",IF(Eingabe[[#This Row],[Modus]]="L",_xlfn.RANK.EQ(Eingabe[[#This Row],[GES]],AF417:AF422),IF(Eingabe[[#This Row],[Modus]]="P",_xlfn.RANK.EQ(Eingabe[[#This Row],[GES]],AF417:AF422),"")))</f>
        <v>4</v>
      </c>
      <c r="AV420" s="6" t="e">
        <f>VLOOKUP(Eingabe[[#This Row],[Name]],AuswertungG[],8,FALSE)</f>
        <v>#N/A</v>
      </c>
      <c r="AZ420" s="6">
        <f>IFERROR(ABS(Eingabe[[#This Row],[GES]]-Eingabe[[#This Row],[GEGGES]]),"")</f>
        <v>248</v>
      </c>
    </row>
    <row r="421" spans="1:52" x14ac:dyDescent="0.3">
      <c r="A421" s="441"/>
      <c r="B421" s="21">
        <f t="shared" si="46"/>
        <v>70</v>
      </c>
      <c r="C421" s="6" t="str">
        <f>VLOOKUP($B421,Chronologie[],7,TRUE)</f>
        <v>TKV Flöha/Plaue</v>
      </c>
      <c r="D421" s="6" t="str">
        <f>VLOOKUP($B421,Chronologie[],8,TRUE)</f>
        <v>Flöha</v>
      </c>
      <c r="E421" s="240" t="str">
        <f>VLOOKUP($B421,Chronologie[],9,TRUE)</f>
        <v>A</v>
      </c>
      <c r="F421" s="6" t="str">
        <f>VLOOKUP($B421,Chronologie[],COLUMN(F422)-2,TRUE)</f>
        <v>U14</v>
      </c>
      <c r="G421" s="6" t="str">
        <f>VLOOKUP($B421,Chronologie[],COLUMN(G422)-2,TRUE)</f>
        <v>L</v>
      </c>
      <c r="H421" s="6">
        <f>VLOOKUP($B421,Chronologie[],COLUMN(H422)-2,TRUE)</f>
        <v>3</v>
      </c>
      <c r="I421" s="10" t="str">
        <f>VLOOKUP($B421,Chronologie[],2,TRUE)</f>
        <v>U14-L-3</v>
      </c>
      <c r="J421" s="243">
        <f>VLOOKUP($B421,Chronologie[],3,TRUE)</f>
        <v>45927</v>
      </c>
      <c r="K421" s="237"/>
      <c r="L421" s="237"/>
      <c r="M421" s="237"/>
      <c r="N421" s="237"/>
      <c r="O421" s="237"/>
      <c r="P421" s="237"/>
      <c r="Q421" s="237"/>
      <c r="R421" s="237"/>
      <c r="S421" s="237"/>
      <c r="T421" s="237"/>
      <c r="U421" s="237"/>
      <c r="V421" s="237"/>
      <c r="W421" s="237"/>
      <c r="X421" s="38"/>
      <c r="Y421" s="38"/>
      <c r="Z421" s="38"/>
      <c r="AA421" s="38"/>
      <c r="AB421" s="91"/>
      <c r="AC421" s="94" t="str">
        <f>IF(Eingabe[[#This Row],[V1]]="",IF(Eingabe[[#This Row],[Volle alternativ]]="","",Eingabe[[#This Row],[Volle alternativ]]),SUM(Eingabe[[#This Row],[V1]:[V4]]))</f>
        <v/>
      </c>
      <c r="AD421" s="6" t="str">
        <f>IF(Eingabe[[#This Row],[R1]]="",IF(Eingabe[[#This Row],[Räumer alternativ]]="","",Eingabe[[#This Row],[Räumer alternativ]]),SUM(Eingabe[[#This Row],[R1]:[R4]]))</f>
        <v/>
      </c>
      <c r="AE421" s="6" t="str">
        <f>IF(Eingabe[[#This Row],[F1]]="",IF(Eingabe[[#This Row],[Fehler alternativ]]="","",Eingabe[[#This Row],[Fehler alternativ]]),SUM(Eingabe[[#This Row],[F1]:[F4]]))</f>
        <v/>
      </c>
      <c r="AF421" s="6" t="str">
        <f>IF(Eingabe[[#This Row],[Volle]]="","",IF(Eingabe[[#This Row],[S1]]="",Eingabe[[#This Row],[Volle]]+Eingabe[[#This Row],[Räumer]],IF(Eingabe[[#This Row],[Volle]]+Eingabe[[#This Row],[Räumer]]=Eingabe[[#This Row],[S1]]+Eingabe[[#This Row],[S2]]+Eingabe[[#This Row],[S3]]+Eingabe[[#This Row],[S4]],Eingabe[[#This Row],[Volle]]+Eingabe[[#This Row],[Räumer]],"FEHLER")))</f>
        <v/>
      </c>
      <c r="AG421" s="6" t="str">
        <f>IF(Eingabe[[#This Row],[V1]]="","",Eingabe[[#This Row],[V1]]+Eingabe[[#This Row],[R1]])</f>
        <v/>
      </c>
      <c r="AH421" s="6" t="str">
        <f>IF(Eingabe[[#This Row],[V2]]="","",Eingabe[[#This Row],[V2]]+Eingabe[[#This Row],[R2]])</f>
        <v/>
      </c>
      <c r="AI421" s="6" t="str">
        <f>IF(Eingabe[[#This Row],[V3]]="","",Eingabe[[#This Row],[V3]]+Eingabe[[#This Row],[R3]])</f>
        <v/>
      </c>
      <c r="AJ421" s="6" t="str">
        <f>IF(Eingabe[[#This Row],[V4]]="","",Eingabe[[#This Row],[V4]]+Eingabe[[#This Row],[R4]])</f>
        <v/>
      </c>
      <c r="AK421" s="6" t="str">
        <f>IF(Eingabe[[#This Row],[S1P]]="","",Eingabe[[#This Row],[S1P]]+Eingabe[[#This Row],[S2P]]+Eingabe[[#This Row],[S3P]]+Eingabe[[#This Row],[S4P]])</f>
        <v/>
      </c>
      <c r="AL421" s="6" t="str">
        <f>IF(Eingabe[[#This Row],[S1P]]="","",IF(Eingabe[[#This Row],[SP]]&gt;2,1,IF(Eingabe[[#This Row],[SP]]&lt;2,0,IF(Eingabe[[#This Row],[GES]]&gt;Eingabe[[#This Row],[GEGGES]],1,IF(Eingabe[[#This Row],[GES]]=Eingabe[[#This Row],[GEGGES]],0.5,0)))))</f>
        <v/>
      </c>
      <c r="AM421" s="6" t="str">
        <f>IF(Eingabe[[#This Row],[MP]]="","",MOD(ROW(Eingabe[[#This Row],[Position]])-3,6)+1)</f>
        <v/>
      </c>
      <c r="AN421" s="6" t="e">
        <f>STANDARDIZE(Eingabe[[#This Row],[GES]],Eingabe[[#This Row],[Schnitt]],VLOOKUP(Eingabe[[#This Row],[Name]],AuswertungG[],21,FALSE))</f>
        <v>#VALUE!</v>
      </c>
      <c r="AO421" s="6">
        <f>VLOOKUP(Eingabe[[#This Row],[ID]],Chronologie[[ID]:[KW]],12,FALSE)</f>
        <v>5</v>
      </c>
      <c r="AP421" s="95" t="str">
        <f>IF(Eingabe[[#This Row],[Wo]]="H",Eingabe[[#This Row],[Gegner]]&amp;" ["&amp;Eingabe[[#This Row],[Wo]]&amp;"]",Eingabe[[#This Row],[Ort]])</f>
        <v>Flöha</v>
      </c>
      <c r="AQ421" s="6" t="str">
        <f>IFERROR(IF(Eingabe[[#This Row],[Wo]]="H",IF(MOD(Eingabe[[#This Row],[Position]],2)=1,Eingabe[[#This Row],[S1]],Eingabe[[#This Row],[S4]]),""),"")</f>
        <v/>
      </c>
      <c r="AR421" s="6" t="str">
        <f>IFERROR(IF(Eingabe[[#This Row],[Wo]]="H",IF(Eingabe[[#This Row],[S1]]&gt;0,IF(MOD(Eingabe[[#This Row],[Position]],2)=1,Eingabe[[#This Row],[S2]],Eingabe[[#This Row],[S3]]),""),""),"")</f>
        <v/>
      </c>
      <c r="AS421" s="6" t="str">
        <f>IFERROR(IF(Eingabe[[#This Row],[Wo]]="H",IF(Eingabe[[#This Row],[S1]]&gt;0,IF(MOD(ROW(Eingabe[[#This Row],[Heimbahn 3]]),2)=1,Eingabe[[#This Row],[S4]],Eingabe[[#This Row],[S1]]),""),""),"")</f>
        <v/>
      </c>
      <c r="AT421" s="6" t="str">
        <f>IFERROR(IF(Eingabe[[#This Row],[Wo]]="H",IF(Eingabe[[#This Row],[S1]]&gt;0,IF(MOD(ROW(Eingabe[[#This Row],[Heimbahn 4]]),2)=1,Eingabe[[#This Row],[S3]],Eingabe[[#This Row],[S2]]),""),""),"")</f>
        <v/>
      </c>
      <c r="AU421" s="22" t="str">
        <f>IF(Eingabe[[#This Row],[GES]]="","",IF(Eingabe[[#This Row],[Modus]]="L",_xlfn.RANK.EQ(Eingabe[[#This Row],[GES]],AF417:AF422),IF(Eingabe[[#This Row],[Modus]]="P",_xlfn.RANK.EQ(Eingabe[[#This Row],[GES]],AF417:AF422),"")))</f>
        <v/>
      </c>
      <c r="AV421" s="6" t="e">
        <f>VLOOKUP(Eingabe[[#This Row],[Name]],AuswertungG[],8,FALSE)</f>
        <v>#N/A</v>
      </c>
      <c r="AZ421" s="6" t="str">
        <f>IFERROR(ABS(Eingabe[[#This Row],[GES]]-Eingabe[[#This Row],[GEGGES]]),"")</f>
        <v/>
      </c>
    </row>
    <row r="422" spans="1:52" ht="16.2" thickBot="1" x14ac:dyDescent="0.35">
      <c r="A422" s="442"/>
      <c r="B422" s="56">
        <f t="shared" si="46"/>
        <v>70</v>
      </c>
      <c r="C422" s="23" t="str">
        <f>VLOOKUP($B422,Chronologie[],7,TRUE)</f>
        <v>TKV Flöha/Plaue</v>
      </c>
      <c r="D422" s="23" t="str">
        <f>VLOOKUP($B422,Chronologie[],8,TRUE)</f>
        <v>Flöha</v>
      </c>
      <c r="E422" s="39" t="str">
        <f>VLOOKUP($B422,Chronologie[],9,TRUE)</f>
        <v>A</v>
      </c>
      <c r="F422" s="23" t="str">
        <f>VLOOKUP($B422,Chronologie[],COLUMN(F423)-2,TRUE)</f>
        <v>U14</v>
      </c>
      <c r="G422" s="23" t="str">
        <f>VLOOKUP($B422,Chronologie[],COLUMN(G423)-2,TRUE)</f>
        <v>L</v>
      </c>
      <c r="H422" s="23">
        <f>VLOOKUP($B422,Chronologie[],COLUMN(H423)-2,TRUE)</f>
        <v>3</v>
      </c>
      <c r="I422" s="13" t="str">
        <f>VLOOKUP($B422,Chronologie[],2,TRUE)</f>
        <v>U14-L-3</v>
      </c>
      <c r="J422" s="244">
        <f>VLOOKUP($B422,Chronologie[],3,TRUE)</f>
        <v>45927</v>
      </c>
      <c r="K422" s="239"/>
      <c r="L422" s="239"/>
      <c r="M422" s="239"/>
      <c r="N422" s="239"/>
      <c r="O422" s="239"/>
      <c r="P422" s="239"/>
      <c r="Q422" s="239"/>
      <c r="R422" s="239"/>
      <c r="S422" s="239"/>
      <c r="T422" s="239"/>
      <c r="U422" s="239"/>
      <c r="V422" s="239"/>
      <c r="W422" s="239"/>
      <c r="X422" s="40"/>
      <c r="Y422" s="40"/>
      <c r="Z422" s="40"/>
      <c r="AA422" s="40"/>
      <c r="AB422" s="92"/>
      <c r="AC422" s="96" t="str">
        <f>IF(Eingabe[[#This Row],[V1]]="",IF(Eingabe[[#This Row],[Volle alternativ]]="","",Eingabe[[#This Row],[Volle alternativ]]),SUM(Eingabe[[#This Row],[V1]:[V4]]))</f>
        <v/>
      </c>
      <c r="AD422" s="23" t="str">
        <f>IF(Eingabe[[#This Row],[R1]]="",IF(Eingabe[[#This Row],[Räumer alternativ]]="","",Eingabe[[#This Row],[Räumer alternativ]]),SUM(Eingabe[[#This Row],[R1]:[R4]]))</f>
        <v/>
      </c>
      <c r="AE422" s="23" t="str">
        <f>IF(Eingabe[[#This Row],[F1]]="",IF(Eingabe[[#This Row],[Fehler alternativ]]="","",Eingabe[[#This Row],[Fehler alternativ]]),SUM(Eingabe[[#This Row],[F1]:[F4]]))</f>
        <v/>
      </c>
      <c r="AF422" s="23" t="str">
        <f>IF(Eingabe[[#This Row],[Volle]]="","",IF(Eingabe[[#This Row],[S1]]="",Eingabe[[#This Row],[Volle]]+Eingabe[[#This Row],[Räumer]],IF(Eingabe[[#This Row],[Volle]]+Eingabe[[#This Row],[Räumer]]=Eingabe[[#This Row],[S1]]+Eingabe[[#This Row],[S2]]+Eingabe[[#This Row],[S3]]+Eingabe[[#This Row],[S4]],Eingabe[[#This Row],[Volle]]+Eingabe[[#This Row],[Räumer]],"FEHLER")))</f>
        <v/>
      </c>
      <c r="AG422" s="23" t="str">
        <f>IF(Eingabe[[#This Row],[V1]]="","",Eingabe[[#This Row],[V1]]+Eingabe[[#This Row],[R1]])</f>
        <v/>
      </c>
      <c r="AH422" s="23" t="str">
        <f>IF(Eingabe[[#This Row],[V2]]="","",Eingabe[[#This Row],[V2]]+Eingabe[[#This Row],[R2]])</f>
        <v/>
      </c>
      <c r="AI422" s="23" t="str">
        <f>IF(Eingabe[[#This Row],[V3]]="","",Eingabe[[#This Row],[V3]]+Eingabe[[#This Row],[R3]])</f>
        <v/>
      </c>
      <c r="AJ422" s="23" t="str">
        <f>IF(Eingabe[[#This Row],[V4]]="","",Eingabe[[#This Row],[V4]]+Eingabe[[#This Row],[R4]])</f>
        <v/>
      </c>
      <c r="AK422" s="23" t="str">
        <f>IF(Eingabe[[#This Row],[S1P]]="","",Eingabe[[#This Row],[S1P]]+Eingabe[[#This Row],[S2P]]+Eingabe[[#This Row],[S3P]]+Eingabe[[#This Row],[S4P]])</f>
        <v/>
      </c>
      <c r="AL422" s="23" t="str">
        <f>IF(Eingabe[[#This Row],[S1P]]="","",IF(Eingabe[[#This Row],[SP]]&gt;2,1,IF(Eingabe[[#This Row],[SP]]&lt;2,0,IF(Eingabe[[#This Row],[GES]]&gt;Eingabe[[#This Row],[GEGGES]],1,IF(Eingabe[[#This Row],[GES]]=Eingabe[[#This Row],[GEGGES]],0.5,0)))))</f>
        <v/>
      </c>
      <c r="AM422" s="23" t="str">
        <f>IF(Eingabe[[#This Row],[MP]]="","",MOD(ROW(Eingabe[[#This Row],[Position]])-3,6)+1)</f>
        <v/>
      </c>
      <c r="AN422" s="23" t="e">
        <f>STANDARDIZE(Eingabe[[#This Row],[GES]],Eingabe[[#This Row],[Schnitt]],VLOOKUP(Eingabe[[#This Row],[Name]],AuswertungG[],21,FALSE))</f>
        <v>#VALUE!</v>
      </c>
      <c r="AO422" s="23">
        <f>VLOOKUP(Eingabe[[#This Row],[ID]],Chronologie[[ID]:[KW]],12,FALSE)</f>
        <v>5</v>
      </c>
      <c r="AP422" s="59" t="str">
        <f>IF(Eingabe[[#This Row],[Wo]]="H",Eingabe[[#This Row],[Gegner]]&amp;" ["&amp;Eingabe[[#This Row],[Wo]]&amp;"]",Eingabe[[#This Row],[Ort]])</f>
        <v>Flöha</v>
      </c>
      <c r="AQ422" s="23" t="str">
        <f>IFERROR(IF(Eingabe[[#This Row],[Wo]]="H",IF(MOD(Eingabe[[#This Row],[Position]],2)=1,Eingabe[[#This Row],[S1]],Eingabe[[#This Row],[S4]]),""),"")</f>
        <v/>
      </c>
      <c r="AR422" s="23" t="str">
        <f>IFERROR(IF(Eingabe[[#This Row],[Wo]]="H",IF(Eingabe[[#This Row],[S1]]&gt;0,IF(MOD(Eingabe[[#This Row],[Position]],2)=1,Eingabe[[#This Row],[S2]],Eingabe[[#This Row],[S3]]),""),""),"")</f>
        <v/>
      </c>
      <c r="AS422" s="23" t="str">
        <f>IFERROR(IF(Eingabe[[#This Row],[Wo]]="H",IF(Eingabe[[#This Row],[S1]]&gt;0,IF(MOD(ROW(Eingabe[[#This Row],[Heimbahn 3]]),2)=1,Eingabe[[#This Row],[S4]],Eingabe[[#This Row],[S1]]),""),""),"")</f>
        <v/>
      </c>
      <c r="AT422" s="23" t="str">
        <f>IFERROR(IF(Eingabe[[#This Row],[Wo]]="H",IF(Eingabe[[#This Row],[S1]]&gt;0,IF(MOD(ROW(Eingabe[[#This Row],[Heimbahn 4]]),2)=1,Eingabe[[#This Row],[S3]],Eingabe[[#This Row],[S2]]),""),""),"")</f>
        <v/>
      </c>
      <c r="AU422" s="89" t="str">
        <f>IF(Eingabe[[#This Row],[GES]]="","",IF(Eingabe[[#This Row],[Modus]]="L",_xlfn.RANK.EQ(Eingabe[[#This Row],[GES]],AF417:AF422),IF(Eingabe[[#This Row],[Modus]]="P",_xlfn.RANK.EQ(Eingabe[[#This Row],[GES]],AF417:AF422),"")))</f>
        <v/>
      </c>
      <c r="AV422" s="6" t="e">
        <f>VLOOKUP(Eingabe[[#This Row],[Name]],AuswertungG[],8,FALSE)</f>
        <v>#N/A</v>
      </c>
      <c r="AZ422" s="6" t="str">
        <f>IFERROR(ABS(Eingabe[[#This Row],[GES]]-Eingabe[[#This Row],[GEGGES]]),"")</f>
        <v/>
      </c>
    </row>
    <row r="423" spans="1:52" x14ac:dyDescent="0.3">
      <c r="A423" s="440">
        <f t="shared" si="45"/>
        <v>71</v>
      </c>
      <c r="B423" s="55">
        <f t="shared" si="46"/>
        <v>71</v>
      </c>
      <c r="C423" s="35" t="str">
        <f>VLOOKUP($B423,Chronologie[],7,TRUE)</f>
        <v>SV Krummenhennersdorf</v>
      </c>
      <c r="D423" s="35" t="str">
        <f>VLOOKUP($B423,Chronologie[],8,TRUE)</f>
        <v>Krummenhennersdorf</v>
      </c>
      <c r="E423" s="36" t="str">
        <f>VLOOKUP($B423,Chronologie[],9,TRUE)</f>
        <v>A</v>
      </c>
      <c r="F423" s="35" t="str">
        <f>VLOOKUP($B423,Chronologie[],COLUMN(F424)-2,TRUE)</f>
        <v>U14</v>
      </c>
      <c r="G423" s="35" t="str">
        <f>VLOOKUP($B423,Chronologie[],COLUMN(G424)-2,TRUE)</f>
        <v>L</v>
      </c>
      <c r="H423" s="35">
        <f>VLOOKUP($B423,Chronologie[],COLUMN(H424)-2,TRUE)</f>
        <v>4</v>
      </c>
      <c r="I423" s="9" t="str">
        <f>VLOOKUP($B423,Chronologie[],2,TRUE)</f>
        <v>U14-L-4</v>
      </c>
      <c r="J423" s="242">
        <f>VLOOKUP($B423,Chronologie[],3,TRUE)</f>
        <v>45969</v>
      </c>
      <c r="K423" s="236" t="s">
        <v>473</v>
      </c>
      <c r="L423" s="334"/>
      <c r="M423" s="334"/>
      <c r="N423" s="334"/>
      <c r="O423" s="334"/>
      <c r="P423" s="334"/>
      <c r="Q423" s="334"/>
      <c r="R423" s="334"/>
      <c r="S423" s="334"/>
      <c r="T423" s="334"/>
      <c r="U423" s="334"/>
      <c r="V423" s="334"/>
      <c r="W423" s="334"/>
      <c r="X423" s="37"/>
      <c r="Y423" s="37"/>
      <c r="Z423" s="37"/>
      <c r="AA423" s="37"/>
      <c r="AB423" s="90"/>
      <c r="AC423" s="93">
        <f>IF(Eingabe[[#This Row],[V1]]="",IF(Eingabe[[#This Row],[Volle alternativ]]="","",Eingabe[[#This Row],[Volle alternativ]]),SUM(Eingabe[[#This Row],[V1]:[V4]]))</f>
        <v>282</v>
      </c>
      <c r="AD423" s="35">
        <f>IF(Eingabe[[#This Row],[R1]]="",IF(Eingabe[[#This Row],[Räumer alternativ]]="","",Eingabe[[#This Row],[Räumer alternativ]]),SUM(Eingabe[[#This Row],[R1]:[R4]]))</f>
        <v>101</v>
      </c>
      <c r="AE423" s="35">
        <f>IF(Eingabe[[#This Row],[F1]]="",IF(Eingabe[[#This Row],[Fehler alternativ]]="","",Eingabe[[#This Row],[Fehler alternativ]]),SUM(Eingabe[[#This Row],[F1]:[F4]]))</f>
        <v>22</v>
      </c>
      <c r="AF423" s="35">
        <f>IF(Eingabe[[#This Row],[Volle]]="","",IF(Eingabe[[#This Row],[S1]]="",Eingabe[[#This Row],[Volle]]+Eingabe[[#This Row],[Räumer]],IF(Eingabe[[#This Row],[Volle]]+Eingabe[[#This Row],[Räumer]]=Eingabe[[#This Row],[S1]]+Eingabe[[#This Row],[S2]]+Eingabe[[#This Row],[S3]]+Eingabe[[#This Row],[S4]],Eingabe[[#This Row],[Volle]]+Eingabe[[#This Row],[Räumer]],"FEHLER")))</f>
        <v>383</v>
      </c>
      <c r="AG423" s="35" t="str">
        <f>IF(Eingabe[[#This Row],[V1]]="","",Eingabe[[#This Row],[V1]]+Eingabe[[#This Row],[R1]])</f>
        <v/>
      </c>
      <c r="AH423" s="35" t="str">
        <f>IF(Eingabe[[#This Row],[V2]]="","",Eingabe[[#This Row],[V2]]+Eingabe[[#This Row],[R2]])</f>
        <v/>
      </c>
      <c r="AI423" s="35" t="str">
        <f>IF(Eingabe[[#This Row],[V3]]="","",Eingabe[[#This Row],[V3]]+Eingabe[[#This Row],[R3]])</f>
        <v/>
      </c>
      <c r="AJ423" s="35" t="str">
        <f>IF(Eingabe[[#This Row],[V4]]="","",Eingabe[[#This Row],[V4]]+Eingabe[[#This Row],[R4]])</f>
        <v/>
      </c>
      <c r="AK423" s="35" t="str">
        <f>IF(Eingabe[[#This Row],[S1P]]="","",Eingabe[[#This Row],[S1P]]+Eingabe[[#This Row],[S2P]]+Eingabe[[#This Row],[S3P]]+Eingabe[[#This Row],[S4P]])</f>
        <v/>
      </c>
      <c r="AL423" s="35" t="str">
        <f>IF(Eingabe[[#This Row],[S1P]]="","",IF(Eingabe[[#This Row],[SP]]&gt;2,1,IF(Eingabe[[#This Row],[SP]]&lt;2,0,IF(Eingabe[[#This Row],[GES]]&gt;Eingabe[[#This Row],[GEGGES]],1,IF(Eingabe[[#This Row],[GES]]=Eingabe[[#This Row],[GEGGES]],0.5,0)))))</f>
        <v/>
      </c>
      <c r="AM423" s="35" t="str">
        <f>IF(Eingabe[[#This Row],[MP]]="","",MOD(ROW(Eingabe[[#This Row],[Position]])-3,6)+1)</f>
        <v/>
      </c>
      <c r="AN423" s="35">
        <f>STANDARDIZE(Eingabe[[#This Row],[GES]],Eingabe[[#This Row],[Schnitt]],VLOOKUP(Eingabe[[#This Row],[Name]],AuswertungG[],21,FALSE))</f>
        <v>-0.23076923076923078</v>
      </c>
      <c r="AO423" s="35">
        <f>VLOOKUP(Eingabe[[#This Row],[ID]],Chronologie[[ID]:[KW]],12,FALSE)</f>
        <v>11</v>
      </c>
      <c r="AP423" s="58" t="str">
        <f>IF(Eingabe[[#This Row],[Wo]]="H",Eingabe[[#This Row],[Gegner]]&amp;" ["&amp;Eingabe[[#This Row],[Wo]]&amp;"]",Eingabe[[#This Row],[Ort]])</f>
        <v>Krummenhennersdorf</v>
      </c>
      <c r="AQ423" s="35" t="str">
        <f>IFERROR(IF(Eingabe[[#This Row],[Wo]]="H",IF(MOD(Eingabe[[#This Row],[Position]],2)=1,Eingabe[[#This Row],[S1]],Eingabe[[#This Row],[S4]]),""),"")</f>
        <v/>
      </c>
      <c r="AR423" s="35" t="str">
        <f>IFERROR(IF(Eingabe[[#This Row],[Wo]]="H",IF(Eingabe[[#This Row],[S1]]&gt;0,IF(MOD(Eingabe[[#This Row],[Position]],2)=1,Eingabe[[#This Row],[S2]],Eingabe[[#This Row],[S3]]),""),""),"")</f>
        <v/>
      </c>
      <c r="AS423" s="35" t="str">
        <f>IFERROR(IF(Eingabe[[#This Row],[Wo]]="H",IF(Eingabe[[#This Row],[S1]]&gt;0,IF(MOD(ROW(Eingabe[[#This Row],[Heimbahn 3]]),2)=1,Eingabe[[#This Row],[S4]],Eingabe[[#This Row],[S1]]),""),""),"")</f>
        <v/>
      </c>
      <c r="AT423" s="35" t="str">
        <f>IFERROR(IF(Eingabe[[#This Row],[Wo]]="H",IF(Eingabe[[#This Row],[S1]]&gt;0,IF(MOD(ROW(Eingabe[[#This Row],[Heimbahn 4]]),2)=1,Eingabe[[#This Row],[S3]],Eingabe[[#This Row],[S2]]),""),""),"")</f>
        <v/>
      </c>
      <c r="AU423" s="88">
        <f>IF(Eingabe[[#This Row],[GES]]="","",IF(Eingabe[[#This Row],[Modus]]="L",_xlfn.RANK.EQ(Eingabe[[#This Row],[GES]],AF423:AF428),IF(Eingabe[[#This Row],[Modus]]="P",_xlfn.RANK.EQ(Eingabe[[#This Row],[GES]],AF423:AF428),"")))</f>
        <v>2</v>
      </c>
      <c r="AV423" s="6">
        <f>VLOOKUP(Eingabe[[#This Row],[Name]],AuswertungG[],8,FALSE)</f>
        <v>386</v>
      </c>
      <c r="AW423" s="6">
        <v>282</v>
      </c>
      <c r="AX423" s="6">
        <v>101</v>
      </c>
      <c r="AY423" s="6">
        <v>22</v>
      </c>
      <c r="AZ423" s="6">
        <f>IFERROR(ABS(Eingabe[[#This Row],[GES]]-Eingabe[[#This Row],[GEGGES]]),"")</f>
        <v>383</v>
      </c>
    </row>
    <row r="424" spans="1:52" x14ac:dyDescent="0.3">
      <c r="A424" s="441"/>
      <c r="B424" s="21">
        <f t="shared" si="46"/>
        <v>71</v>
      </c>
      <c r="C424" s="6" t="str">
        <f>VLOOKUP($B424,Chronologie[],7,TRUE)</f>
        <v>SV Krummenhennersdorf</v>
      </c>
      <c r="D424" s="6" t="str">
        <f>VLOOKUP($B424,Chronologie[],8,TRUE)</f>
        <v>Krummenhennersdorf</v>
      </c>
      <c r="E424" s="240" t="str">
        <f>VLOOKUP($B424,Chronologie[],9,TRUE)</f>
        <v>A</v>
      </c>
      <c r="F424" s="6" t="str">
        <f>VLOOKUP($B424,Chronologie[],COLUMN(F425)-2,TRUE)</f>
        <v>U14</v>
      </c>
      <c r="G424" s="6" t="str">
        <f>VLOOKUP($B424,Chronologie[],COLUMN(G425)-2,TRUE)</f>
        <v>L</v>
      </c>
      <c r="H424" s="6">
        <f>VLOOKUP($B424,Chronologie[],COLUMN(H425)-2,TRUE)</f>
        <v>4</v>
      </c>
      <c r="I424" s="10" t="str">
        <f>VLOOKUP($B424,Chronologie[],2,TRUE)</f>
        <v>U14-L-4</v>
      </c>
      <c r="J424" s="243">
        <f>VLOOKUP($B424,Chronologie[],3,TRUE)</f>
        <v>45969</v>
      </c>
      <c r="K424" s="237" t="s">
        <v>476</v>
      </c>
      <c r="L424" s="237"/>
      <c r="M424" s="237"/>
      <c r="N424" s="237"/>
      <c r="O424" s="237"/>
      <c r="P424" s="237"/>
      <c r="Q424" s="237"/>
      <c r="R424" s="237"/>
      <c r="S424" s="237"/>
      <c r="T424" s="237"/>
      <c r="U424" s="237"/>
      <c r="V424" s="237"/>
      <c r="W424" s="237"/>
      <c r="X424" s="38"/>
      <c r="Y424" s="38"/>
      <c r="Z424" s="38"/>
      <c r="AA424" s="38"/>
      <c r="AB424" s="91"/>
      <c r="AC424" s="94">
        <f>IF(Eingabe[[#This Row],[V1]]="",IF(Eingabe[[#This Row],[Volle alternativ]]="","",Eingabe[[#This Row],[Volle alternativ]]),SUM(Eingabe[[#This Row],[V1]:[V4]]))</f>
        <v>316</v>
      </c>
      <c r="AD424" s="6">
        <f>IF(Eingabe[[#This Row],[R1]]="",IF(Eingabe[[#This Row],[Räumer alternativ]]="","",Eingabe[[#This Row],[Räumer alternativ]]),SUM(Eingabe[[#This Row],[R1]:[R4]]))</f>
        <v>102</v>
      </c>
      <c r="AE424" s="6">
        <f>IF(Eingabe[[#This Row],[F1]]="",IF(Eingabe[[#This Row],[Fehler alternativ]]="","",Eingabe[[#This Row],[Fehler alternativ]]),SUM(Eingabe[[#This Row],[F1]:[F4]]))</f>
        <v>19</v>
      </c>
      <c r="AF424" s="6">
        <f>IF(Eingabe[[#This Row],[Volle]]="","",IF(Eingabe[[#This Row],[S1]]="",Eingabe[[#This Row],[Volle]]+Eingabe[[#This Row],[Räumer]],IF(Eingabe[[#This Row],[Volle]]+Eingabe[[#This Row],[Räumer]]=Eingabe[[#This Row],[S1]]+Eingabe[[#This Row],[S2]]+Eingabe[[#This Row],[S3]]+Eingabe[[#This Row],[S4]],Eingabe[[#This Row],[Volle]]+Eingabe[[#This Row],[Räumer]],"FEHLER")))</f>
        <v>418</v>
      </c>
      <c r="AG424" s="6" t="str">
        <f>IF(Eingabe[[#This Row],[V1]]="","",Eingabe[[#This Row],[V1]]+Eingabe[[#This Row],[R1]])</f>
        <v/>
      </c>
      <c r="AH424" s="6" t="str">
        <f>IF(Eingabe[[#This Row],[V2]]="","",Eingabe[[#This Row],[V2]]+Eingabe[[#This Row],[R2]])</f>
        <v/>
      </c>
      <c r="AI424" s="6" t="str">
        <f>IF(Eingabe[[#This Row],[V3]]="","",Eingabe[[#This Row],[V3]]+Eingabe[[#This Row],[R3]])</f>
        <v/>
      </c>
      <c r="AJ424" s="6" t="str">
        <f>IF(Eingabe[[#This Row],[V4]]="","",Eingabe[[#This Row],[V4]]+Eingabe[[#This Row],[R4]])</f>
        <v/>
      </c>
      <c r="AK424" s="6" t="str">
        <f>IF(Eingabe[[#This Row],[S1P]]="","",Eingabe[[#This Row],[S1P]]+Eingabe[[#This Row],[S2P]]+Eingabe[[#This Row],[S3P]]+Eingabe[[#This Row],[S4P]])</f>
        <v/>
      </c>
      <c r="AL424" s="6" t="str">
        <f>IF(Eingabe[[#This Row],[S1P]]="","",IF(Eingabe[[#This Row],[SP]]&gt;2,1,IF(Eingabe[[#This Row],[SP]]&lt;2,0,IF(Eingabe[[#This Row],[GES]]&gt;Eingabe[[#This Row],[GEGGES]],1,IF(Eingabe[[#This Row],[GES]]=Eingabe[[#This Row],[GEGGES]],0.5,0)))))</f>
        <v/>
      </c>
      <c r="AM424" s="6" t="str">
        <f>IF(Eingabe[[#This Row],[MP]]="","",MOD(ROW(Eingabe[[#This Row],[Position]])-3,6)+1)</f>
        <v/>
      </c>
      <c r="AN424" s="6">
        <f>STANDARDIZE(Eingabe[[#This Row],[GES]],Eingabe[[#This Row],[Schnitt]],VLOOKUP(Eingabe[[#This Row],[Name]],AuswertungG[],21,FALSE))</f>
        <v>0.20512820512820512</v>
      </c>
      <c r="AO424" s="6">
        <f>VLOOKUP(Eingabe[[#This Row],[ID]],Chronologie[[ID]:[KW]],12,FALSE)</f>
        <v>11</v>
      </c>
      <c r="AP424" s="95" t="str">
        <f>IF(Eingabe[[#This Row],[Wo]]="H",Eingabe[[#This Row],[Gegner]]&amp;" ["&amp;Eingabe[[#This Row],[Wo]]&amp;"]",Eingabe[[#This Row],[Ort]])</f>
        <v>Krummenhennersdorf</v>
      </c>
      <c r="AQ424" s="6" t="str">
        <f>IFERROR(IF(Eingabe[[#This Row],[Wo]]="H",IF(MOD(Eingabe[[#This Row],[Position]],2)=1,Eingabe[[#This Row],[S1]],Eingabe[[#This Row],[S4]]),""),"")</f>
        <v/>
      </c>
      <c r="AR424" s="6" t="str">
        <f>IFERROR(IF(Eingabe[[#This Row],[Wo]]="H",IF(Eingabe[[#This Row],[S1]]&gt;0,IF(MOD(Eingabe[[#This Row],[Position]],2)=1,Eingabe[[#This Row],[S2]],Eingabe[[#This Row],[S3]]),""),""),"")</f>
        <v/>
      </c>
      <c r="AS424" s="6" t="str">
        <f>IFERROR(IF(Eingabe[[#This Row],[Wo]]="H",IF(Eingabe[[#This Row],[S1]]&gt;0,IF(MOD(ROW(Eingabe[[#This Row],[Heimbahn 3]]),2)=1,Eingabe[[#This Row],[S4]],Eingabe[[#This Row],[S1]]),""),""),"")</f>
        <v/>
      </c>
      <c r="AT424" s="6" t="str">
        <f>IFERROR(IF(Eingabe[[#This Row],[Wo]]="H",IF(Eingabe[[#This Row],[S1]]&gt;0,IF(MOD(ROW(Eingabe[[#This Row],[Heimbahn 4]]),2)=1,Eingabe[[#This Row],[S3]],Eingabe[[#This Row],[S2]]),""),""),"")</f>
        <v/>
      </c>
      <c r="AU424" s="22">
        <f>IF(Eingabe[[#This Row],[GES]]="","",IF(Eingabe[[#This Row],[Modus]]="L",_xlfn.RANK.EQ(Eingabe[[#This Row],[GES]],AF423:AF428),IF(Eingabe[[#This Row],[Modus]]="P",_xlfn.RANK.EQ(Eingabe[[#This Row],[GES]],AF423:AF428),"")))</f>
        <v>1</v>
      </c>
      <c r="AV424" s="6">
        <f>VLOOKUP(Eingabe[[#This Row],[Name]],AuswertungG[],8,FALSE)</f>
        <v>410</v>
      </c>
      <c r="AW424" s="6">
        <v>316</v>
      </c>
      <c r="AX424" s="6">
        <v>102</v>
      </c>
      <c r="AY424" s="6">
        <v>19</v>
      </c>
      <c r="AZ424" s="6">
        <f>IFERROR(ABS(Eingabe[[#This Row],[GES]]-Eingabe[[#This Row],[GEGGES]]),"")</f>
        <v>418</v>
      </c>
    </row>
    <row r="425" spans="1:52" x14ac:dyDescent="0.3">
      <c r="A425" s="441"/>
      <c r="B425" s="21">
        <f t="shared" si="46"/>
        <v>71</v>
      </c>
      <c r="C425" s="6" t="str">
        <f>VLOOKUP($B425,Chronologie[],7,TRUE)</f>
        <v>SV Krummenhennersdorf</v>
      </c>
      <c r="D425" s="6" t="str">
        <f>VLOOKUP($B425,Chronologie[],8,TRUE)</f>
        <v>Krummenhennersdorf</v>
      </c>
      <c r="E425" s="240" t="str">
        <f>VLOOKUP($B425,Chronologie[],9,TRUE)</f>
        <v>A</v>
      </c>
      <c r="F425" s="6" t="str">
        <f>VLOOKUP($B425,Chronologie[],COLUMN(F426)-2,TRUE)</f>
        <v>U14</v>
      </c>
      <c r="G425" s="6" t="str">
        <f>VLOOKUP($B425,Chronologie[],COLUMN(G426)-2,TRUE)</f>
        <v>L</v>
      </c>
      <c r="H425" s="6">
        <f>VLOOKUP($B425,Chronologie[],COLUMN(H426)-2,TRUE)</f>
        <v>4</v>
      </c>
      <c r="I425" s="10" t="str">
        <f>VLOOKUP($B425,Chronologie[],2,TRUE)</f>
        <v>U14-L-4</v>
      </c>
      <c r="J425" s="243">
        <f>VLOOKUP($B425,Chronologie[],3,TRUE)</f>
        <v>45969</v>
      </c>
      <c r="K425" s="237"/>
      <c r="L425" s="237"/>
      <c r="M425" s="237"/>
      <c r="N425" s="237"/>
      <c r="O425" s="237"/>
      <c r="P425" s="237"/>
      <c r="Q425" s="237"/>
      <c r="R425" s="237"/>
      <c r="S425" s="237"/>
      <c r="T425" s="237"/>
      <c r="U425" s="237"/>
      <c r="V425" s="237"/>
      <c r="W425" s="237"/>
      <c r="X425" s="38"/>
      <c r="Y425" s="38"/>
      <c r="Z425" s="38"/>
      <c r="AA425" s="38"/>
      <c r="AB425" s="91"/>
      <c r="AC425" s="94">
        <f>IF(Eingabe[[#This Row],[V1]]="",IF(Eingabe[[#This Row],[Volle alternativ]]="","",Eingabe[[#This Row],[Volle alternativ]]),SUM(Eingabe[[#This Row],[V1]:[V4]]))</f>
        <v>251</v>
      </c>
      <c r="AD425" s="6">
        <f>IF(Eingabe[[#This Row],[R1]]="",IF(Eingabe[[#This Row],[Räumer alternativ]]="","",Eingabe[[#This Row],[Räumer alternativ]]),SUM(Eingabe[[#This Row],[R1]:[R4]]))</f>
        <v>99</v>
      </c>
      <c r="AE425" s="6">
        <f>IF(Eingabe[[#This Row],[F1]]="",IF(Eingabe[[#This Row],[Fehler alternativ]]="","",Eingabe[[#This Row],[Fehler alternativ]]),SUM(Eingabe[[#This Row],[F1]:[F4]]))</f>
        <v>26</v>
      </c>
      <c r="AF425" s="6">
        <f>IF(Eingabe[[#This Row],[Volle]]="","",IF(Eingabe[[#This Row],[S1]]="",Eingabe[[#This Row],[Volle]]+Eingabe[[#This Row],[Räumer]],IF(Eingabe[[#This Row],[Volle]]+Eingabe[[#This Row],[Räumer]]=Eingabe[[#This Row],[S1]]+Eingabe[[#This Row],[S2]]+Eingabe[[#This Row],[S3]]+Eingabe[[#This Row],[S4]],Eingabe[[#This Row],[Volle]]+Eingabe[[#This Row],[Räumer]],"FEHLER")))</f>
        <v>350</v>
      </c>
      <c r="AG425" s="6" t="str">
        <f>IF(Eingabe[[#This Row],[V1]]="","",Eingabe[[#This Row],[V1]]+Eingabe[[#This Row],[R1]])</f>
        <v/>
      </c>
      <c r="AH425" s="6" t="str">
        <f>IF(Eingabe[[#This Row],[V2]]="","",Eingabe[[#This Row],[V2]]+Eingabe[[#This Row],[R2]])</f>
        <v/>
      </c>
      <c r="AI425" s="6" t="str">
        <f>IF(Eingabe[[#This Row],[V3]]="","",Eingabe[[#This Row],[V3]]+Eingabe[[#This Row],[R3]])</f>
        <v/>
      </c>
      <c r="AJ425" s="6" t="str">
        <f>IF(Eingabe[[#This Row],[V4]]="","",Eingabe[[#This Row],[V4]]+Eingabe[[#This Row],[R4]])</f>
        <v/>
      </c>
      <c r="AK425" s="6" t="str">
        <f>IF(Eingabe[[#This Row],[S1P]]="","",Eingabe[[#This Row],[S1P]]+Eingabe[[#This Row],[S2P]]+Eingabe[[#This Row],[S3P]]+Eingabe[[#This Row],[S4P]])</f>
        <v/>
      </c>
      <c r="AL425" s="6" t="str">
        <f>IF(Eingabe[[#This Row],[S1P]]="","",IF(Eingabe[[#This Row],[SP]]&gt;2,1,IF(Eingabe[[#This Row],[SP]]&lt;2,0,IF(Eingabe[[#This Row],[GES]]&gt;Eingabe[[#This Row],[GEGGES]],1,IF(Eingabe[[#This Row],[GES]]=Eingabe[[#This Row],[GEGGES]],0.5,0)))))</f>
        <v/>
      </c>
      <c r="AM425" s="6" t="str">
        <f>IF(Eingabe[[#This Row],[MP]]="","",MOD(ROW(Eingabe[[#This Row],[Position]])-3,6)+1)</f>
        <v/>
      </c>
      <c r="AN425" s="6" t="e">
        <f>STANDARDIZE(Eingabe[[#This Row],[GES]],Eingabe[[#This Row],[Schnitt]],VLOOKUP(Eingabe[[#This Row],[Name]],AuswertungG[],21,FALSE))</f>
        <v>#N/A</v>
      </c>
      <c r="AO425" s="6">
        <f>VLOOKUP(Eingabe[[#This Row],[ID]],Chronologie[[ID]:[KW]],12,FALSE)</f>
        <v>11</v>
      </c>
      <c r="AP425" s="95" t="str">
        <f>IF(Eingabe[[#This Row],[Wo]]="H",Eingabe[[#This Row],[Gegner]]&amp;" ["&amp;Eingabe[[#This Row],[Wo]]&amp;"]",Eingabe[[#This Row],[Ort]])</f>
        <v>Krummenhennersdorf</v>
      </c>
      <c r="AQ425" s="6" t="str">
        <f>IFERROR(IF(Eingabe[[#This Row],[Wo]]="H",IF(MOD(Eingabe[[#This Row],[Position]],2)=1,Eingabe[[#This Row],[S1]],Eingabe[[#This Row],[S4]]),""),"")</f>
        <v/>
      </c>
      <c r="AR425" s="6" t="str">
        <f>IFERROR(IF(Eingabe[[#This Row],[Wo]]="H",IF(Eingabe[[#This Row],[S1]]&gt;0,IF(MOD(Eingabe[[#This Row],[Position]],2)=1,Eingabe[[#This Row],[S2]],Eingabe[[#This Row],[S3]]),""),""),"")</f>
        <v/>
      </c>
      <c r="AS425" s="6" t="str">
        <f>IFERROR(IF(Eingabe[[#This Row],[Wo]]="H",IF(Eingabe[[#This Row],[S1]]&gt;0,IF(MOD(ROW(Eingabe[[#This Row],[Heimbahn 3]]),2)=1,Eingabe[[#This Row],[S4]],Eingabe[[#This Row],[S1]]),""),""),"")</f>
        <v/>
      </c>
      <c r="AT425" s="6" t="str">
        <f>IFERROR(IF(Eingabe[[#This Row],[Wo]]="H",IF(Eingabe[[#This Row],[S1]]&gt;0,IF(MOD(ROW(Eingabe[[#This Row],[Heimbahn 4]]),2)=1,Eingabe[[#This Row],[S3]],Eingabe[[#This Row],[S2]]),""),""),"")</f>
        <v/>
      </c>
      <c r="AU425" s="22">
        <f>IF(Eingabe[[#This Row],[GES]]="","",IF(Eingabe[[#This Row],[Modus]]="L",_xlfn.RANK.EQ(Eingabe[[#This Row],[GES]],AF423:AF428),IF(Eingabe[[#This Row],[Modus]]="P",_xlfn.RANK.EQ(Eingabe[[#This Row],[GES]],AF423:AF428),"")))</f>
        <v>3</v>
      </c>
      <c r="AV425" s="6" t="e">
        <f>VLOOKUP(Eingabe[[#This Row],[Name]],AuswertungG[],8,FALSE)</f>
        <v>#N/A</v>
      </c>
      <c r="AW425" s="6">
        <f>114+137</f>
        <v>251</v>
      </c>
      <c r="AX425" s="6">
        <f>60+39</f>
        <v>99</v>
      </c>
      <c r="AY425" s="6">
        <v>26</v>
      </c>
      <c r="AZ425" s="6">
        <f>IFERROR(ABS(Eingabe[[#This Row],[GES]]-Eingabe[[#This Row],[GEGGES]]),"")</f>
        <v>350</v>
      </c>
    </row>
    <row r="426" spans="1:52" x14ac:dyDescent="0.3">
      <c r="A426" s="441"/>
      <c r="B426" s="21">
        <f t="shared" si="46"/>
        <v>71</v>
      </c>
      <c r="C426" s="6" t="str">
        <f>VLOOKUP($B426,Chronologie[],7,TRUE)</f>
        <v>SV Krummenhennersdorf</v>
      </c>
      <c r="D426" s="6" t="str">
        <f>VLOOKUP($B426,Chronologie[],8,TRUE)</f>
        <v>Krummenhennersdorf</v>
      </c>
      <c r="E426" s="240" t="str">
        <f>VLOOKUP($B426,Chronologie[],9,TRUE)</f>
        <v>A</v>
      </c>
      <c r="F426" s="6" t="str">
        <f>VLOOKUP($B426,Chronologie[],COLUMN(F427)-2,TRUE)</f>
        <v>U14</v>
      </c>
      <c r="G426" s="6" t="str">
        <f>VLOOKUP($B426,Chronologie[],COLUMN(G427)-2,TRUE)</f>
        <v>L</v>
      </c>
      <c r="H426" s="6">
        <f>VLOOKUP($B426,Chronologie[],COLUMN(H427)-2,TRUE)</f>
        <v>4</v>
      </c>
      <c r="I426" s="10" t="str">
        <f>VLOOKUP($B426,Chronologie[],2,TRUE)</f>
        <v>U14-L-4</v>
      </c>
      <c r="J426" s="243">
        <f>VLOOKUP($B426,Chronologie[],3,TRUE)</f>
        <v>45969</v>
      </c>
      <c r="K426" s="238" t="s">
        <v>591</v>
      </c>
      <c r="L426" s="237"/>
      <c r="M426" s="237"/>
      <c r="N426" s="237"/>
      <c r="O426" s="237"/>
      <c r="P426" s="237"/>
      <c r="Q426" s="237"/>
      <c r="R426" s="237"/>
      <c r="S426" s="237"/>
      <c r="T426" s="237"/>
      <c r="U426" s="237"/>
      <c r="V426" s="237"/>
      <c r="W426" s="237"/>
      <c r="X426" s="38"/>
      <c r="Y426" s="38"/>
      <c r="Z426" s="38"/>
      <c r="AA426" s="38"/>
      <c r="AB426" s="91"/>
      <c r="AC426" s="94">
        <f>IF(Eingabe[[#This Row],[V1]]="",IF(Eingabe[[#This Row],[Volle alternativ]]="","",Eingabe[[#This Row],[Volle alternativ]]),SUM(Eingabe[[#This Row],[V1]:[V4]]))</f>
        <v>238</v>
      </c>
      <c r="AD426" s="6">
        <f>IF(Eingabe[[#This Row],[R1]]="",IF(Eingabe[[#This Row],[Räumer alternativ]]="","",Eingabe[[#This Row],[Räumer alternativ]]),SUM(Eingabe[[#This Row],[R1]:[R4]]))</f>
        <v>83</v>
      </c>
      <c r="AE426" s="6">
        <f>IF(Eingabe[[#This Row],[F1]]="",IF(Eingabe[[#This Row],[Fehler alternativ]]="","",Eingabe[[#This Row],[Fehler alternativ]]),SUM(Eingabe[[#This Row],[F1]:[F4]]))</f>
        <v>31</v>
      </c>
      <c r="AF426" s="6">
        <f>IF(Eingabe[[#This Row],[Volle]]="","",IF(Eingabe[[#This Row],[S1]]="",Eingabe[[#This Row],[Volle]]+Eingabe[[#This Row],[Räumer]],IF(Eingabe[[#This Row],[Volle]]+Eingabe[[#This Row],[Räumer]]=Eingabe[[#This Row],[S1]]+Eingabe[[#This Row],[S2]]+Eingabe[[#This Row],[S3]]+Eingabe[[#This Row],[S4]],Eingabe[[#This Row],[Volle]]+Eingabe[[#This Row],[Räumer]],"FEHLER")))</f>
        <v>321</v>
      </c>
      <c r="AG426" s="6" t="str">
        <f>IF(Eingabe[[#This Row],[V1]]="","",Eingabe[[#This Row],[V1]]+Eingabe[[#This Row],[R1]])</f>
        <v/>
      </c>
      <c r="AH426" s="6" t="str">
        <f>IF(Eingabe[[#This Row],[V2]]="","",Eingabe[[#This Row],[V2]]+Eingabe[[#This Row],[R2]])</f>
        <v/>
      </c>
      <c r="AI426" s="6" t="str">
        <f>IF(Eingabe[[#This Row],[V3]]="","",Eingabe[[#This Row],[V3]]+Eingabe[[#This Row],[R3]])</f>
        <v/>
      </c>
      <c r="AJ426" s="6" t="str">
        <f>IF(Eingabe[[#This Row],[V4]]="","",Eingabe[[#This Row],[V4]]+Eingabe[[#This Row],[R4]])</f>
        <v/>
      </c>
      <c r="AK426" s="6" t="str">
        <f>IF(Eingabe[[#This Row],[S1P]]="","",Eingabe[[#This Row],[S1P]]+Eingabe[[#This Row],[S2P]]+Eingabe[[#This Row],[S3P]]+Eingabe[[#This Row],[S4P]])</f>
        <v/>
      </c>
      <c r="AL426" s="6" t="str">
        <f>IF(Eingabe[[#This Row],[S1P]]="","",IF(Eingabe[[#This Row],[SP]]&gt;2,1,IF(Eingabe[[#This Row],[SP]]&lt;2,0,IF(Eingabe[[#This Row],[GES]]&gt;Eingabe[[#This Row],[GEGGES]],1,IF(Eingabe[[#This Row],[GES]]=Eingabe[[#This Row],[GEGGES]],0.5,0)))))</f>
        <v/>
      </c>
      <c r="AM426" s="6" t="str">
        <f>IF(Eingabe[[#This Row],[MP]]="","",MOD(ROW(Eingabe[[#This Row],[Position]])-3,6)+1)</f>
        <v/>
      </c>
      <c r="AN426" s="6">
        <f>STANDARDIZE(Eingabe[[#This Row],[GES]],Eingabe[[#This Row],[Schnitt]],VLOOKUP(Eingabe[[#This Row],[Name]],AuswertungG[],21,FALSE))</f>
        <v>-0.52941176470588236</v>
      </c>
      <c r="AO426" s="6">
        <f>VLOOKUP(Eingabe[[#This Row],[ID]],Chronologie[[ID]:[KW]],12,FALSE)</f>
        <v>11</v>
      </c>
      <c r="AP426" s="95" t="str">
        <f>IF(Eingabe[[#This Row],[Wo]]="H",Eingabe[[#This Row],[Gegner]]&amp;" ["&amp;Eingabe[[#This Row],[Wo]]&amp;"]",Eingabe[[#This Row],[Ort]])</f>
        <v>Krummenhennersdorf</v>
      </c>
      <c r="AQ426" s="6" t="str">
        <f>IFERROR(IF(Eingabe[[#This Row],[Wo]]="H",IF(MOD(Eingabe[[#This Row],[Position]],2)=1,Eingabe[[#This Row],[S1]],Eingabe[[#This Row],[S4]]),""),"")</f>
        <v/>
      </c>
      <c r="AR426" s="6" t="str">
        <f>IFERROR(IF(Eingabe[[#This Row],[Wo]]="H",IF(Eingabe[[#This Row],[S1]]&gt;0,IF(MOD(Eingabe[[#This Row],[Position]],2)=1,Eingabe[[#This Row],[S2]],Eingabe[[#This Row],[S3]]),""),""),"")</f>
        <v/>
      </c>
      <c r="AS426" s="6" t="str">
        <f>IFERROR(IF(Eingabe[[#This Row],[Wo]]="H",IF(Eingabe[[#This Row],[S1]]&gt;0,IF(MOD(ROW(Eingabe[[#This Row],[Heimbahn 3]]),2)=1,Eingabe[[#This Row],[S4]],Eingabe[[#This Row],[S1]]),""),""),"")</f>
        <v/>
      </c>
      <c r="AT426" s="6" t="str">
        <f>IFERROR(IF(Eingabe[[#This Row],[Wo]]="H",IF(Eingabe[[#This Row],[S1]]&gt;0,IF(MOD(ROW(Eingabe[[#This Row],[Heimbahn 4]]),2)=1,Eingabe[[#This Row],[S3]],Eingabe[[#This Row],[S2]]),""),""),"")</f>
        <v/>
      </c>
      <c r="AU426" s="22">
        <f>IF(Eingabe[[#This Row],[GES]]="","",IF(Eingabe[[#This Row],[Modus]]="L",_xlfn.RANK.EQ(Eingabe[[#This Row],[GES]],AF423:AF428),IF(Eingabe[[#This Row],[Modus]]="P",_xlfn.RANK.EQ(Eingabe[[#This Row],[GES]],AF423:AF428),"")))</f>
        <v>4</v>
      </c>
      <c r="AV426" s="6">
        <f>VLOOKUP(Eingabe[[#This Row],[Name]],AuswertungG[],8,FALSE)</f>
        <v>330</v>
      </c>
      <c r="AW426" s="6">
        <v>238</v>
      </c>
      <c r="AX426" s="6">
        <v>83</v>
      </c>
      <c r="AY426" s="6">
        <v>31</v>
      </c>
      <c r="AZ426" s="6">
        <f>IFERROR(ABS(Eingabe[[#This Row],[GES]]-Eingabe[[#This Row],[GEGGES]]),"")</f>
        <v>321</v>
      </c>
    </row>
    <row r="427" spans="1:52" x14ac:dyDescent="0.3">
      <c r="A427" s="441"/>
      <c r="B427" s="21">
        <f t="shared" si="46"/>
        <v>71</v>
      </c>
      <c r="C427" s="6" t="str">
        <f>VLOOKUP($B427,Chronologie[],7,TRUE)</f>
        <v>SV Krummenhennersdorf</v>
      </c>
      <c r="D427" s="6" t="str">
        <f>VLOOKUP($B427,Chronologie[],8,TRUE)</f>
        <v>Krummenhennersdorf</v>
      </c>
      <c r="E427" s="240" t="str">
        <f>VLOOKUP($B427,Chronologie[],9,TRUE)</f>
        <v>A</v>
      </c>
      <c r="F427" s="6" t="str">
        <f>VLOOKUP($B427,Chronologie[],COLUMN(F428)-2,TRUE)</f>
        <v>U14</v>
      </c>
      <c r="G427" s="6" t="str">
        <f>VLOOKUP($B427,Chronologie[],COLUMN(G428)-2,TRUE)</f>
        <v>L</v>
      </c>
      <c r="H427" s="6">
        <f>VLOOKUP($B427,Chronologie[],COLUMN(H428)-2,TRUE)</f>
        <v>4</v>
      </c>
      <c r="I427" s="10" t="str">
        <f>VLOOKUP($B427,Chronologie[],2,TRUE)</f>
        <v>U14-L-4</v>
      </c>
      <c r="J427" s="243">
        <f>VLOOKUP($B427,Chronologie[],3,TRUE)</f>
        <v>45969</v>
      </c>
      <c r="K427" s="237"/>
      <c r="L427" s="237"/>
      <c r="M427" s="237"/>
      <c r="N427" s="237"/>
      <c r="O427" s="237"/>
      <c r="P427" s="237"/>
      <c r="Q427" s="237"/>
      <c r="R427" s="237"/>
      <c r="S427" s="237"/>
      <c r="T427" s="237"/>
      <c r="U427" s="237"/>
      <c r="V427" s="237"/>
      <c r="W427" s="237"/>
      <c r="X427" s="38"/>
      <c r="Y427" s="38"/>
      <c r="Z427" s="38"/>
      <c r="AA427" s="38"/>
      <c r="AB427" s="91"/>
      <c r="AC427" s="94" t="str">
        <f>IF(Eingabe[[#This Row],[V1]]="",IF(Eingabe[[#This Row],[Volle alternativ]]="","",Eingabe[[#This Row],[Volle alternativ]]),SUM(Eingabe[[#This Row],[V1]:[V4]]))</f>
        <v/>
      </c>
      <c r="AD427" s="6" t="str">
        <f>IF(Eingabe[[#This Row],[R1]]="",IF(Eingabe[[#This Row],[Räumer alternativ]]="","",Eingabe[[#This Row],[Räumer alternativ]]),SUM(Eingabe[[#This Row],[R1]:[R4]]))</f>
        <v/>
      </c>
      <c r="AE427" s="6" t="str">
        <f>IF(Eingabe[[#This Row],[F1]]="",IF(Eingabe[[#This Row],[Fehler alternativ]]="","",Eingabe[[#This Row],[Fehler alternativ]]),SUM(Eingabe[[#This Row],[F1]:[F4]]))</f>
        <v/>
      </c>
      <c r="AF427" s="6" t="str">
        <f>IF(Eingabe[[#This Row],[Volle]]="","",IF(Eingabe[[#This Row],[S1]]="",Eingabe[[#This Row],[Volle]]+Eingabe[[#This Row],[Räumer]],IF(Eingabe[[#This Row],[Volle]]+Eingabe[[#This Row],[Räumer]]=Eingabe[[#This Row],[S1]]+Eingabe[[#This Row],[S2]]+Eingabe[[#This Row],[S3]]+Eingabe[[#This Row],[S4]],Eingabe[[#This Row],[Volle]]+Eingabe[[#This Row],[Räumer]],"FEHLER")))</f>
        <v/>
      </c>
      <c r="AG427" s="6" t="str">
        <f>IF(Eingabe[[#This Row],[V1]]="","",Eingabe[[#This Row],[V1]]+Eingabe[[#This Row],[R1]])</f>
        <v/>
      </c>
      <c r="AH427" s="6" t="str">
        <f>IF(Eingabe[[#This Row],[V2]]="","",Eingabe[[#This Row],[V2]]+Eingabe[[#This Row],[R2]])</f>
        <v/>
      </c>
      <c r="AI427" s="6" t="str">
        <f>IF(Eingabe[[#This Row],[V3]]="","",Eingabe[[#This Row],[V3]]+Eingabe[[#This Row],[R3]])</f>
        <v/>
      </c>
      <c r="AJ427" s="6" t="str">
        <f>IF(Eingabe[[#This Row],[V4]]="","",Eingabe[[#This Row],[V4]]+Eingabe[[#This Row],[R4]])</f>
        <v/>
      </c>
      <c r="AK427" s="6" t="str">
        <f>IF(Eingabe[[#This Row],[S1P]]="","",Eingabe[[#This Row],[S1P]]+Eingabe[[#This Row],[S2P]]+Eingabe[[#This Row],[S3P]]+Eingabe[[#This Row],[S4P]])</f>
        <v/>
      </c>
      <c r="AL427" s="6" t="str">
        <f>IF(Eingabe[[#This Row],[S1P]]="","",IF(Eingabe[[#This Row],[SP]]&gt;2,1,IF(Eingabe[[#This Row],[SP]]&lt;2,0,IF(Eingabe[[#This Row],[GES]]&gt;Eingabe[[#This Row],[GEGGES]],1,IF(Eingabe[[#This Row],[GES]]=Eingabe[[#This Row],[GEGGES]],0.5,0)))))</f>
        <v/>
      </c>
      <c r="AM427" s="6" t="str">
        <f>IF(Eingabe[[#This Row],[MP]]="","",MOD(ROW(Eingabe[[#This Row],[Position]])-3,6)+1)</f>
        <v/>
      </c>
      <c r="AN427" s="6" t="e">
        <f>STANDARDIZE(Eingabe[[#This Row],[GES]],Eingabe[[#This Row],[Schnitt]],VLOOKUP(Eingabe[[#This Row],[Name]],AuswertungG[],21,FALSE))</f>
        <v>#VALUE!</v>
      </c>
      <c r="AO427" s="6">
        <f>VLOOKUP(Eingabe[[#This Row],[ID]],Chronologie[[ID]:[KW]],12,FALSE)</f>
        <v>11</v>
      </c>
      <c r="AP427" s="95" t="str">
        <f>IF(Eingabe[[#This Row],[Wo]]="H",Eingabe[[#This Row],[Gegner]]&amp;" ["&amp;Eingabe[[#This Row],[Wo]]&amp;"]",Eingabe[[#This Row],[Ort]])</f>
        <v>Krummenhennersdorf</v>
      </c>
      <c r="AQ427" s="6" t="str">
        <f>IFERROR(IF(Eingabe[[#This Row],[Wo]]="H",IF(MOD(Eingabe[[#This Row],[Position]],2)=1,Eingabe[[#This Row],[S1]],Eingabe[[#This Row],[S4]]),""),"")</f>
        <v/>
      </c>
      <c r="AR427" s="6" t="str">
        <f>IFERROR(IF(Eingabe[[#This Row],[Wo]]="H",IF(Eingabe[[#This Row],[S1]]&gt;0,IF(MOD(Eingabe[[#This Row],[Position]],2)=1,Eingabe[[#This Row],[S2]],Eingabe[[#This Row],[S3]]),""),""),"")</f>
        <v/>
      </c>
      <c r="AS427" s="6" t="str">
        <f>IFERROR(IF(Eingabe[[#This Row],[Wo]]="H",IF(Eingabe[[#This Row],[S1]]&gt;0,IF(MOD(ROW(Eingabe[[#This Row],[Heimbahn 3]]),2)=1,Eingabe[[#This Row],[S4]],Eingabe[[#This Row],[S1]]),""),""),"")</f>
        <v/>
      </c>
      <c r="AT427" s="6" t="str">
        <f>IFERROR(IF(Eingabe[[#This Row],[Wo]]="H",IF(Eingabe[[#This Row],[S1]]&gt;0,IF(MOD(ROW(Eingabe[[#This Row],[Heimbahn 4]]),2)=1,Eingabe[[#This Row],[S3]],Eingabe[[#This Row],[S2]]),""),""),"")</f>
        <v/>
      </c>
      <c r="AU427" s="22" t="str">
        <f>IF(Eingabe[[#This Row],[GES]]="","",IF(Eingabe[[#This Row],[Modus]]="L",_xlfn.RANK.EQ(Eingabe[[#This Row],[GES]],AF423:AF428),IF(Eingabe[[#This Row],[Modus]]="P",_xlfn.RANK.EQ(Eingabe[[#This Row],[GES]],AF423:AF428),"")))</f>
        <v/>
      </c>
      <c r="AV427" s="6" t="e">
        <f>VLOOKUP(Eingabe[[#This Row],[Name]],AuswertungG[],8,FALSE)</f>
        <v>#N/A</v>
      </c>
      <c r="AZ427" s="6" t="str">
        <f>IFERROR(ABS(Eingabe[[#This Row],[GES]]-Eingabe[[#This Row],[GEGGES]]),"")</f>
        <v/>
      </c>
    </row>
    <row r="428" spans="1:52" ht="16.2" thickBot="1" x14ac:dyDescent="0.35">
      <c r="A428" s="442"/>
      <c r="B428" s="56">
        <f t="shared" si="46"/>
        <v>71</v>
      </c>
      <c r="C428" s="23" t="str">
        <f>VLOOKUP($B428,Chronologie[],7,TRUE)</f>
        <v>SV Krummenhennersdorf</v>
      </c>
      <c r="D428" s="23" t="str">
        <f>VLOOKUP($B428,Chronologie[],8,TRUE)</f>
        <v>Krummenhennersdorf</v>
      </c>
      <c r="E428" s="39" t="str">
        <f>VLOOKUP($B428,Chronologie[],9,TRUE)</f>
        <v>A</v>
      </c>
      <c r="F428" s="23" t="str">
        <f>VLOOKUP($B428,Chronologie[],COLUMN(F429)-2,TRUE)</f>
        <v>U14</v>
      </c>
      <c r="G428" s="23" t="str">
        <f>VLOOKUP($B428,Chronologie[],COLUMN(G429)-2,TRUE)</f>
        <v>L</v>
      </c>
      <c r="H428" s="23">
        <f>VLOOKUP($B428,Chronologie[],COLUMN(H429)-2,TRUE)</f>
        <v>4</v>
      </c>
      <c r="I428" s="13" t="str">
        <f>VLOOKUP($B428,Chronologie[],2,TRUE)</f>
        <v>U14-L-4</v>
      </c>
      <c r="J428" s="244">
        <f>VLOOKUP($B428,Chronologie[],3,TRUE)</f>
        <v>45969</v>
      </c>
      <c r="K428" s="239"/>
      <c r="L428" s="239"/>
      <c r="M428" s="239"/>
      <c r="N428" s="239"/>
      <c r="O428" s="239"/>
      <c r="P428" s="239"/>
      <c r="Q428" s="239"/>
      <c r="R428" s="239"/>
      <c r="S428" s="239"/>
      <c r="T428" s="239"/>
      <c r="U428" s="239"/>
      <c r="V428" s="239"/>
      <c r="W428" s="239"/>
      <c r="X428" s="40"/>
      <c r="Y428" s="40"/>
      <c r="Z428" s="40"/>
      <c r="AA428" s="40"/>
      <c r="AB428" s="92"/>
      <c r="AC428" s="96" t="str">
        <f>IF(Eingabe[[#This Row],[V1]]="",IF(Eingabe[[#This Row],[Volle alternativ]]="","",Eingabe[[#This Row],[Volle alternativ]]),SUM(Eingabe[[#This Row],[V1]:[V4]]))</f>
        <v/>
      </c>
      <c r="AD428" s="23" t="str">
        <f>IF(Eingabe[[#This Row],[R1]]="",IF(Eingabe[[#This Row],[Räumer alternativ]]="","",Eingabe[[#This Row],[Räumer alternativ]]),SUM(Eingabe[[#This Row],[R1]:[R4]]))</f>
        <v/>
      </c>
      <c r="AE428" s="23" t="str">
        <f>IF(Eingabe[[#This Row],[F1]]="",IF(Eingabe[[#This Row],[Fehler alternativ]]="","",Eingabe[[#This Row],[Fehler alternativ]]),SUM(Eingabe[[#This Row],[F1]:[F4]]))</f>
        <v/>
      </c>
      <c r="AF428" s="23" t="str">
        <f>IF(Eingabe[[#This Row],[Volle]]="","",IF(Eingabe[[#This Row],[S1]]="",Eingabe[[#This Row],[Volle]]+Eingabe[[#This Row],[Räumer]],IF(Eingabe[[#This Row],[Volle]]+Eingabe[[#This Row],[Räumer]]=Eingabe[[#This Row],[S1]]+Eingabe[[#This Row],[S2]]+Eingabe[[#This Row],[S3]]+Eingabe[[#This Row],[S4]],Eingabe[[#This Row],[Volle]]+Eingabe[[#This Row],[Räumer]],"FEHLER")))</f>
        <v/>
      </c>
      <c r="AG428" s="23" t="str">
        <f>IF(Eingabe[[#This Row],[V1]]="","",Eingabe[[#This Row],[V1]]+Eingabe[[#This Row],[R1]])</f>
        <v/>
      </c>
      <c r="AH428" s="23" t="str">
        <f>IF(Eingabe[[#This Row],[V2]]="","",Eingabe[[#This Row],[V2]]+Eingabe[[#This Row],[R2]])</f>
        <v/>
      </c>
      <c r="AI428" s="23" t="str">
        <f>IF(Eingabe[[#This Row],[V3]]="","",Eingabe[[#This Row],[V3]]+Eingabe[[#This Row],[R3]])</f>
        <v/>
      </c>
      <c r="AJ428" s="23" t="str">
        <f>IF(Eingabe[[#This Row],[V4]]="","",Eingabe[[#This Row],[V4]]+Eingabe[[#This Row],[R4]])</f>
        <v/>
      </c>
      <c r="AK428" s="23" t="str">
        <f>IF(Eingabe[[#This Row],[S1P]]="","",Eingabe[[#This Row],[S1P]]+Eingabe[[#This Row],[S2P]]+Eingabe[[#This Row],[S3P]]+Eingabe[[#This Row],[S4P]])</f>
        <v/>
      </c>
      <c r="AL428" s="23" t="str">
        <f>IF(Eingabe[[#This Row],[S1P]]="","",IF(Eingabe[[#This Row],[SP]]&gt;2,1,IF(Eingabe[[#This Row],[SP]]&lt;2,0,IF(Eingabe[[#This Row],[GES]]&gt;Eingabe[[#This Row],[GEGGES]],1,IF(Eingabe[[#This Row],[GES]]=Eingabe[[#This Row],[GEGGES]],0.5,0)))))</f>
        <v/>
      </c>
      <c r="AM428" s="23" t="str">
        <f>IF(Eingabe[[#This Row],[MP]]="","",MOD(ROW(Eingabe[[#This Row],[Position]])-3,6)+1)</f>
        <v/>
      </c>
      <c r="AN428" s="23" t="e">
        <f>STANDARDIZE(Eingabe[[#This Row],[GES]],Eingabe[[#This Row],[Schnitt]],VLOOKUP(Eingabe[[#This Row],[Name]],AuswertungG[],21,FALSE))</f>
        <v>#VALUE!</v>
      </c>
      <c r="AO428" s="23">
        <f>VLOOKUP(Eingabe[[#This Row],[ID]],Chronologie[[ID]:[KW]],12,FALSE)</f>
        <v>11</v>
      </c>
      <c r="AP428" s="59" t="str">
        <f>IF(Eingabe[[#This Row],[Wo]]="H",Eingabe[[#This Row],[Gegner]]&amp;" ["&amp;Eingabe[[#This Row],[Wo]]&amp;"]",Eingabe[[#This Row],[Ort]])</f>
        <v>Krummenhennersdorf</v>
      </c>
      <c r="AQ428" s="23" t="str">
        <f>IFERROR(IF(Eingabe[[#This Row],[Wo]]="H",IF(MOD(Eingabe[[#This Row],[Position]],2)=1,Eingabe[[#This Row],[S1]],Eingabe[[#This Row],[S4]]),""),"")</f>
        <v/>
      </c>
      <c r="AR428" s="23" t="str">
        <f>IFERROR(IF(Eingabe[[#This Row],[Wo]]="H",IF(Eingabe[[#This Row],[S1]]&gt;0,IF(MOD(Eingabe[[#This Row],[Position]],2)=1,Eingabe[[#This Row],[S2]],Eingabe[[#This Row],[S3]]),""),""),"")</f>
        <v/>
      </c>
      <c r="AS428" s="23" t="str">
        <f>IFERROR(IF(Eingabe[[#This Row],[Wo]]="H",IF(Eingabe[[#This Row],[S1]]&gt;0,IF(MOD(ROW(Eingabe[[#This Row],[Heimbahn 3]]),2)=1,Eingabe[[#This Row],[S4]],Eingabe[[#This Row],[S1]]),""),""),"")</f>
        <v/>
      </c>
      <c r="AT428" s="23" t="str">
        <f>IFERROR(IF(Eingabe[[#This Row],[Wo]]="H",IF(Eingabe[[#This Row],[S1]]&gt;0,IF(MOD(ROW(Eingabe[[#This Row],[Heimbahn 4]]),2)=1,Eingabe[[#This Row],[S3]],Eingabe[[#This Row],[S2]]),""),""),"")</f>
        <v/>
      </c>
      <c r="AU428" s="89" t="str">
        <f>IF(Eingabe[[#This Row],[GES]]="","",IF(Eingabe[[#This Row],[Modus]]="L",_xlfn.RANK.EQ(Eingabe[[#This Row],[GES]],AF423:AF428),IF(Eingabe[[#This Row],[Modus]]="P",_xlfn.RANK.EQ(Eingabe[[#This Row],[GES]],AF423:AF428),"")))</f>
        <v/>
      </c>
      <c r="AV428" s="6" t="e">
        <f>VLOOKUP(Eingabe[[#This Row],[Name]],AuswertungG[],8,FALSE)</f>
        <v>#N/A</v>
      </c>
      <c r="AZ428" s="6" t="str">
        <f>IFERROR(ABS(Eingabe[[#This Row],[GES]]-Eingabe[[#This Row],[GEGGES]]),"")</f>
        <v/>
      </c>
    </row>
    <row r="429" spans="1:52" x14ac:dyDescent="0.3">
      <c r="A429" s="440">
        <f t="shared" si="45"/>
        <v>72</v>
      </c>
      <c r="B429" s="55">
        <f t="shared" si="46"/>
        <v>72</v>
      </c>
      <c r="C429" s="35" t="str">
        <f>VLOOKUP($B429,Chronologie[],7,TRUE)</f>
        <v>SV Rotation Weißenborn</v>
      </c>
      <c r="D429" s="35" t="str">
        <f>VLOOKUP($B429,Chronologie[],8,TRUE)</f>
        <v>Weißenborn</v>
      </c>
      <c r="E429" s="36" t="str">
        <f>VLOOKUP($B429,Chronologie[],9,TRUE)</f>
        <v>A</v>
      </c>
      <c r="F429" s="35" t="str">
        <f>VLOOKUP($B429,Chronologie[],COLUMN(F430)-2,TRUE)</f>
        <v>U14</v>
      </c>
      <c r="G429" s="35" t="str">
        <f>VLOOKUP($B429,Chronologie[],COLUMN(G430)-2,TRUE)</f>
        <v>L</v>
      </c>
      <c r="H429" s="35">
        <f>VLOOKUP($B429,Chronologie[],COLUMN(H430)-2,TRUE)</f>
        <v>5</v>
      </c>
      <c r="I429" s="9" t="str">
        <f>VLOOKUP($B429,Chronologie[],2,TRUE)</f>
        <v>U14-L-5</v>
      </c>
      <c r="J429" s="242">
        <f>VLOOKUP($B429,Chronologie[],3,TRUE)</f>
        <v>45991</v>
      </c>
      <c r="K429" s="236" t="s">
        <v>473</v>
      </c>
      <c r="L429" s="334">
        <v>63</v>
      </c>
      <c r="M429" s="334">
        <v>86</v>
      </c>
      <c r="N429" s="334">
        <v>58</v>
      </c>
      <c r="O429" s="334">
        <v>62</v>
      </c>
      <c r="P429" s="334">
        <v>26</v>
      </c>
      <c r="Q429" s="334">
        <v>34</v>
      </c>
      <c r="R429" s="334">
        <v>18</v>
      </c>
      <c r="S429" s="334">
        <v>16</v>
      </c>
      <c r="T429" s="334">
        <v>5</v>
      </c>
      <c r="U429" s="334">
        <v>3</v>
      </c>
      <c r="V429" s="334">
        <v>6</v>
      </c>
      <c r="W429" s="334">
        <v>7</v>
      </c>
      <c r="X429" s="37"/>
      <c r="Y429" s="37"/>
      <c r="Z429" s="37"/>
      <c r="AA429" s="37"/>
      <c r="AB429" s="90"/>
      <c r="AC429" s="93">
        <f>IF(Eingabe[[#This Row],[V1]]="",IF(Eingabe[[#This Row],[Volle alternativ]]="","",Eingabe[[#This Row],[Volle alternativ]]),SUM(Eingabe[[#This Row],[V1]:[V4]]))</f>
        <v>269</v>
      </c>
      <c r="AD429" s="35">
        <f>IF(Eingabe[[#This Row],[R1]]="",IF(Eingabe[[#This Row],[Räumer alternativ]]="","",Eingabe[[#This Row],[Räumer alternativ]]),SUM(Eingabe[[#This Row],[R1]:[R4]]))</f>
        <v>94</v>
      </c>
      <c r="AE429" s="35">
        <f>IF(Eingabe[[#This Row],[F1]]="",IF(Eingabe[[#This Row],[Fehler alternativ]]="","",Eingabe[[#This Row],[Fehler alternativ]]),SUM(Eingabe[[#This Row],[F1]:[F4]]))</f>
        <v>21</v>
      </c>
      <c r="AF429" s="35">
        <f>IF(Eingabe[[#This Row],[Volle]]="","",IF(Eingabe[[#This Row],[S1]]="",Eingabe[[#This Row],[Volle]]+Eingabe[[#This Row],[Räumer]],IF(Eingabe[[#This Row],[Volle]]+Eingabe[[#This Row],[Räumer]]=Eingabe[[#This Row],[S1]]+Eingabe[[#This Row],[S2]]+Eingabe[[#This Row],[S3]]+Eingabe[[#This Row],[S4]],Eingabe[[#This Row],[Volle]]+Eingabe[[#This Row],[Räumer]],"FEHLER")))</f>
        <v>363</v>
      </c>
      <c r="AG429" s="35">
        <f>IF(Eingabe[[#This Row],[V1]]="","",Eingabe[[#This Row],[V1]]+Eingabe[[#This Row],[R1]])</f>
        <v>89</v>
      </c>
      <c r="AH429" s="35">
        <f>IF(Eingabe[[#This Row],[V2]]="","",Eingabe[[#This Row],[V2]]+Eingabe[[#This Row],[R2]])</f>
        <v>120</v>
      </c>
      <c r="AI429" s="35">
        <f>IF(Eingabe[[#This Row],[V3]]="","",Eingabe[[#This Row],[V3]]+Eingabe[[#This Row],[R3]])</f>
        <v>76</v>
      </c>
      <c r="AJ429" s="35">
        <f>IF(Eingabe[[#This Row],[V4]]="","",Eingabe[[#This Row],[V4]]+Eingabe[[#This Row],[R4]])</f>
        <v>78</v>
      </c>
      <c r="AK429" s="35" t="str">
        <f>IF(Eingabe[[#This Row],[S1P]]="","",Eingabe[[#This Row],[S1P]]+Eingabe[[#This Row],[S2P]]+Eingabe[[#This Row],[S3P]]+Eingabe[[#This Row],[S4P]])</f>
        <v/>
      </c>
      <c r="AL429" s="35" t="str">
        <f>IF(Eingabe[[#This Row],[S1P]]="","",IF(Eingabe[[#This Row],[SP]]&gt;2,1,IF(Eingabe[[#This Row],[SP]]&lt;2,0,IF(Eingabe[[#This Row],[GES]]&gt;Eingabe[[#This Row],[GEGGES]],1,IF(Eingabe[[#This Row],[GES]]=Eingabe[[#This Row],[GEGGES]],0.5,0)))))</f>
        <v/>
      </c>
      <c r="AM429" s="35" t="str">
        <f>IF(Eingabe[[#This Row],[MP]]="","",MOD(ROW(Eingabe[[#This Row],[Position]])-3,6)+1)</f>
        <v/>
      </c>
      <c r="AN429" s="35">
        <f>STANDARDIZE(Eingabe[[#This Row],[GES]],Eingabe[[#This Row],[Schnitt]],VLOOKUP(Eingabe[[#This Row],[Name]],AuswertungG[],21,FALSE))</f>
        <v>-1.7692307692307692</v>
      </c>
      <c r="AO429" s="35">
        <f>VLOOKUP(Eingabe[[#This Row],[ID]],Chronologie[[ID]:[KW]],12,FALSE)</f>
        <v>14</v>
      </c>
      <c r="AP429" s="58" t="str">
        <f>IF(Eingabe[[#This Row],[Wo]]="H",Eingabe[[#This Row],[Gegner]]&amp;" ["&amp;Eingabe[[#This Row],[Wo]]&amp;"]",Eingabe[[#This Row],[Ort]])</f>
        <v>Weißenborn</v>
      </c>
      <c r="AQ429" s="35" t="str">
        <f>IFERROR(IF(Eingabe[[#This Row],[Wo]]="H",IF(MOD(Eingabe[[#This Row],[Position]],2)=1,Eingabe[[#This Row],[S1]],Eingabe[[#This Row],[S4]]),""),"")</f>
        <v/>
      </c>
      <c r="AR429" s="35" t="str">
        <f>IFERROR(IF(Eingabe[[#This Row],[Wo]]="H",IF(Eingabe[[#This Row],[S1]]&gt;0,IF(MOD(Eingabe[[#This Row],[Position]],2)=1,Eingabe[[#This Row],[S2]],Eingabe[[#This Row],[S3]]),""),""),"")</f>
        <v/>
      </c>
      <c r="AS429" s="35" t="str">
        <f>IFERROR(IF(Eingabe[[#This Row],[Wo]]="H",IF(Eingabe[[#This Row],[S1]]&gt;0,IF(MOD(ROW(Eingabe[[#This Row],[Heimbahn 3]]),2)=1,Eingabe[[#This Row],[S4]],Eingabe[[#This Row],[S1]]),""),""),"")</f>
        <v/>
      </c>
      <c r="AT429" s="35" t="str">
        <f>IFERROR(IF(Eingabe[[#This Row],[Wo]]="H",IF(Eingabe[[#This Row],[S1]]&gt;0,IF(MOD(ROW(Eingabe[[#This Row],[Heimbahn 4]]),2)=1,Eingabe[[#This Row],[S3]],Eingabe[[#This Row],[S2]]),""),""),"")</f>
        <v/>
      </c>
      <c r="AU429" s="88">
        <f>IF(Eingabe[[#This Row],[GES]]="","",IF(Eingabe[[#This Row],[Modus]]="L",_xlfn.RANK.EQ(Eingabe[[#This Row],[GES]],AF429:AF434),IF(Eingabe[[#This Row],[Modus]]="P",_xlfn.RANK.EQ(Eingabe[[#This Row],[GES]],AF429:AF434),"")))</f>
        <v>3</v>
      </c>
      <c r="AV429" s="6">
        <f>VLOOKUP(Eingabe[[#This Row],[Name]],AuswertungG[],8,FALSE)</f>
        <v>386</v>
      </c>
      <c r="AZ429" s="6">
        <f>IFERROR(ABS(Eingabe[[#This Row],[GES]]-Eingabe[[#This Row],[GEGGES]]),"")</f>
        <v>363</v>
      </c>
    </row>
    <row r="430" spans="1:52" x14ac:dyDescent="0.3">
      <c r="A430" s="441"/>
      <c r="B430" s="21">
        <f t="shared" si="46"/>
        <v>72</v>
      </c>
      <c r="C430" s="6" t="str">
        <f>VLOOKUP($B430,Chronologie[],7,TRUE)</f>
        <v>SV Rotation Weißenborn</v>
      </c>
      <c r="D430" s="6" t="str">
        <f>VLOOKUP($B430,Chronologie[],8,TRUE)</f>
        <v>Weißenborn</v>
      </c>
      <c r="E430" s="240" t="str">
        <f>VLOOKUP($B430,Chronologie[],9,TRUE)</f>
        <v>A</v>
      </c>
      <c r="F430" s="6" t="str">
        <f>VLOOKUP($B430,Chronologie[],COLUMN(F431)-2,TRUE)</f>
        <v>U14</v>
      </c>
      <c r="G430" s="6" t="str">
        <f>VLOOKUP($B430,Chronologie[],COLUMN(G431)-2,TRUE)</f>
        <v>L</v>
      </c>
      <c r="H430" s="6">
        <f>VLOOKUP($B430,Chronologie[],COLUMN(H431)-2,TRUE)</f>
        <v>5</v>
      </c>
      <c r="I430" s="10" t="str">
        <f>VLOOKUP($B430,Chronologie[],2,TRUE)</f>
        <v>U14-L-5</v>
      </c>
      <c r="J430" s="243">
        <f>VLOOKUP($B430,Chronologie[],3,TRUE)</f>
        <v>45991</v>
      </c>
      <c r="K430" s="237" t="s">
        <v>476</v>
      </c>
      <c r="L430" s="237">
        <v>70</v>
      </c>
      <c r="M430" s="237">
        <v>76</v>
      </c>
      <c r="N430" s="237">
        <v>76</v>
      </c>
      <c r="O430" s="237">
        <v>60</v>
      </c>
      <c r="P430" s="237">
        <v>32</v>
      </c>
      <c r="Q430" s="237">
        <v>26</v>
      </c>
      <c r="R430" s="237">
        <v>25</v>
      </c>
      <c r="S430" s="237">
        <v>35</v>
      </c>
      <c r="T430" s="237">
        <v>3</v>
      </c>
      <c r="U430" s="237">
        <v>7</v>
      </c>
      <c r="V430" s="237">
        <v>5</v>
      </c>
      <c r="W430" s="237">
        <v>6</v>
      </c>
      <c r="X430" s="38"/>
      <c r="Y430" s="38"/>
      <c r="Z430" s="38"/>
      <c r="AA430" s="38"/>
      <c r="AB430" s="91"/>
      <c r="AC430" s="94">
        <f>IF(Eingabe[[#This Row],[V1]]="",IF(Eingabe[[#This Row],[Volle alternativ]]="","",Eingabe[[#This Row],[Volle alternativ]]),SUM(Eingabe[[#This Row],[V1]:[V4]]))</f>
        <v>282</v>
      </c>
      <c r="AD430" s="6">
        <f>IF(Eingabe[[#This Row],[R1]]="",IF(Eingabe[[#This Row],[Räumer alternativ]]="","",Eingabe[[#This Row],[Räumer alternativ]]),SUM(Eingabe[[#This Row],[R1]:[R4]]))</f>
        <v>118</v>
      </c>
      <c r="AE430" s="6">
        <f>IF(Eingabe[[#This Row],[F1]]="",IF(Eingabe[[#This Row],[Fehler alternativ]]="","",Eingabe[[#This Row],[Fehler alternativ]]),SUM(Eingabe[[#This Row],[F1]:[F4]]))</f>
        <v>21</v>
      </c>
      <c r="AF430" s="6">
        <f>IF(Eingabe[[#This Row],[Volle]]="","",IF(Eingabe[[#This Row],[S1]]="",Eingabe[[#This Row],[Volle]]+Eingabe[[#This Row],[Räumer]],IF(Eingabe[[#This Row],[Volle]]+Eingabe[[#This Row],[Räumer]]=Eingabe[[#This Row],[S1]]+Eingabe[[#This Row],[S2]]+Eingabe[[#This Row],[S3]]+Eingabe[[#This Row],[S4]],Eingabe[[#This Row],[Volle]]+Eingabe[[#This Row],[Räumer]],"FEHLER")))</f>
        <v>400</v>
      </c>
      <c r="AG430" s="6">
        <f>IF(Eingabe[[#This Row],[V1]]="","",Eingabe[[#This Row],[V1]]+Eingabe[[#This Row],[R1]])</f>
        <v>102</v>
      </c>
      <c r="AH430" s="6">
        <f>IF(Eingabe[[#This Row],[V2]]="","",Eingabe[[#This Row],[V2]]+Eingabe[[#This Row],[R2]])</f>
        <v>102</v>
      </c>
      <c r="AI430" s="6">
        <f>IF(Eingabe[[#This Row],[V3]]="","",Eingabe[[#This Row],[V3]]+Eingabe[[#This Row],[R3]])</f>
        <v>101</v>
      </c>
      <c r="AJ430" s="6">
        <f>IF(Eingabe[[#This Row],[V4]]="","",Eingabe[[#This Row],[V4]]+Eingabe[[#This Row],[R4]])</f>
        <v>95</v>
      </c>
      <c r="AK430" s="6" t="str">
        <f>IF(Eingabe[[#This Row],[S1P]]="","",Eingabe[[#This Row],[S1P]]+Eingabe[[#This Row],[S2P]]+Eingabe[[#This Row],[S3P]]+Eingabe[[#This Row],[S4P]])</f>
        <v/>
      </c>
      <c r="AL430" s="6" t="str">
        <f>IF(Eingabe[[#This Row],[S1P]]="","",IF(Eingabe[[#This Row],[SP]]&gt;2,1,IF(Eingabe[[#This Row],[SP]]&lt;2,0,IF(Eingabe[[#This Row],[GES]]&gt;Eingabe[[#This Row],[GEGGES]],1,IF(Eingabe[[#This Row],[GES]]=Eingabe[[#This Row],[GEGGES]],0.5,0)))))</f>
        <v/>
      </c>
      <c r="AM430" s="6" t="str">
        <f>IF(Eingabe[[#This Row],[MP]]="","",MOD(ROW(Eingabe[[#This Row],[Position]])-3,6)+1)</f>
        <v/>
      </c>
      <c r="AN430" s="6">
        <f>STANDARDIZE(Eingabe[[#This Row],[GES]],Eingabe[[#This Row],[Schnitt]],VLOOKUP(Eingabe[[#This Row],[Name]],AuswertungG[],21,FALSE))</f>
        <v>-0.25641025641025639</v>
      </c>
      <c r="AO430" s="6">
        <f>VLOOKUP(Eingabe[[#This Row],[ID]],Chronologie[[ID]:[KW]],12,FALSE)</f>
        <v>14</v>
      </c>
      <c r="AP430" s="95" t="str">
        <f>IF(Eingabe[[#This Row],[Wo]]="H",Eingabe[[#This Row],[Gegner]]&amp;" ["&amp;Eingabe[[#This Row],[Wo]]&amp;"]",Eingabe[[#This Row],[Ort]])</f>
        <v>Weißenborn</v>
      </c>
      <c r="AQ430" s="6" t="str">
        <f>IFERROR(IF(Eingabe[[#This Row],[Wo]]="H",IF(MOD(Eingabe[[#This Row],[Position]],2)=1,Eingabe[[#This Row],[S1]],Eingabe[[#This Row],[S4]]),""),"")</f>
        <v/>
      </c>
      <c r="AR430" s="6" t="str">
        <f>IFERROR(IF(Eingabe[[#This Row],[Wo]]="H",IF(Eingabe[[#This Row],[S1]]&gt;0,IF(MOD(Eingabe[[#This Row],[Position]],2)=1,Eingabe[[#This Row],[S2]],Eingabe[[#This Row],[S3]]),""),""),"")</f>
        <v/>
      </c>
      <c r="AS430" s="6" t="str">
        <f>IFERROR(IF(Eingabe[[#This Row],[Wo]]="H",IF(Eingabe[[#This Row],[S1]]&gt;0,IF(MOD(ROW(Eingabe[[#This Row],[Heimbahn 3]]),2)=1,Eingabe[[#This Row],[S4]],Eingabe[[#This Row],[S1]]),""),""),"")</f>
        <v/>
      </c>
      <c r="AT430" s="6" t="str">
        <f>IFERROR(IF(Eingabe[[#This Row],[Wo]]="H",IF(Eingabe[[#This Row],[S1]]&gt;0,IF(MOD(ROW(Eingabe[[#This Row],[Heimbahn 4]]),2)=1,Eingabe[[#This Row],[S3]],Eingabe[[#This Row],[S2]]),""),""),"")</f>
        <v/>
      </c>
      <c r="AU430" s="22">
        <f>IF(Eingabe[[#This Row],[GES]]="","",IF(Eingabe[[#This Row],[Modus]]="L",_xlfn.RANK.EQ(Eingabe[[#This Row],[GES]],AF429:AF434),IF(Eingabe[[#This Row],[Modus]]="P",_xlfn.RANK.EQ(Eingabe[[#This Row],[GES]],AF429:AF434),"")))</f>
        <v>1</v>
      </c>
      <c r="AV430" s="6">
        <f>VLOOKUP(Eingabe[[#This Row],[Name]],AuswertungG[],8,FALSE)</f>
        <v>410</v>
      </c>
      <c r="AZ430" s="6">
        <f>IFERROR(ABS(Eingabe[[#This Row],[GES]]-Eingabe[[#This Row],[GEGGES]]),"")</f>
        <v>400</v>
      </c>
    </row>
    <row r="431" spans="1:52" x14ac:dyDescent="0.3">
      <c r="A431" s="441"/>
      <c r="B431" s="21">
        <f t="shared" si="46"/>
        <v>72</v>
      </c>
      <c r="C431" s="6" t="str">
        <f>VLOOKUP($B431,Chronologie[],7,TRUE)</f>
        <v>SV Rotation Weißenborn</v>
      </c>
      <c r="D431" s="6" t="str">
        <f>VLOOKUP($B431,Chronologie[],8,TRUE)</f>
        <v>Weißenborn</v>
      </c>
      <c r="E431" s="240" t="str">
        <f>VLOOKUP($B431,Chronologie[],9,TRUE)</f>
        <v>A</v>
      </c>
      <c r="F431" s="6" t="str">
        <f>VLOOKUP($B431,Chronologie[],COLUMN(F432)-2,TRUE)</f>
        <v>U14</v>
      </c>
      <c r="G431" s="6" t="str">
        <f>VLOOKUP($B431,Chronologie[],COLUMN(G432)-2,TRUE)</f>
        <v>L</v>
      </c>
      <c r="H431" s="6">
        <f>VLOOKUP($B431,Chronologie[],COLUMN(H432)-2,TRUE)</f>
        <v>5</v>
      </c>
      <c r="I431" s="10" t="str">
        <f>VLOOKUP($B431,Chronologie[],2,TRUE)</f>
        <v>U14-L-5</v>
      </c>
      <c r="J431" s="243">
        <f>VLOOKUP($B431,Chronologie[],3,TRUE)</f>
        <v>45991</v>
      </c>
      <c r="K431" s="237" t="s">
        <v>484</v>
      </c>
      <c r="L431" s="237">
        <v>77</v>
      </c>
      <c r="M431" s="237">
        <v>72</v>
      </c>
      <c r="N431" s="237">
        <v>71</v>
      </c>
      <c r="O431" s="237">
        <v>68</v>
      </c>
      <c r="P431" s="237">
        <v>26</v>
      </c>
      <c r="Q431" s="237">
        <v>17</v>
      </c>
      <c r="R431" s="237">
        <v>17</v>
      </c>
      <c r="S431" s="237">
        <v>17</v>
      </c>
      <c r="T431" s="237">
        <v>4</v>
      </c>
      <c r="U431" s="237">
        <v>8</v>
      </c>
      <c r="V431" s="237">
        <v>8</v>
      </c>
      <c r="W431" s="237">
        <v>8</v>
      </c>
      <c r="X431" s="38"/>
      <c r="Y431" s="38"/>
      <c r="Z431" s="38"/>
      <c r="AA431" s="38"/>
      <c r="AB431" s="91"/>
      <c r="AC431" s="94">
        <f>IF(Eingabe[[#This Row],[V1]]="",IF(Eingabe[[#This Row],[Volle alternativ]]="","",Eingabe[[#This Row],[Volle alternativ]]),SUM(Eingabe[[#This Row],[V1]:[V4]]))</f>
        <v>288</v>
      </c>
      <c r="AD431" s="6">
        <f>IF(Eingabe[[#This Row],[R1]]="",IF(Eingabe[[#This Row],[Räumer alternativ]]="","",Eingabe[[#This Row],[Räumer alternativ]]),SUM(Eingabe[[#This Row],[R1]:[R4]]))</f>
        <v>77</v>
      </c>
      <c r="AE431" s="6">
        <f>IF(Eingabe[[#This Row],[F1]]="",IF(Eingabe[[#This Row],[Fehler alternativ]]="","",Eingabe[[#This Row],[Fehler alternativ]]),SUM(Eingabe[[#This Row],[F1]:[F4]]))</f>
        <v>28</v>
      </c>
      <c r="AF431" s="6">
        <f>IF(Eingabe[[#This Row],[Volle]]="","",IF(Eingabe[[#This Row],[S1]]="",Eingabe[[#This Row],[Volle]]+Eingabe[[#This Row],[Räumer]],IF(Eingabe[[#This Row],[Volle]]+Eingabe[[#This Row],[Räumer]]=Eingabe[[#This Row],[S1]]+Eingabe[[#This Row],[S2]]+Eingabe[[#This Row],[S3]]+Eingabe[[#This Row],[S4]],Eingabe[[#This Row],[Volle]]+Eingabe[[#This Row],[Räumer]],"FEHLER")))</f>
        <v>365</v>
      </c>
      <c r="AG431" s="6">
        <f>IF(Eingabe[[#This Row],[V1]]="","",Eingabe[[#This Row],[V1]]+Eingabe[[#This Row],[R1]])</f>
        <v>103</v>
      </c>
      <c r="AH431" s="6">
        <f>IF(Eingabe[[#This Row],[V2]]="","",Eingabe[[#This Row],[V2]]+Eingabe[[#This Row],[R2]])</f>
        <v>89</v>
      </c>
      <c r="AI431" s="6">
        <f>IF(Eingabe[[#This Row],[V3]]="","",Eingabe[[#This Row],[V3]]+Eingabe[[#This Row],[R3]])</f>
        <v>88</v>
      </c>
      <c r="AJ431" s="6">
        <f>IF(Eingabe[[#This Row],[V4]]="","",Eingabe[[#This Row],[V4]]+Eingabe[[#This Row],[R4]])</f>
        <v>85</v>
      </c>
      <c r="AK431" s="6" t="str">
        <f>IF(Eingabe[[#This Row],[S1P]]="","",Eingabe[[#This Row],[S1P]]+Eingabe[[#This Row],[S2P]]+Eingabe[[#This Row],[S3P]]+Eingabe[[#This Row],[S4P]])</f>
        <v/>
      </c>
      <c r="AL431" s="6" t="str">
        <f>IF(Eingabe[[#This Row],[S1P]]="","",IF(Eingabe[[#This Row],[SP]]&gt;2,1,IF(Eingabe[[#This Row],[SP]]&lt;2,0,IF(Eingabe[[#This Row],[GES]]&gt;Eingabe[[#This Row],[GEGGES]],1,IF(Eingabe[[#This Row],[GES]]=Eingabe[[#This Row],[GEGGES]],0.5,0)))))</f>
        <v/>
      </c>
      <c r="AM431" s="6" t="str">
        <f>IF(Eingabe[[#This Row],[MP]]="","",MOD(ROW(Eingabe[[#This Row],[Position]])-3,6)+1)</f>
        <v/>
      </c>
      <c r="AN431" s="6">
        <f>STANDARDIZE(Eingabe[[#This Row],[GES]],Eingabe[[#This Row],[Schnitt]],VLOOKUP(Eingabe[[#This Row],[Name]],AuswertungG[],21,FALSE))</f>
        <v>-0.61764705882352944</v>
      </c>
      <c r="AO431" s="6">
        <f>VLOOKUP(Eingabe[[#This Row],[ID]],Chronologie[[ID]:[KW]],12,FALSE)</f>
        <v>14</v>
      </c>
      <c r="AP431" s="95" t="str">
        <f>IF(Eingabe[[#This Row],[Wo]]="H",Eingabe[[#This Row],[Gegner]]&amp;" ["&amp;Eingabe[[#This Row],[Wo]]&amp;"]",Eingabe[[#This Row],[Ort]])</f>
        <v>Weißenborn</v>
      </c>
      <c r="AQ431" s="6" t="str">
        <f>IFERROR(IF(Eingabe[[#This Row],[Wo]]="H",IF(MOD(Eingabe[[#This Row],[Position]],2)=1,Eingabe[[#This Row],[S1]],Eingabe[[#This Row],[S4]]),""),"")</f>
        <v/>
      </c>
      <c r="AR431" s="6" t="str">
        <f>IFERROR(IF(Eingabe[[#This Row],[Wo]]="H",IF(Eingabe[[#This Row],[S1]]&gt;0,IF(MOD(Eingabe[[#This Row],[Position]],2)=1,Eingabe[[#This Row],[S2]],Eingabe[[#This Row],[S3]]),""),""),"")</f>
        <v/>
      </c>
      <c r="AS431" s="6" t="str">
        <f>IFERROR(IF(Eingabe[[#This Row],[Wo]]="H",IF(Eingabe[[#This Row],[S1]]&gt;0,IF(MOD(ROW(Eingabe[[#This Row],[Heimbahn 3]]),2)=1,Eingabe[[#This Row],[S4]],Eingabe[[#This Row],[S1]]),""),""),"")</f>
        <v/>
      </c>
      <c r="AT431" s="6" t="str">
        <f>IFERROR(IF(Eingabe[[#This Row],[Wo]]="H",IF(Eingabe[[#This Row],[S1]]&gt;0,IF(MOD(ROW(Eingabe[[#This Row],[Heimbahn 4]]),2)=1,Eingabe[[#This Row],[S3]],Eingabe[[#This Row],[S2]]),""),""),"")</f>
        <v/>
      </c>
      <c r="AU431" s="22">
        <f>IF(Eingabe[[#This Row],[GES]]="","",IF(Eingabe[[#This Row],[Modus]]="L",_xlfn.RANK.EQ(Eingabe[[#This Row],[GES]],AF429:AF434),IF(Eingabe[[#This Row],[Modus]]="P",_xlfn.RANK.EQ(Eingabe[[#This Row],[GES]],AF429:AF434),"")))</f>
        <v>2</v>
      </c>
      <c r="AV431" s="6">
        <f>VLOOKUP(Eingabe[[#This Row],[Name]],AuswertungG[],8,FALSE)</f>
        <v>386</v>
      </c>
      <c r="AZ431" s="6">
        <f>IFERROR(ABS(Eingabe[[#This Row],[GES]]-Eingabe[[#This Row],[GEGGES]]),"")</f>
        <v>365</v>
      </c>
    </row>
    <row r="432" spans="1:52" x14ac:dyDescent="0.3">
      <c r="A432" s="441"/>
      <c r="B432" s="21">
        <f t="shared" si="46"/>
        <v>72</v>
      </c>
      <c r="C432" s="6" t="str">
        <f>VLOOKUP($B432,Chronologie[],7,TRUE)</f>
        <v>SV Rotation Weißenborn</v>
      </c>
      <c r="D432" s="6" t="str">
        <f>VLOOKUP($B432,Chronologie[],8,TRUE)</f>
        <v>Weißenborn</v>
      </c>
      <c r="E432" s="240" t="str">
        <f>VLOOKUP($B432,Chronologie[],9,TRUE)</f>
        <v>A</v>
      </c>
      <c r="F432" s="6" t="str">
        <f>VLOOKUP($B432,Chronologie[],COLUMN(F433)-2,TRUE)</f>
        <v>U14</v>
      </c>
      <c r="G432" s="6" t="str">
        <f>VLOOKUP($B432,Chronologie[],COLUMN(G433)-2,TRUE)</f>
        <v>L</v>
      </c>
      <c r="H432" s="6">
        <f>VLOOKUP($B432,Chronologie[],COLUMN(H433)-2,TRUE)</f>
        <v>5</v>
      </c>
      <c r="I432" s="10" t="str">
        <f>VLOOKUP($B432,Chronologie[],2,TRUE)</f>
        <v>U14-L-5</v>
      </c>
      <c r="J432" s="243">
        <f>VLOOKUP($B432,Chronologie[],3,TRUE)</f>
        <v>45991</v>
      </c>
      <c r="K432" s="238" t="s">
        <v>599</v>
      </c>
      <c r="L432" s="237">
        <v>59</v>
      </c>
      <c r="M432" s="237">
        <v>72</v>
      </c>
      <c r="N432" s="237">
        <v>70</v>
      </c>
      <c r="O432" s="237">
        <v>62</v>
      </c>
      <c r="P432" s="237">
        <v>8</v>
      </c>
      <c r="Q432" s="237">
        <v>19</v>
      </c>
      <c r="R432" s="237">
        <v>8</v>
      </c>
      <c r="S432" s="237">
        <v>28</v>
      </c>
      <c r="T432" s="237">
        <v>12</v>
      </c>
      <c r="U432" s="237">
        <v>7</v>
      </c>
      <c r="V432" s="237">
        <v>13</v>
      </c>
      <c r="W432" s="237">
        <v>4</v>
      </c>
      <c r="X432" s="38"/>
      <c r="Y432" s="38"/>
      <c r="Z432" s="38"/>
      <c r="AA432" s="38"/>
      <c r="AB432" s="91"/>
      <c r="AC432" s="94">
        <f>IF(Eingabe[[#This Row],[V1]]="",IF(Eingabe[[#This Row],[Volle alternativ]]="","",Eingabe[[#This Row],[Volle alternativ]]),SUM(Eingabe[[#This Row],[V1]:[V4]]))</f>
        <v>263</v>
      </c>
      <c r="AD432" s="6">
        <f>IF(Eingabe[[#This Row],[R1]]="",IF(Eingabe[[#This Row],[Räumer alternativ]]="","",Eingabe[[#This Row],[Räumer alternativ]]),SUM(Eingabe[[#This Row],[R1]:[R4]]))</f>
        <v>63</v>
      </c>
      <c r="AE432" s="6">
        <f>IF(Eingabe[[#This Row],[F1]]="",IF(Eingabe[[#This Row],[Fehler alternativ]]="","",Eingabe[[#This Row],[Fehler alternativ]]),SUM(Eingabe[[#This Row],[F1]:[F4]]))</f>
        <v>36</v>
      </c>
      <c r="AF432" s="6">
        <f>IF(Eingabe[[#This Row],[Volle]]="","",IF(Eingabe[[#This Row],[S1]]="",Eingabe[[#This Row],[Volle]]+Eingabe[[#This Row],[Räumer]],IF(Eingabe[[#This Row],[Volle]]+Eingabe[[#This Row],[Räumer]]=Eingabe[[#This Row],[S1]]+Eingabe[[#This Row],[S2]]+Eingabe[[#This Row],[S3]]+Eingabe[[#This Row],[S4]],Eingabe[[#This Row],[Volle]]+Eingabe[[#This Row],[Räumer]],"FEHLER")))</f>
        <v>326</v>
      </c>
      <c r="AG432" s="6">
        <f>IF(Eingabe[[#This Row],[V1]]="","",Eingabe[[#This Row],[V1]]+Eingabe[[#This Row],[R1]])</f>
        <v>67</v>
      </c>
      <c r="AH432" s="6">
        <f>IF(Eingabe[[#This Row],[V2]]="","",Eingabe[[#This Row],[V2]]+Eingabe[[#This Row],[R2]])</f>
        <v>91</v>
      </c>
      <c r="AI432" s="6">
        <f>IF(Eingabe[[#This Row],[V3]]="","",Eingabe[[#This Row],[V3]]+Eingabe[[#This Row],[R3]])</f>
        <v>78</v>
      </c>
      <c r="AJ432" s="6">
        <f>IF(Eingabe[[#This Row],[V4]]="","",Eingabe[[#This Row],[V4]]+Eingabe[[#This Row],[R4]])</f>
        <v>90</v>
      </c>
      <c r="AK432" s="6" t="str">
        <f>IF(Eingabe[[#This Row],[S1P]]="","",Eingabe[[#This Row],[S1P]]+Eingabe[[#This Row],[S2P]]+Eingabe[[#This Row],[S3P]]+Eingabe[[#This Row],[S4P]])</f>
        <v/>
      </c>
      <c r="AL432" s="6" t="str">
        <f>IF(Eingabe[[#This Row],[S1P]]="","",IF(Eingabe[[#This Row],[SP]]&gt;2,1,IF(Eingabe[[#This Row],[SP]]&lt;2,0,IF(Eingabe[[#This Row],[GES]]&gt;Eingabe[[#This Row],[GEGGES]],1,IF(Eingabe[[#This Row],[GES]]=Eingabe[[#This Row],[GEGGES]],0.5,0)))))</f>
        <v/>
      </c>
      <c r="AM432" s="6" t="str">
        <f>IF(Eingabe[[#This Row],[MP]]="","",MOD(ROW(Eingabe[[#This Row],[Position]])-3,6)+1)</f>
        <v/>
      </c>
      <c r="AN432" s="6">
        <f>STANDARDIZE(Eingabe[[#This Row],[GES]],Eingabe[[#This Row],[Schnitt]],VLOOKUP(Eingabe[[#This Row],[Name]],AuswertungG[],21,FALSE))</f>
        <v>-1.6086956521739131</v>
      </c>
      <c r="AO432" s="6">
        <f>VLOOKUP(Eingabe[[#This Row],[ID]],Chronologie[[ID]:[KW]],12,FALSE)</f>
        <v>14</v>
      </c>
      <c r="AP432" s="95" t="str">
        <f>IF(Eingabe[[#This Row],[Wo]]="H",Eingabe[[#This Row],[Gegner]]&amp;" ["&amp;Eingabe[[#This Row],[Wo]]&amp;"]",Eingabe[[#This Row],[Ort]])</f>
        <v>Weißenborn</v>
      </c>
      <c r="AQ432" s="6" t="str">
        <f>IFERROR(IF(Eingabe[[#This Row],[Wo]]="H",IF(MOD(Eingabe[[#This Row],[Position]],2)=1,Eingabe[[#This Row],[S1]],Eingabe[[#This Row],[S4]]),""),"")</f>
        <v/>
      </c>
      <c r="AR432" s="6" t="str">
        <f>IFERROR(IF(Eingabe[[#This Row],[Wo]]="H",IF(Eingabe[[#This Row],[S1]]&gt;0,IF(MOD(Eingabe[[#This Row],[Position]],2)=1,Eingabe[[#This Row],[S2]],Eingabe[[#This Row],[S3]]),""),""),"")</f>
        <v/>
      </c>
      <c r="AS432" s="6" t="str">
        <f>IFERROR(IF(Eingabe[[#This Row],[Wo]]="H",IF(Eingabe[[#This Row],[S1]]&gt;0,IF(MOD(ROW(Eingabe[[#This Row],[Heimbahn 3]]),2)=1,Eingabe[[#This Row],[S4]],Eingabe[[#This Row],[S1]]),""),""),"")</f>
        <v/>
      </c>
      <c r="AT432" s="6" t="str">
        <f>IFERROR(IF(Eingabe[[#This Row],[Wo]]="H",IF(Eingabe[[#This Row],[S1]]&gt;0,IF(MOD(ROW(Eingabe[[#This Row],[Heimbahn 4]]),2)=1,Eingabe[[#This Row],[S3]],Eingabe[[#This Row],[S2]]),""),""),"")</f>
        <v/>
      </c>
      <c r="AU432" s="22">
        <f>IF(Eingabe[[#This Row],[GES]]="","",IF(Eingabe[[#This Row],[Modus]]="L",_xlfn.RANK.EQ(Eingabe[[#This Row],[GES]],AF429:AF434),IF(Eingabe[[#This Row],[Modus]]="P",_xlfn.RANK.EQ(Eingabe[[#This Row],[GES]],AF429:AF434),"")))</f>
        <v>4</v>
      </c>
      <c r="AV432" s="6">
        <f>VLOOKUP(Eingabe[[#This Row],[Name]],AuswertungG[],8,FALSE)</f>
        <v>363</v>
      </c>
      <c r="AZ432" s="6">
        <f>IFERROR(ABS(Eingabe[[#This Row],[GES]]-Eingabe[[#This Row],[GEGGES]]),"")</f>
        <v>326</v>
      </c>
    </row>
    <row r="433" spans="1:52" x14ac:dyDescent="0.3">
      <c r="A433" s="441"/>
      <c r="B433" s="21">
        <f t="shared" si="46"/>
        <v>72</v>
      </c>
      <c r="C433" s="6" t="str">
        <f>VLOOKUP($B433,Chronologie[],7,TRUE)</f>
        <v>SV Rotation Weißenborn</v>
      </c>
      <c r="D433" s="6" t="str">
        <f>VLOOKUP($B433,Chronologie[],8,TRUE)</f>
        <v>Weißenborn</v>
      </c>
      <c r="E433" s="240" t="str">
        <f>VLOOKUP($B433,Chronologie[],9,TRUE)</f>
        <v>A</v>
      </c>
      <c r="F433" s="6" t="str">
        <f>VLOOKUP($B433,Chronologie[],COLUMN(F434)-2,TRUE)</f>
        <v>U14</v>
      </c>
      <c r="G433" s="6" t="str">
        <f>VLOOKUP($B433,Chronologie[],COLUMN(G434)-2,TRUE)</f>
        <v>L</v>
      </c>
      <c r="H433" s="6">
        <f>VLOOKUP($B433,Chronologie[],COLUMN(H434)-2,TRUE)</f>
        <v>5</v>
      </c>
      <c r="I433" s="10" t="str">
        <f>VLOOKUP($B433,Chronologie[],2,TRUE)</f>
        <v>U14-L-5</v>
      </c>
      <c r="J433" s="243">
        <f>VLOOKUP($B433,Chronologie[],3,TRUE)</f>
        <v>45991</v>
      </c>
      <c r="K433" s="237"/>
      <c r="L433" s="237"/>
      <c r="M433" s="237"/>
      <c r="N433" s="237"/>
      <c r="O433" s="237"/>
      <c r="P433" s="237"/>
      <c r="Q433" s="237"/>
      <c r="R433" s="237"/>
      <c r="S433" s="237"/>
      <c r="T433" s="237"/>
      <c r="U433" s="237"/>
      <c r="V433" s="237"/>
      <c r="W433" s="237"/>
      <c r="X433" s="38"/>
      <c r="Y433" s="38"/>
      <c r="Z433" s="38"/>
      <c r="AA433" s="38"/>
      <c r="AB433" s="91"/>
      <c r="AC433" s="94" t="str">
        <f>IF(Eingabe[[#This Row],[V1]]="",IF(Eingabe[[#This Row],[Volle alternativ]]="","",Eingabe[[#This Row],[Volle alternativ]]),SUM(Eingabe[[#This Row],[V1]:[V4]]))</f>
        <v/>
      </c>
      <c r="AD433" s="6" t="str">
        <f>IF(Eingabe[[#This Row],[R1]]="",IF(Eingabe[[#This Row],[Räumer alternativ]]="","",Eingabe[[#This Row],[Räumer alternativ]]),SUM(Eingabe[[#This Row],[R1]:[R4]]))</f>
        <v/>
      </c>
      <c r="AE433" s="6" t="str">
        <f>IF(Eingabe[[#This Row],[F1]]="",IF(Eingabe[[#This Row],[Fehler alternativ]]="","",Eingabe[[#This Row],[Fehler alternativ]]),SUM(Eingabe[[#This Row],[F1]:[F4]]))</f>
        <v/>
      </c>
      <c r="AF433" s="6" t="str">
        <f>IF(Eingabe[[#This Row],[Volle]]="","",IF(Eingabe[[#This Row],[S1]]="",Eingabe[[#This Row],[Volle]]+Eingabe[[#This Row],[Räumer]],IF(Eingabe[[#This Row],[Volle]]+Eingabe[[#This Row],[Räumer]]=Eingabe[[#This Row],[S1]]+Eingabe[[#This Row],[S2]]+Eingabe[[#This Row],[S3]]+Eingabe[[#This Row],[S4]],Eingabe[[#This Row],[Volle]]+Eingabe[[#This Row],[Räumer]],"FEHLER")))</f>
        <v/>
      </c>
      <c r="AG433" s="6" t="str">
        <f>IF(Eingabe[[#This Row],[V1]]="","",Eingabe[[#This Row],[V1]]+Eingabe[[#This Row],[R1]])</f>
        <v/>
      </c>
      <c r="AH433" s="6" t="str">
        <f>IF(Eingabe[[#This Row],[V2]]="","",Eingabe[[#This Row],[V2]]+Eingabe[[#This Row],[R2]])</f>
        <v/>
      </c>
      <c r="AI433" s="6" t="str">
        <f>IF(Eingabe[[#This Row],[V3]]="","",Eingabe[[#This Row],[V3]]+Eingabe[[#This Row],[R3]])</f>
        <v/>
      </c>
      <c r="AJ433" s="6" t="str">
        <f>IF(Eingabe[[#This Row],[V4]]="","",Eingabe[[#This Row],[V4]]+Eingabe[[#This Row],[R4]])</f>
        <v/>
      </c>
      <c r="AK433" s="6" t="str">
        <f>IF(Eingabe[[#This Row],[S1P]]="","",Eingabe[[#This Row],[S1P]]+Eingabe[[#This Row],[S2P]]+Eingabe[[#This Row],[S3P]]+Eingabe[[#This Row],[S4P]])</f>
        <v/>
      </c>
      <c r="AL433" s="6" t="str">
        <f>IF(Eingabe[[#This Row],[S1P]]="","",IF(Eingabe[[#This Row],[SP]]&gt;2,1,IF(Eingabe[[#This Row],[SP]]&lt;2,0,IF(Eingabe[[#This Row],[GES]]&gt;Eingabe[[#This Row],[GEGGES]],1,IF(Eingabe[[#This Row],[GES]]=Eingabe[[#This Row],[GEGGES]],0.5,0)))))</f>
        <v/>
      </c>
      <c r="AM433" s="6" t="str">
        <f>IF(Eingabe[[#This Row],[MP]]="","",MOD(ROW(Eingabe[[#This Row],[Position]])-3,6)+1)</f>
        <v/>
      </c>
      <c r="AN433" s="6" t="e">
        <f>STANDARDIZE(Eingabe[[#This Row],[GES]],Eingabe[[#This Row],[Schnitt]],VLOOKUP(Eingabe[[#This Row],[Name]],AuswertungG[],21,FALSE))</f>
        <v>#VALUE!</v>
      </c>
      <c r="AO433" s="6">
        <f>VLOOKUP(Eingabe[[#This Row],[ID]],Chronologie[[ID]:[KW]],12,FALSE)</f>
        <v>14</v>
      </c>
      <c r="AP433" s="95" t="str">
        <f>IF(Eingabe[[#This Row],[Wo]]="H",Eingabe[[#This Row],[Gegner]]&amp;" ["&amp;Eingabe[[#This Row],[Wo]]&amp;"]",Eingabe[[#This Row],[Ort]])</f>
        <v>Weißenborn</v>
      </c>
      <c r="AQ433" s="6" t="str">
        <f>IFERROR(IF(Eingabe[[#This Row],[Wo]]="H",IF(MOD(Eingabe[[#This Row],[Position]],2)=1,Eingabe[[#This Row],[S1]],Eingabe[[#This Row],[S4]]),""),"")</f>
        <v/>
      </c>
      <c r="AR433" s="6" t="str">
        <f>IFERROR(IF(Eingabe[[#This Row],[Wo]]="H",IF(Eingabe[[#This Row],[S1]]&gt;0,IF(MOD(Eingabe[[#This Row],[Position]],2)=1,Eingabe[[#This Row],[S2]],Eingabe[[#This Row],[S3]]),""),""),"")</f>
        <v/>
      </c>
      <c r="AS433" s="6" t="str">
        <f>IFERROR(IF(Eingabe[[#This Row],[Wo]]="H",IF(Eingabe[[#This Row],[S1]]&gt;0,IF(MOD(ROW(Eingabe[[#This Row],[Heimbahn 3]]),2)=1,Eingabe[[#This Row],[S4]],Eingabe[[#This Row],[S1]]),""),""),"")</f>
        <v/>
      </c>
      <c r="AT433" s="6" t="str">
        <f>IFERROR(IF(Eingabe[[#This Row],[Wo]]="H",IF(Eingabe[[#This Row],[S1]]&gt;0,IF(MOD(ROW(Eingabe[[#This Row],[Heimbahn 4]]),2)=1,Eingabe[[#This Row],[S3]],Eingabe[[#This Row],[S2]]),""),""),"")</f>
        <v/>
      </c>
      <c r="AU433" s="22" t="str">
        <f>IF(Eingabe[[#This Row],[GES]]="","",IF(Eingabe[[#This Row],[Modus]]="L",_xlfn.RANK.EQ(Eingabe[[#This Row],[GES]],AF429:AF434),IF(Eingabe[[#This Row],[Modus]]="P",_xlfn.RANK.EQ(Eingabe[[#This Row],[GES]],AF429:AF434),"")))</f>
        <v/>
      </c>
      <c r="AV433" s="6" t="e">
        <f>VLOOKUP(Eingabe[[#This Row],[Name]],AuswertungG[],8,FALSE)</f>
        <v>#N/A</v>
      </c>
      <c r="AZ433" s="6" t="str">
        <f>IFERROR(ABS(Eingabe[[#This Row],[GES]]-Eingabe[[#This Row],[GEGGES]]),"")</f>
        <v/>
      </c>
    </row>
    <row r="434" spans="1:52" ht="16.2" thickBot="1" x14ac:dyDescent="0.35">
      <c r="A434" s="442"/>
      <c r="B434" s="56">
        <f t="shared" si="46"/>
        <v>72</v>
      </c>
      <c r="C434" s="23" t="str">
        <f>VLOOKUP($B434,Chronologie[],7,TRUE)</f>
        <v>SV Rotation Weißenborn</v>
      </c>
      <c r="D434" s="23" t="str">
        <f>VLOOKUP($B434,Chronologie[],8,TRUE)</f>
        <v>Weißenborn</v>
      </c>
      <c r="E434" s="39" t="str">
        <f>VLOOKUP($B434,Chronologie[],9,TRUE)</f>
        <v>A</v>
      </c>
      <c r="F434" s="23" t="str">
        <f>VLOOKUP($B434,Chronologie[],COLUMN(F435)-2,TRUE)</f>
        <v>U14</v>
      </c>
      <c r="G434" s="23" t="str">
        <f>VLOOKUP($B434,Chronologie[],COLUMN(G435)-2,TRUE)</f>
        <v>L</v>
      </c>
      <c r="H434" s="23">
        <f>VLOOKUP($B434,Chronologie[],COLUMN(H435)-2,TRUE)</f>
        <v>5</v>
      </c>
      <c r="I434" s="13" t="str">
        <f>VLOOKUP($B434,Chronologie[],2,TRUE)</f>
        <v>U14-L-5</v>
      </c>
      <c r="J434" s="244">
        <f>VLOOKUP($B434,Chronologie[],3,TRUE)</f>
        <v>45991</v>
      </c>
      <c r="K434" s="239"/>
      <c r="L434" s="239"/>
      <c r="M434" s="239"/>
      <c r="N434" s="239"/>
      <c r="O434" s="239"/>
      <c r="P434" s="239"/>
      <c r="Q434" s="239"/>
      <c r="R434" s="239"/>
      <c r="S434" s="239"/>
      <c r="T434" s="239"/>
      <c r="U434" s="239"/>
      <c r="V434" s="239"/>
      <c r="W434" s="239"/>
      <c r="X434" s="40"/>
      <c r="Y434" s="40"/>
      <c r="Z434" s="40"/>
      <c r="AA434" s="40"/>
      <c r="AB434" s="92"/>
      <c r="AC434" s="96" t="str">
        <f>IF(Eingabe[[#This Row],[V1]]="",IF(Eingabe[[#This Row],[Volle alternativ]]="","",Eingabe[[#This Row],[Volle alternativ]]),SUM(Eingabe[[#This Row],[V1]:[V4]]))</f>
        <v/>
      </c>
      <c r="AD434" s="23" t="str">
        <f>IF(Eingabe[[#This Row],[R1]]="",IF(Eingabe[[#This Row],[Räumer alternativ]]="","",Eingabe[[#This Row],[Räumer alternativ]]),SUM(Eingabe[[#This Row],[R1]:[R4]]))</f>
        <v/>
      </c>
      <c r="AE434" s="23" t="str">
        <f>IF(Eingabe[[#This Row],[F1]]="",IF(Eingabe[[#This Row],[Fehler alternativ]]="","",Eingabe[[#This Row],[Fehler alternativ]]),SUM(Eingabe[[#This Row],[F1]:[F4]]))</f>
        <v/>
      </c>
      <c r="AF434" s="23" t="str">
        <f>IF(Eingabe[[#This Row],[Volle]]="","",IF(Eingabe[[#This Row],[S1]]="",Eingabe[[#This Row],[Volle]]+Eingabe[[#This Row],[Räumer]],IF(Eingabe[[#This Row],[Volle]]+Eingabe[[#This Row],[Räumer]]=Eingabe[[#This Row],[S1]]+Eingabe[[#This Row],[S2]]+Eingabe[[#This Row],[S3]]+Eingabe[[#This Row],[S4]],Eingabe[[#This Row],[Volle]]+Eingabe[[#This Row],[Räumer]],"FEHLER")))</f>
        <v/>
      </c>
      <c r="AG434" s="23" t="str">
        <f>IF(Eingabe[[#This Row],[V1]]="","",Eingabe[[#This Row],[V1]]+Eingabe[[#This Row],[R1]])</f>
        <v/>
      </c>
      <c r="AH434" s="23" t="str">
        <f>IF(Eingabe[[#This Row],[V2]]="","",Eingabe[[#This Row],[V2]]+Eingabe[[#This Row],[R2]])</f>
        <v/>
      </c>
      <c r="AI434" s="23" t="str">
        <f>IF(Eingabe[[#This Row],[V3]]="","",Eingabe[[#This Row],[V3]]+Eingabe[[#This Row],[R3]])</f>
        <v/>
      </c>
      <c r="AJ434" s="23" t="str">
        <f>IF(Eingabe[[#This Row],[V4]]="","",Eingabe[[#This Row],[V4]]+Eingabe[[#This Row],[R4]])</f>
        <v/>
      </c>
      <c r="AK434" s="23" t="str">
        <f>IF(Eingabe[[#This Row],[S1P]]="","",Eingabe[[#This Row],[S1P]]+Eingabe[[#This Row],[S2P]]+Eingabe[[#This Row],[S3P]]+Eingabe[[#This Row],[S4P]])</f>
        <v/>
      </c>
      <c r="AL434" s="23" t="str">
        <f>IF(Eingabe[[#This Row],[S1P]]="","",IF(Eingabe[[#This Row],[SP]]&gt;2,1,IF(Eingabe[[#This Row],[SP]]&lt;2,0,IF(Eingabe[[#This Row],[GES]]&gt;Eingabe[[#This Row],[GEGGES]],1,IF(Eingabe[[#This Row],[GES]]=Eingabe[[#This Row],[GEGGES]],0.5,0)))))</f>
        <v/>
      </c>
      <c r="AM434" s="23" t="str">
        <f>IF(Eingabe[[#This Row],[MP]]="","",MOD(ROW(Eingabe[[#This Row],[Position]])-3,6)+1)</f>
        <v/>
      </c>
      <c r="AN434" s="23" t="e">
        <f>STANDARDIZE(Eingabe[[#This Row],[GES]],Eingabe[[#This Row],[Schnitt]],VLOOKUP(Eingabe[[#This Row],[Name]],AuswertungG[],21,FALSE))</f>
        <v>#VALUE!</v>
      </c>
      <c r="AO434" s="23">
        <f>VLOOKUP(Eingabe[[#This Row],[ID]],Chronologie[[ID]:[KW]],12,FALSE)</f>
        <v>14</v>
      </c>
      <c r="AP434" s="59" t="str">
        <f>IF(Eingabe[[#This Row],[Wo]]="H",Eingabe[[#This Row],[Gegner]]&amp;" ["&amp;Eingabe[[#This Row],[Wo]]&amp;"]",Eingabe[[#This Row],[Ort]])</f>
        <v>Weißenborn</v>
      </c>
      <c r="AQ434" s="23" t="str">
        <f>IFERROR(IF(Eingabe[[#This Row],[Wo]]="H",IF(MOD(Eingabe[[#This Row],[Position]],2)=1,Eingabe[[#This Row],[S1]],Eingabe[[#This Row],[S4]]),""),"")</f>
        <v/>
      </c>
      <c r="AR434" s="23" t="str">
        <f>IFERROR(IF(Eingabe[[#This Row],[Wo]]="H",IF(Eingabe[[#This Row],[S1]]&gt;0,IF(MOD(Eingabe[[#This Row],[Position]],2)=1,Eingabe[[#This Row],[S2]],Eingabe[[#This Row],[S3]]),""),""),"")</f>
        <v/>
      </c>
      <c r="AS434" s="23" t="str">
        <f>IFERROR(IF(Eingabe[[#This Row],[Wo]]="H",IF(Eingabe[[#This Row],[S1]]&gt;0,IF(MOD(ROW(Eingabe[[#This Row],[Heimbahn 3]]),2)=1,Eingabe[[#This Row],[S4]],Eingabe[[#This Row],[S1]]),""),""),"")</f>
        <v/>
      </c>
      <c r="AT434" s="23" t="str">
        <f>IFERROR(IF(Eingabe[[#This Row],[Wo]]="H",IF(Eingabe[[#This Row],[S1]]&gt;0,IF(MOD(ROW(Eingabe[[#This Row],[Heimbahn 4]]),2)=1,Eingabe[[#This Row],[S3]],Eingabe[[#This Row],[S2]]),""),""),"")</f>
        <v/>
      </c>
      <c r="AU434" s="89" t="str">
        <f>IF(Eingabe[[#This Row],[GES]]="","",IF(Eingabe[[#This Row],[Modus]]="L",_xlfn.RANK.EQ(Eingabe[[#This Row],[GES]],AF429:AF434),IF(Eingabe[[#This Row],[Modus]]="P",_xlfn.RANK.EQ(Eingabe[[#This Row],[GES]],AF429:AF434),"")))</f>
        <v/>
      </c>
      <c r="AV434" s="6" t="e">
        <f>VLOOKUP(Eingabe[[#This Row],[Name]],AuswertungG[],8,FALSE)</f>
        <v>#N/A</v>
      </c>
      <c r="AZ434" s="6" t="str">
        <f>IFERROR(ABS(Eingabe[[#This Row],[GES]]-Eingabe[[#This Row],[GEGGES]]),"")</f>
        <v/>
      </c>
    </row>
    <row r="435" spans="1:52" x14ac:dyDescent="0.3">
      <c r="A435" s="440">
        <f t="shared" ref="A435:A483" si="47">B435</f>
        <v>73</v>
      </c>
      <c r="B435" s="55">
        <f t="shared" si="46"/>
        <v>73</v>
      </c>
      <c r="C435" s="35" t="str">
        <f>VLOOKUP($B435,Chronologie[],7,TRUE)</f>
        <v>BKC 52</v>
      </c>
      <c r="D435" s="35" t="str">
        <f>VLOOKUP($B435,Chronologie[],8,TRUE)</f>
        <v>Brand-Erbisdorf</v>
      </c>
      <c r="E435" s="36" t="str">
        <f>VLOOKUP($B435,Chronologie[],9,TRUE)</f>
        <v>A</v>
      </c>
      <c r="F435" s="35" t="str">
        <f>VLOOKUP($B435,Chronologie[],COLUMN(F436)-2,TRUE)</f>
        <v>U14</v>
      </c>
      <c r="G435" s="35" t="str">
        <f>VLOOKUP($B435,Chronologie[],COLUMN(G436)-2,TRUE)</f>
        <v>L</v>
      </c>
      <c r="H435" s="35">
        <f>VLOOKUP($B435,Chronologie[],COLUMN(H436)-2,TRUE)</f>
        <v>6</v>
      </c>
      <c r="I435" s="9" t="str">
        <f>VLOOKUP($B435,Chronologie[],2,TRUE)</f>
        <v>U14-L-6</v>
      </c>
      <c r="J435" s="242">
        <f>VLOOKUP($B435,Chronologie[],3,TRUE)</f>
        <v>46054</v>
      </c>
      <c r="K435" s="236" t="s">
        <v>476</v>
      </c>
      <c r="L435" s="334">
        <v>64</v>
      </c>
      <c r="M435" s="334">
        <v>64</v>
      </c>
      <c r="N435" s="334">
        <v>62</v>
      </c>
      <c r="O435" s="334">
        <v>68</v>
      </c>
      <c r="P435" s="334">
        <v>18</v>
      </c>
      <c r="Q435" s="334">
        <v>18</v>
      </c>
      <c r="R435" s="334">
        <v>24</v>
      </c>
      <c r="S435" s="334">
        <v>27</v>
      </c>
      <c r="T435" s="334">
        <v>6</v>
      </c>
      <c r="U435" s="334">
        <v>7</v>
      </c>
      <c r="V435" s="334">
        <v>6</v>
      </c>
      <c r="W435" s="334">
        <v>6</v>
      </c>
      <c r="X435" s="37"/>
      <c r="Y435" s="37"/>
      <c r="Z435" s="37"/>
      <c r="AA435" s="37"/>
      <c r="AB435" s="90"/>
      <c r="AC435" s="93">
        <f>IF(Eingabe[[#This Row],[V1]]="",IF(Eingabe[[#This Row],[Volle alternativ]]="","",Eingabe[[#This Row],[Volle alternativ]]),SUM(Eingabe[[#This Row],[V1]:[V4]]))</f>
        <v>258</v>
      </c>
      <c r="AD435" s="35">
        <f>IF(Eingabe[[#This Row],[R1]]="",IF(Eingabe[[#This Row],[Räumer alternativ]]="","",Eingabe[[#This Row],[Räumer alternativ]]),SUM(Eingabe[[#This Row],[R1]:[R4]]))</f>
        <v>87</v>
      </c>
      <c r="AE435" s="35">
        <f>IF(Eingabe[[#This Row],[F1]]="",IF(Eingabe[[#This Row],[Fehler alternativ]]="","",Eingabe[[#This Row],[Fehler alternativ]]),SUM(Eingabe[[#This Row],[F1]:[F4]]))</f>
        <v>25</v>
      </c>
      <c r="AF435" s="35">
        <f>IF(Eingabe[[#This Row],[Volle]]="","",IF(Eingabe[[#This Row],[S1]]="",Eingabe[[#This Row],[Volle]]+Eingabe[[#This Row],[Räumer]],IF(Eingabe[[#This Row],[Volle]]+Eingabe[[#This Row],[Räumer]]=Eingabe[[#This Row],[S1]]+Eingabe[[#This Row],[S2]]+Eingabe[[#This Row],[S3]]+Eingabe[[#This Row],[S4]],Eingabe[[#This Row],[Volle]]+Eingabe[[#This Row],[Räumer]],"FEHLER")))</f>
        <v>345</v>
      </c>
      <c r="AG435" s="35">
        <f>IF(Eingabe[[#This Row],[V1]]="","",Eingabe[[#This Row],[V1]]+Eingabe[[#This Row],[R1]])</f>
        <v>82</v>
      </c>
      <c r="AH435" s="35">
        <f>IF(Eingabe[[#This Row],[V2]]="","",Eingabe[[#This Row],[V2]]+Eingabe[[#This Row],[R2]])</f>
        <v>82</v>
      </c>
      <c r="AI435" s="35">
        <f>IF(Eingabe[[#This Row],[V3]]="","",Eingabe[[#This Row],[V3]]+Eingabe[[#This Row],[R3]])</f>
        <v>86</v>
      </c>
      <c r="AJ435" s="35">
        <f>IF(Eingabe[[#This Row],[V4]]="","",Eingabe[[#This Row],[V4]]+Eingabe[[#This Row],[R4]])</f>
        <v>95</v>
      </c>
      <c r="AK435" s="35" t="str">
        <f>IF(Eingabe[[#This Row],[S1P]]="","",Eingabe[[#This Row],[S1P]]+Eingabe[[#This Row],[S2P]]+Eingabe[[#This Row],[S3P]]+Eingabe[[#This Row],[S4P]])</f>
        <v/>
      </c>
      <c r="AL435" s="35" t="str">
        <f>IF(Eingabe[[#This Row],[S1P]]="","",IF(Eingabe[[#This Row],[SP]]&gt;2,1,IF(Eingabe[[#This Row],[SP]]&lt;2,0,IF(Eingabe[[#This Row],[GES]]&gt;Eingabe[[#This Row],[GEGGES]],1,IF(Eingabe[[#This Row],[GES]]=Eingabe[[#This Row],[GEGGES]],0.5,0)))))</f>
        <v/>
      </c>
      <c r="AM435" s="35" t="str">
        <f>IF(Eingabe[[#This Row],[MP]]="","",MOD(ROW(Eingabe[[#This Row],[Position]])-3,6)+1)</f>
        <v/>
      </c>
      <c r="AN435" s="35">
        <f>STANDARDIZE(Eingabe[[#This Row],[GES]],Eingabe[[#This Row],[Schnitt]],VLOOKUP(Eingabe[[#This Row],[Name]],AuswertungG[],21,FALSE))</f>
        <v>-1.6666666666666667</v>
      </c>
      <c r="AO435" s="35">
        <f>VLOOKUP(Eingabe[[#This Row],[ID]],Chronologie[[ID]:[KW]],12,FALSE)</f>
        <v>23</v>
      </c>
      <c r="AP435" s="58" t="str">
        <f>IF(Eingabe[[#This Row],[Wo]]="H",Eingabe[[#This Row],[Gegner]]&amp;" ["&amp;Eingabe[[#This Row],[Wo]]&amp;"]",Eingabe[[#This Row],[Ort]])</f>
        <v>Brand-Erbisdorf</v>
      </c>
      <c r="AQ435" s="35" t="str">
        <f>IFERROR(IF(Eingabe[[#This Row],[Wo]]="H",IF(MOD(Eingabe[[#This Row],[Position]],2)=1,Eingabe[[#This Row],[S1]],Eingabe[[#This Row],[S4]]),""),"")</f>
        <v/>
      </c>
      <c r="AR435" s="35" t="str">
        <f>IFERROR(IF(Eingabe[[#This Row],[Wo]]="H",IF(Eingabe[[#This Row],[S1]]&gt;0,IF(MOD(Eingabe[[#This Row],[Position]],2)=1,Eingabe[[#This Row],[S2]],Eingabe[[#This Row],[S3]]),""),""),"")</f>
        <v/>
      </c>
      <c r="AS435" s="35" t="str">
        <f>IFERROR(IF(Eingabe[[#This Row],[Wo]]="H",IF(Eingabe[[#This Row],[S1]]&gt;0,IF(MOD(ROW(Eingabe[[#This Row],[Heimbahn 3]]),2)=1,Eingabe[[#This Row],[S4]],Eingabe[[#This Row],[S1]]),""),""),"")</f>
        <v/>
      </c>
      <c r="AT435" s="35" t="str">
        <f>IFERROR(IF(Eingabe[[#This Row],[Wo]]="H",IF(Eingabe[[#This Row],[S1]]&gt;0,IF(MOD(ROW(Eingabe[[#This Row],[Heimbahn 4]]),2)=1,Eingabe[[#This Row],[S3]],Eingabe[[#This Row],[S2]]),""),""),"")</f>
        <v/>
      </c>
      <c r="AU435" s="88">
        <f>IF(Eingabe[[#This Row],[GES]]="","",IF(Eingabe[[#This Row],[Modus]]="L",_xlfn.RANK.EQ(Eingabe[[#This Row],[GES]],AF435:AF440),IF(Eingabe[[#This Row],[Modus]]="P",_xlfn.RANK.EQ(Eingabe[[#This Row],[GES]],AF435:AF440),"")))</f>
        <v>4</v>
      </c>
      <c r="AV435" s="6">
        <f>VLOOKUP(Eingabe[[#This Row],[Name]],AuswertungG[],8,FALSE)</f>
        <v>410</v>
      </c>
      <c r="AZ435" s="6">
        <f>IFERROR(ABS(Eingabe[[#This Row],[GES]]-Eingabe[[#This Row],[GEGGES]]),"")</f>
        <v>345</v>
      </c>
    </row>
    <row r="436" spans="1:52" x14ac:dyDescent="0.3">
      <c r="A436" s="441"/>
      <c r="B436" s="21">
        <f t="shared" si="46"/>
        <v>73</v>
      </c>
      <c r="C436" s="6" t="str">
        <f>VLOOKUP($B436,Chronologie[],7,TRUE)</f>
        <v>BKC 52</v>
      </c>
      <c r="D436" s="6" t="str">
        <f>VLOOKUP($B436,Chronologie[],8,TRUE)</f>
        <v>Brand-Erbisdorf</v>
      </c>
      <c r="E436" s="240" t="str">
        <f>VLOOKUP($B436,Chronologie[],9,TRUE)</f>
        <v>A</v>
      </c>
      <c r="F436" s="6" t="str">
        <f>VLOOKUP($B436,Chronologie[],COLUMN(F437)-2,TRUE)</f>
        <v>U14</v>
      </c>
      <c r="G436" s="6" t="str">
        <f>VLOOKUP($B436,Chronologie[],COLUMN(G437)-2,TRUE)</f>
        <v>L</v>
      </c>
      <c r="H436" s="6">
        <f>VLOOKUP($B436,Chronologie[],COLUMN(H437)-2,TRUE)</f>
        <v>6</v>
      </c>
      <c r="I436" s="10" t="str">
        <f>VLOOKUP($B436,Chronologie[],2,TRUE)</f>
        <v>U14-L-6</v>
      </c>
      <c r="J436" s="243">
        <f>VLOOKUP($B436,Chronologie[],3,TRUE)</f>
        <v>46054</v>
      </c>
      <c r="K436" s="237" t="s">
        <v>473</v>
      </c>
      <c r="L436" s="237">
        <v>72</v>
      </c>
      <c r="M436" s="237">
        <v>79</v>
      </c>
      <c r="N436" s="237">
        <v>59</v>
      </c>
      <c r="O436" s="237">
        <v>72</v>
      </c>
      <c r="P436" s="237">
        <v>27</v>
      </c>
      <c r="Q436" s="237">
        <v>17</v>
      </c>
      <c r="R436" s="237">
        <v>44</v>
      </c>
      <c r="S436" s="237">
        <v>27</v>
      </c>
      <c r="T436" s="237">
        <v>2</v>
      </c>
      <c r="U436" s="237">
        <v>8</v>
      </c>
      <c r="V436" s="237">
        <v>4</v>
      </c>
      <c r="W436" s="237">
        <v>5</v>
      </c>
      <c r="X436" s="38"/>
      <c r="Y436" s="38"/>
      <c r="Z436" s="38"/>
      <c r="AA436" s="38"/>
      <c r="AB436" s="91"/>
      <c r="AC436" s="94">
        <f>IF(Eingabe[[#This Row],[V1]]="",IF(Eingabe[[#This Row],[Volle alternativ]]="","",Eingabe[[#This Row],[Volle alternativ]]),SUM(Eingabe[[#This Row],[V1]:[V4]]))</f>
        <v>282</v>
      </c>
      <c r="AD436" s="6">
        <f>IF(Eingabe[[#This Row],[R1]]="",IF(Eingabe[[#This Row],[Räumer alternativ]]="","",Eingabe[[#This Row],[Räumer alternativ]]),SUM(Eingabe[[#This Row],[R1]:[R4]]))</f>
        <v>115</v>
      </c>
      <c r="AE436" s="6">
        <f>IF(Eingabe[[#This Row],[F1]]="",IF(Eingabe[[#This Row],[Fehler alternativ]]="","",Eingabe[[#This Row],[Fehler alternativ]]),SUM(Eingabe[[#This Row],[F1]:[F4]]))</f>
        <v>19</v>
      </c>
      <c r="AF436" s="6">
        <f>IF(Eingabe[[#This Row],[Volle]]="","",IF(Eingabe[[#This Row],[S1]]="",Eingabe[[#This Row],[Volle]]+Eingabe[[#This Row],[Räumer]],IF(Eingabe[[#This Row],[Volle]]+Eingabe[[#This Row],[Räumer]]=Eingabe[[#This Row],[S1]]+Eingabe[[#This Row],[S2]]+Eingabe[[#This Row],[S3]]+Eingabe[[#This Row],[S4]],Eingabe[[#This Row],[Volle]]+Eingabe[[#This Row],[Räumer]],"FEHLER")))</f>
        <v>397</v>
      </c>
      <c r="AG436" s="6">
        <f>IF(Eingabe[[#This Row],[V1]]="","",Eingabe[[#This Row],[V1]]+Eingabe[[#This Row],[R1]])</f>
        <v>99</v>
      </c>
      <c r="AH436" s="6">
        <f>IF(Eingabe[[#This Row],[V2]]="","",Eingabe[[#This Row],[V2]]+Eingabe[[#This Row],[R2]])</f>
        <v>96</v>
      </c>
      <c r="AI436" s="6">
        <f>IF(Eingabe[[#This Row],[V3]]="","",Eingabe[[#This Row],[V3]]+Eingabe[[#This Row],[R3]])</f>
        <v>103</v>
      </c>
      <c r="AJ436" s="6">
        <f>IF(Eingabe[[#This Row],[V4]]="","",Eingabe[[#This Row],[V4]]+Eingabe[[#This Row],[R4]])</f>
        <v>99</v>
      </c>
      <c r="AK436" s="6" t="str">
        <f>IF(Eingabe[[#This Row],[S1P]]="","",Eingabe[[#This Row],[S1P]]+Eingabe[[#This Row],[S2P]]+Eingabe[[#This Row],[S3P]]+Eingabe[[#This Row],[S4P]])</f>
        <v/>
      </c>
      <c r="AL436" s="6" t="str">
        <f>IF(Eingabe[[#This Row],[S1P]]="","",IF(Eingabe[[#This Row],[SP]]&gt;2,1,IF(Eingabe[[#This Row],[SP]]&lt;2,0,IF(Eingabe[[#This Row],[GES]]&gt;Eingabe[[#This Row],[GEGGES]],1,IF(Eingabe[[#This Row],[GES]]=Eingabe[[#This Row],[GEGGES]],0.5,0)))))</f>
        <v/>
      </c>
      <c r="AM436" s="6" t="str">
        <f>IF(Eingabe[[#This Row],[MP]]="","",MOD(ROW(Eingabe[[#This Row],[Position]])-3,6)+1)</f>
        <v/>
      </c>
      <c r="AN436" s="6">
        <f>STANDARDIZE(Eingabe[[#This Row],[GES]],Eingabe[[#This Row],[Schnitt]],VLOOKUP(Eingabe[[#This Row],[Name]],AuswertungG[],21,FALSE))</f>
        <v>0.84615384615384615</v>
      </c>
      <c r="AO436" s="6">
        <f>VLOOKUP(Eingabe[[#This Row],[ID]],Chronologie[[ID]:[KW]],12,FALSE)</f>
        <v>23</v>
      </c>
      <c r="AP436" s="95" t="str">
        <f>IF(Eingabe[[#This Row],[Wo]]="H",Eingabe[[#This Row],[Gegner]]&amp;" ["&amp;Eingabe[[#This Row],[Wo]]&amp;"]",Eingabe[[#This Row],[Ort]])</f>
        <v>Brand-Erbisdorf</v>
      </c>
      <c r="AQ436" s="6" t="str">
        <f>IFERROR(IF(Eingabe[[#This Row],[Wo]]="H",IF(MOD(Eingabe[[#This Row],[Position]],2)=1,Eingabe[[#This Row],[S1]],Eingabe[[#This Row],[S4]]),""),"")</f>
        <v/>
      </c>
      <c r="AR436" s="6" t="str">
        <f>IFERROR(IF(Eingabe[[#This Row],[Wo]]="H",IF(Eingabe[[#This Row],[S1]]&gt;0,IF(MOD(Eingabe[[#This Row],[Position]],2)=1,Eingabe[[#This Row],[S2]],Eingabe[[#This Row],[S3]]),""),""),"")</f>
        <v/>
      </c>
      <c r="AS436" s="6" t="str">
        <f>IFERROR(IF(Eingabe[[#This Row],[Wo]]="H",IF(Eingabe[[#This Row],[S1]]&gt;0,IF(MOD(ROW(Eingabe[[#This Row],[Heimbahn 3]]),2)=1,Eingabe[[#This Row],[S4]],Eingabe[[#This Row],[S1]]),""),""),"")</f>
        <v/>
      </c>
      <c r="AT436" s="6" t="str">
        <f>IFERROR(IF(Eingabe[[#This Row],[Wo]]="H",IF(Eingabe[[#This Row],[S1]]&gt;0,IF(MOD(ROW(Eingabe[[#This Row],[Heimbahn 4]]),2)=1,Eingabe[[#This Row],[S3]],Eingabe[[#This Row],[S2]]),""),""),"")</f>
        <v/>
      </c>
      <c r="AU436" s="22">
        <f>IF(Eingabe[[#This Row],[GES]]="","",IF(Eingabe[[#This Row],[Modus]]="L",_xlfn.RANK.EQ(Eingabe[[#This Row],[GES]],AF435:AF440),IF(Eingabe[[#This Row],[Modus]]="P",_xlfn.RANK.EQ(Eingabe[[#This Row],[GES]],AF435:AF440),"")))</f>
        <v>1</v>
      </c>
      <c r="AV436" s="6">
        <f>VLOOKUP(Eingabe[[#This Row],[Name]],AuswertungG[],8,FALSE)</f>
        <v>386</v>
      </c>
      <c r="AZ436" s="6">
        <f>IFERROR(ABS(Eingabe[[#This Row],[GES]]-Eingabe[[#This Row],[GEGGES]]),"")</f>
        <v>397</v>
      </c>
    </row>
    <row r="437" spans="1:52" x14ac:dyDescent="0.3">
      <c r="A437" s="441"/>
      <c r="B437" s="21">
        <f t="shared" si="46"/>
        <v>73</v>
      </c>
      <c r="C437" s="6" t="str">
        <f>VLOOKUP($B437,Chronologie[],7,TRUE)</f>
        <v>BKC 52</v>
      </c>
      <c r="D437" s="6" t="str">
        <f>VLOOKUP($B437,Chronologie[],8,TRUE)</f>
        <v>Brand-Erbisdorf</v>
      </c>
      <c r="E437" s="240" t="str">
        <f>VLOOKUP($B437,Chronologie[],9,TRUE)</f>
        <v>A</v>
      </c>
      <c r="F437" s="6" t="str">
        <f>VLOOKUP($B437,Chronologie[],COLUMN(F438)-2,TRUE)</f>
        <v>U14</v>
      </c>
      <c r="G437" s="6" t="str">
        <f>VLOOKUP($B437,Chronologie[],COLUMN(G438)-2,TRUE)</f>
        <v>L</v>
      </c>
      <c r="H437" s="6">
        <f>VLOOKUP($B437,Chronologie[],COLUMN(H438)-2,TRUE)</f>
        <v>6</v>
      </c>
      <c r="I437" s="10" t="str">
        <f>VLOOKUP($B437,Chronologie[],2,TRUE)</f>
        <v>U14-L-6</v>
      </c>
      <c r="J437" s="243">
        <f>VLOOKUP($B437,Chronologie[],3,TRUE)</f>
        <v>46054</v>
      </c>
      <c r="K437" s="237" t="s">
        <v>599</v>
      </c>
      <c r="L437" s="237">
        <v>57</v>
      </c>
      <c r="M437" s="237">
        <v>54</v>
      </c>
      <c r="N437" s="237">
        <v>63</v>
      </c>
      <c r="O437" s="237">
        <v>65</v>
      </c>
      <c r="P437" s="237">
        <v>26</v>
      </c>
      <c r="Q437" s="237">
        <v>18</v>
      </c>
      <c r="R437" s="237">
        <v>25</v>
      </c>
      <c r="S437" s="237">
        <v>18</v>
      </c>
      <c r="T437" s="237">
        <v>6</v>
      </c>
      <c r="U437" s="237">
        <v>6</v>
      </c>
      <c r="V437" s="237">
        <v>4</v>
      </c>
      <c r="W437" s="237">
        <v>6</v>
      </c>
      <c r="X437" s="38"/>
      <c r="Y437" s="38"/>
      <c r="Z437" s="38"/>
      <c r="AA437" s="38"/>
      <c r="AB437" s="91"/>
      <c r="AC437" s="94">
        <f>IF(Eingabe[[#This Row],[V1]]="",IF(Eingabe[[#This Row],[Volle alternativ]]="","",Eingabe[[#This Row],[Volle alternativ]]),SUM(Eingabe[[#This Row],[V1]:[V4]]))</f>
        <v>239</v>
      </c>
      <c r="AD437" s="6">
        <f>IF(Eingabe[[#This Row],[R1]]="",IF(Eingabe[[#This Row],[Räumer alternativ]]="","",Eingabe[[#This Row],[Räumer alternativ]]),SUM(Eingabe[[#This Row],[R1]:[R4]]))</f>
        <v>87</v>
      </c>
      <c r="AE437" s="6">
        <f>IF(Eingabe[[#This Row],[F1]]="",IF(Eingabe[[#This Row],[Fehler alternativ]]="","",Eingabe[[#This Row],[Fehler alternativ]]),SUM(Eingabe[[#This Row],[F1]:[F4]]))</f>
        <v>22</v>
      </c>
      <c r="AF437" s="6">
        <f>IF(Eingabe[[#This Row],[Volle]]="","",IF(Eingabe[[#This Row],[S1]]="",Eingabe[[#This Row],[Volle]]+Eingabe[[#This Row],[Räumer]],IF(Eingabe[[#This Row],[Volle]]+Eingabe[[#This Row],[Räumer]]=Eingabe[[#This Row],[S1]]+Eingabe[[#This Row],[S2]]+Eingabe[[#This Row],[S3]]+Eingabe[[#This Row],[S4]],Eingabe[[#This Row],[Volle]]+Eingabe[[#This Row],[Räumer]],"FEHLER")))</f>
        <v>326</v>
      </c>
      <c r="AG437" s="6">
        <f>IF(Eingabe[[#This Row],[V1]]="","",Eingabe[[#This Row],[V1]]+Eingabe[[#This Row],[R1]])</f>
        <v>83</v>
      </c>
      <c r="AH437" s="6">
        <f>IF(Eingabe[[#This Row],[V2]]="","",Eingabe[[#This Row],[V2]]+Eingabe[[#This Row],[R2]])</f>
        <v>72</v>
      </c>
      <c r="AI437" s="6">
        <f>IF(Eingabe[[#This Row],[V3]]="","",Eingabe[[#This Row],[V3]]+Eingabe[[#This Row],[R3]])</f>
        <v>88</v>
      </c>
      <c r="AJ437" s="6">
        <f>IF(Eingabe[[#This Row],[V4]]="","",Eingabe[[#This Row],[V4]]+Eingabe[[#This Row],[R4]])</f>
        <v>83</v>
      </c>
      <c r="AK437" s="6" t="str">
        <f>IF(Eingabe[[#This Row],[S1P]]="","",Eingabe[[#This Row],[S1P]]+Eingabe[[#This Row],[S2P]]+Eingabe[[#This Row],[S3P]]+Eingabe[[#This Row],[S4P]])</f>
        <v/>
      </c>
      <c r="AL437" s="6" t="str">
        <f>IF(Eingabe[[#This Row],[S1P]]="","",IF(Eingabe[[#This Row],[SP]]&gt;2,1,IF(Eingabe[[#This Row],[SP]]&lt;2,0,IF(Eingabe[[#This Row],[GES]]&gt;Eingabe[[#This Row],[GEGGES]],1,IF(Eingabe[[#This Row],[GES]]=Eingabe[[#This Row],[GEGGES]],0.5,0)))))</f>
        <v/>
      </c>
      <c r="AM437" s="6" t="str">
        <f>IF(Eingabe[[#This Row],[MP]]="","",MOD(ROW(Eingabe[[#This Row],[Position]])-3,6)+1)</f>
        <v/>
      </c>
      <c r="AN437" s="6">
        <f>STANDARDIZE(Eingabe[[#This Row],[GES]],Eingabe[[#This Row],[Schnitt]],VLOOKUP(Eingabe[[#This Row],[Name]],AuswertungG[],21,FALSE))</f>
        <v>-1.6086956521739131</v>
      </c>
      <c r="AO437" s="6">
        <f>VLOOKUP(Eingabe[[#This Row],[ID]],Chronologie[[ID]:[KW]],12,FALSE)</f>
        <v>23</v>
      </c>
      <c r="AP437" s="95" t="str">
        <f>IF(Eingabe[[#This Row],[Wo]]="H",Eingabe[[#This Row],[Gegner]]&amp;" ["&amp;Eingabe[[#This Row],[Wo]]&amp;"]",Eingabe[[#This Row],[Ort]])</f>
        <v>Brand-Erbisdorf</v>
      </c>
      <c r="AQ437" s="6" t="str">
        <f>IFERROR(IF(Eingabe[[#This Row],[Wo]]="H",IF(MOD(Eingabe[[#This Row],[Position]],2)=1,Eingabe[[#This Row],[S1]],Eingabe[[#This Row],[S4]]),""),"")</f>
        <v/>
      </c>
      <c r="AR437" s="6" t="str">
        <f>IFERROR(IF(Eingabe[[#This Row],[Wo]]="H",IF(Eingabe[[#This Row],[S1]]&gt;0,IF(MOD(Eingabe[[#This Row],[Position]],2)=1,Eingabe[[#This Row],[S2]],Eingabe[[#This Row],[S3]]),""),""),"")</f>
        <v/>
      </c>
      <c r="AS437" s="6" t="str">
        <f>IFERROR(IF(Eingabe[[#This Row],[Wo]]="H",IF(Eingabe[[#This Row],[S1]]&gt;0,IF(MOD(ROW(Eingabe[[#This Row],[Heimbahn 3]]),2)=1,Eingabe[[#This Row],[S4]],Eingabe[[#This Row],[S1]]),""),""),"")</f>
        <v/>
      </c>
      <c r="AT437" s="6" t="str">
        <f>IFERROR(IF(Eingabe[[#This Row],[Wo]]="H",IF(Eingabe[[#This Row],[S1]]&gt;0,IF(MOD(ROW(Eingabe[[#This Row],[Heimbahn 4]]),2)=1,Eingabe[[#This Row],[S3]],Eingabe[[#This Row],[S2]]),""),""),"")</f>
        <v/>
      </c>
      <c r="AU437" s="22">
        <f>IF(Eingabe[[#This Row],[GES]]="","",IF(Eingabe[[#This Row],[Modus]]="L",_xlfn.RANK.EQ(Eingabe[[#This Row],[GES]],AF435:AF440),IF(Eingabe[[#This Row],[Modus]]="P",_xlfn.RANK.EQ(Eingabe[[#This Row],[GES]],AF435:AF440),"")))</f>
        <v>5</v>
      </c>
      <c r="AV437" s="6">
        <f>VLOOKUP(Eingabe[[#This Row],[Name]],AuswertungG[],8,FALSE)</f>
        <v>363</v>
      </c>
      <c r="AZ437" s="6">
        <f>IFERROR(ABS(Eingabe[[#This Row],[GES]]-Eingabe[[#This Row],[GEGGES]]),"")</f>
        <v>326</v>
      </c>
    </row>
    <row r="438" spans="1:52" x14ac:dyDescent="0.3">
      <c r="A438" s="441"/>
      <c r="B438" s="21">
        <f t="shared" si="46"/>
        <v>73</v>
      </c>
      <c r="C438" s="6" t="str">
        <f>VLOOKUP($B438,Chronologie[],7,TRUE)</f>
        <v>BKC 52</v>
      </c>
      <c r="D438" s="6" t="str">
        <f>VLOOKUP($B438,Chronologie[],8,TRUE)</f>
        <v>Brand-Erbisdorf</v>
      </c>
      <c r="E438" s="240" t="str">
        <f>VLOOKUP($B438,Chronologie[],9,TRUE)</f>
        <v>A</v>
      </c>
      <c r="F438" s="6" t="str">
        <f>VLOOKUP($B438,Chronologie[],COLUMN(F439)-2,TRUE)</f>
        <v>U14</v>
      </c>
      <c r="G438" s="6" t="str">
        <f>VLOOKUP($B438,Chronologie[],COLUMN(G439)-2,TRUE)</f>
        <v>L</v>
      </c>
      <c r="H438" s="6">
        <f>VLOOKUP($B438,Chronologie[],COLUMN(H439)-2,TRUE)</f>
        <v>6</v>
      </c>
      <c r="I438" s="10" t="str">
        <f>VLOOKUP($B438,Chronologie[],2,TRUE)</f>
        <v>U14-L-6</v>
      </c>
      <c r="J438" s="243">
        <f>VLOOKUP($B438,Chronologie[],3,TRUE)</f>
        <v>46054</v>
      </c>
      <c r="K438" s="238" t="s">
        <v>484</v>
      </c>
      <c r="L438" s="237">
        <v>66</v>
      </c>
      <c r="M438" s="237">
        <v>65</v>
      </c>
      <c r="N438" s="237">
        <v>75</v>
      </c>
      <c r="O438" s="237">
        <v>74</v>
      </c>
      <c r="P438" s="237">
        <v>30</v>
      </c>
      <c r="Q438" s="237">
        <v>24</v>
      </c>
      <c r="R438" s="237">
        <v>18</v>
      </c>
      <c r="S438" s="237">
        <v>16</v>
      </c>
      <c r="T438" s="237">
        <v>4</v>
      </c>
      <c r="U438" s="237">
        <v>5</v>
      </c>
      <c r="V438" s="237">
        <v>9</v>
      </c>
      <c r="W438" s="237">
        <v>7</v>
      </c>
      <c r="X438" s="38"/>
      <c r="Y438" s="38"/>
      <c r="Z438" s="38"/>
      <c r="AA438" s="38"/>
      <c r="AB438" s="91"/>
      <c r="AC438" s="94">
        <f>IF(Eingabe[[#This Row],[V1]]="",IF(Eingabe[[#This Row],[Volle alternativ]]="","",Eingabe[[#This Row],[Volle alternativ]]),SUM(Eingabe[[#This Row],[V1]:[V4]]))</f>
        <v>280</v>
      </c>
      <c r="AD438" s="6">
        <f>IF(Eingabe[[#This Row],[R1]]="",IF(Eingabe[[#This Row],[Räumer alternativ]]="","",Eingabe[[#This Row],[Räumer alternativ]]),SUM(Eingabe[[#This Row],[R1]:[R4]]))</f>
        <v>88</v>
      </c>
      <c r="AE438" s="6">
        <f>IF(Eingabe[[#This Row],[F1]]="",IF(Eingabe[[#This Row],[Fehler alternativ]]="","",Eingabe[[#This Row],[Fehler alternativ]]),SUM(Eingabe[[#This Row],[F1]:[F4]]))</f>
        <v>25</v>
      </c>
      <c r="AF438" s="6">
        <f>IF(Eingabe[[#This Row],[Volle]]="","",IF(Eingabe[[#This Row],[S1]]="",Eingabe[[#This Row],[Volle]]+Eingabe[[#This Row],[Räumer]],IF(Eingabe[[#This Row],[Volle]]+Eingabe[[#This Row],[Räumer]]=Eingabe[[#This Row],[S1]]+Eingabe[[#This Row],[S2]]+Eingabe[[#This Row],[S3]]+Eingabe[[#This Row],[S4]],Eingabe[[#This Row],[Volle]]+Eingabe[[#This Row],[Räumer]],"FEHLER")))</f>
        <v>368</v>
      </c>
      <c r="AG438" s="6">
        <f>IF(Eingabe[[#This Row],[V1]]="","",Eingabe[[#This Row],[V1]]+Eingabe[[#This Row],[R1]])</f>
        <v>96</v>
      </c>
      <c r="AH438" s="6">
        <f>IF(Eingabe[[#This Row],[V2]]="","",Eingabe[[#This Row],[V2]]+Eingabe[[#This Row],[R2]])</f>
        <v>89</v>
      </c>
      <c r="AI438" s="6">
        <f>IF(Eingabe[[#This Row],[V3]]="","",Eingabe[[#This Row],[V3]]+Eingabe[[#This Row],[R3]])</f>
        <v>93</v>
      </c>
      <c r="AJ438" s="6">
        <f>IF(Eingabe[[#This Row],[V4]]="","",Eingabe[[#This Row],[V4]]+Eingabe[[#This Row],[R4]])</f>
        <v>90</v>
      </c>
      <c r="AK438" s="6" t="str">
        <f>IF(Eingabe[[#This Row],[S1P]]="","",Eingabe[[#This Row],[S1P]]+Eingabe[[#This Row],[S2P]]+Eingabe[[#This Row],[S3P]]+Eingabe[[#This Row],[S4P]])</f>
        <v/>
      </c>
      <c r="AL438" s="6" t="str">
        <f>IF(Eingabe[[#This Row],[S1P]]="","",IF(Eingabe[[#This Row],[SP]]&gt;2,1,IF(Eingabe[[#This Row],[SP]]&lt;2,0,IF(Eingabe[[#This Row],[GES]]&gt;Eingabe[[#This Row],[GEGGES]],1,IF(Eingabe[[#This Row],[GES]]=Eingabe[[#This Row],[GEGGES]],0.5,0)))))</f>
        <v/>
      </c>
      <c r="AM438" s="6" t="str">
        <f>IF(Eingabe[[#This Row],[MP]]="","",MOD(ROW(Eingabe[[#This Row],[Position]])-3,6)+1)</f>
        <v/>
      </c>
      <c r="AN438" s="6">
        <f>STANDARDIZE(Eingabe[[#This Row],[GES]],Eingabe[[#This Row],[Schnitt]],VLOOKUP(Eingabe[[#This Row],[Name]],AuswertungG[],21,FALSE))</f>
        <v>-0.52941176470588236</v>
      </c>
      <c r="AO438" s="6">
        <f>VLOOKUP(Eingabe[[#This Row],[ID]],Chronologie[[ID]:[KW]],12,FALSE)</f>
        <v>23</v>
      </c>
      <c r="AP438" s="95" t="str">
        <f>IF(Eingabe[[#This Row],[Wo]]="H",Eingabe[[#This Row],[Gegner]]&amp;" ["&amp;Eingabe[[#This Row],[Wo]]&amp;"]",Eingabe[[#This Row],[Ort]])</f>
        <v>Brand-Erbisdorf</v>
      </c>
      <c r="AQ438" s="6" t="str">
        <f>IFERROR(IF(Eingabe[[#This Row],[Wo]]="H",IF(MOD(Eingabe[[#This Row],[Position]],2)=1,Eingabe[[#This Row],[S1]],Eingabe[[#This Row],[S4]]),""),"")</f>
        <v/>
      </c>
      <c r="AR438" s="6" t="str">
        <f>IFERROR(IF(Eingabe[[#This Row],[Wo]]="H",IF(Eingabe[[#This Row],[S1]]&gt;0,IF(MOD(Eingabe[[#This Row],[Position]],2)=1,Eingabe[[#This Row],[S2]],Eingabe[[#This Row],[S3]]),""),""),"")</f>
        <v/>
      </c>
      <c r="AS438" s="6" t="str">
        <f>IFERROR(IF(Eingabe[[#This Row],[Wo]]="H",IF(Eingabe[[#This Row],[S1]]&gt;0,IF(MOD(ROW(Eingabe[[#This Row],[Heimbahn 3]]),2)=1,Eingabe[[#This Row],[S4]],Eingabe[[#This Row],[S1]]),""),""),"")</f>
        <v/>
      </c>
      <c r="AT438" s="6" t="str">
        <f>IFERROR(IF(Eingabe[[#This Row],[Wo]]="H",IF(Eingabe[[#This Row],[S1]]&gt;0,IF(MOD(ROW(Eingabe[[#This Row],[Heimbahn 4]]),2)=1,Eingabe[[#This Row],[S3]],Eingabe[[#This Row],[S2]]),""),""),"")</f>
        <v/>
      </c>
      <c r="AU438" s="22">
        <f>IF(Eingabe[[#This Row],[GES]]="","",IF(Eingabe[[#This Row],[Modus]]="L",_xlfn.RANK.EQ(Eingabe[[#This Row],[GES]],AF435:AF440),IF(Eingabe[[#This Row],[Modus]]="P",_xlfn.RANK.EQ(Eingabe[[#This Row],[GES]],AF435:AF440),"")))</f>
        <v>2</v>
      </c>
      <c r="AV438" s="6">
        <f>VLOOKUP(Eingabe[[#This Row],[Name]],AuswertungG[],8,FALSE)</f>
        <v>386</v>
      </c>
      <c r="AZ438" s="6">
        <f>IFERROR(ABS(Eingabe[[#This Row],[GES]]-Eingabe[[#This Row],[GEGGES]]),"")</f>
        <v>368</v>
      </c>
    </row>
    <row r="439" spans="1:52" x14ac:dyDescent="0.3">
      <c r="A439" s="441"/>
      <c r="B439" s="21">
        <f t="shared" si="46"/>
        <v>73</v>
      </c>
      <c r="C439" s="6" t="str">
        <f>VLOOKUP($B439,Chronologie[],7,TRUE)</f>
        <v>BKC 52</v>
      </c>
      <c r="D439" s="6" t="str">
        <f>VLOOKUP($B439,Chronologie[],8,TRUE)</f>
        <v>Brand-Erbisdorf</v>
      </c>
      <c r="E439" s="240" t="str">
        <f>VLOOKUP($B439,Chronologie[],9,TRUE)</f>
        <v>A</v>
      </c>
      <c r="F439" s="6" t="str">
        <f>VLOOKUP($B439,Chronologie[],COLUMN(F440)-2,TRUE)</f>
        <v>U14</v>
      </c>
      <c r="G439" s="6" t="str">
        <f>VLOOKUP($B439,Chronologie[],COLUMN(G440)-2,TRUE)</f>
        <v>L</v>
      </c>
      <c r="H439" s="6">
        <f>VLOOKUP($B439,Chronologie[],COLUMN(H440)-2,TRUE)</f>
        <v>6</v>
      </c>
      <c r="I439" s="10" t="str">
        <f>VLOOKUP($B439,Chronologie[],2,TRUE)</f>
        <v>U14-L-6</v>
      </c>
      <c r="J439" s="243">
        <f>VLOOKUP($B439,Chronologie[],3,TRUE)</f>
        <v>46054</v>
      </c>
      <c r="K439" s="237" t="s">
        <v>591</v>
      </c>
      <c r="L439" s="237">
        <v>58</v>
      </c>
      <c r="M439" s="237">
        <v>73</v>
      </c>
      <c r="N439" s="237">
        <v>57</v>
      </c>
      <c r="O439" s="237">
        <v>77</v>
      </c>
      <c r="P439" s="237">
        <v>12</v>
      </c>
      <c r="Q439" s="237">
        <v>18</v>
      </c>
      <c r="R439" s="237">
        <v>26</v>
      </c>
      <c r="S439" s="237">
        <v>26</v>
      </c>
      <c r="T439" s="237">
        <v>10</v>
      </c>
      <c r="U439" s="237">
        <v>6</v>
      </c>
      <c r="V439" s="237">
        <v>3</v>
      </c>
      <c r="W439" s="237">
        <v>6</v>
      </c>
      <c r="X439" s="38"/>
      <c r="Y439" s="38"/>
      <c r="Z439" s="38"/>
      <c r="AA439" s="38"/>
      <c r="AB439" s="91"/>
      <c r="AC439" s="94">
        <f>IF(Eingabe[[#This Row],[V1]]="",IF(Eingabe[[#This Row],[Volle alternativ]]="","",Eingabe[[#This Row],[Volle alternativ]]),SUM(Eingabe[[#This Row],[V1]:[V4]]))</f>
        <v>265</v>
      </c>
      <c r="AD439" s="6">
        <f>IF(Eingabe[[#This Row],[R1]]="",IF(Eingabe[[#This Row],[Räumer alternativ]]="","",Eingabe[[#This Row],[Räumer alternativ]]),SUM(Eingabe[[#This Row],[R1]:[R4]]))</f>
        <v>82</v>
      </c>
      <c r="AE439" s="6">
        <f>IF(Eingabe[[#This Row],[F1]]="",IF(Eingabe[[#This Row],[Fehler alternativ]]="","",Eingabe[[#This Row],[Fehler alternativ]]),SUM(Eingabe[[#This Row],[F1]:[F4]]))</f>
        <v>25</v>
      </c>
      <c r="AF439" s="6">
        <f>IF(Eingabe[[#This Row],[Volle]]="","",IF(Eingabe[[#This Row],[S1]]="",Eingabe[[#This Row],[Volle]]+Eingabe[[#This Row],[Räumer]],IF(Eingabe[[#This Row],[Volle]]+Eingabe[[#This Row],[Räumer]]=Eingabe[[#This Row],[S1]]+Eingabe[[#This Row],[S2]]+Eingabe[[#This Row],[S3]]+Eingabe[[#This Row],[S4]],Eingabe[[#This Row],[Volle]]+Eingabe[[#This Row],[Räumer]],"FEHLER")))</f>
        <v>347</v>
      </c>
      <c r="AG439" s="6">
        <f>IF(Eingabe[[#This Row],[V1]]="","",Eingabe[[#This Row],[V1]]+Eingabe[[#This Row],[R1]])</f>
        <v>70</v>
      </c>
      <c r="AH439" s="6">
        <f>IF(Eingabe[[#This Row],[V2]]="","",Eingabe[[#This Row],[V2]]+Eingabe[[#This Row],[R2]])</f>
        <v>91</v>
      </c>
      <c r="AI439" s="6">
        <f>IF(Eingabe[[#This Row],[V3]]="","",Eingabe[[#This Row],[V3]]+Eingabe[[#This Row],[R3]])</f>
        <v>83</v>
      </c>
      <c r="AJ439" s="6">
        <f>IF(Eingabe[[#This Row],[V4]]="","",Eingabe[[#This Row],[V4]]+Eingabe[[#This Row],[R4]])</f>
        <v>103</v>
      </c>
      <c r="AK439" s="6" t="str">
        <f>IF(Eingabe[[#This Row],[S1P]]="","",Eingabe[[#This Row],[S1P]]+Eingabe[[#This Row],[S2P]]+Eingabe[[#This Row],[S3P]]+Eingabe[[#This Row],[S4P]])</f>
        <v/>
      </c>
      <c r="AL439" s="6" t="str">
        <f>IF(Eingabe[[#This Row],[S1P]]="","",IF(Eingabe[[#This Row],[SP]]&gt;2,1,IF(Eingabe[[#This Row],[SP]]&lt;2,0,IF(Eingabe[[#This Row],[GES]]&gt;Eingabe[[#This Row],[GEGGES]],1,IF(Eingabe[[#This Row],[GES]]=Eingabe[[#This Row],[GEGGES]],0.5,0)))))</f>
        <v/>
      </c>
      <c r="AM439" s="6" t="str">
        <f>IF(Eingabe[[#This Row],[MP]]="","",MOD(ROW(Eingabe[[#This Row],[Position]])-3,6)+1)</f>
        <v/>
      </c>
      <c r="AN439" s="6">
        <f>STANDARDIZE(Eingabe[[#This Row],[GES]],Eingabe[[#This Row],[Schnitt]],VLOOKUP(Eingabe[[#This Row],[Name]],AuswertungG[],21,FALSE))</f>
        <v>1</v>
      </c>
      <c r="AO439" s="6">
        <f>VLOOKUP(Eingabe[[#This Row],[ID]],Chronologie[[ID]:[KW]],12,FALSE)</f>
        <v>23</v>
      </c>
      <c r="AP439" s="95" t="str">
        <f>IF(Eingabe[[#This Row],[Wo]]="H",Eingabe[[#This Row],[Gegner]]&amp;" ["&amp;Eingabe[[#This Row],[Wo]]&amp;"]",Eingabe[[#This Row],[Ort]])</f>
        <v>Brand-Erbisdorf</v>
      </c>
      <c r="AQ439" s="6" t="str">
        <f>IFERROR(IF(Eingabe[[#This Row],[Wo]]="H",IF(MOD(Eingabe[[#This Row],[Position]],2)=1,Eingabe[[#This Row],[S1]],Eingabe[[#This Row],[S4]]),""),"")</f>
        <v/>
      </c>
      <c r="AR439" s="6" t="str">
        <f>IFERROR(IF(Eingabe[[#This Row],[Wo]]="H",IF(Eingabe[[#This Row],[S1]]&gt;0,IF(MOD(Eingabe[[#This Row],[Position]],2)=1,Eingabe[[#This Row],[S2]],Eingabe[[#This Row],[S3]]),""),""),"")</f>
        <v/>
      </c>
      <c r="AS439" s="6" t="str">
        <f>IFERROR(IF(Eingabe[[#This Row],[Wo]]="H",IF(Eingabe[[#This Row],[S1]]&gt;0,IF(MOD(ROW(Eingabe[[#This Row],[Heimbahn 3]]),2)=1,Eingabe[[#This Row],[S4]],Eingabe[[#This Row],[S1]]),""),""),"")</f>
        <v/>
      </c>
      <c r="AT439" s="6" t="str">
        <f>IFERROR(IF(Eingabe[[#This Row],[Wo]]="H",IF(Eingabe[[#This Row],[S1]]&gt;0,IF(MOD(ROW(Eingabe[[#This Row],[Heimbahn 4]]),2)=1,Eingabe[[#This Row],[S3]],Eingabe[[#This Row],[S2]]),""),""),"")</f>
        <v/>
      </c>
      <c r="AU439" s="22">
        <f>IF(Eingabe[[#This Row],[GES]]="","",IF(Eingabe[[#This Row],[Modus]]="L",_xlfn.RANK.EQ(Eingabe[[#This Row],[GES]],AF435:AF440),IF(Eingabe[[#This Row],[Modus]]="P",_xlfn.RANK.EQ(Eingabe[[#This Row],[GES]],AF435:AF440),"")))</f>
        <v>3</v>
      </c>
      <c r="AV439" s="6">
        <f>VLOOKUP(Eingabe[[#This Row],[Name]],AuswertungG[],8,FALSE)</f>
        <v>330</v>
      </c>
      <c r="AZ439" s="6">
        <f>IFERROR(ABS(Eingabe[[#This Row],[GES]]-Eingabe[[#This Row],[GEGGES]]),"")</f>
        <v>347</v>
      </c>
    </row>
    <row r="440" spans="1:52" ht="16.2" thickBot="1" x14ac:dyDescent="0.35">
      <c r="A440" s="442"/>
      <c r="B440" s="56">
        <f t="shared" si="46"/>
        <v>73</v>
      </c>
      <c r="C440" s="23" t="str">
        <f>VLOOKUP($B440,Chronologie[],7,TRUE)</f>
        <v>BKC 52</v>
      </c>
      <c r="D440" s="23" t="str">
        <f>VLOOKUP($B440,Chronologie[],8,TRUE)</f>
        <v>Brand-Erbisdorf</v>
      </c>
      <c r="E440" s="39" t="str">
        <f>VLOOKUP($B440,Chronologie[],9,TRUE)</f>
        <v>A</v>
      </c>
      <c r="F440" s="23" t="str">
        <f>VLOOKUP($B440,Chronologie[],COLUMN(F441)-2,TRUE)</f>
        <v>U14</v>
      </c>
      <c r="G440" s="23" t="str">
        <f>VLOOKUP($B440,Chronologie[],COLUMN(G441)-2,TRUE)</f>
        <v>L</v>
      </c>
      <c r="H440" s="23">
        <f>VLOOKUP($B440,Chronologie[],COLUMN(H441)-2,TRUE)</f>
        <v>6</v>
      </c>
      <c r="I440" s="13" t="str">
        <f>VLOOKUP($B440,Chronologie[],2,TRUE)</f>
        <v>U14-L-6</v>
      </c>
      <c r="J440" s="244">
        <f>VLOOKUP($B440,Chronologie[],3,TRUE)</f>
        <v>46054</v>
      </c>
      <c r="K440" s="239"/>
      <c r="L440" s="239"/>
      <c r="M440" s="239"/>
      <c r="N440" s="239"/>
      <c r="O440" s="239"/>
      <c r="P440" s="239"/>
      <c r="Q440" s="239"/>
      <c r="R440" s="239"/>
      <c r="S440" s="239"/>
      <c r="T440" s="239"/>
      <c r="U440" s="239"/>
      <c r="V440" s="239"/>
      <c r="W440" s="239"/>
      <c r="X440" s="40"/>
      <c r="Y440" s="40"/>
      <c r="Z440" s="40"/>
      <c r="AA440" s="40"/>
      <c r="AB440" s="92"/>
      <c r="AC440" s="96" t="str">
        <f>IF(Eingabe[[#This Row],[V1]]="",IF(Eingabe[[#This Row],[Volle alternativ]]="","",Eingabe[[#This Row],[Volle alternativ]]),SUM(Eingabe[[#This Row],[V1]:[V4]]))</f>
        <v/>
      </c>
      <c r="AD440" s="23" t="str">
        <f>IF(Eingabe[[#This Row],[R1]]="",IF(Eingabe[[#This Row],[Räumer alternativ]]="","",Eingabe[[#This Row],[Räumer alternativ]]),SUM(Eingabe[[#This Row],[R1]:[R4]]))</f>
        <v/>
      </c>
      <c r="AE440" s="23" t="str">
        <f>IF(Eingabe[[#This Row],[F1]]="",IF(Eingabe[[#This Row],[Fehler alternativ]]="","",Eingabe[[#This Row],[Fehler alternativ]]),SUM(Eingabe[[#This Row],[F1]:[F4]]))</f>
        <v/>
      </c>
      <c r="AF440" s="23" t="str">
        <f>IF(Eingabe[[#This Row],[Volle]]="","",IF(Eingabe[[#This Row],[S1]]="",Eingabe[[#This Row],[Volle]]+Eingabe[[#This Row],[Räumer]],IF(Eingabe[[#This Row],[Volle]]+Eingabe[[#This Row],[Räumer]]=Eingabe[[#This Row],[S1]]+Eingabe[[#This Row],[S2]]+Eingabe[[#This Row],[S3]]+Eingabe[[#This Row],[S4]],Eingabe[[#This Row],[Volle]]+Eingabe[[#This Row],[Räumer]],"FEHLER")))</f>
        <v/>
      </c>
      <c r="AG440" s="23" t="str">
        <f>IF(Eingabe[[#This Row],[V1]]="","",Eingabe[[#This Row],[V1]]+Eingabe[[#This Row],[R1]])</f>
        <v/>
      </c>
      <c r="AH440" s="23" t="str">
        <f>IF(Eingabe[[#This Row],[V2]]="","",Eingabe[[#This Row],[V2]]+Eingabe[[#This Row],[R2]])</f>
        <v/>
      </c>
      <c r="AI440" s="23" t="str">
        <f>IF(Eingabe[[#This Row],[V3]]="","",Eingabe[[#This Row],[V3]]+Eingabe[[#This Row],[R3]])</f>
        <v/>
      </c>
      <c r="AJ440" s="23" t="str">
        <f>IF(Eingabe[[#This Row],[V4]]="","",Eingabe[[#This Row],[V4]]+Eingabe[[#This Row],[R4]])</f>
        <v/>
      </c>
      <c r="AK440" s="23" t="str">
        <f>IF(Eingabe[[#This Row],[S1P]]="","",Eingabe[[#This Row],[S1P]]+Eingabe[[#This Row],[S2P]]+Eingabe[[#This Row],[S3P]]+Eingabe[[#This Row],[S4P]])</f>
        <v/>
      </c>
      <c r="AL440" s="23" t="str">
        <f>IF(Eingabe[[#This Row],[S1P]]="","",IF(Eingabe[[#This Row],[SP]]&gt;2,1,IF(Eingabe[[#This Row],[SP]]&lt;2,0,IF(Eingabe[[#This Row],[GES]]&gt;Eingabe[[#This Row],[GEGGES]],1,IF(Eingabe[[#This Row],[GES]]=Eingabe[[#This Row],[GEGGES]],0.5,0)))))</f>
        <v/>
      </c>
      <c r="AM440" s="23" t="str">
        <f>IF(Eingabe[[#This Row],[MP]]="","",MOD(ROW(Eingabe[[#This Row],[Position]])-3,6)+1)</f>
        <v/>
      </c>
      <c r="AN440" s="23" t="e">
        <f>STANDARDIZE(Eingabe[[#This Row],[GES]],Eingabe[[#This Row],[Schnitt]],VLOOKUP(Eingabe[[#This Row],[Name]],AuswertungG[],21,FALSE))</f>
        <v>#VALUE!</v>
      </c>
      <c r="AO440" s="23">
        <f>VLOOKUP(Eingabe[[#This Row],[ID]],Chronologie[[ID]:[KW]],12,FALSE)</f>
        <v>23</v>
      </c>
      <c r="AP440" s="59" t="str">
        <f>IF(Eingabe[[#This Row],[Wo]]="H",Eingabe[[#This Row],[Gegner]]&amp;" ["&amp;Eingabe[[#This Row],[Wo]]&amp;"]",Eingabe[[#This Row],[Ort]])</f>
        <v>Brand-Erbisdorf</v>
      </c>
      <c r="AQ440" s="23" t="str">
        <f>IFERROR(IF(Eingabe[[#This Row],[Wo]]="H",IF(MOD(Eingabe[[#This Row],[Position]],2)=1,Eingabe[[#This Row],[S1]],Eingabe[[#This Row],[S4]]),""),"")</f>
        <v/>
      </c>
      <c r="AR440" s="23" t="str">
        <f>IFERROR(IF(Eingabe[[#This Row],[Wo]]="H",IF(Eingabe[[#This Row],[S1]]&gt;0,IF(MOD(Eingabe[[#This Row],[Position]],2)=1,Eingabe[[#This Row],[S2]],Eingabe[[#This Row],[S3]]),""),""),"")</f>
        <v/>
      </c>
      <c r="AS440" s="23" t="str">
        <f>IFERROR(IF(Eingabe[[#This Row],[Wo]]="H",IF(Eingabe[[#This Row],[S1]]&gt;0,IF(MOD(ROW(Eingabe[[#This Row],[Heimbahn 3]]),2)=1,Eingabe[[#This Row],[S4]],Eingabe[[#This Row],[S1]]),""),""),"")</f>
        <v/>
      </c>
      <c r="AT440" s="23" t="str">
        <f>IFERROR(IF(Eingabe[[#This Row],[Wo]]="H",IF(Eingabe[[#This Row],[S1]]&gt;0,IF(MOD(ROW(Eingabe[[#This Row],[Heimbahn 4]]),2)=1,Eingabe[[#This Row],[S3]],Eingabe[[#This Row],[S2]]),""),""),"")</f>
        <v/>
      </c>
      <c r="AU440" s="89" t="str">
        <f>IF(Eingabe[[#This Row],[GES]]="","",IF(Eingabe[[#This Row],[Modus]]="L",_xlfn.RANK.EQ(Eingabe[[#This Row],[GES]],AF435:AF440),IF(Eingabe[[#This Row],[Modus]]="P",_xlfn.RANK.EQ(Eingabe[[#This Row],[GES]],AF435:AF440),"")))</f>
        <v/>
      </c>
      <c r="AV440" s="6" t="e">
        <f>VLOOKUP(Eingabe[[#This Row],[Name]],AuswertungG[],8,FALSE)</f>
        <v>#N/A</v>
      </c>
      <c r="AZ440" s="6" t="str">
        <f>IFERROR(ABS(Eingabe[[#This Row],[GES]]-Eingabe[[#This Row],[GEGGES]]),"")</f>
        <v/>
      </c>
    </row>
    <row r="441" spans="1:52" x14ac:dyDescent="0.3">
      <c r="A441" s="440">
        <f t="shared" si="47"/>
        <v>74</v>
      </c>
      <c r="B441" s="55">
        <f t="shared" si="46"/>
        <v>74</v>
      </c>
      <c r="C441" s="35" t="str">
        <f>VLOOKUP($B441,Chronologie[],7,TRUE)</f>
        <v>VfB Lengenfeld</v>
      </c>
      <c r="D441" s="35" t="str">
        <f>VLOOKUP($B441,Chronologie[],8,TRUE)</f>
        <v>Lengenfeld</v>
      </c>
      <c r="E441" s="36" t="str">
        <f>VLOOKUP($B441,Chronologie[],9,TRUE)</f>
        <v>A</v>
      </c>
      <c r="F441" s="35" t="str">
        <f>VLOOKUP($B441,Chronologie[],COLUMN(F442)-2,TRUE)</f>
        <v>U14</v>
      </c>
      <c r="G441" s="35" t="str">
        <f>VLOOKUP($B441,Chronologie[],COLUMN(G442)-2,TRUE)</f>
        <v>BEL</v>
      </c>
      <c r="H441" s="35">
        <f>VLOOKUP($B441,Chronologie[],COLUMN(H442)-2,TRUE)</f>
        <v>1</v>
      </c>
      <c r="I441" s="9" t="str">
        <f>VLOOKUP($B441,Chronologie[],2,TRUE)</f>
        <v>U14-BEL-1</v>
      </c>
      <c r="J441" s="242">
        <f>VLOOKUP($B441,Chronologie[],3,TRUE)</f>
        <v>45983</v>
      </c>
      <c r="K441" s="236" t="s">
        <v>484</v>
      </c>
      <c r="L441" s="334">
        <v>74</v>
      </c>
      <c r="M441" s="334">
        <v>84</v>
      </c>
      <c r="N441" s="334">
        <v>81</v>
      </c>
      <c r="O441" s="334">
        <v>72</v>
      </c>
      <c r="P441" s="334">
        <v>26</v>
      </c>
      <c r="Q441" s="334">
        <v>32</v>
      </c>
      <c r="R441" s="334">
        <v>25</v>
      </c>
      <c r="S441" s="334">
        <v>44</v>
      </c>
      <c r="T441" s="334">
        <v>8</v>
      </c>
      <c r="U441" s="334">
        <v>5</v>
      </c>
      <c r="V441" s="334">
        <v>5</v>
      </c>
      <c r="W441" s="334">
        <v>3</v>
      </c>
      <c r="X441" s="37"/>
      <c r="Y441" s="37"/>
      <c r="Z441" s="37"/>
      <c r="AA441" s="37"/>
      <c r="AB441" s="90"/>
      <c r="AC441" s="93">
        <f>IF(Eingabe[[#This Row],[V1]]="",IF(Eingabe[[#This Row],[Volle alternativ]]="","",Eingabe[[#This Row],[Volle alternativ]]),SUM(Eingabe[[#This Row],[V1]:[V4]]))</f>
        <v>311</v>
      </c>
      <c r="AD441" s="35">
        <f>IF(Eingabe[[#This Row],[R1]]="",IF(Eingabe[[#This Row],[Räumer alternativ]]="","",Eingabe[[#This Row],[Räumer alternativ]]),SUM(Eingabe[[#This Row],[R1]:[R4]]))</f>
        <v>127</v>
      </c>
      <c r="AE441" s="35">
        <f>IF(Eingabe[[#This Row],[F1]]="",IF(Eingabe[[#This Row],[Fehler alternativ]]="","",Eingabe[[#This Row],[Fehler alternativ]]),SUM(Eingabe[[#This Row],[F1]:[F4]]))</f>
        <v>21</v>
      </c>
      <c r="AF441" s="35">
        <f>IF(Eingabe[[#This Row],[Volle]]="","",IF(Eingabe[[#This Row],[S1]]="",Eingabe[[#This Row],[Volle]]+Eingabe[[#This Row],[Räumer]],IF(Eingabe[[#This Row],[Volle]]+Eingabe[[#This Row],[Räumer]]=Eingabe[[#This Row],[S1]]+Eingabe[[#This Row],[S2]]+Eingabe[[#This Row],[S3]]+Eingabe[[#This Row],[S4]],Eingabe[[#This Row],[Volle]]+Eingabe[[#This Row],[Räumer]],"FEHLER")))</f>
        <v>438</v>
      </c>
      <c r="AG441" s="35">
        <f>IF(Eingabe[[#This Row],[V1]]="","",Eingabe[[#This Row],[V1]]+Eingabe[[#This Row],[R1]])</f>
        <v>100</v>
      </c>
      <c r="AH441" s="35">
        <f>IF(Eingabe[[#This Row],[V2]]="","",Eingabe[[#This Row],[V2]]+Eingabe[[#This Row],[R2]])</f>
        <v>116</v>
      </c>
      <c r="AI441" s="35">
        <f>IF(Eingabe[[#This Row],[V3]]="","",Eingabe[[#This Row],[V3]]+Eingabe[[#This Row],[R3]])</f>
        <v>106</v>
      </c>
      <c r="AJ441" s="35">
        <f>IF(Eingabe[[#This Row],[V4]]="","",Eingabe[[#This Row],[V4]]+Eingabe[[#This Row],[R4]])</f>
        <v>116</v>
      </c>
      <c r="AK441" s="35" t="str">
        <f>IF(Eingabe[[#This Row],[S1P]]="","",Eingabe[[#This Row],[S1P]]+Eingabe[[#This Row],[S2P]]+Eingabe[[#This Row],[S3P]]+Eingabe[[#This Row],[S4P]])</f>
        <v/>
      </c>
      <c r="AL441" s="35" t="str">
        <f>IF(Eingabe[[#This Row],[S1P]]="","",IF(Eingabe[[#This Row],[SP]]&gt;2,1,IF(Eingabe[[#This Row],[SP]]&lt;2,0,IF(Eingabe[[#This Row],[GES]]&gt;Eingabe[[#This Row],[GEGGES]],1,IF(Eingabe[[#This Row],[GES]]=Eingabe[[#This Row],[GEGGES]],0.5,0)))))</f>
        <v/>
      </c>
      <c r="AM441" s="35" t="str">
        <f>IF(Eingabe[[#This Row],[MP]]="","",MOD(ROW(Eingabe[[#This Row],[Position]])-3,6)+1)</f>
        <v/>
      </c>
      <c r="AN441" s="35">
        <f>STANDARDIZE(Eingabe[[#This Row],[GES]],Eingabe[[#This Row],[Schnitt]],VLOOKUP(Eingabe[[#This Row],[Name]],AuswertungG[],21,FALSE))</f>
        <v>1.5294117647058822</v>
      </c>
      <c r="AO441" s="35">
        <f>VLOOKUP(Eingabe[[#This Row],[ID]],Chronologie[[ID]:[KW]],12,FALSE)</f>
        <v>13</v>
      </c>
      <c r="AP441" s="58" t="str">
        <f>IF(Eingabe[[#This Row],[Wo]]="H",Eingabe[[#This Row],[Gegner]]&amp;" ["&amp;Eingabe[[#This Row],[Wo]]&amp;"]",Eingabe[[#This Row],[Ort]])</f>
        <v>Lengenfeld</v>
      </c>
      <c r="AQ441" s="35" t="str">
        <f>IFERROR(IF(Eingabe[[#This Row],[Wo]]="H",IF(MOD(Eingabe[[#This Row],[Position]],2)=1,Eingabe[[#This Row],[S1]],Eingabe[[#This Row],[S4]]),""),"")</f>
        <v/>
      </c>
      <c r="AR441" s="35" t="str">
        <f>IFERROR(IF(Eingabe[[#This Row],[Wo]]="H",IF(Eingabe[[#This Row],[S1]]&gt;0,IF(MOD(Eingabe[[#This Row],[Position]],2)=1,Eingabe[[#This Row],[S2]],Eingabe[[#This Row],[S3]]),""),""),"")</f>
        <v/>
      </c>
      <c r="AS441" s="35" t="str">
        <f>IFERROR(IF(Eingabe[[#This Row],[Wo]]="H",IF(Eingabe[[#This Row],[S1]]&gt;0,IF(MOD(ROW(Eingabe[[#This Row],[Heimbahn 3]]),2)=1,Eingabe[[#This Row],[S4]],Eingabe[[#This Row],[S1]]),""),""),"")</f>
        <v/>
      </c>
      <c r="AT441" s="35" t="str">
        <f>IFERROR(IF(Eingabe[[#This Row],[Wo]]="H",IF(Eingabe[[#This Row],[S1]]&gt;0,IF(MOD(ROW(Eingabe[[#This Row],[Heimbahn 4]]),2)=1,Eingabe[[#This Row],[S3]],Eingabe[[#This Row],[S2]]),""),""),"")</f>
        <v/>
      </c>
      <c r="AU441" s="88" t="str">
        <f>IF(Eingabe[[#This Row],[GES]]="","",IF(Eingabe[[#This Row],[Modus]]="L",_xlfn.RANK.EQ(Eingabe[[#This Row],[GES]],AF441:AF446),IF(Eingabe[[#This Row],[Modus]]="P",_xlfn.RANK.EQ(Eingabe[[#This Row],[GES]],AF441:AF446),"")))</f>
        <v/>
      </c>
      <c r="AV441" s="6">
        <f>VLOOKUP(Eingabe[[#This Row],[Name]],AuswertungG[],8,FALSE)</f>
        <v>386</v>
      </c>
      <c r="AZ441" s="6">
        <f>IFERROR(ABS(Eingabe[[#This Row],[GES]]-Eingabe[[#This Row],[GEGGES]]),"")</f>
        <v>438</v>
      </c>
    </row>
    <row r="442" spans="1:52" x14ac:dyDescent="0.3">
      <c r="A442" s="441"/>
      <c r="B442" s="21">
        <f t="shared" si="46"/>
        <v>74</v>
      </c>
      <c r="C442" s="6" t="str">
        <f>VLOOKUP($B442,Chronologie[],7,TRUE)</f>
        <v>VfB Lengenfeld</v>
      </c>
      <c r="D442" s="6" t="str">
        <f>VLOOKUP($B442,Chronologie[],8,TRUE)</f>
        <v>Lengenfeld</v>
      </c>
      <c r="E442" s="240" t="str">
        <f>VLOOKUP($B442,Chronologie[],9,TRUE)</f>
        <v>A</v>
      </c>
      <c r="F442" s="6" t="str">
        <f>VLOOKUP($B442,Chronologie[],COLUMN(F443)-2,TRUE)</f>
        <v>U14</v>
      </c>
      <c r="G442" s="6" t="str">
        <f>VLOOKUP($B442,Chronologie[],COLUMN(G443)-2,TRUE)</f>
        <v>BEL</v>
      </c>
      <c r="H442" s="6">
        <f>VLOOKUP($B442,Chronologie[],COLUMN(H443)-2,TRUE)</f>
        <v>1</v>
      </c>
      <c r="I442" s="10" t="str">
        <f>VLOOKUP($B442,Chronologie[],2,TRUE)</f>
        <v>U14-BEL-1</v>
      </c>
      <c r="J442" s="243">
        <f>VLOOKUP($B442,Chronologie[],3,TRUE)</f>
        <v>45983</v>
      </c>
      <c r="K442" s="237" t="s">
        <v>599</v>
      </c>
      <c r="L442" s="237">
        <v>69</v>
      </c>
      <c r="M442" s="237">
        <v>72</v>
      </c>
      <c r="N442" s="237">
        <v>65</v>
      </c>
      <c r="O442" s="237">
        <v>76</v>
      </c>
      <c r="P442" s="237">
        <v>13</v>
      </c>
      <c r="Q442" s="237">
        <v>33</v>
      </c>
      <c r="R442" s="237">
        <v>17</v>
      </c>
      <c r="S442" s="237">
        <v>36</v>
      </c>
      <c r="T442" s="237">
        <v>9</v>
      </c>
      <c r="U442" s="237">
        <v>4</v>
      </c>
      <c r="V442" s="237">
        <v>10</v>
      </c>
      <c r="W442" s="237">
        <v>1</v>
      </c>
      <c r="X442" s="38"/>
      <c r="Y442" s="38"/>
      <c r="Z442" s="38"/>
      <c r="AA442" s="38"/>
      <c r="AB442" s="91"/>
      <c r="AC442" s="94">
        <f>IF(Eingabe[[#This Row],[V1]]="",IF(Eingabe[[#This Row],[Volle alternativ]]="","",Eingabe[[#This Row],[Volle alternativ]]),SUM(Eingabe[[#This Row],[V1]:[V4]]))</f>
        <v>282</v>
      </c>
      <c r="AD442" s="6">
        <f>IF(Eingabe[[#This Row],[R1]]="",IF(Eingabe[[#This Row],[Räumer alternativ]]="","",Eingabe[[#This Row],[Räumer alternativ]]),SUM(Eingabe[[#This Row],[R1]:[R4]]))</f>
        <v>99</v>
      </c>
      <c r="AE442" s="6">
        <f>IF(Eingabe[[#This Row],[F1]]="",IF(Eingabe[[#This Row],[Fehler alternativ]]="","",Eingabe[[#This Row],[Fehler alternativ]]),SUM(Eingabe[[#This Row],[F1]:[F4]]))</f>
        <v>24</v>
      </c>
      <c r="AF442" s="6">
        <f>IF(Eingabe[[#This Row],[Volle]]="","",IF(Eingabe[[#This Row],[S1]]="",Eingabe[[#This Row],[Volle]]+Eingabe[[#This Row],[Räumer]],IF(Eingabe[[#This Row],[Volle]]+Eingabe[[#This Row],[Räumer]]=Eingabe[[#This Row],[S1]]+Eingabe[[#This Row],[S2]]+Eingabe[[#This Row],[S3]]+Eingabe[[#This Row],[S4]],Eingabe[[#This Row],[Volle]]+Eingabe[[#This Row],[Räumer]],"FEHLER")))</f>
        <v>381</v>
      </c>
      <c r="AG442" s="6">
        <f>IF(Eingabe[[#This Row],[V1]]="","",Eingabe[[#This Row],[V1]]+Eingabe[[#This Row],[R1]])</f>
        <v>82</v>
      </c>
      <c r="AH442" s="6">
        <f>IF(Eingabe[[#This Row],[V2]]="","",Eingabe[[#This Row],[V2]]+Eingabe[[#This Row],[R2]])</f>
        <v>105</v>
      </c>
      <c r="AI442" s="6">
        <f>IF(Eingabe[[#This Row],[V3]]="","",Eingabe[[#This Row],[V3]]+Eingabe[[#This Row],[R3]])</f>
        <v>82</v>
      </c>
      <c r="AJ442" s="6">
        <f>IF(Eingabe[[#This Row],[V4]]="","",Eingabe[[#This Row],[V4]]+Eingabe[[#This Row],[R4]])</f>
        <v>112</v>
      </c>
      <c r="AK442" s="6" t="str">
        <f>IF(Eingabe[[#This Row],[S1P]]="","",Eingabe[[#This Row],[S1P]]+Eingabe[[#This Row],[S2P]]+Eingabe[[#This Row],[S3P]]+Eingabe[[#This Row],[S4P]])</f>
        <v/>
      </c>
      <c r="AL442" s="6" t="str">
        <f>IF(Eingabe[[#This Row],[S1P]]="","",IF(Eingabe[[#This Row],[SP]]&gt;2,1,IF(Eingabe[[#This Row],[SP]]&lt;2,0,IF(Eingabe[[#This Row],[GES]]&gt;Eingabe[[#This Row],[GEGGES]],1,IF(Eingabe[[#This Row],[GES]]=Eingabe[[#This Row],[GEGGES]],0.5,0)))))</f>
        <v/>
      </c>
      <c r="AM442" s="6" t="str">
        <f>IF(Eingabe[[#This Row],[MP]]="","",MOD(ROW(Eingabe[[#This Row],[Position]])-3,6)+1)</f>
        <v/>
      </c>
      <c r="AN442" s="6">
        <f>STANDARDIZE(Eingabe[[#This Row],[GES]],Eingabe[[#This Row],[Schnitt]],VLOOKUP(Eingabe[[#This Row],[Name]],AuswertungG[],21,FALSE))</f>
        <v>0.78260869565217395</v>
      </c>
      <c r="AO442" s="6">
        <f>VLOOKUP(Eingabe[[#This Row],[ID]],Chronologie[[ID]:[KW]],12,FALSE)</f>
        <v>13</v>
      </c>
      <c r="AP442" s="95" t="str">
        <f>IF(Eingabe[[#This Row],[Wo]]="H",Eingabe[[#This Row],[Gegner]]&amp;" ["&amp;Eingabe[[#This Row],[Wo]]&amp;"]",Eingabe[[#This Row],[Ort]])</f>
        <v>Lengenfeld</v>
      </c>
      <c r="AQ442" s="6" t="str">
        <f>IFERROR(IF(Eingabe[[#This Row],[Wo]]="H",IF(MOD(Eingabe[[#This Row],[Position]],2)=1,Eingabe[[#This Row],[S1]],Eingabe[[#This Row],[S4]]),""),"")</f>
        <v/>
      </c>
      <c r="AR442" s="6" t="str">
        <f>IFERROR(IF(Eingabe[[#This Row],[Wo]]="H",IF(Eingabe[[#This Row],[S1]]&gt;0,IF(MOD(Eingabe[[#This Row],[Position]],2)=1,Eingabe[[#This Row],[S2]],Eingabe[[#This Row],[S3]]),""),""),"")</f>
        <v/>
      </c>
      <c r="AS442" s="6" t="str">
        <f>IFERROR(IF(Eingabe[[#This Row],[Wo]]="H",IF(Eingabe[[#This Row],[S1]]&gt;0,IF(MOD(ROW(Eingabe[[#This Row],[Heimbahn 3]]),2)=1,Eingabe[[#This Row],[S4]],Eingabe[[#This Row],[S1]]),""),""),"")</f>
        <v/>
      </c>
      <c r="AT442" s="6" t="str">
        <f>IFERROR(IF(Eingabe[[#This Row],[Wo]]="H",IF(Eingabe[[#This Row],[S1]]&gt;0,IF(MOD(ROW(Eingabe[[#This Row],[Heimbahn 4]]),2)=1,Eingabe[[#This Row],[S3]],Eingabe[[#This Row],[S2]]),""),""),"")</f>
        <v/>
      </c>
      <c r="AU442" s="22" t="str">
        <f>IF(Eingabe[[#This Row],[GES]]="","",IF(Eingabe[[#This Row],[Modus]]="L",_xlfn.RANK.EQ(Eingabe[[#This Row],[GES]],AF441:AF446),IF(Eingabe[[#This Row],[Modus]]="P",_xlfn.RANK.EQ(Eingabe[[#This Row],[GES]],AF441:AF446),"")))</f>
        <v/>
      </c>
      <c r="AV442" s="6">
        <f>VLOOKUP(Eingabe[[#This Row],[Name]],AuswertungG[],8,FALSE)</f>
        <v>363</v>
      </c>
      <c r="AZ442" s="6">
        <f>IFERROR(ABS(Eingabe[[#This Row],[GES]]-Eingabe[[#This Row],[GEGGES]]),"")</f>
        <v>381</v>
      </c>
    </row>
    <row r="443" spans="1:52" x14ac:dyDescent="0.3">
      <c r="A443" s="441"/>
      <c r="B443" s="21">
        <f t="shared" si="46"/>
        <v>74</v>
      </c>
      <c r="C443" s="6" t="str">
        <f>VLOOKUP($B443,Chronologie[],7,TRUE)</f>
        <v>VfB Lengenfeld</v>
      </c>
      <c r="D443" s="6" t="str">
        <f>VLOOKUP($B443,Chronologie[],8,TRUE)</f>
        <v>Lengenfeld</v>
      </c>
      <c r="E443" s="240" t="str">
        <f>VLOOKUP($B443,Chronologie[],9,TRUE)</f>
        <v>A</v>
      </c>
      <c r="F443" s="6" t="str">
        <f>VLOOKUP($B443,Chronologie[],COLUMN(F444)-2,TRUE)</f>
        <v>U14</v>
      </c>
      <c r="G443" s="6" t="str">
        <f>VLOOKUP($B443,Chronologie[],COLUMN(G444)-2,TRUE)</f>
        <v>BEL</v>
      </c>
      <c r="H443" s="6">
        <f>VLOOKUP($B443,Chronologie[],COLUMN(H444)-2,TRUE)</f>
        <v>1</v>
      </c>
      <c r="I443" s="10" t="str">
        <f>VLOOKUP($B443,Chronologie[],2,TRUE)</f>
        <v>U14-BEL-1</v>
      </c>
      <c r="J443" s="243">
        <f>VLOOKUP($B443,Chronologie[],3,TRUE)</f>
        <v>45983</v>
      </c>
      <c r="K443" s="237" t="s">
        <v>476</v>
      </c>
      <c r="L443" s="237">
        <v>69</v>
      </c>
      <c r="M443" s="237">
        <v>89</v>
      </c>
      <c r="N443" s="237">
        <v>72</v>
      </c>
      <c r="O443" s="237">
        <v>81</v>
      </c>
      <c r="P443" s="237">
        <v>44</v>
      </c>
      <c r="Q443" s="237">
        <v>43</v>
      </c>
      <c r="R443" s="237">
        <v>23</v>
      </c>
      <c r="S443" s="237">
        <v>27</v>
      </c>
      <c r="T443" s="237">
        <v>4</v>
      </c>
      <c r="U443" s="237">
        <v>5</v>
      </c>
      <c r="V443" s="237">
        <v>7</v>
      </c>
      <c r="W443" s="237">
        <v>3</v>
      </c>
      <c r="X443" s="38"/>
      <c r="Y443" s="38"/>
      <c r="Z443" s="38"/>
      <c r="AA443" s="38"/>
      <c r="AB443" s="91"/>
      <c r="AC443" s="94">
        <f>IF(Eingabe[[#This Row],[V1]]="",IF(Eingabe[[#This Row],[Volle alternativ]]="","",Eingabe[[#This Row],[Volle alternativ]]),SUM(Eingabe[[#This Row],[V1]:[V4]]))</f>
        <v>311</v>
      </c>
      <c r="AD443" s="6">
        <f>IF(Eingabe[[#This Row],[R1]]="",IF(Eingabe[[#This Row],[Räumer alternativ]]="","",Eingabe[[#This Row],[Räumer alternativ]]),SUM(Eingabe[[#This Row],[R1]:[R4]]))</f>
        <v>137</v>
      </c>
      <c r="AE443" s="6">
        <f>IF(Eingabe[[#This Row],[F1]]="",IF(Eingabe[[#This Row],[Fehler alternativ]]="","",Eingabe[[#This Row],[Fehler alternativ]]),SUM(Eingabe[[#This Row],[F1]:[F4]]))</f>
        <v>19</v>
      </c>
      <c r="AF443" s="6">
        <f>IF(Eingabe[[#This Row],[Volle]]="","",IF(Eingabe[[#This Row],[S1]]="",Eingabe[[#This Row],[Volle]]+Eingabe[[#This Row],[Räumer]],IF(Eingabe[[#This Row],[Volle]]+Eingabe[[#This Row],[Räumer]]=Eingabe[[#This Row],[S1]]+Eingabe[[#This Row],[S2]]+Eingabe[[#This Row],[S3]]+Eingabe[[#This Row],[S4]],Eingabe[[#This Row],[Volle]]+Eingabe[[#This Row],[Räumer]],"FEHLER")))</f>
        <v>448</v>
      </c>
      <c r="AG443" s="6">
        <f>IF(Eingabe[[#This Row],[V1]]="","",Eingabe[[#This Row],[V1]]+Eingabe[[#This Row],[R1]])</f>
        <v>113</v>
      </c>
      <c r="AH443" s="6">
        <f>IF(Eingabe[[#This Row],[V2]]="","",Eingabe[[#This Row],[V2]]+Eingabe[[#This Row],[R2]])</f>
        <v>132</v>
      </c>
      <c r="AI443" s="6">
        <f>IF(Eingabe[[#This Row],[V3]]="","",Eingabe[[#This Row],[V3]]+Eingabe[[#This Row],[R3]])</f>
        <v>95</v>
      </c>
      <c r="AJ443" s="6">
        <f>IF(Eingabe[[#This Row],[V4]]="","",Eingabe[[#This Row],[V4]]+Eingabe[[#This Row],[R4]])</f>
        <v>108</v>
      </c>
      <c r="AK443" s="6" t="str">
        <f>IF(Eingabe[[#This Row],[S1P]]="","",Eingabe[[#This Row],[S1P]]+Eingabe[[#This Row],[S2P]]+Eingabe[[#This Row],[S3P]]+Eingabe[[#This Row],[S4P]])</f>
        <v/>
      </c>
      <c r="AL443" s="6" t="str">
        <f>IF(Eingabe[[#This Row],[S1P]]="","",IF(Eingabe[[#This Row],[SP]]&gt;2,1,IF(Eingabe[[#This Row],[SP]]&lt;2,0,IF(Eingabe[[#This Row],[GES]]&gt;Eingabe[[#This Row],[GEGGES]],1,IF(Eingabe[[#This Row],[GES]]=Eingabe[[#This Row],[GEGGES]],0.5,0)))))</f>
        <v/>
      </c>
      <c r="AM443" s="6" t="str">
        <f>IF(Eingabe[[#This Row],[MP]]="","",MOD(ROW(Eingabe[[#This Row],[Position]])-3,6)+1)</f>
        <v/>
      </c>
      <c r="AN443" s="6">
        <f>STANDARDIZE(Eingabe[[#This Row],[GES]],Eingabe[[#This Row],[Schnitt]],VLOOKUP(Eingabe[[#This Row],[Name]],AuswertungG[],21,FALSE))</f>
        <v>0.97435897435897434</v>
      </c>
      <c r="AO443" s="6">
        <f>VLOOKUP(Eingabe[[#This Row],[ID]],Chronologie[[ID]:[KW]],12,FALSE)</f>
        <v>13</v>
      </c>
      <c r="AP443" s="95" t="str">
        <f>IF(Eingabe[[#This Row],[Wo]]="H",Eingabe[[#This Row],[Gegner]]&amp;" ["&amp;Eingabe[[#This Row],[Wo]]&amp;"]",Eingabe[[#This Row],[Ort]])</f>
        <v>Lengenfeld</v>
      </c>
      <c r="AQ443" s="6" t="str">
        <f>IFERROR(IF(Eingabe[[#This Row],[Wo]]="H",IF(MOD(Eingabe[[#This Row],[Position]],2)=1,Eingabe[[#This Row],[S1]],Eingabe[[#This Row],[S4]]),""),"")</f>
        <v/>
      </c>
      <c r="AR443" s="6" t="str">
        <f>IFERROR(IF(Eingabe[[#This Row],[Wo]]="H",IF(Eingabe[[#This Row],[S1]]&gt;0,IF(MOD(Eingabe[[#This Row],[Position]],2)=1,Eingabe[[#This Row],[S2]],Eingabe[[#This Row],[S3]]),""),""),"")</f>
        <v/>
      </c>
      <c r="AS443" s="6" t="str">
        <f>IFERROR(IF(Eingabe[[#This Row],[Wo]]="H",IF(Eingabe[[#This Row],[S1]]&gt;0,IF(MOD(ROW(Eingabe[[#This Row],[Heimbahn 3]]),2)=1,Eingabe[[#This Row],[S4]],Eingabe[[#This Row],[S1]]),""),""),"")</f>
        <v/>
      </c>
      <c r="AT443" s="6" t="str">
        <f>IFERROR(IF(Eingabe[[#This Row],[Wo]]="H",IF(Eingabe[[#This Row],[S1]]&gt;0,IF(MOD(ROW(Eingabe[[#This Row],[Heimbahn 4]]),2)=1,Eingabe[[#This Row],[S3]],Eingabe[[#This Row],[S2]]),""),""),"")</f>
        <v/>
      </c>
      <c r="AU443" s="22" t="str">
        <f>IF(Eingabe[[#This Row],[GES]]="","",IF(Eingabe[[#This Row],[Modus]]="L",_xlfn.RANK.EQ(Eingabe[[#This Row],[GES]],AF441:AF446),IF(Eingabe[[#This Row],[Modus]]="P",_xlfn.RANK.EQ(Eingabe[[#This Row],[GES]],AF441:AF446),"")))</f>
        <v/>
      </c>
      <c r="AV443" s="6">
        <f>VLOOKUP(Eingabe[[#This Row],[Name]],AuswertungG[],8,FALSE)</f>
        <v>410</v>
      </c>
      <c r="AZ443" s="6">
        <f>IFERROR(ABS(Eingabe[[#This Row],[GES]]-Eingabe[[#This Row],[GEGGES]]),"")</f>
        <v>448</v>
      </c>
    </row>
    <row r="444" spans="1:52" x14ac:dyDescent="0.3">
      <c r="A444" s="441"/>
      <c r="B444" s="21">
        <f t="shared" si="46"/>
        <v>74</v>
      </c>
      <c r="C444" s="6" t="str">
        <f>VLOOKUP($B444,Chronologie[],7,TRUE)</f>
        <v>VfB Lengenfeld</v>
      </c>
      <c r="D444" s="6" t="str">
        <f>VLOOKUP($B444,Chronologie[],8,TRUE)</f>
        <v>Lengenfeld</v>
      </c>
      <c r="E444" s="240" t="str">
        <f>VLOOKUP($B444,Chronologie[],9,TRUE)</f>
        <v>A</v>
      </c>
      <c r="F444" s="6" t="str">
        <f>VLOOKUP($B444,Chronologie[],COLUMN(F445)-2,TRUE)</f>
        <v>U14</v>
      </c>
      <c r="G444" s="6" t="str">
        <f>VLOOKUP($B444,Chronologie[],COLUMN(G445)-2,TRUE)</f>
        <v>BEL</v>
      </c>
      <c r="H444" s="6">
        <f>VLOOKUP($B444,Chronologie[],COLUMN(H445)-2,TRUE)</f>
        <v>1</v>
      </c>
      <c r="I444" s="10" t="str">
        <f>VLOOKUP($B444,Chronologie[],2,TRUE)</f>
        <v>U14-BEL-1</v>
      </c>
      <c r="J444" s="243">
        <f>VLOOKUP($B444,Chronologie[],3,TRUE)</f>
        <v>45983</v>
      </c>
      <c r="K444" s="238"/>
      <c r="L444" s="237"/>
      <c r="M444" s="237"/>
      <c r="N444" s="237"/>
      <c r="O444" s="237"/>
      <c r="P444" s="237"/>
      <c r="Q444" s="237"/>
      <c r="R444" s="237"/>
      <c r="S444" s="237"/>
      <c r="T444" s="237"/>
      <c r="U444" s="237"/>
      <c r="V444" s="237"/>
      <c r="W444" s="237"/>
      <c r="X444" s="38"/>
      <c r="Y444" s="38"/>
      <c r="Z444" s="38"/>
      <c r="AA444" s="38"/>
      <c r="AB444" s="91"/>
      <c r="AC444" s="94" t="str">
        <f>IF(Eingabe[[#This Row],[V1]]="",IF(Eingabe[[#This Row],[Volle alternativ]]="","",Eingabe[[#This Row],[Volle alternativ]]),SUM(Eingabe[[#This Row],[V1]:[V4]]))</f>
        <v/>
      </c>
      <c r="AD444" s="6" t="str">
        <f>IF(Eingabe[[#This Row],[R1]]="",IF(Eingabe[[#This Row],[Räumer alternativ]]="","",Eingabe[[#This Row],[Räumer alternativ]]),SUM(Eingabe[[#This Row],[R1]:[R4]]))</f>
        <v/>
      </c>
      <c r="AE444" s="6" t="str">
        <f>IF(Eingabe[[#This Row],[F1]]="",IF(Eingabe[[#This Row],[Fehler alternativ]]="","",Eingabe[[#This Row],[Fehler alternativ]]),SUM(Eingabe[[#This Row],[F1]:[F4]]))</f>
        <v/>
      </c>
      <c r="AF444" s="6" t="str">
        <f>IF(Eingabe[[#This Row],[Volle]]="","",IF(Eingabe[[#This Row],[S1]]="",Eingabe[[#This Row],[Volle]]+Eingabe[[#This Row],[Räumer]],IF(Eingabe[[#This Row],[Volle]]+Eingabe[[#This Row],[Räumer]]=Eingabe[[#This Row],[S1]]+Eingabe[[#This Row],[S2]]+Eingabe[[#This Row],[S3]]+Eingabe[[#This Row],[S4]],Eingabe[[#This Row],[Volle]]+Eingabe[[#This Row],[Räumer]],"FEHLER")))</f>
        <v/>
      </c>
      <c r="AG444" s="6" t="str">
        <f>IF(Eingabe[[#This Row],[V1]]="","",Eingabe[[#This Row],[V1]]+Eingabe[[#This Row],[R1]])</f>
        <v/>
      </c>
      <c r="AH444" s="6" t="str">
        <f>IF(Eingabe[[#This Row],[V2]]="","",Eingabe[[#This Row],[V2]]+Eingabe[[#This Row],[R2]])</f>
        <v/>
      </c>
      <c r="AI444" s="6" t="str">
        <f>IF(Eingabe[[#This Row],[V3]]="","",Eingabe[[#This Row],[V3]]+Eingabe[[#This Row],[R3]])</f>
        <v/>
      </c>
      <c r="AJ444" s="6" t="str">
        <f>IF(Eingabe[[#This Row],[V4]]="","",Eingabe[[#This Row],[V4]]+Eingabe[[#This Row],[R4]])</f>
        <v/>
      </c>
      <c r="AK444" s="6" t="str">
        <f>IF(Eingabe[[#This Row],[S1P]]="","",Eingabe[[#This Row],[S1P]]+Eingabe[[#This Row],[S2P]]+Eingabe[[#This Row],[S3P]]+Eingabe[[#This Row],[S4P]])</f>
        <v/>
      </c>
      <c r="AL444" s="6" t="str">
        <f>IF(Eingabe[[#This Row],[S1P]]="","",IF(Eingabe[[#This Row],[SP]]&gt;2,1,IF(Eingabe[[#This Row],[SP]]&lt;2,0,IF(Eingabe[[#This Row],[GES]]&gt;Eingabe[[#This Row],[GEGGES]],1,IF(Eingabe[[#This Row],[GES]]=Eingabe[[#This Row],[GEGGES]],0.5,0)))))</f>
        <v/>
      </c>
      <c r="AM444" s="6" t="str">
        <f>IF(Eingabe[[#This Row],[MP]]="","",MOD(ROW(Eingabe[[#This Row],[Position]])-3,6)+1)</f>
        <v/>
      </c>
      <c r="AN444" s="6" t="e">
        <f>STANDARDIZE(Eingabe[[#This Row],[GES]],Eingabe[[#This Row],[Schnitt]],VLOOKUP(Eingabe[[#This Row],[Name]],AuswertungG[],21,FALSE))</f>
        <v>#VALUE!</v>
      </c>
      <c r="AO444" s="6">
        <f>VLOOKUP(Eingabe[[#This Row],[ID]],Chronologie[[ID]:[KW]],12,FALSE)</f>
        <v>13</v>
      </c>
      <c r="AP444" s="95" t="str">
        <f>IF(Eingabe[[#This Row],[Wo]]="H",Eingabe[[#This Row],[Gegner]]&amp;" ["&amp;Eingabe[[#This Row],[Wo]]&amp;"]",Eingabe[[#This Row],[Ort]])</f>
        <v>Lengenfeld</v>
      </c>
      <c r="AQ444" s="6" t="str">
        <f>IFERROR(IF(Eingabe[[#This Row],[Wo]]="H",IF(MOD(Eingabe[[#This Row],[Position]],2)=1,Eingabe[[#This Row],[S1]],Eingabe[[#This Row],[S4]]),""),"")</f>
        <v/>
      </c>
      <c r="AR444" s="6" t="str">
        <f>IFERROR(IF(Eingabe[[#This Row],[Wo]]="H",IF(Eingabe[[#This Row],[S1]]&gt;0,IF(MOD(Eingabe[[#This Row],[Position]],2)=1,Eingabe[[#This Row],[S2]],Eingabe[[#This Row],[S3]]),""),""),"")</f>
        <v/>
      </c>
      <c r="AS444" s="6" t="str">
        <f>IFERROR(IF(Eingabe[[#This Row],[Wo]]="H",IF(Eingabe[[#This Row],[S1]]&gt;0,IF(MOD(ROW(Eingabe[[#This Row],[Heimbahn 3]]),2)=1,Eingabe[[#This Row],[S4]],Eingabe[[#This Row],[S1]]),""),""),"")</f>
        <v/>
      </c>
      <c r="AT444" s="6" t="str">
        <f>IFERROR(IF(Eingabe[[#This Row],[Wo]]="H",IF(Eingabe[[#This Row],[S1]]&gt;0,IF(MOD(ROW(Eingabe[[#This Row],[Heimbahn 4]]),2)=1,Eingabe[[#This Row],[S3]],Eingabe[[#This Row],[S2]]),""),""),"")</f>
        <v/>
      </c>
      <c r="AU444" s="22" t="str">
        <f>IF(Eingabe[[#This Row],[GES]]="","",IF(Eingabe[[#This Row],[Modus]]="L",_xlfn.RANK.EQ(Eingabe[[#This Row],[GES]],AF441:AF446),IF(Eingabe[[#This Row],[Modus]]="P",_xlfn.RANK.EQ(Eingabe[[#This Row],[GES]],AF441:AF446),"")))</f>
        <v/>
      </c>
      <c r="AV444" s="6" t="e">
        <f>VLOOKUP(Eingabe[[#This Row],[Name]],AuswertungG[],8,FALSE)</f>
        <v>#N/A</v>
      </c>
      <c r="AZ444" s="6" t="str">
        <f>IFERROR(ABS(Eingabe[[#This Row],[GES]]-Eingabe[[#This Row],[GEGGES]]),"")</f>
        <v/>
      </c>
    </row>
    <row r="445" spans="1:52" x14ac:dyDescent="0.3">
      <c r="A445" s="441"/>
      <c r="B445" s="21">
        <f t="shared" si="46"/>
        <v>74</v>
      </c>
      <c r="C445" s="6" t="str">
        <f>VLOOKUP($B445,Chronologie[],7,TRUE)</f>
        <v>VfB Lengenfeld</v>
      </c>
      <c r="D445" s="6" t="str">
        <f>VLOOKUP($B445,Chronologie[],8,TRUE)</f>
        <v>Lengenfeld</v>
      </c>
      <c r="E445" s="240" t="str">
        <f>VLOOKUP($B445,Chronologie[],9,TRUE)</f>
        <v>A</v>
      </c>
      <c r="F445" s="6" t="str">
        <f>VLOOKUP($B445,Chronologie[],COLUMN(F446)-2,TRUE)</f>
        <v>U14</v>
      </c>
      <c r="G445" s="6" t="str">
        <f>VLOOKUP($B445,Chronologie[],COLUMN(G446)-2,TRUE)</f>
        <v>BEL</v>
      </c>
      <c r="H445" s="6">
        <f>VLOOKUP($B445,Chronologie[],COLUMN(H446)-2,TRUE)</f>
        <v>1</v>
      </c>
      <c r="I445" s="10" t="str">
        <f>VLOOKUP($B445,Chronologie[],2,TRUE)</f>
        <v>U14-BEL-1</v>
      </c>
      <c r="J445" s="243">
        <f>VLOOKUP($B445,Chronologie[],3,TRUE)</f>
        <v>45983</v>
      </c>
      <c r="K445" s="237"/>
      <c r="L445" s="237"/>
      <c r="M445" s="237"/>
      <c r="N445" s="237"/>
      <c r="O445" s="237"/>
      <c r="P445" s="237"/>
      <c r="Q445" s="237"/>
      <c r="R445" s="237"/>
      <c r="S445" s="237"/>
      <c r="T445" s="237"/>
      <c r="U445" s="237"/>
      <c r="V445" s="237"/>
      <c r="W445" s="237"/>
      <c r="X445" s="38"/>
      <c r="Y445" s="38"/>
      <c r="Z445" s="38"/>
      <c r="AA445" s="38"/>
      <c r="AB445" s="91"/>
      <c r="AC445" s="94" t="str">
        <f>IF(Eingabe[[#This Row],[V1]]="",IF(Eingabe[[#This Row],[Volle alternativ]]="","",Eingabe[[#This Row],[Volle alternativ]]),SUM(Eingabe[[#This Row],[V1]:[V4]]))</f>
        <v/>
      </c>
      <c r="AD445" s="6" t="str">
        <f>IF(Eingabe[[#This Row],[R1]]="",IF(Eingabe[[#This Row],[Räumer alternativ]]="","",Eingabe[[#This Row],[Räumer alternativ]]),SUM(Eingabe[[#This Row],[R1]:[R4]]))</f>
        <v/>
      </c>
      <c r="AE445" s="6" t="str">
        <f>IF(Eingabe[[#This Row],[F1]]="",IF(Eingabe[[#This Row],[Fehler alternativ]]="","",Eingabe[[#This Row],[Fehler alternativ]]),SUM(Eingabe[[#This Row],[F1]:[F4]]))</f>
        <v/>
      </c>
      <c r="AF445" s="6" t="str">
        <f>IF(Eingabe[[#This Row],[Volle]]="","",IF(Eingabe[[#This Row],[S1]]="",Eingabe[[#This Row],[Volle]]+Eingabe[[#This Row],[Räumer]],IF(Eingabe[[#This Row],[Volle]]+Eingabe[[#This Row],[Räumer]]=Eingabe[[#This Row],[S1]]+Eingabe[[#This Row],[S2]]+Eingabe[[#This Row],[S3]]+Eingabe[[#This Row],[S4]],Eingabe[[#This Row],[Volle]]+Eingabe[[#This Row],[Räumer]],"FEHLER")))</f>
        <v/>
      </c>
      <c r="AG445" s="6" t="str">
        <f>IF(Eingabe[[#This Row],[V1]]="","",Eingabe[[#This Row],[V1]]+Eingabe[[#This Row],[R1]])</f>
        <v/>
      </c>
      <c r="AH445" s="6" t="str">
        <f>IF(Eingabe[[#This Row],[V2]]="","",Eingabe[[#This Row],[V2]]+Eingabe[[#This Row],[R2]])</f>
        <v/>
      </c>
      <c r="AI445" s="6" t="str">
        <f>IF(Eingabe[[#This Row],[V3]]="","",Eingabe[[#This Row],[V3]]+Eingabe[[#This Row],[R3]])</f>
        <v/>
      </c>
      <c r="AJ445" s="6" t="str">
        <f>IF(Eingabe[[#This Row],[V4]]="","",Eingabe[[#This Row],[V4]]+Eingabe[[#This Row],[R4]])</f>
        <v/>
      </c>
      <c r="AK445" s="6" t="str">
        <f>IF(Eingabe[[#This Row],[S1P]]="","",Eingabe[[#This Row],[S1P]]+Eingabe[[#This Row],[S2P]]+Eingabe[[#This Row],[S3P]]+Eingabe[[#This Row],[S4P]])</f>
        <v/>
      </c>
      <c r="AL445" s="6" t="str">
        <f>IF(Eingabe[[#This Row],[S1P]]="","",IF(Eingabe[[#This Row],[SP]]&gt;2,1,IF(Eingabe[[#This Row],[SP]]&lt;2,0,IF(Eingabe[[#This Row],[GES]]&gt;Eingabe[[#This Row],[GEGGES]],1,IF(Eingabe[[#This Row],[GES]]=Eingabe[[#This Row],[GEGGES]],0.5,0)))))</f>
        <v/>
      </c>
      <c r="AM445" s="6" t="str">
        <f>IF(Eingabe[[#This Row],[MP]]="","",MOD(ROW(Eingabe[[#This Row],[Position]])-3,6)+1)</f>
        <v/>
      </c>
      <c r="AN445" s="6" t="e">
        <f>STANDARDIZE(Eingabe[[#This Row],[GES]],Eingabe[[#This Row],[Schnitt]],VLOOKUP(Eingabe[[#This Row],[Name]],AuswertungG[],21,FALSE))</f>
        <v>#VALUE!</v>
      </c>
      <c r="AO445" s="6">
        <f>VLOOKUP(Eingabe[[#This Row],[ID]],Chronologie[[ID]:[KW]],12,FALSE)</f>
        <v>13</v>
      </c>
      <c r="AP445" s="95" t="str">
        <f>IF(Eingabe[[#This Row],[Wo]]="H",Eingabe[[#This Row],[Gegner]]&amp;" ["&amp;Eingabe[[#This Row],[Wo]]&amp;"]",Eingabe[[#This Row],[Ort]])</f>
        <v>Lengenfeld</v>
      </c>
      <c r="AQ445" s="6" t="str">
        <f>IFERROR(IF(Eingabe[[#This Row],[Wo]]="H",IF(MOD(Eingabe[[#This Row],[Position]],2)=1,Eingabe[[#This Row],[S1]],Eingabe[[#This Row],[S4]]),""),"")</f>
        <v/>
      </c>
      <c r="AR445" s="6" t="str">
        <f>IFERROR(IF(Eingabe[[#This Row],[Wo]]="H",IF(Eingabe[[#This Row],[S1]]&gt;0,IF(MOD(Eingabe[[#This Row],[Position]],2)=1,Eingabe[[#This Row],[S2]],Eingabe[[#This Row],[S3]]),""),""),"")</f>
        <v/>
      </c>
      <c r="AS445" s="6" t="str">
        <f>IFERROR(IF(Eingabe[[#This Row],[Wo]]="H",IF(Eingabe[[#This Row],[S1]]&gt;0,IF(MOD(ROW(Eingabe[[#This Row],[Heimbahn 3]]),2)=1,Eingabe[[#This Row],[S4]],Eingabe[[#This Row],[S1]]),""),""),"")</f>
        <v/>
      </c>
      <c r="AT445" s="6" t="str">
        <f>IFERROR(IF(Eingabe[[#This Row],[Wo]]="H",IF(Eingabe[[#This Row],[S1]]&gt;0,IF(MOD(ROW(Eingabe[[#This Row],[Heimbahn 4]]),2)=1,Eingabe[[#This Row],[S3]],Eingabe[[#This Row],[S2]]),""),""),"")</f>
        <v/>
      </c>
      <c r="AU445" s="22" t="str">
        <f>IF(Eingabe[[#This Row],[GES]]="","",IF(Eingabe[[#This Row],[Modus]]="L",_xlfn.RANK.EQ(Eingabe[[#This Row],[GES]],AF441:AF446),IF(Eingabe[[#This Row],[Modus]]="P",_xlfn.RANK.EQ(Eingabe[[#This Row],[GES]],AF441:AF446),"")))</f>
        <v/>
      </c>
      <c r="AV445" s="6" t="e">
        <f>VLOOKUP(Eingabe[[#This Row],[Name]],AuswertungG[],8,FALSE)</f>
        <v>#N/A</v>
      </c>
      <c r="AZ445" s="6" t="str">
        <f>IFERROR(ABS(Eingabe[[#This Row],[GES]]-Eingabe[[#This Row],[GEGGES]]),"")</f>
        <v/>
      </c>
    </row>
    <row r="446" spans="1:52" ht="16.2" thickBot="1" x14ac:dyDescent="0.35">
      <c r="A446" s="442"/>
      <c r="B446" s="56">
        <f t="shared" si="46"/>
        <v>74</v>
      </c>
      <c r="C446" s="23" t="str">
        <f>VLOOKUP($B446,Chronologie[],7,TRUE)</f>
        <v>VfB Lengenfeld</v>
      </c>
      <c r="D446" s="23" t="str">
        <f>VLOOKUP($B446,Chronologie[],8,TRUE)</f>
        <v>Lengenfeld</v>
      </c>
      <c r="E446" s="39" t="str">
        <f>VLOOKUP($B446,Chronologie[],9,TRUE)</f>
        <v>A</v>
      </c>
      <c r="F446" s="23" t="str">
        <f>VLOOKUP($B446,Chronologie[],COLUMN(F447)-2,TRUE)</f>
        <v>U14</v>
      </c>
      <c r="G446" s="23" t="str">
        <f>VLOOKUP($B446,Chronologie[],COLUMN(G447)-2,TRUE)</f>
        <v>BEL</v>
      </c>
      <c r="H446" s="23">
        <f>VLOOKUP($B446,Chronologie[],COLUMN(H447)-2,TRUE)</f>
        <v>1</v>
      </c>
      <c r="I446" s="13" t="str">
        <f>VLOOKUP($B446,Chronologie[],2,TRUE)</f>
        <v>U14-BEL-1</v>
      </c>
      <c r="J446" s="244">
        <f>VLOOKUP($B446,Chronologie[],3,TRUE)</f>
        <v>45983</v>
      </c>
      <c r="K446" s="239"/>
      <c r="L446" s="239"/>
      <c r="M446" s="239"/>
      <c r="N446" s="239"/>
      <c r="O446" s="239"/>
      <c r="P446" s="239"/>
      <c r="Q446" s="239"/>
      <c r="R446" s="239"/>
      <c r="S446" s="239"/>
      <c r="T446" s="239"/>
      <c r="U446" s="239"/>
      <c r="V446" s="239"/>
      <c r="W446" s="239"/>
      <c r="X446" s="40"/>
      <c r="Y446" s="40"/>
      <c r="Z446" s="40"/>
      <c r="AA446" s="40"/>
      <c r="AB446" s="92"/>
      <c r="AC446" s="96" t="str">
        <f>IF(Eingabe[[#This Row],[V1]]="",IF(Eingabe[[#This Row],[Volle alternativ]]="","",Eingabe[[#This Row],[Volle alternativ]]),SUM(Eingabe[[#This Row],[V1]:[V4]]))</f>
        <v/>
      </c>
      <c r="AD446" s="23" t="str">
        <f>IF(Eingabe[[#This Row],[R1]]="",IF(Eingabe[[#This Row],[Räumer alternativ]]="","",Eingabe[[#This Row],[Räumer alternativ]]),SUM(Eingabe[[#This Row],[R1]:[R4]]))</f>
        <v/>
      </c>
      <c r="AE446" s="23" t="str">
        <f>IF(Eingabe[[#This Row],[F1]]="",IF(Eingabe[[#This Row],[Fehler alternativ]]="","",Eingabe[[#This Row],[Fehler alternativ]]),SUM(Eingabe[[#This Row],[F1]:[F4]]))</f>
        <v/>
      </c>
      <c r="AF446" s="23" t="str">
        <f>IF(Eingabe[[#This Row],[Volle]]="","",IF(Eingabe[[#This Row],[S1]]="",Eingabe[[#This Row],[Volle]]+Eingabe[[#This Row],[Räumer]],IF(Eingabe[[#This Row],[Volle]]+Eingabe[[#This Row],[Räumer]]=Eingabe[[#This Row],[S1]]+Eingabe[[#This Row],[S2]]+Eingabe[[#This Row],[S3]]+Eingabe[[#This Row],[S4]],Eingabe[[#This Row],[Volle]]+Eingabe[[#This Row],[Räumer]],"FEHLER")))</f>
        <v/>
      </c>
      <c r="AG446" s="23" t="str">
        <f>IF(Eingabe[[#This Row],[V1]]="","",Eingabe[[#This Row],[V1]]+Eingabe[[#This Row],[R1]])</f>
        <v/>
      </c>
      <c r="AH446" s="23" t="str">
        <f>IF(Eingabe[[#This Row],[V2]]="","",Eingabe[[#This Row],[V2]]+Eingabe[[#This Row],[R2]])</f>
        <v/>
      </c>
      <c r="AI446" s="23" t="str">
        <f>IF(Eingabe[[#This Row],[V3]]="","",Eingabe[[#This Row],[V3]]+Eingabe[[#This Row],[R3]])</f>
        <v/>
      </c>
      <c r="AJ446" s="23" t="str">
        <f>IF(Eingabe[[#This Row],[V4]]="","",Eingabe[[#This Row],[V4]]+Eingabe[[#This Row],[R4]])</f>
        <v/>
      </c>
      <c r="AK446" s="23" t="str">
        <f>IF(Eingabe[[#This Row],[S1P]]="","",Eingabe[[#This Row],[S1P]]+Eingabe[[#This Row],[S2P]]+Eingabe[[#This Row],[S3P]]+Eingabe[[#This Row],[S4P]])</f>
        <v/>
      </c>
      <c r="AL446" s="23" t="str">
        <f>IF(Eingabe[[#This Row],[S1P]]="","",IF(Eingabe[[#This Row],[SP]]&gt;2,1,IF(Eingabe[[#This Row],[SP]]&lt;2,0,IF(Eingabe[[#This Row],[GES]]&gt;Eingabe[[#This Row],[GEGGES]],1,IF(Eingabe[[#This Row],[GES]]=Eingabe[[#This Row],[GEGGES]],0.5,0)))))</f>
        <v/>
      </c>
      <c r="AM446" s="23" t="str">
        <f>IF(Eingabe[[#This Row],[MP]]="","",MOD(ROW(Eingabe[[#This Row],[Position]])-3,6)+1)</f>
        <v/>
      </c>
      <c r="AN446" s="23" t="e">
        <f>STANDARDIZE(Eingabe[[#This Row],[GES]],Eingabe[[#This Row],[Schnitt]],VLOOKUP(Eingabe[[#This Row],[Name]],AuswertungG[],21,FALSE))</f>
        <v>#VALUE!</v>
      </c>
      <c r="AO446" s="23">
        <f>VLOOKUP(Eingabe[[#This Row],[ID]],Chronologie[[ID]:[KW]],12,FALSE)</f>
        <v>13</v>
      </c>
      <c r="AP446" s="59" t="str">
        <f>IF(Eingabe[[#This Row],[Wo]]="H",Eingabe[[#This Row],[Gegner]]&amp;" ["&amp;Eingabe[[#This Row],[Wo]]&amp;"]",Eingabe[[#This Row],[Ort]])</f>
        <v>Lengenfeld</v>
      </c>
      <c r="AQ446" s="23" t="str">
        <f>IFERROR(IF(Eingabe[[#This Row],[Wo]]="H",IF(MOD(Eingabe[[#This Row],[Position]],2)=1,Eingabe[[#This Row],[S1]],Eingabe[[#This Row],[S4]]),""),"")</f>
        <v/>
      </c>
      <c r="AR446" s="23" t="str">
        <f>IFERROR(IF(Eingabe[[#This Row],[Wo]]="H",IF(Eingabe[[#This Row],[S1]]&gt;0,IF(MOD(Eingabe[[#This Row],[Position]],2)=1,Eingabe[[#This Row],[S2]],Eingabe[[#This Row],[S3]]),""),""),"")</f>
        <v/>
      </c>
      <c r="AS446" s="23" t="str">
        <f>IFERROR(IF(Eingabe[[#This Row],[Wo]]="H",IF(Eingabe[[#This Row],[S1]]&gt;0,IF(MOD(ROW(Eingabe[[#This Row],[Heimbahn 3]]),2)=1,Eingabe[[#This Row],[S4]],Eingabe[[#This Row],[S1]]),""),""),"")</f>
        <v/>
      </c>
      <c r="AT446" s="23" t="str">
        <f>IFERROR(IF(Eingabe[[#This Row],[Wo]]="H",IF(Eingabe[[#This Row],[S1]]&gt;0,IF(MOD(ROW(Eingabe[[#This Row],[Heimbahn 4]]),2)=1,Eingabe[[#This Row],[S3]],Eingabe[[#This Row],[S2]]),""),""),"")</f>
        <v/>
      </c>
      <c r="AU446" s="89" t="str">
        <f>IF(Eingabe[[#This Row],[GES]]="","",IF(Eingabe[[#This Row],[Modus]]="L",_xlfn.RANK.EQ(Eingabe[[#This Row],[GES]],AF441:AF446),IF(Eingabe[[#This Row],[Modus]]="P",_xlfn.RANK.EQ(Eingabe[[#This Row],[GES]],AF441:AF446),"")))</f>
        <v/>
      </c>
      <c r="AV446" s="6" t="e">
        <f>VLOOKUP(Eingabe[[#This Row],[Name]],AuswertungG[],8,FALSE)</f>
        <v>#N/A</v>
      </c>
      <c r="AZ446" s="6" t="str">
        <f>IFERROR(ABS(Eingabe[[#This Row],[GES]]-Eingabe[[#This Row],[GEGGES]]),"")</f>
        <v/>
      </c>
    </row>
    <row r="447" spans="1:52" x14ac:dyDescent="0.3">
      <c r="A447" s="440">
        <f t="shared" si="47"/>
        <v>75</v>
      </c>
      <c r="B447" s="55">
        <f t="shared" si="46"/>
        <v>75</v>
      </c>
      <c r="C447" s="35" t="str">
        <f>VLOOKUP($B447,Chronologie[],7,TRUE)</f>
        <v>KSV Pockau-Lengefeld</v>
      </c>
      <c r="D447" s="35" t="str">
        <f>VLOOKUP($B447,Chronologie[],8,TRUE)</f>
        <v>Pockau-Lengefeld</v>
      </c>
      <c r="E447" s="36" t="str">
        <f>VLOOKUP($B447,Chronologie[],9,TRUE)</f>
        <v>A</v>
      </c>
      <c r="F447" s="35" t="str">
        <f>VLOOKUP($B447,Chronologie[],COLUMN(F448)-2,TRUE)</f>
        <v>U14</v>
      </c>
      <c r="G447" s="35" t="str">
        <f>VLOOKUP($B447,Chronologie[],COLUMN(G448)-2,TRUE)</f>
        <v>BEL</v>
      </c>
      <c r="H447" s="35">
        <f>VLOOKUP($B447,Chronologie[],COLUMN(H448)-2,TRUE)</f>
        <v>2</v>
      </c>
      <c r="I447" s="9" t="str">
        <f>VLOOKUP($B447,Chronologie[],2,TRUE)</f>
        <v>U14-BEL-2</v>
      </c>
      <c r="J447" s="242">
        <f>VLOOKUP($B447,Chronologie[],3,TRUE)</f>
        <v>46039</v>
      </c>
      <c r="K447" s="236" t="s">
        <v>484</v>
      </c>
      <c r="L447" s="334">
        <v>72</v>
      </c>
      <c r="M447" s="334">
        <v>82</v>
      </c>
      <c r="N447" s="334">
        <v>66</v>
      </c>
      <c r="O447" s="334">
        <v>64</v>
      </c>
      <c r="P447" s="334">
        <v>19</v>
      </c>
      <c r="Q447" s="334">
        <v>35</v>
      </c>
      <c r="R447" s="334">
        <v>16</v>
      </c>
      <c r="S447" s="334">
        <v>35</v>
      </c>
      <c r="T447" s="334">
        <v>5</v>
      </c>
      <c r="U447" s="334">
        <v>4</v>
      </c>
      <c r="V447" s="334">
        <v>8</v>
      </c>
      <c r="W447" s="334">
        <v>5</v>
      </c>
      <c r="X447" s="37"/>
      <c r="Y447" s="37"/>
      <c r="Z447" s="37"/>
      <c r="AA447" s="37"/>
      <c r="AB447" s="90"/>
      <c r="AC447" s="93">
        <f>IF(Eingabe[[#This Row],[V1]]="",IF(Eingabe[[#This Row],[Volle alternativ]]="","",Eingabe[[#This Row],[Volle alternativ]]),SUM(Eingabe[[#This Row],[V1]:[V4]]))</f>
        <v>284</v>
      </c>
      <c r="AD447" s="35">
        <f>IF(Eingabe[[#This Row],[R1]]="",IF(Eingabe[[#This Row],[Räumer alternativ]]="","",Eingabe[[#This Row],[Räumer alternativ]]),SUM(Eingabe[[#This Row],[R1]:[R4]]))</f>
        <v>105</v>
      </c>
      <c r="AE447" s="35">
        <f>IF(Eingabe[[#This Row],[F1]]="",IF(Eingabe[[#This Row],[Fehler alternativ]]="","",Eingabe[[#This Row],[Fehler alternativ]]),SUM(Eingabe[[#This Row],[F1]:[F4]]))</f>
        <v>22</v>
      </c>
      <c r="AF447" s="35">
        <f>IF(Eingabe[[#This Row],[Volle]]="","",IF(Eingabe[[#This Row],[S1]]="",Eingabe[[#This Row],[Volle]]+Eingabe[[#This Row],[Räumer]],IF(Eingabe[[#This Row],[Volle]]+Eingabe[[#This Row],[Räumer]]=Eingabe[[#This Row],[S1]]+Eingabe[[#This Row],[S2]]+Eingabe[[#This Row],[S3]]+Eingabe[[#This Row],[S4]],Eingabe[[#This Row],[Volle]]+Eingabe[[#This Row],[Räumer]],"FEHLER")))</f>
        <v>389</v>
      </c>
      <c r="AG447" s="35">
        <f>IF(Eingabe[[#This Row],[V1]]="","",Eingabe[[#This Row],[V1]]+Eingabe[[#This Row],[R1]])</f>
        <v>91</v>
      </c>
      <c r="AH447" s="35">
        <f>IF(Eingabe[[#This Row],[V2]]="","",Eingabe[[#This Row],[V2]]+Eingabe[[#This Row],[R2]])</f>
        <v>117</v>
      </c>
      <c r="AI447" s="35">
        <f>IF(Eingabe[[#This Row],[V3]]="","",Eingabe[[#This Row],[V3]]+Eingabe[[#This Row],[R3]])</f>
        <v>82</v>
      </c>
      <c r="AJ447" s="35">
        <f>IF(Eingabe[[#This Row],[V4]]="","",Eingabe[[#This Row],[V4]]+Eingabe[[#This Row],[R4]])</f>
        <v>99</v>
      </c>
      <c r="AK447" s="35" t="str">
        <f>IF(Eingabe[[#This Row],[S1P]]="","",Eingabe[[#This Row],[S1P]]+Eingabe[[#This Row],[S2P]]+Eingabe[[#This Row],[S3P]]+Eingabe[[#This Row],[S4P]])</f>
        <v/>
      </c>
      <c r="AL447" s="35" t="str">
        <f>IF(Eingabe[[#This Row],[S1P]]="","",IF(Eingabe[[#This Row],[SP]]&gt;2,1,IF(Eingabe[[#This Row],[SP]]&lt;2,0,IF(Eingabe[[#This Row],[GES]]&gt;Eingabe[[#This Row],[GEGGES]],1,IF(Eingabe[[#This Row],[GES]]=Eingabe[[#This Row],[GEGGES]],0.5,0)))))</f>
        <v/>
      </c>
      <c r="AM447" s="35" t="str">
        <f>IF(Eingabe[[#This Row],[MP]]="","",MOD(ROW(Eingabe[[#This Row],[Position]])-3,6)+1)</f>
        <v/>
      </c>
      <c r="AN447" s="35">
        <f>STANDARDIZE(Eingabe[[#This Row],[GES]],Eingabe[[#This Row],[Schnitt]],VLOOKUP(Eingabe[[#This Row],[Name]],AuswertungG[],21,FALSE))</f>
        <v>8.8235294117647065E-2</v>
      </c>
      <c r="AO447" s="35">
        <f>VLOOKUP(Eingabe[[#This Row],[ID]],Chronologie[[ID]:[KW]],12,FALSE)</f>
        <v>21</v>
      </c>
      <c r="AP447" s="58" t="str">
        <f>IF(Eingabe[[#This Row],[Wo]]="H",Eingabe[[#This Row],[Gegner]]&amp;" ["&amp;Eingabe[[#This Row],[Wo]]&amp;"]",Eingabe[[#This Row],[Ort]])</f>
        <v>Pockau-Lengefeld</v>
      </c>
      <c r="AQ447" s="35" t="str">
        <f>IFERROR(IF(Eingabe[[#This Row],[Wo]]="H",IF(MOD(Eingabe[[#This Row],[Position]],2)=1,Eingabe[[#This Row],[S1]],Eingabe[[#This Row],[S4]]),""),"")</f>
        <v/>
      </c>
      <c r="AR447" s="35" t="str">
        <f>IFERROR(IF(Eingabe[[#This Row],[Wo]]="H",IF(Eingabe[[#This Row],[S1]]&gt;0,IF(MOD(Eingabe[[#This Row],[Position]],2)=1,Eingabe[[#This Row],[S2]],Eingabe[[#This Row],[S3]]),""),""),"")</f>
        <v/>
      </c>
      <c r="AS447" s="35" t="str">
        <f>IFERROR(IF(Eingabe[[#This Row],[Wo]]="H",IF(Eingabe[[#This Row],[S1]]&gt;0,IF(MOD(ROW(Eingabe[[#This Row],[Heimbahn 3]]),2)=1,Eingabe[[#This Row],[S4]],Eingabe[[#This Row],[S1]]),""),""),"")</f>
        <v/>
      </c>
      <c r="AT447" s="35" t="str">
        <f>IFERROR(IF(Eingabe[[#This Row],[Wo]]="H",IF(Eingabe[[#This Row],[S1]]&gt;0,IF(MOD(ROW(Eingabe[[#This Row],[Heimbahn 4]]),2)=1,Eingabe[[#This Row],[S3]],Eingabe[[#This Row],[S2]]),""),""),"")</f>
        <v/>
      </c>
      <c r="AU447" s="88" t="str">
        <f>IF(Eingabe[[#This Row],[GES]]="","",IF(Eingabe[[#This Row],[Modus]]="L",_xlfn.RANK.EQ(Eingabe[[#This Row],[GES]],AF447:AF452),IF(Eingabe[[#This Row],[Modus]]="P",_xlfn.RANK.EQ(Eingabe[[#This Row],[GES]],AF447:AF452),"")))</f>
        <v/>
      </c>
      <c r="AV447" s="6">
        <f>VLOOKUP(Eingabe[[#This Row],[Name]],AuswertungG[],8,FALSE)</f>
        <v>386</v>
      </c>
      <c r="AZ447" s="6">
        <f>IFERROR(ABS(Eingabe[[#This Row],[GES]]-Eingabe[[#This Row],[GEGGES]]),"")</f>
        <v>389</v>
      </c>
    </row>
    <row r="448" spans="1:52" x14ac:dyDescent="0.3">
      <c r="A448" s="441"/>
      <c r="B448" s="21">
        <f t="shared" si="46"/>
        <v>75</v>
      </c>
      <c r="C448" s="6" t="str">
        <f>VLOOKUP($B448,Chronologie[],7,TRUE)</f>
        <v>KSV Pockau-Lengefeld</v>
      </c>
      <c r="D448" s="6" t="str">
        <f>VLOOKUP($B448,Chronologie[],8,TRUE)</f>
        <v>Pockau-Lengefeld</v>
      </c>
      <c r="E448" s="240" t="str">
        <f>VLOOKUP($B448,Chronologie[],9,TRUE)</f>
        <v>A</v>
      </c>
      <c r="F448" s="6" t="str">
        <f>VLOOKUP($B448,Chronologie[],COLUMN(F449)-2,TRUE)</f>
        <v>U14</v>
      </c>
      <c r="G448" s="6" t="str">
        <f>VLOOKUP($B448,Chronologie[],COLUMN(G449)-2,TRUE)</f>
        <v>BEL</v>
      </c>
      <c r="H448" s="6">
        <f>VLOOKUP($B448,Chronologie[],COLUMN(H449)-2,TRUE)</f>
        <v>2</v>
      </c>
      <c r="I448" s="10" t="str">
        <f>VLOOKUP($B448,Chronologie[],2,TRUE)</f>
        <v>U14-BEL-2</v>
      </c>
      <c r="J448" s="243">
        <f>VLOOKUP($B448,Chronologie[],3,TRUE)</f>
        <v>46039</v>
      </c>
      <c r="K448" s="237" t="s">
        <v>476</v>
      </c>
      <c r="L448" s="237">
        <v>81</v>
      </c>
      <c r="M448" s="237">
        <v>83</v>
      </c>
      <c r="N448" s="237">
        <v>71</v>
      </c>
      <c r="O448" s="237">
        <v>84</v>
      </c>
      <c r="P448" s="237">
        <v>26</v>
      </c>
      <c r="Q448" s="237">
        <v>36</v>
      </c>
      <c r="R448" s="237">
        <v>19</v>
      </c>
      <c r="S448" s="237">
        <v>26</v>
      </c>
      <c r="T448" s="237">
        <v>6</v>
      </c>
      <c r="U448" s="237">
        <v>4</v>
      </c>
      <c r="V448" s="237">
        <v>7</v>
      </c>
      <c r="W448" s="237">
        <v>8</v>
      </c>
      <c r="X448" s="38"/>
      <c r="Y448" s="38"/>
      <c r="Z448" s="38"/>
      <c r="AA448" s="38"/>
      <c r="AB448" s="91"/>
      <c r="AC448" s="94">
        <f>IF(Eingabe[[#This Row],[V1]]="",IF(Eingabe[[#This Row],[Volle alternativ]]="","",Eingabe[[#This Row],[Volle alternativ]]),SUM(Eingabe[[#This Row],[V1]:[V4]]))</f>
        <v>319</v>
      </c>
      <c r="AD448" s="6">
        <f>IF(Eingabe[[#This Row],[R1]]="",IF(Eingabe[[#This Row],[Räumer alternativ]]="","",Eingabe[[#This Row],[Räumer alternativ]]),SUM(Eingabe[[#This Row],[R1]:[R4]]))</f>
        <v>107</v>
      </c>
      <c r="AE448" s="6">
        <f>IF(Eingabe[[#This Row],[F1]]="",IF(Eingabe[[#This Row],[Fehler alternativ]]="","",Eingabe[[#This Row],[Fehler alternativ]]),SUM(Eingabe[[#This Row],[F1]:[F4]]))</f>
        <v>25</v>
      </c>
      <c r="AF448" s="6">
        <f>IF(Eingabe[[#This Row],[Volle]]="","",IF(Eingabe[[#This Row],[S1]]="",Eingabe[[#This Row],[Volle]]+Eingabe[[#This Row],[Räumer]],IF(Eingabe[[#This Row],[Volle]]+Eingabe[[#This Row],[Räumer]]=Eingabe[[#This Row],[S1]]+Eingabe[[#This Row],[S2]]+Eingabe[[#This Row],[S3]]+Eingabe[[#This Row],[S4]],Eingabe[[#This Row],[Volle]]+Eingabe[[#This Row],[Räumer]],"FEHLER")))</f>
        <v>426</v>
      </c>
      <c r="AG448" s="6">
        <f>IF(Eingabe[[#This Row],[V1]]="","",Eingabe[[#This Row],[V1]]+Eingabe[[#This Row],[R1]])</f>
        <v>107</v>
      </c>
      <c r="AH448" s="6">
        <f>IF(Eingabe[[#This Row],[V2]]="","",Eingabe[[#This Row],[V2]]+Eingabe[[#This Row],[R2]])</f>
        <v>119</v>
      </c>
      <c r="AI448" s="6">
        <f>IF(Eingabe[[#This Row],[V3]]="","",Eingabe[[#This Row],[V3]]+Eingabe[[#This Row],[R3]])</f>
        <v>90</v>
      </c>
      <c r="AJ448" s="6">
        <f>IF(Eingabe[[#This Row],[V4]]="","",Eingabe[[#This Row],[V4]]+Eingabe[[#This Row],[R4]])</f>
        <v>110</v>
      </c>
      <c r="AK448" s="6" t="str">
        <f>IF(Eingabe[[#This Row],[S1P]]="","",Eingabe[[#This Row],[S1P]]+Eingabe[[#This Row],[S2P]]+Eingabe[[#This Row],[S3P]]+Eingabe[[#This Row],[S4P]])</f>
        <v/>
      </c>
      <c r="AL448" s="6" t="str">
        <f>IF(Eingabe[[#This Row],[S1P]]="","",IF(Eingabe[[#This Row],[SP]]&gt;2,1,IF(Eingabe[[#This Row],[SP]]&lt;2,0,IF(Eingabe[[#This Row],[GES]]&gt;Eingabe[[#This Row],[GEGGES]],1,IF(Eingabe[[#This Row],[GES]]=Eingabe[[#This Row],[GEGGES]],0.5,0)))))</f>
        <v/>
      </c>
      <c r="AM448" s="6" t="str">
        <f>IF(Eingabe[[#This Row],[MP]]="","",MOD(ROW(Eingabe[[#This Row],[Position]])-3,6)+1)</f>
        <v/>
      </c>
      <c r="AN448" s="6">
        <f>STANDARDIZE(Eingabe[[#This Row],[GES]],Eingabe[[#This Row],[Schnitt]],VLOOKUP(Eingabe[[#This Row],[Name]],AuswertungG[],21,FALSE))</f>
        <v>0.41025641025641024</v>
      </c>
      <c r="AO448" s="6">
        <f>VLOOKUP(Eingabe[[#This Row],[ID]],Chronologie[[ID]:[KW]],12,FALSE)</f>
        <v>21</v>
      </c>
      <c r="AP448" s="95" t="str">
        <f>IF(Eingabe[[#This Row],[Wo]]="H",Eingabe[[#This Row],[Gegner]]&amp;" ["&amp;Eingabe[[#This Row],[Wo]]&amp;"]",Eingabe[[#This Row],[Ort]])</f>
        <v>Pockau-Lengefeld</v>
      </c>
      <c r="AQ448" s="6" t="str">
        <f>IFERROR(IF(Eingabe[[#This Row],[Wo]]="H",IF(MOD(Eingabe[[#This Row],[Position]],2)=1,Eingabe[[#This Row],[S1]],Eingabe[[#This Row],[S4]]),""),"")</f>
        <v/>
      </c>
      <c r="AR448" s="6" t="str">
        <f>IFERROR(IF(Eingabe[[#This Row],[Wo]]="H",IF(Eingabe[[#This Row],[S1]]&gt;0,IF(MOD(Eingabe[[#This Row],[Position]],2)=1,Eingabe[[#This Row],[S2]],Eingabe[[#This Row],[S3]]),""),""),"")</f>
        <v/>
      </c>
      <c r="AS448" s="6" t="str">
        <f>IFERROR(IF(Eingabe[[#This Row],[Wo]]="H",IF(Eingabe[[#This Row],[S1]]&gt;0,IF(MOD(ROW(Eingabe[[#This Row],[Heimbahn 3]]),2)=1,Eingabe[[#This Row],[S4]],Eingabe[[#This Row],[S1]]),""),""),"")</f>
        <v/>
      </c>
      <c r="AT448" s="6" t="str">
        <f>IFERROR(IF(Eingabe[[#This Row],[Wo]]="H",IF(Eingabe[[#This Row],[S1]]&gt;0,IF(MOD(ROW(Eingabe[[#This Row],[Heimbahn 4]]),2)=1,Eingabe[[#This Row],[S3]],Eingabe[[#This Row],[S2]]),""),""),"")</f>
        <v/>
      </c>
      <c r="AU448" s="22" t="str">
        <f>IF(Eingabe[[#This Row],[GES]]="","",IF(Eingabe[[#This Row],[Modus]]="L",_xlfn.RANK.EQ(Eingabe[[#This Row],[GES]],AF447:AF452),IF(Eingabe[[#This Row],[Modus]]="P",_xlfn.RANK.EQ(Eingabe[[#This Row],[GES]],AF447:AF452),"")))</f>
        <v/>
      </c>
      <c r="AV448" s="6">
        <f>VLOOKUP(Eingabe[[#This Row],[Name]],AuswertungG[],8,FALSE)</f>
        <v>410</v>
      </c>
      <c r="AZ448" s="6">
        <f>IFERROR(ABS(Eingabe[[#This Row],[GES]]-Eingabe[[#This Row],[GEGGES]]),"")</f>
        <v>426</v>
      </c>
    </row>
    <row r="449" spans="1:52" x14ac:dyDescent="0.3">
      <c r="A449" s="441"/>
      <c r="B449" s="21">
        <f t="shared" si="46"/>
        <v>75</v>
      </c>
      <c r="C449" s="6" t="str">
        <f>VLOOKUP($B449,Chronologie[],7,TRUE)</f>
        <v>KSV Pockau-Lengefeld</v>
      </c>
      <c r="D449" s="6" t="str">
        <f>VLOOKUP($B449,Chronologie[],8,TRUE)</f>
        <v>Pockau-Lengefeld</v>
      </c>
      <c r="E449" s="240" t="str">
        <f>VLOOKUP($B449,Chronologie[],9,TRUE)</f>
        <v>A</v>
      </c>
      <c r="F449" s="6" t="str">
        <f>VLOOKUP($B449,Chronologie[],COLUMN(F450)-2,TRUE)</f>
        <v>U14</v>
      </c>
      <c r="G449" s="6" t="str">
        <f>VLOOKUP($B449,Chronologie[],COLUMN(G450)-2,TRUE)</f>
        <v>BEL</v>
      </c>
      <c r="H449" s="6">
        <f>VLOOKUP($B449,Chronologie[],COLUMN(H450)-2,TRUE)</f>
        <v>2</v>
      </c>
      <c r="I449" s="10" t="str">
        <f>VLOOKUP($B449,Chronologie[],2,TRUE)</f>
        <v>U14-BEL-2</v>
      </c>
      <c r="J449" s="243">
        <f>VLOOKUP($B449,Chronologie[],3,TRUE)</f>
        <v>46039</v>
      </c>
      <c r="K449" s="237" t="s">
        <v>599</v>
      </c>
      <c r="L449" s="237">
        <v>77</v>
      </c>
      <c r="M449" s="237">
        <v>71</v>
      </c>
      <c r="N449" s="237">
        <v>78</v>
      </c>
      <c r="O449" s="237">
        <v>61</v>
      </c>
      <c r="P449" s="237">
        <v>21</v>
      </c>
      <c r="Q449" s="237">
        <v>16</v>
      </c>
      <c r="R449" s="237">
        <v>25</v>
      </c>
      <c r="S449" s="237">
        <v>25</v>
      </c>
      <c r="T449" s="237">
        <v>5</v>
      </c>
      <c r="U449" s="237">
        <v>10</v>
      </c>
      <c r="V449" s="237">
        <v>5</v>
      </c>
      <c r="W449" s="237">
        <v>8</v>
      </c>
      <c r="X449" s="38"/>
      <c r="Y449" s="38"/>
      <c r="Z449" s="38"/>
      <c r="AA449" s="38"/>
      <c r="AB449" s="91"/>
      <c r="AC449" s="94">
        <f>IF(Eingabe[[#This Row],[V1]]="",IF(Eingabe[[#This Row],[Volle alternativ]]="","",Eingabe[[#This Row],[Volle alternativ]]),SUM(Eingabe[[#This Row],[V1]:[V4]]))</f>
        <v>287</v>
      </c>
      <c r="AD449" s="6">
        <f>IF(Eingabe[[#This Row],[R1]]="",IF(Eingabe[[#This Row],[Räumer alternativ]]="","",Eingabe[[#This Row],[Räumer alternativ]]),SUM(Eingabe[[#This Row],[R1]:[R4]]))</f>
        <v>87</v>
      </c>
      <c r="AE449" s="6">
        <f>IF(Eingabe[[#This Row],[F1]]="",IF(Eingabe[[#This Row],[Fehler alternativ]]="","",Eingabe[[#This Row],[Fehler alternativ]]),SUM(Eingabe[[#This Row],[F1]:[F4]]))</f>
        <v>28</v>
      </c>
      <c r="AF449" s="6">
        <f>IF(Eingabe[[#This Row],[Volle]]="","",IF(Eingabe[[#This Row],[S1]]="",Eingabe[[#This Row],[Volle]]+Eingabe[[#This Row],[Räumer]],IF(Eingabe[[#This Row],[Volle]]+Eingabe[[#This Row],[Räumer]]=Eingabe[[#This Row],[S1]]+Eingabe[[#This Row],[S2]]+Eingabe[[#This Row],[S3]]+Eingabe[[#This Row],[S4]],Eingabe[[#This Row],[Volle]]+Eingabe[[#This Row],[Räumer]],"FEHLER")))</f>
        <v>374</v>
      </c>
      <c r="AG449" s="6">
        <f>IF(Eingabe[[#This Row],[V1]]="","",Eingabe[[#This Row],[V1]]+Eingabe[[#This Row],[R1]])</f>
        <v>98</v>
      </c>
      <c r="AH449" s="6">
        <f>IF(Eingabe[[#This Row],[V2]]="","",Eingabe[[#This Row],[V2]]+Eingabe[[#This Row],[R2]])</f>
        <v>87</v>
      </c>
      <c r="AI449" s="6">
        <f>IF(Eingabe[[#This Row],[V3]]="","",Eingabe[[#This Row],[V3]]+Eingabe[[#This Row],[R3]])</f>
        <v>103</v>
      </c>
      <c r="AJ449" s="6">
        <f>IF(Eingabe[[#This Row],[V4]]="","",Eingabe[[#This Row],[V4]]+Eingabe[[#This Row],[R4]])</f>
        <v>86</v>
      </c>
      <c r="AK449" s="6" t="str">
        <f>IF(Eingabe[[#This Row],[S1P]]="","",Eingabe[[#This Row],[S1P]]+Eingabe[[#This Row],[S2P]]+Eingabe[[#This Row],[S3P]]+Eingabe[[#This Row],[S4P]])</f>
        <v/>
      </c>
      <c r="AL449" s="6" t="str">
        <f>IF(Eingabe[[#This Row],[S1P]]="","",IF(Eingabe[[#This Row],[SP]]&gt;2,1,IF(Eingabe[[#This Row],[SP]]&lt;2,0,IF(Eingabe[[#This Row],[GES]]&gt;Eingabe[[#This Row],[GEGGES]],1,IF(Eingabe[[#This Row],[GES]]=Eingabe[[#This Row],[GEGGES]],0.5,0)))))</f>
        <v/>
      </c>
      <c r="AM449" s="6" t="str">
        <f>IF(Eingabe[[#This Row],[MP]]="","",MOD(ROW(Eingabe[[#This Row],[Position]])-3,6)+1)</f>
        <v/>
      </c>
      <c r="AN449" s="6">
        <f>STANDARDIZE(Eingabe[[#This Row],[GES]],Eingabe[[#This Row],[Schnitt]],VLOOKUP(Eingabe[[#This Row],[Name]],AuswertungG[],21,FALSE))</f>
        <v>0.47826086956521741</v>
      </c>
      <c r="AO449" s="6">
        <f>VLOOKUP(Eingabe[[#This Row],[ID]],Chronologie[[ID]:[KW]],12,FALSE)</f>
        <v>21</v>
      </c>
      <c r="AP449" s="95" t="str">
        <f>IF(Eingabe[[#This Row],[Wo]]="H",Eingabe[[#This Row],[Gegner]]&amp;" ["&amp;Eingabe[[#This Row],[Wo]]&amp;"]",Eingabe[[#This Row],[Ort]])</f>
        <v>Pockau-Lengefeld</v>
      </c>
      <c r="AQ449" s="6" t="str">
        <f>IFERROR(IF(Eingabe[[#This Row],[Wo]]="H",IF(MOD(Eingabe[[#This Row],[Position]],2)=1,Eingabe[[#This Row],[S1]],Eingabe[[#This Row],[S4]]),""),"")</f>
        <v/>
      </c>
      <c r="AR449" s="6" t="str">
        <f>IFERROR(IF(Eingabe[[#This Row],[Wo]]="H",IF(Eingabe[[#This Row],[S1]]&gt;0,IF(MOD(Eingabe[[#This Row],[Position]],2)=1,Eingabe[[#This Row],[S2]],Eingabe[[#This Row],[S3]]),""),""),"")</f>
        <v/>
      </c>
      <c r="AS449" s="6" t="str">
        <f>IFERROR(IF(Eingabe[[#This Row],[Wo]]="H",IF(Eingabe[[#This Row],[S1]]&gt;0,IF(MOD(ROW(Eingabe[[#This Row],[Heimbahn 3]]),2)=1,Eingabe[[#This Row],[S4]],Eingabe[[#This Row],[S1]]),""),""),"")</f>
        <v/>
      </c>
      <c r="AT449" s="6" t="str">
        <f>IFERROR(IF(Eingabe[[#This Row],[Wo]]="H",IF(Eingabe[[#This Row],[S1]]&gt;0,IF(MOD(ROW(Eingabe[[#This Row],[Heimbahn 4]]),2)=1,Eingabe[[#This Row],[S3]],Eingabe[[#This Row],[S2]]),""),""),"")</f>
        <v/>
      </c>
      <c r="AU449" s="22" t="str">
        <f>IF(Eingabe[[#This Row],[GES]]="","",IF(Eingabe[[#This Row],[Modus]]="L",_xlfn.RANK.EQ(Eingabe[[#This Row],[GES]],AF447:AF452),IF(Eingabe[[#This Row],[Modus]]="P",_xlfn.RANK.EQ(Eingabe[[#This Row],[GES]],AF447:AF452),"")))</f>
        <v/>
      </c>
      <c r="AV449" s="6">
        <f>VLOOKUP(Eingabe[[#This Row],[Name]],AuswertungG[],8,FALSE)</f>
        <v>363</v>
      </c>
      <c r="AZ449" s="6">
        <f>IFERROR(ABS(Eingabe[[#This Row],[GES]]-Eingabe[[#This Row],[GEGGES]]),"")</f>
        <v>374</v>
      </c>
    </row>
    <row r="450" spans="1:52" x14ac:dyDescent="0.3">
      <c r="A450" s="441"/>
      <c r="B450" s="21">
        <f t="shared" si="46"/>
        <v>75</v>
      </c>
      <c r="C450" s="6" t="str">
        <f>VLOOKUP($B450,Chronologie[],7,TRUE)</f>
        <v>KSV Pockau-Lengefeld</v>
      </c>
      <c r="D450" s="6" t="str">
        <f>VLOOKUP($B450,Chronologie[],8,TRUE)</f>
        <v>Pockau-Lengefeld</v>
      </c>
      <c r="E450" s="240" t="str">
        <f>VLOOKUP($B450,Chronologie[],9,TRUE)</f>
        <v>A</v>
      </c>
      <c r="F450" s="6" t="str">
        <f>VLOOKUP($B450,Chronologie[],COLUMN(F451)-2,TRUE)</f>
        <v>U14</v>
      </c>
      <c r="G450" s="6" t="str">
        <f>VLOOKUP($B450,Chronologie[],COLUMN(G451)-2,TRUE)</f>
        <v>BEL</v>
      </c>
      <c r="H450" s="6">
        <f>VLOOKUP($B450,Chronologie[],COLUMN(H451)-2,TRUE)</f>
        <v>2</v>
      </c>
      <c r="I450" s="10" t="str">
        <f>VLOOKUP($B450,Chronologie[],2,TRUE)</f>
        <v>U14-BEL-2</v>
      </c>
      <c r="J450" s="243">
        <f>VLOOKUP($B450,Chronologie[],3,TRUE)</f>
        <v>46039</v>
      </c>
      <c r="K450" s="238"/>
      <c r="L450" s="237"/>
      <c r="M450" s="237"/>
      <c r="N450" s="237"/>
      <c r="O450" s="237"/>
      <c r="P450" s="237"/>
      <c r="Q450" s="237"/>
      <c r="R450" s="237"/>
      <c r="S450" s="237"/>
      <c r="T450" s="237"/>
      <c r="U450" s="237"/>
      <c r="V450" s="237"/>
      <c r="W450" s="237"/>
      <c r="X450" s="38"/>
      <c r="Y450" s="38"/>
      <c r="Z450" s="38"/>
      <c r="AA450" s="38"/>
      <c r="AB450" s="91"/>
      <c r="AC450" s="94" t="str">
        <f>IF(Eingabe[[#This Row],[V1]]="",IF(Eingabe[[#This Row],[Volle alternativ]]="","",Eingabe[[#This Row],[Volle alternativ]]),SUM(Eingabe[[#This Row],[V1]:[V4]]))</f>
        <v/>
      </c>
      <c r="AD450" s="6" t="str">
        <f>IF(Eingabe[[#This Row],[R1]]="",IF(Eingabe[[#This Row],[Räumer alternativ]]="","",Eingabe[[#This Row],[Räumer alternativ]]),SUM(Eingabe[[#This Row],[R1]:[R4]]))</f>
        <v/>
      </c>
      <c r="AE450" s="6" t="str">
        <f>IF(Eingabe[[#This Row],[F1]]="",IF(Eingabe[[#This Row],[Fehler alternativ]]="","",Eingabe[[#This Row],[Fehler alternativ]]),SUM(Eingabe[[#This Row],[F1]:[F4]]))</f>
        <v/>
      </c>
      <c r="AF450" s="6" t="str">
        <f>IF(Eingabe[[#This Row],[Volle]]="","",IF(Eingabe[[#This Row],[S1]]="",Eingabe[[#This Row],[Volle]]+Eingabe[[#This Row],[Räumer]],IF(Eingabe[[#This Row],[Volle]]+Eingabe[[#This Row],[Räumer]]=Eingabe[[#This Row],[S1]]+Eingabe[[#This Row],[S2]]+Eingabe[[#This Row],[S3]]+Eingabe[[#This Row],[S4]],Eingabe[[#This Row],[Volle]]+Eingabe[[#This Row],[Räumer]],"FEHLER")))</f>
        <v/>
      </c>
      <c r="AG450" s="6" t="str">
        <f>IF(Eingabe[[#This Row],[V1]]="","",Eingabe[[#This Row],[V1]]+Eingabe[[#This Row],[R1]])</f>
        <v/>
      </c>
      <c r="AH450" s="6" t="str">
        <f>IF(Eingabe[[#This Row],[V2]]="","",Eingabe[[#This Row],[V2]]+Eingabe[[#This Row],[R2]])</f>
        <v/>
      </c>
      <c r="AI450" s="6" t="str">
        <f>IF(Eingabe[[#This Row],[V3]]="","",Eingabe[[#This Row],[V3]]+Eingabe[[#This Row],[R3]])</f>
        <v/>
      </c>
      <c r="AJ450" s="6" t="str">
        <f>IF(Eingabe[[#This Row],[V4]]="","",Eingabe[[#This Row],[V4]]+Eingabe[[#This Row],[R4]])</f>
        <v/>
      </c>
      <c r="AK450" s="6" t="str">
        <f>IF(Eingabe[[#This Row],[S1P]]="","",Eingabe[[#This Row],[S1P]]+Eingabe[[#This Row],[S2P]]+Eingabe[[#This Row],[S3P]]+Eingabe[[#This Row],[S4P]])</f>
        <v/>
      </c>
      <c r="AL450" s="6" t="str">
        <f>IF(Eingabe[[#This Row],[S1P]]="","",IF(Eingabe[[#This Row],[SP]]&gt;2,1,IF(Eingabe[[#This Row],[SP]]&lt;2,0,IF(Eingabe[[#This Row],[GES]]&gt;Eingabe[[#This Row],[GEGGES]],1,IF(Eingabe[[#This Row],[GES]]=Eingabe[[#This Row],[GEGGES]],0.5,0)))))</f>
        <v/>
      </c>
      <c r="AM450" s="6" t="str">
        <f>IF(Eingabe[[#This Row],[MP]]="","",MOD(ROW(Eingabe[[#This Row],[Position]])-3,6)+1)</f>
        <v/>
      </c>
      <c r="AN450" s="6" t="e">
        <f>STANDARDIZE(Eingabe[[#This Row],[GES]],Eingabe[[#This Row],[Schnitt]],VLOOKUP(Eingabe[[#This Row],[Name]],AuswertungG[],21,FALSE))</f>
        <v>#VALUE!</v>
      </c>
      <c r="AO450" s="6">
        <f>VLOOKUP(Eingabe[[#This Row],[ID]],Chronologie[[ID]:[KW]],12,FALSE)</f>
        <v>21</v>
      </c>
      <c r="AP450" s="95" t="str">
        <f>IF(Eingabe[[#This Row],[Wo]]="H",Eingabe[[#This Row],[Gegner]]&amp;" ["&amp;Eingabe[[#This Row],[Wo]]&amp;"]",Eingabe[[#This Row],[Ort]])</f>
        <v>Pockau-Lengefeld</v>
      </c>
      <c r="AQ450" s="6" t="str">
        <f>IFERROR(IF(Eingabe[[#This Row],[Wo]]="H",IF(MOD(Eingabe[[#This Row],[Position]],2)=1,Eingabe[[#This Row],[S1]],Eingabe[[#This Row],[S4]]),""),"")</f>
        <v/>
      </c>
      <c r="AR450" s="6" t="str">
        <f>IFERROR(IF(Eingabe[[#This Row],[Wo]]="H",IF(Eingabe[[#This Row],[S1]]&gt;0,IF(MOD(Eingabe[[#This Row],[Position]],2)=1,Eingabe[[#This Row],[S2]],Eingabe[[#This Row],[S3]]),""),""),"")</f>
        <v/>
      </c>
      <c r="AS450" s="6" t="str">
        <f>IFERROR(IF(Eingabe[[#This Row],[Wo]]="H",IF(Eingabe[[#This Row],[S1]]&gt;0,IF(MOD(ROW(Eingabe[[#This Row],[Heimbahn 3]]),2)=1,Eingabe[[#This Row],[S4]],Eingabe[[#This Row],[S1]]),""),""),"")</f>
        <v/>
      </c>
      <c r="AT450" s="6" t="str">
        <f>IFERROR(IF(Eingabe[[#This Row],[Wo]]="H",IF(Eingabe[[#This Row],[S1]]&gt;0,IF(MOD(ROW(Eingabe[[#This Row],[Heimbahn 4]]),2)=1,Eingabe[[#This Row],[S3]],Eingabe[[#This Row],[S2]]),""),""),"")</f>
        <v/>
      </c>
      <c r="AU450" s="22" t="str">
        <f>IF(Eingabe[[#This Row],[GES]]="","",IF(Eingabe[[#This Row],[Modus]]="L",_xlfn.RANK.EQ(Eingabe[[#This Row],[GES]],AF447:AF452),IF(Eingabe[[#This Row],[Modus]]="P",_xlfn.RANK.EQ(Eingabe[[#This Row],[GES]],AF447:AF452),"")))</f>
        <v/>
      </c>
      <c r="AV450" s="6" t="e">
        <f>VLOOKUP(Eingabe[[#This Row],[Name]],AuswertungG[],8,FALSE)</f>
        <v>#N/A</v>
      </c>
      <c r="AZ450" s="6" t="str">
        <f>IFERROR(ABS(Eingabe[[#This Row],[GES]]-Eingabe[[#This Row],[GEGGES]]),"")</f>
        <v/>
      </c>
    </row>
    <row r="451" spans="1:52" x14ac:dyDescent="0.3">
      <c r="A451" s="441"/>
      <c r="B451" s="21">
        <f t="shared" si="46"/>
        <v>75</v>
      </c>
      <c r="C451" s="6" t="str">
        <f>VLOOKUP($B451,Chronologie[],7,TRUE)</f>
        <v>KSV Pockau-Lengefeld</v>
      </c>
      <c r="D451" s="6" t="str">
        <f>VLOOKUP($B451,Chronologie[],8,TRUE)</f>
        <v>Pockau-Lengefeld</v>
      </c>
      <c r="E451" s="240" t="str">
        <f>VLOOKUP($B451,Chronologie[],9,TRUE)</f>
        <v>A</v>
      </c>
      <c r="F451" s="6" t="str">
        <f>VLOOKUP($B451,Chronologie[],COLUMN(F452)-2,TRUE)</f>
        <v>U14</v>
      </c>
      <c r="G451" s="6" t="str">
        <f>VLOOKUP($B451,Chronologie[],COLUMN(G452)-2,TRUE)</f>
        <v>BEL</v>
      </c>
      <c r="H451" s="6">
        <f>VLOOKUP($B451,Chronologie[],COLUMN(H452)-2,TRUE)</f>
        <v>2</v>
      </c>
      <c r="I451" s="10" t="str">
        <f>VLOOKUP($B451,Chronologie[],2,TRUE)</f>
        <v>U14-BEL-2</v>
      </c>
      <c r="J451" s="243">
        <f>VLOOKUP($B451,Chronologie[],3,TRUE)</f>
        <v>46039</v>
      </c>
      <c r="K451" s="237"/>
      <c r="L451" s="237"/>
      <c r="M451" s="237"/>
      <c r="N451" s="237"/>
      <c r="O451" s="237"/>
      <c r="P451" s="237"/>
      <c r="Q451" s="237"/>
      <c r="R451" s="237"/>
      <c r="S451" s="237"/>
      <c r="T451" s="237"/>
      <c r="U451" s="237"/>
      <c r="V451" s="237"/>
      <c r="W451" s="237"/>
      <c r="X451" s="38"/>
      <c r="Y451" s="38"/>
      <c r="Z451" s="38"/>
      <c r="AA451" s="38"/>
      <c r="AB451" s="91"/>
      <c r="AC451" s="94" t="str">
        <f>IF(Eingabe[[#This Row],[V1]]="",IF(Eingabe[[#This Row],[Volle alternativ]]="","",Eingabe[[#This Row],[Volle alternativ]]),SUM(Eingabe[[#This Row],[V1]:[V4]]))</f>
        <v/>
      </c>
      <c r="AD451" s="6" t="str">
        <f>IF(Eingabe[[#This Row],[R1]]="",IF(Eingabe[[#This Row],[Räumer alternativ]]="","",Eingabe[[#This Row],[Räumer alternativ]]),SUM(Eingabe[[#This Row],[R1]:[R4]]))</f>
        <v/>
      </c>
      <c r="AE451" s="6" t="str">
        <f>IF(Eingabe[[#This Row],[F1]]="",IF(Eingabe[[#This Row],[Fehler alternativ]]="","",Eingabe[[#This Row],[Fehler alternativ]]),SUM(Eingabe[[#This Row],[F1]:[F4]]))</f>
        <v/>
      </c>
      <c r="AF451" s="6" t="str">
        <f>IF(Eingabe[[#This Row],[Volle]]="","",IF(Eingabe[[#This Row],[S1]]="",Eingabe[[#This Row],[Volle]]+Eingabe[[#This Row],[Räumer]],IF(Eingabe[[#This Row],[Volle]]+Eingabe[[#This Row],[Räumer]]=Eingabe[[#This Row],[S1]]+Eingabe[[#This Row],[S2]]+Eingabe[[#This Row],[S3]]+Eingabe[[#This Row],[S4]],Eingabe[[#This Row],[Volle]]+Eingabe[[#This Row],[Räumer]],"FEHLER")))</f>
        <v/>
      </c>
      <c r="AG451" s="6" t="str">
        <f>IF(Eingabe[[#This Row],[V1]]="","",Eingabe[[#This Row],[V1]]+Eingabe[[#This Row],[R1]])</f>
        <v/>
      </c>
      <c r="AH451" s="6" t="str">
        <f>IF(Eingabe[[#This Row],[V2]]="","",Eingabe[[#This Row],[V2]]+Eingabe[[#This Row],[R2]])</f>
        <v/>
      </c>
      <c r="AI451" s="6" t="str">
        <f>IF(Eingabe[[#This Row],[V3]]="","",Eingabe[[#This Row],[V3]]+Eingabe[[#This Row],[R3]])</f>
        <v/>
      </c>
      <c r="AJ451" s="6" t="str">
        <f>IF(Eingabe[[#This Row],[V4]]="","",Eingabe[[#This Row],[V4]]+Eingabe[[#This Row],[R4]])</f>
        <v/>
      </c>
      <c r="AK451" s="6" t="str">
        <f>IF(Eingabe[[#This Row],[S1P]]="","",Eingabe[[#This Row],[S1P]]+Eingabe[[#This Row],[S2P]]+Eingabe[[#This Row],[S3P]]+Eingabe[[#This Row],[S4P]])</f>
        <v/>
      </c>
      <c r="AL451" s="6" t="str">
        <f>IF(Eingabe[[#This Row],[S1P]]="","",IF(Eingabe[[#This Row],[SP]]&gt;2,1,IF(Eingabe[[#This Row],[SP]]&lt;2,0,IF(Eingabe[[#This Row],[GES]]&gt;Eingabe[[#This Row],[GEGGES]],1,IF(Eingabe[[#This Row],[GES]]=Eingabe[[#This Row],[GEGGES]],0.5,0)))))</f>
        <v/>
      </c>
      <c r="AM451" s="6" t="str">
        <f>IF(Eingabe[[#This Row],[MP]]="","",MOD(ROW(Eingabe[[#This Row],[Position]])-3,6)+1)</f>
        <v/>
      </c>
      <c r="AN451" s="6" t="e">
        <f>STANDARDIZE(Eingabe[[#This Row],[GES]],Eingabe[[#This Row],[Schnitt]],VLOOKUP(Eingabe[[#This Row],[Name]],AuswertungG[],21,FALSE))</f>
        <v>#VALUE!</v>
      </c>
      <c r="AO451" s="6">
        <f>VLOOKUP(Eingabe[[#This Row],[ID]],Chronologie[[ID]:[KW]],12,FALSE)</f>
        <v>21</v>
      </c>
      <c r="AP451" s="95" t="str">
        <f>IF(Eingabe[[#This Row],[Wo]]="H",Eingabe[[#This Row],[Gegner]]&amp;" ["&amp;Eingabe[[#This Row],[Wo]]&amp;"]",Eingabe[[#This Row],[Ort]])</f>
        <v>Pockau-Lengefeld</v>
      </c>
      <c r="AQ451" s="6" t="str">
        <f>IFERROR(IF(Eingabe[[#This Row],[Wo]]="H",IF(MOD(Eingabe[[#This Row],[Position]],2)=1,Eingabe[[#This Row],[S1]],Eingabe[[#This Row],[S4]]),""),"")</f>
        <v/>
      </c>
      <c r="AR451" s="6" t="str">
        <f>IFERROR(IF(Eingabe[[#This Row],[Wo]]="H",IF(Eingabe[[#This Row],[S1]]&gt;0,IF(MOD(Eingabe[[#This Row],[Position]],2)=1,Eingabe[[#This Row],[S2]],Eingabe[[#This Row],[S3]]),""),""),"")</f>
        <v/>
      </c>
      <c r="AS451" s="6" t="str">
        <f>IFERROR(IF(Eingabe[[#This Row],[Wo]]="H",IF(Eingabe[[#This Row],[S1]]&gt;0,IF(MOD(ROW(Eingabe[[#This Row],[Heimbahn 3]]),2)=1,Eingabe[[#This Row],[S4]],Eingabe[[#This Row],[S1]]),""),""),"")</f>
        <v/>
      </c>
      <c r="AT451" s="6" t="str">
        <f>IFERROR(IF(Eingabe[[#This Row],[Wo]]="H",IF(Eingabe[[#This Row],[S1]]&gt;0,IF(MOD(ROW(Eingabe[[#This Row],[Heimbahn 4]]),2)=1,Eingabe[[#This Row],[S3]],Eingabe[[#This Row],[S2]]),""),""),"")</f>
        <v/>
      </c>
      <c r="AU451" s="22" t="str">
        <f>IF(Eingabe[[#This Row],[GES]]="","",IF(Eingabe[[#This Row],[Modus]]="L",_xlfn.RANK.EQ(Eingabe[[#This Row],[GES]],AF447:AF452),IF(Eingabe[[#This Row],[Modus]]="P",_xlfn.RANK.EQ(Eingabe[[#This Row],[GES]],AF447:AF452),"")))</f>
        <v/>
      </c>
      <c r="AV451" s="6" t="e">
        <f>VLOOKUP(Eingabe[[#This Row],[Name]],AuswertungG[],8,FALSE)</f>
        <v>#N/A</v>
      </c>
      <c r="AZ451" s="6" t="str">
        <f>IFERROR(ABS(Eingabe[[#This Row],[GES]]-Eingabe[[#This Row],[GEGGES]]),"")</f>
        <v/>
      </c>
    </row>
    <row r="452" spans="1:52" ht="16.2" thickBot="1" x14ac:dyDescent="0.35">
      <c r="A452" s="442"/>
      <c r="B452" s="56">
        <f t="shared" ref="B452:B488" si="48">ROUNDUP((ROW(B452)-2)/6,0)</f>
        <v>75</v>
      </c>
      <c r="C452" s="23" t="str">
        <f>VLOOKUP($B452,Chronologie[],7,TRUE)</f>
        <v>KSV Pockau-Lengefeld</v>
      </c>
      <c r="D452" s="23" t="str">
        <f>VLOOKUP($B452,Chronologie[],8,TRUE)</f>
        <v>Pockau-Lengefeld</v>
      </c>
      <c r="E452" s="39" t="str">
        <f>VLOOKUP($B452,Chronologie[],9,TRUE)</f>
        <v>A</v>
      </c>
      <c r="F452" s="23" t="str">
        <f>VLOOKUP($B452,Chronologie[],COLUMN(F453)-2,TRUE)</f>
        <v>U14</v>
      </c>
      <c r="G452" s="23" t="str">
        <f>VLOOKUP($B452,Chronologie[],COLUMN(G453)-2,TRUE)</f>
        <v>BEL</v>
      </c>
      <c r="H452" s="23">
        <f>VLOOKUP($B452,Chronologie[],COLUMN(H453)-2,TRUE)</f>
        <v>2</v>
      </c>
      <c r="I452" s="13" t="str">
        <f>VLOOKUP($B452,Chronologie[],2,TRUE)</f>
        <v>U14-BEL-2</v>
      </c>
      <c r="J452" s="244">
        <f>VLOOKUP($B452,Chronologie[],3,TRUE)</f>
        <v>46039</v>
      </c>
      <c r="K452" s="239"/>
      <c r="L452" s="239"/>
      <c r="M452" s="239"/>
      <c r="N452" s="239"/>
      <c r="O452" s="239"/>
      <c r="P452" s="239"/>
      <c r="Q452" s="239"/>
      <c r="R452" s="239"/>
      <c r="S452" s="239"/>
      <c r="T452" s="239"/>
      <c r="U452" s="239"/>
      <c r="V452" s="239"/>
      <c r="W452" s="239"/>
      <c r="X452" s="40"/>
      <c r="Y452" s="40"/>
      <c r="Z452" s="40"/>
      <c r="AA452" s="40"/>
      <c r="AB452" s="92"/>
      <c r="AC452" s="96" t="str">
        <f>IF(Eingabe[[#This Row],[V1]]="",IF(Eingabe[[#This Row],[Volle alternativ]]="","",Eingabe[[#This Row],[Volle alternativ]]),SUM(Eingabe[[#This Row],[V1]:[V4]]))</f>
        <v/>
      </c>
      <c r="AD452" s="23" t="str">
        <f>IF(Eingabe[[#This Row],[R1]]="",IF(Eingabe[[#This Row],[Räumer alternativ]]="","",Eingabe[[#This Row],[Räumer alternativ]]),SUM(Eingabe[[#This Row],[R1]:[R4]]))</f>
        <v/>
      </c>
      <c r="AE452" s="23" t="str">
        <f>IF(Eingabe[[#This Row],[F1]]="",IF(Eingabe[[#This Row],[Fehler alternativ]]="","",Eingabe[[#This Row],[Fehler alternativ]]),SUM(Eingabe[[#This Row],[F1]:[F4]]))</f>
        <v/>
      </c>
      <c r="AF452" s="23" t="str">
        <f>IF(Eingabe[[#This Row],[Volle]]="","",IF(Eingabe[[#This Row],[S1]]="",Eingabe[[#This Row],[Volle]]+Eingabe[[#This Row],[Räumer]],IF(Eingabe[[#This Row],[Volle]]+Eingabe[[#This Row],[Räumer]]=Eingabe[[#This Row],[S1]]+Eingabe[[#This Row],[S2]]+Eingabe[[#This Row],[S3]]+Eingabe[[#This Row],[S4]],Eingabe[[#This Row],[Volle]]+Eingabe[[#This Row],[Räumer]],"FEHLER")))</f>
        <v/>
      </c>
      <c r="AG452" s="23" t="str">
        <f>IF(Eingabe[[#This Row],[V1]]="","",Eingabe[[#This Row],[V1]]+Eingabe[[#This Row],[R1]])</f>
        <v/>
      </c>
      <c r="AH452" s="23" t="str">
        <f>IF(Eingabe[[#This Row],[V2]]="","",Eingabe[[#This Row],[V2]]+Eingabe[[#This Row],[R2]])</f>
        <v/>
      </c>
      <c r="AI452" s="23" t="str">
        <f>IF(Eingabe[[#This Row],[V3]]="","",Eingabe[[#This Row],[V3]]+Eingabe[[#This Row],[R3]])</f>
        <v/>
      </c>
      <c r="AJ452" s="23" t="str">
        <f>IF(Eingabe[[#This Row],[V4]]="","",Eingabe[[#This Row],[V4]]+Eingabe[[#This Row],[R4]])</f>
        <v/>
      </c>
      <c r="AK452" s="23" t="str">
        <f>IF(Eingabe[[#This Row],[S1P]]="","",Eingabe[[#This Row],[S1P]]+Eingabe[[#This Row],[S2P]]+Eingabe[[#This Row],[S3P]]+Eingabe[[#This Row],[S4P]])</f>
        <v/>
      </c>
      <c r="AL452" s="23" t="str">
        <f>IF(Eingabe[[#This Row],[S1P]]="","",IF(Eingabe[[#This Row],[SP]]&gt;2,1,IF(Eingabe[[#This Row],[SP]]&lt;2,0,IF(Eingabe[[#This Row],[GES]]&gt;Eingabe[[#This Row],[GEGGES]],1,IF(Eingabe[[#This Row],[GES]]=Eingabe[[#This Row],[GEGGES]],0.5,0)))))</f>
        <v/>
      </c>
      <c r="AM452" s="23" t="str">
        <f>IF(Eingabe[[#This Row],[MP]]="","",MOD(ROW(Eingabe[[#This Row],[Position]])-3,6)+1)</f>
        <v/>
      </c>
      <c r="AN452" s="23" t="e">
        <f>STANDARDIZE(Eingabe[[#This Row],[GES]],Eingabe[[#This Row],[Schnitt]],VLOOKUP(Eingabe[[#This Row],[Name]],AuswertungG[],21,FALSE))</f>
        <v>#VALUE!</v>
      </c>
      <c r="AO452" s="23">
        <f>VLOOKUP(Eingabe[[#This Row],[ID]],Chronologie[[ID]:[KW]],12,FALSE)</f>
        <v>21</v>
      </c>
      <c r="AP452" s="59" t="str">
        <f>IF(Eingabe[[#This Row],[Wo]]="H",Eingabe[[#This Row],[Gegner]]&amp;" ["&amp;Eingabe[[#This Row],[Wo]]&amp;"]",Eingabe[[#This Row],[Ort]])</f>
        <v>Pockau-Lengefeld</v>
      </c>
      <c r="AQ452" s="23" t="str">
        <f>IFERROR(IF(Eingabe[[#This Row],[Wo]]="H",IF(MOD(Eingabe[[#This Row],[Position]],2)=1,Eingabe[[#This Row],[S1]],Eingabe[[#This Row],[S4]]),""),"")</f>
        <v/>
      </c>
      <c r="AR452" s="23" t="str">
        <f>IFERROR(IF(Eingabe[[#This Row],[Wo]]="H",IF(Eingabe[[#This Row],[S1]]&gt;0,IF(MOD(Eingabe[[#This Row],[Position]],2)=1,Eingabe[[#This Row],[S2]],Eingabe[[#This Row],[S3]]),""),""),"")</f>
        <v/>
      </c>
      <c r="AS452" s="23" t="str">
        <f>IFERROR(IF(Eingabe[[#This Row],[Wo]]="H",IF(Eingabe[[#This Row],[S1]]&gt;0,IF(MOD(ROW(Eingabe[[#This Row],[Heimbahn 3]]),2)=1,Eingabe[[#This Row],[S4]],Eingabe[[#This Row],[S1]]),""),""),"")</f>
        <v/>
      </c>
      <c r="AT452" s="23" t="str">
        <f>IFERROR(IF(Eingabe[[#This Row],[Wo]]="H",IF(Eingabe[[#This Row],[S1]]&gt;0,IF(MOD(ROW(Eingabe[[#This Row],[Heimbahn 4]]),2)=1,Eingabe[[#This Row],[S3]],Eingabe[[#This Row],[S2]]),""),""),"")</f>
        <v/>
      </c>
      <c r="AU452" s="89" t="str">
        <f>IF(Eingabe[[#This Row],[GES]]="","",IF(Eingabe[[#This Row],[Modus]]="L",_xlfn.RANK.EQ(Eingabe[[#This Row],[GES]],AF447:AF452),IF(Eingabe[[#This Row],[Modus]]="P",_xlfn.RANK.EQ(Eingabe[[#This Row],[GES]],AF447:AF452),"")))</f>
        <v/>
      </c>
      <c r="AV452" s="6" t="e">
        <f>VLOOKUP(Eingabe[[#This Row],[Name]],AuswertungG[],8,FALSE)</f>
        <v>#N/A</v>
      </c>
      <c r="AZ452" s="6" t="str">
        <f>IFERROR(ABS(Eingabe[[#This Row],[GES]]-Eingabe[[#This Row],[GEGGES]]),"")</f>
        <v/>
      </c>
    </row>
    <row r="453" spans="1:52" x14ac:dyDescent="0.3">
      <c r="A453" s="440">
        <f t="shared" si="47"/>
        <v>76</v>
      </c>
      <c r="B453" s="55">
        <f t="shared" si="48"/>
        <v>76</v>
      </c>
      <c r="C453" s="35" t="str">
        <f>VLOOKUP($B453,Chronologie[],7,TRUE)</f>
        <v>KV Reinsdorf</v>
      </c>
      <c r="D453" s="35" t="str">
        <f>VLOOKUP($B453,Chronologie[],8,TRUE)</f>
        <v>Reinsdorf</v>
      </c>
      <c r="E453" s="36" t="str">
        <f>VLOOKUP($B453,Chronologie[],9,TRUE)</f>
        <v>A</v>
      </c>
      <c r="F453" s="35" t="str">
        <f>VLOOKUP($B453,Chronologie[],COLUMN(F454)-2,TRUE)</f>
        <v>U14</v>
      </c>
      <c r="G453" s="35" t="str">
        <f>VLOOKUP($B453,Chronologie[],COLUMN(G454)-2,TRUE)</f>
        <v>BEL</v>
      </c>
      <c r="H453" s="35">
        <f>VLOOKUP($B453,Chronologie[],COLUMN(H454)-2,TRUE)</f>
        <v>3</v>
      </c>
      <c r="I453" s="9" t="str">
        <f>VLOOKUP($B453,Chronologie[],2,TRUE)</f>
        <v>U14-BEL-3</v>
      </c>
      <c r="J453" s="242">
        <f>VLOOKUP($B453,Chronologie[],3,TRUE)</f>
        <v>46088</v>
      </c>
      <c r="K453" s="236"/>
      <c r="L453" s="334"/>
      <c r="M453" s="334"/>
      <c r="N453" s="334"/>
      <c r="O453" s="334"/>
      <c r="P453" s="334"/>
      <c r="Q453" s="334"/>
      <c r="R453" s="334"/>
      <c r="S453" s="334"/>
      <c r="T453" s="334"/>
      <c r="U453" s="334"/>
      <c r="V453" s="334"/>
      <c r="W453" s="334"/>
      <c r="X453" s="37"/>
      <c r="Y453" s="37"/>
      <c r="Z453" s="37"/>
      <c r="AA453" s="37"/>
      <c r="AB453" s="90"/>
      <c r="AC453" s="93" t="str">
        <f>IF(Eingabe[[#This Row],[V1]]="",IF(Eingabe[[#This Row],[Volle alternativ]]="","",Eingabe[[#This Row],[Volle alternativ]]),SUM(Eingabe[[#This Row],[V1]:[V4]]))</f>
        <v/>
      </c>
      <c r="AD453" s="35" t="str">
        <f>IF(Eingabe[[#This Row],[R1]]="",IF(Eingabe[[#This Row],[Räumer alternativ]]="","",Eingabe[[#This Row],[Räumer alternativ]]),SUM(Eingabe[[#This Row],[R1]:[R4]]))</f>
        <v/>
      </c>
      <c r="AE453" s="35" t="str">
        <f>IF(Eingabe[[#This Row],[F1]]="",IF(Eingabe[[#This Row],[Fehler alternativ]]="","",Eingabe[[#This Row],[Fehler alternativ]]),SUM(Eingabe[[#This Row],[F1]:[F4]]))</f>
        <v/>
      </c>
      <c r="AF453" s="35" t="str">
        <f>IF(Eingabe[[#This Row],[Volle]]="","",IF(Eingabe[[#This Row],[S1]]="",Eingabe[[#This Row],[Volle]]+Eingabe[[#This Row],[Räumer]],IF(Eingabe[[#This Row],[Volle]]+Eingabe[[#This Row],[Räumer]]=Eingabe[[#This Row],[S1]]+Eingabe[[#This Row],[S2]]+Eingabe[[#This Row],[S3]]+Eingabe[[#This Row],[S4]],Eingabe[[#This Row],[Volle]]+Eingabe[[#This Row],[Räumer]],"FEHLER")))</f>
        <v/>
      </c>
      <c r="AG453" s="35" t="str">
        <f>IF(Eingabe[[#This Row],[V1]]="","",Eingabe[[#This Row],[V1]]+Eingabe[[#This Row],[R1]])</f>
        <v/>
      </c>
      <c r="AH453" s="35" t="str">
        <f>IF(Eingabe[[#This Row],[V2]]="","",Eingabe[[#This Row],[V2]]+Eingabe[[#This Row],[R2]])</f>
        <v/>
      </c>
      <c r="AI453" s="35" t="str">
        <f>IF(Eingabe[[#This Row],[V3]]="","",Eingabe[[#This Row],[V3]]+Eingabe[[#This Row],[R3]])</f>
        <v/>
      </c>
      <c r="AJ453" s="35" t="str">
        <f>IF(Eingabe[[#This Row],[V4]]="","",Eingabe[[#This Row],[V4]]+Eingabe[[#This Row],[R4]])</f>
        <v/>
      </c>
      <c r="AK453" s="35" t="str">
        <f>IF(Eingabe[[#This Row],[S1P]]="","",Eingabe[[#This Row],[S1P]]+Eingabe[[#This Row],[S2P]]+Eingabe[[#This Row],[S3P]]+Eingabe[[#This Row],[S4P]])</f>
        <v/>
      </c>
      <c r="AL453" s="35" t="str">
        <f>IF(Eingabe[[#This Row],[S1P]]="","",IF(Eingabe[[#This Row],[SP]]&gt;2,1,IF(Eingabe[[#This Row],[SP]]&lt;2,0,IF(Eingabe[[#This Row],[GES]]&gt;Eingabe[[#This Row],[GEGGES]],1,IF(Eingabe[[#This Row],[GES]]=Eingabe[[#This Row],[GEGGES]],0.5,0)))))</f>
        <v/>
      </c>
      <c r="AM453" s="35" t="str">
        <f>IF(Eingabe[[#This Row],[MP]]="","",MOD(ROW(Eingabe[[#This Row],[Position]])-3,6)+1)</f>
        <v/>
      </c>
      <c r="AN453" s="35" t="e">
        <f>STANDARDIZE(Eingabe[[#This Row],[GES]],Eingabe[[#This Row],[Schnitt]],VLOOKUP(Eingabe[[#This Row],[Name]],AuswertungG[],21,FALSE))</f>
        <v>#VALUE!</v>
      </c>
      <c r="AO453" s="35">
        <f>VLOOKUP(Eingabe[[#This Row],[ID]],Chronologie[[ID]:[KW]],12,FALSE)</f>
        <v>28</v>
      </c>
      <c r="AP453" s="58" t="str">
        <f>IF(Eingabe[[#This Row],[Wo]]="H",Eingabe[[#This Row],[Gegner]]&amp;" ["&amp;Eingabe[[#This Row],[Wo]]&amp;"]",Eingabe[[#This Row],[Ort]])</f>
        <v>Reinsdorf</v>
      </c>
      <c r="AQ453" s="35" t="str">
        <f>IFERROR(IF(Eingabe[[#This Row],[Wo]]="H",IF(MOD(Eingabe[[#This Row],[Position]],2)=1,Eingabe[[#This Row],[S1]],Eingabe[[#This Row],[S4]]),""),"")</f>
        <v/>
      </c>
      <c r="AR453" s="35" t="str">
        <f>IFERROR(IF(Eingabe[[#This Row],[Wo]]="H",IF(Eingabe[[#This Row],[S1]]&gt;0,IF(MOD(Eingabe[[#This Row],[Position]],2)=1,Eingabe[[#This Row],[S2]],Eingabe[[#This Row],[S3]]),""),""),"")</f>
        <v/>
      </c>
      <c r="AS453" s="35" t="str">
        <f>IFERROR(IF(Eingabe[[#This Row],[Wo]]="H",IF(Eingabe[[#This Row],[S1]]&gt;0,IF(MOD(ROW(Eingabe[[#This Row],[Heimbahn 3]]),2)=1,Eingabe[[#This Row],[S4]],Eingabe[[#This Row],[S1]]),""),""),"")</f>
        <v/>
      </c>
      <c r="AT453" s="35" t="str">
        <f>IFERROR(IF(Eingabe[[#This Row],[Wo]]="H",IF(Eingabe[[#This Row],[S1]]&gt;0,IF(MOD(ROW(Eingabe[[#This Row],[Heimbahn 4]]),2)=1,Eingabe[[#This Row],[S3]],Eingabe[[#This Row],[S2]]),""),""),"")</f>
        <v/>
      </c>
      <c r="AU453" s="88" t="str">
        <f>IF(Eingabe[[#This Row],[GES]]="","",IF(Eingabe[[#This Row],[Modus]]="L",_xlfn.RANK.EQ(Eingabe[[#This Row],[GES]],AF453:AF458),IF(Eingabe[[#This Row],[Modus]]="P",_xlfn.RANK.EQ(Eingabe[[#This Row],[GES]],AF453:AF458),"")))</f>
        <v/>
      </c>
      <c r="AV453" s="6" t="e">
        <f>VLOOKUP(Eingabe[[#This Row],[Name]],AuswertungG[],8,FALSE)</f>
        <v>#N/A</v>
      </c>
      <c r="AZ453" s="6" t="str">
        <f>IFERROR(ABS(Eingabe[[#This Row],[GES]]-Eingabe[[#This Row],[GEGGES]]),"")</f>
        <v/>
      </c>
    </row>
    <row r="454" spans="1:52" x14ac:dyDescent="0.3">
      <c r="A454" s="441"/>
      <c r="B454" s="21">
        <f t="shared" si="48"/>
        <v>76</v>
      </c>
      <c r="C454" s="6" t="str">
        <f>VLOOKUP($B454,Chronologie[],7,TRUE)</f>
        <v>KV Reinsdorf</v>
      </c>
      <c r="D454" s="6" t="str">
        <f>VLOOKUP($B454,Chronologie[],8,TRUE)</f>
        <v>Reinsdorf</v>
      </c>
      <c r="E454" s="240" t="str">
        <f>VLOOKUP($B454,Chronologie[],9,TRUE)</f>
        <v>A</v>
      </c>
      <c r="F454" s="6" t="str">
        <f>VLOOKUP($B454,Chronologie[],COLUMN(F455)-2,TRUE)</f>
        <v>U14</v>
      </c>
      <c r="G454" s="6" t="str">
        <f>VLOOKUP($B454,Chronologie[],COLUMN(G455)-2,TRUE)</f>
        <v>BEL</v>
      </c>
      <c r="H454" s="6">
        <f>VLOOKUP($B454,Chronologie[],COLUMN(H455)-2,TRUE)</f>
        <v>3</v>
      </c>
      <c r="I454" s="10" t="str">
        <f>VLOOKUP($B454,Chronologie[],2,TRUE)</f>
        <v>U14-BEL-3</v>
      </c>
      <c r="J454" s="243">
        <f>VLOOKUP($B454,Chronologie[],3,TRUE)</f>
        <v>46088</v>
      </c>
      <c r="K454" s="237"/>
      <c r="L454" s="237"/>
      <c r="M454" s="237"/>
      <c r="N454" s="237"/>
      <c r="O454" s="237"/>
      <c r="P454" s="237"/>
      <c r="Q454" s="237"/>
      <c r="R454" s="237"/>
      <c r="S454" s="237"/>
      <c r="T454" s="237"/>
      <c r="U454" s="237"/>
      <c r="V454" s="237"/>
      <c r="W454" s="237"/>
      <c r="X454" s="38"/>
      <c r="Y454" s="38"/>
      <c r="Z454" s="38"/>
      <c r="AA454" s="38"/>
      <c r="AB454" s="91"/>
      <c r="AC454" s="94" t="str">
        <f>IF(Eingabe[[#This Row],[V1]]="",IF(Eingabe[[#This Row],[Volle alternativ]]="","",Eingabe[[#This Row],[Volle alternativ]]),SUM(Eingabe[[#This Row],[V1]:[V4]]))</f>
        <v/>
      </c>
      <c r="AD454" s="6" t="str">
        <f>IF(Eingabe[[#This Row],[R1]]="",IF(Eingabe[[#This Row],[Räumer alternativ]]="","",Eingabe[[#This Row],[Räumer alternativ]]),SUM(Eingabe[[#This Row],[R1]:[R4]]))</f>
        <v/>
      </c>
      <c r="AE454" s="6" t="str">
        <f>IF(Eingabe[[#This Row],[F1]]="",IF(Eingabe[[#This Row],[Fehler alternativ]]="","",Eingabe[[#This Row],[Fehler alternativ]]),SUM(Eingabe[[#This Row],[F1]:[F4]]))</f>
        <v/>
      </c>
      <c r="AF454" s="6" t="str">
        <f>IF(Eingabe[[#This Row],[Volle]]="","",IF(Eingabe[[#This Row],[S1]]="",Eingabe[[#This Row],[Volle]]+Eingabe[[#This Row],[Räumer]],IF(Eingabe[[#This Row],[Volle]]+Eingabe[[#This Row],[Räumer]]=Eingabe[[#This Row],[S1]]+Eingabe[[#This Row],[S2]]+Eingabe[[#This Row],[S3]]+Eingabe[[#This Row],[S4]],Eingabe[[#This Row],[Volle]]+Eingabe[[#This Row],[Räumer]],"FEHLER")))</f>
        <v/>
      </c>
      <c r="AG454" s="6" t="str">
        <f>IF(Eingabe[[#This Row],[V1]]="","",Eingabe[[#This Row],[V1]]+Eingabe[[#This Row],[R1]])</f>
        <v/>
      </c>
      <c r="AH454" s="6" t="str">
        <f>IF(Eingabe[[#This Row],[V2]]="","",Eingabe[[#This Row],[V2]]+Eingabe[[#This Row],[R2]])</f>
        <v/>
      </c>
      <c r="AI454" s="6" t="str">
        <f>IF(Eingabe[[#This Row],[V3]]="","",Eingabe[[#This Row],[V3]]+Eingabe[[#This Row],[R3]])</f>
        <v/>
      </c>
      <c r="AJ454" s="6" t="str">
        <f>IF(Eingabe[[#This Row],[V4]]="","",Eingabe[[#This Row],[V4]]+Eingabe[[#This Row],[R4]])</f>
        <v/>
      </c>
      <c r="AK454" s="6" t="str">
        <f>IF(Eingabe[[#This Row],[S1P]]="","",Eingabe[[#This Row],[S1P]]+Eingabe[[#This Row],[S2P]]+Eingabe[[#This Row],[S3P]]+Eingabe[[#This Row],[S4P]])</f>
        <v/>
      </c>
      <c r="AL454" s="6" t="str">
        <f>IF(Eingabe[[#This Row],[S1P]]="","",IF(Eingabe[[#This Row],[SP]]&gt;2,1,IF(Eingabe[[#This Row],[SP]]&lt;2,0,IF(Eingabe[[#This Row],[GES]]&gt;Eingabe[[#This Row],[GEGGES]],1,IF(Eingabe[[#This Row],[GES]]=Eingabe[[#This Row],[GEGGES]],0.5,0)))))</f>
        <v/>
      </c>
      <c r="AM454" s="6" t="str">
        <f>IF(Eingabe[[#This Row],[MP]]="","",MOD(ROW(Eingabe[[#This Row],[Position]])-3,6)+1)</f>
        <v/>
      </c>
      <c r="AN454" s="6" t="e">
        <f>STANDARDIZE(Eingabe[[#This Row],[GES]],Eingabe[[#This Row],[Schnitt]],VLOOKUP(Eingabe[[#This Row],[Name]],AuswertungG[],21,FALSE))</f>
        <v>#VALUE!</v>
      </c>
      <c r="AO454" s="6">
        <f>VLOOKUP(Eingabe[[#This Row],[ID]],Chronologie[[ID]:[KW]],12,FALSE)</f>
        <v>28</v>
      </c>
      <c r="AP454" s="95" t="str">
        <f>IF(Eingabe[[#This Row],[Wo]]="H",Eingabe[[#This Row],[Gegner]]&amp;" ["&amp;Eingabe[[#This Row],[Wo]]&amp;"]",Eingabe[[#This Row],[Ort]])</f>
        <v>Reinsdorf</v>
      </c>
      <c r="AQ454" s="6" t="str">
        <f>IFERROR(IF(Eingabe[[#This Row],[Wo]]="H",IF(MOD(Eingabe[[#This Row],[Position]],2)=1,Eingabe[[#This Row],[S1]],Eingabe[[#This Row],[S4]]),""),"")</f>
        <v/>
      </c>
      <c r="AR454" s="6" t="str">
        <f>IFERROR(IF(Eingabe[[#This Row],[Wo]]="H",IF(Eingabe[[#This Row],[S1]]&gt;0,IF(MOD(Eingabe[[#This Row],[Position]],2)=1,Eingabe[[#This Row],[S2]],Eingabe[[#This Row],[S3]]),""),""),"")</f>
        <v/>
      </c>
      <c r="AS454" s="6" t="str">
        <f>IFERROR(IF(Eingabe[[#This Row],[Wo]]="H",IF(Eingabe[[#This Row],[S1]]&gt;0,IF(MOD(ROW(Eingabe[[#This Row],[Heimbahn 3]]),2)=1,Eingabe[[#This Row],[S4]],Eingabe[[#This Row],[S1]]),""),""),"")</f>
        <v/>
      </c>
      <c r="AT454" s="6" t="str">
        <f>IFERROR(IF(Eingabe[[#This Row],[Wo]]="H",IF(Eingabe[[#This Row],[S1]]&gt;0,IF(MOD(ROW(Eingabe[[#This Row],[Heimbahn 4]]),2)=1,Eingabe[[#This Row],[S3]],Eingabe[[#This Row],[S2]]),""),""),"")</f>
        <v/>
      </c>
      <c r="AU454" s="22" t="str">
        <f>IF(Eingabe[[#This Row],[GES]]="","",IF(Eingabe[[#This Row],[Modus]]="L",_xlfn.RANK.EQ(Eingabe[[#This Row],[GES]],AF453:AF458),IF(Eingabe[[#This Row],[Modus]]="P",_xlfn.RANK.EQ(Eingabe[[#This Row],[GES]],AF453:AF458),"")))</f>
        <v/>
      </c>
      <c r="AV454" s="6" t="e">
        <f>VLOOKUP(Eingabe[[#This Row],[Name]],AuswertungG[],8,FALSE)</f>
        <v>#N/A</v>
      </c>
      <c r="AZ454" s="6" t="str">
        <f>IFERROR(ABS(Eingabe[[#This Row],[GES]]-Eingabe[[#This Row],[GEGGES]]),"")</f>
        <v/>
      </c>
    </row>
    <row r="455" spans="1:52" x14ac:dyDescent="0.3">
      <c r="A455" s="441"/>
      <c r="B455" s="21">
        <f t="shared" si="48"/>
        <v>76</v>
      </c>
      <c r="C455" s="6" t="str">
        <f>VLOOKUP($B455,Chronologie[],7,TRUE)</f>
        <v>KV Reinsdorf</v>
      </c>
      <c r="D455" s="6" t="str">
        <f>VLOOKUP($B455,Chronologie[],8,TRUE)</f>
        <v>Reinsdorf</v>
      </c>
      <c r="E455" s="240" t="str">
        <f>VLOOKUP($B455,Chronologie[],9,TRUE)</f>
        <v>A</v>
      </c>
      <c r="F455" s="6" t="str">
        <f>VLOOKUP($B455,Chronologie[],COLUMN(F456)-2,TRUE)</f>
        <v>U14</v>
      </c>
      <c r="G455" s="6" t="str">
        <f>VLOOKUP($B455,Chronologie[],COLUMN(G456)-2,TRUE)</f>
        <v>BEL</v>
      </c>
      <c r="H455" s="6">
        <f>VLOOKUP($B455,Chronologie[],COLUMN(H456)-2,TRUE)</f>
        <v>3</v>
      </c>
      <c r="I455" s="10" t="str">
        <f>VLOOKUP($B455,Chronologie[],2,TRUE)</f>
        <v>U14-BEL-3</v>
      </c>
      <c r="J455" s="243">
        <f>VLOOKUP($B455,Chronologie[],3,TRUE)</f>
        <v>46088</v>
      </c>
      <c r="K455" s="237"/>
      <c r="L455" s="237"/>
      <c r="M455" s="237"/>
      <c r="N455" s="237"/>
      <c r="O455" s="237"/>
      <c r="P455" s="237"/>
      <c r="Q455" s="237"/>
      <c r="R455" s="237"/>
      <c r="S455" s="237"/>
      <c r="T455" s="237"/>
      <c r="U455" s="237"/>
      <c r="V455" s="237"/>
      <c r="W455" s="237"/>
      <c r="X455" s="38"/>
      <c r="Y455" s="38"/>
      <c r="Z455" s="38"/>
      <c r="AA455" s="38"/>
      <c r="AB455" s="91"/>
      <c r="AC455" s="94" t="str">
        <f>IF(Eingabe[[#This Row],[V1]]="",IF(Eingabe[[#This Row],[Volle alternativ]]="","",Eingabe[[#This Row],[Volle alternativ]]),SUM(Eingabe[[#This Row],[V1]:[V4]]))</f>
        <v/>
      </c>
      <c r="AD455" s="6" t="str">
        <f>IF(Eingabe[[#This Row],[R1]]="",IF(Eingabe[[#This Row],[Räumer alternativ]]="","",Eingabe[[#This Row],[Räumer alternativ]]),SUM(Eingabe[[#This Row],[R1]:[R4]]))</f>
        <v/>
      </c>
      <c r="AE455" s="6" t="str">
        <f>IF(Eingabe[[#This Row],[F1]]="",IF(Eingabe[[#This Row],[Fehler alternativ]]="","",Eingabe[[#This Row],[Fehler alternativ]]),SUM(Eingabe[[#This Row],[F1]:[F4]]))</f>
        <v/>
      </c>
      <c r="AF455" s="6" t="str">
        <f>IF(Eingabe[[#This Row],[Volle]]="","",IF(Eingabe[[#This Row],[S1]]="",Eingabe[[#This Row],[Volle]]+Eingabe[[#This Row],[Räumer]],IF(Eingabe[[#This Row],[Volle]]+Eingabe[[#This Row],[Räumer]]=Eingabe[[#This Row],[S1]]+Eingabe[[#This Row],[S2]]+Eingabe[[#This Row],[S3]]+Eingabe[[#This Row],[S4]],Eingabe[[#This Row],[Volle]]+Eingabe[[#This Row],[Räumer]],"FEHLER")))</f>
        <v/>
      </c>
      <c r="AG455" s="6" t="str">
        <f>IF(Eingabe[[#This Row],[V1]]="","",Eingabe[[#This Row],[V1]]+Eingabe[[#This Row],[R1]])</f>
        <v/>
      </c>
      <c r="AH455" s="6" t="str">
        <f>IF(Eingabe[[#This Row],[V2]]="","",Eingabe[[#This Row],[V2]]+Eingabe[[#This Row],[R2]])</f>
        <v/>
      </c>
      <c r="AI455" s="6" t="str">
        <f>IF(Eingabe[[#This Row],[V3]]="","",Eingabe[[#This Row],[V3]]+Eingabe[[#This Row],[R3]])</f>
        <v/>
      </c>
      <c r="AJ455" s="6" t="str">
        <f>IF(Eingabe[[#This Row],[V4]]="","",Eingabe[[#This Row],[V4]]+Eingabe[[#This Row],[R4]])</f>
        <v/>
      </c>
      <c r="AK455" s="6" t="str">
        <f>IF(Eingabe[[#This Row],[S1P]]="","",Eingabe[[#This Row],[S1P]]+Eingabe[[#This Row],[S2P]]+Eingabe[[#This Row],[S3P]]+Eingabe[[#This Row],[S4P]])</f>
        <v/>
      </c>
      <c r="AL455" s="6" t="str">
        <f>IF(Eingabe[[#This Row],[S1P]]="","",IF(Eingabe[[#This Row],[SP]]&gt;2,1,IF(Eingabe[[#This Row],[SP]]&lt;2,0,IF(Eingabe[[#This Row],[GES]]&gt;Eingabe[[#This Row],[GEGGES]],1,IF(Eingabe[[#This Row],[GES]]=Eingabe[[#This Row],[GEGGES]],0.5,0)))))</f>
        <v/>
      </c>
      <c r="AM455" s="6" t="str">
        <f>IF(Eingabe[[#This Row],[MP]]="","",MOD(ROW(Eingabe[[#This Row],[Position]])-3,6)+1)</f>
        <v/>
      </c>
      <c r="AN455" s="6" t="e">
        <f>STANDARDIZE(Eingabe[[#This Row],[GES]],Eingabe[[#This Row],[Schnitt]],VLOOKUP(Eingabe[[#This Row],[Name]],AuswertungG[],21,FALSE))</f>
        <v>#VALUE!</v>
      </c>
      <c r="AO455" s="6">
        <f>VLOOKUP(Eingabe[[#This Row],[ID]],Chronologie[[ID]:[KW]],12,FALSE)</f>
        <v>28</v>
      </c>
      <c r="AP455" s="95" t="str">
        <f>IF(Eingabe[[#This Row],[Wo]]="H",Eingabe[[#This Row],[Gegner]]&amp;" ["&amp;Eingabe[[#This Row],[Wo]]&amp;"]",Eingabe[[#This Row],[Ort]])</f>
        <v>Reinsdorf</v>
      </c>
      <c r="AQ455" s="6" t="str">
        <f>IFERROR(IF(Eingabe[[#This Row],[Wo]]="H",IF(MOD(Eingabe[[#This Row],[Position]],2)=1,Eingabe[[#This Row],[S1]],Eingabe[[#This Row],[S4]]),""),"")</f>
        <v/>
      </c>
      <c r="AR455" s="6" t="str">
        <f>IFERROR(IF(Eingabe[[#This Row],[Wo]]="H",IF(Eingabe[[#This Row],[S1]]&gt;0,IF(MOD(Eingabe[[#This Row],[Position]],2)=1,Eingabe[[#This Row],[S2]],Eingabe[[#This Row],[S3]]),""),""),"")</f>
        <v/>
      </c>
      <c r="AS455" s="6" t="str">
        <f>IFERROR(IF(Eingabe[[#This Row],[Wo]]="H",IF(Eingabe[[#This Row],[S1]]&gt;0,IF(MOD(ROW(Eingabe[[#This Row],[Heimbahn 3]]),2)=1,Eingabe[[#This Row],[S4]],Eingabe[[#This Row],[S1]]),""),""),"")</f>
        <v/>
      </c>
      <c r="AT455" s="6" t="str">
        <f>IFERROR(IF(Eingabe[[#This Row],[Wo]]="H",IF(Eingabe[[#This Row],[S1]]&gt;0,IF(MOD(ROW(Eingabe[[#This Row],[Heimbahn 4]]),2)=1,Eingabe[[#This Row],[S3]],Eingabe[[#This Row],[S2]]),""),""),"")</f>
        <v/>
      </c>
      <c r="AU455" s="22" t="str">
        <f>IF(Eingabe[[#This Row],[GES]]="","",IF(Eingabe[[#This Row],[Modus]]="L",_xlfn.RANK.EQ(Eingabe[[#This Row],[GES]],AF453:AF458),IF(Eingabe[[#This Row],[Modus]]="P",_xlfn.RANK.EQ(Eingabe[[#This Row],[GES]],AF453:AF458),"")))</f>
        <v/>
      </c>
      <c r="AV455" s="6" t="e">
        <f>VLOOKUP(Eingabe[[#This Row],[Name]],AuswertungG[],8,FALSE)</f>
        <v>#N/A</v>
      </c>
      <c r="AZ455" s="6" t="str">
        <f>IFERROR(ABS(Eingabe[[#This Row],[GES]]-Eingabe[[#This Row],[GEGGES]]),"")</f>
        <v/>
      </c>
    </row>
    <row r="456" spans="1:52" x14ac:dyDescent="0.3">
      <c r="A456" s="441"/>
      <c r="B456" s="21">
        <f t="shared" si="48"/>
        <v>76</v>
      </c>
      <c r="C456" s="6" t="str">
        <f>VLOOKUP($B456,Chronologie[],7,TRUE)</f>
        <v>KV Reinsdorf</v>
      </c>
      <c r="D456" s="6" t="str">
        <f>VLOOKUP($B456,Chronologie[],8,TRUE)</f>
        <v>Reinsdorf</v>
      </c>
      <c r="E456" s="240" t="str">
        <f>VLOOKUP($B456,Chronologie[],9,TRUE)</f>
        <v>A</v>
      </c>
      <c r="F456" s="6" t="str">
        <f>VLOOKUP($B456,Chronologie[],COLUMN(F457)-2,TRUE)</f>
        <v>U14</v>
      </c>
      <c r="G456" s="6" t="str">
        <f>VLOOKUP($B456,Chronologie[],COLUMN(G457)-2,TRUE)</f>
        <v>BEL</v>
      </c>
      <c r="H456" s="6">
        <f>VLOOKUP($B456,Chronologie[],COLUMN(H457)-2,TRUE)</f>
        <v>3</v>
      </c>
      <c r="I456" s="10" t="str">
        <f>VLOOKUP($B456,Chronologie[],2,TRUE)</f>
        <v>U14-BEL-3</v>
      </c>
      <c r="J456" s="243">
        <f>VLOOKUP($B456,Chronologie[],3,TRUE)</f>
        <v>46088</v>
      </c>
      <c r="K456" s="238"/>
      <c r="L456" s="237"/>
      <c r="M456" s="237"/>
      <c r="N456" s="237"/>
      <c r="O456" s="237"/>
      <c r="P456" s="237"/>
      <c r="Q456" s="237"/>
      <c r="R456" s="237"/>
      <c r="S456" s="237"/>
      <c r="T456" s="237"/>
      <c r="U456" s="237"/>
      <c r="V456" s="237"/>
      <c r="W456" s="237"/>
      <c r="X456" s="38"/>
      <c r="Y456" s="38"/>
      <c r="Z456" s="38"/>
      <c r="AA456" s="38"/>
      <c r="AB456" s="91"/>
      <c r="AC456" s="94" t="str">
        <f>IF(Eingabe[[#This Row],[V1]]="",IF(Eingabe[[#This Row],[Volle alternativ]]="","",Eingabe[[#This Row],[Volle alternativ]]),SUM(Eingabe[[#This Row],[V1]:[V4]]))</f>
        <v/>
      </c>
      <c r="AD456" s="6" t="str">
        <f>IF(Eingabe[[#This Row],[R1]]="",IF(Eingabe[[#This Row],[Räumer alternativ]]="","",Eingabe[[#This Row],[Räumer alternativ]]),SUM(Eingabe[[#This Row],[R1]:[R4]]))</f>
        <v/>
      </c>
      <c r="AE456" s="6" t="str">
        <f>IF(Eingabe[[#This Row],[F1]]="",IF(Eingabe[[#This Row],[Fehler alternativ]]="","",Eingabe[[#This Row],[Fehler alternativ]]),SUM(Eingabe[[#This Row],[F1]:[F4]]))</f>
        <v/>
      </c>
      <c r="AF456" s="6" t="str">
        <f>IF(Eingabe[[#This Row],[Volle]]="","",IF(Eingabe[[#This Row],[S1]]="",Eingabe[[#This Row],[Volle]]+Eingabe[[#This Row],[Räumer]],IF(Eingabe[[#This Row],[Volle]]+Eingabe[[#This Row],[Räumer]]=Eingabe[[#This Row],[S1]]+Eingabe[[#This Row],[S2]]+Eingabe[[#This Row],[S3]]+Eingabe[[#This Row],[S4]],Eingabe[[#This Row],[Volle]]+Eingabe[[#This Row],[Räumer]],"FEHLER")))</f>
        <v/>
      </c>
      <c r="AG456" s="6" t="str">
        <f>IF(Eingabe[[#This Row],[V1]]="","",Eingabe[[#This Row],[V1]]+Eingabe[[#This Row],[R1]])</f>
        <v/>
      </c>
      <c r="AH456" s="6" t="str">
        <f>IF(Eingabe[[#This Row],[V2]]="","",Eingabe[[#This Row],[V2]]+Eingabe[[#This Row],[R2]])</f>
        <v/>
      </c>
      <c r="AI456" s="6" t="str">
        <f>IF(Eingabe[[#This Row],[V3]]="","",Eingabe[[#This Row],[V3]]+Eingabe[[#This Row],[R3]])</f>
        <v/>
      </c>
      <c r="AJ456" s="6" t="str">
        <f>IF(Eingabe[[#This Row],[V4]]="","",Eingabe[[#This Row],[V4]]+Eingabe[[#This Row],[R4]])</f>
        <v/>
      </c>
      <c r="AK456" s="6" t="str">
        <f>IF(Eingabe[[#This Row],[S1P]]="","",Eingabe[[#This Row],[S1P]]+Eingabe[[#This Row],[S2P]]+Eingabe[[#This Row],[S3P]]+Eingabe[[#This Row],[S4P]])</f>
        <v/>
      </c>
      <c r="AL456" s="6" t="str">
        <f>IF(Eingabe[[#This Row],[S1P]]="","",IF(Eingabe[[#This Row],[SP]]&gt;2,1,IF(Eingabe[[#This Row],[SP]]&lt;2,0,IF(Eingabe[[#This Row],[GES]]&gt;Eingabe[[#This Row],[GEGGES]],1,IF(Eingabe[[#This Row],[GES]]=Eingabe[[#This Row],[GEGGES]],0.5,0)))))</f>
        <v/>
      </c>
      <c r="AM456" s="6" t="str">
        <f>IF(Eingabe[[#This Row],[MP]]="","",MOD(ROW(Eingabe[[#This Row],[Position]])-3,6)+1)</f>
        <v/>
      </c>
      <c r="AN456" s="6" t="e">
        <f>STANDARDIZE(Eingabe[[#This Row],[GES]],Eingabe[[#This Row],[Schnitt]],VLOOKUP(Eingabe[[#This Row],[Name]],AuswertungG[],21,FALSE))</f>
        <v>#VALUE!</v>
      </c>
      <c r="AO456" s="6">
        <f>VLOOKUP(Eingabe[[#This Row],[ID]],Chronologie[[ID]:[KW]],12,FALSE)</f>
        <v>28</v>
      </c>
      <c r="AP456" s="95" t="str">
        <f>IF(Eingabe[[#This Row],[Wo]]="H",Eingabe[[#This Row],[Gegner]]&amp;" ["&amp;Eingabe[[#This Row],[Wo]]&amp;"]",Eingabe[[#This Row],[Ort]])</f>
        <v>Reinsdorf</v>
      </c>
      <c r="AQ456" s="6" t="str">
        <f>IFERROR(IF(Eingabe[[#This Row],[Wo]]="H",IF(MOD(Eingabe[[#This Row],[Position]],2)=1,Eingabe[[#This Row],[S1]],Eingabe[[#This Row],[S4]]),""),"")</f>
        <v/>
      </c>
      <c r="AR456" s="6" t="str">
        <f>IFERROR(IF(Eingabe[[#This Row],[Wo]]="H",IF(Eingabe[[#This Row],[S1]]&gt;0,IF(MOD(Eingabe[[#This Row],[Position]],2)=1,Eingabe[[#This Row],[S2]],Eingabe[[#This Row],[S3]]),""),""),"")</f>
        <v/>
      </c>
      <c r="AS456" s="6" t="str">
        <f>IFERROR(IF(Eingabe[[#This Row],[Wo]]="H",IF(Eingabe[[#This Row],[S1]]&gt;0,IF(MOD(ROW(Eingabe[[#This Row],[Heimbahn 3]]),2)=1,Eingabe[[#This Row],[S4]],Eingabe[[#This Row],[S1]]),""),""),"")</f>
        <v/>
      </c>
      <c r="AT456" s="6" t="str">
        <f>IFERROR(IF(Eingabe[[#This Row],[Wo]]="H",IF(Eingabe[[#This Row],[S1]]&gt;0,IF(MOD(ROW(Eingabe[[#This Row],[Heimbahn 4]]),2)=1,Eingabe[[#This Row],[S3]],Eingabe[[#This Row],[S2]]),""),""),"")</f>
        <v/>
      </c>
      <c r="AU456" s="22" t="str">
        <f>IF(Eingabe[[#This Row],[GES]]="","",IF(Eingabe[[#This Row],[Modus]]="L",_xlfn.RANK.EQ(Eingabe[[#This Row],[GES]],AF453:AF458),IF(Eingabe[[#This Row],[Modus]]="P",_xlfn.RANK.EQ(Eingabe[[#This Row],[GES]],AF453:AF458),"")))</f>
        <v/>
      </c>
      <c r="AV456" s="6" t="e">
        <f>VLOOKUP(Eingabe[[#This Row],[Name]],AuswertungG[],8,FALSE)</f>
        <v>#N/A</v>
      </c>
      <c r="AZ456" s="6" t="str">
        <f>IFERROR(ABS(Eingabe[[#This Row],[GES]]-Eingabe[[#This Row],[GEGGES]]),"")</f>
        <v/>
      </c>
    </row>
    <row r="457" spans="1:52" x14ac:dyDescent="0.3">
      <c r="A457" s="441"/>
      <c r="B457" s="21">
        <f t="shared" si="48"/>
        <v>76</v>
      </c>
      <c r="C457" s="6" t="str">
        <f>VLOOKUP($B457,Chronologie[],7,TRUE)</f>
        <v>KV Reinsdorf</v>
      </c>
      <c r="D457" s="6" t="str">
        <f>VLOOKUP($B457,Chronologie[],8,TRUE)</f>
        <v>Reinsdorf</v>
      </c>
      <c r="E457" s="240" t="str">
        <f>VLOOKUP($B457,Chronologie[],9,TRUE)</f>
        <v>A</v>
      </c>
      <c r="F457" s="6" t="str">
        <f>VLOOKUP($B457,Chronologie[],COLUMN(F458)-2,TRUE)</f>
        <v>U14</v>
      </c>
      <c r="G457" s="6" t="str">
        <f>VLOOKUP($B457,Chronologie[],COLUMN(G458)-2,TRUE)</f>
        <v>BEL</v>
      </c>
      <c r="H457" s="6">
        <f>VLOOKUP($B457,Chronologie[],COLUMN(H458)-2,TRUE)</f>
        <v>3</v>
      </c>
      <c r="I457" s="10" t="str">
        <f>VLOOKUP($B457,Chronologie[],2,TRUE)</f>
        <v>U14-BEL-3</v>
      </c>
      <c r="J457" s="243">
        <f>VLOOKUP($B457,Chronologie[],3,TRUE)</f>
        <v>46088</v>
      </c>
      <c r="K457" s="237"/>
      <c r="L457" s="237"/>
      <c r="M457" s="237"/>
      <c r="N457" s="237"/>
      <c r="O457" s="237"/>
      <c r="P457" s="237"/>
      <c r="Q457" s="237"/>
      <c r="R457" s="237"/>
      <c r="S457" s="237"/>
      <c r="T457" s="237"/>
      <c r="U457" s="237"/>
      <c r="V457" s="237"/>
      <c r="W457" s="237"/>
      <c r="X457" s="38"/>
      <c r="Y457" s="38"/>
      <c r="Z457" s="38"/>
      <c r="AA457" s="38"/>
      <c r="AB457" s="91"/>
      <c r="AC457" s="94" t="str">
        <f>IF(Eingabe[[#This Row],[V1]]="",IF(Eingabe[[#This Row],[Volle alternativ]]="","",Eingabe[[#This Row],[Volle alternativ]]),SUM(Eingabe[[#This Row],[V1]:[V4]]))</f>
        <v/>
      </c>
      <c r="AD457" s="6" t="str">
        <f>IF(Eingabe[[#This Row],[R1]]="",IF(Eingabe[[#This Row],[Räumer alternativ]]="","",Eingabe[[#This Row],[Räumer alternativ]]),SUM(Eingabe[[#This Row],[R1]:[R4]]))</f>
        <v/>
      </c>
      <c r="AE457" s="6" t="str">
        <f>IF(Eingabe[[#This Row],[F1]]="",IF(Eingabe[[#This Row],[Fehler alternativ]]="","",Eingabe[[#This Row],[Fehler alternativ]]),SUM(Eingabe[[#This Row],[F1]:[F4]]))</f>
        <v/>
      </c>
      <c r="AF457" s="6" t="str">
        <f>IF(Eingabe[[#This Row],[Volle]]="","",IF(Eingabe[[#This Row],[S1]]="",Eingabe[[#This Row],[Volle]]+Eingabe[[#This Row],[Räumer]],IF(Eingabe[[#This Row],[Volle]]+Eingabe[[#This Row],[Räumer]]=Eingabe[[#This Row],[S1]]+Eingabe[[#This Row],[S2]]+Eingabe[[#This Row],[S3]]+Eingabe[[#This Row],[S4]],Eingabe[[#This Row],[Volle]]+Eingabe[[#This Row],[Räumer]],"FEHLER")))</f>
        <v/>
      </c>
      <c r="AG457" s="6" t="str">
        <f>IF(Eingabe[[#This Row],[V1]]="","",Eingabe[[#This Row],[V1]]+Eingabe[[#This Row],[R1]])</f>
        <v/>
      </c>
      <c r="AH457" s="6" t="str">
        <f>IF(Eingabe[[#This Row],[V2]]="","",Eingabe[[#This Row],[V2]]+Eingabe[[#This Row],[R2]])</f>
        <v/>
      </c>
      <c r="AI457" s="6" t="str">
        <f>IF(Eingabe[[#This Row],[V3]]="","",Eingabe[[#This Row],[V3]]+Eingabe[[#This Row],[R3]])</f>
        <v/>
      </c>
      <c r="AJ457" s="6" t="str">
        <f>IF(Eingabe[[#This Row],[V4]]="","",Eingabe[[#This Row],[V4]]+Eingabe[[#This Row],[R4]])</f>
        <v/>
      </c>
      <c r="AK457" s="6" t="str">
        <f>IF(Eingabe[[#This Row],[S1P]]="","",Eingabe[[#This Row],[S1P]]+Eingabe[[#This Row],[S2P]]+Eingabe[[#This Row],[S3P]]+Eingabe[[#This Row],[S4P]])</f>
        <v/>
      </c>
      <c r="AL457" s="6" t="str">
        <f>IF(Eingabe[[#This Row],[S1P]]="","",IF(Eingabe[[#This Row],[SP]]&gt;2,1,IF(Eingabe[[#This Row],[SP]]&lt;2,0,IF(Eingabe[[#This Row],[GES]]&gt;Eingabe[[#This Row],[GEGGES]],1,IF(Eingabe[[#This Row],[GES]]=Eingabe[[#This Row],[GEGGES]],0.5,0)))))</f>
        <v/>
      </c>
      <c r="AM457" s="6" t="str">
        <f>IF(Eingabe[[#This Row],[MP]]="","",MOD(ROW(Eingabe[[#This Row],[Position]])-3,6)+1)</f>
        <v/>
      </c>
      <c r="AN457" s="6" t="e">
        <f>STANDARDIZE(Eingabe[[#This Row],[GES]],Eingabe[[#This Row],[Schnitt]],VLOOKUP(Eingabe[[#This Row],[Name]],AuswertungG[],21,FALSE))</f>
        <v>#VALUE!</v>
      </c>
      <c r="AO457" s="6">
        <f>VLOOKUP(Eingabe[[#This Row],[ID]],Chronologie[[ID]:[KW]],12,FALSE)</f>
        <v>28</v>
      </c>
      <c r="AP457" s="95" t="str">
        <f>IF(Eingabe[[#This Row],[Wo]]="H",Eingabe[[#This Row],[Gegner]]&amp;" ["&amp;Eingabe[[#This Row],[Wo]]&amp;"]",Eingabe[[#This Row],[Ort]])</f>
        <v>Reinsdorf</v>
      </c>
      <c r="AQ457" s="6" t="str">
        <f>IFERROR(IF(Eingabe[[#This Row],[Wo]]="H",IF(MOD(Eingabe[[#This Row],[Position]],2)=1,Eingabe[[#This Row],[S1]],Eingabe[[#This Row],[S4]]),""),"")</f>
        <v/>
      </c>
      <c r="AR457" s="6" t="str">
        <f>IFERROR(IF(Eingabe[[#This Row],[Wo]]="H",IF(Eingabe[[#This Row],[S1]]&gt;0,IF(MOD(Eingabe[[#This Row],[Position]],2)=1,Eingabe[[#This Row],[S2]],Eingabe[[#This Row],[S3]]),""),""),"")</f>
        <v/>
      </c>
      <c r="AS457" s="6" t="str">
        <f>IFERROR(IF(Eingabe[[#This Row],[Wo]]="H",IF(Eingabe[[#This Row],[S1]]&gt;0,IF(MOD(ROW(Eingabe[[#This Row],[Heimbahn 3]]),2)=1,Eingabe[[#This Row],[S4]],Eingabe[[#This Row],[S1]]),""),""),"")</f>
        <v/>
      </c>
      <c r="AT457" s="6" t="str">
        <f>IFERROR(IF(Eingabe[[#This Row],[Wo]]="H",IF(Eingabe[[#This Row],[S1]]&gt;0,IF(MOD(ROW(Eingabe[[#This Row],[Heimbahn 4]]),2)=1,Eingabe[[#This Row],[S3]],Eingabe[[#This Row],[S2]]),""),""),"")</f>
        <v/>
      </c>
      <c r="AU457" s="22" t="str">
        <f>IF(Eingabe[[#This Row],[GES]]="","",IF(Eingabe[[#This Row],[Modus]]="L",_xlfn.RANK.EQ(Eingabe[[#This Row],[GES]],AF453:AF458),IF(Eingabe[[#This Row],[Modus]]="P",_xlfn.RANK.EQ(Eingabe[[#This Row],[GES]],AF453:AF458),"")))</f>
        <v/>
      </c>
      <c r="AV457" s="6" t="e">
        <f>VLOOKUP(Eingabe[[#This Row],[Name]],AuswertungG[],8,FALSE)</f>
        <v>#N/A</v>
      </c>
      <c r="AZ457" s="6" t="str">
        <f>IFERROR(ABS(Eingabe[[#This Row],[GES]]-Eingabe[[#This Row],[GEGGES]]),"")</f>
        <v/>
      </c>
    </row>
    <row r="458" spans="1:52" ht="16.2" thickBot="1" x14ac:dyDescent="0.35">
      <c r="A458" s="442"/>
      <c r="B458" s="56">
        <f t="shared" si="48"/>
        <v>76</v>
      </c>
      <c r="C458" s="23" t="str">
        <f>VLOOKUP($B458,Chronologie[],7,TRUE)</f>
        <v>KV Reinsdorf</v>
      </c>
      <c r="D458" s="23" t="str">
        <f>VLOOKUP($B458,Chronologie[],8,TRUE)</f>
        <v>Reinsdorf</v>
      </c>
      <c r="E458" s="39" t="str">
        <f>VLOOKUP($B458,Chronologie[],9,TRUE)</f>
        <v>A</v>
      </c>
      <c r="F458" s="23" t="str">
        <f>VLOOKUP($B458,Chronologie[],COLUMN(F459)-2,TRUE)</f>
        <v>U14</v>
      </c>
      <c r="G458" s="23" t="str">
        <f>VLOOKUP($B458,Chronologie[],COLUMN(G459)-2,TRUE)</f>
        <v>BEL</v>
      </c>
      <c r="H458" s="23">
        <f>VLOOKUP($B458,Chronologie[],COLUMN(H459)-2,TRUE)</f>
        <v>3</v>
      </c>
      <c r="I458" s="13" t="str">
        <f>VLOOKUP($B458,Chronologie[],2,TRUE)</f>
        <v>U14-BEL-3</v>
      </c>
      <c r="J458" s="244">
        <f>VLOOKUP($B458,Chronologie[],3,TRUE)</f>
        <v>46088</v>
      </c>
      <c r="K458" s="239"/>
      <c r="L458" s="239"/>
      <c r="M458" s="239"/>
      <c r="N458" s="239"/>
      <c r="O458" s="239"/>
      <c r="P458" s="239"/>
      <c r="Q458" s="239"/>
      <c r="R458" s="239"/>
      <c r="S458" s="239"/>
      <c r="T458" s="239"/>
      <c r="U458" s="239"/>
      <c r="V458" s="239"/>
      <c r="W458" s="239"/>
      <c r="X458" s="40"/>
      <c r="Y458" s="40"/>
      <c r="Z458" s="40"/>
      <c r="AA458" s="40"/>
      <c r="AB458" s="92"/>
      <c r="AC458" s="96" t="str">
        <f>IF(Eingabe[[#This Row],[V1]]="",IF(Eingabe[[#This Row],[Volle alternativ]]="","",Eingabe[[#This Row],[Volle alternativ]]),SUM(Eingabe[[#This Row],[V1]:[V4]]))</f>
        <v/>
      </c>
      <c r="AD458" s="23" t="str">
        <f>IF(Eingabe[[#This Row],[R1]]="",IF(Eingabe[[#This Row],[Räumer alternativ]]="","",Eingabe[[#This Row],[Räumer alternativ]]),SUM(Eingabe[[#This Row],[R1]:[R4]]))</f>
        <v/>
      </c>
      <c r="AE458" s="23" t="str">
        <f>IF(Eingabe[[#This Row],[F1]]="",IF(Eingabe[[#This Row],[Fehler alternativ]]="","",Eingabe[[#This Row],[Fehler alternativ]]),SUM(Eingabe[[#This Row],[F1]:[F4]]))</f>
        <v/>
      </c>
      <c r="AF458" s="23" t="str">
        <f>IF(Eingabe[[#This Row],[Volle]]="","",IF(Eingabe[[#This Row],[S1]]="",Eingabe[[#This Row],[Volle]]+Eingabe[[#This Row],[Räumer]],IF(Eingabe[[#This Row],[Volle]]+Eingabe[[#This Row],[Räumer]]=Eingabe[[#This Row],[S1]]+Eingabe[[#This Row],[S2]]+Eingabe[[#This Row],[S3]]+Eingabe[[#This Row],[S4]],Eingabe[[#This Row],[Volle]]+Eingabe[[#This Row],[Räumer]],"FEHLER")))</f>
        <v/>
      </c>
      <c r="AG458" s="23" t="str">
        <f>IF(Eingabe[[#This Row],[V1]]="","",Eingabe[[#This Row],[V1]]+Eingabe[[#This Row],[R1]])</f>
        <v/>
      </c>
      <c r="AH458" s="23" t="str">
        <f>IF(Eingabe[[#This Row],[V2]]="","",Eingabe[[#This Row],[V2]]+Eingabe[[#This Row],[R2]])</f>
        <v/>
      </c>
      <c r="AI458" s="23" t="str">
        <f>IF(Eingabe[[#This Row],[V3]]="","",Eingabe[[#This Row],[V3]]+Eingabe[[#This Row],[R3]])</f>
        <v/>
      </c>
      <c r="AJ458" s="23" t="str">
        <f>IF(Eingabe[[#This Row],[V4]]="","",Eingabe[[#This Row],[V4]]+Eingabe[[#This Row],[R4]])</f>
        <v/>
      </c>
      <c r="AK458" s="23" t="str">
        <f>IF(Eingabe[[#This Row],[S1P]]="","",Eingabe[[#This Row],[S1P]]+Eingabe[[#This Row],[S2P]]+Eingabe[[#This Row],[S3P]]+Eingabe[[#This Row],[S4P]])</f>
        <v/>
      </c>
      <c r="AL458" s="23" t="str">
        <f>IF(Eingabe[[#This Row],[S1P]]="","",IF(Eingabe[[#This Row],[SP]]&gt;2,1,IF(Eingabe[[#This Row],[SP]]&lt;2,0,IF(Eingabe[[#This Row],[GES]]&gt;Eingabe[[#This Row],[GEGGES]],1,IF(Eingabe[[#This Row],[GES]]=Eingabe[[#This Row],[GEGGES]],0.5,0)))))</f>
        <v/>
      </c>
      <c r="AM458" s="23" t="str">
        <f>IF(Eingabe[[#This Row],[MP]]="","",MOD(ROW(Eingabe[[#This Row],[Position]])-3,6)+1)</f>
        <v/>
      </c>
      <c r="AN458" s="23" t="e">
        <f>STANDARDIZE(Eingabe[[#This Row],[GES]],Eingabe[[#This Row],[Schnitt]],VLOOKUP(Eingabe[[#This Row],[Name]],AuswertungG[],21,FALSE))</f>
        <v>#VALUE!</v>
      </c>
      <c r="AO458" s="23">
        <f>VLOOKUP(Eingabe[[#This Row],[ID]],Chronologie[[ID]:[KW]],12,FALSE)</f>
        <v>28</v>
      </c>
      <c r="AP458" s="59" t="str">
        <f>IF(Eingabe[[#This Row],[Wo]]="H",Eingabe[[#This Row],[Gegner]]&amp;" ["&amp;Eingabe[[#This Row],[Wo]]&amp;"]",Eingabe[[#This Row],[Ort]])</f>
        <v>Reinsdorf</v>
      </c>
      <c r="AQ458" s="23" t="str">
        <f>IFERROR(IF(Eingabe[[#This Row],[Wo]]="H",IF(MOD(Eingabe[[#This Row],[Position]],2)=1,Eingabe[[#This Row],[S1]],Eingabe[[#This Row],[S4]]),""),"")</f>
        <v/>
      </c>
      <c r="AR458" s="23" t="str">
        <f>IFERROR(IF(Eingabe[[#This Row],[Wo]]="H",IF(Eingabe[[#This Row],[S1]]&gt;0,IF(MOD(Eingabe[[#This Row],[Position]],2)=1,Eingabe[[#This Row],[S2]],Eingabe[[#This Row],[S3]]),""),""),"")</f>
        <v/>
      </c>
      <c r="AS458" s="23" t="str">
        <f>IFERROR(IF(Eingabe[[#This Row],[Wo]]="H",IF(Eingabe[[#This Row],[S1]]&gt;0,IF(MOD(ROW(Eingabe[[#This Row],[Heimbahn 3]]),2)=1,Eingabe[[#This Row],[S4]],Eingabe[[#This Row],[S1]]),""),""),"")</f>
        <v/>
      </c>
      <c r="AT458" s="23" t="str">
        <f>IFERROR(IF(Eingabe[[#This Row],[Wo]]="H",IF(Eingabe[[#This Row],[S1]]&gt;0,IF(MOD(ROW(Eingabe[[#This Row],[Heimbahn 4]]),2)=1,Eingabe[[#This Row],[S3]],Eingabe[[#This Row],[S2]]),""),""),"")</f>
        <v/>
      </c>
      <c r="AU458" s="89" t="str">
        <f>IF(Eingabe[[#This Row],[GES]]="","",IF(Eingabe[[#This Row],[Modus]]="L",_xlfn.RANK.EQ(Eingabe[[#This Row],[GES]],AF453:AF458),IF(Eingabe[[#This Row],[Modus]]="P",_xlfn.RANK.EQ(Eingabe[[#This Row],[GES]],AF453:AF458),"")))</f>
        <v/>
      </c>
      <c r="AV458" s="6" t="e">
        <f>VLOOKUP(Eingabe[[#This Row],[Name]],AuswertungG[],8,FALSE)</f>
        <v>#N/A</v>
      </c>
      <c r="AZ458" s="6" t="str">
        <f>IFERROR(ABS(Eingabe[[#This Row],[GES]]-Eingabe[[#This Row],[GEGGES]]),"")</f>
        <v/>
      </c>
    </row>
    <row r="459" spans="1:52" x14ac:dyDescent="0.3">
      <c r="A459" s="440">
        <f t="shared" si="47"/>
        <v>77</v>
      </c>
      <c r="B459" s="55">
        <f t="shared" si="48"/>
        <v>77</v>
      </c>
      <c r="C459" s="35" t="str">
        <f>VLOOKUP($B459,Chronologie[],7,TRUE)</f>
        <v>Hirschfelder SV</v>
      </c>
      <c r="D459" s="35" t="str">
        <f>VLOOKUP($B459,Chronologie[],8,TRUE)</f>
        <v>Hirschfeld</v>
      </c>
      <c r="E459" s="36" t="str">
        <f>VLOOKUP($B459,Chronologie[],9,TRUE)</f>
        <v>H</v>
      </c>
      <c r="F459" s="35" t="str">
        <f>VLOOKUP($B459,Chronologie[],COLUMN(F460)-2,TRUE)</f>
        <v>U14</v>
      </c>
      <c r="G459" s="35" t="str">
        <f>VLOOKUP($B459,Chronologie[],COLUMN(G460)-2,TRUE)</f>
        <v>BEL</v>
      </c>
      <c r="H459" s="35">
        <f>VLOOKUP($B459,Chronologie[],COLUMN(H460)-2,TRUE)</f>
        <v>4</v>
      </c>
      <c r="I459" s="9" t="str">
        <f>VLOOKUP($B459,Chronologie[],2,TRUE)</f>
        <v>U14-BEL-4</v>
      </c>
      <c r="J459" s="242">
        <f>VLOOKUP($B459,Chronologie[],3,TRUE)</f>
        <v>46123</v>
      </c>
      <c r="K459" s="236"/>
      <c r="L459" s="334"/>
      <c r="M459" s="334"/>
      <c r="N459" s="334"/>
      <c r="O459" s="334"/>
      <c r="P459" s="334"/>
      <c r="Q459" s="334"/>
      <c r="R459" s="334"/>
      <c r="S459" s="334"/>
      <c r="T459" s="334"/>
      <c r="U459" s="334"/>
      <c r="V459" s="334"/>
      <c r="W459" s="334"/>
      <c r="X459" s="37"/>
      <c r="Y459" s="37"/>
      <c r="Z459" s="37"/>
      <c r="AA459" s="37"/>
      <c r="AB459" s="90"/>
      <c r="AC459" s="93" t="str">
        <f>IF(Eingabe[[#This Row],[V1]]="",IF(Eingabe[[#This Row],[Volle alternativ]]="","",Eingabe[[#This Row],[Volle alternativ]]),SUM(Eingabe[[#This Row],[V1]:[V4]]))</f>
        <v/>
      </c>
      <c r="AD459" s="35" t="str">
        <f>IF(Eingabe[[#This Row],[R1]]="",IF(Eingabe[[#This Row],[Räumer alternativ]]="","",Eingabe[[#This Row],[Räumer alternativ]]),SUM(Eingabe[[#This Row],[R1]:[R4]]))</f>
        <v/>
      </c>
      <c r="AE459" s="35" t="str">
        <f>IF(Eingabe[[#This Row],[F1]]="",IF(Eingabe[[#This Row],[Fehler alternativ]]="","",Eingabe[[#This Row],[Fehler alternativ]]),SUM(Eingabe[[#This Row],[F1]:[F4]]))</f>
        <v/>
      </c>
      <c r="AF459" s="35" t="str">
        <f>IF(Eingabe[[#This Row],[Volle]]="","",IF(Eingabe[[#This Row],[S1]]="",Eingabe[[#This Row],[Volle]]+Eingabe[[#This Row],[Räumer]],IF(Eingabe[[#This Row],[Volle]]+Eingabe[[#This Row],[Räumer]]=Eingabe[[#This Row],[S1]]+Eingabe[[#This Row],[S2]]+Eingabe[[#This Row],[S3]]+Eingabe[[#This Row],[S4]],Eingabe[[#This Row],[Volle]]+Eingabe[[#This Row],[Räumer]],"FEHLER")))</f>
        <v/>
      </c>
      <c r="AG459" s="35" t="str">
        <f>IF(Eingabe[[#This Row],[V1]]="","",Eingabe[[#This Row],[V1]]+Eingabe[[#This Row],[R1]])</f>
        <v/>
      </c>
      <c r="AH459" s="35" t="str">
        <f>IF(Eingabe[[#This Row],[V2]]="","",Eingabe[[#This Row],[V2]]+Eingabe[[#This Row],[R2]])</f>
        <v/>
      </c>
      <c r="AI459" s="35" t="str">
        <f>IF(Eingabe[[#This Row],[V3]]="","",Eingabe[[#This Row],[V3]]+Eingabe[[#This Row],[R3]])</f>
        <v/>
      </c>
      <c r="AJ459" s="35" t="str">
        <f>IF(Eingabe[[#This Row],[V4]]="","",Eingabe[[#This Row],[V4]]+Eingabe[[#This Row],[R4]])</f>
        <v/>
      </c>
      <c r="AK459" s="35" t="str">
        <f>IF(Eingabe[[#This Row],[S1P]]="","",Eingabe[[#This Row],[S1P]]+Eingabe[[#This Row],[S2P]]+Eingabe[[#This Row],[S3P]]+Eingabe[[#This Row],[S4P]])</f>
        <v/>
      </c>
      <c r="AL459" s="35" t="str">
        <f>IF(Eingabe[[#This Row],[S1P]]="","",IF(Eingabe[[#This Row],[SP]]&gt;2,1,IF(Eingabe[[#This Row],[SP]]&lt;2,0,IF(Eingabe[[#This Row],[GES]]&gt;Eingabe[[#This Row],[GEGGES]],1,IF(Eingabe[[#This Row],[GES]]=Eingabe[[#This Row],[GEGGES]],0.5,0)))))</f>
        <v/>
      </c>
      <c r="AM459" s="35" t="str">
        <f>IF(Eingabe[[#This Row],[MP]]="","",MOD(ROW(Eingabe[[#This Row],[Position]])-3,6)+1)</f>
        <v/>
      </c>
      <c r="AN459" s="35" t="e">
        <f>STANDARDIZE(Eingabe[[#This Row],[GES]],Eingabe[[#This Row],[Schnitt]],VLOOKUP(Eingabe[[#This Row],[Name]],AuswertungG[],21,FALSE))</f>
        <v>#VALUE!</v>
      </c>
      <c r="AO459" s="35">
        <f>VLOOKUP(Eingabe[[#This Row],[ID]],Chronologie[[ID]:[KW]],12,FALSE)</f>
        <v>33</v>
      </c>
      <c r="AP459" s="58" t="str">
        <f>IF(Eingabe[[#This Row],[Wo]]="H",Eingabe[[#This Row],[Gegner]]&amp;" ["&amp;Eingabe[[#This Row],[Wo]]&amp;"]",Eingabe[[#This Row],[Ort]])</f>
        <v>Hirschfelder SV [H]</v>
      </c>
      <c r="AQ459" s="35" t="str">
        <f>IFERROR(IF(Eingabe[[#This Row],[Wo]]="H",IF(MOD(Eingabe[[#This Row],[Position]],2)=1,Eingabe[[#This Row],[S1]],Eingabe[[#This Row],[S4]]),""),"")</f>
        <v/>
      </c>
      <c r="AR459" s="35" t="str">
        <f>IFERROR(IF(Eingabe[[#This Row],[Wo]]="H",IF(Eingabe[[#This Row],[S1]]&gt;0,IF(MOD(Eingabe[[#This Row],[Position]],2)=1,Eingabe[[#This Row],[S2]],Eingabe[[#This Row],[S3]]),""),""),"")</f>
        <v/>
      </c>
      <c r="AS459" s="35" t="str">
        <f>IFERROR(IF(Eingabe[[#This Row],[Wo]]="H",IF(Eingabe[[#This Row],[S1]]&gt;0,IF(MOD(ROW(Eingabe[[#This Row],[Heimbahn 3]]),2)=1,Eingabe[[#This Row],[S4]],Eingabe[[#This Row],[S1]]),""),""),"")</f>
        <v/>
      </c>
      <c r="AT459" s="35" t="str">
        <f>IFERROR(IF(Eingabe[[#This Row],[Wo]]="H",IF(Eingabe[[#This Row],[S1]]&gt;0,IF(MOD(ROW(Eingabe[[#This Row],[Heimbahn 4]]),2)=1,Eingabe[[#This Row],[S3]],Eingabe[[#This Row],[S2]]),""),""),"")</f>
        <v/>
      </c>
      <c r="AU459" s="88" t="str">
        <f>IF(Eingabe[[#This Row],[GES]]="","",IF(Eingabe[[#This Row],[Modus]]="L",_xlfn.RANK.EQ(Eingabe[[#This Row],[GES]],AF459:AF464),IF(Eingabe[[#This Row],[Modus]]="P",_xlfn.RANK.EQ(Eingabe[[#This Row],[GES]],AF459:AF464),"")))</f>
        <v/>
      </c>
      <c r="AV459" s="6" t="e">
        <f>VLOOKUP(Eingabe[[#This Row],[Name]],AuswertungG[],8,FALSE)</f>
        <v>#N/A</v>
      </c>
      <c r="AZ459" s="6" t="str">
        <f>IFERROR(ABS(Eingabe[[#This Row],[GES]]-Eingabe[[#This Row],[GEGGES]]),"")</f>
        <v/>
      </c>
    </row>
    <row r="460" spans="1:52" x14ac:dyDescent="0.3">
      <c r="A460" s="441"/>
      <c r="B460" s="21">
        <f t="shared" si="48"/>
        <v>77</v>
      </c>
      <c r="C460" s="6" t="str">
        <f>VLOOKUP($B460,Chronologie[],7,TRUE)</f>
        <v>Hirschfelder SV</v>
      </c>
      <c r="D460" s="6" t="str">
        <f>VLOOKUP($B460,Chronologie[],8,TRUE)</f>
        <v>Hirschfeld</v>
      </c>
      <c r="E460" s="240" t="str">
        <f>VLOOKUP($B460,Chronologie[],9,TRUE)</f>
        <v>H</v>
      </c>
      <c r="F460" s="6" t="str">
        <f>VLOOKUP($B460,Chronologie[],COLUMN(F461)-2,TRUE)</f>
        <v>U14</v>
      </c>
      <c r="G460" s="6" t="str">
        <f>VLOOKUP($B460,Chronologie[],COLUMN(G461)-2,TRUE)</f>
        <v>BEL</v>
      </c>
      <c r="H460" s="6">
        <f>VLOOKUP($B460,Chronologie[],COLUMN(H461)-2,TRUE)</f>
        <v>4</v>
      </c>
      <c r="I460" s="10" t="str">
        <f>VLOOKUP($B460,Chronologie[],2,TRUE)</f>
        <v>U14-BEL-4</v>
      </c>
      <c r="J460" s="243">
        <f>VLOOKUP($B460,Chronologie[],3,TRUE)</f>
        <v>46123</v>
      </c>
      <c r="K460" s="237"/>
      <c r="L460" s="237"/>
      <c r="M460" s="237"/>
      <c r="N460" s="237"/>
      <c r="O460" s="237"/>
      <c r="P460" s="237"/>
      <c r="Q460" s="237"/>
      <c r="R460" s="237"/>
      <c r="S460" s="237"/>
      <c r="T460" s="237"/>
      <c r="U460" s="237"/>
      <c r="V460" s="237"/>
      <c r="W460" s="237"/>
      <c r="X460" s="38"/>
      <c r="Y460" s="38"/>
      <c r="Z460" s="38"/>
      <c r="AA460" s="38"/>
      <c r="AB460" s="91"/>
      <c r="AC460" s="94" t="str">
        <f>IF(Eingabe[[#This Row],[V1]]="",IF(Eingabe[[#This Row],[Volle alternativ]]="","",Eingabe[[#This Row],[Volle alternativ]]),SUM(Eingabe[[#This Row],[V1]:[V4]]))</f>
        <v/>
      </c>
      <c r="AD460" s="6" t="str">
        <f>IF(Eingabe[[#This Row],[R1]]="",IF(Eingabe[[#This Row],[Räumer alternativ]]="","",Eingabe[[#This Row],[Räumer alternativ]]),SUM(Eingabe[[#This Row],[R1]:[R4]]))</f>
        <v/>
      </c>
      <c r="AE460" s="6" t="str">
        <f>IF(Eingabe[[#This Row],[F1]]="",IF(Eingabe[[#This Row],[Fehler alternativ]]="","",Eingabe[[#This Row],[Fehler alternativ]]),SUM(Eingabe[[#This Row],[F1]:[F4]]))</f>
        <v/>
      </c>
      <c r="AF460" s="6" t="str">
        <f>IF(Eingabe[[#This Row],[Volle]]="","",IF(Eingabe[[#This Row],[S1]]="",Eingabe[[#This Row],[Volle]]+Eingabe[[#This Row],[Räumer]],IF(Eingabe[[#This Row],[Volle]]+Eingabe[[#This Row],[Räumer]]=Eingabe[[#This Row],[S1]]+Eingabe[[#This Row],[S2]]+Eingabe[[#This Row],[S3]]+Eingabe[[#This Row],[S4]],Eingabe[[#This Row],[Volle]]+Eingabe[[#This Row],[Räumer]],"FEHLER")))</f>
        <v/>
      </c>
      <c r="AG460" s="6" t="str">
        <f>IF(Eingabe[[#This Row],[V1]]="","",Eingabe[[#This Row],[V1]]+Eingabe[[#This Row],[R1]])</f>
        <v/>
      </c>
      <c r="AH460" s="6" t="str">
        <f>IF(Eingabe[[#This Row],[V2]]="","",Eingabe[[#This Row],[V2]]+Eingabe[[#This Row],[R2]])</f>
        <v/>
      </c>
      <c r="AI460" s="6" t="str">
        <f>IF(Eingabe[[#This Row],[V3]]="","",Eingabe[[#This Row],[V3]]+Eingabe[[#This Row],[R3]])</f>
        <v/>
      </c>
      <c r="AJ460" s="6" t="str">
        <f>IF(Eingabe[[#This Row],[V4]]="","",Eingabe[[#This Row],[V4]]+Eingabe[[#This Row],[R4]])</f>
        <v/>
      </c>
      <c r="AK460" s="6" t="str">
        <f>IF(Eingabe[[#This Row],[S1P]]="","",Eingabe[[#This Row],[S1P]]+Eingabe[[#This Row],[S2P]]+Eingabe[[#This Row],[S3P]]+Eingabe[[#This Row],[S4P]])</f>
        <v/>
      </c>
      <c r="AL460" s="6" t="str">
        <f>IF(Eingabe[[#This Row],[S1P]]="","",IF(Eingabe[[#This Row],[SP]]&gt;2,1,IF(Eingabe[[#This Row],[SP]]&lt;2,0,IF(Eingabe[[#This Row],[GES]]&gt;Eingabe[[#This Row],[GEGGES]],1,IF(Eingabe[[#This Row],[GES]]=Eingabe[[#This Row],[GEGGES]],0.5,0)))))</f>
        <v/>
      </c>
      <c r="AM460" s="6" t="str">
        <f>IF(Eingabe[[#This Row],[MP]]="","",MOD(ROW(Eingabe[[#This Row],[Position]])-3,6)+1)</f>
        <v/>
      </c>
      <c r="AN460" s="6" t="e">
        <f>STANDARDIZE(Eingabe[[#This Row],[GES]],Eingabe[[#This Row],[Schnitt]],VLOOKUP(Eingabe[[#This Row],[Name]],AuswertungG[],21,FALSE))</f>
        <v>#VALUE!</v>
      </c>
      <c r="AO460" s="6">
        <f>VLOOKUP(Eingabe[[#This Row],[ID]],Chronologie[[ID]:[KW]],12,FALSE)</f>
        <v>33</v>
      </c>
      <c r="AP460" s="95" t="str">
        <f>IF(Eingabe[[#This Row],[Wo]]="H",Eingabe[[#This Row],[Gegner]]&amp;" ["&amp;Eingabe[[#This Row],[Wo]]&amp;"]",Eingabe[[#This Row],[Ort]])</f>
        <v>Hirschfelder SV [H]</v>
      </c>
      <c r="AQ460" s="6" t="str">
        <f>IFERROR(IF(Eingabe[[#This Row],[Wo]]="H",IF(MOD(Eingabe[[#This Row],[Position]],2)=1,Eingabe[[#This Row],[S1]],Eingabe[[#This Row],[S4]]),""),"")</f>
        <v/>
      </c>
      <c r="AR460" s="6" t="str">
        <f>IFERROR(IF(Eingabe[[#This Row],[Wo]]="H",IF(Eingabe[[#This Row],[S1]]&gt;0,IF(MOD(Eingabe[[#This Row],[Position]],2)=1,Eingabe[[#This Row],[S2]],Eingabe[[#This Row],[S3]]),""),""),"")</f>
        <v/>
      </c>
      <c r="AS460" s="6" t="str">
        <f>IFERROR(IF(Eingabe[[#This Row],[Wo]]="H",IF(Eingabe[[#This Row],[S1]]&gt;0,IF(MOD(ROW(Eingabe[[#This Row],[Heimbahn 3]]),2)=1,Eingabe[[#This Row],[S4]],Eingabe[[#This Row],[S1]]),""),""),"")</f>
        <v/>
      </c>
      <c r="AT460" s="6" t="str">
        <f>IFERROR(IF(Eingabe[[#This Row],[Wo]]="H",IF(Eingabe[[#This Row],[S1]]&gt;0,IF(MOD(ROW(Eingabe[[#This Row],[Heimbahn 4]]),2)=1,Eingabe[[#This Row],[S3]],Eingabe[[#This Row],[S2]]),""),""),"")</f>
        <v/>
      </c>
      <c r="AU460" s="22" t="str">
        <f>IF(Eingabe[[#This Row],[GES]]="","",IF(Eingabe[[#This Row],[Modus]]="L",_xlfn.RANK.EQ(Eingabe[[#This Row],[GES]],AF459:AF464),IF(Eingabe[[#This Row],[Modus]]="P",_xlfn.RANK.EQ(Eingabe[[#This Row],[GES]],AF459:AF464),"")))</f>
        <v/>
      </c>
      <c r="AV460" s="6" t="e">
        <f>VLOOKUP(Eingabe[[#This Row],[Name]],AuswertungG[],8,FALSE)</f>
        <v>#N/A</v>
      </c>
      <c r="AZ460" s="6" t="str">
        <f>IFERROR(ABS(Eingabe[[#This Row],[GES]]-Eingabe[[#This Row],[GEGGES]]),"")</f>
        <v/>
      </c>
    </row>
    <row r="461" spans="1:52" x14ac:dyDescent="0.3">
      <c r="A461" s="441"/>
      <c r="B461" s="21">
        <f t="shared" si="48"/>
        <v>77</v>
      </c>
      <c r="C461" s="6" t="str">
        <f>VLOOKUP($B461,Chronologie[],7,TRUE)</f>
        <v>Hirschfelder SV</v>
      </c>
      <c r="D461" s="6" t="str">
        <f>VLOOKUP($B461,Chronologie[],8,TRUE)</f>
        <v>Hirschfeld</v>
      </c>
      <c r="E461" s="240" t="str">
        <f>VLOOKUP($B461,Chronologie[],9,TRUE)</f>
        <v>H</v>
      </c>
      <c r="F461" s="6" t="str">
        <f>VLOOKUP($B461,Chronologie[],COLUMN(F462)-2,TRUE)</f>
        <v>U14</v>
      </c>
      <c r="G461" s="6" t="str">
        <f>VLOOKUP($B461,Chronologie[],COLUMN(G462)-2,TRUE)</f>
        <v>BEL</v>
      </c>
      <c r="H461" s="6">
        <f>VLOOKUP($B461,Chronologie[],COLUMN(H462)-2,TRUE)</f>
        <v>4</v>
      </c>
      <c r="I461" s="10" t="str">
        <f>VLOOKUP($B461,Chronologie[],2,TRUE)</f>
        <v>U14-BEL-4</v>
      </c>
      <c r="J461" s="243">
        <f>VLOOKUP($B461,Chronologie[],3,TRUE)</f>
        <v>46123</v>
      </c>
      <c r="K461" s="237"/>
      <c r="L461" s="237"/>
      <c r="M461" s="237"/>
      <c r="N461" s="237"/>
      <c r="O461" s="237"/>
      <c r="P461" s="237"/>
      <c r="Q461" s="237"/>
      <c r="R461" s="237"/>
      <c r="S461" s="237"/>
      <c r="T461" s="237"/>
      <c r="U461" s="237"/>
      <c r="V461" s="237"/>
      <c r="W461" s="237"/>
      <c r="X461" s="38"/>
      <c r="Y461" s="38"/>
      <c r="Z461" s="38"/>
      <c r="AA461" s="38"/>
      <c r="AB461" s="91"/>
      <c r="AC461" s="94" t="str">
        <f>IF(Eingabe[[#This Row],[V1]]="",IF(Eingabe[[#This Row],[Volle alternativ]]="","",Eingabe[[#This Row],[Volle alternativ]]),SUM(Eingabe[[#This Row],[V1]:[V4]]))</f>
        <v/>
      </c>
      <c r="AD461" s="6" t="str">
        <f>IF(Eingabe[[#This Row],[R1]]="",IF(Eingabe[[#This Row],[Räumer alternativ]]="","",Eingabe[[#This Row],[Räumer alternativ]]),SUM(Eingabe[[#This Row],[R1]:[R4]]))</f>
        <v/>
      </c>
      <c r="AE461" s="6" t="str">
        <f>IF(Eingabe[[#This Row],[F1]]="",IF(Eingabe[[#This Row],[Fehler alternativ]]="","",Eingabe[[#This Row],[Fehler alternativ]]),SUM(Eingabe[[#This Row],[F1]:[F4]]))</f>
        <v/>
      </c>
      <c r="AF461" s="6" t="str">
        <f>IF(Eingabe[[#This Row],[Volle]]="","",IF(Eingabe[[#This Row],[S1]]="",Eingabe[[#This Row],[Volle]]+Eingabe[[#This Row],[Räumer]],IF(Eingabe[[#This Row],[Volle]]+Eingabe[[#This Row],[Räumer]]=Eingabe[[#This Row],[S1]]+Eingabe[[#This Row],[S2]]+Eingabe[[#This Row],[S3]]+Eingabe[[#This Row],[S4]],Eingabe[[#This Row],[Volle]]+Eingabe[[#This Row],[Räumer]],"FEHLER")))</f>
        <v/>
      </c>
      <c r="AG461" s="6" t="str">
        <f>IF(Eingabe[[#This Row],[V1]]="","",Eingabe[[#This Row],[V1]]+Eingabe[[#This Row],[R1]])</f>
        <v/>
      </c>
      <c r="AH461" s="6" t="str">
        <f>IF(Eingabe[[#This Row],[V2]]="","",Eingabe[[#This Row],[V2]]+Eingabe[[#This Row],[R2]])</f>
        <v/>
      </c>
      <c r="AI461" s="6" t="str">
        <f>IF(Eingabe[[#This Row],[V3]]="","",Eingabe[[#This Row],[V3]]+Eingabe[[#This Row],[R3]])</f>
        <v/>
      </c>
      <c r="AJ461" s="6" t="str">
        <f>IF(Eingabe[[#This Row],[V4]]="","",Eingabe[[#This Row],[V4]]+Eingabe[[#This Row],[R4]])</f>
        <v/>
      </c>
      <c r="AK461" s="6" t="str">
        <f>IF(Eingabe[[#This Row],[S1P]]="","",Eingabe[[#This Row],[S1P]]+Eingabe[[#This Row],[S2P]]+Eingabe[[#This Row],[S3P]]+Eingabe[[#This Row],[S4P]])</f>
        <v/>
      </c>
      <c r="AL461" s="6" t="str">
        <f>IF(Eingabe[[#This Row],[S1P]]="","",IF(Eingabe[[#This Row],[SP]]&gt;2,1,IF(Eingabe[[#This Row],[SP]]&lt;2,0,IF(Eingabe[[#This Row],[GES]]&gt;Eingabe[[#This Row],[GEGGES]],1,IF(Eingabe[[#This Row],[GES]]=Eingabe[[#This Row],[GEGGES]],0.5,0)))))</f>
        <v/>
      </c>
      <c r="AM461" s="6" t="str">
        <f>IF(Eingabe[[#This Row],[MP]]="","",MOD(ROW(Eingabe[[#This Row],[Position]])-3,6)+1)</f>
        <v/>
      </c>
      <c r="AN461" s="6" t="e">
        <f>STANDARDIZE(Eingabe[[#This Row],[GES]],Eingabe[[#This Row],[Schnitt]],VLOOKUP(Eingabe[[#This Row],[Name]],AuswertungG[],21,FALSE))</f>
        <v>#VALUE!</v>
      </c>
      <c r="AO461" s="6">
        <f>VLOOKUP(Eingabe[[#This Row],[ID]],Chronologie[[ID]:[KW]],12,FALSE)</f>
        <v>33</v>
      </c>
      <c r="AP461" s="95" t="str">
        <f>IF(Eingabe[[#This Row],[Wo]]="H",Eingabe[[#This Row],[Gegner]]&amp;" ["&amp;Eingabe[[#This Row],[Wo]]&amp;"]",Eingabe[[#This Row],[Ort]])</f>
        <v>Hirschfelder SV [H]</v>
      </c>
      <c r="AQ461" s="6" t="str">
        <f>IFERROR(IF(Eingabe[[#This Row],[Wo]]="H",IF(MOD(Eingabe[[#This Row],[Position]],2)=1,Eingabe[[#This Row],[S1]],Eingabe[[#This Row],[S4]]),""),"")</f>
        <v/>
      </c>
      <c r="AR461" s="6" t="str">
        <f>IFERROR(IF(Eingabe[[#This Row],[Wo]]="H",IF(Eingabe[[#This Row],[S1]]&gt;0,IF(MOD(Eingabe[[#This Row],[Position]],2)=1,Eingabe[[#This Row],[S2]],Eingabe[[#This Row],[S3]]),""),""),"")</f>
        <v/>
      </c>
      <c r="AS461" s="6" t="str">
        <f>IFERROR(IF(Eingabe[[#This Row],[Wo]]="H",IF(Eingabe[[#This Row],[S1]]&gt;0,IF(MOD(ROW(Eingabe[[#This Row],[Heimbahn 3]]),2)=1,Eingabe[[#This Row],[S4]],Eingabe[[#This Row],[S1]]),""),""),"")</f>
        <v/>
      </c>
      <c r="AT461" s="6" t="str">
        <f>IFERROR(IF(Eingabe[[#This Row],[Wo]]="H",IF(Eingabe[[#This Row],[S1]]&gt;0,IF(MOD(ROW(Eingabe[[#This Row],[Heimbahn 4]]),2)=1,Eingabe[[#This Row],[S3]],Eingabe[[#This Row],[S2]]),""),""),"")</f>
        <v/>
      </c>
      <c r="AU461" s="22" t="str">
        <f>IF(Eingabe[[#This Row],[GES]]="","",IF(Eingabe[[#This Row],[Modus]]="L",_xlfn.RANK.EQ(Eingabe[[#This Row],[GES]],AF459:AF464),IF(Eingabe[[#This Row],[Modus]]="P",_xlfn.RANK.EQ(Eingabe[[#This Row],[GES]],AF459:AF464),"")))</f>
        <v/>
      </c>
      <c r="AV461" s="6" t="e">
        <f>VLOOKUP(Eingabe[[#This Row],[Name]],AuswertungG[],8,FALSE)</f>
        <v>#N/A</v>
      </c>
      <c r="AZ461" s="6" t="str">
        <f>IFERROR(ABS(Eingabe[[#This Row],[GES]]-Eingabe[[#This Row],[GEGGES]]),"")</f>
        <v/>
      </c>
    </row>
    <row r="462" spans="1:52" x14ac:dyDescent="0.3">
      <c r="A462" s="441"/>
      <c r="B462" s="21">
        <f t="shared" si="48"/>
        <v>77</v>
      </c>
      <c r="C462" s="6" t="str">
        <f>VLOOKUP($B462,Chronologie[],7,TRUE)</f>
        <v>Hirschfelder SV</v>
      </c>
      <c r="D462" s="6" t="str">
        <f>VLOOKUP($B462,Chronologie[],8,TRUE)</f>
        <v>Hirschfeld</v>
      </c>
      <c r="E462" s="240" t="str">
        <f>VLOOKUP($B462,Chronologie[],9,TRUE)</f>
        <v>H</v>
      </c>
      <c r="F462" s="6" t="str">
        <f>VLOOKUP($B462,Chronologie[],COLUMN(F463)-2,TRUE)</f>
        <v>U14</v>
      </c>
      <c r="G462" s="6" t="str">
        <f>VLOOKUP($B462,Chronologie[],COLUMN(G463)-2,TRUE)</f>
        <v>BEL</v>
      </c>
      <c r="H462" s="6">
        <f>VLOOKUP($B462,Chronologie[],COLUMN(H463)-2,TRUE)</f>
        <v>4</v>
      </c>
      <c r="I462" s="10" t="str">
        <f>VLOOKUP($B462,Chronologie[],2,TRUE)</f>
        <v>U14-BEL-4</v>
      </c>
      <c r="J462" s="243">
        <f>VLOOKUP($B462,Chronologie[],3,TRUE)</f>
        <v>46123</v>
      </c>
      <c r="K462" s="238"/>
      <c r="L462" s="237"/>
      <c r="M462" s="237"/>
      <c r="N462" s="237"/>
      <c r="O462" s="237"/>
      <c r="P462" s="237"/>
      <c r="Q462" s="237"/>
      <c r="R462" s="237"/>
      <c r="S462" s="237"/>
      <c r="T462" s="237"/>
      <c r="U462" s="237"/>
      <c r="V462" s="237"/>
      <c r="W462" s="237"/>
      <c r="X462" s="38"/>
      <c r="Y462" s="38"/>
      <c r="Z462" s="38"/>
      <c r="AA462" s="38"/>
      <c r="AB462" s="91"/>
      <c r="AC462" s="94" t="str">
        <f>IF(Eingabe[[#This Row],[V1]]="",IF(Eingabe[[#This Row],[Volle alternativ]]="","",Eingabe[[#This Row],[Volle alternativ]]),SUM(Eingabe[[#This Row],[V1]:[V4]]))</f>
        <v/>
      </c>
      <c r="AD462" s="6" t="str">
        <f>IF(Eingabe[[#This Row],[R1]]="",IF(Eingabe[[#This Row],[Räumer alternativ]]="","",Eingabe[[#This Row],[Räumer alternativ]]),SUM(Eingabe[[#This Row],[R1]:[R4]]))</f>
        <v/>
      </c>
      <c r="AE462" s="6" t="str">
        <f>IF(Eingabe[[#This Row],[F1]]="",IF(Eingabe[[#This Row],[Fehler alternativ]]="","",Eingabe[[#This Row],[Fehler alternativ]]),SUM(Eingabe[[#This Row],[F1]:[F4]]))</f>
        <v/>
      </c>
      <c r="AF462" s="6" t="str">
        <f>IF(Eingabe[[#This Row],[Volle]]="","",IF(Eingabe[[#This Row],[S1]]="",Eingabe[[#This Row],[Volle]]+Eingabe[[#This Row],[Räumer]],IF(Eingabe[[#This Row],[Volle]]+Eingabe[[#This Row],[Räumer]]=Eingabe[[#This Row],[S1]]+Eingabe[[#This Row],[S2]]+Eingabe[[#This Row],[S3]]+Eingabe[[#This Row],[S4]],Eingabe[[#This Row],[Volle]]+Eingabe[[#This Row],[Räumer]],"FEHLER")))</f>
        <v/>
      </c>
      <c r="AG462" s="6" t="str">
        <f>IF(Eingabe[[#This Row],[V1]]="","",Eingabe[[#This Row],[V1]]+Eingabe[[#This Row],[R1]])</f>
        <v/>
      </c>
      <c r="AH462" s="6" t="str">
        <f>IF(Eingabe[[#This Row],[V2]]="","",Eingabe[[#This Row],[V2]]+Eingabe[[#This Row],[R2]])</f>
        <v/>
      </c>
      <c r="AI462" s="6" t="str">
        <f>IF(Eingabe[[#This Row],[V3]]="","",Eingabe[[#This Row],[V3]]+Eingabe[[#This Row],[R3]])</f>
        <v/>
      </c>
      <c r="AJ462" s="6" t="str">
        <f>IF(Eingabe[[#This Row],[V4]]="","",Eingabe[[#This Row],[V4]]+Eingabe[[#This Row],[R4]])</f>
        <v/>
      </c>
      <c r="AK462" s="6" t="str">
        <f>IF(Eingabe[[#This Row],[S1P]]="","",Eingabe[[#This Row],[S1P]]+Eingabe[[#This Row],[S2P]]+Eingabe[[#This Row],[S3P]]+Eingabe[[#This Row],[S4P]])</f>
        <v/>
      </c>
      <c r="AL462" s="6" t="str">
        <f>IF(Eingabe[[#This Row],[S1P]]="","",IF(Eingabe[[#This Row],[SP]]&gt;2,1,IF(Eingabe[[#This Row],[SP]]&lt;2,0,IF(Eingabe[[#This Row],[GES]]&gt;Eingabe[[#This Row],[GEGGES]],1,IF(Eingabe[[#This Row],[GES]]=Eingabe[[#This Row],[GEGGES]],0.5,0)))))</f>
        <v/>
      </c>
      <c r="AM462" s="6" t="str">
        <f>IF(Eingabe[[#This Row],[MP]]="","",MOD(ROW(Eingabe[[#This Row],[Position]])-3,6)+1)</f>
        <v/>
      </c>
      <c r="AN462" s="6" t="e">
        <f>STANDARDIZE(Eingabe[[#This Row],[GES]],Eingabe[[#This Row],[Schnitt]],VLOOKUP(Eingabe[[#This Row],[Name]],AuswertungG[],21,FALSE))</f>
        <v>#VALUE!</v>
      </c>
      <c r="AO462" s="6">
        <f>VLOOKUP(Eingabe[[#This Row],[ID]],Chronologie[[ID]:[KW]],12,FALSE)</f>
        <v>33</v>
      </c>
      <c r="AP462" s="95" t="str">
        <f>IF(Eingabe[[#This Row],[Wo]]="H",Eingabe[[#This Row],[Gegner]]&amp;" ["&amp;Eingabe[[#This Row],[Wo]]&amp;"]",Eingabe[[#This Row],[Ort]])</f>
        <v>Hirschfelder SV [H]</v>
      </c>
      <c r="AQ462" s="6" t="str">
        <f>IFERROR(IF(Eingabe[[#This Row],[Wo]]="H",IF(MOD(Eingabe[[#This Row],[Position]],2)=1,Eingabe[[#This Row],[S1]],Eingabe[[#This Row],[S4]]),""),"")</f>
        <v/>
      </c>
      <c r="AR462" s="6" t="str">
        <f>IFERROR(IF(Eingabe[[#This Row],[Wo]]="H",IF(Eingabe[[#This Row],[S1]]&gt;0,IF(MOD(Eingabe[[#This Row],[Position]],2)=1,Eingabe[[#This Row],[S2]],Eingabe[[#This Row],[S3]]),""),""),"")</f>
        <v/>
      </c>
      <c r="AS462" s="6" t="str">
        <f>IFERROR(IF(Eingabe[[#This Row],[Wo]]="H",IF(Eingabe[[#This Row],[S1]]&gt;0,IF(MOD(ROW(Eingabe[[#This Row],[Heimbahn 3]]),2)=1,Eingabe[[#This Row],[S4]],Eingabe[[#This Row],[S1]]),""),""),"")</f>
        <v/>
      </c>
      <c r="AT462" s="6" t="str">
        <f>IFERROR(IF(Eingabe[[#This Row],[Wo]]="H",IF(Eingabe[[#This Row],[S1]]&gt;0,IF(MOD(ROW(Eingabe[[#This Row],[Heimbahn 4]]),2)=1,Eingabe[[#This Row],[S3]],Eingabe[[#This Row],[S2]]),""),""),"")</f>
        <v/>
      </c>
      <c r="AU462" s="22" t="str">
        <f>IF(Eingabe[[#This Row],[GES]]="","",IF(Eingabe[[#This Row],[Modus]]="L",_xlfn.RANK.EQ(Eingabe[[#This Row],[GES]],AF459:AF464),IF(Eingabe[[#This Row],[Modus]]="P",_xlfn.RANK.EQ(Eingabe[[#This Row],[GES]],AF459:AF464),"")))</f>
        <v/>
      </c>
      <c r="AV462" s="6" t="e">
        <f>VLOOKUP(Eingabe[[#This Row],[Name]],AuswertungG[],8,FALSE)</f>
        <v>#N/A</v>
      </c>
      <c r="AZ462" s="6" t="str">
        <f>IFERROR(ABS(Eingabe[[#This Row],[GES]]-Eingabe[[#This Row],[GEGGES]]),"")</f>
        <v/>
      </c>
    </row>
    <row r="463" spans="1:52" x14ac:dyDescent="0.3">
      <c r="A463" s="441"/>
      <c r="B463" s="21">
        <f t="shared" si="48"/>
        <v>77</v>
      </c>
      <c r="C463" s="6" t="str">
        <f>VLOOKUP($B463,Chronologie[],7,TRUE)</f>
        <v>Hirschfelder SV</v>
      </c>
      <c r="D463" s="6" t="str">
        <f>VLOOKUP($B463,Chronologie[],8,TRUE)</f>
        <v>Hirschfeld</v>
      </c>
      <c r="E463" s="240" t="str">
        <f>VLOOKUP($B463,Chronologie[],9,TRUE)</f>
        <v>H</v>
      </c>
      <c r="F463" s="6" t="str">
        <f>VLOOKUP($B463,Chronologie[],COLUMN(F464)-2,TRUE)</f>
        <v>U14</v>
      </c>
      <c r="G463" s="6" t="str">
        <f>VLOOKUP($B463,Chronologie[],COLUMN(G464)-2,TRUE)</f>
        <v>BEL</v>
      </c>
      <c r="H463" s="6">
        <f>VLOOKUP($B463,Chronologie[],COLUMN(H464)-2,TRUE)</f>
        <v>4</v>
      </c>
      <c r="I463" s="10" t="str">
        <f>VLOOKUP($B463,Chronologie[],2,TRUE)</f>
        <v>U14-BEL-4</v>
      </c>
      <c r="J463" s="243">
        <f>VLOOKUP($B463,Chronologie[],3,TRUE)</f>
        <v>46123</v>
      </c>
      <c r="K463" s="237"/>
      <c r="L463" s="237"/>
      <c r="M463" s="237"/>
      <c r="N463" s="237"/>
      <c r="O463" s="237"/>
      <c r="P463" s="237"/>
      <c r="Q463" s="237"/>
      <c r="R463" s="237"/>
      <c r="S463" s="237"/>
      <c r="T463" s="237"/>
      <c r="U463" s="237"/>
      <c r="V463" s="237"/>
      <c r="W463" s="237"/>
      <c r="X463" s="38"/>
      <c r="Y463" s="38"/>
      <c r="Z463" s="38"/>
      <c r="AA463" s="38"/>
      <c r="AB463" s="91"/>
      <c r="AC463" s="94" t="str">
        <f>IF(Eingabe[[#This Row],[V1]]="",IF(Eingabe[[#This Row],[Volle alternativ]]="","",Eingabe[[#This Row],[Volle alternativ]]),SUM(Eingabe[[#This Row],[V1]:[V4]]))</f>
        <v/>
      </c>
      <c r="AD463" s="6" t="str">
        <f>IF(Eingabe[[#This Row],[R1]]="",IF(Eingabe[[#This Row],[Räumer alternativ]]="","",Eingabe[[#This Row],[Räumer alternativ]]),SUM(Eingabe[[#This Row],[R1]:[R4]]))</f>
        <v/>
      </c>
      <c r="AE463" s="6" t="str">
        <f>IF(Eingabe[[#This Row],[F1]]="",IF(Eingabe[[#This Row],[Fehler alternativ]]="","",Eingabe[[#This Row],[Fehler alternativ]]),SUM(Eingabe[[#This Row],[F1]:[F4]]))</f>
        <v/>
      </c>
      <c r="AF463" s="6" t="str">
        <f>IF(Eingabe[[#This Row],[Volle]]="","",IF(Eingabe[[#This Row],[S1]]="",Eingabe[[#This Row],[Volle]]+Eingabe[[#This Row],[Räumer]],IF(Eingabe[[#This Row],[Volle]]+Eingabe[[#This Row],[Räumer]]=Eingabe[[#This Row],[S1]]+Eingabe[[#This Row],[S2]]+Eingabe[[#This Row],[S3]]+Eingabe[[#This Row],[S4]],Eingabe[[#This Row],[Volle]]+Eingabe[[#This Row],[Räumer]],"FEHLER")))</f>
        <v/>
      </c>
      <c r="AG463" s="6" t="str">
        <f>IF(Eingabe[[#This Row],[V1]]="","",Eingabe[[#This Row],[V1]]+Eingabe[[#This Row],[R1]])</f>
        <v/>
      </c>
      <c r="AH463" s="6" t="str">
        <f>IF(Eingabe[[#This Row],[V2]]="","",Eingabe[[#This Row],[V2]]+Eingabe[[#This Row],[R2]])</f>
        <v/>
      </c>
      <c r="AI463" s="6" t="str">
        <f>IF(Eingabe[[#This Row],[V3]]="","",Eingabe[[#This Row],[V3]]+Eingabe[[#This Row],[R3]])</f>
        <v/>
      </c>
      <c r="AJ463" s="6" t="str">
        <f>IF(Eingabe[[#This Row],[V4]]="","",Eingabe[[#This Row],[V4]]+Eingabe[[#This Row],[R4]])</f>
        <v/>
      </c>
      <c r="AK463" s="6" t="str">
        <f>IF(Eingabe[[#This Row],[S1P]]="","",Eingabe[[#This Row],[S1P]]+Eingabe[[#This Row],[S2P]]+Eingabe[[#This Row],[S3P]]+Eingabe[[#This Row],[S4P]])</f>
        <v/>
      </c>
      <c r="AL463" s="6" t="str">
        <f>IF(Eingabe[[#This Row],[S1P]]="","",IF(Eingabe[[#This Row],[SP]]&gt;2,1,IF(Eingabe[[#This Row],[SP]]&lt;2,0,IF(Eingabe[[#This Row],[GES]]&gt;Eingabe[[#This Row],[GEGGES]],1,IF(Eingabe[[#This Row],[GES]]=Eingabe[[#This Row],[GEGGES]],0.5,0)))))</f>
        <v/>
      </c>
      <c r="AM463" s="6" t="str">
        <f>IF(Eingabe[[#This Row],[MP]]="","",MOD(ROW(Eingabe[[#This Row],[Position]])-3,6)+1)</f>
        <v/>
      </c>
      <c r="AN463" s="6" t="e">
        <f>STANDARDIZE(Eingabe[[#This Row],[GES]],Eingabe[[#This Row],[Schnitt]],VLOOKUP(Eingabe[[#This Row],[Name]],AuswertungG[],21,FALSE))</f>
        <v>#VALUE!</v>
      </c>
      <c r="AO463" s="6">
        <f>VLOOKUP(Eingabe[[#This Row],[ID]],Chronologie[[ID]:[KW]],12,FALSE)</f>
        <v>33</v>
      </c>
      <c r="AP463" s="95" t="str">
        <f>IF(Eingabe[[#This Row],[Wo]]="H",Eingabe[[#This Row],[Gegner]]&amp;" ["&amp;Eingabe[[#This Row],[Wo]]&amp;"]",Eingabe[[#This Row],[Ort]])</f>
        <v>Hirschfelder SV [H]</v>
      </c>
      <c r="AQ463" s="6" t="str">
        <f>IFERROR(IF(Eingabe[[#This Row],[Wo]]="H",IF(MOD(Eingabe[[#This Row],[Position]],2)=1,Eingabe[[#This Row],[S1]],Eingabe[[#This Row],[S4]]),""),"")</f>
        <v/>
      </c>
      <c r="AR463" s="6" t="str">
        <f>IFERROR(IF(Eingabe[[#This Row],[Wo]]="H",IF(Eingabe[[#This Row],[S1]]&gt;0,IF(MOD(Eingabe[[#This Row],[Position]],2)=1,Eingabe[[#This Row],[S2]],Eingabe[[#This Row],[S3]]),""),""),"")</f>
        <v/>
      </c>
      <c r="AS463" s="6" t="str">
        <f>IFERROR(IF(Eingabe[[#This Row],[Wo]]="H",IF(Eingabe[[#This Row],[S1]]&gt;0,IF(MOD(ROW(Eingabe[[#This Row],[Heimbahn 3]]),2)=1,Eingabe[[#This Row],[S4]],Eingabe[[#This Row],[S1]]),""),""),"")</f>
        <v/>
      </c>
      <c r="AT463" s="6" t="str">
        <f>IFERROR(IF(Eingabe[[#This Row],[Wo]]="H",IF(Eingabe[[#This Row],[S1]]&gt;0,IF(MOD(ROW(Eingabe[[#This Row],[Heimbahn 4]]),2)=1,Eingabe[[#This Row],[S3]],Eingabe[[#This Row],[S2]]),""),""),"")</f>
        <v/>
      </c>
      <c r="AU463" s="22" t="str">
        <f>IF(Eingabe[[#This Row],[GES]]="","",IF(Eingabe[[#This Row],[Modus]]="L",_xlfn.RANK.EQ(Eingabe[[#This Row],[GES]],AF459:AF464),IF(Eingabe[[#This Row],[Modus]]="P",_xlfn.RANK.EQ(Eingabe[[#This Row],[GES]],AF459:AF464),"")))</f>
        <v/>
      </c>
      <c r="AV463" s="6" t="e">
        <f>VLOOKUP(Eingabe[[#This Row],[Name]],AuswertungG[],8,FALSE)</f>
        <v>#N/A</v>
      </c>
      <c r="AZ463" s="6" t="str">
        <f>IFERROR(ABS(Eingabe[[#This Row],[GES]]-Eingabe[[#This Row],[GEGGES]]),"")</f>
        <v/>
      </c>
    </row>
    <row r="464" spans="1:52" ht="16.2" thickBot="1" x14ac:dyDescent="0.35">
      <c r="A464" s="442"/>
      <c r="B464" s="56">
        <f t="shared" si="48"/>
        <v>77</v>
      </c>
      <c r="C464" s="23" t="str">
        <f>VLOOKUP($B464,Chronologie[],7,TRUE)</f>
        <v>Hirschfelder SV</v>
      </c>
      <c r="D464" s="23" t="str">
        <f>VLOOKUP($B464,Chronologie[],8,TRUE)</f>
        <v>Hirschfeld</v>
      </c>
      <c r="E464" s="39" t="str">
        <f>VLOOKUP($B464,Chronologie[],9,TRUE)</f>
        <v>H</v>
      </c>
      <c r="F464" s="23" t="str">
        <f>VLOOKUP($B464,Chronologie[],COLUMN(F465)-2,TRUE)</f>
        <v>U14</v>
      </c>
      <c r="G464" s="23" t="str">
        <f>VLOOKUP($B464,Chronologie[],COLUMN(G465)-2,TRUE)</f>
        <v>BEL</v>
      </c>
      <c r="H464" s="23">
        <f>VLOOKUP($B464,Chronologie[],COLUMN(H465)-2,TRUE)</f>
        <v>4</v>
      </c>
      <c r="I464" s="13" t="str">
        <f>VLOOKUP($B464,Chronologie[],2,TRUE)</f>
        <v>U14-BEL-4</v>
      </c>
      <c r="J464" s="244">
        <f>VLOOKUP($B464,Chronologie[],3,TRUE)</f>
        <v>46123</v>
      </c>
      <c r="K464" s="239"/>
      <c r="L464" s="239"/>
      <c r="M464" s="239"/>
      <c r="N464" s="239"/>
      <c r="O464" s="239"/>
      <c r="P464" s="239"/>
      <c r="Q464" s="239"/>
      <c r="R464" s="239"/>
      <c r="S464" s="239"/>
      <c r="T464" s="239"/>
      <c r="U464" s="239"/>
      <c r="V464" s="239"/>
      <c r="W464" s="239"/>
      <c r="X464" s="40"/>
      <c r="Y464" s="40"/>
      <c r="Z464" s="40"/>
      <c r="AA464" s="40"/>
      <c r="AB464" s="92"/>
      <c r="AC464" s="96" t="str">
        <f>IF(Eingabe[[#This Row],[V1]]="",IF(Eingabe[[#This Row],[Volle alternativ]]="","",Eingabe[[#This Row],[Volle alternativ]]),SUM(Eingabe[[#This Row],[V1]:[V4]]))</f>
        <v/>
      </c>
      <c r="AD464" s="23" t="str">
        <f>IF(Eingabe[[#This Row],[R1]]="",IF(Eingabe[[#This Row],[Räumer alternativ]]="","",Eingabe[[#This Row],[Räumer alternativ]]),SUM(Eingabe[[#This Row],[R1]:[R4]]))</f>
        <v/>
      </c>
      <c r="AE464" s="23" t="str">
        <f>IF(Eingabe[[#This Row],[F1]]="",IF(Eingabe[[#This Row],[Fehler alternativ]]="","",Eingabe[[#This Row],[Fehler alternativ]]),SUM(Eingabe[[#This Row],[F1]:[F4]]))</f>
        <v/>
      </c>
      <c r="AF464" s="23" t="str">
        <f>IF(Eingabe[[#This Row],[Volle]]="","",IF(Eingabe[[#This Row],[S1]]="",Eingabe[[#This Row],[Volle]]+Eingabe[[#This Row],[Räumer]],IF(Eingabe[[#This Row],[Volle]]+Eingabe[[#This Row],[Räumer]]=Eingabe[[#This Row],[S1]]+Eingabe[[#This Row],[S2]]+Eingabe[[#This Row],[S3]]+Eingabe[[#This Row],[S4]],Eingabe[[#This Row],[Volle]]+Eingabe[[#This Row],[Räumer]],"FEHLER")))</f>
        <v/>
      </c>
      <c r="AG464" s="23" t="str">
        <f>IF(Eingabe[[#This Row],[V1]]="","",Eingabe[[#This Row],[V1]]+Eingabe[[#This Row],[R1]])</f>
        <v/>
      </c>
      <c r="AH464" s="23" t="str">
        <f>IF(Eingabe[[#This Row],[V2]]="","",Eingabe[[#This Row],[V2]]+Eingabe[[#This Row],[R2]])</f>
        <v/>
      </c>
      <c r="AI464" s="23" t="str">
        <f>IF(Eingabe[[#This Row],[V3]]="","",Eingabe[[#This Row],[V3]]+Eingabe[[#This Row],[R3]])</f>
        <v/>
      </c>
      <c r="AJ464" s="23" t="str">
        <f>IF(Eingabe[[#This Row],[V4]]="","",Eingabe[[#This Row],[V4]]+Eingabe[[#This Row],[R4]])</f>
        <v/>
      </c>
      <c r="AK464" s="23" t="str">
        <f>IF(Eingabe[[#This Row],[S1P]]="","",Eingabe[[#This Row],[S1P]]+Eingabe[[#This Row],[S2P]]+Eingabe[[#This Row],[S3P]]+Eingabe[[#This Row],[S4P]])</f>
        <v/>
      </c>
      <c r="AL464" s="23" t="str">
        <f>IF(Eingabe[[#This Row],[S1P]]="","",IF(Eingabe[[#This Row],[SP]]&gt;2,1,IF(Eingabe[[#This Row],[SP]]&lt;2,0,IF(Eingabe[[#This Row],[GES]]&gt;Eingabe[[#This Row],[GEGGES]],1,IF(Eingabe[[#This Row],[GES]]=Eingabe[[#This Row],[GEGGES]],0.5,0)))))</f>
        <v/>
      </c>
      <c r="AM464" s="23" t="str">
        <f>IF(Eingabe[[#This Row],[MP]]="","",MOD(ROW(Eingabe[[#This Row],[Position]])-3,6)+1)</f>
        <v/>
      </c>
      <c r="AN464" s="23" t="e">
        <f>STANDARDIZE(Eingabe[[#This Row],[GES]],Eingabe[[#This Row],[Schnitt]],VLOOKUP(Eingabe[[#This Row],[Name]],AuswertungG[],21,FALSE))</f>
        <v>#VALUE!</v>
      </c>
      <c r="AO464" s="23">
        <f>VLOOKUP(Eingabe[[#This Row],[ID]],Chronologie[[ID]:[KW]],12,FALSE)</f>
        <v>33</v>
      </c>
      <c r="AP464" s="59" t="str">
        <f>IF(Eingabe[[#This Row],[Wo]]="H",Eingabe[[#This Row],[Gegner]]&amp;" ["&amp;Eingabe[[#This Row],[Wo]]&amp;"]",Eingabe[[#This Row],[Ort]])</f>
        <v>Hirschfelder SV [H]</v>
      </c>
      <c r="AQ464" s="23" t="str">
        <f>IFERROR(IF(Eingabe[[#This Row],[Wo]]="H",IF(MOD(Eingabe[[#This Row],[Position]],2)=1,Eingabe[[#This Row],[S1]],Eingabe[[#This Row],[S4]]),""),"")</f>
        <v/>
      </c>
      <c r="AR464" s="23" t="str">
        <f>IFERROR(IF(Eingabe[[#This Row],[Wo]]="H",IF(Eingabe[[#This Row],[S1]]&gt;0,IF(MOD(Eingabe[[#This Row],[Position]],2)=1,Eingabe[[#This Row],[S2]],Eingabe[[#This Row],[S3]]),""),""),"")</f>
        <v/>
      </c>
      <c r="AS464" s="23" t="str">
        <f>IFERROR(IF(Eingabe[[#This Row],[Wo]]="H",IF(Eingabe[[#This Row],[S1]]&gt;0,IF(MOD(ROW(Eingabe[[#This Row],[Heimbahn 3]]),2)=1,Eingabe[[#This Row],[S4]],Eingabe[[#This Row],[S1]]),""),""),"")</f>
        <v/>
      </c>
      <c r="AT464" s="23" t="str">
        <f>IFERROR(IF(Eingabe[[#This Row],[Wo]]="H",IF(Eingabe[[#This Row],[S1]]&gt;0,IF(MOD(ROW(Eingabe[[#This Row],[Heimbahn 4]]),2)=1,Eingabe[[#This Row],[S3]],Eingabe[[#This Row],[S2]]),""),""),"")</f>
        <v/>
      </c>
      <c r="AU464" s="89" t="str">
        <f>IF(Eingabe[[#This Row],[GES]]="","",IF(Eingabe[[#This Row],[Modus]]="L",_xlfn.RANK.EQ(Eingabe[[#This Row],[GES]],AF459:AF464),IF(Eingabe[[#This Row],[Modus]]="P",_xlfn.RANK.EQ(Eingabe[[#This Row],[GES]],AF459:AF464),"")))</f>
        <v/>
      </c>
      <c r="AV464" s="6" t="e">
        <f>VLOOKUP(Eingabe[[#This Row],[Name]],AuswertungG[],8,FALSE)</f>
        <v>#N/A</v>
      </c>
      <c r="AZ464" s="6" t="str">
        <f>IFERROR(ABS(Eingabe[[#This Row],[GES]]-Eingabe[[#This Row],[GEGGES]]),"")</f>
        <v/>
      </c>
    </row>
    <row r="465" spans="1:52" ht="16.2" hidden="1" thickBot="1" x14ac:dyDescent="0.35">
      <c r="A465" s="440">
        <f t="shared" si="47"/>
        <v>78</v>
      </c>
      <c r="B465" s="55">
        <f t="shared" si="48"/>
        <v>78</v>
      </c>
      <c r="C465" s="35" t="str">
        <f>VLOOKUP($B465,Chronologie[],7,TRUE)</f>
        <v>Hirschfelder SV</v>
      </c>
      <c r="D465" s="35" t="str">
        <f>VLOOKUP($B465,Chronologie[],8,TRUE)</f>
        <v>Hirschfeld</v>
      </c>
      <c r="E465" s="36" t="str">
        <f>VLOOKUP($B465,Chronologie[],9,TRUE)</f>
        <v>H</v>
      </c>
      <c r="F465" s="35" t="str">
        <f>VLOOKUP($B465,Chronologie[],COLUMN(F466)-2,TRUE)</f>
        <v>U19</v>
      </c>
      <c r="G465" s="35" t="str">
        <f>VLOOKUP($B465,Chronologie[],COLUMN(G466)-2,TRUE)</f>
        <v>RLT</v>
      </c>
      <c r="H465" s="35">
        <f>VLOOKUP($B465,Chronologie[],COLUMN(H466)-2,TRUE)</f>
        <v>1</v>
      </c>
      <c r="I465" s="9" t="str">
        <f>VLOOKUP($B465,Chronologie[],2,TRUE)</f>
        <v>U19-RLT-1</v>
      </c>
      <c r="J465" s="242">
        <f>VLOOKUP($B465,Chronologie[],3,TRUE)</f>
        <v>45970</v>
      </c>
      <c r="K465" s="236" t="s">
        <v>477</v>
      </c>
      <c r="L465" s="334"/>
      <c r="M465" s="334"/>
      <c r="N465" s="334"/>
      <c r="O465" s="334"/>
      <c r="P465" s="334"/>
      <c r="Q465" s="334"/>
      <c r="R465" s="334"/>
      <c r="S465" s="334"/>
      <c r="T465" s="334"/>
      <c r="U465" s="334"/>
      <c r="V465" s="334"/>
      <c r="W465" s="334"/>
      <c r="X465" s="37"/>
      <c r="Y465" s="37"/>
      <c r="Z465" s="37"/>
      <c r="AA465" s="37"/>
      <c r="AB465" s="90"/>
      <c r="AC465" s="93">
        <f>IF(Eingabe[[#This Row],[V1]]="",IF(Eingabe[[#This Row],[Volle alternativ]]="","",Eingabe[[#This Row],[Volle alternativ]]),SUM(Eingabe[[#This Row],[V1]:[V4]]))</f>
        <v>355</v>
      </c>
      <c r="AD465" s="35">
        <f>IF(Eingabe[[#This Row],[R1]]="",IF(Eingabe[[#This Row],[Räumer alternativ]]="","",Eingabe[[#This Row],[Räumer alternativ]]),SUM(Eingabe[[#This Row],[R1]:[R4]]))</f>
        <v>137</v>
      </c>
      <c r="AE465" s="35">
        <f>IF(Eingabe[[#This Row],[F1]]="",IF(Eingabe[[#This Row],[Fehler alternativ]]="","",Eingabe[[#This Row],[Fehler alternativ]]),SUM(Eingabe[[#This Row],[F1]:[F4]]))</f>
        <v>15</v>
      </c>
      <c r="AF465" s="35">
        <f>IF(Eingabe[[#This Row],[Volle]]="","",IF(Eingabe[[#This Row],[S1]]="",Eingabe[[#This Row],[Volle]]+Eingabe[[#This Row],[Räumer]],IF(Eingabe[[#This Row],[Volle]]+Eingabe[[#This Row],[Räumer]]=Eingabe[[#This Row],[S1]]+Eingabe[[#This Row],[S2]]+Eingabe[[#This Row],[S3]]+Eingabe[[#This Row],[S4]],Eingabe[[#This Row],[Volle]]+Eingabe[[#This Row],[Räumer]],"FEHLER")))</f>
        <v>492</v>
      </c>
      <c r="AG465" s="35" t="str">
        <f>IF(Eingabe[[#This Row],[V1]]="","",Eingabe[[#This Row],[V1]]+Eingabe[[#This Row],[R1]])</f>
        <v/>
      </c>
      <c r="AH465" s="35" t="str">
        <f>IF(Eingabe[[#This Row],[V2]]="","",Eingabe[[#This Row],[V2]]+Eingabe[[#This Row],[R2]])</f>
        <v/>
      </c>
      <c r="AI465" s="35" t="str">
        <f>IF(Eingabe[[#This Row],[V3]]="","",Eingabe[[#This Row],[V3]]+Eingabe[[#This Row],[R3]])</f>
        <v/>
      </c>
      <c r="AJ465" s="35" t="str">
        <f>IF(Eingabe[[#This Row],[V4]]="","",Eingabe[[#This Row],[V4]]+Eingabe[[#This Row],[R4]])</f>
        <v/>
      </c>
      <c r="AK465" s="35" t="str">
        <f>IF(Eingabe[[#This Row],[S1P]]="","",Eingabe[[#This Row],[S1P]]+Eingabe[[#This Row],[S2P]]+Eingabe[[#This Row],[S3P]]+Eingabe[[#This Row],[S4P]])</f>
        <v/>
      </c>
      <c r="AL465" s="35" t="str">
        <f>IF(Eingabe[[#This Row],[S1P]]="","",IF(Eingabe[[#This Row],[SP]]&gt;2,1,IF(Eingabe[[#This Row],[SP]]&lt;2,0,IF(Eingabe[[#This Row],[GES]]&gt;Eingabe[[#This Row],[GEGGES]],1,IF(Eingabe[[#This Row],[GES]]=Eingabe[[#This Row],[GEGGES]],0.5,0)))))</f>
        <v/>
      </c>
      <c r="AM465" s="35" t="str">
        <f>IF(Eingabe[[#This Row],[MP]]="","",MOD(ROW(Eingabe[[#This Row],[Position]])-3,6)+1)</f>
        <v/>
      </c>
      <c r="AN465" s="35">
        <f>STANDARDIZE(Eingabe[[#This Row],[GES]],Eingabe[[#This Row],[Schnitt]],VLOOKUP(Eingabe[[#This Row],[Name]],AuswertungG[],21,FALSE))</f>
        <v>-1.6</v>
      </c>
      <c r="AO465" s="35">
        <f>VLOOKUP(Eingabe[[#This Row],[ID]],Chronologie[[ID]:[KW]],12,FALSE)</f>
        <v>11</v>
      </c>
      <c r="AP465" s="58" t="str">
        <f>IF(Eingabe[[#This Row],[Wo]]="H",Eingabe[[#This Row],[Gegner]]&amp;" ["&amp;Eingabe[[#This Row],[Wo]]&amp;"]",Eingabe[[#This Row],[Ort]])</f>
        <v>Hirschfelder SV [H]</v>
      </c>
      <c r="AQ465" s="35" t="str">
        <f>IFERROR(IF(Eingabe[[#This Row],[Wo]]="H",IF(MOD(Eingabe[[#This Row],[Position]],2)=1,Eingabe[[#This Row],[S1]],Eingabe[[#This Row],[S4]]),""),"")</f>
        <v/>
      </c>
      <c r="AR465" s="35" t="str">
        <f>IFERROR(IF(Eingabe[[#This Row],[Wo]]="H",IF(Eingabe[[#This Row],[S1]]&gt;0,IF(MOD(Eingabe[[#This Row],[Position]],2)=1,Eingabe[[#This Row],[S2]],Eingabe[[#This Row],[S3]]),""),""),"")</f>
        <v/>
      </c>
      <c r="AS465" s="35" t="str">
        <f>IFERROR(IF(Eingabe[[#This Row],[Wo]]="H",IF(Eingabe[[#This Row],[S1]]&gt;0,IF(MOD(ROW(Eingabe[[#This Row],[Heimbahn 3]]),2)=1,Eingabe[[#This Row],[S4]],Eingabe[[#This Row],[S1]]),""),""),"")</f>
        <v/>
      </c>
      <c r="AT465" s="35" t="str">
        <f>IFERROR(IF(Eingabe[[#This Row],[Wo]]="H",IF(Eingabe[[#This Row],[S1]]&gt;0,IF(MOD(ROW(Eingabe[[#This Row],[Heimbahn 4]]),2)=1,Eingabe[[#This Row],[S3]],Eingabe[[#This Row],[S2]]),""),""),"")</f>
        <v/>
      </c>
      <c r="AU465" s="88" t="str">
        <f>IF(Eingabe[[#This Row],[GES]]="","",IF(Eingabe[[#This Row],[Modus]]="L",_xlfn.RANK.EQ(Eingabe[[#This Row],[GES]],AF465:AF470),IF(Eingabe[[#This Row],[Modus]]="P",_xlfn.RANK.EQ(Eingabe[[#This Row],[GES]],AF465:AF470),"")))</f>
        <v/>
      </c>
      <c r="AV465" s="6">
        <f>VLOOKUP(Eingabe[[#This Row],[Name]],AuswertungG[],8,FALSE)</f>
        <v>532</v>
      </c>
      <c r="AW465" s="6">
        <v>355</v>
      </c>
      <c r="AX465" s="6">
        <v>137</v>
      </c>
      <c r="AY465" s="6">
        <v>15</v>
      </c>
      <c r="AZ465" s="6">
        <f>IFERROR(ABS(Eingabe[[#This Row],[GES]]-Eingabe[[#This Row],[GEGGES]]),"")</f>
        <v>492</v>
      </c>
    </row>
    <row r="466" spans="1:52" ht="16.2" hidden="1" thickBot="1" x14ac:dyDescent="0.35">
      <c r="A466" s="441"/>
      <c r="B466" s="21">
        <f t="shared" si="48"/>
        <v>78</v>
      </c>
      <c r="C466" s="6" t="str">
        <f>VLOOKUP($B466,Chronologie[],7,TRUE)</f>
        <v>Hirschfelder SV</v>
      </c>
      <c r="D466" s="6" t="str">
        <f>VLOOKUP($B466,Chronologie[],8,TRUE)</f>
        <v>Hirschfeld</v>
      </c>
      <c r="E466" s="240" t="str">
        <f>VLOOKUP($B466,Chronologie[],9,TRUE)</f>
        <v>H</v>
      </c>
      <c r="F466" s="6" t="str">
        <f>VLOOKUP($B466,Chronologie[],COLUMN(F467)-2,TRUE)</f>
        <v>U19</v>
      </c>
      <c r="G466" s="6" t="str">
        <f>VLOOKUP($B466,Chronologie[],COLUMN(G467)-2,TRUE)</f>
        <v>RLT</v>
      </c>
      <c r="H466" s="6">
        <f>VLOOKUP($B466,Chronologie[],COLUMN(H467)-2,TRUE)</f>
        <v>1</v>
      </c>
      <c r="I466" s="10" t="str">
        <f>VLOOKUP($B466,Chronologie[],2,TRUE)</f>
        <v>U19-RLT-1</v>
      </c>
      <c r="J466" s="243">
        <f>VLOOKUP($B466,Chronologie[],3,TRUE)</f>
        <v>45970</v>
      </c>
      <c r="K466" s="237"/>
      <c r="L466" s="237"/>
      <c r="M466" s="237"/>
      <c r="N466" s="237"/>
      <c r="O466" s="237"/>
      <c r="P466" s="237"/>
      <c r="Q466" s="237"/>
      <c r="R466" s="237"/>
      <c r="S466" s="237"/>
      <c r="T466" s="237"/>
      <c r="U466" s="237"/>
      <c r="V466" s="237"/>
      <c r="W466" s="237"/>
      <c r="X466" s="38"/>
      <c r="Y466" s="38"/>
      <c r="Z466" s="38"/>
      <c r="AA466" s="38"/>
      <c r="AB466" s="91"/>
      <c r="AC466" s="94" t="str">
        <f>IF(Eingabe[[#This Row],[V1]]="",IF(Eingabe[[#This Row],[Volle alternativ]]="","",Eingabe[[#This Row],[Volle alternativ]]),SUM(Eingabe[[#This Row],[V1]:[V4]]))</f>
        <v/>
      </c>
      <c r="AD466" s="6" t="str">
        <f>IF(Eingabe[[#This Row],[R1]]="",IF(Eingabe[[#This Row],[Räumer alternativ]]="","",Eingabe[[#This Row],[Räumer alternativ]]),SUM(Eingabe[[#This Row],[R1]:[R4]]))</f>
        <v/>
      </c>
      <c r="AE466" s="6" t="str">
        <f>IF(Eingabe[[#This Row],[F1]]="",IF(Eingabe[[#This Row],[Fehler alternativ]]="","",Eingabe[[#This Row],[Fehler alternativ]]),SUM(Eingabe[[#This Row],[F1]:[F4]]))</f>
        <v/>
      </c>
      <c r="AF466" s="6" t="str">
        <f>IF(Eingabe[[#This Row],[Volle]]="","",IF(Eingabe[[#This Row],[S1]]="",Eingabe[[#This Row],[Volle]]+Eingabe[[#This Row],[Räumer]],IF(Eingabe[[#This Row],[Volle]]+Eingabe[[#This Row],[Räumer]]=Eingabe[[#This Row],[S1]]+Eingabe[[#This Row],[S2]]+Eingabe[[#This Row],[S3]]+Eingabe[[#This Row],[S4]],Eingabe[[#This Row],[Volle]]+Eingabe[[#This Row],[Räumer]],"FEHLER")))</f>
        <v/>
      </c>
      <c r="AG466" s="6" t="str">
        <f>IF(Eingabe[[#This Row],[V1]]="","",Eingabe[[#This Row],[V1]]+Eingabe[[#This Row],[R1]])</f>
        <v/>
      </c>
      <c r="AH466" s="6" t="str">
        <f>IF(Eingabe[[#This Row],[V2]]="","",Eingabe[[#This Row],[V2]]+Eingabe[[#This Row],[R2]])</f>
        <v/>
      </c>
      <c r="AI466" s="6" t="str">
        <f>IF(Eingabe[[#This Row],[V3]]="","",Eingabe[[#This Row],[V3]]+Eingabe[[#This Row],[R3]])</f>
        <v/>
      </c>
      <c r="AJ466" s="6" t="str">
        <f>IF(Eingabe[[#This Row],[V4]]="","",Eingabe[[#This Row],[V4]]+Eingabe[[#This Row],[R4]])</f>
        <v/>
      </c>
      <c r="AK466" s="6" t="str">
        <f>IF(Eingabe[[#This Row],[S1P]]="","",Eingabe[[#This Row],[S1P]]+Eingabe[[#This Row],[S2P]]+Eingabe[[#This Row],[S3P]]+Eingabe[[#This Row],[S4P]])</f>
        <v/>
      </c>
      <c r="AL466" s="6" t="str">
        <f>IF(Eingabe[[#This Row],[S1P]]="","",IF(Eingabe[[#This Row],[SP]]&gt;2,1,IF(Eingabe[[#This Row],[SP]]&lt;2,0,IF(Eingabe[[#This Row],[GES]]&gt;Eingabe[[#This Row],[GEGGES]],1,IF(Eingabe[[#This Row],[GES]]=Eingabe[[#This Row],[GEGGES]],0.5,0)))))</f>
        <v/>
      </c>
      <c r="AM466" s="6" t="str">
        <f>IF(Eingabe[[#This Row],[MP]]="","",MOD(ROW(Eingabe[[#This Row],[Position]])-3,6)+1)</f>
        <v/>
      </c>
      <c r="AN466" s="6" t="e">
        <f>STANDARDIZE(Eingabe[[#This Row],[GES]],Eingabe[[#This Row],[Schnitt]],VLOOKUP(Eingabe[[#This Row],[Name]],AuswertungG[],21,FALSE))</f>
        <v>#VALUE!</v>
      </c>
      <c r="AO466" s="6">
        <f>VLOOKUP(Eingabe[[#This Row],[ID]],Chronologie[[ID]:[KW]],12,FALSE)</f>
        <v>11</v>
      </c>
      <c r="AP466" s="95" t="str">
        <f>IF(Eingabe[[#This Row],[Wo]]="H",Eingabe[[#This Row],[Gegner]]&amp;" ["&amp;Eingabe[[#This Row],[Wo]]&amp;"]",Eingabe[[#This Row],[Ort]])</f>
        <v>Hirschfelder SV [H]</v>
      </c>
      <c r="AQ466" s="6" t="str">
        <f>IFERROR(IF(Eingabe[[#This Row],[Wo]]="H",IF(MOD(Eingabe[[#This Row],[Position]],2)=1,Eingabe[[#This Row],[S1]],Eingabe[[#This Row],[S4]]),""),"")</f>
        <v/>
      </c>
      <c r="AR466" s="6" t="str">
        <f>IFERROR(IF(Eingabe[[#This Row],[Wo]]="H",IF(Eingabe[[#This Row],[S1]]&gt;0,IF(MOD(Eingabe[[#This Row],[Position]],2)=1,Eingabe[[#This Row],[S2]],Eingabe[[#This Row],[S3]]),""),""),"")</f>
        <v/>
      </c>
      <c r="AS466" s="6" t="str">
        <f>IFERROR(IF(Eingabe[[#This Row],[Wo]]="H",IF(Eingabe[[#This Row],[S1]]&gt;0,IF(MOD(ROW(Eingabe[[#This Row],[Heimbahn 3]]),2)=1,Eingabe[[#This Row],[S4]],Eingabe[[#This Row],[S1]]),""),""),"")</f>
        <v/>
      </c>
      <c r="AT466" s="6" t="str">
        <f>IFERROR(IF(Eingabe[[#This Row],[Wo]]="H",IF(Eingabe[[#This Row],[S1]]&gt;0,IF(MOD(ROW(Eingabe[[#This Row],[Heimbahn 4]]),2)=1,Eingabe[[#This Row],[S3]],Eingabe[[#This Row],[S2]]),""),""),"")</f>
        <v/>
      </c>
      <c r="AU466" s="22" t="str">
        <f>IF(Eingabe[[#This Row],[GES]]="","",IF(Eingabe[[#This Row],[Modus]]="L",_xlfn.RANK.EQ(Eingabe[[#This Row],[GES]],AF465:AF470),IF(Eingabe[[#This Row],[Modus]]="P",_xlfn.RANK.EQ(Eingabe[[#This Row],[GES]],AF465:AF470),"")))</f>
        <v/>
      </c>
      <c r="AV466" s="6" t="e">
        <f>VLOOKUP(Eingabe[[#This Row],[Name]],AuswertungG[],8,FALSE)</f>
        <v>#N/A</v>
      </c>
      <c r="AZ466" s="6" t="str">
        <f>IFERROR(ABS(Eingabe[[#This Row],[GES]]-Eingabe[[#This Row],[GEGGES]]),"")</f>
        <v/>
      </c>
    </row>
    <row r="467" spans="1:52" ht="16.2" hidden="1" thickBot="1" x14ac:dyDescent="0.35">
      <c r="A467" s="441"/>
      <c r="B467" s="21">
        <f t="shared" si="48"/>
        <v>78</v>
      </c>
      <c r="C467" s="6" t="str">
        <f>VLOOKUP($B467,Chronologie[],7,TRUE)</f>
        <v>Hirschfelder SV</v>
      </c>
      <c r="D467" s="6" t="str">
        <f>VLOOKUP($B467,Chronologie[],8,TRUE)</f>
        <v>Hirschfeld</v>
      </c>
      <c r="E467" s="240" t="str">
        <f>VLOOKUP($B467,Chronologie[],9,TRUE)</f>
        <v>H</v>
      </c>
      <c r="F467" s="6" t="str">
        <f>VLOOKUP($B467,Chronologie[],COLUMN(F468)-2,TRUE)</f>
        <v>U19</v>
      </c>
      <c r="G467" s="6" t="str">
        <f>VLOOKUP($B467,Chronologie[],COLUMN(G468)-2,TRUE)</f>
        <v>RLT</v>
      </c>
      <c r="H467" s="6">
        <f>VLOOKUP($B467,Chronologie[],COLUMN(H468)-2,TRUE)</f>
        <v>1</v>
      </c>
      <c r="I467" s="10" t="str">
        <f>VLOOKUP($B467,Chronologie[],2,TRUE)</f>
        <v>U19-RLT-1</v>
      </c>
      <c r="J467" s="243">
        <f>VLOOKUP($B467,Chronologie[],3,TRUE)</f>
        <v>45970</v>
      </c>
      <c r="K467" s="237"/>
      <c r="L467" s="237"/>
      <c r="M467" s="237"/>
      <c r="N467" s="237"/>
      <c r="O467" s="237"/>
      <c r="P467" s="237"/>
      <c r="Q467" s="237"/>
      <c r="R467" s="237"/>
      <c r="S467" s="237"/>
      <c r="T467" s="237"/>
      <c r="U467" s="237"/>
      <c r="V467" s="237"/>
      <c r="W467" s="237"/>
      <c r="X467" s="38"/>
      <c r="Y467" s="38"/>
      <c r="Z467" s="38"/>
      <c r="AA467" s="38"/>
      <c r="AB467" s="91"/>
      <c r="AC467" s="94" t="str">
        <f>IF(Eingabe[[#This Row],[V1]]="",IF(Eingabe[[#This Row],[Volle alternativ]]="","",Eingabe[[#This Row],[Volle alternativ]]),SUM(Eingabe[[#This Row],[V1]:[V4]]))</f>
        <v/>
      </c>
      <c r="AD467" s="6" t="str">
        <f>IF(Eingabe[[#This Row],[R1]]="",IF(Eingabe[[#This Row],[Räumer alternativ]]="","",Eingabe[[#This Row],[Räumer alternativ]]),SUM(Eingabe[[#This Row],[R1]:[R4]]))</f>
        <v/>
      </c>
      <c r="AE467" s="6" t="str">
        <f>IF(Eingabe[[#This Row],[F1]]="",IF(Eingabe[[#This Row],[Fehler alternativ]]="","",Eingabe[[#This Row],[Fehler alternativ]]),SUM(Eingabe[[#This Row],[F1]:[F4]]))</f>
        <v/>
      </c>
      <c r="AF467" s="6" t="str">
        <f>IF(Eingabe[[#This Row],[Volle]]="","",IF(Eingabe[[#This Row],[S1]]="",Eingabe[[#This Row],[Volle]]+Eingabe[[#This Row],[Räumer]],IF(Eingabe[[#This Row],[Volle]]+Eingabe[[#This Row],[Räumer]]=Eingabe[[#This Row],[S1]]+Eingabe[[#This Row],[S2]]+Eingabe[[#This Row],[S3]]+Eingabe[[#This Row],[S4]],Eingabe[[#This Row],[Volle]]+Eingabe[[#This Row],[Räumer]],"FEHLER")))</f>
        <v/>
      </c>
      <c r="AG467" s="6" t="str">
        <f>IF(Eingabe[[#This Row],[V1]]="","",Eingabe[[#This Row],[V1]]+Eingabe[[#This Row],[R1]])</f>
        <v/>
      </c>
      <c r="AH467" s="6" t="str">
        <f>IF(Eingabe[[#This Row],[V2]]="","",Eingabe[[#This Row],[V2]]+Eingabe[[#This Row],[R2]])</f>
        <v/>
      </c>
      <c r="AI467" s="6" t="str">
        <f>IF(Eingabe[[#This Row],[V3]]="","",Eingabe[[#This Row],[V3]]+Eingabe[[#This Row],[R3]])</f>
        <v/>
      </c>
      <c r="AJ467" s="6" t="str">
        <f>IF(Eingabe[[#This Row],[V4]]="","",Eingabe[[#This Row],[V4]]+Eingabe[[#This Row],[R4]])</f>
        <v/>
      </c>
      <c r="AK467" s="6" t="str">
        <f>IF(Eingabe[[#This Row],[S1P]]="","",Eingabe[[#This Row],[S1P]]+Eingabe[[#This Row],[S2P]]+Eingabe[[#This Row],[S3P]]+Eingabe[[#This Row],[S4P]])</f>
        <v/>
      </c>
      <c r="AL467" s="6" t="str">
        <f>IF(Eingabe[[#This Row],[S1P]]="","",IF(Eingabe[[#This Row],[SP]]&gt;2,1,IF(Eingabe[[#This Row],[SP]]&lt;2,0,IF(Eingabe[[#This Row],[GES]]&gt;Eingabe[[#This Row],[GEGGES]],1,IF(Eingabe[[#This Row],[GES]]=Eingabe[[#This Row],[GEGGES]],0.5,0)))))</f>
        <v/>
      </c>
      <c r="AM467" s="6" t="str">
        <f>IF(Eingabe[[#This Row],[MP]]="","",MOD(ROW(Eingabe[[#This Row],[Position]])-3,6)+1)</f>
        <v/>
      </c>
      <c r="AN467" s="6" t="e">
        <f>STANDARDIZE(Eingabe[[#This Row],[GES]],Eingabe[[#This Row],[Schnitt]],VLOOKUP(Eingabe[[#This Row],[Name]],AuswertungG[],21,FALSE))</f>
        <v>#VALUE!</v>
      </c>
      <c r="AO467" s="6">
        <f>VLOOKUP(Eingabe[[#This Row],[ID]],Chronologie[[ID]:[KW]],12,FALSE)</f>
        <v>11</v>
      </c>
      <c r="AP467" s="95" t="str">
        <f>IF(Eingabe[[#This Row],[Wo]]="H",Eingabe[[#This Row],[Gegner]]&amp;" ["&amp;Eingabe[[#This Row],[Wo]]&amp;"]",Eingabe[[#This Row],[Ort]])</f>
        <v>Hirschfelder SV [H]</v>
      </c>
      <c r="AQ467" s="6" t="str">
        <f>IFERROR(IF(Eingabe[[#This Row],[Wo]]="H",IF(MOD(Eingabe[[#This Row],[Position]],2)=1,Eingabe[[#This Row],[S1]],Eingabe[[#This Row],[S4]]),""),"")</f>
        <v/>
      </c>
      <c r="AR467" s="6" t="str">
        <f>IFERROR(IF(Eingabe[[#This Row],[Wo]]="H",IF(Eingabe[[#This Row],[S1]]&gt;0,IF(MOD(Eingabe[[#This Row],[Position]],2)=1,Eingabe[[#This Row],[S2]],Eingabe[[#This Row],[S3]]),""),""),"")</f>
        <v/>
      </c>
      <c r="AS467" s="6" t="str">
        <f>IFERROR(IF(Eingabe[[#This Row],[Wo]]="H",IF(Eingabe[[#This Row],[S1]]&gt;0,IF(MOD(ROW(Eingabe[[#This Row],[Heimbahn 3]]),2)=1,Eingabe[[#This Row],[S4]],Eingabe[[#This Row],[S1]]),""),""),"")</f>
        <v/>
      </c>
      <c r="AT467" s="6" t="str">
        <f>IFERROR(IF(Eingabe[[#This Row],[Wo]]="H",IF(Eingabe[[#This Row],[S1]]&gt;0,IF(MOD(ROW(Eingabe[[#This Row],[Heimbahn 4]]),2)=1,Eingabe[[#This Row],[S3]],Eingabe[[#This Row],[S2]]),""),""),"")</f>
        <v/>
      </c>
      <c r="AU467" s="22" t="str">
        <f>IF(Eingabe[[#This Row],[GES]]="","",IF(Eingabe[[#This Row],[Modus]]="L",_xlfn.RANK.EQ(Eingabe[[#This Row],[GES]],AF465:AF470),IF(Eingabe[[#This Row],[Modus]]="P",_xlfn.RANK.EQ(Eingabe[[#This Row],[GES]],AF465:AF470),"")))</f>
        <v/>
      </c>
      <c r="AV467" s="6" t="e">
        <f>VLOOKUP(Eingabe[[#This Row],[Name]],AuswertungG[],8,FALSE)</f>
        <v>#N/A</v>
      </c>
      <c r="AZ467" s="6" t="str">
        <f>IFERROR(ABS(Eingabe[[#This Row],[GES]]-Eingabe[[#This Row],[GEGGES]]),"")</f>
        <v/>
      </c>
    </row>
    <row r="468" spans="1:52" ht="16.2" hidden="1" thickBot="1" x14ac:dyDescent="0.35">
      <c r="A468" s="441"/>
      <c r="B468" s="21">
        <f t="shared" si="48"/>
        <v>78</v>
      </c>
      <c r="C468" s="6" t="str">
        <f>VLOOKUP($B468,Chronologie[],7,TRUE)</f>
        <v>Hirschfelder SV</v>
      </c>
      <c r="D468" s="6" t="str">
        <f>VLOOKUP($B468,Chronologie[],8,TRUE)</f>
        <v>Hirschfeld</v>
      </c>
      <c r="E468" s="240" t="str">
        <f>VLOOKUP($B468,Chronologie[],9,TRUE)</f>
        <v>H</v>
      </c>
      <c r="F468" s="6" t="str">
        <f>VLOOKUP($B468,Chronologie[],COLUMN(F469)-2,TRUE)</f>
        <v>U19</v>
      </c>
      <c r="G468" s="6" t="str">
        <f>VLOOKUP($B468,Chronologie[],COLUMN(G469)-2,TRUE)</f>
        <v>RLT</v>
      </c>
      <c r="H468" s="6">
        <f>VLOOKUP($B468,Chronologie[],COLUMN(H469)-2,TRUE)</f>
        <v>1</v>
      </c>
      <c r="I468" s="10" t="str">
        <f>VLOOKUP($B468,Chronologie[],2,TRUE)</f>
        <v>U19-RLT-1</v>
      </c>
      <c r="J468" s="243">
        <f>VLOOKUP($B468,Chronologie[],3,TRUE)</f>
        <v>45970</v>
      </c>
      <c r="K468" s="238"/>
      <c r="L468" s="237"/>
      <c r="M468" s="237"/>
      <c r="N468" s="237"/>
      <c r="O468" s="237"/>
      <c r="P468" s="237"/>
      <c r="Q468" s="237"/>
      <c r="R468" s="237"/>
      <c r="S468" s="237"/>
      <c r="T468" s="237"/>
      <c r="U468" s="237"/>
      <c r="V468" s="237"/>
      <c r="W468" s="237"/>
      <c r="X468" s="38"/>
      <c r="Y468" s="38"/>
      <c r="Z468" s="38"/>
      <c r="AA468" s="38"/>
      <c r="AB468" s="91"/>
      <c r="AC468" s="94" t="str">
        <f>IF(Eingabe[[#This Row],[V1]]="",IF(Eingabe[[#This Row],[Volle alternativ]]="","",Eingabe[[#This Row],[Volle alternativ]]),SUM(Eingabe[[#This Row],[V1]:[V4]]))</f>
        <v/>
      </c>
      <c r="AD468" s="6" t="str">
        <f>IF(Eingabe[[#This Row],[R1]]="",IF(Eingabe[[#This Row],[Räumer alternativ]]="","",Eingabe[[#This Row],[Räumer alternativ]]),SUM(Eingabe[[#This Row],[R1]:[R4]]))</f>
        <v/>
      </c>
      <c r="AE468" s="6" t="str">
        <f>IF(Eingabe[[#This Row],[F1]]="",IF(Eingabe[[#This Row],[Fehler alternativ]]="","",Eingabe[[#This Row],[Fehler alternativ]]),SUM(Eingabe[[#This Row],[F1]:[F4]]))</f>
        <v/>
      </c>
      <c r="AF468" s="6" t="str">
        <f>IF(Eingabe[[#This Row],[Volle]]="","",IF(Eingabe[[#This Row],[S1]]="",Eingabe[[#This Row],[Volle]]+Eingabe[[#This Row],[Räumer]],IF(Eingabe[[#This Row],[Volle]]+Eingabe[[#This Row],[Räumer]]=Eingabe[[#This Row],[S1]]+Eingabe[[#This Row],[S2]]+Eingabe[[#This Row],[S3]]+Eingabe[[#This Row],[S4]],Eingabe[[#This Row],[Volle]]+Eingabe[[#This Row],[Räumer]],"FEHLER")))</f>
        <v/>
      </c>
      <c r="AG468" s="6" t="str">
        <f>IF(Eingabe[[#This Row],[V1]]="","",Eingabe[[#This Row],[V1]]+Eingabe[[#This Row],[R1]])</f>
        <v/>
      </c>
      <c r="AH468" s="6" t="str">
        <f>IF(Eingabe[[#This Row],[V2]]="","",Eingabe[[#This Row],[V2]]+Eingabe[[#This Row],[R2]])</f>
        <v/>
      </c>
      <c r="AI468" s="6" t="str">
        <f>IF(Eingabe[[#This Row],[V3]]="","",Eingabe[[#This Row],[V3]]+Eingabe[[#This Row],[R3]])</f>
        <v/>
      </c>
      <c r="AJ468" s="6" t="str">
        <f>IF(Eingabe[[#This Row],[V4]]="","",Eingabe[[#This Row],[V4]]+Eingabe[[#This Row],[R4]])</f>
        <v/>
      </c>
      <c r="AK468" s="6" t="str">
        <f>IF(Eingabe[[#This Row],[S1P]]="","",Eingabe[[#This Row],[S1P]]+Eingabe[[#This Row],[S2P]]+Eingabe[[#This Row],[S3P]]+Eingabe[[#This Row],[S4P]])</f>
        <v/>
      </c>
      <c r="AL468" s="6" t="str">
        <f>IF(Eingabe[[#This Row],[S1P]]="","",IF(Eingabe[[#This Row],[SP]]&gt;2,1,IF(Eingabe[[#This Row],[SP]]&lt;2,0,IF(Eingabe[[#This Row],[GES]]&gt;Eingabe[[#This Row],[GEGGES]],1,IF(Eingabe[[#This Row],[GES]]=Eingabe[[#This Row],[GEGGES]],0.5,0)))))</f>
        <v/>
      </c>
      <c r="AM468" s="6" t="str">
        <f>IF(Eingabe[[#This Row],[MP]]="","",MOD(ROW(Eingabe[[#This Row],[Position]])-3,6)+1)</f>
        <v/>
      </c>
      <c r="AN468" s="6" t="e">
        <f>STANDARDIZE(Eingabe[[#This Row],[GES]],Eingabe[[#This Row],[Schnitt]],VLOOKUP(Eingabe[[#This Row],[Name]],AuswertungG[],21,FALSE))</f>
        <v>#VALUE!</v>
      </c>
      <c r="AO468" s="6">
        <f>VLOOKUP(Eingabe[[#This Row],[ID]],Chronologie[[ID]:[KW]],12,FALSE)</f>
        <v>11</v>
      </c>
      <c r="AP468" s="95" t="str">
        <f>IF(Eingabe[[#This Row],[Wo]]="H",Eingabe[[#This Row],[Gegner]]&amp;" ["&amp;Eingabe[[#This Row],[Wo]]&amp;"]",Eingabe[[#This Row],[Ort]])</f>
        <v>Hirschfelder SV [H]</v>
      </c>
      <c r="AQ468" s="6" t="str">
        <f>IFERROR(IF(Eingabe[[#This Row],[Wo]]="H",IF(MOD(Eingabe[[#This Row],[Position]],2)=1,Eingabe[[#This Row],[S1]],Eingabe[[#This Row],[S4]]),""),"")</f>
        <v/>
      </c>
      <c r="AR468" s="6" t="str">
        <f>IFERROR(IF(Eingabe[[#This Row],[Wo]]="H",IF(Eingabe[[#This Row],[S1]]&gt;0,IF(MOD(Eingabe[[#This Row],[Position]],2)=1,Eingabe[[#This Row],[S2]],Eingabe[[#This Row],[S3]]),""),""),"")</f>
        <v/>
      </c>
      <c r="AS468" s="6" t="str">
        <f>IFERROR(IF(Eingabe[[#This Row],[Wo]]="H",IF(Eingabe[[#This Row],[S1]]&gt;0,IF(MOD(ROW(Eingabe[[#This Row],[Heimbahn 3]]),2)=1,Eingabe[[#This Row],[S4]],Eingabe[[#This Row],[S1]]),""),""),"")</f>
        <v/>
      </c>
      <c r="AT468" s="6" t="str">
        <f>IFERROR(IF(Eingabe[[#This Row],[Wo]]="H",IF(Eingabe[[#This Row],[S1]]&gt;0,IF(MOD(ROW(Eingabe[[#This Row],[Heimbahn 4]]),2)=1,Eingabe[[#This Row],[S3]],Eingabe[[#This Row],[S2]]),""),""),"")</f>
        <v/>
      </c>
      <c r="AU468" s="22" t="str">
        <f>IF(Eingabe[[#This Row],[GES]]="","",IF(Eingabe[[#This Row],[Modus]]="L",_xlfn.RANK.EQ(Eingabe[[#This Row],[GES]],AF465:AF470),IF(Eingabe[[#This Row],[Modus]]="P",_xlfn.RANK.EQ(Eingabe[[#This Row],[GES]],AF465:AF470),"")))</f>
        <v/>
      </c>
      <c r="AV468" s="6" t="e">
        <f>VLOOKUP(Eingabe[[#This Row],[Name]],AuswertungG[],8,FALSE)</f>
        <v>#N/A</v>
      </c>
      <c r="AZ468" s="6" t="str">
        <f>IFERROR(ABS(Eingabe[[#This Row],[GES]]-Eingabe[[#This Row],[GEGGES]]),"")</f>
        <v/>
      </c>
    </row>
    <row r="469" spans="1:52" ht="16.2" hidden="1" thickBot="1" x14ac:dyDescent="0.35">
      <c r="A469" s="441"/>
      <c r="B469" s="21">
        <f t="shared" si="48"/>
        <v>78</v>
      </c>
      <c r="C469" s="6" t="str">
        <f>VLOOKUP($B469,Chronologie[],7,TRUE)</f>
        <v>Hirschfelder SV</v>
      </c>
      <c r="D469" s="6" t="str">
        <f>VLOOKUP($B469,Chronologie[],8,TRUE)</f>
        <v>Hirschfeld</v>
      </c>
      <c r="E469" s="240" t="str">
        <f>VLOOKUP($B469,Chronologie[],9,TRUE)</f>
        <v>H</v>
      </c>
      <c r="F469" s="6" t="str">
        <f>VLOOKUP($B469,Chronologie[],COLUMN(F470)-2,TRUE)</f>
        <v>U19</v>
      </c>
      <c r="G469" s="6" t="str">
        <f>VLOOKUP($B469,Chronologie[],COLUMN(G470)-2,TRUE)</f>
        <v>RLT</v>
      </c>
      <c r="H469" s="6">
        <f>VLOOKUP($B469,Chronologie[],COLUMN(H470)-2,TRUE)</f>
        <v>1</v>
      </c>
      <c r="I469" s="10" t="str">
        <f>VLOOKUP($B469,Chronologie[],2,TRUE)</f>
        <v>U19-RLT-1</v>
      </c>
      <c r="J469" s="243">
        <f>VLOOKUP($B469,Chronologie[],3,TRUE)</f>
        <v>45970</v>
      </c>
      <c r="K469" s="237"/>
      <c r="L469" s="237"/>
      <c r="M469" s="237"/>
      <c r="N469" s="237"/>
      <c r="O469" s="237"/>
      <c r="P469" s="237"/>
      <c r="Q469" s="237"/>
      <c r="R469" s="237"/>
      <c r="S469" s="237"/>
      <c r="T469" s="237"/>
      <c r="U469" s="237"/>
      <c r="V469" s="237"/>
      <c r="W469" s="237"/>
      <c r="X469" s="38"/>
      <c r="Y469" s="38"/>
      <c r="Z469" s="38"/>
      <c r="AA469" s="38"/>
      <c r="AB469" s="91"/>
      <c r="AC469" s="94" t="str">
        <f>IF(Eingabe[[#This Row],[V1]]="",IF(Eingabe[[#This Row],[Volle alternativ]]="","",Eingabe[[#This Row],[Volle alternativ]]),SUM(Eingabe[[#This Row],[V1]:[V4]]))</f>
        <v/>
      </c>
      <c r="AD469" s="6" t="str">
        <f>IF(Eingabe[[#This Row],[R1]]="",IF(Eingabe[[#This Row],[Räumer alternativ]]="","",Eingabe[[#This Row],[Räumer alternativ]]),SUM(Eingabe[[#This Row],[R1]:[R4]]))</f>
        <v/>
      </c>
      <c r="AE469" s="6" t="str">
        <f>IF(Eingabe[[#This Row],[F1]]="",IF(Eingabe[[#This Row],[Fehler alternativ]]="","",Eingabe[[#This Row],[Fehler alternativ]]),SUM(Eingabe[[#This Row],[F1]:[F4]]))</f>
        <v/>
      </c>
      <c r="AF469" s="6" t="str">
        <f>IF(Eingabe[[#This Row],[Volle]]="","",IF(Eingabe[[#This Row],[S1]]="",Eingabe[[#This Row],[Volle]]+Eingabe[[#This Row],[Räumer]],IF(Eingabe[[#This Row],[Volle]]+Eingabe[[#This Row],[Räumer]]=Eingabe[[#This Row],[S1]]+Eingabe[[#This Row],[S2]]+Eingabe[[#This Row],[S3]]+Eingabe[[#This Row],[S4]],Eingabe[[#This Row],[Volle]]+Eingabe[[#This Row],[Räumer]],"FEHLER")))</f>
        <v/>
      </c>
      <c r="AG469" s="6" t="str">
        <f>IF(Eingabe[[#This Row],[V1]]="","",Eingabe[[#This Row],[V1]]+Eingabe[[#This Row],[R1]])</f>
        <v/>
      </c>
      <c r="AH469" s="6" t="str">
        <f>IF(Eingabe[[#This Row],[V2]]="","",Eingabe[[#This Row],[V2]]+Eingabe[[#This Row],[R2]])</f>
        <v/>
      </c>
      <c r="AI469" s="6" t="str">
        <f>IF(Eingabe[[#This Row],[V3]]="","",Eingabe[[#This Row],[V3]]+Eingabe[[#This Row],[R3]])</f>
        <v/>
      </c>
      <c r="AJ469" s="6" t="str">
        <f>IF(Eingabe[[#This Row],[V4]]="","",Eingabe[[#This Row],[V4]]+Eingabe[[#This Row],[R4]])</f>
        <v/>
      </c>
      <c r="AK469" s="6" t="str">
        <f>IF(Eingabe[[#This Row],[S1P]]="","",Eingabe[[#This Row],[S1P]]+Eingabe[[#This Row],[S2P]]+Eingabe[[#This Row],[S3P]]+Eingabe[[#This Row],[S4P]])</f>
        <v/>
      </c>
      <c r="AL469" s="6" t="str">
        <f>IF(Eingabe[[#This Row],[S1P]]="","",IF(Eingabe[[#This Row],[SP]]&gt;2,1,IF(Eingabe[[#This Row],[SP]]&lt;2,0,IF(Eingabe[[#This Row],[GES]]&gt;Eingabe[[#This Row],[GEGGES]],1,IF(Eingabe[[#This Row],[GES]]=Eingabe[[#This Row],[GEGGES]],0.5,0)))))</f>
        <v/>
      </c>
      <c r="AM469" s="6" t="str">
        <f>IF(Eingabe[[#This Row],[MP]]="","",MOD(ROW(Eingabe[[#This Row],[Position]])-3,6)+1)</f>
        <v/>
      </c>
      <c r="AN469" s="6" t="e">
        <f>STANDARDIZE(Eingabe[[#This Row],[GES]],Eingabe[[#This Row],[Schnitt]],VLOOKUP(Eingabe[[#This Row],[Name]],AuswertungG[],21,FALSE))</f>
        <v>#VALUE!</v>
      </c>
      <c r="AO469" s="6">
        <f>VLOOKUP(Eingabe[[#This Row],[ID]],Chronologie[[ID]:[KW]],12,FALSE)</f>
        <v>11</v>
      </c>
      <c r="AP469" s="95" t="str">
        <f>IF(Eingabe[[#This Row],[Wo]]="H",Eingabe[[#This Row],[Gegner]]&amp;" ["&amp;Eingabe[[#This Row],[Wo]]&amp;"]",Eingabe[[#This Row],[Ort]])</f>
        <v>Hirschfelder SV [H]</v>
      </c>
      <c r="AQ469" s="6" t="str">
        <f>IFERROR(IF(Eingabe[[#This Row],[Wo]]="H",IF(MOD(Eingabe[[#This Row],[Position]],2)=1,Eingabe[[#This Row],[S1]],Eingabe[[#This Row],[S4]]),""),"")</f>
        <v/>
      </c>
      <c r="AR469" s="6" t="str">
        <f>IFERROR(IF(Eingabe[[#This Row],[Wo]]="H",IF(Eingabe[[#This Row],[S1]]&gt;0,IF(MOD(Eingabe[[#This Row],[Position]],2)=1,Eingabe[[#This Row],[S2]],Eingabe[[#This Row],[S3]]),""),""),"")</f>
        <v/>
      </c>
      <c r="AS469" s="6" t="str">
        <f>IFERROR(IF(Eingabe[[#This Row],[Wo]]="H",IF(Eingabe[[#This Row],[S1]]&gt;0,IF(MOD(ROW(Eingabe[[#This Row],[Heimbahn 3]]),2)=1,Eingabe[[#This Row],[S4]],Eingabe[[#This Row],[S1]]),""),""),"")</f>
        <v/>
      </c>
      <c r="AT469" s="6" t="str">
        <f>IFERROR(IF(Eingabe[[#This Row],[Wo]]="H",IF(Eingabe[[#This Row],[S1]]&gt;0,IF(MOD(ROW(Eingabe[[#This Row],[Heimbahn 4]]),2)=1,Eingabe[[#This Row],[S3]],Eingabe[[#This Row],[S2]]),""),""),"")</f>
        <v/>
      </c>
      <c r="AU469" s="22" t="str">
        <f>IF(Eingabe[[#This Row],[GES]]="","",IF(Eingabe[[#This Row],[Modus]]="L",_xlfn.RANK.EQ(Eingabe[[#This Row],[GES]],AF465:AF470),IF(Eingabe[[#This Row],[Modus]]="P",_xlfn.RANK.EQ(Eingabe[[#This Row],[GES]],AF465:AF470),"")))</f>
        <v/>
      </c>
      <c r="AV469" s="6" t="e">
        <f>VLOOKUP(Eingabe[[#This Row],[Name]],AuswertungG[],8,FALSE)</f>
        <v>#N/A</v>
      </c>
      <c r="AZ469" s="6" t="str">
        <f>IFERROR(ABS(Eingabe[[#This Row],[GES]]-Eingabe[[#This Row],[GEGGES]]),"")</f>
        <v/>
      </c>
    </row>
    <row r="470" spans="1:52" ht="16.2" hidden="1" thickBot="1" x14ac:dyDescent="0.35">
      <c r="A470" s="442"/>
      <c r="B470" s="56">
        <f t="shared" si="48"/>
        <v>78</v>
      </c>
      <c r="C470" s="23" t="str">
        <f>VLOOKUP($B470,Chronologie[],7,TRUE)</f>
        <v>Hirschfelder SV</v>
      </c>
      <c r="D470" s="23" t="str">
        <f>VLOOKUP($B470,Chronologie[],8,TRUE)</f>
        <v>Hirschfeld</v>
      </c>
      <c r="E470" s="39" t="str">
        <f>VLOOKUP($B470,Chronologie[],9,TRUE)</f>
        <v>H</v>
      </c>
      <c r="F470" s="23" t="str">
        <f>VLOOKUP($B470,Chronologie[],COLUMN(F471)-2,TRUE)</f>
        <v>U19</v>
      </c>
      <c r="G470" s="23" t="str">
        <f>VLOOKUP($B470,Chronologie[],COLUMN(G471)-2,TRUE)</f>
        <v>RLT</v>
      </c>
      <c r="H470" s="23">
        <f>VLOOKUP($B470,Chronologie[],COLUMN(H471)-2,TRUE)</f>
        <v>1</v>
      </c>
      <c r="I470" s="13" t="str">
        <f>VLOOKUP($B470,Chronologie[],2,TRUE)</f>
        <v>U19-RLT-1</v>
      </c>
      <c r="J470" s="244">
        <f>VLOOKUP($B470,Chronologie[],3,TRUE)</f>
        <v>45970</v>
      </c>
      <c r="K470" s="239"/>
      <c r="L470" s="239"/>
      <c r="M470" s="239"/>
      <c r="N470" s="239"/>
      <c r="O470" s="239"/>
      <c r="P470" s="239"/>
      <c r="Q470" s="239"/>
      <c r="R470" s="239"/>
      <c r="S470" s="239"/>
      <c r="T470" s="239"/>
      <c r="U470" s="239"/>
      <c r="V470" s="239"/>
      <c r="W470" s="239"/>
      <c r="X470" s="40"/>
      <c r="Y470" s="40"/>
      <c r="Z470" s="40"/>
      <c r="AA470" s="40"/>
      <c r="AB470" s="92"/>
      <c r="AC470" s="96" t="str">
        <f>IF(Eingabe[[#This Row],[V1]]="",IF(Eingabe[[#This Row],[Volle alternativ]]="","",Eingabe[[#This Row],[Volle alternativ]]),SUM(Eingabe[[#This Row],[V1]:[V4]]))</f>
        <v/>
      </c>
      <c r="AD470" s="23" t="str">
        <f>IF(Eingabe[[#This Row],[R1]]="",IF(Eingabe[[#This Row],[Räumer alternativ]]="","",Eingabe[[#This Row],[Räumer alternativ]]),SUM(Eingabe[[#This Row],[R1]:[R4]]))</f>
        <v/>
      </c>
      <c r="AE470" s="23" t="str">
        <f>IF(Eingabe[[#This Row],[F1]]="",IF(Eingabe[[#This Row],[Fehler alternativ]]="","",Eingabe[[#This Row],[Fehler alternativ]]),SUM(Eingabe[[#This Row],[F1]:[F4]]))</f>
        <v/>
      </c>
      <c r="AF470" s="23" t="str">
        <f>IF(Eingabe[[#This Row],[Volle]]="","",IF(Eingabe[[#This Row],[S1]]="",Eingabe[[#This Row],[Volle]]+Eingabe[[#This Row],[Räumer]],IF(Eingabe[[#This Row],[Volle]]+Eingabe[[#This Row],[Räumer]]=Eingabe[[#This Row],[S1]]+Eingabe[[#This Row],[S2]]+Eingabe[[#This Row],[S3]]+Eingabe[[#This Row],[S4]],Eingabe[[#This Row],[Volle]]+Eingabe[[#This Row],[Räumer]],"FEHLER")))</f>
        <v/>
      </c>
      <c r="AG470" s="23" t="str">
        <f>IF(Eingabe[[#This Row],[V1]]="","",Eingabe[[#This Row],[V1]]+Eingabe[[#This Row],[R1]])</f>
        <v/>
      </c>
      <c r="AH470" s="23" t="str">
        <f>IF(Eingabe[[#This Row],[V2]]="","",Eingabe[[#This Row],[V2]]+Eingabe[[#This Row],[R2]])</f>
        <v/>
      </c>
      <c r="AI470" s="23" t="str">
        <f>IF(Eingabe[[#This Row],[V3]]="","",Eingabe[[#This Row],[V3]]+Eingabe[[#This Row],[R3]])</f>
        <v/>
      </c>
      <c r="AJ470" s="23" t="str">
        <f>IF(Eingabe[[#This Row],[V4]]="","",Eingabe[[#This Row],[V4]]+Eingabe[[#This Row],[R4]])</f>
        <v/>
      </c>
      <c r="AK470" s="23" t="str">
        <f>IF(Eingabe[[#This Row],[S1P]]="","",Eingabe[[#This Row],[S1P]]+Eingabe[[#This Row],[S2P]]+Eingabe[[#This Row],[S3P]]+Eingabe[[#This Row],[S4P]])</f>
        <v/>
      </c>
      <c r="AL470" s="23" t="str">
        <f>IF(Eingabe[[#This Row],[S1P]]="","",IF(Eingabe[[#This Row],[SP]]&gt;2,1,IF(Eingabe[[#This Row],[SP]]&lt;2,0,IF(Eingabe[[#This Row],[GES]]&gt;Eingabe[[#This Row],[GEGGES]],1,IF(Eingabe[[#This Row],[GES]]=Eingabe[[#This Row],[GEGGES]],0.5,0)))))</f>
        <v/>
      </c>
      <c r="AM470" s="23" t="str">
        <f>IF(Eingabe[[#This Row],[MP]]="","",MOD(ROW(Eingabe[[#This Row],[Position]])-3,6)+1)</f>
        <v/>
      </c>
      <c r="AN470" s="23" t="e">
        <f>STANDARDIZE(Eingabe[[#This Row],[GES]],Eingabe[[#This Row],[Schnitt]],VLOOKUP(Eingabe[[#This Row],[Name]],AuswertungG[],21,FALSE))</f>
        <v>#VALUE!</v>
      </c>
      <c r="AO470" s="23">
        <f>VLOOKUP(Eingabe[[#This Row],[ID]],Chronologie[[ID]:[KW]],12,FALSE)</f>
        <v>11</v>
      </c>
      <c r="AP470" s="59" t="str">
        <f>IF(Eingabe[[#This Row],[Wo]]="H",Eingabe[[#This Row],[Gegner]]&amp;" ["&amp;Eingabe[[#This Row],[Wo]]&amp;"]",Eingabe[[#This Row],[Ort]])</f>
        <v>Hirschfelder SV [H]</v>
      </c>
      <c r="AQ470" s="23" t="str">
        <f>IFERROR(IF(Eingabe[[#This Row],[Wo]]="H",IF(MOD(Eingabe[[#This Row],[Position]],2)=1,Eingabe[[#This Row],[S1]],Eingabe[[#This Row],[S4]]),""),"")</f>
        <v/>
      </c>
      <c r="AR470" s="23" t="str">
        <f>IFERROR(IF(Eingabe[[#This Row],[Wo]]="H",IF(Eingabe[[#This Row],[S1]]&gt;0,IF(MOD(Eingabe[[#This Row],[Position]],2)=1,Eingabe[[#This Row],[S2]],Eingabe[[#This Row],[S3]]),""),""),"")</f>
        <v/>
      </c>
      <c r="AS470" s="23" t="str">
        <f>IFERROR(IF(Eingabe[[#This Row],[Wo]]="H",IF(Eingabe[[#This Row],[S1]]&gt;0,IF(MOD(ROW(Eingabe[[#This Row],[Heimbahn 3]]),2)=1,Eingabe[[#This Row],[S4]],Eingabe[[#This Row],[S1]]),""),""),"")</f>
        <v/>
      </c>
      <c r="AT470" s="23" t="str">
        <f>IFERROR(IF(Eingabe[[#This Row],[Wo]]="H",IF(Eingabe[[#This Row],[S1]]&gt;0,IF(MOD(ROW(Eingabe[[#This Row],[Heimbahn 4]]),2)=1,Eingabe[[#This Row],[S3]],Eingabe[[#This Row],[S2]]),""),""),"")</f>
        <v/>
      </c>
      <c r="AU470" s="89" t="str">
        <f>IF(Eingabe[[#This Row],[GES]]="","",IF(Eingabe[[#This Row],[Modus]]="L",_xlfn.RANK.EQ(Eingabe[[#This Row],[GES]],AF465:AF470),IF(Eingabe[[#This Row],[Modus]]="P",_xlfn.RANK.EQ(Eingabe[[#This Row],[GES]],AF465:AF470),"")))</f>
        <v/>
      </c>
      <c r="AV470" s="6" t="e">
        <f>VLOOKUP(Eingabe[[#This Row],[Name]],AuswertungG[],8,FALSE)</f>
        <v>#N/A</v>
      </c>
      <c r="AZ470" s="6" t="str">
        <f>IFERROR(ABS(Eingabe[[#This Row],[GES]]-Eingabe[[#This Row],[GEGGES]]),"")</f>
        <v/>
      </c>
    </row>
    <row r="471" spans="1:52" ht="16.2" hidden="1" thickBot="1" x14ac:dyDescent="0.35">
      <c r="A471" s="440">
        <f t="shared" si="47"/>
        <v>79</v>
      </c>
      <c r="B471" s="55">
        <f t="shared" si="48"/>
        <v>79</v>
      </c>
      <c r="C471" s="35" t="str">
        <f>VLOOKUP($B471,Chronologie[],7,TRUE)</f>
        <v>TSV Fortschritt Mittweida</v>
      </c>
      <c r="D471" s="35" t="str">
        <f>VLOOKUP($B471,Chronologie[],8,TRUE)</f>
        <v>Mittweida</v>
      </c>
      <c r="E471" s="36" t="str">
        <f>VLOOKUP($B471,Chronologie[],9,TRUE)</f>
        <v>A</v>
      </c>
      <c r="F471" s="35" t="str">
        <f>VLOOKUP($B471,Chronologie[],COLUMN(F472)-2,TRUE)</f>
        <v>U19</v>
      </c>
      <c r="G471" s="35" t="str">
        <f>VLOOKUP($B471,Chronologie[],COLUMN(G472)-2,TRUE)</f>
        <v>RLT</v>
      </c>
      <c r="H471" s="35">
        <f>VLOOKUP($B471,Chronologie[],COLUMN(H472)-2,TRUE)</f>
        <v>2</v>
      </c>
      <c r="I471" s="9" t="str">
        <f>VLOOKUP($B471,Chronologie[],2,TRUE)</f>
        <v>U19-RLT-2</v>
      </c>
      <c r="J471" s="242">
        <f>VLOOKUP($B471,Chronologie[],3,TRUE)</f>
        <v>45991</v>
      </c>
      <c r="K471" s="236" t="s">
        <v>477</v>
      </c>
      <c r="L471" s="334"/>
      <c r="M471" s="334"/>
      <c r="N471" s="334"/>
      <c r="O471" s="334"/>
      <c r="P471" s="334"/>
      <c r="Q471" s="334"/>
      <c r="R471" s="334"/>
      <c r="S471" s="334"/>
      <c r="T471" s="334"/>
      <c r="U471" s="334"/>
      <c r="V471" s="334"/>
      <c r="W471" s="334"/>
      <c r="X471" s="37"/>
      <c r="Y471" s="37"/>
      <c r="Z471" s="37"/>
      <c r="AA471" s="37"/>
      <c r="AB471" s="90"/>
      <c r="AC471" s="93">
        <f>IF(Eingabe[[#This Row],[V1]]="",IF(Eingabe[[#This Row],[Volle alternativ]]="","",Eingabe[[#This Row],[Volle alternativ]]),SUM(Eingabe[[#This Row],[V1]:[V4]]))</f>
        <v>359</v>
      </c>
      <c r="AD471" s="35">
        <f>IF(Eingabe[[#This Row],[R1]]="",IF(Eingabe[[#This Row],[Räumer alternativ]]="","",Eingabe[[#This Row],[Räumer alternativ]]),SUM(Eingabe[[#This Row],[R1]:[R4]]))</f>
        <v>167</v>
      </c>
      <c r="AE471" s="35">
        <f>IF(Eingabe[[#This Row],[F1]]="",IF(Eingabe[[#This Row],[Fehler alternativ]]="","",Eingabe[[#This Row],[Fehler alternativ]]),SUM(Eingabe[[#This Row],[F1]:[F4]]))</f>
        <v>7</v>
      </c>
      <c r="AF471" s="35">
        <f>IF(Eingabe[[#This Row],[Volle]]="","",IF(Eingabe[[#This Row],[S1]]="",Eingabe[[#This Row],[Volle]]+Eingabe[[#This Row],[Räumer]],IF(Eingabe[[#This Row],[Volle]]+Eingabe[[#This Row],[Räumer]]=Eingabe[[#This Row],[S1]]+Eingabe[[#This Row],[S2]]+Eingabe[[#This Row],[S3]]+Eingabe[[#This Row],[S4]],Eingabe[[#This Row],[Volle]]+Eingabe[[#This Row],[Räumer]],"FEHLER")))</f>
        <v>526</v>
      </c>
      <c r="AG471" s="35" t="str">
        <f>IF(Eingabe[[#This Row],[V1]]="","",Eingabe[[#This Row],[V1]]+Eingabe[[#This Row],[R1]])</f>
        <v/>
      </c>
      <c r="AH471" s="35" t="str">
        <f>IF(Eingabe[[#This Row],[V2]]="","",Eingabe[[#This Row],[V2]]+Eingabe[[#This Row],[R2]])</f>
        <v/>
      </c>
      <c r="AI471" s="35" t="str">
        <f>IF(Eingabe[[#This Row],[V3]]="","",Eingabe[[#This Row],[V3]]+Eingabe[[#This Row],[R3]])</f>
        <v/>
      </c>
      <c r="AJ471" s="35" t="str">
        <f>IF(Eingabe[[#This Row],[V4]]="","",Eingabe[[#This Row],[V4]]+Eingabe[[#This Row],[R4]])</f>
        <v/>
      </c>
      <c r="AK471" s="35" t="str">
        <f>IF(Eingabe[[#This Row],[S1P]]="","",Eingabe[[#This Row],[S1P]]+Eingabe[[#This Row],[S2P]]+Eingabe[[#This Row],[S3P]]+Eingabe[[#This Row],[S4P]])</f>
        <v/>
      </c>
      <c r="AL471" s="35" t="str">
        <f>IF(Eingabe[[#This Row],[S1P]]="","",IF(Eingabe[[#This Row],[SP]]&gt;2,1,IF(Eingabe[[#This Row],[SP]]&lt;2,0,IF(Eingabe[[#This Row],[GES]]&gt;Eingabe[[#This Row],[GEGGES]],1,IF(Eingabe[[#This Row],[GES]]=Eingabe[[#This Row],[GEGGES]],0.5,0)))))</f>
        <v/>
      </c>
      <c r="AM471" s="35" t="str">
        <f>IF(Eingabe[[#This Row],[MP]]="","",MOD(ROW(Eingabe[[#This Row],[Position]])-3,6)+1)</f>
        <v/>
      </c>
      <c r="AN471" s="35">
        <f>STANDARDIZE(Eingabe[[#This Row],[GES]],Eingabe[[#This Row],[Schnitt]],VLOOKUP(Eingabe[[#This Row],[Name]],AuswertungG[],21,FALSE))</f>
        <v>-0.24</v>
      </c>
      <c r="AO471" s="35">
        <f>VLOOKUP(Eingabe[[#This Row],[ID]],Chronologie[[ID]:[KW]],12,FALSE)</f>
        <v>14</v>
      </c>
      <c r="AP471" s="58" t="str">
        <f>IF(Eingabe[[#This Row],[Wo]]="H",Eingabe[[#This Row],[Gegner]]&amp;" ["&amp;Eingabe[[#This Row],[Wo]]&amp;"]",Eingabe[[#This Row],[Ort]])</f>
        <v>Mittweida</v>
      </c>
      <c r="AQ471" s="35" t="str">
        <f>IFERROR(IF(Eingabe[[#This Row],[Wo]]="H",IF(MOD(Eingabe[[#This Row],[Position]],2)=1,Eingabe[[#This Row],[S1]],Eingabe[[#This Row],[S4]]),""),"")</f>
        <v/>
      </c>
      <c r="AR471" s="35" t="str">
        <f>IFERROR(IF(Eingabe[[#This Row],[Wo]]="H",IF(Eingabe[[#This Row],[S1]]&gt;0,IF(MOD(Eingabe[[#This Row],[Position]],2)=1,Eingabe[[#This Row],[S2]],Eingabe[[#This Row],[S3]]),""),""),"")</f>
        <v/>
      </c>
      <c r="AS471" s="35" t="str">
        <f>IFERROR(IF(Eingabe[[#This Row],[Wo]]="H",IF(Eingabe[[#This Row],[S1]]&gt;0,IF(MOD(ROW(Eingabe[[#This Row],[Heimbahn 3]]),2)=1,Eingabe[[#This Row],[S4]],Eingabe[[#This Row],[S1]]),""),""),"")</f>
        <v/>
      </c>
      <c r="AT471" s="35" t="str">
        <f>IFERROR(IF(Eingabe[[#This Row],[Wo]]="H",IF(Eingabe[[#This Row],[S1]]&gt;0,IF(MOD(ROW(Eingabe[[#This Row],[Heimbahn 4]]),2)=1,Eingabe[[#This Row],[S3]],Eingabe[[#This Row],[S2]]),""),""),"")</f>
        <v/>
      </c>
      <c r="AU471" s="88" t="str">
        <f>IF(Eingabe[[#This Row],[GES]]="","",IF(Eingabe[[#This Row],[Modus]]="L",_xlfn.RANK.EQ(Eingabe[[#This Row],[GES]],AF471:AF476),IF(Eingabe[[#This Row],[Modus]]="P",_xlfn.RANK.EQ(Eingabe[[#This Row],[GES]],AF471:AF476),"")))</f>
        <v/>
      </c>
      <c r="AV471" s="6">
        <f>VLOOKUP(Eingabe[[#This Row],[Name]],AuswertungG[],8,FALSE)</f>
        <v>532</v>
      </c>
      <c r="AW471" s="6">
        <v>359</v>
      </c>
      <c r="AX471" s="6">
        <v>167</v>
      </c>
      <c r="AY471" s="6">
        <v>7</v>
      </c>
      <c r="AZ471" s="6">
        <f>IFERROR(ABS(Eingabe[[#This Row],[GES]]-Eingabe[[#This Row],[GEGGES]]),"")</f>
        <v>526</v>
      </c>
    </row>
    <row r="472" spans="1:52" ht="16.2" hidden="1" thickBot="1" x14ac:dyDescent="0.35">
      <c r="A472" s="441"/>
      <c r="B472" s="21">
        <f t="shared" si="48"/>
        <v>79</v>
      </c>
      <c r="C472" s="6" t="str">
        <f>VLOOKUP($B472,Chronologie[],7,TRUE)</f>
        <v>TSV Fortschritt Mittweida</v>
      </c>
      <c r="D472" s="6" t="str">
        <f>VLOOKUP($B472,Chronologie[],8,TRUE)</f>
        <v>Mittweida</v>
      </c>
      <c r="E472" s="240" t="str">
        <f>VLOOKUP($B472,Chronologie[],9,TRUE)</f>
        <v>A</v>
      </c>
      <c r="F472" s="6" t="str">
        <f>VLOOKUP($B472,Chronologie[],COLUMN(F473)-2,TRUE)</f>
        <v>U19</v>
      </c>
      <c r="G472" s="6" t="str">
        <f>VLOOKUP($B472,Chronologie[],COLUMN(G473)-2,TRUE)</f>
        <v>RLT</v>
      </c>
      <c r="H472" s="6">
        <f>VLOOKUP($B472,Chronologie[],COLUMN(H473)-2,TRUE)</f>
        <v>2</v>
      </c>
      <c r="I472" s="10" t="str">
        <f>VLOOKUP($B472,Chronologie[],2,TRUE)</f>
        <v>U19-RLT-2</v>
      </c>
      <c r="J472" s="243">
        <f>VLOOKUP($B472,Chronologie[],3,TRUE)</f>
        <v>45991</v>
      </c>
      <c r="K472" s="237" t="s">
        <v>458</v>
      </c>
      <c r="L472" s="237">
        <v>91</v>
      </c>
      <c r="M472" s="237">
        <v>88</v>
      </c>
      <c r="N472" s="237">
        <v>82</v>
      </c>
      <c r="O472" s="237">
        <v>75</v>
      </c>
      <c r="P472" s="237">
        <v>52</v>
      </c>
      <c r="Q472" s="237">
        <v>52</v>
      </c>
      <c r="R472" s="237">
        <v>18</v>
      </c>
      <c r="S472" s="237">
        <v>43</v>
      </c>
      <c r="T472" s="237">
        <v>2</v>
      </c>
      <c r="U472" s="237">
        <v>2</v>
      </c>
      <c r="V472" s="237">
        <v>3</v>
      </c>
      <c r="W472" s="237">
        <v>1</v>
      </c>
      <c r="X472" s="38"/>
      <c r="Y472" s="38"/>
      <c r="Z472" s="38"/>
      <c r="AA472" s="38"/>
      <c r="AB472" s="91"/>
      <c r="AC472" s="94">
        <f>IF(Eingabe[[#This Row],[V1]]="",IF(Eingabe[[#This Row],[Volle alternativ]]="","",Eingabe[[#This Row],[Volle alternativ]]),SUM(Eingabe[[#This Row],[V1]:[V4]]))</f>
        <v>336</v>
      </c>
      <c r="AD472" s="6">
        <f>IF(Eingabe[[#This Row],[R1]]="",IF(Eingabe[[#This Row],[Räumer alternativ]]="","",Eingabe[[#This Row],[Räumer alternativ]]),SUM(Eingabe[[#This Row],[R1]:[R4]]))</f>
        <v>165</v>
      </c>
      <c r="AE472" s="6">
        <f>IF(Eingabe[[#This Row],[F1]]="",IF(Eingabe[[#This Row],[Fehler alternativ]]="","",Eingabe[[#This Row],[Fehler alternativ]]),SUM(Eingabe[[#This Row],[F1]:[F4]]))</f>
        <v>8</v>
      </c>
      <c r="AF472" s="6">
        <f>IF(Eingabe[[#This Row],[Volle]]="","",IF(Eingabe[[#This Row],[S1]]="",Eingabe[[#This Row],[Volle]]+Eingabe[[#This Row],[Räumer]],IF(Eingabe[[#This Row],[Volle]]+Eingabe[[#This Row],[Räumer]]=Eingabe[[#This Row],[S1]]+Eingabe[[#This Row],[S2]]+Eingabe[[#This Row],[S3]]+Eingabe[[#This Row],[S4]],Eingabe[[#This Row],[Volle]]+Eingabe[[#This Row],[Räumer]],"FEHLER")))</f>
        <v>501</v>
      </c>
      <c r="AG472" s="6">
        <f>IF(Eingabe[[#This Row],[V1]]="","",Eingabe[[#This Row],[V1]]+Eingabe[[#This Row],[R1]])</f>
        <v>143</v>
      </c>
      <c r="AH472" s="6">
        <f>IF(Eingabe[[#This Row],[V2]]="","",Eingabe[[#This Row],[V2]]+Eingabe[[#This Row],[R2]])</f>
        <v>140</v>
      </c>
      <c r="AI472" s="6">
        <f>IF(Eingabe[[#This Row],[V3]]="","",Eingabe[[#This Row],[V3]]+Eingabe[[#This Row],[R3]])</f>
        <v>100</v>
      </c>
      <c r="AJ472" s="6">
        <f>IF(Eingabe[[#This Row],[V4]]="","",Eingabe[[#This Row],[V4]]+Eingabe[[#This Row],[R4]])</f>
        <v>118</v>
      </c>
      <c r="AK472" s="6" t="str">
        <f>IF(Eingabe[[#This Row],[S1P]]="","",Eingabe[[#This Row],[S1P]]+Eingabe[[#This Row],[S2P]]+Eingabe[[#This Row],[S3P]]+Eingabe[[#This Row],[S4P]])</f>
        <v/>
      </c>
      <c r="AL472" s="6" t="str">
        <f>IF(Eingabe[[#This Row],[S1P]]="","",IF(Eingabe[[#This Row],[SP]]&gt;2,1,IF(Eingabe[[#This Row],[SP]]&lt;2,0,IF(Eingabe[[#This Row],[GES]]&gt;Eingabe[[#This Row],[GEGGES]],1,IF(Eingabe[[#This Row],[GES]]=Eingabe[[#This Row],[GEGGES]],0.5,0)))))</f>
        <v/>
      </c>
      <c r="AM472" s="6" t="str">
        <f>IF(Eingabe[[#This Row],[MP]]="","",MOD(ROW(Eingabe[[#This Row],[Position]])-3,6)+1)</f>
        <v/>
      </c>
      <c r="AN472" s="6">
        <f>STANDARDIZE(Eingabe[[#This Row],[GES]],Eingabe[[#This Row],[Schnitt]],VLOOKUP(Eingabe[[#This Row],[Name]],AuswertungG[],21,FALSE))</f>
        <v>-0.35</v>
      </c>
      <c r="AO472" s="6">
        <f>VLOOKUP(Eingabe[[#This Row],[ID]],Chronologie[[ID]:[KW]],12,FALSE)</f>
        <v>14</v>
      </c>
      <c r="AP472" s="95" t="str">
        <f>IF(Eingabe[[#This Row],[Wo]]="H",Eingabe[[#This Row],[Gegner]]&amp;" ["&amp;Eingabe[[#This Row],[Wo]]&amp;"]",Eingabe[[#This Row],[Ort]])</f>
        <v>Mittweida</v>
      </c>
      <c r="AQ472" s="6" t="str">
        <f>IFERROR(IF(Eingabe[[#This Row],[Wo]]="H",IF(MOD(Eingabe[[#This Row],[Position]],2)=1,Eingabe[[#This Row],[S1]],Eingabe[[#This Row],[S4]]),""),"")</f>
        <v/>
      </c>
      <c r="AR472" s="6" t="str">
        <f>IFERROR(IF(Eingabe[[#This Row],[Wo]]="H",IF(Eingabe[[#This Row],[S1]]&gt;0,IF(MOD(Eingabe[[#This Row],[Position]],2)=1,Eingabe[[#This Row],[S2]],Eingabe[[#This Row],[S3]]),""),""),"")</f>
        <v/>
      </c>
      <c r="AS472" s="6" t="str">
        <f>IFERROR(IF(Eingabe[[#This Row],[Wo]]="H",IF(Eingabe[[#This Row],[S1]]&gt;0,IF(MOD(ROW(Eingabe[[#This Row],[Heimbahn 3]]),2)=1,Eingabe[[#This Row],[S4]],Eingabe[[#This Row],[S1]]),""),""),"")</f>
        <v/>
      </c>
      <c r="AT472" s="6" t="str">
        <f>IFERROR(IF(Eingabe[[#This Row],[Wo]]="H",IF(Eingabe[[#This Row],[S1]]&gt;0,IF(MOD(ROW(Eingabe[[#This Row],[Heimbahn 4]]),2)=1,Eingabe[[#This Row],[S3]],Eingabe[[#This Row],[S2]]),""),""),"")</f>
        <v/>
      </c>
      <c r="AU472" s="22" t="str">
        <f>IF(Eingabe[[#This Row],[GES]]="","",IF(Eingabe[[#This Row],[Modus]]="L",_xlfn.RANK.EQ(Eingabe[[#This Row],[GES]],AF471:AF476),IF(Eingabe[[#This Row],[Modus]]="P",_xlfn.RANK.EQ(Eingabe[[#This Row],[GES]],AF471:AF476),"")))</f>
        <v/>
      </c>
      <c r="AV472" s="6">
        <f>VLOOKUP(Eingabe[[#This Row],[Name]],AuswertungG[],8,FALSE)</f>
        <v>508</v>
      </c>
      <c r="AZ472" s="6">
        <f>IFERROR(ABS(Eingabe[[#This Row],[GES]]-Eingabe[[#This Row],[GEGGES]]),"")</f>
        <v>501</v>
      </c>
    </row>
    <row r="473" spans="1:52" ht="16.2" hidden="1" thickBot="1" x14ac:dyDescent="0.35">
      <c r="A473" s="441"/>
      <c r="B473" s="21">
        <f t="shared" si="48"/>
        <v>79</v>
      </c>
      <c r="C473" s="6" t="str">
        <f>VLOOKUP($B473,Chronologie[],7,TRUE)</f>
        <v>TSV Fortschritt Mittweida</v>
      </c>
      <c r="D473" s="6" t="str">
        <f>VLOOKUP($B473,Chronologie[],8,TRUE)</f>
        <v>Mittweida</v>
      </c>
      <c r="E473" s="240" t="str">
        <f>VLOOKUP($B473,Chronologie[],9,TRUE)</f>
        <v>A</v>
      </c>
      <c r="F473" s="6" t="str">
        <f>VLOOKUP($B473,Chronologie[],COLUMN(F474)-2,TRUE)</f>
        <v>U19</v>
      </c>
      <c r="G473" s="6" t="str">
        <f>VLOOKUP($B473,Chronologie[],COLUMN(G474)-2,TRUE)</f>
        <v>RLT</v>
      </c>
      <c r="H473" s="6">
        <f>VLOOKUP($B473,Chronologie[],COLUMN(H474)-2,TRUE)</f>
        <v>2</v>
      </c>
      <c r="I473" s="10" t="str">
        <f>VLOOKUP($B473,Chronologie[],2,TRUE)</f>
        <v>U19-RLT-2</v>
      </c>
      <c r="J473" s="243">
        <f>VLOOKUP($B473,Chronologie[],3,TRUE)</f>
        <v>45991</v>
      </c>
      <c r="K473" s="237"/>
      <c r="L473" s="237"/>
      <c r="M473" s="237"/>
      <c r="N473" s="237"/>
      <c r="O473" s="237"/>
      <c r="P473" s="237"/>
      <c r="Q473" s="237"/>
      <c r="R473" s="237"/>
      <c r="S473" s="237"/>
      <c r="T473" s="237"/>
      <c r="U473" s="237"/>
      <c r="V473" s="237"/>
      <c r="W473" s="237"/>
      <c r="X473" s="38"/>
      <c r="Y473" s="38"/>
      <c r="Z473" s="38"/>
      <c r="AA473" s="38"/>
      <c r="AB473" s="91"/>
      <c r="AC473" s="94" t="str">
        <f>IF(Eingabe[[#This Row],[V1]]="",IF(Eingabe[[#This Row],[Volle alternativ]]="","",Eingabe[[#This Row],[Volle alternativ]]),SUM(Eingabe[[#This Row],[V1]:[V4]]))</f>
        <v/>
      </c>
      <c r="AD473" s="6" t="str">
        <f>IF(Eingabe[[#This Row],[R1]]="",IF(Eingabe[[#This Row],[Räumer alternativ]]="","",Eingabe[[#This Row],[Räumer alternativ]]),SUM(Eingabe[[#This Row],[R1]:[R4]]))</f>
        <v/>
      </c>
      <c r="AE473" s="6" t="str">
        <f>IF(Eingabe[[#This Row],[F1]]="",IF(Eingabe[[#This Row],[Fehler alternativ]]="","",Eingabe[[#This Row],[Fehler alternativ]]),SUM(Eingabe[[#This Row],[F1]:[F4]]))</f>
        <v/>
      </c>
      <c r="AF473" s="6" t="str">
        <f>IF(Eingabe[[#This Row],[Volle]]="","",IF(Eingabe[[#This Row],[S1]]="",Eingabe[[#This Row],[Volle]]+Eingabe[[#This Row],[Räumer]],IF(Eingabe[[#This Row],[Volle]]+Eingabe[[#This Row],[Räumer]]=Eingabe[[#This Row],[S1]]+Eingabe[[#This Row],[S2]]+Eingabe[[#This Row],[S3]]+Eingabe[[#This Row],[S4]],Eingabe[[#This Row],[Volle]]+Eingabe[[#This Row],[Räumer]],"FEHLER")))</f>
        <v/>
      </c>
      <c r="AG473" s="6" t="str">
        <f>IF(Eingabe[[#This Row],[V1]]="","",Eingabe[[#This Row],[V1]]+Eingabe[[#This Row],[R1]])</f>
        <v/>
      </c>
      <c r="AH473" s="6" t="str">
        <f>IF(Eingabe[[#This Row],[V2]]="","",Eingabe[[#This Row],[V2]]+Eingabe[[#This Row],[R2]])</f>
        <v/>
      </c>
      <c r="AI473" s="6" t="str">
        <f>IF(Eingabe[[#This Row],[V3]]="","",Eingabe[[#This Row],[V3]]+Eingabe[[#This Row],[R3]])</f>
        <v/>
      </c>
      <c r="AJ473" s="6" t="str">
        <f>IF(Eingabe[[#This Row],[V4]]="","",Eingabe[[#This Row],[V4]]+Eingabe[[#This Row],[R4]])</f>
        <v/>
      </c>
      <c r="AK473" s="6" t="str">
        <f>IF(Eingabe[[#This Row],[S1P]]="","",Eingabe[[#This Row],[S1P]]+Eingabe[[#This Row],[S2P]]+Eingabe[[#This Row],[S3P]]+Eingabe[[#This Row],[S4P]])</f>
        <v/>
      </c>
      <c r="AL473" s="6" t="str">
        <f>IF(Eingabe[[#This Row],[S1P]]="","",IF(Eingabe[[#This Row],[SP]]&gt;2,1,IF(Eingabe[[#This Row],[SP]]&lt;2,0,IF(Eingabe[[#This Row],[GES]]&gt;Eingabe[[#This Row],[GEGGES]],1,IF(Eingabe[[#This Row],[GES]]=Eingabe[[#This Row],[GEGGES]],0.5,0)))))</f>
        <v/>
      </c>
      <c r="AM473" s="6" t="str">
        <f>IF(Eingabe[[#This Row],[MP]]="","",MOD(ROW(Eingabe[[#This Row],[Position]])-3,6)+1)</f>
        <v/>
      </c>
      <c r="AN473" s="6" t="e">
        <f>STANDARDIZE(Eingabe[[#This Row],[GES]],Eingabe[[#This Row],[Schnitt]],VLOOKUP(Eingabe[[#This Row],[Name]],AuswertungG[],21,FALSE))</f>
        <v>#VALUE!</v>
      </c>
      <c r="AO473" s="6">
        <f>VLOOKUP(Eingabe[[#This Row],[ID]],Chronologie[[ID]:[KW]],12,FALSE)</f>
        <v>14</v>
      </c>
      <c r="AP473" s="95" t="str">
        <f>IF(Eingabe[[#This Row],[Wo]]="H",Eingabe[[#This Row],[Gegner]]&amp;" ["&amp;Eingabe[[#This Row],[Wo]]&amp;"]",Eingabe[[#This Row],[Ort]])</f>
        <v>Mittweida</v>
      </c>
      <c r="AQ473" s="6" t="str">
        <f>IFERROR(IF(Eingabe[[#This Row],[Wo]]="H",IF(MOD(Eingabe[[#This Row],[Position]],2)=1,Eingabe[[#This Row],[S1]],Eingabe[[#This Row],[S4]]),""),"")</f>
        <v/>
      </c>
      <c r="AR473" s="6" t="str">
        <f>IFERROR(IF(Eingabe[[#This Row],[Wo]]="H",IF(Eingabe[[#This Row],[S1]]&gt;0,IF(MOD(Eingabe[[#This Row],[Position]],2)=1,Eingabe[[#This Row],[S2]],Eingabe[[#This Row],[S3]]),""),""),"")</f>
        <v/>
      </c>
      <c r="AS473" s="6" t="str">
        <f>IFERROR(IF(Eingabe[[#This Row],[Wo]]="H",IF(Eingabe[[#This Row],[S1]]&gt;0,IF(MOD(ROW(Eingabe[[#This Row],[Heimbahn 3]]),2)=1,Eingabe[[#This Row],[S4]],Eingabe[[#This Row],[S1]]),""),""),"")</f>
        <v/>
      </c>
      <c r="AT473" s="6" t="str">
        <f>IFERROR(IF(Eingabe[[#This Row],[Wo]]="H",IF(Eingabe[[#This Row],[S1]]&gt;0,IF(MOD(ROW(Eingabe[[#This Row],[Heimbahn 4]]),2)=1,Eingabe[[#This Row],[S3]],Eingabe[[#This Row],[S2]]),""),""),"")</f>
        <v/>
      </c>
      <c r="AU473" s="22" t="str">
        <f>IF(Eingabe[[#This Row],[GES]]="","",IF(Eingabe[[#This Row],[Modus]]="L",_xlfn.RANK.EQ(Eingabe[[#This Row],[GES]],AF471:AF476),IF(Eingabe[[#This Row],[Modus]]="P",_xlfn.RANK.EQ(Eingabe[[#This Row],[GES]],AF471:AF476),"")))</f>
        <v/>
      </c>
      <c r="AV473" s="6" t="e">
        <f>VLOOKUP(Eingabe[[#This Row],[Name]],AuswertungG[],8,FALSE)</f>
        <v>#N/A</v>
      </c>
      <c r="AZ473" s="6" t="str">
        <f>IFERROR(ABS(Eingabe[[#This Row],[GES]]-Eingabe[[#This Row],[GEGGES]]),"")</f>
        <v/>
      </c>
    </row>
    <row r="474" spans="1:52" ht="16.2" hidden="1" thickBot="1" x14ac:dyDescent="0.35">
      <c r="A474" s="441"/>
      <c r="B474" s="21">
        <f t="shared" si="48"/>
        <v>79</v>
      </c>
      <c r="C474" s="6" t="str">
        <f>VLOOKUP($B474,Chronologie[],7,TRUE)</f>
        <v>TSV Fortschritt Mittweida</v>
      </c>
      <c r="D474" s="6" t="str">
        <f>VLOOKUP($B474,Chronologie[],8,TRUE)</f>
        <v>Mittweida</v>
      </c>
      <c r="E474" s="240" t="str">
        <f>VLOOKUP($B474,Chronologie[],9,TRUE)</f>
        <v>A</v>
      </c>
      <c r="F474" s="6" t="str">
        <f>VLOOKUP($B474,Chronologie[],COLUMN(F475)-2,TRUE)</f>
        <v>U19</v>
      </c>
      <c r="G474" s="6" t="str">
        <f>VLOOKUP($B474,Chronologie[],COLUMN(G475)-2,TRUE)</f>
        <v>RLT</v>
      </c>
      <c r="H474" s="6">
        <f>VLOOKUP($B474,Chronologie[],COLUMN(H475)-2,TRUE)</f>
        <v>2</v>
      </c>
      <c r="I474" s="10" t="str">
        <f>VLOOKUP($B474,Chronologie[],2,TRUE)</f>
        <v>U19-RLT-2</v>
      </c>
      <c r="J474" s="243">
        <f>VLOOKUP($B474,Chronologie[],3,TRUE)</f>
        <v>45991</v>
      </c>
      <c r="K474" s="238"/>
      <c r="L474" s="237"/>
      <c r="M474" s="237"/>
      <c r="N474" s="237"/>
      <c r="O474" s="237"/>
      <c r="P474" s="237"/>
      <c r="Q474" s="237"/>
      <c r="R474" s="237"/>
      <c r="S474" s="237"/>
      <c r="T474" s="237"/>
      <c r="U474" s="237"/>
      <c r="V474" s="237"/>
      <c r="W474" s="237"/>
      <c r="X474" s="38"/>
      <c r="Y474" s="38"/>
      <c r="Z474" s="38"/>
      <c r="AA474" s="38"/>
      <c r="AB474" s="91"/>
      <c r="AC474" s="94" t="str">
        <f>IF(Eingabe[[#This Row],[V1]]="",IF(Eingabe[[#This Row],[Volle alternativ]]="","",Eingabe[[#This Row],[Volle alternativ]]),SUM(Eingabe[[#This Row],[V1]:[V4]]))</f>
        <v/>
      </c>
      <c r="AD474" s="6" t="str">
        <f>IF(Eingabe[[#This Row],[R1]]="",IF(Eingabe[[#This Row],[Räumer alternativ]]="","",Eingabe[[#This Row],[Räumer alternativ]]),SUM(Eingabe[[#This Row],[R1]:[R4]]))</f>
        <v/>
      </c>
      <c r="AE474" s="6" t="str">
        <f>IF(Eingabe[[#This Row],[F1]]="",IF(Eingabe[[#This Row],[Fehler alternativ]]="","",Eingabe[[#This Row],[Fehler alternativ]]),SUM(Eingabe[[#This Row],[F1]:[F4]]))</f>
        <v/>
      </c>
      <c r="AF474" s="6" t="str">
        <f>IF(Eingabe[[#This Row],[Volle]]="","",IF(Eingabe[[#This Row],[S1]]="",Eingabe[[#This Row],[Volle]]+Eingabe[[#This Row],[Räumer]],IF(Eingabe[[#This Row],[Volle]]+Eingabe[[#This Row],[Räumer]]=Eingabe[[#This Row],[S1]]+Eingabe[[#This Row],[S2]]+Eingabe[[#This Row],[S3]]+Eingabe[[#This Row],[S4]],Eingabe[[#This Row],[Volle]]+Eingabe[[#This Row],[Räumer]],"FEHLER")))</f>
        <v/>
      </c>
      <c r="AG474" s="6" t="str">
        <f>IF(Eingabe[[#This Row],[V1]]="","",Eingabe[[#This Row],[V1]]+Eingabe[[#This Row],[R1]])</f>
        <v/>
      </c>
      <c r="AH474" s="6" t="str">
        <f>IF(Eingabe[[#This Row],[V2]]="","",Eingabe[[#This Row],[V2]]+Eingabe[[#This Row],[R2]])</f>
        <v/>
      </c>
      <c r="AI474" s="6" t="str">
        <f>IF(Eingabe[[#This Row],[V3]]="","",Eingabe[[#This Row],[V3]]+Eingabe[[#This Row],[R3]])</f>
        <v/>
      </c>
      <c r="AJ474" s="6" t="str">
        <f>IF(Eingabe[[#This Row],[V4]]="","",Eingabe[[#This Row],[V4]]+Eingabe[[#This Row],[R4]])</f>
        <v/>
      </c>
      <c r="AK474" s="6" t="str">
        <f>IF(Eingabe[[#This Row],[S1P]]="","",Eingabe[[#This Row],[S1P]]+Eingabe[[#This Row],[S2P]]+Eingabe[[#This Row],[S3P]]+Eingabe[[#This Row],[S4P]])</f>
        <v/>
      </c>
      <c r="AL474" s="6" t="str">
        <f>IF(Eingabe[[#This Row],[S1P]]="","",IF(Eingabe[[#This Row],[SP]]&gt;2,1,IF(Eingabe[[#This Row],[SP]]&lt;2,0,IF(Eingabe[[#This Row],[GES]]&gt;Eingabe[[#This Row],[GEGGES]],1,IF(Eingabe[[#This Row],[GES]]=Eingabe[[#This Row],[GEGGES]],0.5,0)))))</f>
        <v/>
      </c>
      <c r="AM474" s="6" t="str">
        <f>IF(Eingabe[[#This Row],[MP]]="","",MOD(ROW(Eingabe[[#This Row],[Position]])-3,6)+1)</f>
        <v/>
      </c>
      <c r="AN474" s="6" t="e">
        <f>STANDARDIZE(Eingabe[[#This Row],[GES]],Eingabe[[#This Row],[Schnitt]],VLOOKUP(Eingabe[[#This Row],[Name]],AuswertungG[],21,FALSE))</f>
        <v>#VALUE!</v>
      </c>
      <c r="AO474" s="6">
        <f>VLOOKUP(Eingabe[[#This Row],[ID]],Chronologie[[ID]:[KW]],12,FALSE)</f>
        <v>14</v>
      </c>
      <c r="AP474" s="95" t="str">
        <f>IF(Eingabe[[#This Row],[Wo]]="H",Eingabe[[#This Row],[Gegner]]&amp;" ["&amp;Eingabe[[#This Row],[Wo]]&amp;"]",Eingabe[[#This Row],[Ort]])</f>
        <v>Mittweida</v>
      </c>
      <c r="AQ474" s="6" t="str">
        <f>IFERROR(IF(Eingabe[[#This Row],[Wo]]="H",IF(MOD(Eingabe[[#This Row],[Position]],2)=1,Eingabe[[#This Row],[S1]],Eingabe[[#This Row],[S4]]),""),"")</f>
        <v/>
      </c>
      <c r="AR474" s="6" t="str">
        <f>IFERROR(IF(Eingabe[[#This Row],[Wo]]="H",IF(Eingabe[[#This Row],[S1]]&gt;0,IF(MOD(Eingabe[[#This Row],[Position]],2)=1,Eingabe[[#This Row],[S2]],Eingabe[[#This Row],[S3]]),""),""),"")</f>
        <v/>
      </c>
      <c r="AS474" s="6" t="str">
        <f>IFERROR(IF(Eingabe[[#This Row],[Wo]]="H",IF(Eingabe[[#This Row],[S1]]&gt;0,IF(MOD(ROW(Eingabe[[#This Row],[Heimbahn 3]]),2)=1,Eingabe[[#This Row],[S4]],Eingabe[[#This Row],[S1]]),""),""),"")</f>
        <v/>
      </c>
      <c r="AT474" s="6" t="str">
        <f>IFERROR(IF(Eingabe[[#This Row],[Wo]]="H",IF(Eingabe[[#This Row],[S1]]&gt;0,IF(MOD(ROW(Eingabe[[#This Row],[Heimbahn 4]]),2)=1,Eingabe[[#This Row],[S3]],Eingabe[[#This Row],[S2]]),""),""),"")</f>
        <v/>
      </c>
      <c r="AU474" s="22" t="str">
        <f>IF(Eingabe[[#This Row],[GES]]="","",IF(Eingabe[[#This Row],[Modus]]="L",_xlfn.RANK.EQ(Eingabe[[#This Row],[GES]],AF471:AF476),IF(Eingabe[[#This Row],[Modus]]="P",_xlfn.RANK.EQ(Eingabe[[#This Row],[GES]],AF471:AF476),"")))</f>
        <v/>
      </c>
      <c r="AV474" s="6" t="e">
        <f>VLOOKUP(Eingabe[[#This Row],[Name]],AuswertungG[],8,FALSE)</f>
        <v>#N/A</v>
      </c>
      <c r="AZ474" s="6" t="str">
        <f>IFERROR(ABS(Eingabe[[#This Row],[GES]]-Eingabe[[#This Row],[GEGGES]]),"")</f>
        <v/>
      </c>
    </row>
    <row r="475" spans="1:52" ht="16.2" hidden="1" thickBot="1" x14ac:dyDescent="0.35">
      <c r="A475" s="441"/>
      <c r="B475" s="21">
        <f t="shared" si="48"/>
        <v>79</v>
      </c>
      <c r="C475" s="6" t="str">
        <f>VLOOKUP($B475,Chronologie[],7,TRUE)</f>
        <v>TSV Fortschritt Mittweida</v>
      </c>
      <c r="D475" s="6" t="str">
        <f>VLOOKUP($B475,Chronologie[],8,TRUE)</f>
        <v>Mittweida</v>
      </c>
      <c r="E475" s="240" t="str">
        <f>VLOOKUP($B475,Chronologie[],9,TRUE)</f>
        <v>A</v>
      </c>
      <c r="F475" s="6" t="str">
        <f>VLOOKUP($B475,Chronologie[],COLUMN(F476)-2,TRUE)</f>
        <v>U19</v>
      </c>
      <c r="G475" s="6" t="str">
        <f>VLOOKUP($B475,Chronologie[],COLUMN(G476)-2,TRUE)</f>
        <v>RLT</v>
      </c>
      <c r="H475" s="6">
        <f>VLOOKUP($B475,Chronologie[],COLUMN(H476)-2,TRUE)</f>
        <v>2</v>
      </c>
      <c r="I475" s="10" t="str">
        <f>VLOOKUP($B475,Chronologie[],2,TRUE)</f>
        <v>U19-RLT-2</v>
      </c>
      <c r="J475" s="243">
        <f>VLOOKUP($B475,Chronologie[],3,TRUE)</f>
        <v>45991</v>
      </c>
      <c r="K475" s="237"/>
      <c r="L475" s="237"/>
      <c r="M475" s="237"/>
      <c r="N475" s="237"/>
      <c r="O475" s="237"/>
      <c r="P475" s="237"/>
      <c r="Q475" s="237"/>
      <c r="R475" s="237"/>
      <c r="S475" s="237"/>
      <c r="T475" s="237"/>
      <c r="U475" s="237"/>
      <c r="V475" s="237"/>
      <c r="W475" s="237"/>
      <c r="X475" s="38"/>
      <c r="Y475" s="38"/>
      <c r="Z475" s="38"/>
      <c r="AA475" s="38"/>
      <c r="AB475" s="91"/>
      <c r="AC475" s="94" t="str">
        <f>IF(Eingabe[[#This Row],[V1]]="",IF(Eingabe[[#This Row],[Volle alternativ]]="","",Eingabe[[#This Row],[Volle alternativ]]),SUM(Eingabe[[#This Row],[V1]:[V4]]))</f>
        <v/>
      </c>
      <c r="AD475" s="6" t="str">
        <f>IF(Eingabe[[#This Row],[R1]]="",IF(Eingabe[[#This Row],[Räumer alternativ]]="","",Eingabe[[#This Row],[Räumer alternativ]]),SUM(Eingabe[[#This Row],[R1]:[R4]]))</f>
        <v/>
      </c>
      <c r="AE475" s="6" t="str">
        <f>IF(Eingabe[[#This Row],[F1]]="",IF(Eingabe[[#This Row],[Fehler alternativ]]="","",Eingabe[[#This Row],[Fehler alternativ]]),SUM(Eingabe[[#This Row],[F1]:[F4]]))</f>
        <v/>
      </c>
      <c r="AF475" s="6" t="str">
        <f>IF(Eingabe[[#This Row],[Volle]]="","",IF(Eingabe[[#This Row],[S1]]="",Eingabe[[#This Row],[Volle]]+Eingabe[[#This Row],[Räumer]],IF(Eingabe[[#This Row],[Volle]]+Eingabe[[#This Row],[Räumer]]=Eingabe[[#This Row],[S1]]+Eingabe[[#This Row],[S2]]+Eingabe[[#This Row],[S3]]+Eingabe[[#This Row],[S4]],Eingabe[[#This Row],[Volle]]+Eingabe[[#This Row],[Räumer]],"FEHLER")))</f>
        <v/>
      </c>
      <c r="AG475" s="6" t="str">
        <f>IF(Eingabe[[#This Row],[V1]]="","",Eingabe[[#This Row],[V1]]+Eingabe[[#This Row],[R1]])</f>
        <v/>
      </c>
      <c r="AH475" s="6" t="str">
        <f>IF(Eingabe[[#This Row],[V2]]="","",Eingabe[[#This Row],[V2]]+Eingabe[[#This Row],[R2]])</f>
        <v/>
      </c>
      <c r="AI475" s="6" t="str">
        <f>IF(Eingabe[[#This Row],[V3]]="","",Eingabe[[#This Row],[V3]]+Eingabe[[#This Row],[R3]])</f>
        <v/>
      </c>
      <c r="AJ475" s="6" t="str">
        <f>IF(Eingabe[[#This Row],[V4]]="","",Eingabe[[#This Row],[V4]]+Eingabe[[#This Row],[R4]])</f>
        <v/>
      </c>
      <c r="AK475" s="6" t="str">
        <f>IF(Eingabe[[#This Row],[S1P]]="","",Eingabe[[#This Row],[S1P]]+Eingabe[[#This Row],[S2P]]+Eingabe[[#This Row],[S3P]]+Eingabe[[#This Row],[S4P]])</f>
        <v/>
      </c>
      <c r="AL475" s="6" t="str">
        <f>IF(Eingabe[[#This Row],[S1P]]="","",IF(Eingabe[[#This Row],[SP]]&gt;2,1,IF(Eingabe[[#This Row],[SP]]&lt;2,0,IF(Eingabe[[#This Row],[GES]]&gt;Eingabe[[#This Row],[GEGGES]],1,IF(Eingabe[[#This Row],[GES]]=Eingabe[[#This Row],[GEGGES]],0.5,0)))))</f>
        <v/>
      </c>
      <c r="AM475" s="6" t="str">
        <f>IF(Eingabe[[#This Row],[MP]]="","",MOD(ROW(Eingabe[[#This Row],[Position]])-3,6)+1)</f>
        <v/>
      </c>
      <c r="AN475" s="6" t="e">
        <f>STANDARDIZE(Eingabe[[#This Row],[GES]],Eingabe[[#This Row],[Schnitt]],VLOOKUP(Eingabe[[#This Row],[Name]],AuswertungG[],21,FALSE))</f>
        <v>#VALUE!</v>
      </c>
      <c r="AO475" s="6">
        <f>VLOOKUP(Eingabe[[#This Row],[ID]],Chronologie[[ID]:[KW]],12,FALSE)</f>
        <v>14</v>
      </c>
      <c r="AP475" s="95" t="str">
        <f>IF(Eingabe[[#This Row],[Wo]]="H",Eingabe[[#This Row],[Gegner]]&amp;" ["&amp;Eingabe[[#This Row],[Wo]]&amp;"]",Eingabe[[#This Row],[Ort]])</f>
        <v>Mittweida</v>
      </c>
      <c r="AQ475" s="6" t="str">
        <f>IFERROR(IF(Eingabe[[#This Row],[Wo]]="H",IF(MOD(Eingabe[[#This Row],[Position]],2)=1,Eingabe[[#This Row],[S1]],Eingabe[[#This Row],[S4]]),""),"")</f>
        <v/>
      </c>
      <c r="AR475" s="6" t="str">
        <f>IFERROR(IF(Eingabe[[#This Row],[Wo]]="H",IF(Eingabe[[#This Row],[S1]]&gt;0,IF(MOD(Eingabe[[#This Row],[Position]],2)=1,Eingabe[[#This Row],[S2]],Eingabe[[#This Row],[S3]]),""),""),"")</f>
        <v/>
      </c>
      <c r="AS475" s="6" t="str">
        <f>IFERROR(IF(Eingabe[[#This Row],[Wo]]="H",IF(Eingabe[[#This Row],[S1]]&gt;0,IF(MOD(ROW(Eingabe[[#This Row],[Heimbahn 3]]),2)=1,Eingabe[[#This Row],[S4]],Eingabe[[#This Row],[S1]]),""),""),"")</f>
        <v/>
      </c>
      <c r="AT475" s="6" t="str">
        <f>IFERROR(IF(Eingabe[[#This Row],[Wo]]="H",IF(Eingabe[[#This Row],[S1]]&gt;0,IF(MOD(ROW(Eingabe[[#This Row],[Heimbahn 4]]),2)=1,Eingabe[[#This Row],[S3]],Eingabe[[#This Row],[S2]]),""),""),"")</f>
        <v/>
      </c>
      <c r="AU475" s="22" t="str">
        <f>IF(Eingabe[[#This Row],[GES]]="","",IF(Eingabe[[#This Row],[Modus]]="L",_xlfn.RANK.EQ(Eingabe[[#This Row],[GES]],AF471:AF476),IF(Eingabe[[#This Row],[Modus]]="P",_xlfn.RANK.EQ(Eingabe[[#This Row],[GES]],AF471:AF476),"")))</f>
        <v/>
      </c>
      <c r="AV475" s="6" t="e">
        <f>VLOOKUP(Eingabe[[#This Row],[Name]],AuswertungG[],8,FALSE)</f>
        <v>#N/A</v>
      </c>
      <c r="AZ475" s="6" t="str">
        <f>IFERROR(ABS(Eingabe[[#This Row],[GES]]-Eingabe[[#This Row],[GEGGES]]),"")</f>
        <v/>
      </c>
    </row>
    <row r="476" spans="1:52" ht="16.2" hidden="1" thickBot="1" x14ac:dyDescent="0.35">
      <c r="A476" s="442"/>
      <c r="B476" s="56">
        <f t="shared" si="48"/>
        <v>79</v>
      </c>
      <c r="C476" s="23" t="str">
        <f>VLOOKUP($B476,Chronologie[],7,TRUE)</f>
        <v>TSV Fortschritt Mittweida</v>
      </c>
      <c r="D476" s="23" t="str">
        <f>VLOOKUP($B476,Chronologie[],8,TRUE)</f>
        <v>Mittweida</v>
      </c>
      <c r="E476" s="39" t="str">
        <f>VLOOKUP($B476,Chronologie[],9,TRUE)</f>
        <v>A</v>
      </c>
      <c r="F476" s="23" t="str">
        <f>VLOOKUP($B476,Chronologie[],COLUMN(F477)-2,TRUE)</f>
        <v>U19</v>
      </c>
      <c r="G476" s="23" t="str">
        <f>VLOOKUP($B476,Chronologie[],COLUMN(G477)-2,TRUE)</f>
        <v>RLT</v>
      </c>
      <c r="H476" s="23">
        <f>VLOOKUP($B476,Chronologie[],COLUMN(H477)-2,TRUE)</f>
        <v>2</v>
      </c>
      <c r="I476" s="13" t="str">
        <f>VLOOKUP($B476,Chronologie[],2,TRUE)</f>
        <v>U19-RLT-2</v>
      </c>
      <c r="J476" s="244">
        <f>VLOOKUP($B476,Chronologie[],3,TRUE)</f>
        <v>45991</v>
      </c>
      <c r="K476" s="239"/>
      <c r="L476" s="239"/>
      <c r="M476" s="239"/>
      <c r="N476" s="239"/>
      <c r="O476" s="239"/>
      <c r="P476" s="239"/>
      <c r="Q476" s="239"/>
      <c r="R476" s="239"/>
      <c r="S476" s="239"/>
      <c r="T476" s="239"/>
      <c r="U476" s="239"/>
      <c r="V476" s="239"/>
      <c r="W476" s="239"/>
      <c r="X476" s="40"/>
      <c r="Y476" s="40"/>
      <c r="Z476" s="40"/>
      <c r="AA476" s="40"/>
      <c r="AB476" s="92"/>
      <c r="AC476" s="96" t="str">
        <f>IF(Eingabe[[#This Row],[V1]]="",IF(Eingabe[[#This Row],[Volle alternativ]]="","",Eingabe[[#This Row],[Volle alternativ]]),SUM(Eingabe[[#This Row],[V1]:[V4]]))</f>
        <v/>
      </c>
      <c r="AD476" s="23" t="str">
        <f>IF(Eingabe[[#This Row],[R1]]="",IF(Eingabe[[#This Row],[Räumer alternativ]]="","",Eingabe[[#This Row],[Räumer alternativ]]),SUM(Eingabe[[#This Row],[R1]:[R4]]))</f>
        <v/>
      </c>
      <c r="AE476" s="23" t="str">
        <f>IF(Eingabe[[#This Row],[F1]]="",IF(Eingabe[[#This Row],[Fehler alternativ]]="","",Eingabe[[#This Row],[Fehler alternativ]]),SUM(Eingabe[[#This Row],[F1]:[F4]]))</f>
        <v/>
      </c>
      <c r="AF476" s="23" t="str">
        <f>IF(Eingabe[[#This Row],[Volle]]="","",IF(Eingabe[[#This Row],[S1]]="",Eingabe[[#This Row],[Volle]]+Eingabe[[#This Row],[Räumer]],IF(Eingabe[[#This Row],[Volle]]+Eingabe[[#This Row],[Räumer]]=Eingabe[[#This Row],[S1]]+Eingabe[[#This Row],[S2]]+Eingabe[[#This Row],[S3]]+Eingabe[[#This Row],[S4]],Eingabe[[#This Row],[Volle]]+Eingabe[[#This Row],[Räumer]],"FEHLER")))</f>
        <v/>
      </c>
      <c r="AG476" s="23" t="str">
        <f>IF(Eingabe[[#This Row],[V1]]="","",Eingabe[[#This Row],[V1]]+Eingabe[[#This Row],[R1]])</f>
        <v/>
      </c>
      <c r="AH476" s="23" t="str">
        <f>IF(Eingabe[[#This Row],[V2]]="","",Eingabe[[#This Row],[V2]]+Eingabe[[#This Row],[R2]])</f>
        <v/>
      </c>
      <c r="AI476" s="23" t="str">
        <f>IF(Eingabe[[#This Row],[V3]]="","",Eingabe[[#This Row],[V3]]+Eingabe[[#This Row],[R3]])</f>
        <v/>
      </c>
      <c r="AJ476" s="23" t="str">
        <f>IF(Eingabe[[#This Row],[V4]]="","",Eingabe[[#This Row],[V4]]+Eingabe[[#This Row],[R4]])</f>
        <v/>
      </c>
      <c r="AK476" s="23" t="str">
        <f>IF(Eingabe[[#This Row],[S1P]]="","",Eingabe[[#This Row],[S1P]]+Eingabe[[#This Row],[S2P]]+Eingabe[[#This Row],[S3P]]+Eingabe[[#This Row],[S4P]])</f>
        <v/>
      </c>
      <c r="AL476" s="23" t="str">
        <f>IF(Eingabe[[#This Row],[S1P]]="","",IF(Eingabe[[#This Row],[SP]]&gt;2,1,IF(Eingabe[[#This Row],[SP]]&lt;2,0,IF(Eingabe[[#This Row],[GES]]&gt;Eingabe[[#This Row],[GEGGES]],1,IF(Eingabe[[#This Row],[GES]]=Eingabe[[#This Row],[GEGGES]],0.5,0)))))</f>
        <v/>
      </c>
      <c r="AM476" s="23" t="str">
        <f>IF(Eingabe[[#This Row],[MP]]="","",MOD(ROW(Eingabe[[#This Row],[Position]])-3,6)+1)</f>
        <v/>
      </c>
      <c r="AN476" s="23" t="e">
        <f>STANDARDIZE(Eingabe[[#This Row],[GES]],Eingabe[[#This Row],[Schnitt]],VLOOKUP(Eingabe[[#This Row],[Name]],AuswertungG[],21,FALSE))</f>
        <v>#VALUE!</v>
      </c>
      <c r="AO476" s="23">
        <f>VLOOKUP(Eingabe[[#This Row],[ID]],Chronologie[[ID]:[KW]],12,FALSE)</f>
        <v>14</v>
      </c>
      <c r="AP476" s="59" t="str">
        <f>IF(Eingabe[[#This Row],[Wo]]="H",Eingabe[[#This Row],[Gegner]]&amp;" ["&amp;Eingabe[[#This Row],[Wo]]&amp;"]",Eingabe[[#This Row],[Ort]])</f>
        <v>Mittweida</v>
      </c>
      <c r="AQ476" s="23" t="str">
        <f>IFERROR(IF(Eingabe[[#This Row],[Wo]]="H",IF(MOD(Eingabe[[#This Row],[Position]],2)=1,Eingabe[[#This Row],[S1]],Eingabe[[#This Row],[S4]]),""),"")</f>
        <v/>
      </c>
      <c r="AR476" s="23" t="str">
        <f>IFERROR(IF(Eingabe[[#This Row],[Wo]]="H",IF(Eingabe[[#This Row],[S1]]&gt;0,IF(MOD(Eingabe[[#This Row],[Position]],2)=1,Eingabe[[#This Row],[S2]],Eingabe[[#This Row],[S3]]),""),""),"")</f>
        <v/>
      </c>
      <c r="AS476" s="23" t="str">
        <f>IFERROR(IF(Eingabe[[#This Row],[Wo]]="H",IF(Eingabe[[#This Row],[S1]]&gt;0,IF(MOD(ROW(Eingabe[[#This Row],[Heimbahn 3]]),2)=1,Eingabe[[#This Row],[S4]],Eingabe[[#This Row],[S1]]),""),""),"")</f>
        <v/>
      </c>
      <c r="AT476" s="23" t="str">
        <f>IFERROR(IF(Eingabe[[#This Row],[Wo]]="H",IF(Eingabe[[#This Row],[S1]]&gt;0,IF(MOD(ROW(Eingabe[[#This Row],[Heimbahn 4]]),2)=1,Eingabe[[#This Row],[S3]],Eingabe[[#This Row],[S2]]),""),""),"")</f>
        <v/>
      </c>
      <c r="AU476" s="89" t="str">
        <f>IF(Eingabe[[#This Row],[GES]]="","",IF(Eingabe[[#This Row],[Modus]]="L",_xlfn.RANK.EQ(Eingabe[[#This Row],[GES]],AF471:AF476),IF(Eingabe[[#This Row],[Modus]]="P",_xlfn.RANK.EQ(Eingabe[[#This Row],[GES]],AF471:AF476),"")))</f>
        <v/>
      </c>
      <c r="AV476" s="6" t="e">
        <f>VLOOKUP(Eingabe[[#This Row],[Name]],AuswertungG[],8,FALSE)</f>
        <v>#N/A</v>
      </c>
      <c r="AZ476" s="6" t="str">
        <f>IFERROR(ABS(Eingabe[[#This Row],[GES]]-Eingabe[[#This Row],[GEGGES]]),"")</f>
        <v/>
      </c>
    </row>
    <row r="477" spans="1:52" ht="16.2" hidden="1" thickBot="1" x14ac:dyDescent="0.35">
      <c r="A477" s="440">
        <f t="shared" si="47"/>
        <v>80</v>
      </c>
      <c r="B477" s="55">
        <f t="shared" si="48"/>
        <v>80</v>
      </c>
      <c r="C477" s="35">
        <f>VLOOKUP($B477,Chronologie[],7,TRUE)</f>
        <v>0</v>
      </c>
      <c r="D477" s="35">
        <f>VLOOKUP($B477,Chronologie[],8,TRUE)</f>
        <v>0</v>
      </c>
      <c r="E477" s="36">
        <f>VLOOKUP($B477,Chronologie[],9,TRUE)</f>
        <v>0</v>
      </c>
      <c r="F477" s="35" t="str">
        <f>VLOOKUP($B477,Chronologie[],COLUMN(F478)-2,TRUE)</f>
        <v>U19</v>
      </c>
      <c r="G477" s="35" t="str">
        <f>VLOOKUP($B477,Chronologie[],COLUMN(G478)-2,TRUE)</f>
        <v>RLT</v>
      </c>
      <c r="H477" s="35">
        <f>VLOOKUP($B477,Chronologie[],COLUMN(H478)-2,TRUE)</f>
        <v>3</v>
      </c>
      <c r="I477" s="9" t="str">
        <f>VLOOKUP($B477,Chronologie[],2,TRUE)</f>
        <v>U19-RLT-3</v>
      </c>
      <c r="J477" s="242">
        <f>VLOOKUP($B477,Chronologie[],3,TRUE)</f>
        <v>0</v>
      </c>
      <c r="K477" s="236"/>
      <c r="L477" s="334"/>
      <c r="M477" s="334"/>
      <c r="N477" s="334"/>
      <c r="O477" s="334"/>
      <c r="P477" s="334"/>
      <c r="Q477" s="334"/>
      <c r="R477" s="334"/>
      <c r="S477" s="334"/>
      <c r="T477" s="334"/>
      <c r="U477" s="334"/>
      <c r="V477" s="334"/>
      <c r="W477" s="334"/>
      <c r="X477" s="37"/>
      <c r="Y477" s="37"/>
      <c r="Z477" s="37"/>
      <c r="AA477" s="37"/>
      <c r="AB477" s="90"/>
      <c r="AC477" s="93" t="str">
        <f>IF(Eingabe[[#This Row],[V1]]="",IF(Eingabe[[#This Row],[Volle alternativ]]="","",Eingabe[[#This Row],[Volle alternativ]]),SUM(Eingabe[[#This Row],[V1]:[V4]]))</f>
        <v/>
      </c>
      <c r="AD477" s="35" t="str">
        <f>IF(Eingabe[[#This Row],[R1]]="",IF(Eingabe[[#This Row],[Räumer alternativ]]="","",Eingabe[[#This Row],[Räumer alternativ]]),SUM(Eingabe[[#This Row],[R1]:[R4]]))</f>
        <v/>
      </c>
      <c r="AE477" s="35" t="str">
        <f>IF(Eingabe[[#This Row],[F1]]="",IF(Eingabe[[#This Row],[Fehler alternativ]]="","",Eingabe[[#This Row],[Fehler alternativ]]),SUM(Eingabe[[#This Row],[F1]:[F4]]))</f>
        <v/>
      </c>
      <c r="AF477" s="35" t="str">
        <f>IF(Eingabe[[#This Row],[Volle]]="","",IF(Eingabe[[#This Row],[S1]]="",Eingabe[[#This Row],[Volle]]+Eingabe[[#This Row],[Räumer]],IF(Eingabe[[#This Row],[Volle]]+Eingabe[[#This Row],[Räumer]]=Eingabe[[#This Row],[S1]]+Eingabe[[#This Row],[S2]]+Eingabe[[#This Row],[S3]]+Eingabe[[#This Row],[S4]],Eingabe[[#This Row],[Volle]]+Eingabe[[#This Row],[Räumer]],"FEHLER")))</f>
        <v/>
      </c>
      <c r="AG477" s="35" t="str">
        <f>IF(Eingabe[[#This Row],[V1]]="","",Eingabe[[#This Row],[V1]]+Eingabe[[#This Row],[R1]])</f>
        <v/>
      </c>
      <c r="AH477" s="35" t="str">
        <f>IF(Eingabe[[#This Row],[V2]]="","",Eingabe[[#This Row],[V2]]+Eingabe[[#This Row],[R2]])</f>
        <v/>
      </c>
      <c r="AI477" s="35" t="str">
        <f>IF(Eingabe[[#This Row],[V3]]="","",Eingabe[[#This Row],[V3]]+Eingabe[[#This Row],[R3]])</f>
        <v/>
      </c>
      <c r="AJ477" s="35" t="str">
        <f>IF(Eingabe[[#This Row],[V4]]="","",Eingabe[[#This Row],[V4]]+Eingabe[[#This Row],[R4]])</f>
        <v/>
      </c>
      <c r="AK477" s="35" t="str">
        <f>IF(Eingabe[[#This Row],[S1P]]="","",Eingabe[[#This Row],[S1P]]+Eingabe[[#This Row],[S2P]]+Eingabe[[#This Row],[S3P]]+Eingabe[[#This Row],[S4P]])</f>
        <v/>
      </c>
      <c r="AL477" s="35" t="str">
        <f>IF(Eingabe[[#This Row],[S1P]]="","",IF(Eingabe[[#This Row],[SP]]&gt;2,1,IF(Eingabe[[#This Row],[SP]]&lt;2,0,IF(Eingabe[[#This Row],[GES]]&gt;Eingabe[[#This Row],[GEGGES]],1,IF(Eingabe[[#This Row],[GES]]=Eingabe[[#This Row],[GEGGES]],0.5,0)))))</f>
        <v/>
      </c>
      <c r="AM477" s="35" t="str">
        <f>IF(Eingabe[[#This Row],[MP]]="","",MOD(ROW(Eingabe[[#This Row],[Position]])-3,6)+1)</f>
        <v/>
      </c>
      <c r="AN477" s="35" t="e">
        <f>STANDARDIZE(Eingabe[[#This Row],[GES]],Eingabe[[#This Row],[Schnitt]],VLOOKUP(Eingabe[[#This Row],[Name]],AuswertungG[],21,FALSE))</f>
        <v>#VALUE!</v>
      </c>
      <c r="AO477" s="35" t="str">
        <f>VLOOKUP(Eingabe[[#This Row],[ID]],Chronologie[[ID]:[KW]],12,FALSE)</f>
        <v/>
      </c>
      <c r="AP477" s="58">
        <f>IF(Eingabe[[#This Row],[Wo]]="H",Eingabe[[#This Row],[Gegner]]&amp;" ["&amp;Eingabe[[#This Row],[Wo]]&amp;"]",Eingabe[[#This Row],[Ort]])</f>
        <v>0</v>
      </c>
      <c r="AQ477" s="35" t="str">
        <f>IFERROR(IF(Eingabe[[#This Row],[Wo]]="H",IF(MOD(Eingabe[[#This Row],[Position]],2)=1,Eingabe[[#This Row],[S1]],Eingabe[[#This Row],[S4]]),""),"")</f>
        <v/>
      </c>
      <c r="AR477" s="35" t="str">
        <f>IFERROR(IF(Eingabe[[#This Row],[Wo]]="H",IF(Eingabe[[#This Row],[S1]]&gt;0,IF(MOD(Eingabe[[#This Row],[Position]],2)=1,Eingabe[[#This Row],[S2]],Eingabe[[#This Row],[S3]]),""),""),"")</f>
        <v/>
      </c>
      <c r="AS477" s="35" t="str">
        <f>IFERROR(IF(Eingabe[[#This Row],[Wo]]="H",IF(Eingabe[[#This Row],[S1]]&gt;0,IF(MOD(ROW(Eingabe[[#This Row],[Heimbahn 3]]),2)=1,Eingabe[[#This Row],[S4]],Eingabe[[#This Row],[S1]]),""),""),"")</f>
        <v/>
      </c>
      <c r="AT477" s="35" t="str">
        <f>IFERROR(IF(Eingabe[[#This Row],[Wo]]="H",IF(Eingabe[[#This Row],[S1]]&gt;0,IF(MOD(ROW(Eingabe[[#This Row],[Heimbahn 4]]),2)=1,Eingabe[[#This Row],[S3]],Eingabe[[#This Row],[S2]]),""),""),"")</f>
        <v/>
      </c>
      <c r="AU477" s="88" t="str">
        <f>IF(Eingabe[[#This Row],[GES]]="","",IF(Eingabe[[#This Row],[Modus]]="L",_xlfn.RANK.EQ(Eingabe[[#This Row],[GES]],AF477:AF482),IF(Eingabe[[#This Row],[Modus]]="P",_xlfn.RANK.EQ(Eingabe[[#This Row],[GES]],AF477:AF482),"")))</f>
        <v/>
      </c>
      <c r="AV477" s="6" t="e">
        <f>VLOOKUP(Eingabe[[#This Row],[Name]],AuswertungG[],8,FALSE)</f>
        <v>#N/A</v>
      </c>
      <c r="AZ477" s="6" t="str">
        <f>IFERROR(ABS(Eingabe[[#This Row],[GES]]-Eingabe[[#This Row],[GEGGES]]),"")</f>
        <v/>
      </c>
    </row>
    <row r="478" spans="1:52" ht="16.2" hidden="1" thickBot="1" x14ac:dyDescent="0.35">
      <c r="A478" s="441"/>
      <c r="B478" s="21">
        <f t="shared" si="48"/>
        <v>80</v>
      </c>
      <c r="C478" s="6">
        <f>VLOOKUP($B478,Chronologie[],7,TRUE)</f>
        <v>0</v>
      </c>
      <c r="D478" s="6">
        <f>VLOOKUP($B478,Chronologie[],8,TRUE)</f>
        <v>0</v>
      </c>
      <c r="E478" s="240">
        <f>VLOOKUP($B478,Chronologie[],9,TRUE)</f>
        <v>0</v>
      </c>
      <c r="F478" s="6" t="str">
        <f>VLOOKUP($B478,Chronologie[],COLUMN(F479)-2,TRUE)</f>
        <v>U19</v>
      </c>
      <c r="G478" s="6" t="str">
        <f>VLOOKUP($B478,Chronologie[],COLUMN(G479)-2,TRUE)</f>
        <v>RLT</v>
      </c>
      <c r="H478" s="6">
        <f>VLOOKUP($B478,Chronologie[],COLUMN(H479)-2,TRUE)</f>
        <v>3</v>
      </c>
      <c r="I478" s="10" t="str">
        <f>VLOOKUP($B478,Chronologie[],2,TRUE)</f>
        <v>U19-RLT-3</v>
      </c>
      <c r="J478" s="243">
        <f>VLOOKUP($B478,Chronologie[],3,TRUE)</f>
        <v>0</v>
      </c>
      <c r="K478" s="237"/>
      <c r="L478" s="237"/>
      <c r="M478" s="237"/>
      <c r="N478" s="237"/>
      <c r="O478" s="237"/>
      <c r="P478" s="237"/>
      <c r="Q478" s="237"/>
      <c r="R478" s="237"/>
      <c r="S478" s="237"/>
      <c r="T478" s="237"/>
      <c r="U478" s="237"/>
      <c r="V478" s="237"/>
      <c r="W478" s="237"/>
      <c r="X478" s="38"/>
      <c r="Y478" s="38"/>
      <c r="Z478" s="38"/>
      <c r="AA478" s="38"/>
      <c r="AB478" s="91"/>
      <c r="AC478" s="94" t="str">
        <f>IF(Eingabe[[#This Row],[V1]]="",IF(Eingabe[[#This Row],[Volle alternativ]]="","",Eingabe[[#This Row],[Volle alternativ]]),SUM(Eingabe[[#This Row],[V1]:[V4]]))</f>
        <v/>
      </c>
      <c r="AD478" s="6" t="str">
        <f>IF(Eingabe[[#This Row],[R1]]="",IF(Eingabe[[#This Row],[Räumer alternativ]]="","",Eingabe[[#This Row],[Räumer alternativ]]),SUM(Eingabe[[#This Row],[R1]:[R4]]))</f>
        <v/>
      </c>
      <c r="AE478" s="6" t="str">
        <f>IF(Eingabe[[#This Row],[F1]]="",IF(Eingabe[[#This Row],[Fehler alternativ]]="","",Eingabe[[#This Row],[Fehler alternativ]]),SUM(Eingabe[[#This Row],[F1]:[F4]]))</f>
        <v/>
      </c>
      <c r="AF478" s="6" t="str">
        <f>IF(Eingabe[[#This Row],[Volle]]="","",IF(Eingabe[[#This Row],[S1]]="",Eingabe[[#This Row],[Volle]]+Eingabe[[#This Row],[Räumer]],IF(Eingabe[[#This Row],[Volle]]+Eingabe[[#This Row],[Räumer]]=Eingabe[[#This Row],[S1]]+Eingabe[[#This Row],[S2]]+Eingabe[[#This Row],[S3]]+Eingabe[[#This Row],[S4]],Eingabe[[#This Row],[Volle]]+Eingabe[[#This Row],[Räumer]],"FEHLER")))</f>
        <v/>
      </c>
      <c r="AG478" s="6" t="str">
        <f>IF(Eingabe[[#This Row],[V1]]="","",Eingabe[[#This Row],[V1]]+Eingabe[[#This Row],[R1]])</f>
        <v/>
      </c>
      <c r="AH478" s="6" t="str">
        <f>IF(Eingabe[[#This Row],[V2]]="","",Eingabe[[#This Row],[V2]]+Eingabe[[#This Row],[R2]])</f>
        <v/>
      </c>
      <c r="AI478" s="6" t="str">
        <f>IF(Eingabe[[#This Row],[V3]]="","",Eingabe[[#This Row],[V3]]+Eingabe[[#This Row],[R3]])</f>
        <v/>
      </c>
      <c r="AJ478" s="6" t="str">
        <f>IF(Eingabe[[#This Row],[V4]]="","",Eingabe[[#This Row],[V4]]+Eingabe[[#This Row],[R4]])</f>
        <v/>
      </c>
      <c r="AK478" s="6" t="str">
        <f>IF(Eingabe[[#This Row],[S1P]]="","",Eingabe[[#This Row],[S1P]]+Eingabe[[#This Row],[S2P]]+Eingabe[[#This Row],[S3P]]+Eingabe[[#This Row],[S4P]])</f>
        <v/>
      </c>
      <c r="AL478" s="6" t="str">
        <f>IF(Eingabe[[#This Row],[S1P]]="","",IF(Eingabe[[#This Row],[SP]]&gt;2,1,IF(Eingabe[[#This Row],[SP]]&lt;2,0,IF(Eingabe[[#This Row],[GES]]&gt;Eingabe[[#This Row],[GEGGES]],1,IF(Eingabe[[#This Row],[GES]]=Eingabe[[#This Row],[GEGGES]],0.5,0)))))</f>
        <v/>
      </c>
      <c r="AM478" s="6" t="str">
        <f>IF(Eingabe[[#This Row],[MP]]="","",MOD(ROW(Eingabe[[#This Row],[Position]])-3,6)+1)</f>
        <v/>
      </c>
      <c r="AN478" s="6" t="e">
        <f>STANDARDIZE(Eingabe[[#This Row],[GES]],Eingabe[[#This Row],[Schnitt]],VLOOKUP(Eingabe[[#This Row],[Name]],AuswertungG[],21,FALSE))</f>
        <v>#VALUE!</v>
      </c>
      <c r="AO478" s="6" t="str">
        <f>VLOOKUP(Eingabe[[#This Row],[ID]],Chronologie[[ID]:[KW]],12,FALSE)</f>
        <v/>
      </c>
      <c r="AP478" s="95">
        <f>IF(Eingabe[[#This Row],[Wo]]="H",Eingabe[[#This Row],[Gegner]]&amp;" ["&amp;Eingabe[[#This Row],[Wo]]&amp;"]",Eingabe[[#This Row],[Ort]])</f>
        <v>0</v>
      </c>
      <c r="AQ478" s="6" t="str">
        <f>IFERROR(IF(Eingabe[[#This Row],[Wo]]="H",IF(MOD(Eingabe[[#This Row],[Position]],2)=1,Eingabe[[#This Row],[S1]],Eingabe[[#This Row],[S4]]),""),"")</f>
        <v/>
      </c>
      <c r="AR478" s="6" t="str">
        <f>IFERROR(IF(Eingabe[[#This Row],[Wo]]="H",IF(Eingabe[[#This Row],[S1]]&gt;0,IF(MOD(Eingabe[[#This Row],[Position]],2)=1,Eingabe[[#This Row],[S2]],Eingabe[[#This Row],[S3]]),""),""),"")</f>
        <v/>
      </c>
      <c r="AS478" s="6" t="str">
        <f>IFERROR(IF(Eingabe[[#This Row],[Wo]]="H",IF(Eingabe[[#This Row],[S1]]&gt;0,IF(MOD(ROW(Eingabe[[#This Row],[Heimbahn 3]]),2)=1,Eingabe[[#This Row],[S4]],Eingabe[[#This Row],[S1]]),""),""),"")</f>
        <v/>
      </c>
      <c r="AT478" s="6" t="str">
        <f>IFERROR(IF(Eingabe[[#This Row],[Wo]]="H",IF(Eingabe[[#This Row],[S1]]&gt;0,IF(MOD(ROW(Eingabe[[#This Row],[Heimbahn 4]]),2)=1,Eingabe[[#This Row],[S3]],Eingabe[[#This Row],[S2]]),""),""),"")</f>
        <v/>
      </c>
      <c r="AU478" s="22" t="str">
        <f>IF(Eingabe[[#This Row],[GES]]="","",IF(Eingabe[[#This Row],[Modus]]="L",_xlfn.RANK.EQ(Eingabe[[#This Row],[GES]],AF477:AF482),IF(Eingabe[[#This Row],[Modus]]="P",_xlfn.RANK.EQ(Eingabe[[#This Row],[GES]],AF477:AF482),"")))</f>
        <v/>
      </c>
      <c r="AV478" s="6" t="e">
        <f>VLOOKUP(Eingabe[[#This Row],[Name]],AuswertungG[],8,FALSE)</f>
        <v>#N/A</v>
      </c>
      <c r="AZ478" s="6" t="str">
        <f>IFERROR(ABS(Eingabe[[#This Row],[GES]]-Eingabe[[#This Row],[GEGGES]]),"")</f>
        <v/>
      </c>
    </row>
    <row r="479" spans="1:52" ht="16.2" hidden="1" thickBot="1" x14ac:dyDescent="0.35">
      <c r="A479" s="441"/>
      <c r="B479" s="21">
        <f t="shared" si="48"/>
        <v>80</v>
      </c>
      <c r="C479" s="6">
        <f>VLOOKUP($B479,Chronologie[],7,TRUE)</f>
        <v>0</v>
      </c>
      <c r="D479" s="6">
        <f>VLOOKUP($B479,Chronologie[],8,TRUE)</f>
        <v>0</v>
      </c>
      <c r="E479" s="240">
        <f>VLOOKUP($B479,Chronologie[],9,TRUE)</f>
        <v>0</v>
      </c>
      <c r="F479" s="6" t="str">
        <f>VLOOKUP($B479,Chronologie[],COLUMN(F480)-2,TRUE)</f>
        <v>U19</v>
      </c>
      <c r="G479" s="6" t="str">
        <f>VLOOKUP($B479,Chronologie[],COLUMN(G480)-2,TRUE)</f>
        <v>RLT</v>
      </c>
      <c r="H479" s="6">
        <f>VLOOKUP($B479,Chronologie[],COLUMN(H480)-2,TRUE)</f>
        <v>3</v>
      </c>
      <c r="I479" s="10" t="str">
        <f>VLOOKUP($B479,Chronologie[],2,TRUE)</f>
        <v>U19-RLT-3</v>
      </c>
      <c r="J479" s="243">
        <f>VLOOKUP($B479,Chronologie[],3,TRUE)</f>
        <v>0</v>
      </c>
      <c r="K479" s="237"/>
      <c r="L479" s="237"/>
      <c r="M479" s="237"/>
      <c r="N479" s="237"/>
      <c r="O479" s="237"/>
      <c r="P479" s="237"/>
      <c r="Q479" s="237"/>
      <c r="R479" s="237"/>
      <c r="S479" s="237"/>
      <c r="T479" s="237"/>
      <c r="U479" s="237"/>
      <c r="V479" s="237"/>
      <c r="W479" s="237"/>
      <c r="X479" s="38"/>
      <c r="Y479" s="38"/>
      <c r="Z479" s="38"/>
      <c r="AA479" s="38"/>
      <c r="AB479" s="91"/>
      <c r="AC479" s="94" t="str">
        <f>IF(Eingabe[[#This Row],[V1]]="",IF(Eingabe[[#This Row],[Volle alternativ]]="","",Eingabe[[#This Row],[Volle alternativ]]),SUM(Eingabe[[#This Row],[V1]:[V4]]))</f>
        <v/>
      </c>
      <c r="AD479" s="6" t="str">
        <f>IF(Eingabe[[#This Row],[R1]]="",IF(Eingabe[[#This Row],[Räumer alternativ]]="","",Eingabe[[#This Row],[Räumer alternativ]]),SUM(Eingabe[[#This Row],[R1]:[R4]]))</f>
        <v/>
      </c>
      <c r="AE479" s="6" t="str">
        <f>IF(Eingabe[[#This Row],[F1]]="",IF(Eingabe[[#This Row],[Fehler alternativ]]="","",Eingabe[[#This Row],[Fehler alternativ]]),SUM(Eingabe[[#This Row],[F1]:[F4]]))</f>
        <v/>
      </c>
      <c r="AF479" s="6" t="str">
        <f>IF(Eingabe[[#This Row],[Volle]]="","",IF(Eingabe[[#This Row],[S1]]="",Eingabe[[#This Row],[Volle]]+Eingabe[[#This Row],[Räumer]],IF(Eingabe[[#This Row],[Volle]]+Eingabe[[#This Row],[Räumer]]=Eingabe[[#This Row],[S1]]+Eingabe[[#This Row],[S2]]+Eingabe[[#This Row],[S3]]+Eingabe[[#This Row],[S4]],Eingabe[[#This Row],[Volle]]+Eingabe[[#This Row],[Räumer]],"FEHLER")))</f>
        <v/>
      </c>
      <c r="AG479" s="6" t="str">
        <f>IF(Eingabe[[#This Row],[V1]]="","",Eingabe[[#This Row],[V1]]+Eingabe[[#This Row],[R1]])</f>
        <v/>
      </c>
      <c r="AH479" s="6" t="str">
        <f>IF(Eingabe[[#This Row],[V2]]="","",Eingabe[[#This Row],[V2]]+Eingabe[[#This Row],[R2]])</f>
        <v/>
      </c>
      <c r="AI479" s="6" t="str">
        <f>IF(Eingabe[[#This Row],[V3]]="","",Eingabe[[#This Row],[V3]]+Eingabe[[#This Row],[R3]])</f>
        <v/>
      </c>
      <c r="AJ479" s="6" t="str">
        <f>IF(Eingabe[[#This Row],[V4]]="","",Eingabe[[#This Row],[V4]]+Eingabe[[#This Row],[R4]])</f>
        <v/>
      </c>
      <c r="AK479" s="6" t="str">
        <f>IF(Eingabe[[#This Row],[S1P]]="","",Eingabe[[#This Row],[S1P]]+Eingabe[[#This Row],[S2P]]+Eingabe[[#This Row],[S3P]]+Eingabe[[#This Row],[S4P]])</f>
        <v/>
      </c>
      <c r="AL479" s="6" t="str">
        <f>IF(Eingabe[[#This Row],[S1P]]="","",IF(Eingabe[[#This Row],[SP]]&gt;2,1,IF(Eingabe[[#This Row],[SP]]&lt;2,0,IF(Eingabe[[#This Row],[GES]]&gt;Eingabe[[#This Row],[GEGGES]],1,IF(Eingabe[[#This Row],[GES]]=Eingabe[[#This Row],[GEGGES]],0.5,0)))))</f>
        <v/>
      </c>
      <c r="AM479" s="6" t="str">
        <f>IF(Eingabe[[#This Row],[MP]]="","",MOD(ROW(Eingabe[[#This Row],[Position]])-3,6)+1)</f>
        <v/>
      </c>
      <c r="AN479" s="6" t="e">
        <f>STANDARDIZE(Eingabe[[#This Row],[GES]],Eingabe[[#This Row],[Schnitt]],VLOOKUP(Eingabe[[#This Row],[Name]],AuswertungG[],21,FALSE))</f>
        <v>#VALUE!</v>
      </c>
      <c r="AO479" s="6" t="str">
        <f>VLOOKUP(Eingabe[[#This Row],[ID]],Chronologie[[ID]:[KW]],12,FALSE)</f>
        <v/>
      </c>
      <c r="AP479" s="95">
        <f>IF(Eingabe[[#This Row],[Wo]]="H",Eingabe[[#This Row],[Gegner]]&amp;" ["&amp;Eingabe[[#This Row],[Wo]]&amp;"]",Eingabe[[#This Row],[Ort]])</f>
        <v>0</v>
      </c>
      <c r="AQ479" s="6" t="str">
        <f>IFERROR(IF(Eingabe[[#This Row],[Wo]]="H",IF(MOD(Eingabe[[#This Row],[Position]],2)=1,Eingabe[[#This Row],[S1]],Eingabe[[#This Row],[S4]]),""),"")</f>
        <v/>
      </c>
      <c r="AR479" s="6" t="str">
        <f>IFERROR(IF(Eingabe[[#This Row],[Wo]]="H",IF(Eingabe[[#This Row],[S1]]&gt;0,IF(MOD(Eingabe[[#This Row],[Position]],2)=1,Eingabe[[#This Row],[S2]],Eingabe[[#This Row],[S3]]),""),""),"")</f>
        <v/>
      </c>
      <c r="AS479" s="6" t="str">
        <f>IFERROR(IF(Eingabe[[#This Row],[Wo]]="H",IF(Eingabe[[#This Row],[S1]]&gt;0,IF(MOD(ROW(Eingabe[[#This Row],[Heimbahn 3]]),2)=1,Eingabe[[#This Row],[S4]],Eingabe[[#This Row],[S1]]),""),""),"")</f>
        <v/>
      </c>
      <c r="AT479" s="6" t="str">
        <f>IFERROR(IF(Eingabe[[#This Row],[Wo]]="H",IF(Eingabe[[#This Row],[S1]]&gt;0,IF(MOD(ROW(Eingabe[[#This Row],[Heimbahn 4]]),2)=1,Eingabe[[#This Row],[S3]],Eingabe[[#This Row],[S2]]),""),""),"")</f>
        <v/>
      </c>
      <c r="AU479" s="22" t="str">
        <f>IF(Eingabe[[#This Row],[GES]]="","",IF(Eingabe[[#This Row],[Modus]]="L",_xlfn.RANK.EQ(Eingabe[[#This Row],[GES]],AF477:AF482),IF(Eingabe[[#This Row],[Modus]]="P",_xlfn.RANK.EQ(Eingabe[[#This Row],[GES]],AF477:AF482),"")))</f>
        <v/>
      </c>
      <c r="AV479" s="6" t="e">
        <f>VLOOKUP(Eingabe[[#This Row],[Name]],AuswertungG[],8,FALSE)</f>
        <v>#N/A</v>
      </c>
      <c r="AZ479" s="6" t="str">
        <f>IFERROR(ABS(Eingabe[[#This Row],[GES]]-Eingabe[[#This Row],[GEGGES]]),"")</f>
        <v/>
      </c>
    </row>
    <row r="480" spans="1:52" ht="16.2" hidden="1" thickBot="1" x14ac:dyDescent="0.35">
      <c r="A480" s="441"/>
      <c r="B480" s="21">
        <f t="shared" si="48"/>
        <v>80</v>
      </c>
      <c r="C480" s="6">
        <f>VLOOKUP($B480,Chronologie[],7,TRUE)</f>
        <v>0</v>
      </c>
      <c r="D480" s="6">
        <f>VLOOKUP($B480,Chronologie[],8,TRUE)</f>
        <v>0</v>
      </c>
      <c r="E480" s="240">
        <f>VLOOKUP($B480,Chronologie[],9,TRUE)</f>
        <v>0</v>
      </c>
      <c r="F480" s="6" t="str">
        <f>VLOOKUP($B480,Chronologie[],COLUMN(F481)-2,TRUE)</f>
        <v>U19</v>
      </c>
      <c r="G480" s="6" t="str">
        <f>VLOOKUP($B480,Chronologie[],COLUMN(G481)-2,TRUE)</f>
        <v>RLT</v>
      </c>
      <c r="H480" s="6">
        <f>VLOOKUP($B480,Chronologie[],COLUMN(H481)-2,TRUE)</f>
        <v>3</v>
      </c>
      <c r="I480" s="10" t="str">
        <f>VLOOKUP($B480,Chronologie[],2,TRUE)</f>
        <v>U19-RLT-3</v>
      </c>
      <c r="J480" s="243">
        <f>VLOOKUP($B480,Chronologie[],3,TRUE)</f>
        <v>0</v>
      </c>
      <c r="K480" s="238"/>
      <c r="L480" s="237"/>
      <c r="M480" s="237"/>
      <c r="N480" s="237"/>
      <c r="O480" s="237"/>
      <c r="P480" s="237"/>
      <c r="Q480" s="237"/>
      <c r="R480" s="237"/>
      <c r="S480" s="237"/>
      <c r="T480" s="237"/>
      <c r="U480" s="237"/>
      <c r="V480" s="237"/>
      <c r="W480" s="237"/>
      <c r="X480" s="38"/>
      <c r="Y480" s="38"/>
      <c r="Z480" s="38"/>
      <c r="AA480" s="38"/>
      <c r="AB480" s="91"/>
      <c r="AC480" s="94" t="str">
        <f>IF(Eingabe[[#This Row],[V1]]="",IF(Eingabe[[#This Row],[Volle alternativ]]="","",Eingabe[[#This Row],[Volle alternativ]]),SUM(Eingabe[[#This Row],[V1]:[V4]]))</f>
        <v/>
      </c>
      <c r="AD480" s="6" t="str">
        <f>IF(Eingabe[[#This Row],[R1]]="",IF(Eingabe[[#This Row],[Räumer alternativ]]="","",Eingabe[[#This Row],[Räumer alternativ]]),SUM(Eingabe[[#This Row],[R1]:[R4]]))</f>
        <v/>
      </c>
      <c r="AE480" s="6" t="str">
        <f>IF(Eingabe[[#This Row],[F1]]="",IF(Eingabe[[#This Row],[Fehler alternativ]]="","",Eingabe[[#This Row],[Fehler alternativ]]),SUM(Eingabe[[#This Row],[F1]:[F4]]))</f>
        <v/>
      </c>
      <c r="AF480" s="6" t="str">
        <f>IF(Eingabe[[#This Row],[Volle]]="","",IF(Eingabe[[#This Row],[S1]]="",Eingabe[[#This Row],[Volle]]+Eingabe[[#This Row],[Räumer]],IF(Eingabe[[#This Row],[Volle]]+Eingabe[[#This Row],[Räumer]]=Eingabe[[#This Row],[S1]]+Eingabe[[#This Row],[S2]]+Eingabe[[#This Row],[S3]]+Eingabe[[#This Row],[S4]],Eingabe[[#This Row],[Volle]]+Eingabe[[#This Row],[Räumer]],"FEHLER")))</f>
        <v/>
      </c>
      <c r="AG480" s="6" t="str">
        <f>IF(Eingabe[[#This Row],[V1]]="","",Eingabe[[#This Row],[V1]]+Eingabe[[#This Row],[R1]])</f>
        <v/>
      </c>
      <c r="AH480" s="6" t="str">
        <f>IF(Eingabe[[#This Row],[V2]]="","",Eingabe[[#This Row],[V2]]+Eingabe[[#This Row],[R2]])</f>
        <v/>
      </c>
      <c r="AI480" s="6" t="str">
        <f>IF(Eingabe[[#This Row],[V3]]="","",Eingabe[[#This Row],[V3]]+Eingabe[[#This Row],[R3]])</f>
        <v/>
      </c>
      <c r="AJ480" s="6" t="str">
        <f>IF(Eingabe[[#This Row],[V4]]="","",Eingabe[[#This Row],[V4]]+Eingabe[[#This Row],[R4]])</f>
        <v/>
      </c>
      <c r="AK480" s="6" t="str">
        <f>IF(Eingabe[[#This Row],[S1P]]="","",Eingabe[[#This Row],[S1P]]+Eingabe[[#This Row],[S2P]]+Eingabe[[#This Row],[S3P]]+Eingabe[[#This Row],[S4P]])</f>
        <v/>
      </c>
      <c r="AL480" s="6" t="str">
        <f>IF(Eingabe[[#This Row],[S1P]]="","",IF(Eingabe[[#This Row],[SP]]&gt;2,1,IF(Eingabe[[#This Row],[SP]]&lt;2,0,IF(Eingabe[[#This Row],[GES]]&gt;Eingabe[[#This Row],[GEGGES]],1,IF(Eingabe[[#This Row],[GES]]=Eingabe[[#This Row],[GEGGES]],0.5,0)))))</f>
        <v/>
      </c>
      <c r="AM480" s="6" t="str">
        <f>IF(Eingabe[[#This Row],[MP]]="","",MOD(ROW(Eingabe[[#This Row],[Position]])-3,6)+1)</f>
        <v/>
      </c>
      <c r="AN480" s="6" t="e">
        <f>STANDARDIZE(Eingabe[[#This Row],[GES]],Eingabe[[#This Row],[Schnitt]],VLOOKUP(Eingabe[[#This Row],[Name]],AuswertungG[],21,FALSE))</f>
        <v>#VALUE!</v>
      </c>
      <c r="AO480" s="6" t="str">
        <f>VLOOKUP(Eingabe[[#This Row],[ID]],Chronologie[[ID]:[KW]],12,FALSE)</f>
        <v/>
      </c>
      <c r="AP480" s="95">
        <f>IF(Eingabe[[#This Row],[Wo]]="H",Eingabe[[#This Row],[Gegner]]&amp;" ["&amp;Eingabe[[#This Row],[Wo]]&amp;"]",Eingabe[[#This Row],[Ort]])</f>
        <v>0</v>
      </c>
      <c r="AQ480" s="6" t="str">
        <f>IFERROR(IF(Eingabe[[#This Row],[Wo]]="H",IF(MOD(Eingabe[[#This Row],[Position]],2)=1,Eingabe[[#This Row],[S1]],Eingabe[[#This Row],[S4]]),""),"")</f>
        <v/>
      </c>
      <c r="AR480" s="6" t="str">
        <f>IFERROR(IF(Eingabe[[#This Row],[Wo]]="H",IF(Eingabe[[#This Row],[S1]]&gt;0,IF(MOD(Eingabe[[#This Row],[Position]],2)=1,Eingabe[[#This Row],[S2]],Eingabe[[#This Row],[S3]]),""),""),"")</f>
        <v/>
      </c>
      <c r="AS480" s="6" t="str">
        <f>IFERROR(IF(Eingabe[[#This Row],[Wo]]="H",IF(Eingabe[[#This Row],[S1]]&gt;0,IF(MOD(ROW(Eingabe[[#This Row],[Heimbahn 3]]),2)=1,Eingabe[[#This Row],[S4]],Eingabe[[#This Row],[S1]]),""),""),"")</f>
        <v/>
      </c>
      <c r="AT480" s="6" t="str">
        <f>IFERROR(IF(Eingabe[[#This Row],[Wo]]="H",IF(Eingabe[[#This Row],[S1]]&gt;0,IF(MOD(ROW(Eingabe[[#This Row],[Heimbahn 4]]),2)=1,Eingabe[[#This Row],[S3]],Eingabe[[#This Row],[S2]]),""),""),"")</f>
        <v/>
      </c>
      <c r="AU480" s="22" t="str">
        <f>IF(Eingabe[[#This Row],[GES]]="","",IF(Eingabe[[#This Row],[Modus]]="L",_xlfn.RANK.EQ(Eingabe[[#This Row],[GES]],AF477:AF482),IF(Eingabe[[#This Row],[Modus]]="P",_xlfn.RANK.EQ(Eingabe[[#This Row],[GES]],AF477:AF482),"")))</f>
        <v/>
      </c>
      <c r="AV480" s="6" t="e">
        <f>VLOOKUP(Eingabe[[#This Row],[Name]],AuswertungG[],8,FALSE)</f>
        <v>#N/A</v>
      </c>
      <c r="AZ480" s="6" t="str">
        <f>IFERROR(ABS(Eingabe[[#This Row],[GES]]-Eingabe[[#This Row],[GEGGES]]),"")</f>
        <v/>
      </c>
    </row>
    <row r="481" spans="1:52" ht="16.2" hidden="1" thickBot="1" x14ac:dyDescent="0.35">
      <c r="A481" s="441"/>
      <c r="B481" s="21">
        <f t="shared" si="48"/>
        <v>80</v>
      </c>
      <c r="C481" s="6">
        <f>VLOOKUP($B481,Chronologie[],7,TRUE)</f>
        <v>0</v>
      </c>
      <c r="D481" s="6">
        <f>VLOOKUP($B481,Chronologie[],8,TRUE)</f>
        <v>0</v>
      </c>
      <c r="E481" s="240">
        <f>VLOOKUP($B481,Chronologie[],9,TRUE)</f>
        <v>0</v>
      </c>
      <c r="F481" s="6" t="str">
        <f>VLOOKUP($B481,Chronologie[],COLUMN(F482)-2,TRUE)</f>
        <v>U19</v>
      </c>
      <c r="G481" s="6" t="str">
        <f>VLOOKUP($B481,Chronologie[],COLUMN(G482)-2,TRUE)</f>
        <v>RLT</v>
      </c>
      <c r="H481" s="6">
        <f>VLOOKUP($B481,Chronologie[],COLUMN(H482)-2,TRUE)</f>
        <v>3</v>
      </c>
      <c r="I481" s="10" t="str">
        <f>VLOOKUP($B481,Chronologie[],2,TRUE)</f>
        <v>U19-RLT-3</v>
      </c>
      <c r="J481" s="243">
        <f>VLOOKUP($B481,Chronologie[],3,TRUE)</f>
        <v>0</v>
      </c>
      <c r="K481" s="237"/>
      <c r="L481" s="237"/>
      <c r="M481" s="237"/>
      <c r="N481" s="237"/>
      <c r="O481" s="237"/>
      <c r="P481" s="237"/>
      <c r="Q481" s="237"/>
      <c r="R481" s="237"/>
      <c r="S481" s="237"/>
      <c r="T481" s="237"/>
      <c r="U481" s="237"/>
      <c r="V481" s="237"/>
      <c r="W481" s="237"/>
      <c r="X481" s="38"/>
      <c r="Y481" s="38"/>
      <c r="Z481" s="38"/>
      <c r="AA481" s="38"/>
      <c r="AB481" s="91"/>
      <c r="AC481" s="94" t="str">
        <f>IF(Eingabe[[#This Row],[V1]]="",IF(Eingabe[[#This Row],[Volle alternativ]]="","",Eingabe[[#This Row],[Volle alternativ]]),SUM(Eingabe[[#This Row],[V1]:[V4]]))</f>
        <v/>
      </c>
      <c r="AD481" s="6" t="str">
        <f>IF(Eingabe[[#This Row],[R1]]="",IF(Eingabe[[#This Row],[Räumer alternativ]]="","",Eingabe[[#This Row],[Räumer alternativ]]),SUM(Eingabe[[#This Row],[R1]:[R4]]))</f>
        <v/>
      </c>
      <c r="AE481" s="6" t="str">
        <f>IF(Eingabe[[#This Row],[F1]]="",IF(Eingabe[[#This Row],[Fehler alternativ]]="","",Eingabe[[#This Row],[Fehler alternativ]]),SUM(Eingabe[[#This Row],[F1]:[F4]]))</f>
        <v/>
      </c>
      <c r="AF481" s="6" t="str">
        <f>IF(Eingabe[[#This Row],[Volle]]="","",IF(Eingabe[[#This Row],[S1]]="",Eingabe[[#This Row],[Volle]]+Eingabe[[#This Row],[Räumer]],IF(Eingabe[[#This Row],[Volle]]+Eingabe[[#This Row],[Räumer]]=Eingabe[[#This Row],[S1]]+Eingabe[[#This Row],[S2]]+Eingabe[[#This Row],[S3]]+Eingabe[[#This Row],[S4]],Eingabe[[#This Row],[Volle]]+Eingabe[[#This Row],[Räumer]],"FEHLER")))</f>
        <v/>
      </c>
      <c r="AG481" s="6" t="str">
        <f>IF(Eingabe[[#This Row],[V1]]="","",Eingabe[[#This Row],[V1]]+Eingabe[[#This Row],[R1]])</f>
        <v/>
      </c>
      <c r="AH481" s="6" t="str">
        <f>IF(Eingabe[[#This Row],[V2]]="","",Eingabe[[#This Row],[V2]]+Eingabe[[#This Row],[R2]])</f>
        <v/>
      </c>
      <c r="AI481" s="6" t="str">
        <f>IF(Eingabe[[#This Row],[V3]]="","",Eingabe[[#This Row],[V3]]+Eingabe[[#This Row],[R3]])</f>
        <v/>
      </c>
      <c r="AJ481" s="6" t="str">
        <f>IF(Eingabe[[#This Row],[V4]]="","",Eingabe[[#This Row],[V4]]+Eingabe[[#This Row],[R4]])</f>
        <v/>
      </c>
      <c r="AK481" s="6" t="str">
        <f>IF(Eingabe[[#This Row],[S1P]]="","",Eingabe[[#This Row],[S1P]]+Eingabe[[#This Row],[S2P]]+Eingabe[[#This Row],[S3P]]+Eingabe[[#This Row],[S4P]])</f>
        <v/>
      </c>
      <c r="AL481" s="6" t="str">
        <f>IF(Eingabe[[#This Row],[S1P]]="","",IF(Eingabe[[#This Row],[SP]]&gt;2,1,IF(Eingabe[[#This Row],[SP]]&lt;2,0,IF(Eingabe[[#This Row],[GES]]&gt;Eingabe[[#This Row],[GEGGES]],1,IF(Eingabe[[#This Row],[GES]]=Eingabe[[#This Row],[GEGGES]],0.5,0)))))</f>
        <v/>
      </c>
      <c r="AM481" s="6" t="str">
        <f>IF(Eingabe[[#This Row],[MP]]="","",MOD(ROW(Eingabe[[#This Row],[Position]])-3,6)+1)</f>
        <v/>
      </c>
      <c r="AN481" s="6" t="e">
        <f>STANDARDIZE(Eingabe[[#This Row],[GES]],Eingabe[[#This Row],[Schnitt]],VLOOKUP(Eingabe[[#This Row],[Name]],AuswertungG[],21,FALSE))</f>
        <v>#VALUE!</v>
      </c>
      <c r="AO481" s="6" t="str">
        <f>VLOOKUP(Eingabe[[#This Row],[ID]],Chronologie[[ID]:[KW]],12,FALSE)</f>
        <v/>
      </c>
      <c r="AP481" s="95">
        <f>IF(Eingabe[[#This Row],[Wo]]="H",Eingabe[[#This Row],[Gegner]]&amp;" ["&amp;Eingabe[[#This Row],[Wo]]&amp;"]",Eingabe[[#This Row],[Ort]])</f>
        <v>0</v>
      </c>
      <c r="AQ481" s="6" t="str">
        <f>IFERROR(IF(Eingabe[[#This Row],[Wo]]="H",IF(MOD(Eingabe[[#This Row],[Position]],2)=1,Eingabe[[#This Row],[S1]],Eingabe[[#This Row],[S4]]),""),"")</f>
        <v/>
      </c>
      <c r="AR481" s="6" t="str">
        <f>IFERROR(IF(Eingabe[[#This Row],[Wo]]="H",IF(Eingabe[[#This Row],[S1]]&gt;0,IF(MOD(Eingabe[[#This Row],[Position]],2)=1,Eingabe[[#This Row],[S2]],Eingabe[[#This Row],[S3]]),""),""),"")</f>
        <v/>
      </c>
      <c r="AS481" s="6" t="str">
        <f>IFERROR(IF(Eingabe[[#This Row],[Wo]]="H",IF(Eingabe[[#This Row],[S1]]&gt;0,IF(MOD(ROW(Eingabe[[#This Row],[Heimbahn 3]]),2)=1,Eingabe[[#This Row],[S4]],Eingabe[[#This Row],[S1]]),""),""),"")</f>
        <v/>
      </c>
      <c r="AT481" s="6" t="str">
        <f>IFERROR(IF(Eingabe[[#This Row],[Wo]]="H",IF(Eingabe[[#This Row],[S1]]&gt;0,IF(MOD(ROW(Eingabe[[#This Row],[Heimbahn 4]]),2)=1,Eingabe[[#This Row],[S3]],Eingabe[[#This Row],[S2]]),""),""),"")</f>
        <v/>
      </c>
      <c r="AU481" s="22" t="str">
        <f>IF(Eingabe[[#This Row],[GES]]="","",IF(Eingabe[[#This Row],[Modus]]="L",_xlfn.RANK.EQ(Eingabe[[#This Row],[GES]],AF477:AF482),IF(Eingabe[[#This Row],[Modus]]="P",_xlfn.RANK.EQ(Eingabe[[#This Row],[GES]],AF477:AF482),"")))</f>
        <v/>
      </c>
      <c r="AV481" s="6" t="e">
        <f>VLOOKUP(Eingabe[[#This Row],[Name]],AuswertungG[],8,FALSE)</f>
        <v>#N/A</v>
      </c>
      <c r="AZ481" s="6" t="str">
        <f>IFERROR(ABS(Eingabe[[#This Row],[GES]]-Eingabe[[#This Row],[GEGGES]]),"")</f>
        <v/>
      </c>
    </row>
    <row r="482" spans="1:52" ht="16.2" hidden="1" thickBot="1" x14ac:dyDescent="0.35">
      <c r="A482" s="442"/>
      <c r="B482" s="56">
        <f t="shared" si="48"/>
        <v>80</v>
      </c>
      <c r="C482" s="23">
        <f>VLOOKUP($B482,Chronologie[],7,TRUE)</f>
        <v>0</v>
      </c>
      <c r="D482" s="23">
        <f>VLOOKUP($B482,Chronologie[],8,TRUE)</f>
        <v>0</v>
      </c>
      <c r="E482" s="39">
        <f>VLOOKUP($B482,Chronologie[],9,TRUE)</f>
        <v>0</v>
      </c>
      <c r="F482" s="23" t="str">
        <f>VLOOKUP($B482,Chronologie[],COLUMN(F483)-2,TRUE)</f>
        <v>U19</v>
      </c>
      <c r="G482" s="23" t="str">
        <f>VLOOKUP($B482,Chronologie[],COLUMN(G483)-2,TRUE)</f>
        <v>RLT</v>
      </c>
      <c r="H482" s="23">
        <f>VLOOKUP($B482,Chronologie[],COLUMN(H483)-2,TRUE)</f>
        <v>3</v>
      </c>
      <c r="I482" s="13" t="str">
        <f>VLOOKUP($B482,Chronologie[],2,TRUE)</f>
        <v>U19-RLT-3</v>
      </c>
      <c r="J482" s="244">
        <f>VLOOKUP($B482,Chronologie[],3,TRUE)</f>
        <v>0</v>
      </c>
      <c r="K482" s="239"/>
      <c r="L482" s="239"/>
      <c r="M482" s="239"/>
      <c r="N482" s="239"/>
      <c r="O482" s="239"/>
      <c r="P482" s="239"/>
      <c r="Q482" s="239"/>
      <c r="R482" s="239"/>
      <c r="S482" s="239"/>
      <c r="T482" s="239"/>
      <c r="U482" s="239"/>
      <c r="V482" s="239"/>
      <c r="W482" s="239"/>
      <c r="X482" s="40"/>
      <c r="Y482" s="40"/>
      <c r="Z482" s="40"/>
      <c r="AA482" s="40"/>
      <c r="AB482" s="92"/>
      <c r="AC482" s="96" t="str">
        <f>IF(Eingabe[[#This Row],[V1]]="",IF(Eingabe[[#This Row],[Volle alternativ]]="","",Eingabe[[#This Row],[Volle alternativ]]),SUM(Eingabe[[#This Row],[V1]:[V4]]))</f>
        <v/>
      </c>
      <c r="AD482" s="23" t="str">
        <f>IF(Eingabe[[#This Row],[R1]]="",IF(Eingabe[[#This Row],[Räumer alternativ]]="","",Eingabe[[#This Row],[Räumer alternativ]]),SUM(Eingabe[[#This Row],[R1]:[R4]]))</f>
        <v/>
      </c>
      <c r="AE482" s="23" t="str">
        <f>IF(Eingabe[[#This Row],[F1]]="",IF(Eingabe[[#This Row],[Fehler alternativ]]="","",Eingabe[[#This Row],[Fehler alternativ]]),SUM(Eingabe[[#This Row],[F1]:[F4]]))</f>
        <v/>
      </c>
      <c r="AF482" s="23" t="str">
        <f>IF(Eingabe[[#This Row],[Volle]]="","",IF(Eingabe[[#This Row],[S1]]="",Eingabe[[#This Row],[Volle]]+Eingabe[[#This Row],[Räumer]],IF(Eingabe[[#This Row],[Volle]]+Eingabe[[#This Row],[Räumer]]=Eingabe[[#This Row],[S1]]+Eingabe[[#This Row],[S2]]+Eingabe[[#This Row],[S3]]+Eingabe[[#This Row],[S4]],Eingabe[[#This Row],[Volle]]+Eingabe[[#This Row],[Räumer]],"FEHLER")))</f>
        <v/>
      </c>
      <c r="AG482" s="23" t="str">
        <f>IF(Eingabe[[#This Row],[V1]]="","",Eingabe[[#This Row],[V1]]+Eingabe[[#This Row],[R1]])</f>
        <v/>
      </c>
      <c r="AH482" s="23" t="str">
        <f>IF(Eingabe[[#This Row],[V2]]="","",Eingabe[[#This Row],[V2]]+Eingabe[[#This Row],[R2]])</f>
        <v/>
      </c>
      <c r="AI482" s="23" t="str">
        <f>IF(Eingabe[[#This Row],[V3]]="","",Eingabe[[#This Row],[V3]]+Eingabe[[#This Row],[R3]])</f>
        <v/>
      </c>
      <c r="AJ482" s="23" t="str">
        <f>IF(Eingabe[[#This Row],[V4]]="","",Eingabe[[#This Row],[V4]]+Eingabe[[#This Row],[R4]])</f>
        <v/>
      </c>
      <c r="AK482" s="23" t="str">
        <f>IF(Eingabe[[#This Row],[S1P]]="","",Eingabe[[#This Row],[S1P]]+Eingabe[[#This Row],[S2P]]+Eingabe[[#This Row],[S3P]]+Eingabe[[#This Row],[S4P]])</f>
        <v/>
      </c>
      <c r="AL482" s="23" t="str">
        <f>IF(Eingabe[[#This Row],[S1P]]="","",IF(Eingabe[[#This Row],[SP]]&gt;2,1,IF(Eingabe[[#This Row],[SP]]&lt;2,0,IF(Eingabe[[#This Row],[GES]]&gt;Eingabe[[#This Row],[GEGGES]],1,IF(Eingabe[[#This Row],[GES]]=Eingabe[[#This Row],[GEGGES]],0.5,0)))))</f>
        <v/>
      </c>
      <c r="AM482" s="23" t="str">
        <f>IF(Eingabe[[#This Row],[MP]]="","",MOD(ROW(Eingabe[[#This Row],[Position]])-3,6)+1)</f>
        <v/>
      </c>
      <c r="AN482" s="23" t="e">
        <f>STANDARDIZE(Eingabe[[#This Row],[GES]],Eingabe[[#This Row],[Schnitt]],VLOOKUP(Eingabe[[#This Row],[Name]],AuswertungG[],21,FALSE))</f>
        <v>#VALUE!</v>
      </c>
      <c r="AO482" s="23" t="str">
        <f>VLOOKUP(Eingabe[[#This Row],[ID]],Chronologie[[ID]:[KW]],12,FALSE)</f>
        <v/>
      </c>
      <c r="AP482" s="59">
        <f>IF(Eingabe[[#This Row],[Wo]]="H",Eingabe[[#This Row],[Gegner]]&amp;" ["&amp;Eingabe[[#This Row],[Wo]]&amp;"]",Eingabe[[#This Row],[Ort]])</f>
        <v>0</v>
      </c>
      <c r="AQ482" s="23" t="str">
        <f>IFERROR(IF(Eingabe[[#This Row],[Wo]]="H",IF(MOD(Eingabe[[#This Row],[Position]],2)=1,Eingabe[[#This Row],[S1]],Eingabe[[#This Row],[S4]]),""),"")</f>
        <v/>
      </c>
      <c r="AR482" s="23" t="str">
        <f>IFERROR(IF(Eingabe[[#This Row],[Wo]]="H",IF(Eingabe[[#This Row],[S1]]&gt;0,IF(MOD(Eingabe[[#This Row],[Position]],2)=1,Eingabe[[#This Row],[S2]],Eingabe[[#This Row],[S3]]),""),""),"")</f>
        <v/>
      </c>
      <c r="AS482" s="23" t="str">
        <f>IFERROR(IF(Eingabe[[#This Row],[Wo]]="H",IF(Eingabe[[#This Row],[S1]]&gt;0,IF(MOD(ROW(Eingabe[[#This Row],[Heimbahn 3]]),2)=1,Eingabe[[#This Row],[S4]],Eingabe[[#This Row],[S1]]),""),""),"")</f>
        <v/>
      </c>
      <c r="AT482" s="23" t="str">
        <f>IFERROR(IF(Eingabe[[#This Row],[Wo]]="H",IF(Eingabe[[#This Row],[S1]]&gt;0,IF(MOD(ROW(Eingabe[[#This Row],[Heimbahn 4]]),2)=1,Eingabe[[#This Row],[S3]],Eingabe[[#This Row],[S2]]),""),""),"")</f>
        <v/>
      </c>
      <c r="AU482" s="89" t="str">
        <f>IF(Eingabe[[#This Row],[GES]]="","",IF(Eingabe[[#This Row],[Modus]]="L",_xlfn.RANK.EQ(Eingabe[[#This Row],[GES]],AF477:AF482),IF(Eingabe[[#This Row],[Modus]]="P",_xlfn.RANK.EQ(Eingabe[[#This Row],[GES]],AF477:AF482),"")))</f>
        <v/>
      </c>
      <c r="AV482" s="6" t="e">
        <f>VLOOKUP(Eingabe[[#This Row],[Name]],AuswertungG[],8,FALSE)</f>
        <v>#N/A</v>
      </c>
      <c r="AZ482" s="6" t="str">
        <f>IFERROR(ABS(Eingabe[[#This Row],[GES]]-Eingabe[[#This Row],[GEGGES]]),"")</f>
        <v/>
      </c>
    </row>
    <row r="483" spans="1:52" ht="16.2" hidden="1" thickBot="1" x14ac:dyDescent="0.35">
      <c r="A483" s="440">
        <f t="shared" si="47"/>
        <v>81</v>
      </c>
      <c r="B483" s="55">
        <f t="shared" si="48"/>
        <v>81</v>
      </c>
      <c r="C483" s="35" t="str">
        <f>VLOOKUP($B483,Chronologie[],7,TRUE)</f>
        <v>SV Dölzig</v>
      </c>
      <c r="D483" s="35" t="str">
        <f>VLOOKUP($B483,Chronologie[],8,TRUE)</f>
        <v>Leipzig</v>
      </c>
      <c r="E483" s="36" t="str">
        <f>VLOOKUP($B483,Chronologie[],9,TRUE)</f>
        <v>A</v>
      </c>
      <c r="F483" s="35" t="str">
        <f>VLOOKUP($B483,Chronologie[],COLUMN(F484)-2,TRUE)</f>
        <v>E</v>
      </c>
      <c r="G483" s="35" t="str">
        <f>VLOOKUP($B483,Chronologie[],COLUMN(G484)-2,TRUE)</f>
        <v>P</v>
      </c>
      <c r="H483" s="35">
        <f>VLOOKUP($B483,Chronologie[],COLUMN(H484)-2,TRUE)</f>
        <v>1</v>
      </c>
      <c r="I483" s="9" t="str">
        <f>VLOOKUP($B483,Chronologie[],2,TRUE)</f>
        <v>E-P-1</v>
      </c>
      <c r="J483" s="242">
        <f>VLOOKUP($B483,Chronologie[],3,TRUE)</f>
        <v>45983</v>
      </c>
      <c r="K483" s="236" t="s">
        <v>489</v>
      </c>
      <c r="L483" s="334">
        <v>87</v>
      </c>
      <c r="M483" s="334">
        <v>92</v>
      </c>
      <c r="N483" s="334">
        <v>87</v>
      </c>
      <c r="O483" s="334">
        <v>86</v>
      </c>
      <c r="P483" s="334">
        <v>32</v>
      </c>
      <c r="Q483" s="334">
        <v>36</v>
      </c>
      <c r="R483" s="334">
        <v>50</v>
      </c>
      <c r="S483" s="334">
        <v>61</v>
      </c>
      <c r="T483" s="334">
        <v>4</v>
      </c>
      <c r="U483" s="334">
        <v>3</v>
      </c>
      <c r="V483" s="334">
        <v>1</v>
      </c>
      <c r="W483" s="334">
        <v>2</v>
      </c>
      <c r="X483" s="37">
        <v>0</v>
      </c>
      <c r="Y483" s="37">
        <v>1</v>
      </c>
      <c r="Z483" s="37">
        <v>1</v>
      </c>
      <c r="AA483" s="37">
        <v>1</v>
      </c>
      <c r="AB483" s="90">
        <v>504</v>
      </c>
      <c r="AC483" s="93">
        <f>IF(Eingabe[[#This Row],[V1]]="",IF(Eingabe[[#This Row],[Volle alternativ]]="","",Eingabe[[#This Row],[Volle alternativ]]),SUM(Eingabe[[#This Row],[V1]:[V4]]))</f>
        <v>352</v>
      </c>
      <c r="AD483" s="35">
        <f>IF(Eingabe[[#This Row],[R1]]="",IF(Eingabe[[#This Row],[Räumer alternativ]]="","",Eingabe[[#This Row],[Räumer alternativ]]),SUM(Eingabe[[#This Row],[R1]:[R4]]))</f>
        <v>179</v>
      </c>
      <c r="AE483" s="35">
        <f>IF(Eingabe[[#This Row],[F1]]="",IF(Eingabe[[#This Row],[Fehler alternativ]]="","",Eingabe[[#This Row],[Fehler alternativ]]),SUM(Eingabe[[#This Row],[F1]:[F4]]))</f>
        <v>10</v>
      </c>
      <c r="AF483" s="35">
        <f>IF(Eingabe[[#This Row],[Volle]]="","",IF(Eingabe[[#This Row],[S1]]="",Eingabe[[#This Row],[Volle]]+Eingabe[[#This Row],[Räumer]],IF(Eingabe[[#This Row],[Volle]]+Eingabe[[#This Row],[Räumer]]=Eingabe[[#This Row],[S1]]+Eingabe[[#This Row],[S2]]+Eingabe[[#This Row],[S3]]+Eingabe[[#This Row],[S4]],Eingabe[[#This Row],[Volle]]+Eingabe[[#This Row],[Räumer]],"FEHLER")))</f>
        <v>531</v>
      </c>
      <c r="AG483" s="35">
        <f>IF(Eingabe[[#This Row],[V1]]="","",Eingabe[[#This Row],[V1]]+Eingabe[[#This Row],[R1]])</f>
        <v>119</v>
      </c>
      <c r="AH483" s="35">
        <f>IF(Eingabe[[#This Row],[V2]]="","",Eingabe[[#This Row],[V2]]+Eingabe[[#This Row],[R2]])</f>
        <v>128</v>
      </c>
      <c r="AI483" s="35">
        <f>IF(Eingabe[[#This Row],[V3]]="","",Eingabe[[#This Row],[V3]]+Eingabe[[#This Row],[R3]])</f>
        <v>137</v>
      </c>
      <c r="AJ483" s="35">
        <f>IF(Eingabe[[#This Row],[V4]]="","",Eingabe[[#This Row],[V4]]+Eingabe[[#This Row],[R4]])</f>
        <v>147</v>
      </c>
      <c r="AK483" s="35">
        <f>IF(Eingabe[[#This Row],[S1P]]="","",Eingabe[[#This Row],[S1P]]+Eingabe[[#This Row],[S2P]]+Eingabe[[#This Row],[S3P]]+Eingabe[[#This Row],[S4P]])</f>
        <v>3</v>
      </c>
      <c r="AL483" s="35">
        <f>IF(Eingabe[[#This Row],[S1P]]="","",IF(Eingabe[[#This Row],[SP]]&gt;2,1,IF(Eingabe[[#This Row],[SP]]&lt;2,0,IF(Eingabe[[#This Row],[GES]]&gt;Eingabe[[#This Row],[GEGGES]],1,IF(Eingabe[[#This Row],[GES]]=Eingabe[[#This Row],[GEGGES]],0.5,0)))))</f>
        <v>1</v>
      </c>
      <c r="AM483" s="35">
        <f>IF(Eingabe[[#This Row],[MP]]="","",MOD(ROW(Eingabe[[#This Row],[Position]])-3,6)+1)</f>
        <v>1</v>
      </c>
      <c r="AN483" s="35">
        <f>STANDARDIZE(Eingabe[[#This Row],[GES]],Eingabe[[#This Row],[Schnitt]],VLOOKUP(Eingabe[[#This Row],[Name]],AuswertungG[],21,FALSE))</f>
        <v>0.20833333333333334</v>
      </c>
      <c r="AO483" s="35">
        <f>VLOOKUP(Eingabe[[#This Row],[ID]],Chronologie[[ID]:[KW]],12,FALSE)</f>
        <v>13</v>
      </c>
      <c r="AP483" s="58" t="str">
        <f>IF(Eingabe[[#This Row],[Wo]]="H",Eingabe[[#This Row],[Gegner]]&amp;" ["&amp;Eingabe[[#This Row],[Wo]]&amp;"]",Eingabe[[#This Row],[Ort]])</f>
        <v>Leipzig</v>
      </c>
      <c r="AQ483" s="35" t="str">
        <f>IFERROR(IF(Eingabe[[#This Row],[Wo]]="H",IF(MOD(Eingabe[[#This Row],[Position]],2)=1,Eingabe[[#This Row],[S1]],Eingabe[[#This Row],[S4]]),""),"")</f>
        <v/>
      </c>
      <c r="AR483" s="35" t="str">
        <f>IFERROR(IF(Eingabe[[#This Row],[Wo]]="H",IF(Eingabe[[#This Row],[S1]]&gt;0,IF(MOD(Eingabe[[#This Row],[Position]],2)=1,Eingabe[[#This Row],[S2]],Eingabe[[#This Row],[S3]]),""),""),"")</f>
        <v/>
      </c>
      <c r="AS483" s="35" t="str">
        <f>IFERROR(IF(Eingabe[[#This Row],[Wo]]="H",IF(Eingabe[[#This Row],[S1]]&gt;0,IF(MOD(ROW(Eingabe[[#This Row],[Heimbahn 3]]),2)=1,Eingabe[[#This Row],[S4]],Eingabe[[#This Row],[S1]]),""),""),"")</f>
        <v/>
      </c>
      <c r="AT483" s="35" t="str">
        <f>IFERROR(IF(Eingabe[[#This Row],[Wo]]="H",IF(Eingabe[[#This Row],[S1]]&gt;0,IF(MOD(ROW(Eingabe[[#This Row],[Heimbahn 4]]),2)=1,Eingabe[[#This Row],[S3]],Eingabe[[#This Row],[S2]]),""),""),"")</f>
        <v/>
      </c>
      <c r="AU483" s="88">
        <f>IF(Eingabe[[#This Row],[GES]]="","",IF(Eingabe[[#This Row],[Modus]]="L",_xlfn.RANK.EQ(Eingabe[[#This Row],[GES]],AF483:AF488),IF(Eingabe[[#This Row],[Modus]]="P",_xlfn.RANK.EQ(Eingabe[[#This Row],[GES]],AF483:AF488),"")))</f>
        <v>4</v>
      </c>
      <c r="AV483" s="6">
        <f>VLOOKUP(Eingabe[[#This Row],[Name]],AuswertungG[],8,FALSE)</f>
        <v>526</v>
      </c>
      <c r="AZ483" s="6">
        <f>IFERROR(ABS(Eingabe[[#This Row],[GES]]-Eingabe[[#This Row],[GEGGES]]),"")</f>
        <v>27</v>
      </c>
    </row>
    <row r="484" spans="1:52" ht="16.2" hidden="1" thickBot="1" x14ac:dyDescent="0.35">
      <c r="A484" s="441"/>
      <c r="B484" s="21">
        <f t="shared" si="48"/>
        <v>81</v>
      </c>
      <c r="C484" s="6" t="str">
        <f>VLOOKUP($B484,Chronologie[],7,TRUE)</f>
        <v>SV Dölzig</v>
      </c>
      <c r="D484" s="6" t="str">
        <f>VLOOKUP($B484,Chronologie[],8,TRUE)</f>
        <v>Leipzig</v>
      </c>
      <c r="E484" s="240" t="str">
        <f>VLOOKUP($B484,Chronologie[],9,TRUE)</f>
        <v>A</v>
      </c>
      <c r="F484" s="6" t="str">
        <f>VLOOKUP($B484,Chronologie[],COLUMN(F485)-2,TRUE)</f>
        <v>E</v>
      </c>
      <c r="G484" s="6" t="str">
        <f>VLOOKUP($B484,Chronologie[],COLUMN(G485)-2,TRUE)</f>
        <v>P</v>
      </c>
      <c r="H484" s="6">
        <f>VLOOKUP($B484,Chronologie[],COLUMN(H485)-2,TRUE)</f>
        <v>1</v>
      </c>
      <c r="I484" s="10" t="str">
        <f>VLOOKUP($B484,Chronologie[],2,TRUE)</f>
        <v>E-P-1</v>
      </c>
      <c r="J484" s="243">
        <f>VLOOKUP($B484,Chronologie[],3,TRUE)</f>
        <v>45983</v>
      </c>
      <c r="K484" s="237" t="s">
        <v>658</v>
      </c>
      <c r="L484" s="237">
        <v>86</v>
      </c>
      <c r="M484" s="237">
        <v>90</v>
      </c>
      <c r="N484" s="237">
        <v>97</v>
      </c>
      <c r="O484" s="237">
        <v>92</v>
      </c>
      <c r="P484" s="237">
        <v>49</v>
      </c>
      <c r="Q484" s="237">
        <v>52</v>
      </c>
      <c r="R484" s="237">
        <v>52</v>
      </c>
      <c r="S484" s="237">
        <v>52</v>
      </c>
      <c r="T484" s="237">
        <v>0</v>
      </c>
      <c r="U484" s="237">
        <v>1</v>
      </c>
      <c r="V484" s="237">
        <v>0</v>
      </c>
      <c r="W484" s="237">
        <v>0</v>
      </c>
      <c r="X484" s="38">
        <v>1</v>
      </c>
      <c r="Y484" s="38">
        <v>1</v>
      </c>
      <c r="Z484" s="38">
        <v>1</v>
      </c>
      <c r="AA484" s="38">
        <v>1</v>
      </c>
      <c r="AB484" s="91">
        <v>486</v>
      </c>
      <c r="AC484" s="94">
        <f>IF(Eingabe[[#This Row],[V1]]="",IF(Eingabe[[#This Row],[Volle alternativ]]="","",Eingabe[[#This Row],[Volle alternativ]]),SUM(Eingabe[[#This Row],[V1]:[V4]]))</f>
        <v>365</v>
      </c>
      <c r="AD484" s="6">
        <f>IF(Eingabe[[#This Row],[R1]]="",IF(Eingabe[[#This Row],[Räumer alternativ]]="","",Eingabe[[#This Row],[Räumer alternativ]]),SUM(Eingabe[[#This Row],[R1]:[R4]]))</f>
        <v>205</v>
      </c>
      <c r="AE484" s="6">
        <f>IF(Eingabe[[#This Row],[F1]]="",IF(Eingabe[[#This Row],[Fehler alternativ]]="","",Eingabe[[#This Row],[Fehler alternativ]]),SUM(Eingabe[[#This Row],[F1]:[F4]]))</f>
        <v>1</v>
      </c>
      <c r="AF484" s="6">
        <f>IF(Eingabe[[#This Row],[Volle]]="","",IF(Eingabe[[#This Row],[S1]]="",Eingabe[[#This Row],[Volle]]+Eingabe[[#This Row],[Räumer]],IF(Eingabe[[#This Row],[Volle]]+Eingabe[[#This Row],[Räumer]]=Eingabe[[#This Row],[S1]]+Eingabe[[#This Row],[S2]]+Eingabe[[#This Row],[S3]]+Eingabe[[#This Row],[S4]],Eingabe[[#This Row],[Volle]]+Eingabe[[#This Row],[Räumer]],"FEHLER")))</f>
        <v>570</v>
      </c>
      <c r="AG484" s="6">
        <f>IF(Eingabe[[#This Row],[V1]]="","",Eingabe[[#This Row],[V1]]+Eingabe[[#This Row],[R1]])</f>
        <v>135</v>
      </c>
      <c r="AH484" s="6">
        <f>IF(Eingabe[[#This Row],[V2]]="","",Eingabe[[#This Row],[V2]]+Eingabe[[#This Row],[R2]])</f>
        <v>142</v>
      </c>
      <c r="AI484" s="6">
        <f>IF(Eingabe[[#This Row],[V3]]="","",Eingabe[[#This Row],[V3]]+Eingabe[[#This Row],[R3]])</f>
        <v>149</v>
      </c>
      <c r="AJ484" s="6">
        <f>IF(Eingabe[[#This Row],[V4]]="","",Eingabe[[#This Row],[V4]]+Eingabe[[#This Row],[R4]])</f>
        <v>144</v>
      </c>
      <c r="AK484" s="6">
        <f>IF(Eingabe[[#This Row],[S1P]]="","",Eingabe[[#This Row],[S1P]]+Eingabe[[#This Row],[S2P]]+Eingabe[[#This Row],[S3P]]+Eingabe[[#This Row],[S4P]])</f>
        <v>4</v>
      </c>
      <c r="AL484" s="6">
        <f>IF(Eingabe[[#This Row],[S1P]]="","",IF(Eingabe[[#This Row],[SP]]&gt;2,1,IF(Eingabe[[#This Row],[SP]]&lt;2,0,IF(Eingabe[[#This Row],[GES]]&gt;Eingabe[[#This Row],[GEGGES]],1,IF(Eingabe[[#This Row],[GES]]=Eingabe[[#This Row],[GEGGES]],0.5,0)))))</f>
        <v>1</v>
      </c>
      <c r="AM484" s="6">
        <f>IF(Eingabe[[#This Row],[MP]]="","",MOD(ROW(Eingabe[[#This Row],[Position]])-3,6)+1)</f>
        <v>2</v>
      </c>
      <c r="AN484" s="6">
        <f>STANDARDIZE(Eingabe[[#This Row],[GES]],Eingabe[[#This Row],[Schnitt]],VLOOKUP(Eingabe[[#This Row],[Name]],AuswertungG[],21,FALSE))</f>
        <v>0.5714285714285714</v>
      </c>
      <c r="AO484" s="6">
        <f>VLOOKUP(Eingabe[[#This Row],[ID]],Chronologie[[ID]:[KW]],12,FALSE)</f>
        <v>13</v>
      </c>
      <c r="AP484" s="95" t="str">
        <f>IF(Eingabe[[#This Row],[Wo]]="H",Eingabe[[#This Row],[Gegner]]&amp;" ["&amp;Eingabe[[#This Row],[Wo]]&amp;"]",Eingabe[[#This Row],[Ort]])</f>
        <v>Leipzig</v>
      </c>
      <c r="AQ484" s="6" t="str">
        <f>IFERROR(IF(Eingabe[[#This Row],[Wo]]="H",IF(MOD(Eingabe[[#This Row],[Position]],2)=1,Eingabe[[#This Row],[S1]],Eingabe[[#This Row],[S4]]),""),"")</f>
        <v/>
      </c>
      <c r="AR484" s="6" t="str">
        <f>IFERROR(IF(Eingabe[[#This Row],[Wo]]="H",IF(Eingabe[[#This Row],[S1]]&gt;0,IF(MOD(Eingabe[[#This Row],[Position]],2)=1,Eingabe[[#This Row],[S2]],Eingabe[[#This Row],[S3]]),""),""),"")</f>
        <v/>
      </c>
      <c r="AS484" s="6" t="str">
        <f>IFERROR(IF(Eingabe[[#This Row],[Wo]]="H",IF(Eingabe[[#This Row],[S1]]&gt;0,IF(MOD(ROW(Eingabe[[#This Row],[Heimbahn 3]]),2)=1,Eingabe[[#This Row],[S4]],Eingabe[[#This Row],[S1]]),""),""),"")</f>
        <v/>
      </c>
      <c r="AT484" s="6" t="str">
        <f>IFERROR(IF(Eingabe[[#This Row],[Wo]]="H",IF(Eingabe[[#This Row],[S1]]&gt;0,IF(MOD(ROW(Eingabe[[#This Row],[Heimbahn 4]]),2)=1,Eingabe[[#This Row],[S3]],Eingabe[[#This Row],[S2]]),""),""),"")</f>
        <v/>
      </c>
      <c r="AU484" s="22">
        <f>IF(Eingabe[[#This Row],[GES]]="","",IF(Eingabe[[#This Row],[Modus]]="L",_xlfn.RANK.EQ(Eingabe[[#This Row],[GES]],AF483:AF488),IF(Eingabe[[#This Row],[Modus]]="P",_xlfn.RANK.EQ(Eingabe[[#This Row],[GES]],AF483:AF488),"")))</f>
        <v>2</v>
      </c>
      <c r="AV484" s="6">
        <f>VLOOKUP(Eingabe[[#This Row],[Name]],AuswertungG[],8,FALSE)</f>
        <v>550</v>
      </c>
      <c r="AZ484" s="6">
        <f>IFERROR(ABS(Eingabe[[#This Row],[GES]]-Eingabe[[#This Row],[GEGGES]]),"")</f>
        <v>84</v>
      </c>
    </row>
    <row r="485" spans="1:52" ht="16.2" hidden="1" thickBot="1" x14ac:dyDescent="0.35">
      <c r="A485" s="441"/>
      <c r="B485" s="21">
        <f t="shared" si="48"/>
        <v>81</v>
      </c>
      <c r="C485" s="6" t="str">
        <f>VLOOKUP($B485,Chronologie[],7,TRUE)</f>
        <v>SV Dölzig</v>
      </c>
      <c r="D485" s="6" t="str">
        <f>VLOOKUP($B485,Chronologie[],8,TRUE)</f>
        <v>Leipzig</v>
      </c>
      <c r="E485" s="240" t="str">
        <f>VLOOKUP($B485,Chronologie[],9,TRUE)</f>
        <v>A</v>
      </c>
      <c r="F485" s="6" t="str">
        <f>VLOOKUP($B485,Chronologie[],COLUMN(F486)-2,TRUE)</f>
        <v>E</v>
      </c>
      <c r="G485" s="6" t="str">
        <f>VLOOKUP($B485,Chronologie[],COLUMN(G486)-2,TRUE)</f>
        <v>P</v>
      </c>
      <c r="H485" s="6">
        <f>VLOOKUP($B485,Chronologie[],COLUMN(H486)-2,TRUE)</f>
        <v>1</v>
      </c>
      <c r="I485" s="10" t="str">
        <f>VLOOKUP($B485,Chronologie[],2,TRUE)</f>
        <v>E-P-1</v>
      </c>
      <c r="J485" s="243">
        <f>VLOOKUP($B485,Chronologie[],3,TRUE)</f>
        <v>45983</v>
      </c>
      <c r="K485" s="237" t="s">
        <v>488</v>
      </c>
      <c r="L485" s="237">
        <v>90</v>
      </c>
      <c r="M485" s="237">
        <v>94</v>
      </c>
      <c r="N485" s="237">
        <v>92</v>
      </c>
      <c r="O485" s="237">
        <v>87</v>
      </c>
      <c r="P485" s="237">
        <v>35</v>
      </c>
      <c r="Q485" s="237">
        <v>27</v>
      </c>
      <c r="R485" s="237">
        <v>41</v>
      </c>
      <c r="S485" s="237">
        <v>36</v>
      </c>
      <c r="T485" s="237">
        <v>4</v>
      </c>
      <c r="U485" s="237">
        <v>2</v>
      </c>
      <c r="V485" s="237">
        <v>0</v>
      </c>
      <c r="W485" s="237">
        <v>1</v>
      </c>
      <c r="X485" s="38">
        <v>1</v>
      </c>
      <c r="Y485" s="38">
        <v>0</v>
      </c>
      <c r="Z485" s="38">
        <v>1</v>
      </c>
      <c r="AA485" s="38">
        <v>0</v>
      </c>
      <c r="AB485" s="91">
        <v>501</v>
      </c>
      <c r="AC485" s="94">
        <f>IF(Eingabe[[#This Row],[V1]]="",IF(Eingabe[[#This Row],[Volle alternativ]]="","",Eingabe[[#This Row],[Volle alternativ]]),SUM(Eingabe[[#This Row],[V1]:[V4]]))</f>
        <v>363</v>
      </c>
      <c r="AD485" s="6">
        <f>IF(Eingabe[[#This Row],[R1]]="",IF(Eingabe[[#This Row],[Räumer alternativ]]="","",Eingabe[[#This Row],[Räumer alternativ]]),SUM(Eingabe[[#This Row],[R1]:[R4]]))</f>
        <v>139</v>
      </c>
      <c r="AE485" s="6">
        <f>IF(Eingabe[[#This Row],[F1]]="",IF(Eingabe[[#This Row],[Fehler alternativ]]="","",Eingabe[[#This Row],[Fehler alternativ]]),SUM(Eingabe[[#This Row],[F1]:[F4]]))</f>
        <v>7</v>
      </c>
      <c r="AF485" s="6">
        <f>IF(Eingabe[[#This Row],[Volle]]="","",IF(Eingabe[[#This Row],[S1]]="",Eingabe[[#This Row],[Volle]]+Eingabe[[#This Row],[Räumer]],IF(Eingabe[[#This Row],[Volle]]+Eingabe[[#This Row],[Räumer]]=Eingabe[[#This Row],[S1]]+Eingabe[[#This Row],[S2]]+Eingabe[[#This Row],[S3]]+Eingabe[[#This Row],[S4]],Eingabe[[#This Row],[Volle]]+Eingabe[[#This Row],[Räumer]],"FEHLER")))</f>
        <v>502</v>
      </c>
      <c r="AG485" s="6">
        <f>IF(Eingabe[[#This Row],[V1]]="","",Eingabe[[#This Row],[V1]]+Eingabe[[#This Row],[R1]])</f>
        <v>125</v>
      </c>
      <c r="AH485" s="6">
        <f>IF(Eingabe[[#This Row],[V2]]="","",Eingabe[[#This Row],[V2]]+Eingabe[[#This Row],[R2]])</f>
        <v>121</v>
      </c>
      <c r="AI485" s="6">
        <f>IF(Eingabe[[#This Row],[V3]]="","",Eingabe[[#This Row],[V3]]+Eingabe[[#This Row],[R3]])</f>
        <v>133</v>
      </c>
      <c r="AJ485" s="6">
        <f>IF(Eingabe[[#This Row],[V4]]="","",Eingabe[[#This Row],[V4]]+Eingabe[[#This Row],[R4]])</f>
        <v>123</v>
      </c>
      <c r="AK485" s="6">
        <f>IF(Eingabe[[#This Row],[S1P]]="","",Eingabe[[#This Row],[S1P]]+Eingabe[[#This Row],[S2P]]+Eingabe[[#This Row],[S3P]]+Eingabe[[#This Row],[S4P]])</f>
        <v>2</v>
      </c>
      <c r="AL485" s="6">
        <f>IF(Eingabe[[#This Row],[S1P]]="","",IF(Eingabe[[#This Row],[SP]]&gt;2,1,IF(Eingabe[[#This Row],[SP]]&lt;2,0,IF(Eingabe[[#This Row],[GES]]&gt;Eingabe[[#This Row],[GEGGES]],1,IF(Eingabe[[#This Row],[GES]]=Eingabe[[#This Row],[GEGGES]],0.5,0)))))</f>
        <v>1</v>
      </c>
      <c r="AM485" s="6">
        <f>IF(Eingabe[[#This Row],[MP]]="","",MOD(ROW(Eingabe[[#This Row],[Position]])-3,6)+1)</f>
        <v>3</v>
      </c>
      <c r="AN485" s="6">
        <f>STANDARDIZE(Eingabe[[#This Row],[GES]],Eingabe[[#This Row],[Schnitt]],VLOOKUP(Eingabe[[#This Row],[Name]],AuswertungG[],21,FALSE))</f>
        <v>0.25</v>
      </c>
      <c r="AO485" s="6">
        <f>VLOOKUP(Eingabe[[#This Row],[ID]],Chronologie[[ID]:[KW]],12,FALSE)</f>
        <v>13</v>
      </c>
      <c r="AP485" s="95" t="str">
        <f>IF(Eingabe[[#This Row],[Wo]]="H",Eingabe[[#This Row],[Gegner]]&amp;" ["&amp;Eingabe[[#This Row],[Wo]]&amp;"]",Eingabe[[#This Row],[Ort]])</f>
        <v>Leipzig</v>
      </c>
      <c r="AQ485" s="6" t="str">
        <f>IFERROR(IF(Eingabe[[#This Row],[Wo]]="H",IF(MOD(Eingabe[[#This Row],[Position]],2)=1,Eingabe[[#This Row],[S1]],Eingabe[[#This Row],[S4]]),""),"")</f>
        <v/>
      </c>
      <c r="AR485" s="6" t="str">
        <f>IFERROR(IF(Eingabe[[#This Row],[Wo]]="H",IF(Eingabe[[#This Row],[S1]]&gt;0,IF(MOD(Eingabe[[#This Row],[Position]],2)=1,Eingabe[[#This Row],[S2]],Eingabe[[#This Row],[S3]]),""),""),"")</f>
        <v/>
      </c>
      <c r="AS485" s="6" t="str">
        <f>IFERROR(IF(Eingabe[[#This Row],[Wo]]="H",IF(Eingabe[[#This Row],[S1]]&gt;0,IF(MOD(ROW(Eingabe[[#This Row],[Heimbahn 3]]),2)=1,Eingabe[[#This Row],[S4]],Eingabe[[#This Row],[S1]]),""),""),"")</f>
        <v/>
      </c>
      <c r="AT485" s="6" t="str">
        <f>IFERROR(IF(Eingabe[[#This Row],[Wo]]="H",IF(Eingabe[[#This Row],[S1]]&gt;0,IF(MOD(ROW(Eingabe[[#This Row],[Heimbahn 4]]),2)=1,Eingabe[[#This Row],[S3]],Eingabe[[#This Row],[S2]]),""),""),"")</f>
        <v/>
      </c>
      <c r="AU485" s="22">
        <f>IF(Eingabe[[#This Row],[GES]]="","",IF(Eingabe[[#This Row],[Modus]]="L",_xlfn.RANK.EQ(Eingabe[[#This Row],[GES]],AF483:AF488),IF(Eingabe[[#This Row],[Modus]]="P",_xlfn.RANK.EQ(Eingabe[[#This Row],[GES]],AF483:AF488),"")))</f>
        <v>6</v>
      </c>
      <c r="AV485" s="6">
        <f>VLOOKUP(Eingabe[[#This Row],[Name]],AuswertungG[],8,FALSE)</f>
        <v>499</v>
      </c>
      <c r="AZ485" s="6">
        <f>IFERROR(ABS(Eingabe[[#This Row],[GES]]-Eingabe[[#This Row],[GEGGES]]),"")</f>
        <v>1</v>
      </c>
    </row>
    <row r="486" spans="1:52" ht="16.2" hidden="1" thickBot="1" x14ac:dyDescent="0.35">
      <c r="A486" s="441"/>
      <c r="B486" s="21">
        <f t="shared" si="48"/>
        <v>81</v>
      </c>
      <c r="C486" s="6" t="str">
        <f>VLOOKUP($B486,Chronologie[],7,TRUE)</f>
        <v>SV Dölzig</v>
      </c>
      <c r="D486" s="6" t="str">
        <f>VLOOKUP($B486,Chronologie[],8,TRUE)</f>
        <v>Leipzig</v>
      </c>
      <c r="E486" s="240" t="str">
        <f>VLOOKUP($B486,Chronologie[],9,TRUE)</f>
        <v>A</v>
      </c>
      <c r="F486" s="6" t="str">
        <f>VLOOKUP($B486,Chronologie[],COLUMN(F487)-2,TRUE)</f>
        <v>E</v>
      </c>
      <c r="G486" s="6" t="str">
        <f>VLOOKUP($B486,Chronologie[],COLUMN(G487)-2,TRUE)</f>
        <v>P</v>
      </c>
      <c r="H486" s="6">
        <f>VLOOKUP($B486,Chronologie[],COLUMN(H487)-2,TRUE)</f>
        <v>1</v>
      </c>
      <c r="I486" s="10" t="str">
        <f>VLOOKUP($B486,Chronologie[],2,TRUE)</f>
        <v>E-P-1</v>
      </c>
      <c r="J486" s="243">
        <f>VLOOKUP($B486,Chronologie[],3,TRUE)</f>
        <v>45983</v>
      </c>
      <c r="K486" s="238" t="s">
        <v>469</v>
      </c>
      <c r="L486" s="237">
        <v>91</v>
      </c>
      <c r="M486" s="237">
        <v>90</v>
      </c>
      <c r="N486" s="237">
        <v>89</v>
      </c>
      <c r="O486" s="237">
        <v>82</v>
      </c>
      <c r="P486" s="237">
        <v>36</v>
      </c>
      <c r="Q486" s="237">
        <v>54</v>
      </c>
      <c r="R486" s="237">
        <v>25</v>
      </c>
      <c r="S486" s="237">
        <v>44</v>
      </c>
      <c r="T486" s="237">
        <v>3</v>
      </c>
      <c r="U486" s="237">
        <v>3</v>
      </c>
      <c r="V486" s="237">
        <v>4</v>
      </c>
      <c r="W486" s="237">
        <v>0</v>
      </c>
      <c r="X486" s="38">
        <v>1</v>
      </c>
      <c r="Y486" s="38">
        <v>1</v>
      </c>
      <c r="Z486" s="38">
        <v>0</v>
      </c>
      <c r="AA486" s="38">
        <v>1</v>
      </c>
      <c r="AB486" s="91">
        <v>501</v>
      </c>
      <c r="AC486" s="94">
        <f>IF(Eingabe[[#This Row],[V1]]="",IF(Eingabe[[#This Row],[Volle alternativ]]="","",Eingabe[[#This Row],[Volle alternativ]]),SUM(Eingabe[[#This Row],[V1]:[V4]]))</f>
        <v>352</v>
      </c>
      <c r="AD486" s="6">
        <f>IF(Eingabe[[#This Row],[R1]]="",IF(Eingabe[[#This Row],[Räumer alternativ]]="","",Eingabe[[#This Row],[Räumer alternativ]]),SUM(Eingabe[[#This Row],[R1]:[R4]]))</f>
        <v>159</v>
      </c>
      <c r="AE486" s="6">
        <f>IF(Eingabe[[#This Row],[F1]]="",IF(Eingabe[[#This Row],[Fehler alternativ]]="","",Eingabe[[#This Row],[Fehler alternativ]]),SUM(Eingabe[[#This Row],[F1]:[F4]]))</f>
        <v>10</v>
      </c>
      <c r="AF486" s="6">
        <f>IF(Eingabe[[#This Row],[Volle]]="","",IF(Eingabe[[#This Row],[S1]]="",Eingabe[[#This Row],[Volle]]+Eingabe[[#This Row],[Räumer]],IF(Eingabe[[#This Row],[Volle]]+Eingabe[[#This Row],[Räumer]]=Eingabe[[#This Row],[S1]]+Eingabe[[#This Row],[S2]]+Eingabe[[#This Row],[S3]]+Eingabe[[#This Row],[S4]],Eingabe[[#This Row],[Volle]]+Eingabe[[#This Row],[Räumer]],"FEHLER")))</f>
        <v>511</v>
      </c>
      <c r="AG486" s="6">
        <f>IF(Eingabe[[#This Row],[V1]]="","",Eingabe[[#This Row],[V1]]+Eingabe[[#This Row],[R1]])</f>
        <v>127</v>
      </c>
      <c r="AH486" s="6">
        <f>IF(Eingabe[[#This Row],[V2]]="","",Eingabe[[#This Row],[V2]]+Eingabe[[#This Row],[R2]])</f>
        <v>144</v>
      </c>
      <c r="AI486" s="6">
        <f>IF(Eingabe[[#This Row],[V3]]="","",Eingabe[[#This Row],[V3]]+Eingabe[[#This Row],[R3]])</f>
        <v>114</v>
      </c>
      <c r="AJ486" s="6">
        <f>IF(Eingabe[[#This Row],[V4]]="","",Eingabe[[#This Row],[V4]]+Eingabe[[#This Row],[R4]])</f>
        <v>126</v>
      </c>
      <c r="AK486" s="6">
        <f>IF(Eingabe[[#This Row],[S1P]]="","",Eingabe[[#This Row],[S1P]]+Eingabe[[#This Row],[S2P]]+Eingabe[[#This Row],[S3P]]+Eingabe[[#This Row],[S4P]])</f>
        <v>3</v>
      </c>
      <c r="AL486" s="6">
        <f>IF(Eingabe[[#This Row],[S1P]]="","",IF(Eingabe[[#This Row],[SP]]&gt;2,1,IF(Eingabe[[#This Row],[SP]]&lt;2,0,IF(Eingabe[[#This Row],[GES]]&gt;Eingabe[[#This Row],[GEGGES]],1,IF(Eingabe[[#This Row],[GES]]=Eingabe[[#This Row],[GEGGES]],0.5,0)))))</f>
        <v>1</v>
      </c>
      <c r="AM486" s="6">
        <f>IF(Eingabe[[#This Row],[MP]]="","",MOD(ROW(Eingabe[[#This Row],[Position]])-3,6)+1)</f>
        <v>4</v>
      </c>
      <c r="AN486" s="6">
        <f>STANDARDIZE(Eingabe[[#This Row],[GES]],Eingabe[[#This Row],[Schnitt]],VLOOKUP(Eingabe[[#This Row],[Name]],AuswertungG[],21,FALSE))</f>
        <v>-0.77272727272727271</v>
      </c>
      <c r="AO486" s="6">
        <f>VLOOKUP(Eingabe[[#This Row],[ID]],Chronologie[[ID]:[KW]],12,FALSE)</f>
        <v>13</v>
      </c>
      <c r="AP486" s="95" t="str">
        <f>IF(Eingabe[[#This Row],[Wo]]="H",Eingabe[[#This Row],[Gegner]]&amp;" ["&amp;Eingabe[[#This Row],[Wo]]&amp;"]",Eingabe[[#This Row],[Ort]])</f>
        <v>Leipzig</v>
      </c>
      <c r="AQ486" s="6" t="str">
        <f>IFERROR(IF(Eingabe[[#This Row],[Wo]]="H",IF(MOD(Eingabe[[#This Row],[Position]],2)=1,Eingabe[[#This Row],[S1]],Eingabe[[#This Row],[S4]]),""),"")</f>
        <v/>
      </c>
      <c r="AR486" s="6" t="str">
        <f>IFERROR(IF(Eingabe[[#This Row],[Wo]]="H",IF(Eingabe[[#This Row],[S1]]&gt;0,IF(MOD(Eingabe[[#This Row],[Position]],2)=1,Eingabe[[#This Row],[S2]],Eingabe[[#This Row],[S3]]),""),""),"")</f>
        <v/>
      </c>
      <c r="AS486" s="6" t="str">
        <f>IFERROR(IF(Eingabe[[#This Row],[Wo]]="H",IF(Eingabe[[#This Row],[S1]]&gt;0,IF(MOD(ROW(Eingabe[[#This Row],[Heimbahn 3]]),2)=1,Eingabe[[#This Row],[S4]],Eingabe[[#This Row],[S1]]),""),""),"")</f>
        <v/>
      </c>
      <c r="AT486" s="6" t="str">
        <f>IFERROR(IF(Eingabe[[#This Row],[Wo]]="H",IF(Eingabe[[#This Row],[S1]]&gt;0,IF(MOD(ROW(Eingabe[[#This Row],[Heimbahn 4]]),2)=1,Eingabe[[#This Row],[S3]],Eingabe[[#This Row],[S2]]),""),""),"")</f>
        <v/>
      </c>
      <c r="AU486" s="22">
        <f>IF(Eingabe[[#This Row],[GES]]="","",IF(Eingabe[[#This Row],[Modus]]="L",_xlfn.RANK.EQ(Eingabe[[#This Row],[GES]],AF483:AF488),IF(Eingabe[[#This Row],[Modus]]="P",_xlfn.RANK.EQ(Eingabe[[#This Row],[GES]],AF483:AF488),"")))</f>
        <v>5</v>
      </c>
      <c r="AV486" s="6">
        <f>VLOOKUP(Eingabe[[#This Row],[Name]],AuswertungG[],8,FALSE)</f>
        <v>528</v>
      </c>
      <c r="AZ486" s="6">
        <f>IFERROR(ABS(Eingabe[[#This Row],[GES]]-Eingabe[[#This Row],[GEGGES]]),"")</f>
        <v>10</v>
      </c>
    </row>
    <row r="487" spans="1:52" ht="16.2" hidden="1" thickBot="1" x14ac:dyDescent="0.35">
      <c r="A487" s="441"/>
      <c r="B487" s="21">
        <f t="shared" si="48"/>
        <v>81</v>
      </c>
      <c r="C487" s="6" t="str">
        <f>VLOOKUP($B487,Chronologie[],7,TRUE)</f>
        <v>SV Dölzig</v>
      </c>
      <c r="D487" s="6" t="str">
        <f>VLOOKUP($B487,Chronologie[],8,TRUE)</f>
        <v>Leipzig</v>
      </c>
      <c r="E487" s="240" t="str">
        <f>VLOOKUP($B487,Chronologie[],9,TRUE)</f>
        <v>A</v>
      </c>
      <c r="F487" s="6" t="str">
        <f>VLOOKUP($B487,Chronologie[],COLUMN(F488)-2,TRUE)</f>
        <v>E</v>
      </c>
      <c r="G487" s="6" t="str">
        <f>VLOOKUP($B487,Chronologie[],COLUMN(G488)-2,TRUE)</f>
        <v>P</v>
      </c>
      <c r="H487" s="6">
        <f>VLOOKUP($B487,Chronologie[],COLUMN(H488)-2,TRUE)</f>
        <v>1</v>
      </c>
      <c r="I487" s="10" t="str">
        <f>VLOOKUP($B487,Chronologie[],2,TRUE)</f>
        <v>E-P-1</v>
      </c>
      <c r="J487" s="243">
        <f>VLOOKUP($B487,Chronologie[],3,TRUE)</f>
        <v>45983</v>
      </c>
      <c r="K487" s="237" t="s">
        <v>659</v>
      </c>
      <c r="L487" s="237">
        <v>87</v>
      </c>
      <c r="M487" s="237">
        <v>87</v>
      </c>
      <c r="N487" s="237">
        <v>92</v>
      </c>
      <c r="O487" s="237">
        <v>80</v>
      </c>
      <c r="P487" s="237">
        <v>52</v>
      </c>
      <c r="Q487" s="237">
        <v>44</v>
      </c>
      <c r="R487" s="237">
        <v>43</v>
      </c>
      <c r="S487" s="237">
        <v>50</v>
      </c>
      <c r="T487" s="237">
        <v>1</v>
      </c>
      <c r="U487" s="237">
        <v>1</v>
      </c>
      <c r="V487" s="237">
        <v>2</v>
      </c>
      <c r="W487" s="237">
        <v>0</v>
      </c>
      <c r="X487" s="38">
        <v>0</v>
      </c>
      <c r="Y487" s="38">
        <v>1</v>
      </c>
      <c r="Z487" s="38">
        <v>1</v>
      </c>
      <c r="AA487" s="38">
        <v>1</v>
      </c>
      <c r="AB487" s="91">
        <v>506</v>
      </c>
      <c r="AC487" s="94">
        <f>IF(Eingabe[[#This Row],[V1]]="",IF(Eingabe[[#This Row],[Volle alternativ]]="","",Eingabe[[#This Row],[Volle alternativ]]),SUM(Eingabe[[#This Row],[V1]:[V4]]))</f>
        <v>346</v>
      </c>
      <c r="AD487" s="6">
        <f>IF(Eingabe[[#This Row],[R1]]="",IF(Eingabe[[#This Row],[Räumer alternativ]]="","",Eingabe[[#This Row],[Räumer alternativ]]),SUM(Eingabe[[#This Row],[R1]:[R4]]))</f>
        <v>189</v>
      </c>
      <c r="AE487" s="6">
        <f>IF(Eingabe[[#This Row],[F1]]="",IF(Eingabe[[#This Row],[Fehler alternativ]]="","",Eingabe[[#This Row],[Fehler alternativ]]),SUM(Eingabe[[#This Row],[F1]:[F4]]))</f>
        <v>4</v>
      </c>
      <c r="AF487" s="6">
        <f>IF(Eingabe[[#This Row],[Volle]]="","",IF(Eingabe[[#This Row],[S1]]="",Eingabe[[#This Row],[Volle]]+Eingabe[[#This Row],[Räumer]],IF(Eingabe[[#This Row],[Volle]]+Eingabe[[#This Row],[Räumer]]=Eingabe[[#This Row],[S1]]+Eingabe[[#This Row],[S2]]+Eingabe[[#This Row],[S3]]+Eingabe[[#This Row],[S4]],Eingabe[[#This Row],[Volle]]+Eingabe[[#This Row],[Räumer]],"FEHLER")))</f>
        <v>535</v>
      </c>
      <c r="AG487" s="6">
        <f>IF(Eingabe[[#This Row],[V1]]="","",Eingabe[[#This Row],[V1]]+Eingabe[[#This Row],[R1]])</f>
        <v>139</v>
      </c>
      <c r="AH487" s="6">
        <f>IF(Eingabe[[#This Row],[V2]]="","",Eingabe[[#This Row],[V2]]+Eingabe[[#This Row],[R2]])</f>
        <v>131</v>
      </c>
      <c r="AI487" s="6">
        <f>IF(Eingabe[[#This Row],[V3]]="","",Eingabe[[#This Row],[V3]]+Eingabe[[#This Row],[R3]])</f>
        <v>135</v>
      </c>
      <c r="AJ487" s="6">
        <f>IF(Eingabe[[#This Row],[V4]]="","",Eingabe[[#This Row],[V4]]+Eingabe[[#This Row],[R4]])</f>
        <v>130</v>
      </c>
      <c r="AK487" s="6">
        <f>IF(Eingabe[[#This Row],[S1P]]="","",Eingabe[[#This Row],[S1P]]+Eingabe[[#This Row],[S2P]]+Eingabe[[#This Row],[S3P]]+Eingabe[[#This Row],[S4P]])</f>
        <v>3</v>
      </c>
      <c r="AL487" s="6">
        <f>IF(Eingabe[[#This Row],[S1P]]="","",IF(Eingabe[[#This Row],[SP]]&gt;2,1,IF(Eingabe[[#This Row],[SP]]&lt;2,0,IF(Eingabe[[#This Row],[GES]]&gt;Eingabe[[#This Row],[GEGGES]],1,IF(Eingabe[[#This Row],[GES]]=Eingabe[[#This Row],[GEGGES]],0.5,0)))))</f>
        <v>1</v>
      </c>
      <c r="AM487" s="6">
        <f>IF(Eingabe[[#This Row],[MP]]="","",MOD(ROW(Eingabe[[#This Row],[Position]])-3,6)+1)</f>
        <v>5</v>
      </c>
      <c r="AN487" s="6">
        <f>STANDARDIZE(Eingabe[[#This Row],[GES]],Eingabe[[#This Row],[Schnitt]],VLOOKUP(Eingabe[[#This Row],[Name]],AuswertungG[],21,FALSE))</f>
        <v>0.125</v>
      </c>
      <c r="AO487" s="6">
        <f>VLOOKUP(Eingabe[[#This Row],[ID]],Chronologie[[ID]:[KW]],12,FALSE)</f>
        <v>13</v>
      </c>
      <c r="AP487" s="95" t="str">
        <f>IF(Eingabe[[#This Row],[Wo]]="H",Eingabe[[#This Row],[Gegner]]&amp;" ["&amp;Eingabe[[#This Row],[Wo]]&amp;"]",Eingabe[[#This Row],[Ort]])</f>
        <v>Leipzig</v>
      </c>
      <c r="AQ487" s="6" t="str">
        <f>IFERROR(IF(Eingabe[[#This Row],[Wo]]="H",IF(MOD(Eingabe[[#This Row],[Position]],2)=1,Eingabe[[#This Row],[S1]],Eingabe[[#This Row],[S4]]),""),"")</f>
        <v/>
      </c>
      <c r="AR487" s="6" t="str">
        <f>IFERROR(IF(Eingabe[[#This Row],[Wo]]="H",IF(Eingabe[[#This Row],[S1]]&gt;0,IF(MOD(Eingabe[[#This Row],[Position]],2)=1,Eingabe[[#This Row],[S2]],Eingabe[[#This Row],[S3]]),""),""),"")</f>
        <v/>
      </c>
      <c r="AS487" s="6" t="str">
        <f>IFERROR(IF(Eingabe[[#This Row],[Wo]]="H",IF(Eingabe[[#This Row],[S1]]&gt;0,IF(MOD(ROW(Eingabe[[#This Row],[Heimbahn 3]]),2)=1,Eingabe[[#This Row],[S4]],Eingabe[[#This Row],[S1]]),""),""),"")</f>
        <v/>
      </c>
      <c r="AT487" s="6" t="str">
        <f>IFERROR(IF(Eingabe[[#This Row],[Wo]]="H",IF(Eingabe[[#This Row],[S1]]&gt;0,IF(MOD(ROW(Eingabe[[#This Row],[Heimbahn 4]]),2)=1,Eingabe[[#This Row],[S3]],Eingabe[[#This Row],[S2]]),""),""),"")</f>
        <v/>
      </c>
      <c r="AU487" s="22">
        <f>IF(Eingabe[[#This Row],[GES]]="","",IF(Eingabe[[#This Row],[Modus]]="L",_xlfn.RANK.EQ(Eingabe[[#This Row],[GES]],AF483:AF488),IF(Eingabe[[#This Row],[Modus]]="P",_xlfn.RANK.EQ(Eingabe[[#This Row],[GES]],AF483:AF488),"")))</f>
        <v>3</v>
      </c>
      <c r="AV487" s="6">
        <f>VLOOKUP(Eingabe[[#This Row],[Name]],AuswertungG[],8,FALSE)</f>
        <v>532</v>
      </c>
      <c r="AZ487" s="6">
        <f>IFERROR(ABS(Eingabe[[#This Row],[GES]]-Eingabe[[#This Row],[GEGGES]]),"")</f>
        <v>29</v>
      </c>
    </row>
    <row r="488" spans="1:52" ht="16.2" hidden="1" thickBot="1" x14ac:dyDescent="0.35">
      <c r="A488" s="442"/>
      <c r="B488" s="56">
        <f t="shared" si="48"/>
        <v>81</v>
      </c>
      <c r="C488" s="23" t="str">
        <f>VLOOKUP($B488,Chronologie[],7,TRUE)</f>
        <v>SV Dölzig</v>
      </c>
      <c r="D488" s="23" t="str">
        <f>VLOOKUP($B488,Chronologie[],8,TRUE)</f>
        <v>Leipzig</v>
      </c>
      <c r="E488" s="39" t="str">
        <f>VLOOKUP($B488,Chronologie[],9,TRUE)</f>
        <v>A</v>
      </c>
      <c r="F488" s="23" t="str">
        <f>VLOOKUP($B488,Chronologie[],COLUMN(F489)-2,TRUE)</f>
        <v>E</v>
      </c>
      <c r="G488" s="23" t="str">
        <f>VLOOKUP($B488,Chronologie[],COLUMN(G489)-2,TRUE)</f>
        <v>P</v>
      </c>
      <c r="H488" s="23">
        <f>VLOOKUP($B488,Chronologie[],COLUMN(H489)-2,TRUE)</f>
        <v>1</v>
      </c>
      <c r="I488" s="13" t="str">
        <f>VLOOKUP($B488,Chronologie[],2,TRUE)</f>
        <v>E-P-1</v>
      </c>
      <c r="J488" s="244">
        <f>VLOOKUP($B488,Chronologie[],3,TRUE)</f>
        <v>45983</v>
      </c>
      <c r="K488" s="239" t="s">
        <v>455</v>
      </c>
      <c r="L488" s="239">
        <v>105</v>
      </c>
      <c r="M488" s="239">
        <v>104</v>
      </c>
      <c r="N488" s="239">
        <v>101</v>
      </c>
      <c r="O488" s="239">
        <v>95</v>
      </c>
      <c r="P488" s="239">
        <v>63</v>
      </c>
      <c r="Q488" s="239">
        <v>67</v>
      </c>
      <c r="R488" s="239">
        <v>61</v>
      </c>
      <c r="S488" s="239">
        <v>53</v>
      </c>
      <c r="T488" s="239">
        <v>1</v>
      </c>
      <c r="U488" s="239">
        <v>1</v>
      </c>
      <c r="V488" s="239">
        <v>0</v>
      </c>
      <c r="W488" s="239">
        <v>0</v>
      </c>
      <c r="X488" s="40">
        <v>1</v>
      </c>
      <c r="Y488" s="40">
        <v>1</v>
      </c>
      <c r="Z488" s="40">
        <v>1</v>
      </c>
      <c r="AA488" s="40">
        <v>1</v>
      </c>
      <c r="AB488" s="92">
        <v>556</v>
      </c>
      <c r="AC488" s="96">
        <f>IF(Eingabe[[#This Row],[V1]]="",IF(Eingabe[[#This Row],[Volle alternativ]]="","",Eingabe[[#This Row],[Volle alternativ]]),SUM(Eingabe[[#This Row],[V1]:[V4]]))</f>
        <v>405</v>
      </c>
      <c r="AD488" s="23">
        <f>IF(Eingabe[[#This Row],[R1]]="",IF(Eingabe[[#This Row],[Räumer alternativ]]="","",Eingabe[[#This Row],[Räumer alternativ]]),SUM(Eingabe[[#This Row],[R1]:[R4]]))</f>
        <v>244</v>
      </c>
      <c r="AE488" s="23">
        <f>IF(Eingabe[[#This Row],[F1]]="",IF(Eingabe[[#This Row],[Fehler alternativ]]="","",Eingabe[[#This Row],[Fehler alternativ]]),SUM(Eingabe[[#This Row],[F1]:[F4]]))</f>
        <v>2</v>
      </c>
      <c r="AF488" s="23">
        <f>IF(Eingabe[[#This Row],[Volle]]="","",IF(Eingabe[[#This Row],[S1]]="",Eingabe[[#This Row],[Volle]]+Eingabe[[#This Row],[Räumer]],IF(Eingabe[[#This Row],[Volle]]+Eingabe[[#This Row],[Räumer]]=Eingabe[[#This Row],[S1]]+Eingabe[[#This Row],[S2]]+Eingabe[[#This Row],[S3]]+Eingabe[[#This Row],[S4]],Eingabe[[#This Row],[Volle]]+Eingabe[[#This Row],[Räumer]],"FEHLER")))</f>
        <v>649</v>
      </c>
      <c r="AG488" s="23">
        <f>IF(Eingabe[[#This Row],[V1]]="","",Eingabe[[#This Row],[V1]]+Eingabe[[#This Row],[R1]])</f>
        <v>168</v>
      </c>
      <c r="AH488" s="23">
        <f>IF(Eingabe[[#This Row],[V2]]="","",Eingabe[[#This Row],[V2]]+Eingabe[[#This Row],[R2]])</f>
        <v>171</v>
      </c>
      <c r="AI488" s="23">
        <f>IF(Eingabe[[#This Row],[V3]]="","",Eingabe[[#This Row],[V3]]+Eingabe[[#This Row],[R3]])</f>
        <v>162</v>
      </c>
      <c r="AJ488" s="23">
        <f>IF(Eingabe[[#This Row],[V4]]="","",Eingabe[[#This Row],[V4]]+Eingabe[[#This Row],[R4]])</f>
        <v>148</v>
      </c>
      <c r="AK488" s="23">
        <f>IF(Eingabe[[#This Row],[S1P]]="","",Eingabe[[#This Row],[S1P]]+Eingabe[[#This Row],[S2P]]+Eingabe[[#This Row],[S3P]]+Eingabe[[#This Row],[S4P]])</f>
        <v>4</v>
      </c>
      <c r="AL488" s="23">
        <f>IF(Eingabe[[#This Row],[S1P]]="","",IF(Eingabe[[#This Row],[SP]]&gt;2,1,IF(Eingabe[[#This Row],[SP]]&lt;2,0,IF(Eingabe[[#This Row],[GES]]&gt;Eingabe[[#This Row],[GEGGES]],1,IF(Eingabe[[#This Row],[GES]]=Eingabe[[#This Row],[GEGGES]],0.5,0)))))</f>
        <v>1</v>
      </c>
      <c r="AM488" s="23">
        <f>IF(Eingabe[[#This Row],[MP]]="","",MOD(ROW(Eingabe[[#This Row],[Position]])-3,6)+1)</f>
        <v>6</v>
      </c>
      <c r="AN488" s="23">
        <f>STANDARDIZE(Eingabe[[#This Row],[GES]],Eingabe[[#This Row],[Schnitt]],VLOOKUP(Eingabe[[#This Row],[Name]],AuswertungG[],21,FALSE))</f>
        <v>2.0769230769230771</v>
      </c>
      <c r="AO488" s="23">
        <f>VLOOKUP(Eingabe[[#This Row],[ID]],Chronologie[[ID]:[KW]],12,FALSE)</f>
        <v>13</v>
      </c>
      <c r="AP488" s="59" t="str">
        <f>IF(Eingabe[[#This Row],[Wo]]="H",Eingabe[[#This Row],[Gegner]]&amp;" ["&amp;Eingabe[[#This Row],[Wo]]&amp;"]",Eingabe[[#This Row],[Ort]])</f>
        <v>Leipzig</v>
      </c>
      <c r="AQ488" s="23" t="str">
        <f>IFERROR(IF(Eingabe[[#This Row],[Wo]]="H",IF(MOD(Eingabe[[#This Row],[Position]],2)=1,Eingabe[[#This Row],[S1]],Eingabe[[#This Row],[S4]]),""),"")</f>
        <v/>
      </c>
      <c r="AR488" s="23" t="str">
        <f>IFERROR(IF(Eingabe[[#This Row],[Wo]]="H",IF(Eingabe[[#This Row],[S1]]&gt;0,IF(MOD(Eingabe[[#This Row],[Position]],2)=1,Eingabe[[#This Row],[S2]],Eingabe[[#This Row],[S3]]),""),""),"")</f>
        <v/>
      </c>
      <c r="AS488" s="23" t="str">
        <f>IFERROR(IF(Eingabe[[#This Row],[Wo]]="H",IF(Eingabe[[#This Row],[S1]]&gt;0,IF(MOD(ROW(Eingabe[[#This Row],[Heimbahn 3]]),2)=1,Eingabe[[#This Row],[S4]],Eingabe[[#This Row],[S1]]),""),""),"")</f>
        <v/>
      </c>
      <c r="AT488" s="23" t="str">
        <f>IFERROR(IF(Eingabe[[#This Row],[Wo]]="H",IF(Eingabe[[#This Row],[S1]]&gt;0,IF(MOD(ROW(Eingabe[[#This Row],[Heimbahn 4]]),2)=1,Eingabe[[#This Row],[S3]],Eingabe[[#This Row],[S2]]),""),""),"")</f>
        <v/>
      </c>
      <c r="AU488" s="89">
        <f>IF(Eingabe[[#This Row],[GES]]="","",IF(Eingabe[[#This Row],[Modus]]="L",_xlfn.RANK.EQ(Eingabe[[#This Row],[GES]],AF483:AF488),IF(Eingabe[[#This Row],[Modus]]="P",_xlfn.RANK.EQ(Eingabe[[#This Row],[GES]],AF483:AF488),"")))</f>
        <v>1</v>
      </c>
      <c r="AV488" s="6">
        <f>VLOOKUP(Eingabe[[#This Row],[Name]],AuswertungG[],8,FALSE)</f>
        <v>568</v>
      </c>
      <c r="AZ488" s="6">
        <f>IFERROR(ABS(Eingabe[[#This Row],[GES]]-Eingabe[[#This Row],[GEGGES]]),"")</f>
        <v>93</v>
      </c>
    </row>
    <row r="489" spans="1:52" ht="16.2" hidden="1" thickBot="1" x14ac:dyDescent="0.35">
      <c r="A489" s="440">
        <f t="shared" ref="A489:A549" si="49">B489</f>
        <v>82</v>
      </c>
      <c r="B489" s="55">
        <f t="shared" ref="B489:B520" si="50">ROUNDUP((ROW(B489)-2)/6,0)</f>
        <v>82</v>
      </c>
      <c r="C489" s="35" t="str">
        <f>VLOOKUP($B489,Chronologie[],7,TRUE)</f>
        <v>Lok Köthen</v>
      </c>
      <c r="D489" s="35" t="str">
        <f>VLOOKUP($B489,Chronologie[],8,TRUE)</f>
        <v>Köthen</v>
      </c>
      <c r="E489" s="36" t="str">
        <f>VLOOKUP($B489,Chronologie[],9,TRUE)</f>
        <v>A</v>
      </c>
      <c r="F489" s="35" t="str">
        <f>VLOOKUP($B489,Chronologie[],COLUMN(F490)-2,TRUE)</f>
        <v>E</v>
      </c>
      <c r="G489" s="35" t="str">
        <f>VLOOKUP($B489,Chronologie[],COLUMN(G490)-2,TRUE)</f>
        <v>DKBC-Pokal</v>
      </c>
      <c r="H489" s="35">
        <f>VLOOKUP($B489,Chronologie[],COLUMN(H490)-2,TRUE)</f>
        <v>3</v>
      </c>
      <c r="I489" s="9" t="str">
        <f>VLOOKUP($B489,Chronologie[],2,TRUE)</f>
        <v>E-DKBC-Pokal-3</v>
      </c>
      <c r="J489" s="242">
        <f>VLOOKUP($B489,Chronologie[],3,TRUE)</f>
        <v>45997</v>
      </c>
      <c r="K489" s="236"/>
      <c r="L489" s="334">
        <v>81</v>
      </c>
      <c r="M489" s="334">
        <v>76</v>
      </c>
      <c r="N489" s="334">
        <v>82</v>
      </c>
      <c r="O489" s="334">
        <v>100</v>
      </c>
      <c r="P489" s="334">
        <v>45</v>
      </c>
      <c r="Q489" s="334">
        <v>43</v>
      </c>
      <c r="R489" s="334">
        <v>27</v>
      </c>
      <c r="S489" s="334">
        <v>35</v>
      </c>
      <c r="T489" s="334">
        <v>1</v>
      </c>
      <c r="U489" s="334">
        <v>1</v>
      </c>
      <c r="V489" s="334">
        <v>3</v>
      </c>
      <c r="W489" s="334">
        <v>0</v>
      </c>
      <c r="X489" s="37">
        <v>1</v>
      </c>
      <c r="Y489" s="37">
        <v>0</v>
      </c>
      <c r="Z489" s="37">
        <v>0</v>
      </c>
      <c r="AA489" s="37">
        <v>1</v>
      </c>
      <c r="AB489" s="90">
        <v>503</v>
      </c>
      <c r="AC489" s="93">
        <f>IF(Eingabe[[#This Row],[V1]]="",IF(Eingabe[[#This Row],[Volle alternativ]]="","",Eingabe[[#This Row],[Volle alternativ]]),SUM(Eingabe[[#This Row],[V1]:[V4]]))</f>
        <v>339</v>
      </c>
      <c r="AD489" s="35">
        <f>IF(Eingabe[[#This Row],[R1]]="",IF(Eingabe[[#This Row],[Räumer alternativ]]="","",Eingabe[[#This Row],[Räumer alternativ]]),SUM(Eingabe[[#This Row],[R1]:[R4]]))</f>
        <v>150</v>
      </c>
      <c r="AE489" s="35">
        <f>IF(Eingabe[[#This Row],[F1]]="",IF(Eingabe[[#This Row],[Fehler alternativ]]="","",Eingabe[[#This Row],[Fehler alternativ]]),SUM(Eingabe[[#This Row],[F1]:[F4]]))</f>
        <v>5</v>
      </c>
      <c r="AF489" s="35">
        <f>IF(Eingabe[[#This Row],[Volle]]="","",IF(Eingabe[[#This Row],[S1]]="",Eingabe[[#This Row],[Volle]]+Eingabe[[#This Row],[Räumer]],IF(Eingabe[[#This Row],[Volle]]+Eingabe[[#This Row],[Räumer]]=Eingabe[[#This Row],[S1]]+Eingabe[[#This Row],[S2]]+Eingabe[[#This Row],[S3]]+Eingabe[[#This Row],[S4]],Eingabe[[#This Row],[Volle]]+Eingabe[[#This Row],[Räumer]],"FEHLER")))</f>
        <v>489</v>
      </c>
      <c r="AG489" s="35">
        <f>IF(Eingabe[[#This Row],[V1]]="","",Eingabe[[#This Row],[V1]]+Eingabe[[#This Row],[R1]])</f>
        <v>126</v>
      </c>
      <c r="AH489" s="35">
        <f>IF(Eingabe[[#This Row],[V2]]="","",Eingabe[[#This Row],[V2]]+Eingabe[[#This Row],[R2]])</f>
        <v>119</v>
      </c>
      <c r="AI489" s="35">
        <f>IF(Eingabe[[#This Row],[V3]]="","",Eingabe[[#This Row],[V3]]+Eingabe[[#This Row],[R3]])</f>
        <v>109</v>
      </c>
      <c r="AJ489" s="35">
        <f>IF(Eingabe[[#This Row],[V4]]="","",Eingabe[[#This Row],[V4]]+Eingabe[[#This Row],[R4]])</f>
        <v>135</v>
      </c>
      <c r="AK489" s="35">
        <f>IF(Eingabe[[#This Row],[S1P]]="","",Eingabe[[#This Row],[S1P]]+Eingabe[[#This Row],[S2P]]+Eingabe[[#This Row],[S3P]]+Eingabe[[#This Row],[S4P]])</f>
        <v>2</v>
      </c>
      <c r="AL489" s="35">
        <f>IF(Eingabe[[#This Row],[S1P]]="","",IF(Eingabe[[#This Row],[SP]]&gt;2,1,IF(Eingabe[[#This Row],[SP]]&lt;2,0,IF(Eingabe[[#This Row],[GES]]&gt;Eingabe[[#This Row],[GEGGES]],1,IF(Eingabe[[#This Row],[GES]]=Eingabe[[#This Row],[GEGGES]],0.5,0)))))</f>
        <v>0</v>
      </c>
      <c r="AM489" s="35">
        <f>IF(Eingabe[[#This Row],[MP]]="","",MOD(ROW(Eingabe[[#This Row],[Position]])-3,6)+1)</f>
        <v>1</v>
      </c>
      <c r="AN489" s="35" t="e">
        <f>STANDARDIZE(Eingabe[[#This Row],[GES]],Eingabe[[#This Row],[Schnitt]],VLOOKUP(Eingabe[[#This Row],[Name]],AuswertungG[],21,FALSE))</f>
        <v>#N/A</v>
      </c>
      <c r="AO489" s="35">
        <f>VLOOKUP(Eingabe[[#This Row],[ID]],Chronologie[[ID]:[KW]],12,FALSE)</f>
        <v>15</v>
      </c>
      <c r="AP489" s="58" t="str">
        <f>IF(Eingabe[[#This Row],[Wo]]="H",Eingabe[[#This Row],[Gegner]]&amp;" ["&amp;Eingabe[[#This Row],[Wo]]&amp;"]",Eingabe[[#This Row],[Ort]])</f>
        <v>Köthen</v>
      </c>
      <c r="AQ489" s="35" t="str">
        <f>IFERROR(IF(Eingabe[[#This Row],[Wo]]="H",IF(MOD(Eingabe[[#This Row],[Position]],2)=1,Eingabe[[#This Row],[S1]],Eingabe[[#This Row],[S4]]),""),"")</f>
        <v/>
      </c>
      <c r="AR489" s="35" t="str">
        <f>IFERROR(IF(Eingabe[[#This Row],[Wo]]="H",IF(Eingabe[[#This Row],[S1]]&gt;0,IF(MOD(Eingabe[[#This Row],[Position]],2)=1,Eingabe[[#This Row],[S2]],Eingabe[[#This Row],[S3]]),""),""),"")</f>
        <v/>
      </c>
      <c r="AS489" s="35" t="str">
        <f>IFERROR(IF(Eingabe[[#This Row],[Wo]]="H",IF(Eingabe[[#This Row],[S1]]&gt;0,IF(MOD(ROW(Eingabe[[#This Row],[Heimbahn 3]]),2)=1,Eingabe[[#This Row],[S4]],Eingabe[[#This Row],[S1]]),""),""),"")</f>
        <v/>
      </c>
      <c r="AT489" s="35" t="str">
        <f>IFERROR(IF(Eingabe[[#This Row],[Wo]]="H",IF(Eingabe[[#This Row],[S1]]&gt;0,IF(MOD(ROW(Eingabe[[#This Row],[Heimbahn 4]]),2)=1,Eingabe[[#This Row],[S3]],Eingabe[[#This Row],[S2]]),""),""),"")</f>
        <v/>
      </c>
      <c r="AU489" s="88" t="str">
        <f>IF(Eingabe[[#This Row],[GES]]="","",IF(Eingabe[[#This Row],[Modus]]="L",_xlfn.RANK.EQ(Eingabe[[#This Row],[GES]],AF489:AF494),IF(Eingabe[[#This Row],[Modus]]="P",_xlfn.RANK.EQ(Eingabe[[#This Row],[GES]],AF489:AF494),"")))</f>
        <v/>
      </c>
      <c r="AV489" s="6" t="e">
        <f>VLOOKUP(Eingabe[[#This Row],[Name]],AuswertungG[],8,FALSE)</f>
        <v>#N/A</v>
      </c>
      <c r="AZ489" s="6">
        <f>IFERROR(ABS(Eingabe[[#This Row],[GES]]-Eingabe[[#This Row],[GEGGES]]),"")</f>
        <v>14</v>
      </c>
    </row>
    <row r="490" spans="1:52" ht="16.2" hidden="1" thickBot="1" x14ac:dyDescent="0.35">
      <c r="A490" s="441"/>
      <c r="B490" s="21">
        <f t="shared" si="50"/>
        <v>82</v>
      </c>
      <c r="C490" s="6" t="str">
        <f>VLOOKUP($B490,Chronologie[],7,TRUE)</f>
        <v>Lok Köthen</v>
      </c>
      <c r="D490" s="6" t="str">
        <f>VLOOKUP($B490,Chronologie[],8,TRUE)</f>
        <v>Köthen</v>
      </c>
      <c r="E490" s="240" t="str">
        <f>VLOOKUP($B490,Chronologie[],9,TRUE)</f>
        <v>A</v>
      </c>
      <c r="F490" s="6" t="str">
        <f>VLOOKUP($B490,Chronologie[],COLUMN(F491)-2,TRUE)</f>
        <v>E</v>
      </c>
      <c r="G490" s="6" t="str">
        <f>VLOOKUP($B490,Chronologie[],COLUMN(G491)-2,TRUE)</f>
        <v>DKBC-Pokal</v>
      </c>
      <c r="H490" s="6">
        <f>VLOOKUP($B490,Chronologie[],COLUMN(H491)-2,TRUE)</f>
        <v>3</v>
      </c>
      <c r="I490" s="10" t="str">
        <f>VLOOKUP($B490,Chronologie[],2,TRUE)</f>
        <v>E-DKBC-Pokal-3</v>
      </c>
      <c r="J490" s="243">
        <f>VLOOKUP($B490,Chronologie[],3,TRUE)</f>
        <v>45997</v>
      </c>
      <c r="K490" s="237" t="s">
        <v>489</v>
      </c>
      <c r="L490" s="237">
        <v>100</v>
      </c>
      <c r="M490" s="237">
        <v>101</v>
      </c>
      <c r="N490" s="237">
        <v>87</v>
      </c>
      <c r="O490" s="237">
        <v>83</v>
      </c>
      <c r="P490" s="237">
        <v>45</v>
      </c>
      <c r="Q490" s="237">
        <v>29</v>
      </c>
      <c r="R490" s="237">
        <v>27</v>
      </c>
      <c r="S490" s="237">
        <v>50</v>
      </c>
      <c r="T490" s="237">
        <v>1</v>
      </c>
      <c r="U490" s="237">
        <v>2</v>
      </c>
      <c r="V490" s="237">
        <v>3</v>
      </c>
      <c r="W490" s="237">
        <v>0</v>
      </c>
      <c r="X490" s="38">
        <v>0.5</v>
      </c>
      <c r="Y490" s="38">
        <v>0</v>
      </c>
      <c r="Z490" s="38">
        <v>0</v>
      </c>
      <c r="AA490" s="38">
        <v>0</v>
      </c>
      <c r="AB490" s="91">
        <v>621</v>
      </c>
      <c r="AC490" s="94">
        <f>IF(Eingabe[[#This Row],[V1]]="",IF(Eingabe[[#This Row],[Volle alternativ]]="","",Eingabe[[#This Row],[Volle alternativ]]),SUM(Eingabe[[#This Row],[V1]:[V4]]))</f>
        <v>371</v>
      </c>
      <c r="AD490" s="6">
        <f>IF(Eingabe[[#This Row],[R1]]="",IF(Eingabe[[#This Row],[Räumer alternativ]]="","",Eingabe[[#This Row],[Räumer alternativ]]),SUM(Eingabe[[#This Row],[R1]:[R4]]))</f>
        <v>151</v>
      </c>
      <c r="AE490" s="6">
        <f>IF(Eingabe[[#This Row],[F1]]="",IF(Eingabe[[#This Row],[Fehler alternativ]]="","",Eingabe[[#This Row],[Fehler alternativ]]),SUM(Eingabe[[#This Row],[F1]:[F4]]))</f>
        <v>6</v>
      </c>
      <c r="AF490" s="6">
        <f>IF(Eingabe[[#This Row],[Volle]]="","",IF(Eingabe[[#This Row],[S1]]="",Eingabe[[#This Row],[Volle]]+Eingabe[[#This Row],[Räumer]],IF(Eingabe[[#This Row],[Volle]]+Eingabe[[#This Row],[Räumer]]=Eingabe[[#This Row],[S1]]+Eingabe[[#This Row],[S2]]+Eingabe[[#This Row],[S3]]+Eingabe[[#This Row],[S4]],Eingabe[[#This Row],[Volle]]+Eingabe[[#This Row],[Räumer]],"FEHLER")))</f>
        <v>522</v>
      </c>
      <c r="AG490" s="6">
        <f>IF(Eingabe[[#This Row],[V1]]="","",Eingabe[[#This Row],[V1]]+Eingabe[[#This Row],[R1]])</f>
        <v>145</v>
      </c>
      <c r="AH490" s="6">
        <f>IF(Eingabe[[#This Row],[V2]]="","",Eingabe[[#This Row],[V2]]+Eingabe[[#This Row],[R2]])</f>
        <v>130</v>
      </c>
      <c r="AI490" s="6">
        <f>IF(Eingabe[[#This Row],[V3]]="","",Eingabe[[#This Row],[V3]]+Eingabe[[#This Row],[R3]])</f>
        <v>114</v>
      </c>
      <c r="AJ490" s="6">
        <f>IF(Eingabe[[#This Row],[V4]]="","",Eingabe[[#This Row],[V4]]+Eingabe[[#This Row],[R4]])</f>
        <v>133</v>
      </c>
      <c r="AK490" s="6">
        <f>IF(Eingabe[[#This Row],[S1P]]="","",Eingabe[[#This Row],[S1P]]+Eingabe[[#This Row],[S2P]]+Eingabe[[#This Row],[S3P]]+Eingabe[[#This Row],[S4P]])</f>
        <v>0.5</v>
      </c>
      <c r="AL490" s="6">
        <f>IF(Eingabe[[#This Row],[S1P]]="","",IF(Eingabe[[#This Row],[SP]]&gt;2,1,IF(Eingabe[[#This Row],[SP]]&lt;2,0,IF(Eingabe[[#This Row],[GES]]&gt;Eingabe[[#This Row],[GEGGES]],1,IF(Eingabe[[#This Row],[GES]]=Eingabe[[#This Row],[GEGGES]],0.5,0)))))</f>
        <v>0</v>
      </c>
      <c r="AM490" s="6">
        <f>IF(Eingabe[[#This Row],[MP]]="","",MOD(ROW(Eingabe[[#This Row],[Position]])-3,6)+1)</f>
        <v>2</v>
      </c>
      <c r="AN490" s="6">
        <f>STANDARDIZE(Eingabe[[#This Row],[GES]],Eingabe[[#This Row],[Schnitt]],VLOOKUP(Eingabe[[#This Row],[Name]],AuswertungG[],21,FALSE))</f>
        <v>-0.16666666666666666</v>
      </c>
      <c r="AO490" s="6">
        <f>VLOOKUP(Eingabe[[#This Row],[ID]],Chronologie[[ID]:[KW]],12,FALSE)</f>
        <v>15</v>
      </c>
      <c r="AP490" s="95" t="str">
        <f>IF(Eingabe[[#This Row],[Wo]]="H",Eingabe[[#This Row],[Gegner]]&amp;" ["&amp;Eingabe[[#This Row],[Wo]]&amp;"]",Eingabe[[#This Row],[Ort]])</f>
        <v>Köthen</v>
      </c>
      <c r="AQ490" s="6" t="str">
        <f>IFERROR(IF(Eingabe[[#This Row],[Wo]]="H",IF(MOD(Eingabe[[#This Row],[Position]],2)=1,Eingabe[[#This Row],[S1]],Eingabe[[#This Row],[S4]]),""),"")</f>
        <v/>
      </c>
      <c r="AR490" s="6" t="str">
        <f>IFERROR(IF(Eingabe[[#This Row],[Wo]]="H",IF(Eingabe[[#This Row],[S1]]&gt;0,IF(MOD(Eingabe[[#This Row],[Position]],2)=1,Eingabe[[#This Row],[S2]],Eingabe[[#This Row],[S3]]),""),""),"")</f>
        <v/>
      </c>
      <c r="AS490" s="6" t="str">
        <f>IFERROR(IF(Eingabe[[#This Row],[Wo]]="H",IF(Eingabe[[#This Row],[S1]]&gt;0,IF(MOD(ROW(Eingabe[[#This Row],[Heimbahn 3]]),2)=1,Eingabe[[#This Row],[S4]],Eingabe[[#This Row],[S1]]),""),""),"")</f>
        <v/>
      </c>
      <c r="AT490" s="6" t="str">
        <f>IFERROR(IF(Eingabe[[#This Row],[Wo]]="H",IF(Eingabe[[#This Row],[S1]]&gt;0,IF(MOD(ROW(Eingabe[[#This Row],[Heimbahn 4]]),2)=1,Eingabe[[#This Row],[S3]],Eingabe[[#This Row],[S2]]),""),""),"")</f>
        <v/>
      </c>
      <c r="AU490" s="22" t="str">
        <f>IF(Eingabe[[#This Row],[GES]]="","",IF(Eingabe[[#This Row],[Modus]]="L",_xlfn.RANK.EQ(Eingabe[[#This Row],[GES]],AF489:AF494),IF(Eingabe[[#This Row],[Modus]]="P",_xlfn.RANK.EQ(Eingabe[[#This Row],[GES]],AF489:AF494),"")))</f>
        <v/>
      </c>
      <c r="AV490" s="6">
        <f>VLOOKUP(Eingabe[[#This Row],[Name]],AuswertungG[],8,FALSE)</f>
        <v>526</v>
      </c>
      <c r="AZ490" s="6">
        <f>IFERROR(ABS(Eingabe[[#This Row],[GES]]-Eingabe[[#This Row],[GEGGES]]),"")</f>
        <v>99</v>
      </c>
    </row>
    <row r="491" spans="1:52" ht="16.2" hidden="1" thickBot="1" x14ac:dyDescent="0.35">
      <c r="A491" s="441"/>
      <c r="B491" s="21">
        <f t="shared" si="50"/>
        <v>82</v>
      </c>
      <c r="C491" s="6" t="str">
        <f>VLOOKUP($B491,Chronologie[],7,TRUE)</f>
        <v>Lok Köthen</v>
      </c>
      <c r="D491" s="6" t="str">
        <f>VLOOKUP($B491,Chronologie[],8,TRUE)</f>
        <v>Köthen</v>
      </c>
      <c r="E491" s="240" t="str">
        <f>VLOOKUP($B491,Chronologie[],9,TRUE)</f>
        <v>A</v>
      </c>
      <c r="F491" s="6" t="str">
        <f>VLOOKUP($B491,Chronologie[],COLUMN(F492)-2,TRUE)</f>
        <v>E</v>
      </c>
      <c r="G491" s="6" t="str">
        <f>VLOOKUP($B491,Chronologie[],COLUMN(G492)-2,TRUE)</f>
        <v>DKBC-Pokal</v>
      </c>
      <c r="H491" s="6">
        <f>VLOOKUP($B491,Chronologie[],COLUMN(H492)-2,TRUE)</f>
        <v>3</v>
      </c>
      <c r="I491" s="10" t="str">
        <f>VLOOKUP($B491,Chronologie[],2,TRUE)</f>
        <v>E-DKBC-Pokal-3</v>
      </c>
      <c r="J491" s="243">
        <f>VLOOKUP($B491,Chronologie[],3,TRUE)</f>
        <v>45997</v>
      </c>
      <c r="K491" s="237" t="s">
        <v>658</v>
      </c>
      <c r="L491" s="237">
        <v>91</v>
      </c>
      <c r="M491" s="237">
        <v>100</v>
      </c>
      <c r="N491" s="237">
        <v>99</v>
      </c>
      <c r="O491" s="237">
        <v>90</v>
      </c>
      <c r="P491" s="237">
        <v>52</v>
      </c>
      <c r="Q491" s="237">
        <v>45</v>
      </c>
      <c r="R491" s="237">
        <v>53</v>
      </c>
      <c r="S491" s="237">
        <v>62</v>
      </c>
      <c r="T491" s="237">
        <v>0</v>
      </c>
      <c r="U491" s="237">
        <v>1</v>
      </c>
      <c r="V491" s="237">
        <v>1</v>
      </c>
      <c r="W491" s="237">
        <v>1</v>
      </c>
      <c r="X491" s="38">
        <v>1</v>
      </c>
      <c r="Y491" s="38">
        <v>1</v>
      </c>
      <c r="Z491" s="38">
        <v>1</v>
      </c>
      <c r="AA491" s="38">
        <v>1</v>
      </c>
      <c r="AB491" s="91">
        <v>555</v>
      </c>
      <c r="AC491" s="94">
        <f>IF(Eingabe[[#This Row],[V1]]="",IF(Eingabe[[#This Row],[Volle alternativ]]="","",Eingabe[[#This Row],[Volle alternativ]]),SUM(Eingabe[[#This Row],[V1]:[V4]]))</f>
        <v>380</v>
      </c>
      <c r="AD491" s="6">
        <f>IF(Eingabe[[#This Row],[R1]]="",IF(Eingabe[[#This Row],[Räumer alternativ]]="","",Eingabe[[#This Row],[Räumer alternativ]]),SUM(Eingabe[[#This Row],[R1]:[R4]]))</f>
        <v>212</v>
      </c>
      <c r="AE491" s="6">
        <f>IF(Eingabe[[#This Row],[F1]]="",IF(Eingabe[[#This Row],[Fehler alternativ]]="","",Eingabe[[#This Row],[Fehler alternativ]]),SUM(Eingabe[[#This Row],[F1]:[F4]]))</f>
        <v>3</v>
      </c>
      <c r="AF491" s="6">
        <f>IF(Eingabe[[#This Row],[Volle]]="","",IF(Eingabe[[#This Row],[S1]]="",Eingabe[[#This Row],[Volle]]+Eingabe[[#This Row],[Räumer]],IF(Eingabe[[#This Row],[Volle]]+Eingabe[[#This Row],[Räumer]]=Eingabe[[#This Row],[S1]]+Eingabe[[#This Row],[S2]]+Eingabe[[#This Row],[S3]]+Eingabe[[#This Row],[S4]],Eingabe[[#This Row],[Volle]]+Eingabe[[#This Row],[Räumer]],"FEHLER")))</f>
        <v>592</v>
      </c>
      <c r="AG491" s="6">
        <f>IF(Eingabe[[#This Row],[V1]]="","",Eingabe[[#This Row],[V1]]+Eingabe[[#This Row],[R1]])</f>
        <v>143</v>
      </c>
      <c r="AH491" s="6">
        <f>IF(Eingabe[[#This Row],[V2]]="","",Eingabe[[#This Row],[V2]]+Eingabe[[#This Row],[R2]])</f>
        <v>145</v>
      </c>
      <c r="AI491" s="6">
        <f>IF(Eingabe[[#This Row],[V3]]="","",Eingabe[[#This Row],[V3]]+Eingabe[[#This Row],[R3]])</f>
        <v>152</v>
      </c>
      <c r="AJ491" s="6">
        <f>IF(Eingabe[[#This Row],[V4]]="","",Eingabe[[#This Row],[V4]]+Eingabe[[#This Row],[R4]])</f>
        <v>152</v>
      </c>
      <c r="AK491" s="6">
        <f>IF(Eingabe[[#This Row],[S1P]]="","",Eingabe[[#This Row],[S1P]]+Eingabe[[#This Row],[S2P]]+Eingabe[[#This Row],[S3P]]+Eingabe[[#This Row],[S4P]])</f>
        <v>4</v>
      </c>
      <c r="AL491" s="6">
        <f>IF(Eingabe[[#This Row],[S1P]]="","",IF(Eingabe[[#This Row],[SP]]&gt;2,1,IF(Eingabe[[#This Row],[SP]]&lt;2,0,IF(Eingabe[[#This Row],[GES]]&gt;Eingabe[[#This Row],[GEGGES]],1,IF(Eingabe[[#This Row],[GES]]=Eingabe[[#This Row],[GEGGES]],0.5,0)))))</f>
        <v>1</v>
      </c>
      <c r="AM491" s="6">
        <f>IF(Eingabe[[#This Row],[MP]]="","",MOD(ROW(Eingabe[[#This Row],[Position]])-3,6)+1)</f>
        <v>3</v>
      </c>
      <c r="AN491" s="6">
        <f>STANDARDIZE(Eingabe[[#This Row],[GES]],Eingabe[[#This Row],[Schnitt]],VLOOKUP(Eingabe[[#This Row],[Name]],AuswertungG[],21,FALSE))</f>
        <v>1.2</v>
      </c>
      <c r="AO491" s="6">
        <f>VLOOKUP(Eingabe[[#This Row],[ID]],Chronologie[[ID]:[KW]],12,FALSE)</f>
        <v>15</v>
      </c>
      <c r="AP491" s="95" t="str">
        <f>IF(Eingabe[[#This Row],[Wo]]="H",Eingabe[[#This Row],[Gegner]]&amp;" ["&amp;Eingabe[[#This Row],[Wo]]&amp;"]",Eingabe[[#This Row],[Ort]])</f>
        <v>Köthen</v>
      </c>
      <c r="AQ491" s="6" t="str">
        <f>IFERROR(IF(Eingabe[[#This Row],[Wo]]="H",IF(MOD(Eingabe[[#This Row],[Position]],2)=1,Eingabe[[#This Row],[S1]],Eingabe[[#This Row],[S4]]),""),"")</f>
        <v/>
      </c>
      <c r="AR491" s="6" t="str">
        <f>IFERROR(IF(Eingabe[[#This Row],[Wo]]="H",IF(Eingabe[[#This Row],[S1]]&gt;0,IF(MOD(Eingabe[[#This Row],[Position]],2)=1,Eingabe[[#This Row],[S2]],Eingabe[[#This Row],[S3]]),""),""),"")</f>
        <v/>
      </c>
      <c r="AS491" s="6" t="str">
        <f>IFERROR(IF(Eingabe[[#This Row],[Wo]]="H",IF(Eingabe[[#This Row],[S1]]&gt;0,IF(MOD(ROW(Eingabe[[#This Row],[Heimbahn 3]]),2)=1,Eingabe[[#This Row],[S4]],Eingabe[[#This Row],[S1]]),""),""),"")</f>
        <v/>
      </c>
      <c r="AT491" s="6" t="str">
        <f>IFERROR(IF(Eingabe[[#This Row],[Wo]]="H",IF(Eingabe[[#This Row],[S1]]&gt;0,IF(MOD(ROW(Eingabe[[#This Row],[Heimbahn 4]]),2)=1,Eingabe[[#This Row],[S3]],Eingabe[[#This Row],[S2]]),""),""),"")</f>
        <v/>
      </c>
      <c r="AU491" s="22" t="str">
        <f>IF(Eingabe[[#This Row],[GES]]="","",IF(Eingabe[[#This Row],[Modus]]="L",_xlfn.RANK.EQ(Eingabe[[#This Row],[GES]],AF489:AF494),IF(Eingabe[[#This Row],[Modus]]="P",_xlfn.RANK.EQ(Eingabe[[#This Row],[GES]],AF489:AF494),"")))</f>
        <v/>
      </c>
      <c r="AV491" s="6">
        <f>VLOOKUP(Eingabe[[#This Row],[Name]],AuswertungG[],8,FALSE)</f>
        <v>550</v>
      </c>
      <c r="AZ491" s="6">
        <f>IFERROR(ABS(Eingabe[[#This Row],[GES]]-Eingabe[[#This Row],[GEGGES]]),"")</f>
        <v>37</v>
      </c>
    </row>
    <row r="492" spans="1:52" ht="16.2" hidden="1" thickBot="1" x14ac:dyDescent="0.35">
      <c r="A492" s="441"/>
      <c r="B492" s="21">
        <f t="shared" si="50"/>
        <v>82</v>
      </c>
      <c r="C492" s="6" t="str">
        <f>VLOOKUP($B492,Chronologie[],7,TRUE)</f>
        <v>Lok Köthen</v>
      </c>
      <c r="D492" s="6" t="str">
        <f>VLOOKUP($B492,Chronologie[],8,TRUE)</f>
        <v>Köthen</v>
      </c>
      <c r="E492" s="240" t="str">
        <f>VLOOKUP($B492,Chronologie[],9,TRUE)</f>
        <v>A</v>
      </c>
      <c r="F492" s="6" t="str">
        <f>VLOOKUP($B492,Chronologie[],COLUMN(F493)-2,TRUE)</f>
        <v>E</v>
      </c>
      <c r="G492" s="6" t="str">
        <f>VLOOKUP($B492,Chronologie[],COLUMN(G493)-2,TRUE)</f>
        <v>DKBC-Pokal</v>
      </c>
      <c r="H492" s="6">
        <f>VLOOKUP($B492,Chronologie[],COLUMN(H493)-2,TRUE)</f>
        <v>3</v>
      </c>
      <c r="I492" s="10" t="str">
        <f>VLOOKUP($B492,Chronologie[],2,TRUE)</f>
        <v>E-DKBC-Pokal-3</v>
      </c>
      <c r="J492" s="243">
        <f>VLOOKUP($B492,Chronologie[],3,TRUE)</f>
        <v>45997</v>
      </c>
      <c r="K492" s="238"/>
      <c r="L492" s="237">
        <v>99</v>
      </c>
      <c r="M492" s="237">
        <v>86</v>
      </c>
      <c r="N492" s="237">
        <v>76</v>
      </c>
      <c r="O492" s="237">
        <v>90</v>
      </c>
      <c r="P492" s="237">
        <v>52</v>
      </c>
      <c r="Q492" s="237">
        <v>34</v>
      </c>
      <c r="R492" s="237">
        <v>33</v>
      </c>
      <c r="S492" s="237">
        <v>41</v>
      </c>
      <c r="T492" s="237">
        <v>0</v>
      </c>
      <c r="U492" s="237">
        <v>0</v>
      </c>
      <c r="V492" s="237">
        <v>0</v>
      </c>
      <c r="W492" s="237">
        <v>0</v>
      </c>
      <c r="X492" s="38">
        <v>0</v>
      </c>
      <c r="Y492" s="38">
        <v>0</v>
      </c>
      <c r="Z492" s="38">
        <v>0</v>
      </c>
      <c r="AA492" s="38">
        <v>0.5</v>
      </c>
      <c r="AB492" s="91">
        <v>593</v>
      </c>
      <c r="AC492" s="94">
        <f>IF(Eingabe[[#This Row],[V1]]="",IF(Eingabe[[#This Row],[Volle alternativ]]="","",Eingabe[[#This Row],[Volle alternativ]]),SUM(Eingabe[[#This Row],[V1]:[V4]]))</f>
        <v>351</v>
      </c>
      <c r="AD492" s="6">
        <f>IF(Eingabe[[#This Row],[R1]]="",IF(Eingabe[[#This Row],[Räumer alternativ]]="","",Eingabe[[#This Row],[Räumer alternativ]]),SUM(Eingabe[[#This Row],[R1]:[R4]]))</f>
        <v>160</v>
      </c>
      <c r="AE492" s="6">
        <f>IF(Eingabe[[#This Row],[F1]]="",IF(Eingabe[[#This Row],[Fehler alternativ]]="","",Eingabe[[#This Row],[Fehler alternativ]]),SUM(Eingabe[[#This Row],[F1]:[F4]]))</f>
        <v>0</v>
      </c>
      <c r="AF492" s="6">
        <f>IF(Eingabe[[#This Row],[Volle]]="","",IF(Eingabe[[#This Row],[S1]]="",Eingabe[[#This Row],[Volle]]+Eingabe[[#This Row],[Räumer]],IF(Eingabe[[#This Row],[Volle]]+Eingabe[[#This Row],[Räumer]]=Eingabe[[#This Row],[S1]]+Eingabe[[#This Row],[S2]]+Eingabe[[#This Row],[S3]]+Eingabe[[#This Row],[S4]],Eingabe[[#This Row],[Volle]]+Eingabe[[#This Row],[Räumer]],"FEHLER")))</f>
        <v>511</v>
      </c>
      <c r="AG492" s="6">
        <f>IF(Eingabe[[#This Row],[V1]]="","",Eingabe[[#This Row],[V1]]+Eingabe[[#This Row],[R1]])</f>
        <v>151</v>
      </c>
      <c r="AH492" s="6">
        <f>IF(Eingabe[[#This Row],[V2]]="","",Eingabe[[#This Row],[V2]]+Eingabe[[#This Row],[R2]])</f>
        <v>120</v>
      </c>
      <c r="AI492" s="6">
        <f>IF(Eingabe[[#This Row],[V3]]="","",Eingabe[[#This Row],[V3]]+Eingabe[[#This Row],[R3]])</f>
        <v>109</v>
      </c>
      <c r="AJ492" s="6">
        <f>IF(Eingabe[[#This Row],[V4]]="","",Eingabe[[#This Row],[V4]]+Eingabe[[#This Row],[R4]])</f>
        <v>131</v>
      </c>
      <c r="AK492" s="6">
        <f>IF(Eingabe[[#This Row],[S1P]]="","",Eingabe[[#This Row],[S1P]]+Eingabe[[#This Row],[S2P]]+Eingabe[[#This Row],[S3P]]+Eingabe[[#This Row],[S4P]])</f>
        <v>0.5</v>
      </c>
      <c r="AL492" s="6">
        <f>IF(Eingabe[[#This Row],[S1P]]="","",IF(Eingabe[[#This Row],[SP]]&gt;2,1,IF(Eingabe[[#This Row],[SP]]&lt;2,0,IF(Eingabe[[#This Row],[GES]]&gt;Eingabe[[#This Row],[GEGGES]],1,IF(Eingabe[[#This Row],[GES]]=Eingabe[[#This Row],[GEGGES]],0.5,0)))))</f>
        <v>0</v>
      </c>
      <c r="AM492" s="6">
        <f>IF(Eingabe[[#This Row],[MP]]="","",MOD(ROW(Eingabe[[#This Row],[Position]])-3,6)+1)</f>
        <v>4</v>
      </c>
      <c r="AN492" s="6" t="e">
        <f>STANDARDIZE(Eingabe[[#This Row],[GES]],Eingabe[[#This Row],[Schnitt]],VLOOKUP(Eingabe[[#This Row],[Name]],AuswertungG[],21,FALSE))</f>
        <v>#N/A</v>
      </c>
      <c r="AO492" s="6">
        <f>VLOOKUP(Eingabe[[#This Row],[ID]],Chronologie[[ID]:[KW]],12,FALSE)</f>
        <v>15</v>
      </c>
      <c r="AP492" s="95" t="str">
        <f>IF(Eingabe[[#This Row],[Wo]]="H",Eingabe[[#This Row],[Gegner]]&amp;" ["&amp;Eingabe[[#This Row],[Wo]]&amp;"]",Eingabe[[#This Row],[Ort]])</f>
        <v>Köthen</v>
      </c>
      <c r="AQ492" s="6" t="str">
        <f>IFERROR(IF(Eingabe[[#This Row],[Wo]]="H",IF(MOD(Eingabe[[#This Row],[Position]],2)=1,Eingabe[[#This Row],[S1]],Eingabe[[#This Row],[S4]]),""),"")</f>
        <v/>
      </c>
      <c r="AR492" s="6" t="str">
        <f>IFERROR(IF(Eingabe[[#This Row],[Wo]]="H",IF(Eingabe[[#This Row],[S1]]&gt;0,IF(MOD(Eingabe[[#This Row],[Position]],2)=1,Eingabe[[#This Row],[S2]],Eingabe[[#This Row],[S3]]),""),""),"")</f>
        <v/>
      </c>
      <c r="AS492" s="6" t="str">
        <f>IFERROR(IF(Eingabe[[#This Row],[Wo]]="H",IF(Eingabe[[#This Row],[S1]]&gt;0,IF(MOD(ROW(Eingabe[[#This Row],[Heimbahn 3]]),2)=1,Eingabe[[#This Row],[S4]],Eingabe[[#This Row],[S1]]),""),""),"")</f>
        <v/>
      </c>
      <c r="AT492" s="6" t="str">
        <f>IFERROR(IF(Eingabe[[#This Row],[Wo]]="H",IF(Eingabe[[#This Row],[S1]]&gt;0,IF(MOD(ROW(Eingabe[[#This Row],[Heimbahn 4]]),2)=1,Eingabe[[#This Row],[S3]],Eingabe[[#This Row],[S2]]),""),""),"")</f>
        <v/>
      </c>
      <c r="AU492" s="22" t="str">
        <f>IF(Eingabe[[#This Row],[GES]]="","",IF(Eingabe[[#This Row],[Modus]]="L",_xlfn.RANK.EQ(Eingabe[[#This Row],[GES]],AF489:AF494),IF(Eingabe[[#This Row],[Modus]]="P",_xlfn.RANK.EQ(Eingabe[[#This Row],[GES]],AF489:AF494),"")))</f>
        <v/>
      </c>
      <c r="AV492" s="6" t="e">
        <f>VLOOKUP(Eingabe[[#This Row],[Name]],AuswertungG[],8,FALSE)</f>
        <v>#N/A</v>
      </c>
      <c r="AZ492" s="6">
        <f>IFERROR(ABS(Eingabe[[#This Row],[GES]]-Eingabe[[#This Row],[GEGGES]]),"")</f>
        <v>82</v>
      </c>
    </row>
    <row r="493" spans="1:52" ht="16.2" hidden="1" thickBot="1" x14ac:dyDescent="0.35">
      <c r="A493" s="441"/>
      <c r="B493" s="21">
        <f t="shared" si="50"/>
        <v>82</v>
      </c>
      <c r="C493" s="6" t="str">
        <f>VLOOKUP($B493,Chronologie[],7,TRUE)</f>
        <v>Lok Köthen</v>
      </c>
      <c r="D493" s="6" t="str">
        <f>VLOOKUP($B493,Chronologie[],8,TRUE)</f>
        <v>Köthen</v>
      </c>
      <c r="E493" s="240" t="str">
        <f>VLOOKUP($B493,Chronologie[],9,TRUE)</f>
        <v>A</v>
      </c>
      <c r="F493" s="6" t="str">
        <f>VLOOKUP($B493,Chronologie[],COLUMN(F494)-2,TRUE)</f>
        <v>E</v>
      </c>
      <c r="G493" s="6" t="str">
        <f>VLOOKUP($B493,Chronologie[],COLUMN(G494)-2,TRUE)</f>
        <v>DKBC-Pokal</v>
      </c>
      <c r="H493" s="6">
        <f>VLOOKUP($B493,Chronologie[],COLUMN(H494)-2,TRUE)</f>
        <v>3</v>
      </c>
      <c r="I493" s="10" t="str">
        <f>VLOOKUP($B493,Chronologie[],2,TRUE)</f>
        <v>E-DKBC-Pokal-3</v>
      </c>
      <c r="J493" s="243">
        <f>VLOOKUP($B493,Chronologie[],3,TRUE)</f>
        <v>45997</v>
      </c>
      <c r="K493" s="237" t="s">
        <v>659</v>
      </c>
      <c r="L493" s="237">
        <v>101</v>
      </c>
      <c r="M493" s="237">
        <v>90</v>
      </c>
      <c r="N493" s="237">
        <v>95</v>
      </c>
      <c r="O493" s="237">
        <v>96</v>
      </c>
      <c r="P493" s="237">
        <v>45</v>
      </c>
      <c r="Q493" s="237">
        <v>42</v>
      </c>
      <c r="R493" s="237">
        <v>44</v>
      </c>
      <c r="S493" s="237">
        <v>63</v>
      </c>
      <c r="T493" s="237">
        <v>2</v>
      </c>
      <c r="U493" s="237">
        <v>0</v>
      </c>
      <c r="V493" s="237">
        <v>1</v>
      </c>
      <c r="W493" s="237">
        <v>2</v>
      </c>
      <c r="X493" s="38">
        <v>1</v>
      </c>
      <c r="Y493" s="38">
        <v>0</v>
      </c>
      <c r="Z493" s="38">
        <v>0</v>
      </c>
      <c r="AA493" s="38">
        <v>1</v>
      </c>
      <c r="AB493" s="91">
        <v>593</v>
      </c>
      <c r="AC493" s="94">
        <f>IF(Eingabe[[#This Row],[V1]]="",IF(Eingabe[[#This Row],[Volle alternativ]]="","",Eingabe[[#This Row],[Volle alternativ]]),SUM(Eingabe[[#This Row],[V1]:[V4]]))</f>
        <v>382</v>
      </c>
      <c r="AD493" s="6">
        <f>IF(Eingabe[[#This Row],[R1]]="",IF(Eingabe[[#This Row],[Räumer alternativ]]="","",Eingabe[[#This Row],[Räumer alternativ]]),SUM(Eingabe[[#This Row],[R1]:[R4]]))</f>
        <v>194</v>
      </c>
      <c r="AE493" s="6">
        <f>IF(Eingabe[[#This Row],[F1]]="",IF(Eingabe[[#This Row],[Fehler alternativ]]="","",Eingabe[[#This Row],[Fehler alternativ]]),SUM(Eingabe[[#This Row],[F1]:[F4]]))</f>
        <v>5</v>
      </c>
      <c r="AF493" s="6">
        <f>IF(Eingabe[[#This Row],[Volle]]="","",IF(Eingabe[[#This Row],[S1]]="",Eingabe[[#This Row],[Volle]]+Eingabe[[#This Row],[Räumer]],IF(Eingabe[[#This Row],[Volle]]+Eingabe[[#This Row],[Räumer]]=Eingabe[[#This Row],[S1]]+Eingabe[[#This Row],[S2]]+Eingabe[[#This Row],[S3]]+Eingabe[[#This Row],[S4]],Eingabe[[#This Row],[Volle]]+Eingabe[[#This Row],[Räumer]],"FEHLER")))</f>
        <v>576</v>
      </c>
      <c r="AG493" s="6">
        <f>IF(Eingabe[[#This Row],[V1]]="","",Eingabe[[#This Row],[V1]]+Eingabe[[#This Row],[R1]])</f>
        <v>146</v>
      </c>
      <c r="AH493" s="6">
        <f>IF(Eingabe[[#This Row],[V2]]="","",Eingabe[[#This Row],[V2]]+Eingabe[[#This Row],[R2]])</f>
        <v>132</v>
      </c>
      <c r="AI493" s="6">
        <f>IF(Eingabe[[#This Row],[V3]]="","",Eingabe[[#This Row],[V3]]+Eingabe[[#This Row],[R3]])</f>
        <v>139</v>
      </c>
      <c r="AJ493" s="6">
        <f>IF(Eingabe[[#This Row],[V4]]="","",Eingabe[[#This Row],[V4]]+Eingabe[[#This Row],[R4]])</f>
        <v>159</v>
      </c>
      <c r="AK493" s="6">
        <f>IF(Eingabe[[#This Row],[S1P]]="","",Eingabe[[#This Row],[S1P]]+Eingabe[[#This Row],[S2P]]+Eingabe[[#This Row],[S3P]]+Eingabe[[#This Row],[S4P]])</f>
        <v>2</v>
      </c>
      <c r="AL493" s="6">
        <f>IF(Eingabe[[#This Row],[S1P]]="","",IF(Eingabe[[#This Row],[SP]]&gt;2,1,IF(Eingabe[[#This Row],[SP]]&lt;2,0,IF(Eingabe[[#This Row],[GES]]&gt;Eingabe[[#This Row],[GEGGES]],1,IF(Eingabe[[#This Row],[GES]]=Eingabe[[#This Row],[GEGGES]],0.5,0)))))</f>
        <v>0</v>
      </c>
      <c r="AM493" s="6">
        <f>IF(Eingabe[[#This Row],[MP]]="","",MOD(ROW(Eingabe[[#This Row],[Position]])-3,6)+1)</f>
        <v>5</v>
      </c>
      <c r="AN493" s="6">
        <f>STANDARDIZE(Eingabe[[#This Row],[GES]],Eingabe[[#This Row],[Schnitt]],VLOOKUP(Eingabe[[#This Row],[Name]],AuswertungG[],21,FALSE))</f>
        <v>1.8333333333333333</v>
      </c>
      <c r="AO493" s="6">
        <f>VLOOKUP(Eingabe[[#This Row],[ID]],Chronologie[[ID]:[KW]],12,FALSE)</f>
        <v>15</v>
      </c>
      <c r="AP493" s="95" t="str">
        <f>IF(Eingabe[[#This Row],[Wo]]="H",Eingabe[[#This Row],[Gegner]]&amp;" ["&amp;Eingabe[[#This Row],[Wo]]&amp;"]",Eingabe[[#This Row],[Ort]])</f>
        <v>Köthen</v>
      </c>
      <c r="AQ493" s="6" t="str">
        <f>IFERROR(IF(Eingabe[[#This Row],[Wo]]="H",IF(MOD(Eingabe[[#This Row],[Position]],2)=1,Eingabe[[#This Row],[S1]],Eingabe[[#This Row],[S4]]),""),"")</f>
        <v/>
      </c>
      <c r="AR493" s="6" t="str">
        <f>IFERROR(IF(Eingabe[[#This Row],[Wo]]="H",IF(Eingabe[[#This Row],[S1]]&gt;0,IF(MOD(Eingabe[[#This Row],[Position]],2)=1,Eingabe[[#This Row],[S2]],Eingabe[[#This Row],[S3]]),""),""),"")</f>
        <v/>
      </c>
      <c r="AS493" s="6" t="str">
        <f>IFERROR(IF(Eingabe[[#This Row],[Wo]]="H",IF(Eingabe[[#This Row],[S1]]&gt;0,IF(MOD(ROW(Eingabe[[#This Row],[Heimbahn 3]]),2)=1,Eingabe[[#This Row],[S4]],Eingabe[[#This Row],[S1]]),""),""),"")</f>
        <v/>
      </c>
      <c r="AT493" s="6" t="str">
        <f>IFERROR(IF(Eingabe[[#This Row],[Wo]]="H",IF(Eingabe[[#This Row],[S1]]&gt;0,IF(MOD(ROW(Eingabe[[#This Row],[Heimbahn 4]]),2)=1,Eingabe[[#This Row],[S3]],Eingabe[[#This Row],[S2]]),""),""),"")</f>
        <v/>
      </c>
      <c r="AU493" s="22" t="str">
        <f>IF(Eingabe[[#This Row],[GES]]="","",IF(Eingabe[[#This Row],[Modus]]="L",_xlfn.RANK.EQ(Eingabe[[#This Row],[GES]],AF489:AF494),IF(Eingabe[[#This Row],[Modus]]="P",_xlfn.RANK.EQ(Eingabe[[#This Row],[GES]],AF489:AF494),"")))</f>
        <v/>
      </c>
      <c r="AV493" s="6">
        <f>VLOOKUP(Eingabe[[#This Row],[Name]],AuswertungG[],8,FALSE)</f>
        <v>532</v>
      </c>
      <c r="AZ493" s="6">
        <f>IFERROR(ABS(Eingabe[[#This Row],[GES]]-Eingabe[[#This Row],[GEGGES]]),"")</f>
        <v>17</v>
      </c>
    </row>
    <row r="494" spans="1:52" ht="16.2" hidden="1" thickBot="1" x14ac:dyDescent="0.35">
      <c r="A494" s="442"/>
      <c r="B494" s="56">
        <f t="shared" si="50"/>
        <v>82</v>
      </c>
      <c r="C494" s="23" t="str">
        <f>VLOOKUP($B494,Chronologie[],7,TRUE)</f>
        <v>Lok Köthen</v>
      </c>
      <c r="D494" s="23" t="str">
        <f>VLOOKUP($B494,Chronologie[],8,TRUE)</f>
        <v>Köthen</v>
      </c>
      <c r="E494" s="39" t="str">
        <f>VLOOKUP($B494,Chronologie[],9,TRUE)</f>
        <v>A</v>
      </c>
      <c r="F494" s="23" t="str">
        <f>VLOOKUP($B494,Chronologie[],COLUMN(F495)-2,TRUE)</f>
        <v>E</v>
      </c>
      <c r="G494" s="23" t="str">
        <f>VLOOKUP($B494,Chronologie[],COLUMN(G495)-2,TRUE)</f>
        <v>DKBC-Pokal</v>
      </c>
      <c r="H494" s="23">
        <f>VLOOKUP($B494,Chronologie[],COLUMN(H495)-2,TRUE)</f>
        <v>3</v>
      </c>
      <c r="I494" s="13" t="str">
        <f>VLOOKUP($B494,Chronologie[],2,TRUE)</f>
        <v>E-DKBC-Pokal-3</v>
      </c>
      <c r="J494" s="244">
        <f>VLOOKUP($B494,Chronologie[],3,TRUE)</f>
        <v>45997</v>
      </c>
      <c r="K494" s="239" t="s">
        <v>455</v>
      </c>
      <c r="L494" s="239">
        <v>87</v>
      </c>
      <c r="M494" s="239">
        <v>83</v>
      </c>
      <c r="N494" s="239">
        <v>95</v>
      </c>
      <c r="O494" s="239">
        <v>84</v>
      </c>
      <c r="P494" s="239">
        <v>43</v>
      </c>
      <c r="Q494" s="239">
        <v>33</v>
      </c>
      <c r="R494" s="239">
        <v>35</v>
      </c>
      <c r="S494" s="239">
        <v>52</v>
      </c>
      <c r="T494" s="239">
        <v>1</v>
      </c>
      <c r="U494" s="239">
        <v>4</v>
      </c>
      <c r="V494" s="239">
        <v>2</v>
      </c>
      <c r="W494" s="239">
        <v>1</v>
      </c>
      <c r="X494" s="40">
        <v>0</v>
      </c>
      <c r="Y494" s="40">
        <v>0</v>
      </c>
      <c r="Z494" s="40">
        <v>0</v>
      </c>
      <c r="AA494" s="40">
        <v>0</v>
      </c>
      <c r="AB494" s="92">
        <v>591</v>
      </c>
      <c r="AC494" s="96">
        <f>IF(Eingabe[[#This Row],[V1]]="",IF(Eingabe[[#This Row],[Volle alternativ]]="","",Eingabe[[#This Row],[Volle alternativ]]),SUM(Eingabe[[#This Row],[V1]:[V4]]))</f>
        <v>349</v>
      </c>
      <c r="AD494" s="23">
        <f>IF(Eingabe[[#This Row],[R1]]="",IF(Eingabe[[#This Row],[Räumer alternativ]]="","",Eingabe[[#This Row],[Räumer alternativ]]),SUM(Eingabe[[#This Row],[R1]:[R4]]))</f>
        <v>163</v>
      </c>
      <c r="AE494" s="23">
        <f>IF(Eingabe[[#This Row],[F1]]="",IF(Eingabe[[#This Row],[Fehler alternativ]]="","",Eingabe[[#This Row],[Fehler alternativ]]),SUM(Eingabe[[#This Row],[F1]:[F4]]))</f>
        <v>8</v>
      </c>
      <c r="AF494" s="23">
        <f>IF(Eingabe[[#This Row],[Volle]]="","",IF(Eingabe[[#This Row],[S1]]="",Eingabe[[#This Row],[Volle]]+Eingabe[[#This Row],[Räumer]],IF(Eingabe[[#This Row],[Volle]]+Eingabe[[#This Row],[Räumer]]=Eingabe[[#This Row],[S1]]+Eingabe[[#This Row],[S2]]+Eingabe[[#This Row],[S3]]+Eingabe[[#This Row],[S4]],Eingabe[[#This Row],[Volle]]+Eingabe[[#This Row],[Räumer]],"FEHLER")))</f>
        <v>512</v>
      </c>
      <c r="AG494" s="23">
        <f>IF(Eingabe[[#This Row],[V1]]="","",Eingabe[[#This Row],[V1]]+Eingabe[[#This Row],[R1]])</f>
        <v>130</v>
      </c>
      <c r="AH494" s="23">
        <f>IF(Eingabe[[#This Row],[V2]]="","",Eingabe[[#This Row],[V2]]+Eingabe[[#This Row],[R2]])</f>
        <v>116</v>
      </c>
      <c r="AI494" s="23">
        <f>IF(Eingabe[[#This Row],[V3]]="","",Eingabe[[#This Row],[V3]]+Eingabe[[#This Row],[R3]])</f>
        <v>130</v>
      </c>
      <c r="AJ494" s="23">
        <f>IF(Eingabe[[#This Row],[V4]]="","",Eingabe[[#This Row],[V4]]+Eingabe[[#This Row],[R4]])</f>
        <v>136</v>
      </c>
      <c r="AK494" s="23">
        <f>IF(Eingabe[[#This Row],[S1P]]="","",Eingabe[[#This Row],[S1P]]+Eingabe[[#This Row],[S2P]]+Eingabe[[#This Row],[S3P]]+Eingabe[[#This Row],[S4P]])</f>
        <v>0</v>
      </c>
      <c r="AL494" s="23">
        <f>IF(Eingabe[[#This Row],[S1P]]="","",IF(Eingabe[[#This Row],[SP]]&gt;2,1,IF(Eingabe[[#This Row],[SP]]&lt;2,0,IF(Eingabe[[#This Row],[GES]]&gt;Eingabe[[#This Row],[GEGGES]],1,IF(Eingabe[[#This Row],[GES]]=Eingabe[[#This Row],[GEGGES]],0.5,0)))))</f>
        <v>0</v>
      </c>
      <c r="AM494" s="23">
        <f>IF(Eingabe[[#This Row],[MP]]="","",MOD(ROW(Eingabe[[#This Row],[Position]])-3,6)+1)</f>
        <v>6</v>
      </c>
      <c r="AN494" s="23">
        <f>STANDARDIZE(Eingabe[[#This Row],[GES]],Eingabe[[#This Row],[Schnitt]],VLOOKUP(Eingabe[[#This Row],[Name]],AuswertungG[],21,FALSE))</f>
        <v>-1.4358974358974359</v>
      </c>
      <c r="AO494" s="23">
        <f>VLOOKUP(Eingabe[[#This Row],[ID]],Chronologie[[ID]:[KW]],12,FALSE)</f>
        <v>15</v>
      </c>
      <c r="AP494" s="59" t="str">
        <f>IF(Eingabe[[#This Row],[Wo]]="H",Eingabe[[#This Row],[Gegner]]&amp;" ["&amp;Eingabe[[#This Row],[Wo]]&amp;"]",Eingabe[[#This Row],[Ort]])</f>
        <v>Köthen</v>
      </c>
      <c r="AQ494" s="23" t="str">
        <f>IFERROR(IF(Eingabe[[#This Row],[Wo]]="H",IF(MOD(Eingabe[[#This Row],[Position]],2)=1,Eingabe[[#This Row],[S1]],Eingabe[[#This Row],[S4]]),""),"")</f>
        <v/>
      </c>
      <c r="AR494" s="23" t="str">
        <f>IFERROR(IF(Eingabe[[#This Row],[Wo]]="H",IF(Eingabe[[#This Row],[S1]]&gt;0,IF(MOD(Eingabe[[#This Row],[Position]],2)=1,Eingabe[[#This Row],[S2]],Eingabe[[#This Row],[S3]]),""),""),"")</f>
        <v/>
      </c>
      <c r="AS494" s="23" t="str">
        <f>IFERROR(IF(Eingabe[[#This Row],[Wo]]="H",IF(Eingabe[[#This Row],[S1]]&gt;0,IF(MOD(ROW(Eingabe[[#This Row],[Heimbahn 3]]),2)=1,Eingabe[[#This Row],[S4]],Eingabe[[#This Row],[S1]]),""),""),"")</f>
        <v/>
      </c>
      <c r="AT494" s="23" t="str">
        <f>IFERROR(IF(Eingabe[[#This Row],[Wo]]="H",IF(Eingabe[[#This Row],[S1]]&gt;0,IF(MOD(ROW(Eingabe[[#This Row],[Heimbahn 4]]),2)=1,Eingabe[[#This Row],[S3]],Eingabe[[#This Row],[S2]]),""),""),"")</f>
        <v/>
      </c>
      <c r="AU494" s="89" t="str">
        <f>IF(Eingabe[[#This Row],[GES]]="","",IF(Eingabe[[#This Row],[Modus]]="L",_xlfn.RANK.EQ(Eingabe[[#This Row],[GES]],AF489:AF494),IF(Eingabe[[#This Row],[Modus]]="P",_xlfn.RANK.EQ(Eingabe[[#This Row],[GES]],AF489:AF494),"")))</f>
        <v/>
      </c>
      <c r="AV494" s="6">
        <f>VLOOKUP(Eingabe[[#This Row],[Name]],AuswertungG[],8,FALSE)</f>
        <v>568</v>
      </c>
      <c r="AZ494" s="6">
        <f>IFERROR(ABS(Eingabe[[#This Row],[GES]]-Eingabe[[#This Row],[GEGGES]]),"")</f>
        <v>79</v>
      </c>
    </row>
    <row r="495" spans="1:52" x14ac:dyDescent="0.3">
      <c r="A495" s="440">
        <f t="shared" si="49"/>
        <v>83</v>
      </c>
      <c r="B495" s="55">
        <f t="shared" si="50"/>
        <v>83</v>
      </c>
      <c r="C495" s="35" t="str">
        <f>VLOOKUP($B495,Chronologie[],7,TRUE)</f>
        <v>Hirschfelder SV</v>
      </c>
      <c r="D495" s="35" t="str">
        <f>VLOOKUP($B495,Chronologie[],8,TRUE)</f>
        <v>Hirschfeld</v>
      </c>
      <c r="E495" s="36" t="str">
        <f>VLOOKUP($B495,Chronologie[],9,TRUE)</f>
        <v>H</v>
      </c>
      <c r="F495" s="35" t="str">
        <f>VLOOKUP($B495,Chronologie[],COLUMN(F496)-2,TRUE)</f>
        <v>U14</v>
      </c>
      <c r="G495" s="35" t="str">
        <f>VLOOKUP($B495,Chronologie[],COLUMN(G496)-2,TRUE)</f>
        <v>KEM</v>
      </c>
      <c r="H495" s="35" t="str">
        <f>VLOOKUP($B495,Chronologie[],COLUMN(H496)-2,TRUE)</f>
        <v>V</v>
      </c>
      <c r="I495" s="9" t="str">
        <f>VLOOKUP($B495,Chronologie[],2,TRUE)</f>
        <v>U14-KEM-V</v>
      </c>
      <c r="J495" s="242">
        <f>VLOOKUP($B495,Chronologie[],3,TRUE)</f>
        <v>46025</v>
      </c>
      <c r="K495" s="236" t="s">
        <v>473</v>
      </c>
      <c r="L495" s="334">
        <v>69</v>
      </c>
      <c r="M495" s="334">
        <v>70</v>
      </c>
      <c r="N495" s="334">
        <v>66</v>
      </c>
      <c r="O495" s="334">
        <v>70</v>
      </c>
      <c r="P495" s="334">
        <v>35</v>
      </c>
      <c r="Q495" s="334">
        <v>26</v>
      </c>
      <c r="R495" s="334">
        <v>35</v>
      </c>
      <c r="S495" s="334">
        <v>27</v>
      </c>
      <c r="T495" s="334">
        <v>4</v>
      </c>
      <c r="U495" s="334">
        <v>7</v>
      </c>
      <c r="V495" s="334">
        <v>3</v>
      </c>
      <c r="W495" s="334">
        <v>4</v>
      </c>
      <c r="X495" s="37"/>
      <c r="Y495" s="37"/>
      <c r="Z495" s="37"/>
      <c r="AA495" s="37"/>
      <c r="AB495" s="90"/>
      <c r="AC495" s="93">
        <f>IF(Eingabe[[#This Row],[V1]]="",IF(Eingabe[[#This Row],[Volle alternativ]]="","",Eingabe[[#This Row],[Volle alternativ]]),SUM(Eingabe[[#This Row],[V1]:[V4]]))</f>
        <v>275</v>
      </c>
      <c r="AD495" s="35">
        <f>IF(Eingabe[[#This Row],[R1]]="",IF(Eingabe[[#This Row],[Räumer alternativ]]="","",Eingabe[[#This Row],[Räumer alternativ]]),SUM(Eingabe[[#This Row],[R1]:[R4]]))</f>
        <v>123</v>
      </c>
      <c r="AE495" s="35">
        <f>IF(Eingabe[[#This Row],[F1]]="",IF(Eingabe[[#This Row],[Fehler alternativ]]="","",Eingabe[[#This Row],[Fehler alternativ]]),SUM(Eingabe[[#This Row],[F1]:[F4]]))</f>
        <v>18</v>
      </c>
      <c r="AF495" s="35">
        <f>IF(Eingabe[[#This Row],[Volle]]="","",IF(Eingabe[[#This Row],[S1]]="",Eingabe[[#This Row],[Volle]]+Eingabe[[#This Row],[Räumer]],IF(Eingabe[[#This Row],[Volle]]+Eingabe[[#This Row],[Räumer]]=Eingabe[[#This Row],[S1]]+Eingabe[[#This Row],[S2]]+Eingabe[[#This Row],[S3]]+Eingabe[[#This Row],[S4]],Eingabe[[#This Row],[Volle]]+Eingabe[[#This Row],[Räumer]],"FEHLER")))</f>
        <v>398</v>
      </c>
      <c r="AG495" s="35">
        <f>IF(Eingabe[[#This Row],[V1]]="","",Eingabe[[#This Row],[V1]]+Eingabe[[#This Row],[R1]])</f>
        <v>104</v>
      </c>
      <c r="AH495" s="35">
        <f>IF(Eingabe[[#This Row],[V2]]="","",Eingabe[[#This Row],[V2]]+Eingabe[[#This Row],[R2]])</f>
        <v>96</v>
      </c>
      <c r="AI495" s="35">
        <f>IF(Eingabe[[#This Row],[V3]]="","",Eingabe[[#This Row],[V3]]+Eingabe[[#This Row],[R3]])</f>
        <v>101</v>
      </c>
      <c r="AJ495" s="35">
        <f>IF(Eingabe[[#This Row],[V4]]="","",Eingabe[[#This Row],[V4]]+Eingabe[[#This Row],[R4]])</f>
        <v>97</v>
      </c>
      <c r="AK495" s="35" t="str">
        <f>IF(Eingabe[[#This Row],[S1P]]="","",Eingabe[[#This Row],[S1P]]+Eingabe[[#This Row],[S2P]]+Eingabe[[#This Row],[S3P]]+Eingabe[[#This Row],[S4P]])</f>
        <v/>
      </c>
      <c r="AL495" s="35" t="str">
        <f>IF(Eingabe[[#This Row],[S1P]]="","",IF(Eingabe[[#This Row],[SP]]&gt;2,1,IF(Eingabe[[#This Row],[SP]]&lt;2,0,IF(Eingabe[[#This Row],[GES]]&gt;Eingabe[[#This Row],[GEGGES]],1,IF(Eingabe[[#This Row],[GES]]=Eingabe[[#This Row],[GEGGES]],0.5,0)))))</f>
        <v/>
      </c>
      <c r="AM495" s="35" t="str">
        <f>IF(Eingabe[[#This Row],[MP]]="","",MOD(ROW(Eingabe[[#This Row],[Position]])-3,6)+1)</f>
        <v/>
      </c>
      <c r="AN495" s="35">
        <f>STANDARDIZE(Eingabe[[#This Row],[GES]],Eingabe[[#This Row],[Schnitt]],VLOOKUP(Eingabe[[#This Row],[Name]],AuswertungG[],21,FALSE))</f>
        <v>0.92307692307692313</v>
      </c>
      <c r="AO495" s="35">
        <f>VLOOKUP(Eingabe[[#This Row],[ID]],Chronologie[[ID]:[KW]],12,FALSE)</f>
        <v>19</v>
      </c>
      <c r="AP495" s="58" t="str">
        <f>IF(Eingabe[[#This Row],[Wo]]="H",Eingabe[[#This Row],[Gegner]]&amp;" ["&amp;Eingabe[[#This Row],[Wo]]&amp;"]",Eingabe[[#This Row],[Ort]])</f>
        <v>Hirschfelder SV [H]</v>
      </c>
      <c r="AQ495" s="35" t="str">
        <f>IFERROR(IF(Eingabe[[#This Row],[Wo]]="H",IF(MOD(Eingabe[[#This Row],[Position]],2)=1,Eingabe[[#This Row],[S1]],Eingabe[[#This Row],[S4]]),""),"")</f>
        <v/>
      </c>
      <c r="AR495" s="35" t="str">
        <f>IFERROR(IF(Eingabe[[#This Row],[Wo]]="H",IF(Eingabe[[#This Row],[S1]]&gt;0,IF(MOD(Eingabe[[#This Row],[Position]],2)=1,Eingabe[[#This Row],[S2]],Eingabe[[#This Row],[S3]]),""),""),"")</f>
        <v/>
      </c>
      <c r="AS495" s="35">
        <f>IFERROR(IF(Eingabe[[#This Row],[Wo]]="H",IF(Eingabe[[#This Row],[S1]]&gt;0,IF(MOD(ROW(Eingabe[[#This Row],[Heimbahn 3]]),2)=1,Eingabe[[#This Row],[S4]],Eingabe[[#This Row],[S1]]),""),""),"")</f>
        <v>97</v>
      </c>
      <c r="AT495" s="35">
        <f>IFERROR(IF(Eingabe[[#This Row],[Wo]]="H",IF(Eingabe[[#This Row],[S1]]&gt;0,IF(MOD(ROW(Eingabe[[#This Row],[Heimbahn 4]]),2)=1,Eingabe[[#This Row],[S3]],Eingabe[[#This Row],[S2]]),""),""),"")</f>
        <v>101</v>
      </c>
      <c r="AU495" s="88" t="str">
        <f>IF(Eingabe[[#This Row],[GES]]="","",IF(Eingabe[[#This Row],[Modus]]="L",_xlfn.RANK.EQ(Eingabe[[#This Row],[GES]],AF495:AF500),IF(Eingabe[[#This Row],[Modus]]="P",_xlfn.RANK.EQ(Eingabe[[#This Row],[GES]],AF495:AF500),"")))</f>
        <v/>
      </c>
      <c r="AV495" s="6">
        <f>VLOOKUP(Eingabe[[#This Row],[Name]],AuswertungG[],8,FALSE)</f>
        <v>386</v>
      </c>
      <c r="AZ495" s="6">
        <f>IFERROR(ABS(Eingabe[[#This Row],[GES]]-Eingabe[[#This Row],[GEGGES]]),"")</f>
        <v>398</v>
      </c>
    </row>
    <row r="496" spans="1:52" x14ac:dyDescent="0.3">
      <c r="A496" s="441"/>
      <c r="B496" s="21">
        <f t="shared" si="50"/>
        <v>83</v>
      </c>
      <c r="C496" s="6" t="str">
        <f>VLOOKUP($B496,Chronologie[],7,TRUE)</f>
        <v>Hirschfelder SV</v>
      </c>
      <c r="D496" s="6" t="str">
        <f>VLOOKUP($B496,Chronologie[],8,TRUE)</f>
        <v>Hirschfeld</v>
      </c>
      <c r="E496" s="240" t="str">
        <f>VLOOKUP($B496,Chronologie[],9,TRUE)</f>
        <v>H</v>
      </c>
      <c r="F496" s="6" t="str">
        <f>VLOOKUP($B496,Chronologie[],COLUMN(F497)-2,TRUE)</f>
        <v>U14</v>
      </c>
      <c r="G496" s="6" t="str">
        <f>VLOOKUP($B496,Chronologie[],COLUMN(G497)-2,TRUE)</f>
        <v>KEM</v>
      </c>
      <c r="H496" s="6" t="str">
        <f>VLOOKUP($B496,Chronologie[],COLUMN(H497)-2,TRUE)</f>
        <v>V</v>
      </c>
      <c r="I496" s="10" t="str">
        <f>VLOOKUP($B496,Chronologie[],2,TRUE)</f>
        <v>U14-KEM-V</v>
      </c>
      <c r="J496" s="243">
        <f>VLOOKUP($B496,Chronologie[],3,TRUE)</f>
        <v>46025</v>
      </c>
      <c r="K496" s="237" t="s">
        <v>591</v>
      </c>
      <c r="L496" s="237">
        <v>65</v>
      </c>
      <c r="M496" s="237">
        <v>75</v>
      </c>
      <c r="N496" s="237">
        <v>62</v>
      </c>
      <c r="O496" s="237">
        <v>62</v>
      </c>
      <c r="P496" s="237">
        <v>15</v>
      </c>
      <c r="Q496" s="237">
        <v>25</v>
      </c>
      <c r="R496" s="237">
        <v>15</v>
      </c>
      <c r="S496" s="237">
        <v>17</v>
      </c>
      <c r="T496" s="237">
        <v>11</v>
      </c>
      <c r="U496" s="237">
        <v>9</v>
      </c>
      <c r="V496" s="237">
        <v>11</v>
      </c>
      <c r="W496" s="237">
        <v>11</v>
      </c>
      <c r="X496" s="38"/>
      <c r="Y496" s="38"/>
      <c r="Z496" s="38"/>
      <c r="AA496" s="38"/>
      <c r="AB496" s="91"/>
      <c r="AC496" s="94">
        <f>IF(Eingabe[[#This Row],[V1]]="",IF(Eingabe[[#This Row],[Volle alternativ]]="","",Eingabe[[#This Row],[Volle alternativ]]),SUM(Eingabe[[#This Row],[V1]:[V4]]))</f>
        <v>264</v>
      </c>
      <c r="AD496" s="6">
        <f>IF(Eingabe[[#This Row],[R1]]="",IF(Eingabe[[#This Row],[Räumer alternativ]]="","",Eingabe[[#This Row],[Räumer alternativ]]),SUM(Eingabe[[#This Row],[R1]:[R4]]))</f>
        <v>72</v>
      </c>
      <c r="AE496" s="6">
        <f>IF(Eingabe[[#This Row],[F1]]="",IF(Eingabe[[#This Row],[Fehler alternativ]]="","",Eingabe[[#This Row],[Fehler alternativ]]),SUM(Eingabe[[#This Row],[F1]:[F4]]))</f>
        <v>42</v>
      </c>
      <c r="AF496" s="6">
        <f>IF(Eingabe[[#This Row],[Volle]]="","",IF(Eingabe[[#This Row],[S1]]="",Eingabe[[#This Row],[Volle]]+Eingabe[[#This Row],[Räumer]],IF(Eingabe[[#This Row],[Volle]]+Eingabe[[#This Row],[Räumer]]=Eingabe[[#This Row],[S1]]+Eingabe[[#This Row],[S2]]+Eingabe[[#This Row],[S3]]+Eingabe[[#This Row],[S4]],Eingabe[[#This Row],[Volle]]+Eingabe[[#This Row],[Räumer]],"FEHLER")))</f>
        <v>336</v>
      </c>
      <c r="AG496" s="6">
        <f>IF(Eingabe[[#This Row],[V1]]="","",Eingabe[[#This Row],[V1]]+Eingabe[[#This Row],[R1]])</f>
        <v>80</v>
      </c>
      <c r="AH496" s="6">
        <f>IF(Eingabe[[#This Row],[V2]]="","",Eingabe[[#This Row],[V2]]+Eingabe[[#This Row],[R2]])</f>
        <v>100</v>
      </c>
      <c r="AI496" s="6">
        <f>IF(Eingabe[[#This Row],[V3]]="","",Eingabe[[#This Row],[V3]]+Eingabe[[#This Row],[R3]])</f>
        <v>77</v>
      </c>
      <c r="AJ496" s="6">
        <f>IF(Eingabe[[#This Row],[V4]]="","",Eingabe[[#This Row],[V4]]+Eingabe[[#This Row],[R4]])</f>
        <v>79</v>
      </c>
      <c r="AK496" s="6" t="str">
        <f>IF(Eingabe[[#This Row],[S1P]]="","",Eingabe[[#This Row],[S1P]]+Eingabe[[#This Row],[S2P]]+Eingabe[[#This Row],[S3P]]+Eingabe[[#This Row],[S4P]])</f>
        <v/>
      </c>
      <c r="AL496" s="6" t="str">
        <f>IF(Eingabe[[#This Row],[S1P]]="","",IF(Eingabe[[#This Row],[SP]]&gt;2,1,IF(Eingabe[[#This Row],[SP]]&lt;2,0,IF(Eingabe[[#This Row],[GES]]&gt;Eingabe[[#This Row],[GEGGES]],1,IF(Eingabe[[#This Row],[GES]]=Eingabe[[#This Row],[GEGGES]],0.5,0)))))</f>
        <v/>
      </c>
      <c r="AM496" s="6" t="str">
        <f>IF(Eingabe[[#This Row],[MP]]="","",MOD(ROW(Eingabe[[#This Row],[Position]])-3,6)+1)</f>
        <v/>
      </c>
      <c r="AN496" s="6">
        <f>STANDARDIZE(Eingabe[[#This Row],[GES]],Eingabe[[#This Row],[Schnitt]],VLOOKUP(Eingabe[[#This Row],[Name]],AuswertungG[],21,FALSE))</f>
        <v>0.35294117647058826</v>
      </c>
      <c r="AO496" s="6">
        <f>VLOOKUP(Eingabe[[#This Row],[ID]],Chronologie[[ID]:[KW]],12,FALSE)</f>
        <v>19</v>
      </c>
      <c r="AP496" s="95" t="str">
        <f>IF(Eingabe[[#This Row],[Wo]]="H",Eingabe[[#This Row],[Gegner]]&amp;" ["&amp;Eingabe[[#This Row],[Wo]]&amp;"]",Eingabe[[#This Row],[Ort]])</f>
        <v>Hirschfelder SV [H]</v>
      </c>
      <c r="AQ496" s="6" t="str">
        <f>IFERROR(IF(Eingabe[[#This Row],[Wo]]="H",IF(MOD(Eingabe[[#This Row],[Position]],2)=1,Eingabe[[#This Row],[S1]],Eingabe[[#This Row],[S4]]),""),"")</f>
        <v/>
      </c>
      <c r="AR496" s="6" t="str">
        <f>IFERROR(IF(Eingabe[[#This Row],[Wo]]="H",IF(Eingabe[[#This Row],[S1]]&gt;0,IF(MOD(Eingabe[[#This Row],[Position]],2)=1,Eingabe[[#This Row],[S2]],Eingabe[[#This Row],[S3]]),""),""),"")</f>
        <v/>
      </c>
      <c r="AS496" s="6">
        <f>IFERROR(IF(Eingabe[[#This Row],[Wo]]="H",IF(Eingabe[[#This Row],[S1]]&gt;0,IF(MOD(ROW(Eingabe[[#This Row],[Heimbahn 3]]),2)=1,Eingabe[[#This Row],[S4]],Eingabe[[#This Row],[S1]]),""),""),"")</f>
        <v>80</v>
      </c>
      <c r="AT496" s="6">
        <f>IFERROR(IF(Eingabe[[#This Row],[Wo]]="H",IF(Eingabe[[#This Row],[S1]]&gt;0,IF(MOD(ROW(Eingabe[[#This Row],[Heimbahn 4]]),2)=1,Eingabe[[#This Row],[S3]],Eingabe[[#This Row],[S2]]),""),""),"")</f>
        <v>100</v>
      </c>
      <c r="AU496" s="22" t="str">
        <f>IF(Eingabe[[#This Row],[GES]]="","",IF(Eingabe[[#This Row],[Modus]]="L",_xlfn.RANK.EQ(Eingabe[[#This Row],[GES]],AF495:AF500),IF(Eingabe[[#This Row],[Modus]]="P",_xlfn.RANK.EQ(Eingabe[[#This Row],[GES]],AF495:AF500),"")))</f>
        <v/>
      </c>
      <c r="AV496" s="6">
        <f>VLOOKUP(Eingabe[[#This Row],[Name]],AuswertungG[],8,FALSE)</f>
        <v>330</v>
      </c>
      <c r="AZ496" s="6">
        <f>IFERROR(ABS(Eingabe[[#This Row],[GES]]-Eingabe[[#This Row],[GEGGES]]),"")</f>
        <v>336</v>
      </c>
    </row>
    <row r="497" spans="1:52" x14ac:dyDescent="0.3">
      <c r="A497" s="441"/>
      <c r="B497" s="21">
        <f t="shared" si="50"/>
        <v>83</v>
      </c>
      <c r="C497" s="6" t="str">
        <f>VLOOKUP($B497,Chronologie[],7,TRUE)</f>
        <v>Hirschfelder SV</v>
      </c>
      <c r="D497" s="6" t="str">
        <f>VLOOKUP($B497,Chronologie[],8,TRUE)</f>
        <v>Hirschfeld</v>
      </c>
      <c r="E497" s="240" t="str">
        <f>VLOOKUP($B497,Chronologie[],9,TRUE)</f>
        <v>H</v>
      </c>
      <c r="F497" s="6" t="str">
        <f>VLOOKUP($B497,Chronologie[],COLUMN(F498)-2,TRUE)</f>
        <v>U14</v>
      </c>
      <c r="G497" s="6" t="str">
        <f>VLOOKUP($B497,Chronologie[],COLUMN(G498)-2,TRUE)</f>
        <v>KEM</v>
      </c>
      <c r="H497" s="6" t="str">
        <f>VLOOKUP($B497,Chronologie[],COLUMN(H498)-2,TRUE)</f>
        <v>V</v>
      </c>
      <c r="I497" s="10" t="str">
        <f>VLOOKUP($B497,Chronologie[],2,TRUE)</f>
        <v>U14-KEM-V</v>
      </c>
      <c r="J497" s="243">
        <f>VLOOKUP($B497,Chronologie[],3,TRUE)</f>
        <v>46025</v>
      </c>
      <c r="K497" s="237" t="s">
        <v>484</v>
      </c>
      <c r="L497" s="237">
        <v>75</v>
      </c>
      <c r="M497" s="237">
        <v>75</v>
      </c>
      <c r="N497" s="237">
        <v>59</v>
      </c>
      <c r="O497" s="237">
        <v>88</v>
      </c>
      <c r="P497" s="237">
        <v>24</v>
      </c>
      <c r="Q497" s="237">
        <v>29</v>
      </c>
      <c r="R497" s="237">
        <v>44</v>
      </c>
      <c r="S497" s="237">
        <v>26</v>
      </c>
      <c r="T497" s="237">
        <v>5</v>
      </c>
      <c r="U497" s="237">
        <v>4</v>
      </c>
      <c r="V497" s="237">
        <v>3</v>
      </c>
      <c r="W497" s="237">
        <v>3</v>
      </c>
      <c r="X497" s="38"/>
      <c r="Y497" s="38"/>
      <c r="Z497" s="38"/>
      <c r="AA497" s="38"/>
      <c r="AB497" s="91"/>
      <c r="AC497" s="94">
        <f>IF(Eingabe[[#This Row],[V1]]="",IF(Eingabe[[#This Row],[Volle alternativ]]="","",Eingabe[[#This Row],[Volle alternativ]]),SUM(Eingabe[[#This Row],[V1]:[V4]]))</f>
        <v>297</v>
      </c>
      <c r="AD497" s="6">
        <f>IF(Eingabe[[#This Row],[R1]]="",IF(Eingabe[[#This Row],[Räumer alternativ]]="","",Eingabe[[#This Row],[Räumer alternativ]]),SUM(Eingabe[[#This Row],[R1]:[R4]]))</f>
        <v>123</v>
      </c>
      <c r="AE497" s="6">
        <f>IF(Eingabe[[#This Row],[F1]]="",IF(Eingabe[[#This Row],[Fehler alternativ]]="","",Eingabe[[#This Row],[Fehler alternativ]]),SUM(Eingabe[[#This Row],[F1]:[F4]]))</f>
        <v>15</v>
      </c>
      <c r="AF497" s="6">
        <f>IF(Eingabe[[#This Row],[Volle]]="","",IF(Eingabe[[#This Row],[S1]]="",Eingabe[[#This Row],[Volle]]+Eingabe[[#This Row],[Räumer]],IF(Eingabe[[#This Row],[Volle]]+Eingabe[[#This Row],[Räumer]]=Eingabe[[#This Row],[S1]]+Eingabe[[#This Row],[S2]]+Eingabe[[#This Row],[S3]]+Eingabe[[#This Row],[S4]],Eingabe[[#This Row],[Volle]]+Eingabe[[#This Row],[Räumer]],"FEHLER")))</f>
        <v>420</v>
      </c>
      <c r="AG497" s="6">
        <f>IF(Eingabe[[#This Row],[V1]]="","",Eingabe[[#This Row],[V1]]+Eingabe[[#This Row],[R1]])</f>
        <v>99</v>
      </c>
      <c r="AH497" s="6">
        <f>IF(Eingabe[[#This Row],[V2]]="","",Eingabe[[#This Row],[V2]]+Eingabe[[#This Row],[R2]])</f>
        <v>104</v>
      </c>
      <c r="AI497" s="6">
        <f>IF(Eingabe[[#This Row],[V3]]="","",Eingabe[[#This Row],[V3]]+Eingabe[[#This Row],[R3]])</f>
        <v>103</v>
      </c>
      <c r="AJ497" s="6">
        <f>IF(Eingabe[[#This Row],[V4]]="","",Eingabe[[#This Row],[V4]]+Eingabe[[#This Row],[R4]])</f>
        <v>114</v>
      </c>
      <c r="AK497" s="6" t="str">
        <f>IF(Eingabe[[#This Row],[S1P]]="","",Eingabe[[#This Row],[S1P]]+Eingabe[[#This Row],[S2P]]+Eingabe[[#This Row],[S3P]]+Eingabe[[#This Row],[S4P]])</f>
        <v/>
      </c>
      <c r="AL497" s="6" t="str">
        <f>IF(Eingabe[[#This Row],[S1P]]="","",IF(Eingabe[[#This Row],[SP]]&gt;2,1,IF(Eingabe[[#This Row],[SP]]&lt;2,0,IF(Eingabe[[#This Row],[GES]]&gt;Eingabe[[#This Row],[GEGGES]],1,IF(Eingabe[[#This Row],[GES]]=Eingabe[[#This Row],[GEGGES]],0.5,0)))))</f>
        <v/>
      </c>
      <c r="AM497" s="6" t="str">
        <f>IF(Eingabe[[#This Row],[MP]]="","",MOD(ROW(Eingabe[[#This Row],[Position]])-3,6)+1)</f>
        <v/>
      </c>
      <c r="AN497" s="6">
        <f>STANDARDIZE(Eingabe[[#This Row],[GES]],Eingabe[[#This Row],[Schnitt]],VLOOKUP(Eingabe[[#This Row],[Name]],AuswertungG[],21,FALSE))</f>
        <v>1</v>
      </c>
      <c r="AO497" s="6">
        <f>VLOOKUP(Eingabe[[#This Row],[ID]],Chronologie[[ID]:[KW]],12,FALSE)</f>
        <v>19</v>
      </c>
      <c r="AP497" s="95" t="str">
        <f>IF(Eingabe[[#This Row],[Wo]]="H",Eingabe[[#This Row],[Gegner]]&amp;" ["&amp;Eingabe[[#This Row],[Wo]]&amp;"]",Eingabe[[#This Row],[Ort]])</f>
        <v>Hirschfelder SV [H]</v>
      </c>
      <c r="AQ497" s="6" t="str">
        <f>IFERROR(IF(Eingabe[[#This Row],[Wo]]="H",IF(MOD(Eingabe[[#This Row],[Position]],2)=1,Eingabe[[#This Row],[S1]],Eingabe[[#This Row],[S4]]),""),"")</f>
        <v/>
      </c>
      <c r="AR497" s="6" t="str">
        <f>IFERROR(IF(Eingabe[[#This Row],[Wo]]="H",IF(Eingabe[[#This Row],[S1]]&gt;0,IF(MOD(Eingabe[[#This Row],[Position]],2)=1,Eingabe[[#This Row],[S2]],Eingabe[[#This Row],[S3]]),""),""),"")</f>
        <v/>
      </c>
      <c r="AS497" s="6">
        <f>IFERROR(IF(Eingabe[[#This Row],[Wo]]="H",IF(Eingabe[[#This Row],[S1]]&gt;0,IF(MOD(ROW(Eingabe[[#This Row],[Heimbahn 3]]),2)=1,Eingabe[[#This Row],[S4]],Eingabe[[#This Row],[S1]]),""),""),"")</f>
        <v>114</v>
      </c>
      <c r="AT497" s="6">
        <f>IFERROR(IF(Eingabe[[#This Row],[Wo]]="H",IF(Eingabe[[#This Row],[S1]]&gt;0,IF(MOD(ROW(Eingabe[[#This Row],[Heimbahn 4]]),2)=1,Eingabe[[#This Row],[S3]],Eingabe[[#This Row],[S2]]),""),""),"")</f>
        <v>103</v>
      </c>
      <c r="AU497" s="22" t="str">
        <f>IF(Eingabe[[#This Row],[GES]]="","",IF(Eingabe[[#This Row],[Modus]]="L",_xlfn.RANK.EQ(Eingabe[[#This Row],[GES]],AF495:AF500),IF(Eingabe[[#This Row],[Modus]]="P",_xlfn.RANK.EQ(Eingabe[[#This Row],[GES]],AF495:AF500),"")))</f>
        <v/>
      </c>
      <c r="AV497" s="6">
        <f>VLOOKUP(Eingabe[[#This Row],[Name]],AuswertungG[],8,FALSE)</f>
        <v>386</v>
      </c>
      <c r="AZ497" s="6">
        <f>IFERROR(ABS(Eingabe[[#This Row],[GES]]-Eingabe[[#This Row],[GEGGES]]),"")</f>
        <v>420</v>
      </c>
    </row>
    <row r="498" spans="1:52" x14ac:dyDescent="0.3">
      <c r="A498" s="441"/>
      <c r="B498" s="21">
        <f t="shared" si="50"/>
        <v>83</v>
      </c>
      <c r="C498" s="6" t="str">
        <f>VLOOKUP($B498,Chronologie[],7,TRUE)</f>
        <v>Hirschfelder SV</v>
      </c>
      <c r="D498" s="6" t="str">
        <f>VLOOKUP($B498,Chronologie[],8,TRUE)</f>
        <v>Hirschfeld</v>
      </c>
      <c r="E498" s="240" t="str">
        <f>VLOOKUP($B498,Chronologie[],9,TRUE)</f>
        <v>H</v>
      </c>
      <c r="F498" s="6" t="str">
        <f>VLOOKUP($B498,Chronologie[],COLUMN(F499)-2,TRUE)</f>
        <v>U14</v>
      </c>
      <c r="G498" s="6" t="str">
        <f>VLOOKUP($B498,Chronologie[],COLUMN(G499)-2,TRUE)</f>
        <v>KEM</v>
      </c>
      <c r="H498" s="6" t="str">
        <f>VLOOKUP($B498,Chronologie[],COLUMN(H499)-2,TRUE)</f>
        <v>V</v>
      </c>
      <c r="I498" s="10" t="str">
        <f>VLOOKUP($B498,Chronologie[],2,TRUE)</f>
        <v>U14-KEM-V</v>
      </c>
      <c r="J498" s="243">
        <f>VLOOKUP($B498,Chronologie[],3,TRUE)</f>
        <v>46025</v>
      </c>
      <c r="K498" s="238" t="s">
        <v>599</v>
      </c>
      <c r="L498" s="237">
        <v>77</v>
      </c>
      <c r="M498" s="237">
        <v>61</v>
      </c>
      <c r="N498" s="237">
        <v>62</v>
      </c>
      <c r="O498" s="237">
        <v>81</v>
      </c>
      <c r="P498" s="237">
        <v>17</v>
      </c>
      <c r="Q498" s="237">
        <v>35</v>
      </c>
      <c r="R498" s="237">
        <v>17</v>
      </c>
      <c r="S498" s="237">
        <v>25</v>
      </c>
      <c r="T498" s="237">
        <v>8</v>
      </c>
      <c r="U498" s="237">
        <v>2</v>
      </c>
      <c r="V498" s="237">
        <v>7</v>
      </c>
      <c r="W498" s="237">
        <v>5</v>
      </c>
      <c r="X498" s="38"/>
      <c r="Y498" s="38"/>
      <c r="Z498" s="38"/>
      <c r="AA498" s="38"/>
      <c r="AB498" s="91"/>
      <c r="AC498" s="94">
        <f>IF(Eingabe[[#This Row],[V1]]="",IF(Eingabe[[#This Row],[Volle alternativ]]="","",Eingabe[[#This Row],[Volle alternativ]]),SUM(Eingabe[[#This Row],[V1]:[V4]]))</f>
        <v>281</v>
      </c>
      <c r="AD498" s="6">
        <f>IF(Eingabe[[#This Row],[R1]]="",IF(Eingabe[[#This Row],[Räumer alternativ]]="","",Eingabe[[#This Row],[Räumer alternativ]]),SUM(Eingabe[[#This Row],[R1]:[R4]]))</f>
        <v>94</v>
      </c>
      <c r="AE498" s="6">
        <f>IF(Eingabe[[#This Row],[F1]]="",IF(Eingabe[[#This Row],[Fehler alternativ]]="","",Eingabe[[#This Row],[Fehler alternativ]]),SUM(Eingabe[[#This Row],[F1]:[F4]]))</f>
        <v>22</v>
      </c>
      <c r="AF498" s="6">
        <f>IF(Eingabe[[#This Row],[Volle]]="","",IF(Eingabe[[#This Row],[S1]]="",Eingabe[[#This Row],[Volle]]+Eingabe[[#This Row],[Räumer]],IF(Eingabe[[#This Row],[Volle]]+Eingabe[[#This Row],[Räumer]]=Eingabe[[#This Row],[S1]]+Eingabe[[#This Row],[S2]]+Eingabe[[#This Row],[S3]]+Eingabe[[#This Row],[S4]],Eingabe[[#This Row],[Volle]]+Eingabe[[#This Row],[Räumer]],"FEHLER")))</f>
        <v>375</v>
      </c>
      <c r="AG498" s="6">
        <f>IF(Eingabe[[#This Row],[V1]]="","",Eingabe[[#This Row],[V1]]+Eingabe[[#This Row],[R1]])</f>
        <v>94</v>
      </c>
      <c r="AH498" s="6">
        <f>IF(Eingabe[[#This Row],[V2]]="","",Eingabe[[#This Row],[V2]]+Eingabe[[#This Row],[R2]])</f>
        <v>96</v>
      </c>
      <c r="AI498" s="6">
        <f>IF(Eingabe[[#This Row],[V3]]="","",Eingabe[[#This Row],[V3]]+Eingabe[[#This Row],[R3]])</f>
        <v>79</v>
      </c>
      <c r="AJ498" s="6">
        <f>IF(Eingabe[[#This Row],[V4]]="","",Eingabe[[#This Row],[V4]]+Eingabe[[#This Row],[R4]])</f>
        <v>106</v>
      </c>
      <c r="AK498" s="6" t="str">
        <f>IF(Eingabe[[#This Row],[S1P]]="","",Eingabe[[#This Row],[S1P]]+Eingabe[[#This Row],[S2P]]+Eingabe[[#This Row],[S3P]]+Eingabe[[#This Row],[S4P]])</f>
        <v/>
      </c>
      <c r="AL498" s="6" t="str">
        <f>IF(Eingabe[[#This Row],[S1P]]="","",IF(Eingabe[[#This Row],[SP]]&gt;2,1,IF(Eingabe[[#This Row],[SP]]&lt;2,0,IF(Eingabe[[#This Row],[GES]]&gt;Eingabe[[#This Row],[GEGGES]],1,IF(Eingabe[[#This Row],[GES]]=Eingabe[[#This Row],[GEGGES]],0.5,0)))))</f>
        <v/>
      </c>
      <c r="AM498" s="6" t="str">
        <f>IF(Eingabe[[#This Row],[MP]]="","",MOD(ROW(Eingabe[[#This Row],[Position]])-3,6)+1)</f>
        <v/>
      </c>
      <c r="AN498" s="6">
        <f>STANDARDIZE(Eingabe[[#This Row],[GES]],Eingabe[[#This Row],[Schnitt]],VLOOKUP(Eingabe[[#This Row],[Name]],AuswertungG[],21,FALSE))</f>
        <v>0.52173913043478259</v>
      </c>
      <c r="AO498" s="6">
        <f>VLOOKUP(Eingabe[[#This Row],[ID]],Chronologie[[ID]:[KW]],12,FALSE)</f>
        <v>19</v>
      </c>
      <c r="AP498" s="95" t="str">
        <f>IF(Eingabe[[#This Row],[Wo]]="H",Eingabe[[#This Row],[Gegner]]&amp;" ["&amp;Eingabe[[#This Row],[Wo]]&amp;"]",Eingabe[[#This Row],[Ort]])</f>
        <v>Hirschfelder SV [H]</v>
      </c>
      <c r="AQ498" s="6" t="str">
        <f>IFERROR(IF(Eingabe[[#This Row],[Wo]]="H",IF(MOD(Eingabe[[#This Row],[Position]],2)=1,Eingabe[[#This Row],[S1]],Eingabe[[#This Row],[S4]]),""),"")</f>
        <v/>
      </c>
      <c r="AR498" s="6" t="str">
        <f>IFERROR(IF(Eingabe[[#This Row],[Wo]]="H",IF(Eingabe[[#This Row],[S1]]&gt;0,IF(MOD(Eingabe[[#This Row],[Position]],2)=1,Eingabe[[#This Row],[S2]],Eingabe[[#This Row],[S3]]),""),""),"")</f>
        <v/>
      </c>
      <c r="AS498" s="6">
        <f>IFERROR(IF(Eingabe[[#This Row],[Wo]]="H",IF(Eingabe[[#This Row],[S1]]&gt;0,IF(MOD(ROW(Eingabe[[#This Row],[Heimbahn 3]]),2)=1,Eingabe[[#This Row],[S4]],Eingabe[[#This Row],[S1]]),""),""),"")</f>
        <v>94</v>
      </c>
      <c r="AT498" s="6">
        <f>IFERROR(IF(Eingabe[[#This Row],[Wo]]="H",IF(Eingabe[[#This Row],[S1]]&gt;0,IF(MOD(ROW(Eingabe[[#This Row],[Heimbahn 4]]),2)=1,Eingabe[[#This Row],[S3]],Eingabe[[#This Row],[S2]]),""),""),"")</f>
        <v>96</v>
      </c>
      <c r="AU498" s="22" t="str">
        <f>IF(Eingabe[[#This Row],[GES]]="","",IF(Eingabe[[#This Row],[Modus]]="L",_xlfn.RANK.EQ(Eingabe[[#This Row],[GES]],AF495:AF500),IF(Eingabe[[#This Row],[Modus]]="P",_xlfn.RANK.EQ(Eingabe[[#This Row],[GES]],AF495:AF500),"")))</f>
        <v/>
      </c>
      <c r="AV498" s="6">
        <f>VLOOKUP(Eingabe[[#This Row],[Name]],AuswertungG[],8,FALSE)</f>
        <v>363</v>
      </c>
      <c r="AZ498" s="6">
        <f>IFERROR(ABS(Eingabe[[#This Row],[GES]]-Eingabe[[#This Row],[GEGGES]]),"")</f>
        <v>375</v>
      </c>
    </row>
    <row r="499" spans="1:52" x14ac:dyDescent="0.3">
      <c r="A499" s="441"/>
      <c r="B499" s="21">
        <f t="shared" si="50"/>
        <v>83</v>
      </c>
      <c r="C499" s="6" t="str">
        <f>VLOOKUP($B499,Chronologie[],7,TRUE)</f>
        <v>Hirschfelder SV</v>
      </c>
      <c r="D499" s="6" t="str">
        <f>VLOOKUP($B499,Chronologie[],8,TRUE)</f>
        <v>Hirschfeld</v>
      </c>
      <c r="E499" s="240" t="str">
        <f>VLOOKUP($B499,Chronologie[],9,TRUE)</f>
        <v>H</v>
      </c>
      <c r="F499" s="6" t="str">
        <f>VLOOKUP($B499,Chronologie[],COLUMN(F500)-2,TRUE)</f>
        <v>U14</v>
      </c>
      <c r="G499" s="6" t="str">
        <f>VLOOKUP($B499,Chronologie[],COLUMN(G500)-2,TRUE)</f>
        <v>KEM</v>
      </c>
      <c r="H499" s="6" t="str">
        <f>VLOOKUP($B499,Chronologie[],COLUMN(H500)-2,TRUE)</f>
        <v>V</v>
      </c>
      <c r="I499" s="10" t="str">
        <f>VLOOKUP($B499,Chronologie[],2,TRUE)</f>
        <v>U14-KEM-V</v>
      </c>
      <c r="J499" s="243">
        <f>VLOOKUP($B499,Chronologie[],3,TRUE)</f>
        <v>46025</v>
      </c>
      <c r="K499" s="237" t="s">
        <v>476</v>
      </c>
      <c r="L499" s="237">
        <v>67</v>
      </c>
      <c r="M499" s="237">
        <v>68</v>
      </c>
      <c r="N499" s="237">
        <v>61</v>
      </c>
      <c r="O499" s="237">
        <v>79</v>
      </c>
      <c r="P499" s="237">
        <v>27</v>
      </c>
      <c r="Q499" s="237">
        <v>26</v>
      </c>
      <c r="R499" s="237">
        <v>27</v>
      </c>
      <c r="S499" s="237">
        <v>32</v>
      </c>
      <c r="T499" s="237">
        <v>4</v>
      </c>
      <c r="U499" s="237">
        <v>7</v>
      </c>
      <c r="V499" s="237">
        <v>5</v>
      </c>
      <c r="W499" s="237">
        <v>5</v>
      </c>
      <c r="X499" s="38"/>
      <c r="Y499" s="38"/>
      <c r="Z499" s="38"/>
      <c r="AA499" s="38"/>
      <c r="AB499" s="91"/>
      <c r="AC499" s="94">
        <f>IF(Eingabe[[#This Row],[V1]]="",IF(Eingabe[[#This Row],[Volle alternativ]]="","",Eingabe[[#This Row],[Volle alternativ]]),SUM(Eingabe[[#This Row],[V1]:[V4]]))</f>
        <v>275</v>
      </c>
      <c r="AD499" s="6">
        <f>IF(Eingabe[[#This Row],[R1]]="",IF(Eingabe[[#This Row],[Räumer alternativ]]="","",Eingabe[[#This Row],[Räumer alternativ]]),SUM(Eingabe[[#This Row],[R1]:[R4]]))</f>
        <v>112</v>
      </c>
      <c r="AE499" s="6">
        <f>IF(Eingabe[[#This Row],[F1]]="",IF(Eingabe[[#This Row],[Fehler alternativ]]="","",Eingabe[[#This Row],[Fehler alternativ]]),SUM(Eingabe[[#This Row],[F1]:[F4]]))</f>
        <v>21</v>
      </c>
      <c r="AF499" s="6">
        <f>IF(Eingabe[[#This Row],[Volle]]="","",IF(Eingabe[[#This Row],[S1]]="",Eingabe[[#This Row],[Volle]]+Eingabe[[#This Row],[Räumer]],IF(Eingabe[[#This Row],[Volle]]+Eingabe[[#This Row],[Räumer]]=Eingabe[[#This Row],[S1]]+Eingabe[[#This Row],[S2]]+Eingabe[[#This Row],[S3]]+Eingabe[[#This Row],[S4]],Eingabe[[#This Row],[Volle]]+Eingabe[[#This Row],[Räumer]],"FEHLER")))</f>
        <v>387</v>
      </c>
      <c r="AG499" s="6">
        <f>IF(Eingabe[[#This Row],[V1]]="","",Eingabe[[#This Row],[V1]]+Eingabe[[#This Row],[R1]])</f>
        <v>94</v>
      </c>
      <c r="AH499" s="6">
        <f>IF(Eingabe[[#This Row],[V2]]="","",Eingabe[[#This Row],[V2]]+Eingabe[[#This Row],[R2]])</f>
        <v>94</v>
      </c>
      <c r="AI499" s="6">
        <f>IF(Eingabe[[#This Row],[V3]]="","",Eingabe[[#This Row],[V3]]+Eingabe[[#This Row],[R3]])</f>
        <v>88</v>
      </c>
      <c r="AJ499" s="6">
        <f>IF(Eingabe[[#This Row],[V4]]="","",Eingabe[[#This Row],[V4]]+Eingabe[[#This Row],[R4]])</f>
        <v>111</v>
      </c>
      <c r="AK499" s="6" t="str">
        <f>IF(Eingabe[[#This Row],[S1P]]="","",Eingabe[[#This Row],[S1P]]+Eingabe[[#This Row],[S2P]]+Eingabe[[#This Row],[S3P]]+Eingabe[[#This Row],[S4P]])</f>
        <v/>
      </c>
      <c r="AL499" s="6" t="str">
        <f>IF(Eingabe[[#This Row],[S1P]]="","",IF(Eingabe[[#This Row],[SP]]&gt;2,1,IF(Eingabe[[#This Row],[SP]]&lt;2,0,IF(Eingabe[[#This Row],[GES]]&gt;Eingabe[[#This Row],[GEGGES]],1,IF(Eingabe[[#This Row],[GES]]=Eingabe[[#This Row],[GEGGES]],0.5,0)))))</f>
        <v/>
      </c>
      <c r="AM499" s="6" t="str">
        <f>IF(Eingabe[[#This Row],[MP]]="","",MOD(ROW(Eingabe[[#This Row],[Position]])-3,6)+1)</f>
        <v/>
      </c>
      <c r="AN499" s="6">
        <f>STANDARDIZE(Eingabe[[#This Row],[GES]],Eingabe[[#This Row],[Schnitt]],VLOOKUP(Eingabe[[#This Row],[Name]],AuswertungG[],21,FALSE))</f>
        <v>-0.58974358974358976</v>
      </c>
      <c r="AO499" s="6">
        <f>VLOOKUP(Eingabe[[#This Row],[ID]],Chronologie[[ID]:[KW]],12,FALSE)</f>
        <v>19</v>
      </c>
      <c r="AP499" s="95" t="str">
        <f>IF(Eingabe[[#This Row],[Wo]]="H",Eingabe[[#This Row],[Gegner]]&amp;" ["&amp;Eingabe[[#This Row],[Wo]]&amp;"]",Eingabe[[#This Row],[Ort]])</f>
        <v>Hirschfelder SV [H]</v>
      </c>
      <c r="AQ499" s="6" t="str">
        <f>IFERROR(IF(Eingabe[[#This Row],[Wo]]="H",IF(MOD(Eingabe[[#This Row],[Position]],2)=1,Eingabe[[#This Row],[S1]],Eingabe[[#This Row],[S4]]),""),"")</f>
        <v/>
      </c>
      <c r="AR499" s="6" t="str">
        <f>IFERROR(IF(Eingabe[[#This Row],[Wo]]="H",IF(Eingabe[[#This Row],[S1]]&gt;0,IF(MOD(Eingabe[[#This Row],[Position]],2)=1,Eingabe[[#This Row],[S2]],Eingabe[[#This Row],[S3]]),""),""),"")</f>
        <v/>
      </c>
      <c r="AS499" s="6">
        <f>IFERROR(IF(Eingabe[[#This Row],[Wo]]="H",IF(Eingabe[[#This Row],[S1]]&gt;0,IF(MOD(ROW(Eingabe[[#This Row],[Heimbahn 3]]),2)=1,Eingabe[[#This Row],[S4]],Eingabe[[#This Row],[S1]]),""),""),"")</f>
        <v>111</v>
      </c>
      <c r="AT499" s="6">
        <f>IFERROR(IF(Eingabe[[#This Row],[Wo]]="H",IF(Eingabe[[#This Row],[S1]]&gt;0,IF(MOD(ROW(Eingabe[[#This Row],[Heimbahn 4]]),2)=1,Eingabe[[#This Row],[S3]],Eingabe[[#This Row],[S2]]),""),""),"")</f>
        <v>88</v>
      </c>
      <c r="AU499" s="22" t="str">
        <f>IF(Eingabe[[#This Row],[GES]]="","",IF(Eingabe[[#This Row],[Modus]]="L",_xlfn.RANK.EQ(Eingabe[[#This Row],[GES]],AF495:AF500),IF(Eingabe[[#This Row],[Modus]]="P",_xlfn.RANK.EQ(Eingabe[[#This Row],[GES]],AF495:AF500),"")))</f>
        <v/>
      </c>
      <c r="AV499" s="6">
        <f>VLOOKUP(Eingabe[[#This Row],[Name]],AuswertungG[],8,FALSE)</f>
        <v>410</v>
      </c>
      <c r="AZ499" s="6">
        <f>IFERROR(ABS(Eingabe[[#This Row],[GES]]-Eingabe[[#This Row],[GEGGES]]),"")</f>
        <v>387</v>
      </c>
    </row>
    <row r="500" spans="1:52" ht="16.2" thickBot="1" x14ac:dyDescent="0.35">
      <c r="A500" s="442"/>
      <c r="B500" s="56">
        <f t="shared" si="50"/>
        <v>83</v>
      </c>
      <c r="C500" s="23" t="str">
        <f>VLOOKUP($B500,Chronologie[],7,TRUE)</f>
        <v>Hirschfelder SV</v>
      </c>
      <c r="D500" s="23" t="str">
        <f>VLOOKUP($B500,Chronologie[],8,TRUE)</f>
        <v>Hirschfeld</v>
      </c>
      <c r="E500" s="39" t="str">
        <f>VLOOKUP($B500,Chronologie[],9,TRUE)</f>
        <v>H</v>
      </c>
      <c r="F500" s="23" t="str">
        <f>VLOOKUP($B500,Chronologie[],COLUMN(F501)-2,TRUE)</f>
        <v>U14</v>
      </c>
      <c r="G500" s="23" t="str">
        <f>VLOOKUP($B500,Chronologie[],COLUMN(G501)-2,TRUE)</f>
        <v>KEM</v>
      </c>
      <c r="H500" s="23" t="str">
        <f>VLOOKUP($B500,Chronologie[],COLUMN(H501)-2,TRUE)</f>
        <v>V</v>
      </c>
      <c r="I500" s="13" t="str">
        <f>VLOOKUP($B500,Chronologie[],2,TRUE)</f>
        <v>U14-KEM-V</v>
      </c>
      <c r="J500" s="244">
        <f>VLOOKUP($B500,Chronologie[],3,TRUE)</f>
        <v>46025</v>
      </c>
      <c r="K500" s="239"/>
      <c r="L500" s="239"/>
      <c r="M500" s="239"/>
      <c r="N500" s="239"/>
      <c r="O500" s="239"/>
      <c r="P500" s="239"/>
      <c r="Q500" s="239"/>
      <c r="R500" s="239"/>
      <c r="S500" s="239"/>
      <c r="T500" s="239"/>
      <c r="U500" s="239"/>
      <c r="V500" s="239"/>
      <c r="W500" s="239"/>
      <c r="X500" s="40"/>
      <c r="Y500" s="40"/>
      <c r="Z500" s="40"/>
      <c r="AA500" s="40"/>
      <c r="AB500" s="92"/>
      <c r="AC500" s="96" t="str">
        <f>IF(Eingabe[[#This Row],[V1]]="",IF(Eingabe[[#This Row],[Volle alternativ]]="","",Eingabe[[#This Row],[Volle alternativ]]),SUM(Eingabe[[#This Row],[V1]:[V4]]))</f>
        <v/>
      </c>
      <c r="AD500" s="23" t="str">
        <f>IF(Eingabe[[#This Row],[R1]]="",IF(Eingabe[[#This Row],[Räumer alternativ]]="","",Eingabe[[#This Row],[Räumer alternativ]]),SUM(Eingabe[[#This Row],[R1]:[R4]]))</f>
        <v/>
      </c>
      <c r="AE500" s="23" t="str">
        <f>IF(Eingabe[[#This Row],[F1]]="",IF(Eingabe[[#This Row],[Fehler alternativ]]="","",Eingabe[[#This Row],[Fehler alternativ]]),SUM(Eingabe[[#This Row],[F1]:[F4]]))</f>
        <v/>
      </c>
      <c r="AF500" s="23" t="str">
        <f>IF(Eingabe[[#This Row],[Volle]]="","",IF(Eingabe[[#This Row],[S1]]="",Eingabe[[#This Row],[Volle]]+Eingabe[[#This Row],[Räumer]],IF(Eingabe[[#This Row],[Volle]]+Eingabe[[#This Row],[Räumer]]=Eingabe[[#This Row],[S1]]+Eingabe[[#This Row],[S2]]+Eingabe[[#This Row],[S3]]+Eingabe[[#This Row],[S4]],Eingabe[[#This Row],[Volle]]+Eingabe[[#This Row],[Räumer]],"FEHLER")))</f>
        <v/>
      </c>
      <c r="AG500" s="23" t="str">
        <f>IF(Eingabe[[#This Row],[V1]]="","",Eingabe[[#This Row],[V1]]+Eingabe[[#This Row],[R1]])</f>
        <v/>
      </c>
      <c r="AH500" s="23" t="str">
        <f>IF(Eingabe[[#This Row],[V2]]="","",Eingabe[[#This Row],[V2]]+Eingabe[[#This Row],[R2]])</f>
        <v/>
      </c>
      <c r="AI500" s="23" t="str">
        <f>IF(Eingabe[[#This Row],[V3]]="","",Eingabe[[#This Row],[V3]]+Eingabe[[#This Row],[R3]])</f>
        <v/>
      </c>
      <c r="AJ500" s="23" t="str">
        <f>IF(Eingabe[[#This Row],[V4]]="","",Eingabe[[#This Row],[V4]]+Eingabe[[#This Row],[R4]])</f>
        <v/>
      </c>
      <c r="AK500" s="23" t="str">
        <f>IF(Eingabe[[#This Row],[S1P]]="","",Eingabe[[#This Row],[S1P]]+Eingabe[[#This Row],[S2P]]+Eingabe[[#This Row],[S3P]]+Eingabe[[#This Row],[S4P]])</f>
        <v/>
      </c>
      <c r="AL500" s="23" t="str">
        <f>IF(Eingabe[[#This Row],[S1P]]="","",IF(Eingabe[[#This Row],[SP]]&gt;2,1,IF(Eingabe[[#This Row],[SP]]&lt;2,0,IF(Eingabe[[#This Row],[GES]]&gt;Eingabe[[#This Row],[GEGGES]],1,IF(Eingabe[[#This Row],[GES]]=Eingabe[[#This Row],[GEGGES]],0.5,0)))))</f>
        <v/>
      </c>
      <c r="AM500" s="23" t="str">
        <f>IF(Eingabe[[#This Row],[MP]]="","",MOD(ROW(Eingabe[[#This Row],[Position]])-3,6)+1)</f>
        <v/>
      </c>
      <c r="AN500" s="23" t="e">
        <f>STANDARDIZE(Eingabe[[#This Row],[GES]],Eingabe[[#This Row],[Schnitt]],VLOOKUP(Eingabe[[#This Row],[Name]],AuswertungG[],21,FALSE))</f>
        <v>#VALUE!</v>
      </c>
      <c r="AO500" s="23">
        <f>VLOOKUP(Eingabe[[#This Row],[ID]],Chronologie[[ID]:[KW]],12,FALSE)</f>
        <v>19</v>
      </c>
      <c r="AP500" s="59" t="str">
        <f>IF(Eingabe[[#This Row],[Wo]]="H",Eingabe[[#This Row],[Gegner]]&amp;" ["&amp;Eingabe[[#This Row],[Wo]]&amp;"]",Eingabe[[#This Row],[Ort]])</f>
        <v>Hirschfelder SV [H]</v>
      </c>
      <c r="AQ500" s="23" t="str">
        <f>IFERROR(IF(Eingabe[[#This Row],[Wo]]="H",IF(MOD(Eingabe[[#This Row],[Position]],2)=1,Eingabe[[#This Row],[S1]],Eingabe[[#This Row],[S4]]),""),"")</f>
        <v/>
      </c>
      <c r="AR500" s="23" t="str">
        <f>IFERROR(IF(Eingabe[[#This Row],[Wo]]="H",IF(Eingabe[[#This Row],[S1]]&gt;0,IF(MOD(Eingabe[[#This Row],[Position]],2)=1,Eingabe[[#This Row],[S2]],Eingabe[[#This Row],[S3]]),""),""),"")</f>
        <v/>
      </c>
      <c r="AS500" s="23" t="str">
        <f>IFERROR(IF(Eingabe[[#This Row],[Wo]]="H",IF(Eingabe[[#This Row],[S1]]&gt;0,IF(MOD(ROW(Eingabe[[#This Row],[Heimbahn 3]]),2)=1,Eingabe[[#This Row],[S4]],Eingabe[[#This Row],[S1]]),""),""),"")</f>
        <v/>
      </c>
      <c r="AT500" s="23" t="str">
        <f>IFERROR(IF(Eingabe[[#This Row],[Wo]]="H",IF(Eingabe[[#This Row],[S1]]&gt;0,IF(MOD(ROW(Eingabe[[#This Row],[Heimbahn 4]]),2)=1,Eingabe[[#This Row],[S3]],Eingabe[[#This Row],[S2]]),""),""),"")</f>
        <v/>
      </c>
      <c r="AU500" s="89" t="str">
        <f>IF(Eingabe[[#This Row],[GES]]="","",IF(Eingabe[[#This Row],[Modus]]="L",_xlfn.RANK.EQ(Eingabe[[#This Row],[GES]],AF495:AF500),IF(Eingabe[[#This Row],[Modus]]="P",_xlfn.RANK.EQ(Eingabe[[#This Row],[GES]],AF495:AF500),"")))</f>
        <v/>
      </c>
      <c r="AV500" s="6" t="e">
        <f>VLOOKUP(Eingabe[[#This Row],[Name]],AuswertungG[],8,FALSE)</f>
        <v>#N/A</v>
      </c>
      <c r="AZ500" s="6" t="str">
        <f>IFERROR(ABS(Eingabe[[#This Row],[GES]]-Eingabe[[#This Row],[GEGGES]]),"")</f>
        <v/>
      </c>
    </row>
    <row r="501" spans="1:52" ht="16.2" hidden="1" thickBot="1" x14ac:dyDescent="0.35">
      <c r="A501" s="440">
        <f t="shared" si="49"/>
        <v>84</v>
      </c>
      <c r="B501" s="55">
        <f t="shared" si="50"/>
        <v>84</v>
      </c>
      <c r="C501" s="35" t="str">
        <f>VLOOKUP($B501,Chronologie[],7,TRUE)</f>
        <v>Hirschfelder SV</v>
      </c>
      <c r="D501" s="35" t="str">
        <f>VLOOKUP($B501,Chronologie[],8,TRUE)</f>
        <v>Hirschfeld</v>
      </c>
      <c r="E501" s="36" t="str">
        <f>VLOOKUP($B501,Chronologie[],9,TRUE)</f>
        <v>H</v>
      </c>
      <c r="F501" s="35" t="str">
        <f>VLOOKUP($B501,Chronologie[],COLUMN(F502)-2,TRUE)</f>
        <v>U19</v>
      </c>
      <c r="G501" s="35" t="str">
        <f>VLOOKUP($B501,Chronologie[],COLUMN(G502)-2,TRUE)</f>
        <v>KEM</v>
      </c>
      <c r="H501" s="35" t="str">
        <f>VLOOKUP($B501,Chronologie[],COLUMN(H502)-2,TRUE)</f>
        <v>V</v>
      </c>
      <c r="I501" s="9" t="str">
        <f>VLOOKUP($B501,Chronologie[],2,TRUE)</f>
        <v>U19-KEM-V</v>
      </c>
      <c r="J501" s="242">
        <f>VLOOKUP($B501,Chronologie[],3,TRUE)</f>
        <v>46025</v>
      </c>
      <c r="K501" s="236" t="s">
        <v>485</v>
      </c>
      <c r="L501" s="334">
        <v>78</v>
      </c>
      <c r="M501" s="334">
        <v>84</v>
      </c>
      <c r="N501" s="334">
        <v>72</v>
      </c>
      <c r="O501" s="334">
        <v>77</v>
      </c>
      <c r="P501" s="334">
        <v>26</v>
      </c>
      <c r="Q501" s="334">
        <v>18</v>
      </c>
      <c r="R501" s="334">
        <v>45</v>
      </c>
      <c r="S501" s="334">
        <v>26</v>
      </c>
      <c r="T501" s="334">
        <v>6</v>
      </c>
      <c r="U501" s="334">
        <v>6</v>
      </c>
      <c r="V501" s="334">
        <v>1</v>
      </c>
      <c r="W501" s="334">
        <v>9</v>
      </c>
      <c r="X501" s="37"/>
      <c r="Y501" s="37"/>
      <c r="Z501" s="37"/>
      <c r="AA501" s="37"/>
      <c r="AB501" s="90"/>
      <c r="AC501" s="93">
        <f>IF(Eingabe[[#This Row],[V1]]="",IF(Eingabe[[#This Row],[Volle alternativ]]="","",Eingabe[[#This Row],[Volle alternativ]]),SUM(Eingabe[[#This Row],[V1]:[V4]]))</f>
        <v>311</v>
      </c>
      <c r="AD501" s="35">
        <f>IF(Eingabe[[#This Row],[R1]]="",IF(Eingabe[[#This Row],[Räumer alternativ]]="","",Eingabe[[#This Row],[Räumer alternativ]]),SUM(Eingabe[[#This Row],[R1]:[R4]]))</f>
        <v>115</v>
      </c>
      <c r="AE501" s="35">
        <f>IF(Eingabe[[#This Row],[F1]]="",IF(Eingabe[[#This Row],[Fehler alternativ]]="","",Eingabe[[#This Row],[Fehler alternativ]]),SUM(Eingabe[[#This Row],[F1]:[F4]]))</f>
        <v>22</v>
      </c>
      <c r="AF501" s="35">
        <f>IF(Eingabe[[#This Row],[Volle]]="","",IF(Eingabe[[#This Row],[S1]]="",Eingabe[[#This Row],[Volle]]+Eingabe[[#This Row],[Räumer]],IF(Eingabe[[#This Row],[Volle]]+Eingabe[[#This Row],[Räumer]]=Eingabe[[#This Row],[S1]]+Eingabe[[#This Row],[S2]]+Eingabe[[#This Row],[S3]]+Eingabe[[#This Row],[S4]],Eingabe[[#This Row],[Volle]]+Eingabe[[#This Row],[Räumer]],"FEHLER")))</f>
        <v>426</v>
      </c>
      <c r="AG501" s="35">
        <f>IF(Eingabe[[#This Row],[V1]]="","",Eingabe[[#This Row],[V1]]+Eingabe[[#This Row],[R1]])</f>
        <v>104</v>
      </c>
      <c r="AH501" s="35">
        <f>IF(Eingabe[[#This Row],[V2]]="","",Eingabe[[#This Row],[V2]]+Eingabe[[#This Row],[R2]])</f>
        <v>102</v>
      </c>
      <c r="AI501" s="35">
        <f>IF(Eingabe[[#This Row],[V3]]="","",Eingabe[[#This Row],[V3]]+Eingabe[[#This Row],[R3]])</f>
        <v>117</v>
      </c>
      <c r="AJ501" s="35">
        <f>IF(Eingabe[[#This Row],[V4]]="","",Eingabe[[#This Row],[V4]]+Eingabe[[#This Row],[R4]])</f>
        <v>103</v>
      </c>
      <c r="AK501" s="35" t="str">
        <f>IF(Eingabe[[#This Row],[S1P]]="","",Eingabe[[#This Row],[S1P]]+Eingabe[[#This Row],[S2P]]+Eingabe[[#This Row],[S3P]]+Eingabe[[#This Row],[S4P]])</f>
        <v/>
      </c>
      <c r="AL501" s="35" t="str">
        <f>IF(Eingabe[[#This Row],[S1P]]="","",IF(Eingabe[[#This Row],[SP]]&gt;2,1,IF(Eingabe[[#This Row],[SP]]&lt;2,0,IF(Eingabe[[#This Row],[GES]]&gt;Eingabe[[#This Row],[GEGGES]],1,IF(Eingabe[[#This Row],[GES]]=Eingabe[[#This Row],[GEGGES]],0.5,0)))))</f>
        <v/>
      </c>
      <c r="AM501" s="35" t="str">
        <f>IF(Eingabe[[#This Row],[MP]]="","",MOD(ROW(Eingabe[[#This Row],[Position]])-3,6)+1)</f>
        <v/>
      </c>
      <c r="AN501" s="35">
        <f>STANDARDIZE(Eingabe[[#This Row],[GES]],Eingabe[[#This Row],[Schnitt]],VLOOKUP(Eingabe[[#This Row],[Name]],AuswertungG[],21,FALSE))</f>
        <v>-1.2068965517241379</v>
      </c>
      <c r="AO501" s="35">
        <f>VLOOKUP(Eingabe[[#This Row],[ID]],Chronologie[[ID]:[KW]],12,FALSE)</f>
        <v>19</v>
      </c>
      <c r="AP501" s="58" t="str">
        <f>IF(Eingabe[[#This Row],[Wo]]="H",Eingabe[[#This Row],[Gegner]]&amp;" ["&amp;Eingabe[[#This Row],[Wo]]&amp;"]",Eingabe[[#This Row],[Ort]])</f>
        <v>Hirschfelder SV [H]</v>
      </c>
      <c r="AQ501" s="35" t="str">
        <f>IFERROR(IF(Eingabe[[#This Row],[Wo]]="H",IF(MOD(Eingabe[[#This Row],[Position]],2)=1,Eingabe[[#This Row],[S1]],Eingabe[[#This Row],[S4]]),""),"")</f>
        <v/>
      </c>
      <c r="AR501" s="35" t="str">
        <f>IFERROR(IF(Eingabe[[#This Row],[Wo]]="H",IF(Eingabe[[#This Row],[S1]]&gt;0,IF(MOD(Eingabe[[#This Row],[Position]],2)=1,Eingabe[[#This Row],[S2]],Eingabe[[#This Row],[S3]]),""),""),"")</f>
        <v/>
      </c>
      <c r="AS501" s="35">
        <f>IFERROR(IF(Eingabe[[#This Row],[Wo]]="H",IF(Eingabe[[#This Row],[S1]]&gt;0,IF(MOD(ROW(Eingabe[[#This Row],[Heimbahn 3]]),2)=1,Eingabe[[#This Row],[S4]],Eingabe[[#This Row],[S1]]),""),""),"")</f>
        <v>103</v>
      </c>
      <c r="AT501" s="35">
        <f>IFERROR(IF(Eingabe[[#This Row],[Wo]]="H",IF(Eingabe[[#This Row],[S1]]&gt;0,IF(MOD(ROW(Eingabe[[#This Row],[Heimbahn 4]]),2)=1,Eingabe[[#This Row],[S3]],Eingabe[[#This Row],[S2]]),""),""),"")</f>
        <v>117</v>
      </c>
      <c r="AU501" s="88" t="str">
        <f>IF(Eingabe[[#This Row],[GES]]="","",IF(Eingabe[[#This Row],[Modus]]="L",_xlfn.RANK.EQ(Eingabe[[#This Row],[GES]],AF501:AF506),IF(Eingabe[[#This Row],[Modus]]="P",_xlfn.RANK.EQ(Eingabe[[#This Row],[GES]],AF501:AF506),"")))</f>
        <v/>
      </c>
      <c r="AV501" s="6">
        <f>VLOOKUP(Eingabe[[#This Row],[Name]],AuswertungG[],8,FALSE)</f>
        <v>461</v>
      </c>
      <c r="AZ501" s="6">
        <f>IFERROR(ABS(Eingabe[[#This Row],[GES]]-Eingabe[[#This Row],[GEGGES]]),"")</f>
        <v>426</v>
      </c>
    </row>
    <row r="502" spans="1:52" ht="16.2" hidden="1" thickBot="1" x14ac:dyDescent="0.35">
      <c r="A502" s="441"/>
      <c r="B502" s="21">
        <f t="shared" si="50"/>
        <v>84</v>
      </c>
      <c r="C502" s="6" t="str">
        <f>VLOOKUP($B502,Chronologie[],7,TRUE)</f>
        <v>Hirschfelder SV</v>
      </c>
      <c r="D502" s="6" t="str">
        <f>VLOOKUP($B502,Chronologie[],8,TRUE)</f>
        <v>Hirschfeld</v>
      </c>
      <c r="E502" s="240" t="str">
        <f>VLOOKUP($B502,Chronologie[],9,TRUE)</f>
        <v>H</v>
      </c>
      <c r="F502" s="6" t="str">
        <f>VLOOKUP($B502,Chronologie[],COLUMN(F503)-2,TRUE)</f>
        <v>U19</v>
      </c>
      <c r="G502" s="6" t="str">
        <f>VLOOKUP($B502,Chronologie[],COLUMN(G503)-2,TRUE)</f>
        <v>KEM</v>
      </c>
      <c r="H502" s="6" t="str">
        <f>VLOOKUP($B502,Chronologie[],COLUMN(H503)-2,TRUE)</f>
        <v>V</v>
      </c>
      <c r="I502" s="10" t="str">
        <f>VLOOKUP($B502,Chronologie[],2,TRUE)</f>
        <v>U19-KEM-V</v>
      </c>
      <c r="J502" s="243">
        <f>VLOOKUP($B502,Chronologie[],3,TRUE)</f>
        <v>46025</v>
      </c>
      <c r="K502" s="237" t="s">
        <v>458</v>
      </c>
      <c r="L502" s="237">
        <v>86</v>
      </c>
      <c r="M502" s="237">
        <v>92</v>
      </c>
      <c r="N502" s="237">
        <v>88</v>
      </c>
      <c r="O502" s="237">
        <v>89</v>
      </c>
      <c r="P502" s="237">
        <v>54</v>
      </c>
      <c r="Q502" s="237">
        <v>52</v>
      </c>
      <c r="R502" s="237">
        <v>44</v>
      </c>
      <c r="S502" s="237">
        <v>50</v>
      </c>
      <c r="T502" s="237">
        <v>0</v>
      </c>
      <c r="U502" s="237">
        <v>1</v>
      </c>
      <c r="V502" s="237">
        <v>1</v>
      </c>
      <c r="W502" s="237">
        <v>1</v>
      </c>
      <c r="X502" s="38"/>
      <c r="Y502" s="38"/>
      <c r="Z502" s="38"/>
      <c r="AA502" s="38"/>
      <c r="AB502" s="91"/>
      <c r="AC502" s="94">
        <f>IF(Eingabe[[#This Row],[V1]]="",IF(Eingabe[[#This Row],[Volle alternativ]]="","",Eingabe[[#This Row],[Volle alternativ]]),SUM(Eingabe[[#This Row],[V1]:[V4]]))</f>
        <v>355</v>
      </c>
      <c r="AD502" s="6">
        <f>IF(Eingabe[[#This Row],[R1]]="",IF(Eingabe[[#This Row],[Räumer alternativ]]="","",Eingabe[[#This Row],[Räumer alternativ]]),SUM(Eingabe[[#This Row],[R1]:[R4]]))</f>
        <v>200</v>
      </c>
      <c r="AE502" s="6">
        <f>IF(Eingabe[[#This Row],[F1]]="",IF(Eingabe[[#This Row],[Fehler alternativ]]="","",Eingabe[[#This Row],[Fehler alternativ]]),SUM(Eingabe[[#This Row],[F1]:[F4]]))</f>
        <v>3</v>
      </c>
      <c r="AF502" s="6">
        <f>IF(Eingabe[[#This Row],[Volle]]="","",IF(Eingabe[[#This Row],[S1]]="",Eingabe[[#This Row],[Volle]]+Eingabe[[#This Row],[Räumer]],IF(Eingabe[[#This Row],[Volle]]+Eingabe[[#This Row],[Räumer]]=Eingabe[[#This Row],[S1]]+Eingabe[[#This Row],[S2]]+Eingabe[[#This Row],[S3]]+Eingabe[[#This Row],[S4]],Eingabe[[#This Row],[Volle]]+Eingabe[[#This Row],[Räumer]],"FEHLER")))</f>
        <v>555</v>
      </c>
      <c r="AG502" s="6">
        <f>IF(Eingabe[[#This Row],[V1]]="","",Eingabe[[#This Row],[V1]]+Eingabe[[#This Row],[R1]])</f>
        <v>140</v>
      </c>
      <c r="AH502" s="6">
        <f>IF(Eingabe[[#This Row],[V2]]="","",Eingabe[[#This Row],[V2]]+Eingabe[[#This Row],[R2]])</f>
        <v>144</v>
      </c>
      <c r="AI502" s="6">
        <f>IF(Eingabe[[#This Row],[V3]]="","",Eingabe[[#This Row],[V3]]+Eingabe[[#This Row],[R3]])</f>
        <v>132</v>
      </c>
      <c r="AJ502" s="6">
        <f>IF(Eingabe[[#This Row],[V4]]="","",Eingabe[[#This Row],[V4]]+Eingabe[[#This Row],[R4]])</f>
        <v>139</v>
      </c>
      <c r="AK502" s="6" t="str">
        <f>IF(Eingabe[[#This Row],[S1P]]="","",Eingabe[[#This Row],[S1P]]+Eingabe[[#This Row],[S2P]]+Eingabe[[#This Row],[S3P]]+Eingabe[[#This Row],[S4P]])</f>
        <v/>
      </c>
      <c r="AL502" s="6" t="str">
        <f>IF(Eingabe[[#This Row],[S1P]]="","",IF(Eingabe[[#This Row],[SP]]&gt;2,1,IF(Eingabe[[#This Row],[SP]]&lt;2,0,IF(Eingabe[[#This Row],[GES]]&gt;Eingabe[[#This Row],[GEGGES]],1,IF(Eingabe[[#This Row],[GES]]=Eingabe[[#This Row],[GEGGES]],0.5,0)))))</f>
        <v/>
      </c>
      <c r="AM502" s="6" t="str">
        <f>IF(Eingabe[[#This Row],[MP]]="","",MOD(ROW(Eingabe[[#This Row],[Position]])-3,6)+1)</f>
        <v/>
      </c>
      <c r="AN502" s="6">
        <f>STANDARDIZE(Eingabe[[#This Row],[GES]],Eingabe[[#This Row],[Schnitt]],VLOOKUP(Eingabe[[#This Row],[Name]],AuswertungG[],21,FALSE))</f>
        <v>2.35</v>
      </c>
      <c r="AO502" s="6">
        <f>VLOOKUP(Eingabe[[#This Row],[ID]],Chronologie[[ID]:[KW]],12,FALSE)</f>
        <v>19</v>
      </c>
      <c r="AP502" s="95" t="str">
        <f>IF(Eingabe[[#This Row],[Wo]]="H",Eingabe[[#This Row],[Gegner]]&amp;" ["&amp;Eingabe[[#This Row],[Wo]]&amp;"]",Eingabe[[#This Row],[Ort]])</f>
        <v>Hirschfelder SV [H]</v>
      </c>
      <c r="AQ502" s="6" t="str">
        <f>IFERROR(IF(Eingabe[[#This Row],[Wo]]="H",IF(MOD(Eingabe[[#This Row],[Position]],2)=1,Eingabe[[#This Row],[S1]],Eingabe[[#This Row],[S4]]),""),"")</f>
        <v/>
      </c>
      <c r="AR502" s="6" t="str">
        <f>IFERROR(IF(Eingabe[[#This Row],[Wo]]="H",IF(Eingabe[[#This Row],[S1]]&gt;0,IF(MOD(Eingabe[[#This Row],[Position]],2)=1,Eingabe[[#This Row],[S2]],Eingabe[[#This Row],[S3]]),""),""),"")</f>
        <v/>
      </c>
      <c r="AS502" s="6">
        <f>IFERROR(IF(Eingabe[[#This Row],[Wo]]="H",IF(Eingabe[[#This Row],[S1]]&gt;0,IF(MOD(ROW(Eingabe[[#This Row],[Heimbahn 3]]),2)=1,Eingabe[[#This Row],[S4]],Eingabe[[#This Row],[S1]]),""),""),"")</f>
        <v>140</v>
      </c>
      <c r="AT502" s="6">
        <f>IFERROR(IF(Eingabe[[#This Row],[Wo]]="H",IF(Eingabe[[#This Row],[S1]]&gt;0,IF(MOD(ROW(Eingabe[[#This Row],[Heimbahn 4]]),2)=1,Eingabe[[#This Row],[S3]],Eingabe[[#This Row],[S2]]),""),""),"")</f>
        <v>144</v>
      </c>
      <c r="AU502" s="22" t="str">
        <f>IF(Eingabe[[#This Row],[GES]]="","",IF(Eingabe[[#This Row],[Modus]]="L",_xlfn.RANK.EQ(Eingabe[[#This Row],[GES]],AF501:AF506),IF(Eingabe[[#This Row],[Modus]]="P",_xlfn.RANK.EQ(Eingabe[[#This Row],[GES]],AF501:AF506),"")))</f>
        <v/>
      </c>
      <c r="AV502" s="6">
        <f>VLOOKUP(Eingabe[[#This Row],[Name]],AuswertungG[],8,FALSE)</f>
        <v>508</v>
      </c>
      <c r="AZ502" s="6">
        <f>IFERROR(ABS(Eingabe[[#This Row],[GES]]-Eingabe[[#This Row],[GEGGES]]),"")</f>
        <v>555</v>
      </c>
    </row>
    <row r="503" spans="1:52" ht="16.2" hidden="1" thickBot="1" x14ac:dyDescent="0.35">
      <c r="A503" s="441"/>
      <c r="B503" s="21">
        <f t="shared" si="50"/>
        <v>84</v>
      </c>
      <c r="C503" s="6" t="str">
        <f>VLOOKUP($B503,Chronologie[],7,TRUE)</f>
        <v>Hirschfelder SV</v>
      </c>
      <c r="D503" s="6" t="str">
        <f>VLOOKUP($B503,Chronologie[],8,TRUE)</f>
        <v>Hirschfeld</v>
      </c>
      <c r="E503" s="240" t="str">
        <f>VLOOKUP($B503,Chronologie[],9,TRUE)</f>
        <v>H</v>
      </c>
      <c r="F503" s="6" t="str">
        <f>VLOOKUP($B503,Chronologie[],COLUMN(F504)-2,TRUE)</f>
        <v>U19</v>
      </c>
      <c r="G503" s="6" t="str">
        <f>VLOOKUP($B503,Chronologie[],COLUMN(G504)-2,TRUE)</f>
        <v>KEM</v>
      </c>
      <c r="H503" s="6" t="str">
        <f>VLOOKUP($B503,Chronologie[],COLUMN(H504)-2,TRUE)</f>
        <v>V</v>
      </c>
      <c r="I503" s="10" t="str">
        <f>VLOOKUP($B503,Chronologie[],2,TRUE)</f>
        <v>U19-KEM-V</v>
      </c>
      <c r="J503" s="243">
        <f>VLOOKUP($B503,Chronologie[],3,TRUE)</f>
        <v>46025</v>
      </c>
      <c r="K503" s="237" t="s">
        <v>477</v>
      </c>
      <c r="L503" s="237">
        <v>86</v>
      </c>
      <c r="M503" s="237">
        <v>89</v>
      </c>
      <c r="N503" s="237">
        <v>92</v>
      </c>
      <c r="O503" s="237">
        <v>91</v>
      </c>
      <c r="P503" s="237">
        <v>53</v>
      </c>
      <c r="Q503" s="237">
        <v>35</v>
      </c>
      <c r="R503" s="237">
        <v>43</v>
      </c>
      <c r="S503" s="237">
        <v>53</v>
      </c>
      <c r="T503" s="237">
        <v>0</v>
      </c>
      <c r="U503" s="237">
        <v>2</v>
      </c>
      <c r="V503" s="237">
        <v>2</v>
      </c>
      <c r="W503" s="237">
        <v>0</v>
      </c>
      <c r="X503" s="38"/>
      <c r="Y503" s="38"/>
      <c r="Z503" s="38"/>
      <c r="AA503" s="38"/>
      <c r="AB503" s="91"/>
      <c r="AC503" s="94">
        <f>IF(Eingabe[[#This Row],[V1]]="",IF(Eingabe[[#This Row],[Volle alternativ]]="","",Eingabe[[#This Row],[Volle alternativ]]),SUM(Eingabe[[#This Row],[V1]:[V4]]))</f>
        <v>358</v>
      </c>
      <c r="AD503" s="6">
        <f>IF(Eingabe[[#This Row],[R1]]="",IF(Eingabe[[#This Row],[Räumer alternativ]]="","",Eingabe[[#This Row],[Räumer alternativ]]),SUM(Eingabe[[#This Row],[R1]:[R4]]))</f>
        <v>184</v>
      </c>
      <c r="AE503" s="6">
        <f>IF(Eingabe[[#This Row],[F1]]="",IF(Eingabe[[#This Row],[Fehler alternativ]]="","",Eingabe[[#This Row],[Fehler alternativ]]),SUM(Eingabe[[#This Row],[F1]:[F4]]))</f>
        <v>4</v>
      </c>
      <c r="AF503" s="6">
        <f>IF(Eingabe[[#This Row],[Volle]]="","",IF(Eingabe[[#This Row],[S1]]="",Eingabe[[#This Row],[Volle]]+Eingabe[[#This Row],[Räumer]],IF(Eingabe[[#This Row],[Volle]]+Eingabe[[#This Row],[Räumer]]=Eingabe[[#This Row],[S1]]+Eingabe[[#This Row],[S2]]+Eingabe[[#This Row],[S3]]+Eingabe[[#This Row],[S4]],Eingabe[[#This Row],[Volle]]+Eingabe[[#This Row],[Räumer]],"FEHLER")))</f>
        <v>542</v>
      </c>
      <c r="AG503" s="6">
        <f>IF(Eingabe[[#This Row],[V1]]="","",Eingabe[[#This Row],[V1]]+Eingabe[[#This Row],[R1]])</f>
        <v>139</v>
      </c>
      <c r="AH503" s="6">
        <f>IF(Eingabe[[#This Row],[V2]]="","",Eingabe[[#This Row],[V2]]+Eingabe[[#This Row],[R2]])</f>
        <v>124</v>
      </c>
      <c r="AI503" s="6">
        <f>IF(Eingabe[[#This Row],[V3]]="","",Eingabe[[#This Row],[V3]]+Eingabe[[#This Row],[R3]])</f>
        <v>135</v>
      </c>
      <c r="AJ503" s="6">
        <f>IF(Eingabe[[#This Row],[V4]]="","",Eingabe[[#This Row],[V4]]+Eingabe[[#This Row],[R4]])</f>
        <v>144</v>
      </c>
      <c r="AK503" s="6" t="str">
        <f>IF(Eingabe[[#This Row],[S1P]]="","",Eingabe[[#This Row],[S1P]]+Eingabe[[#This Row],[S2P]]+Eingabe[[#This Row],[S3P]]+Eingabe[[#This Row],[S4P]])</f>
        <v/>
      </c>
      <c r="AL503" s="6" t="str">
        <f>IF(Eingabe[[#This Row],[S1P]]="","",IF(Eingabe[[#This Row],[SP]]&gt;2,1,IF(Eingabe[[#This Row],[SP]]&lt;2,0,IF(Eingabe[[#This Row],[GES]]&gt;Eingabe[[#This Row],[GEGGES]],1,IF(Eingabe[[#This Row],[GES]]=Eingabe[[#This Row],[GEGGES]],0.5,0)))))</f>
        <v/>
      </c>
      <c r="AM503" s="6" t="str">
        <f>IF(Eingabe[[#This Row],[MP]]="","",MOD(ROW(Eingabe[[#This Row],[Position]])-3,6)+1)</f>
        <v/>
      </c>
      <c r="AN503" s="6">
        <f>STANDARDIZE(Eingabe[[#This Row],[GES]],Eingabe[[#This Row],[Schnitt]],VLOOKUP(Eingabe[[#This Row],[Name]],AuswertungG[],21,FALSE))</f>
        <v>0.4</v>
      </c>
      <c r="AO503" s="6">
        <f>VLOOKUP(Eingabe[[#This Row],[ID]],Chronologie[[ID]:[KW]],12,FALSE)</f>
        <v>19</v>
      </c>
      <c r="AP503" s="95" t="str">
        <f>IF(Eingabe[[#This Row],[Wo]]="H",Eingabe[[#This Row],[Gegner]]&amp;" ["&amp;Eingabe[[#This Row],[Wo]]&amp;"]",Eingabe[[#This Row],[Ort]])</f>
        <v>Hirschfelder SV [H]</v>
      </c>
      <c r="AQ503" s="6" t="str">
        <f>IFERROR(IF(Eingabe[[#This Row],[Wo]]="H",IF(MOD(Eingabe[[#This Row],[Position]],2)=1,Eingabe[[#This Row],[S1]],Eingabe[[#This Row],[S4]]),""),"")</f>
        <v/>
      </c>
      <c r="AR503" s="6" t="str">
        <f>IFERROR(IF(Eingabe[[#This Row],[Wo]]="H",IF(Eingabe[[#This Row],[S1]]&gt;0,IF(MOD(Eingabe[[#This Row],[Position]],2)=1,Eingabe[[#This Row],[S2]],Eingabe[[#This Row],[S3]]),""),""),"")</f>
        <v/>
      </c>
      <c r="AS503" s="6">
        <f>IFERROR(IF(Eingabe[[#This Row],[Wo]]="H",IF(Eingabe[[#This Row],[S1]]&gt;0,IF(MOD(ROW(Eingabe[[#This Row],[Heimbahn 3]]),2)=1,Eingabe[[#This Row],[S4]],Eingabe[[#This Row],[S1]]),""),""),"")</f>
        <v>144</v>
      </c>
      <c r="AT503" s="6">
        <f>IFERROR(IF(Eingabe[[#This Row],[Wo]]="H",IF(Eingabe[[#This Row],[S1]]&gt;0,IF(MOD(ROW(Eingabe[[#This Row],[Heimbahn 4]]),2)=1,Eingabe[[#This Row],[S3]],Eingabe[[#This Row],[S2]]),""),""),"")</f>
        <v>135</v>
      </c>
      <c r="AU503" s="22" t="str">
        <f>IF(Eingabe[[#This Row],[GES]]="","",IF(Eingabe[[#This Row],[Modus]]="L",_xlfn.RANK.EQ(Eingabe[[#This Row],[GES]],AF501:AF506),IF(Eingabe[[#This Row],[Modus]]="P",_xlfn.RANK.EQ(Eingabe[[#This Row],[GES]],AF501:AF506),"")))</f>
        <v/>
      </c>
      <c r="AV503" s="6">
        <f>VLOOKUP(Eingabe[[#This Row],[Name]],AuswertungG[],8,FALSE)</f>
        <v>532</v>
      </c>
      <c r="AZ503" s="6">
        <f>IFERROR(ABS(Eingabe[[#This Row],[GES]]-Eingabe[[#This Row],[GEGGES]]),"")</f>
        <v>542</v>
      </c>
    </row>
    <row r="504" spans="1:52" ht="16.2" hidden="1" thickBot="1" x14ac:dyDescent="0.35">
      <c r="A504" s="441"/>
      <c r="B504" s="21">
        <f t="shared" si="50"/>
        <v>84</v>
      </c>
      <c r="C504" s="6" t="str">
        <f>VLOOKUP($B504,Chronologie[],7,TRUE)</f>
        <v>Hirschfelder SV</v>
      </c>
      <c r="D504" s="6" t="str">
        <f>VLOOKUP($B504,Chronologie[],8,TRUE)</f>
        <v>Hirschfeld</v>
      </c>
      <c r="E504" s="240" t="str">
        <f>VLOOKUP($B504,Chronologie[],9,TRUE)</f>
        <v>H</v>
      </c>
      <c r="F504" s="6" t="str">
        <f>VLOOKUP($B504,Chronologie[],COLUMN(F505)-2,TRUE)</f>
        <v>U19</v>
      </c>
      <c r="G504" s="6" t="str">
        <f>VLOOKUP($B504,Chronologie[],COLUMN(G505)-2,TRUE)</f>
        <v>KEM</v>
      </c>
      <c r="H504" s="6" t="str">
        <f>VLOOKUP($B504,Chronologie[],COLUMN(H505)-2,TRUE)</f>
        <v>V</v>
      </c>
      <c r="I504" s="10" t="str">
        <f>VLOOKUP($B504,Chronologie[],2,TRUE)</f>
        <v>U19-KEM-V</v>
      </c>
      <c r="J504" s="243">
        <f>VLOOKUP($B504,Chronologie[],3,TRUE)</f>
        <v>46025</v>
      </c>
      <c r="K504" s="238" t="s">
        <v>474</v>
      </c>
      <c r="L504" s="237">
        <v>92</v>
      </c>
      <c r="M504" s="237">
        <v>87</v>
      </c>
      <c r="N504" s="237">
        <v>89</v>
      </c>
      <c r="O504" s="237">
        <v>84</v>
      </c>
      <c r="P504" s="237">
        <v>62</v>
      </c>
      <c r="Q504" s="237">
        <v>35</v>
      </c>
      <c r="R504" s="237">
        <v>35</v>
      </c>
      <c r="S504" s="237">
        <v>36</v>
      </c>
      <c r="T504" s="237">
        <v>1</v>
      </c>
      <c r="U504" s="237">
        <v>1</v>
      </c>
      <c r="V504" s="237">
        <v>4</v>
      </c>
      <c r="W504" s="237">
        <v>4</v>
      </c>
      <c r="X504" s="38"/>
      <c r="Y504" s="38"/>
      <c r="Z504" s="38"/>
      <c r="AA504" s="38"/>
      <c r="AB504" s="91"/>
      <c r="AC504" s="94">
        <f>IF(Eingabe[[#This Row],[V1]]="",IF(Eingabe[[#This Row],[Volle alternativ]]="","",Eingabe[[#This Row],[Volle alternativ]]),SUM(Eingabe[[#This Row],[V1]:[V4]]))</f>
        <v>352</v>
      </c>
      <c r="AD504" s="6">
        <f>IF(Eingabe[[#This Row],[R1]]="",IF(Eingabe[[#This Row],[Räumer alternativ]]="","",Eingabe[[#This Row],[Räumer alternativ]]),SUM(Eingabe[[#This Row],[R1]:[R4]]))</f>
        <v>168</v>
      </c>
      <c r="AE504" s="6">
        <f>IF(Eingabe[[#This Row],[F1]]="",IF(Eingabe[[#This Row],[Fehler alternativ]]="","",Eingabe[[#This Row],[Fehler alternativ]]),SUM(Eingabe[[#This Row],[F1]:[F4]]))</f>
        <v>10</v>
      </c>
      <c r="AF504" s="6">
        <f>IF(Eingabe[[#This Row],[Volle]]="","",IF(Eingabe[[#This Row],[S1]]="",Eingabe[[#This Row],[Volle]]+Eingabe[[#This Row],[Räumer]],IF(Eingabe[[#This Row],[Volle]]+Eingabe[[#This Row],[Räumer]]=Eingabe[[#This Row],[S1]]+Eingabe[[#This Row],[S2]]+Eingabe[[#This Row],[S3]]+Eingabe[[#This Row],[S4]],Eingabe[[#This Row],[Volle]]+Eingabe[[#This Row],[Räumer]],"FEHLER")))</f>
        <v>520</v>
      </c>
      <c r="AG504" s="6">
        <f>IF(Eingabe[[#This Row],[V1]]="","",Eingabe[[#This Row],[V1]]+Eingabe[[#This Row],[R1]])</f>
        <v>154</v>
      </c>
      <c r="AH504" s="6">
        <f>IF(Eingabe[[#This Row],[V2]]="","",Eingabe[[#This Row],[V2]]+Eingabe[[#This Row],[R2]])</f>
        <v>122</v>
      </c>
      <c r="AI504" s="6">
        <f>IF(Eingabe[[#This Row],[V3]]="","",Eingabe[[#This Row],[V3]]+Eingabe[[#This Row],[R3]])</f>
        <v>124</v>
      </c>
      <c r="AJ504" s="6">
        <f>IF(Eingabe[[#This Row],[V4]]="","",Eingabe[[#This Row],[V4]]+Eingabe[[#This Row],[R4]])</f>
        <v>120</v>
      </c>
      <c r="AK504" s="6" t="str">
        <f>IF(Eingabe[[#This Row],[S1P]]="","",Eingabe[[#This Row],[S1P]]+Eingabe[[#This Row],[S2P]]+Eingabe[[#This Row],[S3P]]+Eingabe[[#This Row],[S4P]])</f>
        <v/>
      </c>
      <c r="AL504" s="6" t="str">
        <f>IF(Eingabe[[#This Row],[S1P]]="","",IF(Eingabe[[#This Row],[SP]]&gt;2,1,IF(Eingabe[[#This Row],[SP]]&lt;2,0,IF(Eingabe[[#This Row],[GES]]&gt;Eingabe[[#This Row],[GEGGES]],1,IF(Eingabe[[#This Row],[GES]]=Eingabe[[#This Row],[GEGGES]],0.5,0)))))</f>
        <v/>
      </c>
      <c r="AM504" s="6" t="str">
        <f>IF(Eingabe[[#This Row],[MP]]="","",MOD(ROW(Eingabe[[#This Row],[Position]])-3,6)+1)</f>
        <v/>
      </c>
      <c r="AN504" s="6">
        <f>STANDARDIZE(Eingabe[[#This Row],[GES]],Eingabe[[#This Row],[Schnitt]],VLOOKUP(Eingabe[[#This Row],[Name]],AuswertungG[],21,FALSE))</f>
        <v>0.61290322580645162</v>
      </c>
      <c r="AO504" s="6">
        <f>VLOOKUP(Eingabe[[#This Row],[ID]],Chronologie[[ID]:[KW]],12,FALSE)</f>
        <v>19</v>
      </c>
      <c r="AP504" s="95" t="str">
        <f>IF(Eingabe[[#This Row],[Wo]]="H",Eingabe[[#This Row],[Gegner]]&amp;" ["&amp;Eingabe[[#This Row],[Wo]]&amp;"]",Eingabe[[#This Row],[Ort]])</f>
        <v>Hirschfelder SV [H]</v>
      </c>
      <c r="AQ504" s="6" t="str">
        <f>IFERROR(IF(Eingabe[[#This Row],[Wo]]="H",IF(MOD(Eingabe[[#This Row],[Position]],2)=1,Eingabe[[#This Row],[S1]],Eingabe[[#This Row],[S4]]),""),"")</f>
        <v/>
      </c>
      <c r="AR504" s="6" t="str">
        <f>IFERROR(IF(Eingabe[[#This Row],[Wo]]="H",IF(Eingabe[[#This Row],[S1]]&gt;0,IF(MOD(Eingabe[[#This Row],[Position]],2)=1,Eingabe[[#This Row],[S2]],Eingabe[[#This Row],[S3]]),""),""),"")</f>
        <v/>
      </c>
      <c r="AS504" s="6">
        <f>IFERROR(IF(Eingabe[[#This Row],[Wo]]="H",IF(Eingabe[[#This Row],[S1]]&gt;0,IF(MOD(ROW(Eingabe[[#This Row],[Heimbahn 3]]),2)=1,Eingabe[[#This Row],[S4]],Eingabe[[#This Row],[S1]]),""),""),"")</f>
        <v>154</v>
      </c>
      <c r="AT504" s="6">
        <f>IFERROR(IF(Eingabe[[#This Row],[Wo]]="H",IF(Eingabe[[#This Row],[S1]]&gt;0,IF(MOD(ROW(Eingabe[[#This Row],[Heimbahn 4]]),2)=1,Eingabe[[#This Row],[S3]],Eingabe[[#This Row],[S2]]),""),""),"")</f>
        <v>122</v>
      </c>
      <c r="AU504" s="22" t="str">
        <f>IF(Eingabe[[#This Row],[GES]]="","",IF(Eingabe[[#This Row],[Modus]]="L",_xlfn.RANK.EQ(Eingabe[[#This Row],[GES]],AF501:AF506),IF(Eingabe[[#This Row],[Modus]]="P",_xlfn.RANK.EQ(Eingabe[[#This Row],[GES]],AF501:AF506),"")))</f>
        <v/>
      </c>
      <c r="AV504" s="6">
        <f>VLOOKUP(Eingabe[[#This Row],[Name]],AuswertungG[],8,FALSE)</f>
        <v>501</v>
      </c>
      <c r="AZ504" s="6">
        <f>IFERROR(ABS(Eingabe[[#This Row],[GES]]-Eingabe[[#This Row],[GEGGES]]),"")</f>
        <v>520</v>
      </c>
    </row>
    <row r="505" spans="1:52" ht="16.2" hidden="1" thickBot="1" x14ac:dyDescent="0.35">
      <c r="A505" s="441"/>
      <c r="B505" s="21">
        <f t="shared" si="50"/>
        <v>84</v>
      </c>
      <c r="C505" s="6" t="str">
        <f>VLOOKUP($B505,Chronologie[],7,TRUE)</f>
        <v>Hirschfelder SV</v>
      </c>
      <c r="D505" s="6" t="str">
        <f>VLOOKUP($B505,Chronologie[],8,TRUE)</f>
        <v>Hirschfeld</v>
      </c>
      <c r="E505" s="240" t="str">
        <f>VLOOKUP($B505,Chronologie[],9,TRUE)</f>
        <v>H</v>
      </c>
      <c r="F505" s="6" t="str">
        <f>VLOOKUP($B505,Chronologie[],COLUMN(F506)-2,TRUE)</f>
        <v>U19</v>
      </c>
      <c r="G505" s="6" t="str">
        <f>VLOOKUP($B505,Chronologie[],COLUMN(G506)-2,TRUE)</f>
        <v>KEM</v>
      </c>
      <c r="H505" s="6" t="str">
        <f>VLOOKUP($B505,Chronologie[],COLUMN(H506)-2,TRUE)</f>
        <v>V</v>
      </c>
      <c r="I505" s="10" t="str">
        <f>VLOOKUP($B505,Chronologie[],2,TRUE)</f>
        <v>U19-KEM-V</v>
      </c>
      <c r="J505" s="243">
        <f>VLOOKUP($B505,Chronologie[],3,TRUE)</f>
        <v>46025</v>
      </c>
      <c r="K505" s="237"/>
      <c r="L505" s="237"/>
      <c r="M505" s="237"/>
      <c r="N505" s="237"/>
      <c r="O505" s="237"/>
      <c r="P505" s="237"/>
      <c r="Q505" s="237"/>
      <c r="R505" s="237"/>
      <c r="S505" s="237"/>
      <c r="T505" s="237"/>
      <c r="U505" s="237"/>
      <c r="V505" s="237"/>
      <c r="W505" s="237"/>
      <c r="X505" s="38"/>
      <c r="Y505" s="38"/>
      <c r="Z505" s="38"/>
      <c r="AA505" s="38"/>
      <c r="AB505" s="91"/>
      <c r="AC505" s="94" t="str">
        <f>IF(Eingabe[[#This Row],[V1]]="",IF(Eingabe[[#This Row],[Volle alternativ]]="","",Eingabe[[#This Row],[Volle alternativ]]),SUM(Eingabe[[#This Row],[V1]:[V4]]))</f>
        <v/>
      </c>
      <c r="AD505" s="6" t="str">
        <f>IF(Eingabe[[#This Row],[R1]]="",IF(Eingabe[[#This Row],[Räumer alternativ]]="","",Eingabe[[#This Row],[Räumer alternativ]]),SUM(Eingabe[[#This Row],[R1]:[R4]]))</f>
        <v/>
      </c>
      <c r="AE505" s="6" t="str">
        <f>IF(Eingabe[[#This Row],[F1]]="",IF(Eingabe[[#This Row],[Fehler alternativ]]="","",Eingabe[[#This Row],[Fehler alternativ]]),SUM(Eingabe[[#This Row],[F1]:[F4]]))</f>
        <v/>
      </c>
      <c r="AF505" s="6" t="str">
        <f>IF(Eingabe[[#This Row],[Volle]]="","",IF(Eingabe[[#This Row],[S1]]="",Eingabe[[#This Row],[Volle]]+Eingabe[[#This Row],[Räumer]],IF(Eingabe[[#This Row],[Volle]]+Eingabe[[#This Row],[Räumer]]=Eingabe[[#This Row],[S1]]+Eingabe[[#This Row],[S2]]+Eingabe[[#This Row],[S3]]+Eingabe[[#This Row],[S4]],Eingabe[[#This Row],[Volle]]+Eingabe[[#This Row],[Räumer]],"FEHLER")))</f>
        <v/>
      </c>
      <c r="AG505" s="6" t="str">
        <f>IF(Eingabe[[#This Row],[V1]]="","",Eingabe[[#This Row],[V1]]+Eingabe[[#This Row],[R1]])</f>
        <v/>
      </c>
      <c r="AH505" s="6" t="str">
        <f>IF(Eingabe[[#This Row],[V2]]="","",Eingabe[[#This Row],[V2]]+Eingabe[[#This Row],[R2]])</f>
        <v/>
      </c>
      <c r="AI505" s="6" t="str">
        <f>IF(Eingabe[[#This Row],[V3]]="","",Eingabe[[#This Row],[V3]]+Eingabe[[#This Row],[R3]])</f>
        <v/>
      </c>
      <c r="AJ505" s="6" t="str">
        <f>IF(Eingabe[[#This Row],[V4]]="","",Eingabe[[#This Row],[V4]]+Eingabe[[#This Row],[R4]])</f>
        <v/>
      </c>
      <c r="AK505" s="6" t="str">
        <f>IF(Eingabe[[#This Row],[S1P]]="","",Eingabe[[#This Row],[S1P]]+Eingabe[[#This Row],[S2P]]+Eingabe[[#This Row],[S3P]]+Eingabe[[#This Row],[S4P]])</f>
        <v/>
      </c>
      <c r="AL505" s="6" t="str">
        <f>IF(Eingabe[[#This Row],[S1P]]="","",IF(Eingabe[[#This Row],[SP]]&gt;2,1,IF(Eingabe[[#This Row],[SP]]&lt;2,0,IF(Eingabe[[#This Row],[GES]]&gt;Eingabe[[#This Row],[GEGGES]],1,IF(Eingabe[[#This Row],[GES]]=Eingabe[[#This Row],[GEGGES]],0.5,0)))))</f>
        <v/>
      </c>
      <c r="AM505" s="6" t="str">
        <f>IF(Eingabe[[#This Row],[MP]]="","",MOD(ROW(Eingabe[[#This Row],[Position]])-3,6)+1)</f>
        <v/>
      </c>
      <c r="AN505" s="6" t="e">
        <f>STANDARDIZE(Eingabe[[#This Row],[GES]],Eingabe[[#This Row],[Schnitt]],VLOOKUP(Eingabe[[#This Row],[Name]],AuswertungG[],21,FALSE))</f>
        <v>#VALUE!</v>
      </c>
      <c r="AO505" s="6">
        <f>VLOOKUP(Eingabe[[#This Row],[ID]],Chronologie[[ID]:[KW]],12,FALSE)</f>
        <v>19</v>
      </c>
      <c r="AP505" s="95" t="str">
        <f>IF(Eingabe[[#This Row],[Wo]]="H",Eingabe[[#This Row],[Gegner]]&amp;" ["&amp;Eingabe[[#This Row],[Wo]]&amp;"]",Eingabe[[#This Row],[Ort]])</f>
        <v>Hirschfelder SV [H]</v>
      </c>
      <c r="AQ505" s="6" t="str">
        <f>IFERROR(IF(Eingabe[[#This Row],[Wo]]="H",IF(MOD(Eingabe[[#This Row],[Position]],2)=1,Eingabe[[#This Row],[S1]],Eingabe[[#This Row],[S4]]),""),"")</f>
        <v/>
      </c>
      <c r="AR505" s="6" t="str">
        <f>IFERROR(IF(Eingabe[[#This Row],[Wo]]="H",IF(Eingabe[[#This Row],[S1]]&gt;0,IF(MOD(Eingabe[[#This Row],[Position]],2)=1,Eingabe[[#This Row],[S2]],Eingabe[[#This Row],[S3]]),""),""),"")</f>
        <v/>
      </c>
      <c r="AS505" s="6" t="str">
        <f>IFERROR(IF(Eingabe[[#This Row],[Wo]]="H",IF(Eingabe[[#This Row],[S1]]&gt;0,IF(MOD(ROW(Eingabe[[#This Row],[Heimbahn 3]]),2)=1,Eingabe[[#This Row],[S4]],Eingabe[[#This Row],[S1]]),""),""),"")</f>
        <v/>
      </c>
      <c r="AT505" s="6" t="str">
        <f>IFERROR(IF(Eingabe[[#This Row],[Wo]]="H",IF(Eingabe[[#This Row],[S1]]&gt;0,IF(MOD(ROW(Eingabe[[#This Row],[Heimbahn 4]]),2)=1,Eingabe[[#This Row],[S3]],Eingabe[[#This Row],[S2]]),""),""),"")</f>
        <v/>
      </c>
      <c r="AU505" s="22" t="str">
        <f>IF(Eingabe[[#This Row],[GES]]="","",IF(Eingabe[[#This Row],[Modus]]="L",_xlfn.RANK.EQ(Eingabe[[#This Row],[GES]],AF501:AF506),IF(Eingabe[[#This Row],[Modus]]="P",_xlfn.RANK.EQ(Eingabe[[#This Row],[GES]],AF501:AF506),"")))</f>
        <v/>
      </c>
      <c r="AV505" s="6" t="e">
        <f>VLOOKUP(Eingabe[[#This Row],[Name]],AuswertungG[],8,FALSE)</f>
        <v>#N/A</v>
      </c>
      <c r="AZ505" s="6" t="str">
        <f>IFERROR(ABS(Eingabe[[#This Row],[GES]]-Eingabe[[#This Row],[GEGGES]]),"")</f>
        <v/>
      </c>
    </row>
    <row r="506" spans="1:52" ht="16.2" hidden="1" thickBot="1" x14ac:dyDescent="0.35">
      <c r="A506" s="442"/>
      <c r="B506" s="56">
        <f t="shared" si="50"/>
        <v>84</v>
      </c>
      <c r="C506" s="23" t="str">
        <f>VLOOKUP($B506,Chronologie[],7,TRUE)</f>
        <v>Hirschfelder SV</v>
      </c>
      <c r="D506" s="23" t="str">
        <f>VLOOKUP($B506,Chronologie[],8,TRUE)</f>
        <v>Hirschfeld</v>
      </c>
      <c r="E506" s="39" t="str">
        <f>VLOOKUP($B506,Chronologie[],9,TRUE)</f>
        <v>H</v>
      </c>
      <c r="F506" s="23" t="str">
        <f>VLOOKUP($B506,Chronologie[],COLUMN(F507)-2,TRUE)</f>
        <v>U19</v>
      </c>
      <c r="G506" s="23" t="str">
        <f>VLOOKUP($B506,Chronologie[],COLUMN(G507)-2,TRUE)</f>
        <v>KEM</v>
      </c>
      <c r="H506" s="23" t="str">
        <f>VLOOKUP($B506,Chronologie[],COLUMN(H507)-2,TRUE)</f>
        <v>V</v>
      </c>
      <c r="I506" s="13" t="str">
        <f>VLOOKUP($B506,Chronologie[],2,TRUE)</f>
        <v>U19-KEM-V</v>
      </c>
      <c r="J506" s="244">
        <f>VLOOKUP($B506,Chronologie[],3,TRUE)</f>
        <v>46025</v>
      </c>
      <c r="K506" s="239"/>
      <c r="L506" s="239"/>
      <c r="M506" s="239"/>
      <c r="N506" s="239"/>
      <c r="O506" s="239"/>
      <c r="P506" s="239"/>
      <c r="Q506" s="239"/>
      <c r="R506" s="239"/>
      <c r="S506" s="239"/>
      <c r="T506" s="239"/>
      <c r="U506" s="239"/>
      <c r="V506" s="239"/>
      <c r="W506" s="239"/>
      <c r="X506" s="40"/>
      <c r="Y506" s="40"/>
      <c r="Z506" s="40"/>
      <c r="AA506" s="40"/>
      <c r="AB506" s="92"/>
      <c r="AC506" s="96" t="str">
        <f>IF(Eingabe[[#This Row],[V1]]="",IF(Eingabe[[#This Row],[Volle alternativ]]="","",Eingabe[[#This Row],[Volle alternativ]]),SUM(Eingabe[[#This Row],[V1]:[V4]]))</f>
        <v/>
      </c>
      <c r="AD506" s="23" t="str">
        <f>IF(Eingabe[[#This Row],[R1]]="",IF(Eingabe[[#This Row],[Räumer alternativ]]="","",Eingabe[[#This Row],[Räumer alternativ]]),SUM(Eingabe[[#This Row],[R1]:[R4]]))</f>
        <v/>
      </c>
      <c r="AE506" s="23" t="str">
        <f>IF(Eingabe[[#This Row],[F1]]="",IF(Eingabe[[#This Row],[Fehler alternativ]]="","",Eingabe[[#This Row],[Fehler alternativ]]),SUM(Eingabe[[#This Row],[F1]:[F4]]))</f>
        <v/>
      </c>
      <c r="AF506" s="23" t="str">
        <f>IF(Eingabe[[#This Row],[Volle]]="","",IF(Eingabe[[#This Row],[S1]]="",Eingabe[[#This Row],[Volle]]+Eingabe[[#This Row],[Räumer]],IF(Eingabe[[#This Row],[Volle]]+Eingabe[[#This Row],[Räumer]]=Eingabe[[#This Row],[S1]]+Eingabe[[#This Row],[S2]]+Eingabe[[#This Row],[S3]]+Eingabe[[#This Row],[S4]],Eingabe[[#This Row],[Volle]]+Eingabe[[#This Row],[Räumer]],"FEHLER")))</f>
        <v/>
      </c>
      <c r="AG506" s="23" t="str">
        <f>IF(Eingabe[[#This Row],[V1]]="","",Eingabe[[#This Row],[V1]]+Eingabe[[#This Row],[R1]])</f>
        <v/>
      </c>
      <c r="AH506" s="23" t="str">
        <f>IF(Eingabe[[#This Row],[V2]]="","",Eingabe[[#This Row],[V2]]+Eingabe[[#This Row],[R2]])</f>
        <v/>
      </c>
      <c r="AI506" s="23" t="str">
        <f>IF(Eingabe[[#This Row],[V3]]="","",Eingabe[[#This Row],[V3]]+Eingabe[[#This Row],[R3]])</f>
        <v/>
      </c>
      <c r="AJ506" s="23" t="str">
        <f>IF(Eingabe[[#This Row],[V4]]="","",Eingabe[[#This Row],[V4]]+Eingabe[[#This Row],[R4]])</f>
        <v/>
      </c>
      <c r="AK506" s="23" t="str">
        <f>IF(Eingabe[[#This Row],[S1P]]="","",Eingabe[[#This Row],[S1P]]+Eingabe[[#This Row],[S2P]]+Eingabe[[#This Row],[S3P]]+Eingabe[[#This Row],[S4P]])</f>
        <v/>
      </c>
      <c r="AL506" s="23" t="str">
        <f>IF(Eingabe[[#This Row],[S1P]]="","",IF(Eingabe[[#This Row],[SP]]&gt;2,1,IF(Eingabe[[#This Row],[SP]]&lt;2,0,IF(Eingabe[[#This Row],[GES]]&gt;Eingabe[[#This Row],[GEGGES]],1,IF(Eingabe[[#This Row],[GES]]=Eingabe[[#This Row],[GEGGES]],0.5,0)))))</f>
        <v/>
      </c>
      <c r="AM506" s="23" t="str">
        <f>IF(Eingabe[[#This Row],[MP]]="","",MOD(ROW(Eingabe[[#This Row],[Position]])-3,6)+1)</f>
        <v/>
      </c>
      <c r="AN506" s="23" t="e">
        <f>STANDARDIZE(Eingabe[[#This Row],[GES]],Eingabe[[#This Row],[Schnitt]],VLOOKUP(Eingabe[[#This Row],[Name]],AuswertungG[],21,FALSE))</f>
        <v>#VALUE!</v>
      </c>
      <c r="AO506" s="23">
        <f>VLOOKUP(Eingabe[[#This Row],[ID]],Chronologie[[ID]:[KW]],12,FALSE)</f>
        <v>19</v>
      </c>
      <c r="AP506" s="59" t="str">
        <f>IF(Eingabe[[#This Row],[Wo]]="H",Eingabe[[#This Row],[Gegner]]&amp;" ["&amp;Eingabe[[#This Row],[Wo]]&amp;"]",Eingabe[[#This Row],[Ort]])</f>
        <v>Hirschfelder SV [H]</v>
      </c>
      <c r="AQ506" s="23" t="str">
        <f>IFERROR(IF(Eingabe[[#This Row],[Wo]]="H",IF(MOD(Eingabe[[#This Row],[Position]],2)=1,Eingabe[[#This Row],[S1]],Eingabe[[#This Row],[S4]]),""),"")</f>
        <v/>
      </c>
      <c r="AR506" s="23" t="str">
        <f>IFERROR(IF(Eingabe[[#This Row],[Wo]]="H",IF(Eingabe[[#This Row],[S1]]&gt;0,IF(MOD(Eingabe[[#This Row],[Position]],2)=1,Eingabe[[#This Row],[S2]],Eingabe[[#This Row],[S3]]),""),""),"")</f>
        <v/>
      </c>
      <c r="AS506" s="23" t="str">
        <f>IFERROR(IF(Eingabe[[#This Row],[Wo]]="H",IF(Eingabe[[#This Row],[S1]]&gt;0,IF(MOD(ROW(Eingabe[[#This Row],[Heimbahn 3]]),2)=1,Eingabe[[#This Row],[S4]],Eingabe[[#This Row],[S1]]),""),""),"")</f>
        <v/>
      </c>
      <c r="AT506" s="23" t="str">
        <f>IFERROR(IF(Eingabe[[#This Row],[Wo]]="H",IF(Eingabe[[#This Row],[S1]]&gt;0,IF(MOD(ROW(Eingabe[[#This Row],[Heimbahn 4]]),2)=1,Eingabe[[#This Row],[S3]],Eingabe[[#This Row],[S2]]),""),""),"")</f>
        <v/>
      </c>
      <c r="AU506" s="89" t="str">
        <f>IF(Eingabe[[#This Row],[GES]]="","",IF(Eingabe[[#This Row],[Modus]]="L",_xlfn.RANK.EQ(Eingabe[[#This Row],[GES]],AF501:AF506),IF(Eingabe[[#This Row],[Modus]]="P",_xlfn.RANK.EQ(Eingabe[[#This Row],[GES]],AF501:AF506),"")))</f>
        <v/>
      </c>
      <c r="AV506" s="6" t="e">
        <f>VLOOKUP(Eingabe[[#This Row],[Name]],AuswertungG[],8,FALSE)</f>
        <v>#N/A</v>
      </c>
      <c r="AZ506" s="6" t="str">
        <f>IFERROR(ABS(Eingabe[[#This Row],[GES]]-Eingabe[[#This Row],[GEGGES]]),"")</f>
        <v/>
      </c>
    </row>
    <row r="507" spans="1:52" ht="16.2" hidden="1" thickBot="1" x14ac:dyDescent="0.35">
      <c r="A507" s="440">
        <f t="shared" si="49"/>
        <v>85</v>
      </c>
      <c r="B507" s="55">
        <f t="shared" si="50"/>
        <v>85</v>
      </c>
      <c r="C507" s="35" t="str">
        <f>VLOOKUP($B507,Chronologie[],7,TRUE)</f>
        <v>TuS 1875 Großschirma</v>
      </c>
      <c r="D507" s="35" t="str">
        <f>VLOOKUP($B507,Chronologie[],8,TRUE)</f>
        <v>Großschirma</v>
      </c>
      <c r="E507" s="36" t="str">
        <f>VLOOKUP($B507,Chronologie[],9,TRUE)</f>
        <v>A</v>
      </c>
      <c r="F507" s="35" t="str">
        <f>VLOOKUP($B507,Chronologie[],COLUMN(F508)-2,TRUE)</f>
        <v>U23</v>
      </c>
      <c r="G507" s="35" t="str">
        <f>VLOOKUP($B507,Chronologie[],COLUMN(G508)-2,TRUE)</f>
        <v>KEM</v>
      </c>
      <c r="H507" s="35" t="str">
        <f>VLOOKUP($B507,Chronologie[],COLUMN(H508)-2,TRUE)</f>
        <v>V</v>
      </c>
      <c r="I507" s="9" t="str">
        <f>VLOOKUP($B507,Chronologie[],2,TRUE)</f>
        <v>U23-KEM-V</v>
      </c>
      <c r="J507" s="242">
        <f>VLOOKUP($B507,Chronologie[],3,TRUE)</f>
        <v>46032</v>
      </c>
      <c r="K507" s="236" t="s">
        <v>464</v>
      </c>
      <c r="L507" s="334">
        <v>100</v>
      </c>
      <c r="M507" s="334">
        <v>81</v>
      </c>
      <c r="N507" s="334">
        <v>95</v>
      </c>
      <c r="O507" s="334">
        <v>87</v>
      </c>
      <c r="P507" s="334">
        <v>36</v>
      </c>
      <c r="Q507" s="334">
        <v>53</v>
      </c>
      <c r="R507" s="334">
        <v>52</v>
      </c>
      <c r="S507" s="334">
        <v>29</v>
      </c>
      <c r="T507" s="334">
        <v>1</v>
      </c>
      <c r="U507" s="334">
        <v>0</v>
      </c>
      <c r="V507" s="334">
        <v>0</v>
      </c>
      <c r="W507" s="334">
        <v>4</v>
      </c>
      <c r="X507" s="37"/>
      <c r="Y507" s="37"/>
      <c r="Z507" s="37"/>
      <c r="AA507" s="37"/>
      <c r="AB507" s="90"/>
      <c r="AC507" s="93">
        <f>IF(Eingabe[[#This Row],[V1]]="",IF(Eingabe[[#This Row],[Volle alternativ]]="","",Eingabe[[#This Row],[Volle alternativ]]),SUM(Eingabe[[#This Row],[V1]:[V4]]))</f>
        <v>363</v>
      </c>
      <c r="AD507" s="35">
        <f>IF(Eingabe[[#This Row],[R1]]="",IF(Eingabe[[#This Row],[Räumer alternativ]]="","",Eingabe[[#This Row],[Räumer alternativ]]),SUM(Eingabe[[#This Row],[R1]:[R4]]))</f>
        <v>170</v>
      </c>
      <c r="AE507" s="35">
        <f>IF(Eingabe[[#This Row],[F1]]="",IF(Eingabe[[#This Row],[Fehler alternativ]]="","",Eingabe[[#This Row],[Fehler alternativ]]),SUM(Eingabe[[#This Row],[F1]:[F4]]))</f>
        <v>5</v>
      </c>
      <c r="AF507" s="35">
        <f>IF(Eingabe[[#This Row],[Volle]]="","",IF(Eingabe[[#This Row],[S1]]="",Eingabe[[#This Row],[Volle]]+Eingabe[[#This Row],[Räumer]],IF(Eingabe[[#This Row],[Volle]]+Eingabe[[#This Row],[Räumer]]=Eingabe[[#This Row],[S1]]+Eingabe[[#This Row],[S2]]+Eingabe[[#This Row],[S3]]+Eingabe[[#This Row],[S4]],Eingabe[[#This Row],[Volle]]+Eingabe[[#This Row],[Räumer]],"FEHLER")))</f>
        <v>533</v>
      </c>
      <c r="AG507" s="35">
        <f>IF(Eingabe[[#This Row],[V1]]="","",Eingabe[[#This Row],[V1]]+Eingabe[[#This Row],[R1]])</f>
        <v>136</v>
      </c>
      <c r="AH507" s="35">
        <f>IF(Eingabe[[#This Row],[V2]]="","",Eingabe[[#This Row],[V2]]+Eingabe[[#This Row],[R2]])</f>
        <v>134</v>
      </c>
      <c r="AI507" s="35">
        <f>IF(Eingabe[[#This Row],[V3]]="","",Eingabe[[#This Row],[V3]]+Eingabe[[#This Row],[R3]])</f>
        <v>147</v>
      </c>
      <c r="AJ507" s="35">
        <f>IF(Eingabe[[#This Row],[V4]]="","",Eingabe[[#This Row],[V4]]+Eingabe[[#This Row],[R4]])</f>
        <v>116</v>
      </c>
      <c r="AK507" s="35" t="str">
        <f>IF(Eingabe[[#This Row],[S1P]]="","",Eingabe[[#This Row],[S1P]]+Eingabe[[#This Row],[S2P]]+Eingabe[[#This Row],[S3P]]+Eingabe[[#This Row],[S4P]])</f>
        <v/>
      </c>
      <c r="AL507" s="35" t="str">
        <f>IF(Eingabe[[#This Row],[S1P]]="","",IF(Eingabe[[#This Row],[SP]]&gt;2,1,IF(Eingabe[[#This Row],[SP]]&lt;2,0,IF(Eingabe[[#This Row],[GES]]&gt;Eingabe[[#This Row],[GEGGES]],1,IF(Eingabe[[#This Row],[GES]]=Eingabe[[#This Row],[GEGGES]],0.5,0)))))</f>
        <v/>
      </c>
      <c r="AM507" s="35" t="str">
        <f>IF(Eingabe[[#This Row],[MP]]="","",MOD(ROW(Eingabe[[#This Row],[Position]])-3,6)+1)</f>
        <v/>
      </c>
      <c r="AN507" s="35">
        <f>STANDARDIZE(Eingabe[[#This Row],[GES]],Eingabe[[#This Row],[Schnitt]],VLOOKUP(Eingabe[[#This Row],[Name]],AuswertungG[],21,FALSE))</f>
        <v>1.1176470588235294</v>
      </c>
      <c r="AO507" s="35">
        <f>VLOOKUP(Eingabe[[#This Row],[ID]],Chronologie[[ID]:[KW]],12,FALSE)</f>
        <v>20</v>
      </c>
      <c r="AP507" s="58" t="str">
        <f>IF(Eingabe[[#This Row],[Wo]]="H",Eingabe[[#This Row],[Gegner]]&amp;" ["&amp;Eingabe[[#This Row],[Wo]]&amp;"]",Eingabe[[#This Row],[Ort]])</f>
        <v>Großschirma</v>
      </c>
      <c r="AQ507" s="35" t="str">
        <f>IFERROR(IF(Eingabe[[#This Row],[Wo]]="H",IF(MOD(Eingabe[[#This Row],[Position]],2)=1,Eingabe[[#This Row],[S1]],Eingabe[[#This Row],[S4]]),""),"")</f>
        <v/>
      </c>
      <c r="AR507" s="35" t="str">
        <f>IFERROR(IF(Eingabe[[#This Row],[Wo]]="H",IF(Eingabe[[#This Row],[S1]]&gt;0,IF(MOD(Eingabe[[#This Row],[Position]],2)=1,Eingabe[[#This Row],[S2]],Eingabe[[#This Row],[S3]]),""),""),"")</f>
        <v/>
      </c>
      <c r="AS507" s="35" t="str">
        <f>IFERROR(IF(Eingabe[[#This Row],[Wo]]="H",IF(Eingabe[[#This Row],[S1]]&gt;0,IF(MOD(ROW(Eingabe[[#This Row],[Heimbahn 3]]),2)=1,Eingabe[[#This Row],[S4]],Eingabe[[#This Row],[S1]]),""),""),"")</f>
        <v/>
      </c>
      <c r="AT507" s="35" t="str">
        <f>IFERROR(IF(Eingabe[[#This Row],[Wo]]="H",IF(Eingabe[[#This Row],[S1]]&gt;0,IF(MOD(ROW(Eingabe[[#This Row],[Heimbahn 4]]),2)=1,Eingabe[[#This Row],[S3]],Eingabe[[#This Row],[S2]]),""),""),"")</f>
        <v/>
      </c>
      <c r="AU507" s="88" t="str">
        <f>IF(Eingabe[[#This Row],[GES]]="","",IF(Eingabe[[#This Row],[Modus]]="L",_xlfn.RANK.EQ(Eingabe[[#This Row],[GES]],AF507:AF512),IF(Eingabe[[#This Row],[Modus]]="P",_xlfn.RANK.EQ(Eingabe[[#This Row],[GES]],AF507:AF512),"")))</f>
        <v/>
      </c>
      <c r="AV507" s="6">
        <f>VLOOKUP(Eingabe[[#This Row],[Name]],AuswertungG[],8,FALSE)</f>
        <v>495</v>
      </c>
      <c r="AZ507" s="6">
        <f>IFERROR(ABS(Eingabe[[#This Row],[GES]]-Eingabe[[#This Row],[GEGGES]]),"")</f>
        <v>533</v>
      </c>
    </row>
    <row r="508" spans="1:52" ht="16.2" hidden="1" thickBot="1" x14ac:dyDescent="0.35">
      <c r="A508" s="441"/>
      <c r="B508" s="21">
        <f t="shared" si="50"/>
        <v>85</v>
      </c>
      <c r="C508" s="6" t="str">
        <f>VLOOKUP($B508,Chronologie[],7,TRUE)</f>
        <v>TuS 1875 Großschirma</v>
      </c>
      <c r="D508" s="6" t="str">
        <f>VLOOKUP($B508,Chronologie[],8,TRUE)</f>
        <v>Großschirma</v>
      </c>
      <c r="E508" s="240" t="str">
        <f>VLOOKUP($B508,Chronologie[],9,TRUE)</f>
        <v>A</v>
      </c>
      <c r="F508" s="6" t="str">
        <f>VLOOKUP($B508,Chronologie[],COLUMN(F509)-2,TRUE)</f>
        <v>U23</v>
      </c>
      <c r="G508" s="6" t="str">
        <f>VLOOKUP($B508,Chronologie[],COLUMN(G509)-2,TRUE)</f>
        <v>KEM</v>
      </c>
      <c r="H508" s="6" t="str">
        <f>VLOOKUP($B508,Chronologie[],COLUMN(H509)-2,TRUE)</f>
        <v>V</v>
      </c>
      <c r="I508" s="10" t="str">
        <f>VLOOKUP($B508,Chronologie[],2,TRUE)</f>
        <v>U23-KEM-V</v>
      </c>
      <c r="J508" s="243">
        <f>VLOOKUP($B508,Chronologie[],3,TRUE)</f>
        <v>46032</v>
      </c>
      <c r="K508" s="237" t="s">
        <v>478</v>
      </c>
      <c r="L508" s="237"/>
      <c r="M508" s="237"/>
      <c r="N508" s="237"/>
      <c r="O508" s="237"/>
      <c r="P508" s="237"/>
      <c r="Q508" s="237"/>
      <c r="R508" s="237"/>
      <c r="S508" s="237"/>
      <c r="T508" s="237"/>
      <c r="U508" s="237"/>
      <c r="V508" s="237"/>
      <c r="W508" s="237"/>
      <c r="X508" s="38"/>
      <c r="Y508" s="38"/>
      <c r="Z508" s="38"/>
      <c r="AA508" s="38"/>
      <c r="AB508" s="91"/>
      <c r="AC508" s="94">
        <f>IF(Eingabe[[#This Row],[V1]]="",IF(Eingabe[[#This Row],[Volle alternativ]]="","",Eingabe[[#This Row],[Volle alternativ]]),SUM(Eingabe[[#This Row],[V1]:[V4]]))</f>
        <v>346</v>
      </c>
      <c r="AD508" s="6">
        <f>IF(Eingabe[[#This Row],[R1]]="",IF(Eingabe[[#This Row],[Räumer alternativ]]="","",Eingabe[[#This Row],[Räumer alternativ]]),SUM(Eingabe[[#This Row],[R1]:[R4]]))</f>
        <v>191</v>
      </c>
      <c r="AE508" s="6">
        <f>IF(Eingabe[[#This Row],[F1]]="",IF(Eingabe[[#This Row],[Fehler alternativ]]="","",Eingabe[[#This Row],[Fehler alternativ]]),SUM(Eingabe[[#This Row],[F1]:[F4]]))</f>
        <v>8</v>
      </c>
      <c r="AF508" s="6">
        <f>IF(Eingabe[[#This Row],[Volle]]="","",IF(Eingabe[[#This Row],[S1]]="",Eingabe[[#This Row],[Volle]]+Eingabe[[#This Row],[Räumer]],IF(Eingabe[[#This Row],[Volle]]+Eingabe[[#This Row],[Räumer]]=Eingabe[[#This Row],[S1]]+Eingabe[[#This Row],[S2]]+Eingabe[[#This Row],[S3]]+Eingabe[[#This Row],[S4]],Eingabe[[#This Row],[Volle]]+Eingabe[[#This Row],[Räumer]],"FEHLER")))</f>
        <v>537</v>
      </c>
      <c r="AG508" s="6" t="str">
        <f>IF(Eingabe[[#This Row],[V1]]="","",Eingabe[[#This Row],[V1]]+Eingabe[[#This Row],[R1]])</f>
        <v/>
      </c>
      <c r="AH508" s="6" t="str">
        <f>IF(Eingabe[[#This Row],[V2]]="","",Eingabe[[#This Row],[V2]]+Eingabe[[#This Row],[R2]])</f>
        <v/>
      </c>
      <c r="AI508" s="6" t="str">
        <f>IF(Eingabe[[#This Row],[V3]]="","",Eingabe[[#This Row],[V3]]+Eingabe[[#This Row],[R3]])</f>
        <v/>
      </c>
      <c r="AJ508" s="6" t="str">
        <f>IF(Eingabe[[#This Row],[V4]]="","",Eingabe[[#This Row],[V4]]+Eingabe[[#This Row],[R4]])</f>
        <v/>
      </c>
      <c r="AK508" s="6" t="str">
        <f>IF(Eingabe[[#This Row],[S1P]]="","",Eingabe[[#This Row],[S1P]]+Eingabe[[#This Row],[S2P]]+Eingabe[[#This Row],[S3P]]+Eingabe[[#This Row],[S4P]])</f>
        <v/>
      </c>
      <c r="AL508" s="6" t="str">
        <f>IF(Eingabe[[#This Row],[S1P]]="","",IF(Eingabe[[#This Row],[SP]]&gt;2,1,IF(Eingabe[[#This Row],[SP]]&lt;2,0,IF(Eingabe[[#This Row],[GES]]&gt;Eingabe[[#This Row],[GEGGES]],1,IF(Eingabe[[#This Row],[GES]]=Eingabe[[#This Row],[GEGGES]],0.5,0)))))</f>
        <v/>
      </c>
      <c r="AM508" s="6" t="str">
        <f>IF(Eingabe[[#This Row],[MP]]="","",MOD(ROW(Eingabe[[#This Row],[Position]])-3,6)+1)</f>
        <v/>
      </c>
      <c r="AN508" s="6">
        <f>STANDARDIZE(Eingabe[[#This Row],[GES]],Eingabe[[#This Row],[Schnitt]],VLOOKUP(Eingabe[[#This Row],[Name]],AuswertungG[],21,FALSE))</f>
        <v>0.45</v>
      </c>
      <c r="AO508" s="6">
        <f>VLOOKUP(Eingabe[[#This Row],[ID]],Chronologie[[ID]:[KW]],12,FALSE)</f>
        <v>20</v>
      </c>
      <c r="AP508" s="95" t="str">
        <f>IF(Eingabe[[#This Row],[Wo]]="H",Eingabe[[#This Row],[Gegner]]&amp;" ["&amp;Eingabe[[#This Row],[Wo]]&amp;"]",Eingabe[[#This Row],[Ort]])</f>
        <v>Großschirma</v>
      </c>
      <c r="AQ508" s="6" t="str">
        <f>IFERROR(IF(Eingabe[[#This Row],[Wo]]="H",IF(MOD(Eingabe[[#This Row],[Position]],2)=1,Eingabe[[#This Row],[S1]],Eingabe[[#This Row],[S4]]),""),"")</f>
        <v/>
      </c>
      <c r="AR508" s="6" t="str">
        <f>IFERROR(IF(Eingabe[[#This Row],[Wo]]="H",IF(Eingabe[[#This Row],[S1]]&gt;0,IF(MOD(Eingabe[[#This Row],[Position]],2)=1,Eingabe[[#This Row],[S2]],Eingabe[[#This Row],[S3]]),""),""),"")</f>
        <v/>
      </c>
      <c r="AS508" s="6" t="str">
        <f>IFERROR(IF(Eingabe[[#This Row],[Wo]]="H",IF(Eingabe[[#This Row],[S1]]&gt;0,IF(MOD(ROW(Eingabe[[#This Row],[Heimbahn 3]]),2)=1,Eingabe[[#This Row],[S4]],Eingabe[[#This Row],[S1]]),""),""),"")</f>
        <v/>
      </c>
      <c r="AT508" s="6" t="str">
        <f>IFERROR(IF(Eingabe[[#This Row],[Wo]]="H",IF(Eingabe[[#This Row],[S1]]&gt;0,IF(MOD(ROW(Eingabe[[#This Row],[Heimbahn 4]]),2)=1,Eingabe[[#This Row],[S3]],Eingabe[[#This Row],[S2]]),""),""),"")</f>
        <v/>
      </c>
      <c r="AU508" s="22" t="str">
        <f>IF(Eingabe[[#This Row],[GES]]="","",IF(Eingabe[[#This Row],[Modus]]="L",_xlfn.RANK.EQ(Eingabe[[#This Row],[GES]],AF507:AF512),IF(Eingabe[[#This Row],[Modus]]="P",_xlfn.RANK.EQ(Eingabe[[#This Row],[GES]],AF507:AF512),"")))</f>
        <v/>
      </c>
      <c r="AV508" s="6">
        <f>VLOOKUP(Eingabe[[#This Row],[Name]],AuswertungG[],8,FALSE)</f>
        <v>528</v>
      </c>
      <c r="AW508" s="6">
        <v>346</v>
      </c>
      <c r="AX508" s="6">
        <v>191</v>
      </c>
      <c r="AY508" s="6">
        <v>8</v>
      </c>
      <c r="AZ508" s="6">
        <f>IFERROR(ABS(Eingabe[[#This Row],[GES]]-Eingabe[[#This Row],[GEGGES]]),"")</f>
        <v>537</v>
      </c>
    </row>
    <row r="509" spans="1:52" ht="16.2" hidden="1" thickBot="1" x14ac:dyDescent="0.35">
      <c r="A509" s="441"/>
      <c r="B509" s="21">
        <f t="shared" si="50"/>
        <v>85</v>
      </c>
      <c r="C509" s="6" t="str">
        <f>VLOOKUP($B509,Chronologie[],7,TRUE)</f>
        <v>TuS 1875 Großschirma</v>
      </c>
      <c r="D509" s="6" t="str">
        <f>VLOOKUP($B509,Chronologie[],8,TRUE)</f>
        <v>Großschirma</v>
      </c>
      <c r="E509" s="240" t="str">
        <f>VLOOKUP($B509,Chronologie[],9,TRUE)</f>
        <v>A</v>
      </c>
      <c r="F509" s="6" t="str">
        <f>VLOOKUP($B509,Chronologie[],COLUMN(F510)-2,TRUE)</f>
        <v>U23</v>
      </c>
      <c r="G509" s="6" t="str">
        <f>VLOOKUP($B509,Chronologie[],COLUMN(G510)-2,TRUE)</f>
        <v>KEM</v>
      </c>
      <c r="H509" s="6" t="str">
        <f>VLOOKUP($B509,Chronologie[],COLUMN(H510)-2,TRUE)</f>
        <v>V</v>
      </c>
      <c r="I509" s="10" t="str">
        <f>VLOOKUP($B509,Chronologie[],2,TRUE)</f>
        <v>U23-KEM-V</v>
      </c>
      <c r="J509" s="243">
        <f>VLOOKUP($B509,Chronologie[],3,TRUE)</f>
        <v>46032</v>
      </c>
      <c r="K509" s="237" t="s">
        <v>12</v>
      </c>
      <c r="L509" s="237"/>
      <c r="M509" s="237"/>
      <c r="N509" s="237"/>
      <c r="O509" s="237"/>
      <c r="P509" s="237"/>
      <c r="Q509" s="237"/>
      <c r="R509" s="237"/>
      <c r="S509" s="237"/>
      <c r="T509" s="237"/>
      <c r="U509" s="237"/>
      <c r="V509" s="237"/>
      <c r="W509" s="237"/>
      <c r="X509" s="38"/>
      <c r="Y509" s="38"/>
      <c r="Z509" s="38"/>
      <c r="AA509" s="38"/>
      <c r="AB509" s="91"/>
      <c r="AC509" s="94">
        <f>IF(Eingabe[[#This Row],[V1]]="",IF(Eingabe[[#This Row],[Volle alternativ]]="","",Eingabe[[#This Row],[Volle alternativ]]),SUM(Eingabe[[#This Row],[V1]:[V4]]))</f>
        <v>371</v>
      </c>
      <c r="AD509" s="6">
        <f>IF(Eingabe[[#This Row],[R1]]="",IF(Eingabe[[#This Row],[Räumer alternativ]]="","",Eingabe[[#This Row],[Räumer alternativ]]),SUM(Eingabe[[#This Row],[R1]:[R4]]))</f>
        <v>193</v>
      </c>
      <c r="AE509" s="6">
        <f>IF(Eingabe[[#This Row],[F1]]="",IF(Eingabe[[#This Row],[Fehler alternativ]]="","",Eingabe[[#This Row],[Fehler alternativ]]),SUM(Eingabe[[#This Row],[F1]:[F4]]))</f>
        <v>1</v>
      </c>
      <c r="AF509" s="6">
        <f>IF(Eingabe[[#This Row],[Volle]]="","",IF(Eingabe[[#This Row],[S1]]="",Eingabe[[#This Row],[Volle]]+Eingabe[[#This Row],[Räumer]],IF(Eingabe[[#This Row],[Volle]]+Eingabe[[#This Row],[Räumer]]=Eingabe[[#This Row],[S1]]+Eingabe[[#This Row],[S2]]+Eingabe[[#This Row],[S3]]+Eingabe[[#This Row],[S4]],Eingabe[[#This Row],[Volle]]+Eingabe[[#This Row],[Räumer]],"FEHLER")))</f>
        <v>564</v>
      </c>
      <c r="AG509" s="6" t="str">
        <f>IF(Eingabe[[#This Row],[V1]]="","",Eingabe[[#This Row],[V1]]+Eingabe[[#This Row],[R1]])</f>
        <v/>
      </c>
      <c r="AH509" s="6" t="str">
        <f>IF(Eingabe[[#This Row],[V2]]="","",Eingabe[[#This Row],[V2]]+Eingabe[[#This Row],[R2]])</f>
        <v/>
      </c>
      <c r="AI509" s="6" t="str">
        <f>IF(Eingabe[[#This Row],[V3]]="","",Eingabe[[#This Row],[V3]]+Eingabe[[#This Row],[R3]])</f>
        <v/>
      </c>
      <c r="AJ509" s="6" t="str">
        <f>IF(Eingabe[[#This Row],[V4]]="","",Eingabe[[#This Row],[V4]]+Eingabe[[#This Row],[R4]])</f>
        <v/>
      </c>
      <c r="AK509" s="6" t="str">
        <f>IF(Eingabe[[#This Row],[S1P]]="","",Eingabe[[#This Row],[S1P]]+Eingabe[[#This Row],[S2P]]+Eingabe[[#This Row],[S3P]]+Eingabe[[#This Row],[S4P]])</f>
        <v/>
      </c>
      <c r="AL509" s="6" t="str">
        <f>IF(Eingabe[[#This Row],[S1P]]="","",IF(Eingabe[[#This Row],[SP]]&gt;2,1,IF(Eingabe[[#This Row],[SP]]&lt;2,0,IF(Eingabe[[#This Row],[GES]]&gt;Eingabe[[#This Row],[GEGGES]],1,IF(Eingabe[[#This Row],[GES]]=Eingabe[[#This Row],[GEGGES]],0.5,0)))))</f>
        <v/>
      </c>
      <c r="AM509" s="6" t="str">
        <f>IF(Eingabe[[#This Row],[MP]]="","",MOD(ROW(Eingabe[[#This Row],[Position]])-3,6)+1)</f>
        <v/>
      </c>
      <c r="AN509" s="6">
        <f>STANDARDIZE(Eingabe[[#This Row],[GES]],Eingabe[[#This Row],[Schnitt]],VLOOKUP(Eingabe[[#This Row],[Name]],AuswertungG[],21,FALSE))</f>
        <v>1.1851851851851851</v>
      </c>
      <c r="AO509" s="6">
        <f>VLOOKUP(Eingabe[[#This Row],[ID]],Chronologie[[ID]:[KW]],12,FALSE)</f>
        <v>20</v>
      </c>
      <c r="AP509" s="95" t="str">
        <f>IF(Eingabe[[#This Row],[Wo]]="H",Eingabe[[#This Row],[Gegner]]&amp;" ["&amp;Eingabe[[#This Row],[Wo]]&amp;"]",Eingabe[[#This Row],[Ort]])</f>
        <v>Großschirma</v>
      </c>
      <c r="AQ509" s="6" t="str">
        <f>IFERROR(IF(Eingabe[[#This Row],[Wo]]="H",IF(MOD(Eingabe[[#This Row],[Position]],2)=1,Eingabe[[#This Row],[S1]],Eingabe[[#This Row],[S4]]),""),"")</f>
        <v/>
      </c>
      <c r="AR509" s="6" t="str">
        <f>IFERROR(IF(Eingabe[[#This Row],[Wo]]="H",IF(Eingabe[[#This Row],[S1]]&gt;0,IF(MOD(Eingabe[[#This Row],[Position]],2)=1,Eingabe[[#This Row],[S2]],Eingabe[[#This Row],[S3]]),""),""),"")</f>
        <v/>
      </c>
      <c r="AS509" s="6" t="str">
        <f>IFERROR(IF(Eingabe[[#This Row],[Wo]]="H",IF(Eingabe[[#This Row],[S1]]&gt;0,IF(MOD(ROW(Eingabe[[#This Row],[Heimbahn 3]]),2)=1,Eingabe[[#This Row],[S4]],Eingabe[[#This Row],[S1]]),""),""),"")</f>
        <v/>
      </c>
      <c r="AT509" s="6" t="str">
        <f>IFERROR(IF(Eingabe[[#This Row],[Wo]]="H",IF(Eingabe[[#This Row],[S1]]&gt;0,IF(MOD(ROW(Eingabe[[#This Row],[Heimbahn 4]]),2)=1,Eingabe[[#This Row],[S3]],Eingabe[[#This Row],[S2]]),""),""),"")</f>
        <v/>
      </c>
      <c r="AU509" s="22" t="str">
        <f>IF(Eingabe[[#This Row],[GES]]="","",IF(Eingabe[[#This Row],[Modus]]="L",_xlfn.RANK.EQ(Eingabe[[#This Row],[GES]],AF507:AF512),IF(Eingabe[[#This Row],[Modus]]="P",_xlfn.RANK.EQ(Eingabe[[#This Row],[GES]],AF507:AF512),"")))</f>
        <v/>
      </c>
      <c r="AV509" s="6">
        <f>VLOOKUP(Eingabe[[#This Row],[Name]],AuswertungG[],8,FALSE)</f>
        <v>532</v>
      </c>
      <c r="AW509" s="6">
        <v>371</v>
      </c>
      <c r="AX509" s="6">
        <v>193</v>
      </c>
      <c r="AY509" s="6">
        <v>1</v>
      </c>
      <c r="AZ509" s="6">
        <f>IFERROR(ABS(Eingabe[[#This Row],[GES]]-Eingabe[[#This Row],[GEGGES]]),"")</f>
        <v>564</v>
      </c>
    </row>
    <row r="510" spans="1:52" ht="16.2" hidden="1" thickBot="1" x14ac:dyDescent="0.35">
      <c r="A510" s="441"/>
      <c r="B510" s="21">
        <f t="shared" si="50"/>
        <v>85</v>
      </c>
      <c r="C510" s="6" t="str">
        <f>VLOOKUP($B510,Chronologie[],7,TRUE)</f>
        <v>TuS 1875 Großschirma</v>
      </c>
      <c r="D510" s="6" t="str">
        <f>VLOOKUP($B510,Chronologie[],8,TRUE)</f>
        <v>Großschirma</v>
      </c>
      <c r="E510" s="240" t="str">
        <f>VLOOKUP($B510,Chronologie[],9,TRUE)</f>
        <v>A</v>
      </c>
      <c r="F510" s="6" t="str">
        <f>VLOOKUP($B510,Chronologie[],COLUMN(F511)-2,TRUE)</f>
        <v>U23</v>
      </c>
      <c r="G510" s="6" t="str">
        <f>VLOOKUP($B510,Chronologie[],COLUMN(G511)-2,TRUE)</f>
        <v>KEM</v>
      </c>
      <c r="H510" s="6" t="str">
        <f>VLOOKUP($B510,Chronologie[],COLUMN(H511)-2,TRUE)</f>
        <v>V</v>
      </c>
      <c r="I510" s="10" t="str">
        <f>VLOOKUP($B510,Chronologie[],2,TRUE)</f>
        <v>U23-KEM-V</v>
      </c>
      <c r="J510" s="243">
        <f>VLOOKUP($B510,Chronologie[],3,TRUE)</f>
        <v>46032</v>
      </c>
      <c r="K510" s="238"/>
      <c r="L510" s="237"/>
      <c r="M510" s="237"/>
      <c r="N510" s="237"/>
      <c r="O510" s="237"/>
      <c r="P510" s="237"/>
      <c r="Q510" s="237"/>
      <c r="R510" s="237"/>
      <c r="S510" s="237"/>
      <c r="T510" s="237"/>
      <c r="U510" s="237"/>
      <c r="V510" s="237"/>
      <c r="W510" s="237"/>
      <c r="X510" s="38"/>
      <c r="Y510" s="38"/>
      <c r="Z510" s="38"/>
      <c r="AA510" s="38"/>
      <c r="AB510" s="91"/>
      <c r="AC510" s="94" t="str">
        <f>IF(Eingabe[[#This Row],[V1]]="",IF(Eingabe[[#This Row],[Volle alternativ]]="","",Eingabe[[#This Row],[Volle alternativ]]),SUM(Eingabe[[#This Row],[V1]:[V4]]))</f>
        <v/>
      </c>
      <c r="AD510" s="6" t="str">
        <f>IF(Eingabe[[#This Row],[R1]]="",IF(Eingabe[[#This Row],[Räumer alternativ]]="","",Eingabe[[#This Row],[Räumer alternativ]]),SUM(Eingabe[[#This Row],[R1]:[R4]]))</f>
        <v/>
      </c>
      <c r="AE510" s="6" t="str">
        <f>IF(Eingabe[[#This Row],[F1]]="",IF(Eingabe[[#This Row],[Fehler alternativ]]="","",Eingabe[[#This Row],[Fehler alternativ]]),SUM(Eingabe[[#This Row],[F1]:[F4]]))</f>
        <v/>
      </c>
      <c r="AF510" s="6" t="str">
        <f>IF(Eingabe[[#This Row],[Volle]]="","",IF(Eingabe[[#This Row],[S1]]="",Eingabe[[#This Row],[Volle]]+Eingabe[[#This Row],[Räumer]],IF(Eingabe[[#This Row],[Volle]]+Eingabe[[#This Row],[Räumer]]=Eingabe[[#This Row],[S1]]+Eingabe[[#This Row],[S2]]+Eingabe[[#This Row],[S3]]+Eingabe[[#This Row],[S4]],Eingabe[[#This Row],[Volle]]+Eingabe[[#This Row],[Räumer]],"FEHLER")))</f>
        <v/>
      </c>
      <c r="AG510" s="6" t="str">
        <f>IF(Eingabe[[#This Row],[V1]]="","",Eingabe[[#This Row],[V1]]+Eingabe[[#This Row],[R1]])</f>
        <v/>
      </c>
      <c r="AH510" s="6" t="str">
        <f>IF(Eingabe[[#This Row],[V2]]="","",Eingabe[[#This Row],[V2]]+Eingabe[[#This Row],[R2]])</f>
        <v/>
      </c>
      <c r="AI510" s="6" t="str">
        <f>IF(Eingabe[[#This Row],[V3]]="","",Eingabe[[#This Row],[V3]]+Eingabe[[#This Row],[R3]])</f>
        <v/>
      </c>
      <c r="AJ510" s="6" t="str">
        <f>IF(Eingabe[[#This Row],[V4]]="","",Eingabe[[#This Row],[V4]]+Eingabe[[#This Row],[R4]])</f>
        <v/>
      </c>
      <c r="AK510" s="6" t="str">
        <f>IF(Eingabe[[#This Row],[S1P]]="","",Eingabe[[#This Row],[S1P]]+Eingabe[[#This Row],[S2P]]+Eingabe[[#This Row],[S3P]]+Eingabe[[#This Row],[S4P]])</f>
        <v/>
      </c>
      <c r="AL510" s="6" t="str">
        <f>IF(Eingabe[[#This Row],[S1P]]="","",IF(Eingabe[[#This Row],[SP]]&gt;2,1,IF(Eingabe[[#This Row],[SP]]&lt;2,0,IF(Eingabe[[#This Row],[GES]]&gt;Eingabe[[#This Row],[GEGGES]],1,IF(Eingabe[[#This Row],[GES]]=Eingabe[[#This Row],[GEGGES]],0.5,0)))))</f>
        <v/>
      </c>
      <c r="AM510" s="6" t="str">
        <f>IF(Eingabe[[#This Row],[MP]]="","",MOD(ROW(Eingabe[[#This Row],[Position]])-3,6)+1)</f>
        <v/>
      </c>
      <c r="AN510" s="6" t="e">
        <f>STANDARDIZE(Eingabe[[#This Row],[GES]],Eingabe[[#This Row],[Schnitt]],VLOOKUP(Eingabe[[#This Row],[Name]],AuswertungG[],21,FALSE))</f>
        <v>#VALUE!</v>
      </c>
      <c r="AO510" s="6">
        <f>VLOOKUP(Eingabe[[#This Row],[ID]],Chronologie[[ID]:[KW]],12,FALSE)</f>
        <v>20</v>
      </c>
      <c r="AP510" s="95" t="str">
        <f>IF(Eingabe[[#This Row],[Wo]]="H",Eingabe[[#This Row],[Gegner]]&amp;" ["&amp;Eingabe[[#This Row],[Wo]]&amp;"]",Eingabe[[#This Row],[Ort]])</f>
        <v>Großschirma</v>
      </c>
      <c r="AQ510" s="6" t="str">
        <f>IFERROR(IF(Eingabe[[#This Row],[Wo]]="H",IF(MOD(Eingabe[[#This Row],[Position]],2)=1,Eingabe[[#This Row],[S1]],Eingabe[[#This Row],[S4]]),""),"")</f>
        <v/>
      </c>
      <c r="AR510" s="6" t="str">
        <f>IFERROR(IF(Eingabe[[#This Row],[Wo]]="H",IF(Eingabe[[#This Row],[S1]]&gt;0,IF(MOD(Eingabe[[#This Row],[Position]],2)=1,Eingabe[[#This Row],[S2]],Eingabe[[#This Row],[S3]]),""),""),"")</f>
        <v/>
      </c>
      <c r="AS510" s="6" t="str">
        <f>IFERROR(IF(Eingabe[[#This Row],[Wo]]="H",IF(Eingabe[[#This Row],[S1]]&gt;0,IF(MOD(ROW(Eingabe[[#This Row],[Heimbahn 3]]),2)=1,Eingabe[[#This Row],[S4]],Eingabe[[#This Row],[S1]]),""),""),"")</f>
        <v/>
      </c>
      <c r="AT510" s="6" t="str">
        <f>IFERROR(IF(Eingabe[[#This Row],[Wo]]="H",IF(Eingabe[[#This Row],[S1]]&gt;0,IF(MOD(ROW(Eingabe[[#This Row],[Heimbahn 4]]),2)=1,Eingabe[[#This Row],[S3]],Eingabe[[#This Row],[S2]]),""),""),"")</f>
        <v/>
      </c>
      <c r="AU510" s="22" t="str">
        <f>IF(Eingabe[[#This Row],[GES]]="","",IF(Eingabe[[#This Row],[Modus]]="L",_xlfn.RANK.EQ(Eingabe[[#This Row],[GES]],AF507:AF512),IF(Eingabe[[#This Row],[Modus]]="P",_xlfn.RANK.EQ(Eingabe[[#This Row],[GES]],AF507:AF512),"")))</f>
        <v/>
      </c>
      <c r="AV510" s="6" t="e">
        <f>VLOOKUP(Eingabe[[#This Row],[Name]],AuswertungG[],8,FALSE)</f>
        <v>#N/A</v>
      </c>
      <c r="AZ510" s="6" t="str">
        <f>IFERROR(ABS(Eingabe[[#This Row],[GES]]-Eingabe[[#This Row],[GEGGES]]),"")</f>
        <v/>
      </c>
    </row>
    <row r="511" spans="1:52" ht="16.2" hidden="1" thickBot="1" x14ac:dyDescent="0.35">
      <c r="A511" s="441"/>
      <c r="B511" s="21">
        <f t="shared" si="50"/>
        <v>85</v>
      </c>
      <c r="C511" s="6" t="str">
        <f>VLOOKUP($B511,Chronologie[],7,TRUE)</f>
        <v>TuS 1875 Großschirma</v>
      </c>
      <c r="D511" s="6" t="str">
        <f>VLOOKUP($B511,Chronologie[],8,TRUE)</f>
        <v>Großschirma</v>
      </c>
      <c r="E511" s="240" t="str">
        <f>VLOOKUP($B511,Chronologie[],9,TRUE)</f>
        <v>A</v>
      </c>
      <c r="F511" s="6" t="str">
        <f>VLOOKUP($B511,Chronologie[],COLUMN(F512)-2,TRUE)</f>
        <v>U23</v>
      </c>
      <c r="G511" s="6" t="str">
        <f>VLOOKUP($B511,Chronologie[],COLUMN(G512)-2,TRUE)</f>
        <v>KEM</v>
      </c>
      <c r="H511" s="6" t="str">
        <f>VLOOKUP($B511,Chronologie[],COLUMN(H512)-2,TRUE)</f>
        <v>V</v>
      </c>
      <c r="I511" s="10" t="str">
        <f>VLOOKUP($B511,Chronologie[],2,TRUE)</f>
        <v>U23-KEM-V</v>
      </c>
      <c r="J511" s="243">
        <f>VLOOKUP($B511,Chronologie[],3,TRUE)</f>
        <v>46032</v>
      </c>
      <c r="K511" s="237"/>
      <c r="L511" s="237"/>
      <c r="M511" s="237"/>
      <c r="N511" s="237"/>
      <c r="O511" s="237"/>
      <c r="P511" s="237"/>
      <c r="Q511" s="237"/>
      <c r="R511" s="237"/>
      <c r="S511" s="237"/>
      <c r="T511" s="237"/>
      <c r="U511" s="237"/>
      <c r="V511" s="237"/>
      <c r="W511" s="237"/>
      <c r="X511" s="38"/>
      <c r="Y511" s="38"/>
      <c r="Z511" s="38"/>
      <c r="AA511" s="38"/>
      <c r="AB511" s="91"/>
      <c r="AC511" s="94" t="str">
        <f>IF(Eingabe[[#This Row],[V1]]="",IF(Eingabe[[#This Row],[Volle alternativ]]="","",Eingabe[[#This Row],[Volle alternativ]]),SUM(Eingabe[[#This Row],[V1]:[V4]]))</f>
        <v/>
      </c>
      <c r="AD511" s="6" t="str">
        <f>IF(Eingabe[[#This Row],[R1]]="",IF(Eingabe[[#This Row],[Räumer alternativ]]="","",Eingabe[[#This Row],[Räumer alternativ]]),SUM(Eingabe[[#This Row],[R1]:[R4]]))</f>
        <v/>
      </c>
      <c r="AE511" s="6" t="str">
        <f>IF(Eingabe[[#This Row],[F1]]="",IF(Eingabe[[#This Row],[Fehler alternativ]]="","",Eingabe[[#This Row],[Fehler alternativ]]),SUM(Eingabe[[#This Row],[F1]:[F4]]))</f>
        <v/>
      </c>
      <c r="AF511" s="6" t="str">
        <f>IF(Eingabe[[#This Row],[Volle]]="","",IF(Eingabe[[#This Row],[S1]]="",Eingabe[[#This Row],[Volle]]+Eingabe[[#This Row],[Räumer]],IF(Eingabe[[#This Row],[Volle]]+Eingabe[[#This Row],[Räumer]]=Eingabe[[#This Row],[S1]]+Eingabe[[#This Row],[S2]]+Eingabe[[#This Row],[S3]]+Eingabe[[#This Row],[S4]],Eingabe[[#This Row],[Volle]]+Eingabe[[#This Row],[Räumer]],"FEHLER")))</f>
        <v/>
      </c>
      <c r="AG511" s="6" t="str">
        <f>IF(Eingabe[[#This Row],[V1]]="","",Eingabe[[#This Row],[V1]]+Eingabe[[#This Row],[R1]])</f>
        <v/>
      </c>
      <c r="AH511" s="6" t="str">
        <f>IF(Eingabe[[#This Row],[V2]]="","",Eingabe[[#This Row],[V2]]+Eingabe[[#This Row],[R2]])</f>
        <v/>
      </c>
      <c r="AI511" s="6" t="str">
        <f>IF(Eingabe[[#This Row],[V3]]="","",Eingabe[[#This Row],[V3]]+Eingabe[[#This Row],[R3]])</f>
        <v/>
      </c>
      <c r="AJ511" s="6" t="str">
        <f>IF(Eingabe[[#This Row],[V4]]="","",Eingabe[[#This Row],[V4]]+Eingabe[[#This Row],[R4]])</f>
        <v/>
      </c>
      <c r="AK511" s="6" t="str">
        <f>IF(Eingabe[[#This Row],[S1P]]="","",Eingabe[[#This Row],[S1P]]+Eingabe[[#This Row],[S2P]]+Eingabe[[#This Row],[S3P]]+Eingabe[[#This Row],[S4P]])</f>
        <v/>
      </c>
      <c r="AL511" s="6" t="str">
        <f>IF(Eingabe[[#This Row],[S1P]]="","",IF(Eingabe[[#This Row],[SP]]&gt;2,1,IF(Eingabe[[#This Row],[SP]]&lt;2,0,IF(Eingabe[[#This Row],[GES]]&gt;Eingabe[[#This Row],[GEGGES]],1,IF(Eingabe[[#This Row],[GES]]=Eingabe[[#This Row],[GEGGES]],0.5,0)))))</f>
        <v/>
      </c>
      <c r="AM511" s="6" t="str">
        <f>IF(Eingabe[[#This Row],[MP]]="","",MOD(ROW(Eingabe[[#This Row],[Position]])-3,6)+1)</f>
        <v/>
      </c>
      <c r="AN511" s="6" t="e">
        <f>STANDARDIZE(Eingabe[[#This Row],[GES]],Eingabe[[#This Row],[Schnitt]],VLOOKUP(Eingabe[[#This Row],[Name]],AuswertungG[],21,FALSE))</f>
        <v>#VALUE!</v>
      </c>
      <c r="AO511" s="6">
        <f>VLOOKUP(Eingabe[[#This Row],[ID]],Chronologie[[ID]:[KW]],12,FALSE)</f>
        <v>20</v>
      </c>
      <c r="AP511" s="95" t="str">
        <f>IF(Eingabe[[#This Row],[Wo]]="H",Eingabe[[#This Row],[Gegner]]&amp;" ["&amp;Eingabe[[#This Row],[Wo]]&amp;"]",Eingabe[[#This Row],[Ort]])</f>
        <v>Großschirma</v>
      </c>
      <c r="AQ511" s="6" t="str">
        <f>IFERROR(IF(Eingabe[[#This Row],[Wo]]="H",IF(MOD(Eingabe[[#This Row],[Position]],2)=1,Eingabe[[#This Row],[S1]],Eingabe[[#This Row],[S4]]),""),"")</f>
        <v/>
      </c>
      <c r="AR511" s="6" t="str">
        <f>IFERROR(IF(Eingabe[[#This Row],[Wo]]="H",IF(Eingabe[[#This Row],[S1]]&gt;0,IF(MOD(Eingabe[[#This Row],[Position]],2)=1,Eingabe[[#This Row],[S2]],Eingabe[[#This Row],[S3]]),""),""),"")</f>
        <v/>
      </c>
      <c r="AS511" s="6" t="str">
        <f>IFERROR(IF(Eingabe[[#This Row],[Wo]]="H",IF(Eingabe[[#This Row],[S1]]&gt;0,IF(MOD(ROW(Eingabe[[#This Row],[Heimbahn 3]]),2)=1,Eingabe[[#This Row],[S4]],Eingabe[[#This Row],[S1]]),""),""),"")</f>
        <v/>
      </c>
      <c r="AT511" s="6" t="str">
        <f>IFERROR(IF(Eingabe[[#This Row],[Wo]]="H",IF(Eingabe[[#This Row],[S1]]&gt;0,IF(MOD(ROW(Eingabe[[#This Row],[Heimbahn 4]]),2)=1,Eingabe[[#This Row],[S3]],Eingabe[[#This Row],[S2]]),""),""),"")</f>
        <v/>
      </c>
      <c r="AU511" s="22" t="str">
        <f>IF(Eingabe[[#This Row],[GES]]="","",IF(Eingabe[[#This Row],[Modus]]="L",_xlfn.RANK.EQ(Eingabe[[#This Row],[GES]],AF507:AF512),IF(Eingabe[[#This Row],[Modus]]="P",_xlfn.RANK.EQ(Eingabe[[#This Row],[GES]],AF507:AF512),"")))</f>
        <v/>
      </c>
      <c r="AV511" s="6" t="e">
        <f>VLOOKUP(Eingabe[[#This Row],[Name]],AuswertungG[],8,FALSE)</f>
        <v>#N/A</v>
      </c>
      <c r="AZ511" s="6" t="str">
        <f>IFERROR(ABS(Eingabe[[#This Row],[GES]]-Eingabe[[#This Row],[GEGGES]]),"")</f>
        <v/>
      </c>
    </row>
    <row r="512" spans="1:52" ht="16.2" hidden="1" thickBot="1" x14ac:dyDescent="0.35">
      <c r="A512" s="442"/>
      <c r="B512" s="56">
        <f t="shared" si="50"/>
        <v>85</v>
      </c>
      <c r="C512" s="23" t="str">
        <f>VLOOKUP($B512,Chronologie[],7,TRUE)</f>
        <v>TuS 1875 Großschirma</v>
      </c>
      <c r="D512" s="23" t="str">
        <f>VLOOKUP($B512,Chronologie[],8,TRUE)</f>
        <v>Großschirma</v>
      </c>
      <c r="E512" s="39" t="str">
        <f>VLOOKUP($B512,Chronologie[],9,TRUE)</f>
        <v>A</v>
      </c>
      <c r="F512" s="23" t="str">
        <f>VLOOKUP($B512,Chronologie[],COLUMN(F513)-2,TRUE)</f>
        <v>U23</v>
      </c>
      <c r="G512" s="23" t="str">
        <f>VLOOKUP($B512,Chronologie[],COLUMN(G513)-2,TRUE)</f>
        <v>KEM</v>
      </c>
      <c r="H512" s="23" t="str">
        <f>VLOOKUP($B512,Chronologie[],COLUMN(H513)-2,TRUE)</f>
        <v>V</v>
      </c>
      <c r="I512" s="13" t="str">
        <f>VLOOKUP($B512,Chronologie[],2,TRUE)</f>
        <v>U23-KEM-V</v>
      </c>
      <c r="J512" s="244">
        <f>VLOOKUP($B512,Chronologie[],3,TRUE)</f>
        <v>46032</v>
      </c>
      <c r="K512" s="239"/>
      <c r="L512" s="239"/>
      <c r="M512" s="239"/>
      <c r="N512" s="239"/>
      <c r="O512" s="239"/>
      <c r="P512" s="239"/>
      <c r="Q512" s="239"/>
      <c r="R512" s="239"/>
      <c r="S512" s="239"/>
      <c r="T512" s="239"/>
      <c r="U512" s="239"/>
      <c r="V512" s="239"/>
      <c r="W512" s="239"/>
      <c r="X512" s="40"/>
      <c r="Y512" s="40"/>
      <c r="Z512" s="40"/>
      <c r="AA512" s="40"/>
      <c r="AB512" s="92"/>
      <c r="AC512" s="96" t="str">
        <f>IF(Eingabe[[#This Row],[V1]]="",IF(Eingabe[[#This Row],[Volle alternativ]]="","",Eingabe[[#This Row],[Volle alternativ]]),SUM(Eingabe[[#This Row],[V1]:[V4]]))</f>
        <v/>
      </c>
      <c r="AD512" s="23" t="str">
        <f>IF(Eingabe[[#This Row],[R1]]="",IF(Eingabe[[#This Row],[Räumer alternativ]]="","",Eingabe[[#This Row],[Räumer alternativ]]),SUM(Eingabe[[#This Row],[R1]:[R4]]))</f>
        <v/>
      </c>
      <c r="AE512" s="23" t="str">
        <f>IF(Eingabe[[#This Row],[F1]]="",IF(Eingabe[[#This Row],[Fehler alternativ]]="","",Eingabe[[#This Row],[Fehler alternativ]]),SUM(Eingabe[[#This Row],[F1]:[F4]]))</f>
        <v/>
      </c>
      <c r="AF512" s="23" t="str">
        <f>IF(Eingabe[[#This Row],[Volle]]="","",IF(Eingabe[[#This Row],[S1]]="",Eingabe[[#This Row],[Volle]]+Eingabe[[#This Row],[Räumer]],IF(Eingabe[[#This Row],[Volle]]+Eingabe[[#This Row],[Räumer]]=Eingabe[[#This Row],[S1]]+Eingabe[[#This Row],[S2]]+Eingabe[[#This Row],[S3]]+Eingabe[[#This Row],[S4]],Eingabe[[#This Row],[Volle]]+Eingabe[[#This Row],[Räumer]],"FEHLER")))</f>
        <v/>
      </c>
      <c r="AG512" s="23" t="str">
        <f>IF(Eingabe[[#This Row],[V1]]="","",Eingabe[[#This Row],[V1]]+Eingabe[[#This Row],[R1]])</f>
        <v/>
      </c>
      <c r="AH512" s="23" t="str">
        <f>IF(Eingabe[[#This Row],[V2]]="","",Eingabe[[#This Row],[V2]]+Eingabe[[#This Row],[R2]])</f>
        <v/>
      </c>
      <c r="AI512" s="23" t="str">
        <f>IF(Eingabe[[#This Row],[V3]]="","",Eingabe[[#This Row],[V3]]+Eingabe[[#This Row],[R3]])</f>
        <v/>
      </c>
      <c r="AJ512" s="23" t="str">
        <f>IF(Eingabe[[#This Row],[V4]]="","",Eingabe[[#This Row],[V4]]+Eingabe[[#This Row],[R4]])</f>
        <v/>
      </c>
      <c r="AK512" s="23" t="str">
        <f>IF(Eingabe[[#This Row],[S1P]]="","",Eingabe[[#This Row],[S1P]]+Eingabe[[#This Row],[S2P]]+Eingabe[[#This Row],[S3P]]+Eingabe[[#This Row],[S4P]])</f>
        <v/>
      </c>
      <c r="AL512" s="23" t="str">
        <f>IF(Eingabe[[#This Row],[S1P]]="","",IF(Eingabe[[#This Row],[SP]]&gt;2,1,IF(Eingabe[[#This Row],[SP]]&lt;2,0,IF(Eingabe[[#This Row],[GES]]&gt;Eingabe[[#This Row],[GEGGES]],1,IF(Eingabe[[#This Row],[GES]]=Eingabe[[#This Row],[GEGGES]],0.5,0)))))</f>
        <v/>
      </c>
      <c r="AM512" s="23" t="str">
        <f>IF(Eingabe[[#This Row],[MP]]="","",MOD(ROW(Eingabe[[#This Row],[Position]])-3,6)+1)</f>
        <v/>
      </c>
      <c r="AN512" s="23" t="e">
        <f>STANDARDIZE(Eingabe[[#This Row],[GES]],Eingabe[[#This Row],[Schnitt]],VLOOKUP(Eingabe[[#This Row],[Name]],AuswertungG[],21,FALSE))</f>
        <v>#VALUE!</v>
      </c>
      <c r="AO512" s="23">
        <f>VLOOKUP(Eingabe[[#This Row],[ID]],Chronologie[[ID]:[KW]],12,FALSE)</f>
        <v>20</v>
      </c>
      <c r="AP512" s="59" t="str">
        <f>IF(Eingabe[[#This Row],[Wo]]="H",Eingabe[[#This Row],[Gegner]]&amp;" ["&amp;Eingabe[[#This Row],[Wo]]&amp;"]",Eingabe[[#This Row],[Ort]])</f>
        <v>Großschirma</v>
      </c>
      <c r="AQ512" s="23" t="str">
        <f>IFERROR(IF(Eingabe[[#This Row],[Wo]]="H",IF(MOD(Eingabe[[#This Row],[Position]],2)=1,Eingabe[[#This Row],[S1]],Eingabe[[#This Row],[S4]]),""),"")</f>
        <v/>
      </c>
      <c r="AR512" s="23" t="str">
        <f>IFERROR(IF(Eingabe[[#This Row],[Wo]]="H",IF(Eingabe[[#This Row],[S1]]&gt;0,IF(MOD(Eingabe[[#This Row],[Position]],2)=1,Eingabe[[#This Row],[S2]],Eingabe[[#This Row],[S3]]),""),""),"")</f>
        <v/>
      </c>
      <c r="AS512" s="23" t="str">
        <f>IFERROR(IF(Eingabe[[#This Row],[Wo]]="H",IF(Eingabe[[#This Row],[S1]]&gt;0,IF(MOD(ROW(Eingabe[[#This Row],[Heimbahn 3]]),2)=1,Eingabe[[#This Row],[S4]],Eingabe[[#This Row],[S1]]),""),""),"")</f>
        <v/>
      </c>
      <c r="AT512" s="23" t="str">
        <f>IFERROR(IF(Eingabe[[#This Row],[Wo]]="H",IF(Eingabe[[#This Row],[S1]]&gt;0,IF(MOD(ROW(Eingabe[[#This Row],[Heimbahn 4]]),2)=1,Eingabe[[#This Row],[S3]],Eingabe[[#This Row],[S2]]),""),""),"")</f>
        <v/>
      </c>
      <c r="AU512" s="89" t="str">
        <f>IF(Eingabe[[#This Row],[GES]]="","",IF(Eingabe[[#This Row],[Modus]]="L",_xlfn.RANK.EQ(Eingabe[[#This Row],[GES]],AF507:AF512),IF(Eingabe[[#This Row],[Modus]]="P",_xlfn.RANK.EQ(Eingabe[[#This Row],[GES]],AF507:AF512),"")))</f>
        <v/>
      </c>
      <c r="AV512" s="6" t="e">
        <f>VLOOKUP(Eingabe[[#This Row],[Name]],AuswertungG[],8,FALSE)</f>
        <v>#N/A</v>
      </c>
      <c r="AZ512" s="6" t="str">
        <f>IFERROR(ABS(Eingabe[[#This Row],[GES]]-Eingabe[[#This Row],[GEGGES]]),"")</f>
        <v/>
      </c>
    </row>
    <row r="513" spans="1:52" ht="16.2" hidden="1" thickBot="1" x14ac:dyDescent="0.35">
      <c r="A513" s="441">
        <f t="shared" si="49"/>
        <v>86</v>
      </c>
      <c r="B513" s="55">
        <f t="shared" si="50"/>
        <v>86</v>
      </c>
      <c r="C513" s="35" t="str">
        <f>VLOOKUP($B513,Chronologie[],7,TRUE)</f>
        <v>KSV Grün-Weiß Leubsdorf</v>
      </c>
      <c r="D513" s="35" t="str">
        <f>VLOOKUP($B513,Chronologie[],8,TRUE)</f>
        <v>Leubsdorf</v>
      </c>
      <c r="E513" s="36" t="str">
        <f>VLOOKUP($B513,Chronologie[],9,TRUE)</f>
        <v>A</v>
      </c>
      <c r="F513" s="35" t="str">
        <f>VLOOKUP($B513,Chronologie[],COLUMN(F514)-2,TRUE)</f>
        <v>Ü60</v>
      </c>
      <c r="G513" s="35" t="str">
        <f>VLOOKUP($B513,Chronologie[],COLUMN(G514)-2,TRUE)</f>
        <v>KEM</v>
      </c>
      <c r="H513" s="35" t="str">
        <f>VLOOKUP($B513,Chronologie[],COLUMN(H514)-2,TRUE)</f>
        <v>V</v>
      </c>
      <c r="I513" s="9" t="str">
        <f>VLOOKUP($B513,Chronologie[],2,TRUE)</f>
        <v>Ü60-KEM-V</v>
      </c>
      <c r="J513" s="242">
        <f>VLOOKUP($B513,Chronologie[],3,TRUE)</f>
        <v>46032</v>
      </c>
      <c r="K513" s="236" t="s">
        <v>480</v>
      </c>
      <c r="L513" s="334"/>
      <c r="M513" s="334"/>
      <c r="N513" s="334"/>
      <c r="O513" s="334"/>
      <c r="P513" s="334"/>
      <c r="Q513" s="334"/>
      <c r="R513" s="334"/>
      <c r="S513" s="334"/>
      <c r="T513" s="334"/>
      <c r="U513" s="334"/>
      <c r="V513" s="334"/>
      <c r="W513" s="334"/>
      <c r="X513" s="37"/>
      <c r="Y513" s="37"/>
      <c r="Z513" s="37"/>
      <c r="AA513" s="37"/>
      <c r="AB513" s="90"/>
      <c r="AC513" s="93">
        <f>IF(Eingabe[[#This Row],[V1]]="",IF(Eingabe[[#This Row],[Volle alternativ]]="","",Eingabe[[#This Row],[Volle alternativ]]),SUM(Eingabe[[#This Row],[V1]:[V4]]))</f>
        <v>337</v>
      </c>
      <c r="AD513" s="35">
        <f>IF(Eingabe[[#This Row],[R1]]="",IF(Eingabe[[#This Row],[Räumer alternativ]]="","",Eingabe[[#This Row],[Räumer alternativ]]),SUM(Eingabe[[#This Row],[R1]:[R4]]))</f>
        <v>153</v>
      </c>
      <c r="AE513" s="35">
        <f>IF(Eingabe[[#This Row],[F1]]="",IF(Eingabe[[#This Row],[Fehler alternativ]]="","",Eingabe[[#This Row],[Fehler alternativ]]),SUM(Eingabe[[#This Row],[F1]:[F4]]))</f>
        <v>12</v>
      </c>
      <c r="AF513" s="35">
        <f>IF(Eingabe[[#This Row],[Volle]]="","",IF(Eingabe[[#This Row],[S1]]="",Eingabe[[#This Row],[Volle]]+Eingabe[[#This Row],[Räumer]],IF(Eingabe[[#This Row],[Volle]]+Eingabe[[#This Row],[Räumer]]=Eingabe[[#This Row],[S1]]+Eingabe[[#This Row],[S2]]+Eingabe[[#This Row],[S3]]+Eingabe[[#This Row],[S4]],Eingabe[[#This Row],[Volle]]+Eingabe[[#This Row],[Räumer]],"FEHLER")))</f>
        <v>490</v>
      </c>
      <c r="AG513" s="35" t="str">
        <f>IF(Eingabe[[#This Row],[V1]]="","",Eingabe[[#This Row],[V1]]+Eingabe[[#This Row],[R1]])</f>
        <v/>
      </c>
      <c r="AH513" s="35" t="str">
        <f>IF(Eingabe[[#This Row],[V2]]="","",Eingabe[[#This Row],[V2]]+Eingabe[[#This Row],[R2]])</f>
        <v/>
      </c>
      <c r="AI513" s="35" t="str">
        <f>IF(Eingabe[[#This Row],[V3]]="","",Eingabe[[#This Row],[V3]]+Eingabe[[#This Row],[R3]])</f>
        <v/>
      </c>
      <c r="AJ513" s="35" t="str">
        <f>IF(Eingabe[[#This Row],[V4]]="","",Eingabe[[#This Row],[V4]]+Eingabe[[#This Row],[R4]])</f>
        <v/>
      </c>
      <c r="AK513" s="35" t="str">
        <f>IF(Eingabe[[#This Row],[S1P]]="","",Eingabe[[#This Row],[S1P]]+Eingabe[[#This Row],[S2P]]+Eingabe[[#This Row],[S3P]]+Eingabe[[#This Row],[S4P]])</f>
        <v/>
      </c>
      <c r="AL513" s="35" t="str">
        <f>IF(Eingabe[[#This Row],[S1P]]="","",IF(Eingabe[[#This Row],[SP]]&gt;2,1,IF(Eingabe[[#This Row],[SP]]&lt;2,0,IF(Eingabe[[#This Row],[GES]]&gt;Eingabe[[#This Row],[GEGGES]],1,IF(Eingabe[[#This Row],[GES]]=Eingabe[[#This Row],[GEGGES]],0.5,0)))))</f>
        <v/>
      </c>
      <c r="AM513" s="35" t="str">
        <f>IF(Eingabe[[#This Row],[MP]]="","",MOD(ROW(Eingabe[[#This Row],[Position]])-3,6)+1)</f>
        <v/>
      </c>
      <c r="AN513" s="35">
        <f>STANDARDIZE(Eingabe[[#This Row],[GES]],Eingabe[[#This Row],[Schnitt]],VLOOKUP(Eingabe[[#This Row],[Name]],AuswertungG[],21,FALSE))</f>
        <v>-1.5833333333333333</v>
      </c>
      <c r="AO513" s="35">
        <f>VLOOKUP(Eingabe[[#This Row],[ID]],Chronologie[[ID]:[KW]],12,FALSE)</f>
        <v>20</v>
      </c>
      <c r="AP513" s="58" t="str">
        <f>IF(Eingabe[[#This Row],[Wo]]="H",Eingabe[[#This Row],[Gegner]]&amp;" ["&amp;Eingabe[[#This Row],[Wo]]&amp;"]",Eingabe[[#This Row],[Ort]])</f>
        <v>Leubsdorf</v>
      </c>
      <c r="AQ513" s="35" t="str">
        <f>IFERROR(IF(Eingabe[[#This Row],[Wo]]="H",IF(MOD(Eingabe[[#This Row],[Position]],2)=1,Eingabe[[#This Row],[S1]],Eingabe[[#This Row],[S4]]),""),"")</f>
        <v/>
      </c>
      <c r="AR513" s="35" t="str">
        <f>IFERROR(IF(Eingabe[[#This Row],[Wo]]="H",IF(Eingabe[[#This Row],[S1]]&gt;0,IF(MOD(Eingabe[[#This Row],[Position]],2)=1,Eingabe[[#This Row],[S2]],Eingabe[[#This Row],[S3]]),""),""),"")</f>
        <v/>
      </c>
      <c r="AS513" s="35" t="str">
        <f>IFERROR(IF(Eingabe[[#This Row],[Wo]]="H",IF(Eingabe[[#This Row],[S1]]&gt;0,IF(MOD(ROW(Eingabe[[#This Row],[Heimbahn 3]]),2)=1,Eingabe[[#This Row],[S4]],Eingabe[[#This Row],[S1]]),""),""),"")</f>
        <v/>
      </c>
      <c r="AT513" s="35" t="str">
        <f>IFERROR(IF(Eingabe[[#This Row],[Wo]]="H",IF(Eingabe[[#This Row],[S1]]&gt;0,IF(MOD(ROW(Eingabe[[#This Row],[Heimbahn 4]]),2)=1,Eingabe[[#This Row],[S3]],Eingabe[[#This Row],[S2]]),""),""),"")</f>
        <v/>
      </c>
      <c r="AU513" s="88" t="str">
        <f>IF(Eingabe[[#This Row],[GES]]="","",IF(Eingabe[[#This Row],[Modus]]="L",_xlfn.RANK.EQ(Eingabe[[#This Row],[GES]],AF513:AF518),IF(Eingabe[[#This Row],[Modus]]="P",_xlfn.RANK.EQ(Eingabe[[#This Row],[GES]],AF513:AF518),"")))</f>
        <v/>
      </c>
      <c r="AV513" s="6">
        <f>VLOOKUP(Eingabe[[#This Row],[Name]],AuswertungG[],8,FALSE)</f>
        <v>509</v>
      </c>
      <c r="AW513" s="6">
        <v>337</v>
      </c>
      <c r="AX513" s="6">
        <v>153</v>
      </c>
      <c r="AY513" s="6">
        <v>12</v>
      </c>
      <c r="AZ513" s="6">
        <f>IFERROR(ABS(Eingabe[[#This Row],[GES]]-Eingabe[[#This Row],[GEGGES]]),"")</f>
        <v>490</v>
      </c>
    </row>
    <row r="514" spans="1:52" ht="16.2" hidden="1" thickBot="1" x14ac:dyDescent="0.35">
      <c r="A514" s="441"/>
      <c r="B514" s="21">
        <f t="shared" si="50"/>
        <v>86</v>
      </c>
      <c r="C514" s="6" t="str">
        <f>VLOOKUP($B514,Chronologie[],7,TRUE)</f>
        <v>KSV Grün-Weiß Leubsdorf</v>
      </c>
      <c r="D514" s="6" t="str">
        <f>VLOOKUP($B514,Chronologie[],8,TRUE)</f>
        <v>Leubsdorf</v>
      </c>
      <c r="E514" s="240" t="str">
        <f>VLOOKUP($B514,Chronologie[],9,TRUE)</f>
        <v>A</v>
      </c>
      <c r="F514" s="6" t="str">
        <f>VLOOKUP($B514,Chronologie[],COLUMN(F515)-2,TRUE)</f>
        <v>Ü60</v>
      </c>
      <c r="G514" s="6" t="str">
        <f>VLOOKUP($B514,Chronologie[],COLUMN(G515)-2,TRUE)</f>
        <v>KEM</v>
      </c>
      <c r="H514" s="6" t="str">
        <f>VLOOKUP($B514,Chronologie[],COLUMN(H515)-2,TRUE)</f>
        <v>V</v>
      </c>
      <c r="I514" s="10" t="str">
        <f>VLOOKUP($B514,Chronologie[],2,TRUE)</f>
        <v>Ü60-KEM-V</v>
      </c>
      <c r="J514" s="243">
        <f>VLOOKUP($B514,Chronologie[],3,TRUE)</f>
        <v>46032</v>
      </c>
      <c r="K514" s="237" t="s">
        <v>463</v>
      </c>
      <c r="L514" s="237"/>
      <c r="M514" s="237"/>
      <c r="N514" s="237"/>
      <c r="O514" s="237"/>
      <c r="P514" s="237"/>
      <c r="Q514" s="237"/>
      <c r="R514" s="237"/>
      <c r="S514" s="237"/>
      <c r="T514" s="237"/>
      <c r="U514" s="237"/>
      <c r="V514" s="237"/>
      <c r="W514" s="237"/>
      <c r="X514" s="38"/>
      <c r="Y514" s="38"/>
      <c r="Z514" s="38"/>
      <c r="AA514" s="38"/>
      <c r="AB514" s="91"/>
      <c r="AC514" s="94">
        <f>IF(Eingabe[[#This Row],[V1]]="",IF(Eingabe[[#This Row],[Volle alternativ]]="","",Eingabe[[#This Row],[Volle alternativ]]),SUM(Eingabe[[#This Row],[V1]:[V4]]))</f>
        <v>361</v>
      </c>
      <c r="AD514" s="6">
        <f>IF(Eingabe[[#This Row],[R1]]="",IF(Eingabe[[#This Row],[Räumer alternativ]]="","",Eingabe[[#This Row],[Räumer alternativ]]),SUM(Eingabe[[#This Row],[R1]:[R4]]))</f>
        <v>165</v>
      </c>
      <c r="AE514" s="6">
        <f>IF(Eingabe[[#This Row],[F1]]="",IF(Eingabe[[#This Row],[Fehler alternativ]]="","",Eingabe[[#This Row],[Fehler alternativ]]),SUM(Eingabe[[#This Row],[F1]:[F4]]))</f>
        <v>2</v>
      </c>
      <c r="AF514" s="6">
        <f>IF(Eingabe[[#This Row],[Volle]]="","",IF(Eingabe[[#This Row],[S1]]="",Eingabe[[#This Row],[Volle]]+Eingabe[[#This Row],[Räumer]],IF(Eingabe[[#This Row],[Volle]]+Eingabe[[#This Row],[Räumer]]=Eingabe[[#This Row],[S1]]+Eingabe[[#This Row],[S2]]+Eingabe[[#This Row],[S3]]+Eingabe[[#This Row],[S4]],Eingabe[[#This Row],[Volle]]+Eingabe[[#This Row],[Räumer]],"FEHLER")))</f>
        <v>526</v>
      </c>
      <c r="AG514" s="6" t="str">
        <f>IF(Eingabe[[#This Row],[V1]]="","",Eingabe[[#This Row],[V1]]+Eingabe[[#This Row],[R1]])</f>
        <v/>
      </c>
      <c r="AH514" s="6" t="str">
        <f>IF(Eingabe[[#This Row],[V2]]="","",Eingabe[[#This Row],[V2]]+Eingabe[[#This Row],[R2]])</f>
        <v/>
      </c>
      <c r="AI514" s="6" t="str">
        <f>IF(Eingabe[[#This Row],[V3]]="","",Eingabe[[#This Row],[V3]]+Eingabe[[#This Row],[R3]])</f>
        <v/>
      </c>
      <c r="AJ514" s="6" t="str">
        <f>IF(Eingabe[[#This Row],[V4]]="","",Eingabe[[#This Row],[V4]]+Eingabe[[#This Row],[R4]])</f>
        <v/>
      </c>
      <c r="AK514" s="6" t="str">
        <f>IF(Eingabe[[#This Row],[S1P]]="","",Eingabe[[#This Row],[S1P]]+Eingabe[[#This Row],[S2P]]+Eingabe[[#This Row],[S3P]]+Eingabe[[#This Row],[S4P]])</f>
        <v/>
      </c>
      <c r="AL514" s="6" t="str">
        <f>IF(Eingabe[[#This Row],[S1P]]="","",IF(Eingabe[[#This Row],[SP]]&gt;2,1,IF(Eingabe[[#This Row],[SP]]&lt;2,0,IF(Eingabe[[#This Row],[GES]]&gt;Eingabe[[#This Row],[GEGGES]],1,IF(Eingabe[[#This Row],[GES]]=Eingabe[[#This Row],[GEGGES]],0.5,0)))))</f>
        <v/>
      </c>
      <c r="AM514" s="6" t="str">
        <f>IF(Eingabe[[#This Row],[MP]]="","",MOD(ROW(Eingabe[[#This Row],[Position]])-3,6)+1)</f>
        <v/>
      </c>
      <c r="AN514" s="6">
        <f>STANDARDIZE(Eingabe[[#This Row],[GES]],Eingabe[[#This Row],[Schnitt]],VLOOKUP(Eingabe[[#This Row],[Name]],AuswertungG[],21,FALSE))</f>
        <v>0.35483870967741937</v>
      </c>
      <c r="AO514" s="6">
        <f>VLOOKUP(Eingabe[[#This Row],[ID]],Chronologie[[ID]:[KW]],12,FALSE)</f>
        <v>20</v>
      </c>
      <c r="AP514" s="95" t="str">
        <f>IF(Eingabe[[#This Row],[Wo]]="H",Eingabe[[#This Row],[Gegner]]&amp;" ["&amp;Eingabe[[#This Row],[Wo]]&amp;"]",Eingabe[[#This Row],[Ort]])</f>
        <v>Leubsdorf</v>
      </c>
      <c r="AQ514" s="6" t="str">
        <f>IFERROR(IF(Eingabe[[#This Row],[Wo]]="H",IF(MOD(Eingabe[[#This Row],[Position]],2)=1,Eingabe[[#This Row],[S1]],Eingabe[[#This Row],[S4]]),""),"")</f>
        <v/>
      </c>
      <c r="AR514" s="6" t="str">
        <f>IFERROR(IF(Eingabe[[#This Row],[Wo]]="H",IF(Eingabe[[#This Row],[S1]]&gt;0,IF(MOD(Eingabe[[#This Row],[Position]],2)=1,Eingabe[[#This Row],[S2]],Eingabe[[#This Row],[S3]]),""),""),"")</f>
        <v/>
      </c>
      <c r="AS514" s="6" t="str">
        <f>IFERROR(IF(Eingabe[[#This Row],[Wo]]="H",IF(Eingabe[[#This Row],[S1]]&gt;0,IF(MOD(ROW(Eingabe[[#This Row],[Heimbahn 3]]),2)=1,Eingabe[[#This Row],[S4]],Eingabe[[#This Row],[S1]]),""),""),"")</f>
        <v/>
      </c>
      <c r="AT514" s="6" t="str">
        <f>IFERROR(IF(Eingabe[[#This Row],[Wo]]="H",IF(Eingabe[[#This Row],[S1]]&gt;0,IF(MOD(ROW(Eingabe[[#This Row],[Heimbahn 4]]),2)=1,Eingabe[[#This Row],[S3]],Eingabe[[#This Row],[S2]]),""),""),"")</f>
        <v/>
      </c>
      <c r="AU514" s="22" t="str">
        <f>IF(Eingabe[[#This Row],[GES]]="","",IF(Eingabe[[#This Row],[Modus]]="L",_xlfn.RANK.EQ(Eingabe[[#This Row],[GES]],AF513:AF518),IF(Eingabe[[#This Row],[Modus]]="P",_xlfn.RANK.EQ(Eingabe[[#This Row],[GES]],AF513:AF518),"")))</f>
        <v/>
      </c>
      <c r="AV514" s="6">
        <f>VLOOKUP(Eingabe[[#This Row],[Name]],AuswertungG[],8,FALSE)</f>
        <v>515</v>
      </c>
      <c r="AW514" s="6">
        <v>361</v>
      </c>
      <c r="AX514" s="6">
        <v>165</v>
      </c>
      <c r="AY514" s="6">
        <v>2</v>
      </c>
      <c r="AZ514" s="6">
        <f>IFERROR(ABS(Eingabe[[#This Row],[GES]]-Eingabe[[#This Row],[GEGGES]]),"")</f>
        <v>526</v>
      </c>
    </row>
    <row r="515" spans="1:52" ht="16.2" hidden="1" thickBot="1" x14ac:dyDescent="0.35">
      <c r="A515" s="441"/>
      <c r="B515" s="21">
        <f t="shared" si="50"/>
        <v>86</v>
      </c>
      <c r="C515" s="6" t="str">
        <f>VLOOKUP($B515,Chronologie[],7,TRUE)</f>
        <v>KSV Grün-Weiß Leubsdorf</v>
      </c>
      <c r="D515" s="6" t="str">
        <f>VLOOKUP($B515,Chronologie[],8,TRUE)</f>
        <v>Leubsdorf</v>
      </c>
      <c r="E515" s="240" t="str">
        <f>VLOOKUP($B515,Chronologie[],9,TRUE)</f>
        <v>A</v>
      </c>
      <c r="F515" s="6" t="str">
        <f>VLOOKUP($B515,Chronologie[],COLUMN(F516)-2,TRUE)</f>
        <v>Ü60</v>
      </c>
      <c r="G515" s="6" t="str">
        <f>VLOOKUP($B515,Chronologie[],COLUMN(G516)-2,TRUE)</f>
        <v>KEM</v>
      </c>
      <c r="H515" s="6" t="str">
        <f>VLOOKUP($B515,Chronologie[],COLUMN(H516)-2,TRUE)</f>
        <v>V</v>
      </c>
      <c r="I515" s="10" t="str">
        <f>VLOOKUP($B515,Chronologie[],2,TRUE)</f>
        <v>Ü60-KEM-V</v>
      </c>
      <c r="J515" s="243">
        <f>VLOOKUP($B515,Chronologie[],3,TRUE)</f>
        <v>46032</v>
      </c>
      <c r="K515" s="237"/>
      <c r="L515" s="237"/>
      <c r="M515" s="237"/>
      <c r="N515" s="237"/>
      <c r="O515" s="237"/>
      <c r="P515" s="237"/>
      <c r="Q515" s="237"/>
      <c r="R515" s="237"/>
      <c r="S515" s="237"/>
      <c r="T515" s="237"/>
      <c r="U515" s="237"/>
      <c r="V515" s="237"/>
      <c r="W515" s="237"/>
      <c r="X515" s="38"/>
      <c r="Y515" s="38"/>
      <c r="Z515" s="38"/>
      <c r="AA515" s="38"/>
      <c r="AB515" s="91"/>
      <c r="AC515" s="94" t="str">
        <f>IF(Eingabe[[#This Row],[V1]]="",IF(Eingabe[[#This Row],[Volle alternativ]]="","",Eingabe[[#This Row],[Volle alternativ]]),SUM(Eingabe[[#This Row],[V1]:[V4]]))</f>
        <v/>
      </c>
      <c r="AD515" s="6" t="str">
        <f>IF(Eingabe[[#This Row],[R1]]="",IF(Eingabe[[#This Row],[Räumer alternativ]]="","",Eingabe[[#This Row],[Räumer alternativ]]),SUM(Eingabe[[#This Row],[R1]:[R4]]))</f>
        <v/>
      </c>
      <c r="AE515" s="6" t="str">
        <f>IF(Eingabe[[#This Row],[F1]]="",IF(Eingabe[[#This Row],[Fehler alternativ]]="","",Eingabe[[#This Row],[Fehler alternativ]]),SUM(Eingabe[[#This Row],[F1]:[F4]]))</f>
        <v/>
      </c>
      <c r="AF515" s="6" t="str">
        <f>IF(Eingabe[[#This Row],[Volle]]="","",IF(Eingabe[[#This Row],[S1]]="",Eingabe[[#This Row],[Volle]]+Eingabe[[#This Row],[Räumer]],IF(Eingabe[[#This Row],[Volle]]+Eingabe[[#This Row],[Räumer]]=Eingabe[[#This Row],[S1]]+Eingabe[[#This Row],[S2]]+Eingabe[[#This Row],[S3]]+Eingabe[[#This Row],[S4]],Eingabe[[#This Row],[Volle]]+Eingabe[[#This Row],[Räumer]],"FEHLER")))</f>
        <v/>
      </c>
      <c r="AG515" s="6" t="str">
        <f>IF(Eingabe[[#This Row],[V1]]="","",Eingabe[[#This Row],[V1]]+Eingabe[[#This Row],[R1]])</f>
        <v/>
      </c>
      <c r="AH515" s="6" t="str">
        <f>IF(Eingabe[[#This Row],[V2]]="","",Eingabe[[#This Row],[V2]]+Eingabe[[#This Row],[R2]])</f>
        <v/>
      </c>
      <c r="AI515" s="6" t="str">
        <f>IF(Eingabe[[#This Row],[V3]]="","",Eingabe[[#This Row],[V3]]+Eingabe[[#This Row],[R3]])</f>
        <v/>
      </c>
      <c r="AJ515" s="6" t="str">
        <f>IF(Eingabe[[#This Row],[V4]]="","",Eingabe[[#This Row],[V4]]+Eingabe[[#This Row],[R4]])</f>
        <v/>
      </c>
      <c r="AK515" s="6" t="str">
        <f>IF(Eingabe[[#This Row],[S1P]]="","",Eingabe[[#This Row],[S1P]]+Eingabe[[#This Row],[S2P]]+Eingabe[[#This Row],[S3P]]+Eingabe[[#This Row],[S4P]])</f>
        <v/>
      </c>
      <c r="AL515" s="6" t="str">
        <f>IF(Eingabe[[#This Row],[S1P]]="","",IF(Eingabe[[#This Row],[SP]]&gt;2,1,IF(Eingabe[[#This Row],[SP]]&lt;2,0,IF(Eingabe[[#This Row],[GES]]&gt;Eingabe[[#This Row],[GEGGES]],1,IF(Eingabe[[#This Row],[GES]]=Eingabe[[#This Row],[GEGGES]],0.5,0)))))</f>
        <v/>
      </c>
      <c r="AM515" s="6" t="str">
        <f>IF(Eingabe[[#This Row],[MP]]="","",MOD(ROW(Eingabe[[#This Row],[Position]])-3,6)+1)</f>
        <v/>
      </c>
      <c r="AN515" s="6" t="e">
        <f>STANDARDIZE(Eingabe[[#This Row],[GES]],Eingabe[[#This Row],[Schnitt]],VLOOKUP(Eingabe[[#This Row],[Name]],AuswertungG[],21,FALSE))</f>
        <v>#VALUE!</v>
      </c>
      <c r="AO515" s="6">
        <f>VLOOKUP(Eingabe[[#This Row],[ID]],Chronologie[[ID]:[KW]],12,FALSE)</f>
        <v>20</v>
      </c>
      <c r="AP515" s="95" t="str">
        <f>IF(Eingabe[[#This Row],[Wo]]="H",Eingabe[[#This Row],[Gegner]]&amp;" ["&amp;Eingabe[[#This Row],[Wo]]&amp;"]",Eingabe[[#This Row],[Ort]])</f>
        <v>Leubsdorf</v>
      </c>
      <c r="AQ515" s="6" t="str">
        <f>IFERROR(IF(Eingabe[[#This Row],[Wo]]="H",IF(MOD(Eingabe[[#This Row],[Position]],2)=1,Eingabe[[#This Row],[S1]],Eingabe[[#This Row],[S4]]),""),"")</f>
        <v/>
      </c>
      <c r="AR515" s="6" t="str">
        <f>IFERROR(IF(Eingabe[[#This Row],[Wo]]="H",IF(Eingabe[[#This Row],[S1]]&gt;0,IF(MOD(Eingabe[[#This Row],[Position]],2)=1,Eingabe[[#This Row],[S2]],Eingabe[[#This Row],[S3]]),""),""),"")</f>
        <v/>
      </c>
      <c r="AS515" s="6" t="str">
        <f>IFERROR(IF(Eingabe[[#This Row],[Wo]]="H",IF(Eingabe[[#This Row],[S1]]&gt;0,IF(MOD(ROW(Eingabe[[#This Row],[Heimbahn 3]]),2)=1,Eingabe[[#This Row],[S4]],Eingabe[[#This Row],[S1]]),""),""),"")</f>
        <v/>
      </c>
      <c r="AT515" s="6" t="str">
        <f>IFERROR(IF(Eingabe[[#This Row],[Wo]]="H",IF(Eingabe[[#This Row],[S1]]&gt;0,IF(MOD(ROW(Eingabe[[#This Row],[Heimbahn 4]]),2)=1,Eingabe[[#This Row],[S3]],Eingabe[[#This Row],[S2]]),""),""),"")</f>
        <v/>
      </c>
      <c r="AU515" s="22" t="str">
        <f>IF(Eingabe[[#This Row],[GES]]="","",IF(Eingabe[[#This Row],[Modus]]="L",_xlfn.RANK.EQ(Eingabe[[#This Row],[GES]],AF513:AF518),IF(Eingabe[[#This Row],[Modus]]="P",_xlfn.RANK.EQ(Eingabe[[#This Row],[GES]],AF513:AF518),"")))</f>
        <v/>
      </c>
      <c r="AV515" s="6" t="e">
        <f>VLOOKUP(Eingabe[[#This Row],[Name]],AuswertungG[],8,FALSE)</f>
        <v>#N/A</v>
      </c>
      <c r="AZ515" s="6" t="str">
        <f>IFERROR(ABS(Eingabe[[#This Row],[GES]]-Eingabe[[#This Row],[GEGGES]]),"")</f>
        <v/>
      </c>
    </row>
    <row r="516" spans="1:52" ht="16.2" hidden="1" thickBot="1" x14ac:dyDescent="0.35">
      <c r="A516" s="441"/>
      <c r="B516" s="21">
        <f t="shared" si="50"/>
        <v>86</v>
      </c>
      <c r="C516" s="6" t="str">
        <f>VLOOKUP($B516,Chronologie[],7,TRUE)</f>
        <v>KSV Grün-Weiß Leubsdorf</v>
      </c>
      <c r="D516" s="6" t="str">
        <f>VLOOKUP($B516,Chronologie[],8,TRUE)</f>
        <v>Leubsdorf</v>
      </c>
      <c r="E516" s="240" t="str">
        <f>VLOOKUP($B516,Chronologie[],9,TRUE)</f>
        <v>A</v>
      </c>
      <c r="F516" s="6" t="str">
        <f>VLOOKUP($B516,Chronologie[],COLUMN(F517)-2,TRUE)</f>
        <v>Ü60</v>
      </c>
      <c r="G516" s="6" t="str">
        <f>VLOOKUP($B516,Chronologie[],COLUMN(G517)-2,TRUE)</f>
        <v>KEM</v>
      </c>
      <c r="H516" s="6" t="str">
        <f>VLOOKUP($B516,Chronologie[],COLUMN(H517)-2,TRUE)</f>
        <v>V</v>
      </c>
      <c r="I516" s="10" t="str">
        <f>VLOOKUP($B516,Chronologie[],2,TRUE)</f>
        <v>Ü60-KEM-V</v>
      </c>
      <c r="J516" s="243">
        <f>VLOOKUP($B516,Chronologie[],3,TRUE)</f>
        <v>46032</v>
      </c>
      <c r="K516" s="238"/>
      <c r="L516" s="237"/>
      <c r="M516" s="237"/>
      <c r="N516" s="237"/>
      <c r="O516" s="237"/>
      <c r="P516" s="237"/>
      <c r="Q516" s="237"/>
      <c r="R516" s="237"/>
      <c r="S516" s="237"/>
      <c r="T516" s="237"/>
      <c r="U516" s="237"/>
      <c r="V516" s="237"/>
      <c r="W516" s="237"/>
      <c r="X516" s="38"/>
      <c r="Y516" s="38"/>
      <c r="Z516" s="38"/>
      <c r="AA516" s="38"/>
      <c r="AB516" s="91"/>
      <c r="AC516" s="94" t="str">
        <f>IF(Eingabe[[#This Row],[V1]]="",IF(Eingabe[[#This Row],[Volle alternativ]]="","",Eingabe[[#This Row],[Volle alternativ]]),SUM(Eingabe[[#This Row],[V1]:[V4]]))</f>
        <v/>
      </c>
      <c r="AD516" s="6" t="str">
        <f>IF(Eingabe[[#This Row],[R1]]="",IF(Eingabe[[#This Row],[Räumer alternativ]]="","",Eingabe[[#This Row],[Räumer alternativ]]),SUM(Eingabe[[#This Row],[R1]:[R4]]))</f>
        <v/>
      </c>
      <c r="AE516" s="6" t="str">
        <f>IF(Eingabe[[#This Row],[F1]]="",IF(Eingabe[[#This Row],[Fehler alternativ]]="","",Eingabe[[#This Row],[Fehler alternativ]]),SUM(Eingabe[[#This Row],[F1]:[F4]]))</f>
        <v/>
      </c>
      <c r="AF516" s="6" t="str">
        <f>IF(Eingabe[[#This Row],[Volle]]="","",IF(Eingabe[[#This Row],[S1]]="",Eingabe[[#This Row],[Volle]]+Eingabe[[#This Row],[Räumer]],IF(Eingabe[[#This Row],[Volle]]+Eingabe[[#This Row],[Räumer]]=Eingabe[[#This Row],[S1]]+Eingabe[[#This Row],[S2]]+Eingabe[[#This Row],[S3]]+Eingabe[[#This Row],[S4]],Eingabe[[#This Row],[Volle]]+Eingabe[[#This Row],[Räumer]],"FEHLER")))</f>
        <v/>
      </c>
      <c r="AG516" s="6" t="str">
        <f>IF(Eingabe[[#This Row],[V1]]="","",Eingabe[[#This Row],[V1]]+Eingabe[[#This Row],[R1]])</f>
        <v/>
      </c>
      <c r="AH516" s="6" t="str">
        <f>IF(Eingabe[[#This Row],[V2]]="","",Eingabe[[#This Row],[V2]]+Eingabe[[#This Row],[R2]])</f>
        <v/>
      </c>
      <c r="AI516" s="6" t="str">
        <f>IF(Eingabe[[#This Row],[V3]]="","",Eingabe[[#This Row],[V3]]+Eingabe[[#This Row],[R3]])</f>
        <v/>
      </c>
      <c r="AJ516" s="6" t="str">
        <f>IF(Eingabe[[#This Row],[V4]]="","",Eingabe[[#This Row],[V4]]+Eingabe[[#This Row],[R4]])</f>
        <v/>
      </c>
      <c r="AK516" s="6" t="str">
        <f>IF(Eingabe[[#This Row],[S1P]]="","",Eingabe[[#This Row],[S1P]]+Eingabe[[#This Row],[S2P]]+Eingabe[[#This Row],[S3P]]+Eingabe[[#This Row],[S4P]])</f>
        <v/>
      </c>
      <c r="AL516" s="6" t="str">
        <f>IF(Eingabe[[#This Row],[S1P]]="","",IF(Eingabe[[#This Row],[SP]]&gt;2,1,IF(Eingabe[[#This Row],[SP]]&lt;2,0,IF(Eingabe[[#This Row],[GES]]&gt;Eingabe[[#This Row],[GEGGES]],1,IF(Eingabe[[#This Row],[GES]]=Eingabe[[#This Row],[GEGGES]],0.5,0)))))</f>
        <v/>
      </c>
      <c r="AM516" s="6" t="str">
        <f>IF(Eingabe[[#This Row],[MP]]="","",MOD(ROW(Eingabe[[#This Row],[Position]])-3,6)+1)</f>
        <v/>
      </c>
      <c r="AN516" s="6" t="e">
        <f>STANDARDIZE(Eingabe[[#This Row],[GES]],Eingabe[[#This Row],[Schnitt]],VLOOKUP(Eingabe[[#This Row],[Name]],AuswertungG[],21,FALSE))</f>
        <v>#VALUE!</v>
      </c>
      <c r="AO516" s="6">
        <f>VLOOKUP(Eingabe[[#This Row],[ID]],Chronologie[[ID]:[KW]],12,FALSE)</f>
        <v>20</v>
      </c>
      <c r="AP516" s="95" t="str">
        <f>IF(Eingabe[[#This Row],[Wo]]="H",Eingabe[[#This Row],[Gegner]]&amp;" ["&amp;Eingabe[[#This Row],[Wo]]&amp;"]",Eingabe[[#This Row],[Ort]])</f>
        <v>Leubsdorf</v>
      </c>
      <c r="AQ516" s="6" t="str">
        <f>IFERROR(IF(Eingabe[[#This Row],[Wo]]="H",IF(MOD(Eingabe[[#This Row],[Position]],2)=1,Eingabe[[#This Row],[S1]],Eingabe[[#This Row],[S4]]),""),"")</f>
        <v/>
      </c>
      <c r="AR516" s="6" t="str">
        <f>IFERROR(IF(Eingabe[[#This Row],[Wo]]="H",IF(Eingabe[[#This Row],[S1]]&gt;0,IF(MOD(Eingabe[[#This Row],[Position]],2)=1,Eingabe[[#This Row],[S2]],Eingabe[[#This Row],[S3]]),""),""),"")</f>
        <v/>
      </c>
      <c r="AS516" s="6" t="str">
        <f>IFERROR(IF(Eingabe[[#This Row],[Wo]]="H",IF(Eingabe[[#This Row],[S1]]&gt;0,IF(MOD(ROW(Eingabe[[#This Row],[Heimbahn 3]]),2)=1,Eingabe[[#This Row],[S4]],Eingabe[[#This Row],[S1]]),""),""),"")</f>
        <v/>
      </c>
      <c r="AT516" s="6" t="str">
        <f>IFERROR(IF(Eingabe[[#This Row],[Wo]]="H",IF(Eingabe[[#This Row],[S1]]&gt;0,IF(MOD(ROW(Eingabe[[#This Row],[Heimbahn 4]]),2)=1,Eingabe[[#This Row],[S3]],Eingabe[[#This Row],[S2]]),""),""),"")</f>
        <v/>
      </c>
      <c r="AU516" s="22" t="str">
        <f>IF(Eingabe[[#This Row],[GES]]="","",IF(Eingabe[[#This Row],[Modus]]="L",_xlfn.RANK.EQ(Eingabe[[#This Row],[GES]],AF513:AF518),IF(Eingabe[[#This Row],[Modus]]="P",_xlfn.RANK.EQ(Eingabe[[#This Row],[GES]],AF513:AF518),"")))</f>
        <v/>
      </c>
      <c r="AV516" s="6" t="e">
        <f>VLOOKUP(Eingabe[[#This Row],[Name]],AuswertungG[],8,FALSE)</f>
        <v>#N/A</v>
      </c>
      <c r="AZ516" s="6" t="str">
        <f>IFERROR(ABS(Eingabe[[#This Row],[GES]]-Eingabe[[#This Row],[GEGGES]]),"")</f>
        <v/>
      </c>
    </row>
    <row r="517" spans="1:52" ht="16.2" hidden="1" thickBot="1" x14ac:dyDescent="0.35">
      <c r="A517" s="441"/>
      <c r="B517" s="21">
        <f t="shared" si="50"/>
        <v>86</v>
      </c>
      <c r="C517" s="6" t="str">
        <f>VLOOKUP($B517,Chronologie[],7,TRUE)</f>
        <v>KSV Grün-Weiß Leubsdorf</v>
      </c>
      <c r="D517" s="6" t="str">
        <f>VLOOKUP($B517,Chronologie[],8,TRUE)</f>
        <v>Leubsdorf</v>
      </c>
      <c r="E517" s="240" t="str">
        <f>VLOOKUP($B517,Chronologie[],9,TRUE)</f>
        <v>A</v>
      </c>
      <c r="F517" s="6" t="str">
        <f>VLOOKUP($B517,Chronologie[],COLUMN(F518)-2,TRUE)</f>
        <v>Ü60</v>
      </c>
      <c r="G517" s="6" t="str">
        <f>VLOOKUP($B517,Chronologie[],COLUMN(G518)-2,TRUE)</f>
        <v>KEM</v>
      </c>
      <c r="H517" s="6" t="str">
        <f>VLOOKUP($B517,Chronologie[],COLUMN(H518)-2,TRUE)</f>
        <v>V</v>
      </c>
      <c r="I517" s="10" t="str">
        <f>VLOOKUP($B517,Chronologie[],2,TRUE)</f>
        <v>Ü60-KEM-V</v>
      </c>
      <c r="J517" s="243">
        <f>VLOOKUP($B517,Chronologie[],3,TRUE)</f>
        <v>46032</v>
      </c>
      <c r="K517" s="237"/>
      <c r="L517" s="237"/>
      <c r="M517" s="237"/>
      <c r="N517" s="237"/>
      <c r="O517" s="237"/>
      <c r="P517" s="237"/>
      <c r="Q517" s="237"/>
      <c r="R517" s="237"/>
      <c r="S517" s="237"/>
      <c r="T517" s="237"/>
      <c r="U517" s="237"/>
      <c r="V517" s="237"/>
      <c r="W517" s="237"/>
      <c r="X517" s="38"/>
      <c r="Y517" s="38"/>
      <c r="Z517" s="38"/>
      <c r="AA517" s="38"/>
      <c r="AB517" s="91"/>
      <c r="AC517" s="94" t="str">
        <f>IF(Eingabe[[#This Row],[V1]]="",IF(Eingabe[[#This Row],[Volle alternativ]]="","",Eingabe[[#This Row],[Volle alternativ]]),SUM(Eingabe[[#This Row],[V1]:[V4]]))</f>
        <v/>
      </c>
      <c r="AD517" s="6" t="str">
        <f>IF(Eingabe[[#This Row],[R1]]="",IF(Eingabe[[#This Row],[Räumer alternativ]]="","",Eingabe[[#This Row],[Räumer alternativ]]),SUM(Eingabe[[#This Row],[R1]:[R4]]))</f>
        <v/>
      </c>
      <c r="AE517" s="6" t="str">
        <f>IF(Eingabe[[#This Row],[F1]]="",IF(Eingabe[[#This Row],[Fehler alternativ]]="","",Eingabe[[#This Row],[Fehler alternativ]]),SUM(Eingabe[[#This Row],[F1]:[F4]]))</f>
        <v/>
      </c>
      <c r="AF517" s="6" t="str">
        <f>IF(Eingabe[[#This Row],[Volle]]="","",IF(Eingabe[[#This Row],[S1]]="",Eingabe[[#This Row],[Volle]]+Eingabe[[#This Row],[Räumer]],IF(Eingabe[[#This Row],[Volle]]+Eingabe[[#This Row],[Räumer]]=Eingabe[[#This Row],[S1]]+Eingabe[[#This Row],[S2]]+Eingabe[[#This Row],[S3]]+Eingabe[[#This Row],[S4]],Eingabe[[#This Row],[Volle]]+Eingabe[[#This Row],[Räumer]],"FEHLER")))</f>
        <v/>
      </c>
      <c r="AG517" s="6" t="str">
        <f>IF(Eingabe[[#This Row],[V1]]="","",Eingabe[[#This Row],[V1]]+Eingabe[[#This Row],[R1]])</f>
        <v/>
      </c>
      <c r="AH517" s="6" t="str">
        <f>IF(Eingabe[[#This Row],[V2]]="","",Eingabe[[#This Row],[V2]]+Eingabe[[#This Row],[R2]])</f>
        <v/>
      </c>
      <c r="AI517" s="6" t="str">
        <f>IF(Eingabe[[#This Row],[V3]]="","",Eingabe[[#This Row],[V3]]+Eingabe[[#This Row],[R3]])</f>
        <v/>
      </c>
      <c r="AJ517" s="6" t="str">
        <f>IF(Eingabe[[#This Row],[V4]]="","",Eingabe[[#This Row],[V4]]+Eingabe[[#This Row],[R4]])</f>
        <v/>
      </c>
      <c r="AK517" s="6" t="str">
        <f>IF(Eingabe[[#This Row],[S1P]]="","",Eingabe[[#This Row],[S1P]]+Eingabe[[#This Row],[S2P]]+Eingabe[[#This Row],[S3P]]+Eingabe[[#This Row],[S4P]])</f>
        <v/>
      </c>
      <c r="AL517" s="6" t="str">
        <f>IF(Eingabe[[#This Row],[S1P]]="","",IF(Eingabe[[#This Row],[SP]]&gt;2,1,IF(Eingabe[[#This Row],[SP]]&lt;2,0,IF(Eingabe[[#This Row],[GES]]&gt;Eingabe[[#This Row],[GEGGES]],1,IF(Eingabe[[#This Row],[GES]]=Eingabe[[#This Row],[GEGGES]],0.5,0)))))</f>
        <v/>
      </c>
      <c r="AM517" s="6" t="str">
        <f>IF(Eingabe[[#This Row],[MP]]="","",MOD(ROW(Eingabe[[#This Row],[Position]])-3,6)+1)</f>
        <v/>
      </c>
      <c r="AN517" s="6" t="e">
        <f>STANDARDIZE(Eingabe[[#This Row],[GES]],Eingabe[[#This Row],[Schnitt]],VLOOKUP(Eingabe[[#This Row],[Name]],AuswertungG[],21,FALSE))</f>
        <v>#VALUE!</v>
      </c>
      <c r="AO517" s="6">
        <f>VLOOKUP(Eingabe[[#This Row],[ID]],Chronologie[[ID]:[KW]],12,FALSE)</f>
        <v>20</v>
      </c>
      <c r="AP517" s="95" t="str">
        <f>IF(Eingabe[[#This Row],[Wo]]="H",Eingabe[[#This Row],[Gegner]]&amp;" ["&amp;Eingabe[[#This Row],[Wo]]&amp;"]",Eingabe[[#This Row],[Ort]])</f>
        <v>Leubsdorf</v>
      </c>
      <c r="AQ517" s="6" t="str">
        <f>IFERROR(IF(Eingabe[[#This Row],[Wo]]="H",IF(MOD(Eingabe[[#This Row],[Position]],2)=1,Eingabe[[#This Row],[S1]],Eingabe[[#This Row],[S4]]),""),"")</f>
        <v/>
      </c>
      <c r="AR517" s="6" t="str">
        <f>IFERROR(IF(Eingabe[[#This Row],[Wo]]="H",IF(Eingabe[[#This Row],[S1]]&gt;0,IF(MOD(Eingabe[[#This Row],[Position]],2)=1,Eingabe[[#This Row],[S2]],Eingabe[[#This Row],[S3]]),""),""),"")</f>
        <v/>
      </c>
      <c r="AS517" s="6" t="str">
        <f>IFERROR(IF(Eingabe[[#This Row],[Wo]]="H",IF(Eingabe[[#This Row],[S1]]&gt;0,IF(MOD(ROW(Eingabe[[#This Row],[Heimbahn 3]]),2)=1,Eingabe[[#This Row],[S4]],Eingabe[[#This Row],[S1]]),""),""),"")</f>
        <v/>
      </c>
      <c r="AT517" s="6" t="str">
        <f>IFERROR(IF(Eingabe[[#This Row],[Wo]]="H",IF(Eingabe[[#This Row],[S1]]&gt;0,IF(MOD(ROW(Eingabe[[#This Row],[Heimbahn 4]]),2)=1,Eingabe[[#This Row],[S3]],Eingabe[[#This Row],[S2]]),""),""),"")</f>
        <v/>
      </c>
      <c r="AU517" s="22" t="str">
        <f>IF(Eingabe[[#This Row],[GES]]="","",IF(Eingabe[[#This Row],[Modus]]="L",_xlfn.RANK.EQ(Eingabe[[#This Row],[GES]],AF513:AF518),IF(Eingabe[[#This Row],[Modus]]="P",_xlfn.RANK.EQ(Eingabe[[#This Row],[GES]],AF513:AF518),"")))</f>
        <v/>
      </c>
      <c r="AV517" s="6" t="e">
        <f>VLOOKUP(Eingabe[[#This Row],[Name]],AuswertungG[],8,FALSE)</f>
        <v>#N/A</v>
      </c>
      <c r="AZ517" s="6" t="str">
        <f>IFERROR(ABS(Eingabe[[#This Row],[GES]]-Eingabe[[#This Row],[GEGGES]]),"")</f>
        <v/>
      </c>
    </row>
    <row r="518" spans="1:52" ht="16.2" hidden="1" thickBot="1" x14ac:dyDescent="0.35">
      <c r="A518" s="442"/>
      <c r="B518" s="56">
        <f t="shared" si="50"/>
        <v>86</v>
      </c>
      <c r="C518" s="23" t="str">
        <f>VLOOKUP($B518,Chronologie[],7,TRUE)</f>
        <v>KSV Grün-Weiß Leubsdorf</v>
      </c>
      <c r="D518" s="23" t="str">
        <f>VLOOKUP($B518,Chronologie[],8,TRUE)</f>
        <v>Leubsdorf</v>
      </c>
      <c r="E518" s="39" t="str">
        <f>VLOOKUP($B518,Chronologie[],9,TRUE)</f>
        <v>A</v>
      </c>
      <c r="F518" s="23" t="str">
        <f>VLOOKUP($B518,Chronologie[],COLUMN(F519)-2,TRUE)</f>
        <v>Ü60</v>
      </c>
      <c r="G518" s="23" t="str">
        <f>VLOOKUP($B518,Chronologie[],COLUMN(G519)-2,TRUE)</f>
        <v>KEM</v>
      </c>
      <c r="H518" s="23" t="str">
        <f>VLOOKUP($B518,Chronologie[],COLUMN(H519)-2,TRUE)</f>
        <v>V</v>
      </c>
      <c r="I518" s="13" t="str">
        <f>VLOOKUP($B518,Chronologie[],2,TRUE)</f>
        <v>Ü60-KEM-V</v>
      </c>
      <c r="J518" s="244">
        <f>VLOOKUP($B518,Chronologie[],3,TRUE)</f>
        <v>46032</v>
      </c>
      <c r="K518" s="239"/>
      <c r="L518" s="239"/>
      <c r="M518" s="239"/>
      <c r="N518" s="239"/>
      <c r="O518" s="239"/>
      <c r="P518" s="239"/>
      <c r="Q518" s="239"/>
      <c r="R518" s="239"/>
      <c r="S518" s="239"/>
      <c r="T518" s="239"/>
      <c r="U518" s="239"/>
      <c r="V518" s="239"/>
      <c r="W518" s="239"/>
      <c r="X518" s="40"/>
      <c r="Y518" s="40"/>
      <c r="Z518" s="40"/>
      <c r="AA518" s="40"/>
      <c r="AB518" s="92"/>
      <c r="AC518" s="96" t="str">
        <f>IF(Eingabe[[#This Row],[V1]]="",IF(Eingabe[[#This Row],[Volle alternativ]]="","",Eingabe[[#This Row],[Volle alternativ]]),SUM(Eingabe[[#This Row],[V1]:[V4]]))</f>
        <v/>
      </c>
      <c r="AD518" s="23" t="str">
        <f>IF(Eingabe[[#This Row],[R1]]="",IF(Eingabe[[#This Row],[Räumer alternativ]]="","",Eingabe[[#This Row],[Räumer alternativ]]),SUM(Eingabe[[#This Row],[R1]:[R4]]))</f>
        <v/>
      </c>
      <c r="AE518" s="23" t="str">
        <f>IF(Eingabe[[#This Row],[F1]]="",IF(Eingabe[[#This Row],[Fehler alternativ]]="","",Eingabe[[#This Row],[Fehler alternativ]]),SUM(Eingabe[[#This Row],[F1]:[F4]]))</f>
        <v/>
      </c>
      <c r="AF518" s="23" t="str">
        <f>IF(Eingabe[[#This Row],[Volle]]="","",IF(Eingabe[[#This Row],[S1]]="",Eingabe[[#This Row],[Volle]]+Eingabe[[#This Row],[Räumer]],IF(Eingabe[[#This Row],[Volle]]+Eingabe[[#This Row],[Räumer]]=Eingabe[[#This Row],[S1]]+Eingabe[[#This Row],[S2]]+Eingabe[[#This Row],[S3]]+Eingabe[[#This Row],[S4]],Eingabe[[#This Row],[Volle]]+Eingabe[[#This Row],[Räumer]],"FEHLER")))</f>
        <v/>
      </c>
      <c r="AG518" s="23" t="str">
        <f>IF(Eingabe[[#This Row],[V1]]="","",Eingabe[[#This Row],[V1]]+Eingabe[[#This Row],[R1]])</f>
        <v/>
      </c>
      <c r="AH518" s="23" t="str">
        <f>IF(Eingabe[[#This Row],[V2]]="","",Eingabe[[#This Row],[V2]]+Eingabe[[#This Row],[R2]])</f>
        <v/>
      </c>
      <c r="AI518" s="23" t="str">
        <f>IF(Eingabe[[#This Row],[V3]]="","",Eingabe[[#This Row],[V3]]+Eingabe[[#This Row],[R3]])</f>
        <v/>
      </c>
      <c r="AJ518" s="23" t="str">
        <f>IF(Eingabe[[#This Row],[V4]]="","",Eingabe[[#This Row],[V4]]+Eingabe[[#This Row],[R4]])</f>
        <v/>
      </c>
      <c r="AK518" s="23" t="str">
        <f>IF(Eingabe[[#This Row],[S1P]]="","",Eingabe[[#This Row],[S1P]]+Eingabe[[#This Row],[S2P]]+Eingabe[[#This Row],[S3P]]+Eingabe[[#This Row],[S4P]])</f>
        <v/>
      </c>
      <c r="AL518" s="23" t="str">
        <f>IF(Eingabe[[#This Row],[S1P]]="","",IF(Eingabe[[#This Row],[SP]]&gt;2,1,IF(Eingabe[[#This Row],[SP]]&lt;2,0,IF(Eingabe[[#This Row],[GES]]&gt;Eingabe[[#This Row],[GEGGES]],1,IF(Eingabe[[#This Row],[GES]]=Eingabe[[#This Row],[GEGGES]],0.5,0)))))</f>
        <v/>
      </c>
      <c r="AM518" s="23" t="str">
        <f>IF(Eingabe[[#This Row],[MP]]="","",MOD(ROW(Eingabe[[#This Row],[Position]])-3,6)+1)</f>
        <v/>
      </c>
      <c r="AN518" s="23" t="e">
        <f>STANDARDIZE(Eingabe[[#This Row],[GES]],Eingabe[[#This Row],[Schnitt]],VLOOKUP(Eingabe[[#This Row],[Name]],AuswertungG[],21,FALSE))</f>
        <v>#VALUE!</v>
      </c>
      <c r="AO518" s="23">
        <f>VLOOKUP(Eingabe[[#This Row],[ID]],Chronologie[[ID]:[KW]],12,FALSE)</f>
        <v>20</v>
      </c>
      <c r="AP518" s="59" t="str">
        <f>IF(Eingabe[[#This Row],[Wo]]="H",Eingabe[[#This Row],[Gegner]]&amp;" ["&amp;Eingabe[[#This Row],[Wo]]&amp;"]",Eingabe[[#This Row],[Ort]])</f>
        <v>Leubsdorf</v>
      </c>
      <c r="AQ518" s="23" t="str">
        <f>IFERROR(IF(Eingabe[[#This Row],[Wo]]="H",IF(MOD(Eingabe[[#This Row],[Position]],2)=1,Eingabe[[#This Row],[S1]],Eingabe[[#This Row],[S4]]),""),"")</f>
        <v/>
      </c>
      <c r="AR518" s="23" t="str">
        <f>IFERROR(IF(Eingabe[[#This Row],[Wo]]="H",IF(Eingabe[[#This Row],[S1]]&gt;0,IF(MOD(Eingabe[[#This Row],[Position]],2)=1,Eingabe[[#This Row],[S2]],Eingabe[[#This Row],[S3]]),""),""),"")</f>
        <v/>
      </c>
      <c r="AS518" s="23" t="str">
        <f>IFERROR(IF(Eingabe[[#This Row],[Wo]]="H",IF(Eingabe[[#This Row],[S1]]&gt;0,IF(MOD(ROW(Eingabe[[#This Row],[Heimbahn 3]]),2)=1,Eingabe[[#This Row],[S4]],Eingabe[[#This Row],[S1]]),""),""),"")</f>
        <v/>
      </c>
      <c r="AT518" s="23" t="str">
        <f>IFERROR(IF(Eingabe[[#This Row],[Wo]]="H",IF(Eingabe[[#This Row],[S1]]&gt;0,IF(MOD(ROW(Eingabe[[#This Row],[Heimbahn 4]]),2)=1,Eingabe[[#This Row],[S3]],Eingabe[[#This Row],[S2]]),""),""),"")</f>
        <v/>
      </c>
      <c r="AU518" s="89" t="str">
        <f>IF(Eingabe[[#This Row],[GES]]="","",IF(Eingabe[[#This Row],[Modus]]="L",_xlfn.RANK.EQ(Eingabe[[#This Row],[GES]],AF513:AF518),IF(Eingabe[[#This Row],[Modus]]="P",_xlfn.RANK.EQ(Eingabe[[#This Row],[GES]],AF513:AF518),"")))</f>
        <v/>
      </c>
      <c r="AV518" s="6" t="e">
        <f>VLOOKUP(Eingabe[[#This Row],[Name]],AuswertungG[],8,FALSE)</f>
        <v>#N/A</v>
      </c>
      <c r="AZ518" s="6" t="str">
        <f>IFERROR(ABS(Eingabe[[#This Row],[GES]]-Eingabe[[#This Row],[GEGGES]]),"")</f>
        <v/>
      </c>
    </row>
    <row r="519" spans="1:52" ht="16.2" hidden="1" thickBot="1" x14ac:dyDescent="0.35">
      <c r="A519" s="440">
        <f t="shared" si="49"/>
        <v>87</v>
      </c>
      <c r="B519" s="55">
        <f t="shared" si="50"/>
        <v>87</v>
      </c>
      <c r="C519" s="35" t="str">
        <f>VLOOKUP($B519,Chronologie[],7,TRUE)</f>
        <v>TuS 1875 Großschirma</v>
      </c>
      <c r="D519" s="35" t="str">
        <f>VLOOKUP($B519,Chronologie[],8,TRUE)</f>
        <v>Großschirma</v>
      </c>
      <c r="E519" s="36" t="str">
        <f>VLOOKUP($B519,Chronologie[],9,TRUE)</f>
        <v>A</v>
      </c>
      <c r="F519" s="35" t="str">
        <f>VLOOKUP($B519,Chronologie[],COLUMN(F520)-2,TRUE)</f>
        <v>Ü50</v>
      </c>
      <c r="G519" s="35" t="str">
        <f>VLOOKUP($B519,Chronologie[],COLUMN(G520)-2,TRUE)</f>
        <v>KEM</v>
      </c>
      <c r="H519" s="35" t="str">
        <f>VLOOKUP($B519,Chronologie[],COLUMN(H520)-2,TRUE)</f>
        <v>V</v>
      </c>
      <c r="I519" s="9" t="str">
        <f>VLOOKUP($B519,Chronologie[],2,TRUE)</f>
        <v>Ü50-KEM-V</v>
      </c>
      <c r="J519" s="242">
        <f>VLOOKUP($B519,Chronologie[],3,TRUE)</f>
        <v>46032</v>
      </c>
      <c r="K519" s="236" t="s">
        <v>15</v>
      </c>
      <c r="L519" s="334">
        <v>88</v>
      </c>
      <c r="M519" s="334">
        <v>80</v>
      </c>
      <c r="N519" s="334">
        <v>82</v>
      </c>
      <c r="O519" s="334">
        <v>74</v>
      </c>
      <c r="P519" s="334">
        <v>34</v>
      </c>
      <c r="Q519" s="334">
        <v>24</v>
      </c>
      <c r="R519" s="334">
        <v>26</v>
      </c>
      <c r="S519" s="334">
        <v>9</v>
      </c>
      <c r="T519" s="334">
        <v>3</v>
      </c>
      <c r="U519" s="334">
        <v>5</v>
      </c>
      <c r="V519" s="334">
        <v>4</v>
      </c>
      <c r="W519" s="334">
        <v>10</v>
      </c>
      <c r="X519" s="37"/>
      <c r="Y519" s="37"/>
      <c r="Z519" s="37"/>
      <c r="AA519" s="37"/>
      <c r="AB519" s="90"/>
      <c r="AC519" s="93">
        <f>IF(Eingabe[[#This Row],[V1]]="",IF(Eingabe[[#This Row],[Volle alternativ]]="","",Eingabe[[#This Row],[Volle alternativ]]),SUM(Eingabe[[#This Row],[V1]:[V4]]))</f>
        <v>324</v>
      </c>
      <c r="AD519" s="35">
        <f>IF(Eingabe[[#This Row],[R1]]="",IF(Eingabe[[#This Row],[Räumer alternativ]]="","",Eingabe[[#This Row],[Räumer alternativ]]),SUM(Eingabe[[#This Row],[R1]:[R4]]))</f>
        <v>93</v>
      </c>
      <c r="AE519" s="35">
        <f>IF(Eingabe[[#This Row],[F1]]="",IF(Eingabe[[#This Row],[Fehler alternativ]]="","",Eingabe[[#This Row],[Fehler alternativ]]),SUM(Eingabe[[#This Row],[F1]:[F4]]))</f>
        <v>22</v>
      </c>
      <c r="AF519" s="35">
        <f>IF(Eingabe[[#This Row],[Volle]]="","",IF(Eingabe[[#This Row],[S1]]="",Eingabe[[#This Row],[Volle]]+Eingabe[[#This Row],[Räumer]],IF(Eingabe[[#This Row],[Volle]]+Eingabe[[#This Row],[Räumer]]=Eingabe[[#This Row],[S1]]+Eingabe[[#This Row],[S2]]+Eingabe[[#This Row],[S3]]+Eingabe[[#This Row],[S4]],Eingabe[[#This Row],[Volle]]+Eingabe[[#This Row],[Räumer]],"FEHLER")))</f>
        <v>417</v>
      </c>
      <c r="AG519" s="35">
        <f>IF(Eingabe[[#This Row],[V1]]="","",Eingabe[[#This Row],[V1]]+Eingabe[[#This Row],[R1]])</f>
        <v>122</v>
      </c>
      <c r="AH519" s="35">
        <f>IF(Eingabe[[#This Row],[V2]]="","",Eingabe[[#This Row],[V2]]+Eingabe[[#This Row],[R2]])</f>
        <v>104</v>
      </c>
      <c r="AI519" s="35">
        <f>IF(Eingabe[[#This Row],[V3]]="","",Eingabe[[#This Row],[V3]]+Eingabe[[#This Row],[R3]])</f>
        <v>108</v>
      </c>
      <c r="AJ519" s="35">
        <f>IF(Eingabe[[#This Row],[V4]]="","",Eingabe[[#This Row],[V4]]+Eingabe[[#This Row],[R4]])</f>
        <v>83</v>
      </c>
      <c r="AK519" s="35" t="str">
        <f>IF(Eingabe[[#This Row],[S1P]]="","",Eingabe[[#This Row],[S1P]]+Eingabe[[#This Row],[S2P]]+Eingabe[[#This Row],[S3P]]+Eingabe[[#This Row],[S4P]])</f>
        <v/>
      </c>
      <c r="AL519" s="35" t="str">
        <f>IF(Eingabe[[#This Row],[S1P]]="","",IF(Eingabe[[#This Row],[SP]]&gt;2,1,IF(Eingabe[[#This Row],[SP]]&lt;2,0,IF(Eingabe[[#This Row],[GES]]&gt;Eingabe[[#This Row],[GEGGES]],1,IF(Eingabe[[#This Row],[GES]]=Eingabe[[#This Row],[GEGGES]],0.5,0)))))</f>
        <v/>
      </c>
      <c r="AM519" s="35" t="str">
        <f>IF(Eingabe[[#This Row],[MP]]="","",MOD(ROW(Eingabe[[#This Row],[Position]])-3,6)+1)</f>
        <v/>
      </c>
      <c r="AN519" s="35">
        <f>STANDARDIZE(Eingabe[[#This Row],[GES]],Eingabe[[#This Row],[Schnitt]],VLOOKUP(Eingabe[[#This Row],[Name]],AuswertungG[],21,FALSE))</f>
        <v>-1.3863636363636365</v>
      </c>
      <c r="AO519" s="35">
        <f>VLOOKUP(Eingabe[[#This Row],[ID]],Chronologie[[ID]:[KW]],12,FALSE)</f>
        <v>20</v>
      </c>
      <c r="AP519" s="58" t="str">
        <f>IF(Eingabe[[#This Row],[Wo]]="H",Eingabe[[#This Row],[Gegner]]&amp;" ["&amp;Eingabe[[#This Row],[Wo]]&amp;"]",Eingabe[[#This Row],[Ort]])</f>
        <v>Großschirma</v>
      </c>
      <c r="AQ519" s="35" t="str">
        <f>IFERROR(IF(Eingabe[[#This Row],[Wo]]="H",IF(MOD(Eingabe[[#This Row],[Position]],2)=1,Eingabe[[#This Row],[S1]],Eingabe[[#This Row],[S4]]),""),"")</f>
        <v/>
      </c>
      <c r="AR519" s="35" t="str">
        <f>IFERROR(IF(Eingabe[[#This Row],[Wo]]="H",IF(Eingabe[[#This Row],[S1]]&gt;0,IF(MOD(Eingabe[[#This Row],[Position]],2)=1,Eingabe[[#This Row],[S2]],Eingabe[[#This Row],[S3]]),""),""),"")</f>
        <v/>
      </c>
      <c r="AS519" s="35" t="str">
        <f>IFERROR(IF(Eingabe[[#This Row],[Wo]]="H",IF(Eingabe[[#This Row],[S1]]&gt;0,IF(MOD(ROW(Eingabe[[#This Row],[Heimbahn 3]]),2)=1,Eingabe[[#This Row],[S4]],Eingabe[[#This Row],[S1]]),""),""),"")</f>
        <v/>
      </c>
      <c r="AT519" s="35" t="str">
        <f>IFERROR(IF(Eingabe[[#This Row],[Wo]]="H",IF(Eingabe[[#This Row],[S1]]&gt;0,IF(MOD(ROW(Eingabe[[#This Row],[Heimbahn 4]]),2)=1,Eingabe[[#This Row],[S3]],Eingabe[[#This Row],[S2]]),""),""),"")</f>
        <v/>
      </c>
      <c r="AU519" s="88" t="str">
        <f>IF(Eingabe[[#This Row],[GES]]="","",IF(Eingabe[[#This Row],[Modus]]="L",_xlfn.RANK.EQ(Eingabe[[#This Row],[GES]],AF519:AF524),IF(Eingabe[[#This Row],[Modus]]="P",_xlfn.RANK.EQ(Eingabe[[#This Row],[GES]],AF519:AF524),"")))</f>
        <v/>
      </c>
      <c r="AV519" s="6">
        <f>VLOOKUP(Eingabe[[#This Row],[Name]],AuswertungG[],8,FALSE)</f>
        <v>478</v>
      </c>
      <c r="AZ519" s="6">
        <f>IFERROR(ABS(Eingabe[[#This Row],[GES]]-Eingabe[[#This Row],[GEGGES]]),"")</f>
        <v>417</v>
      </c>
    </row>
    <row r="520" spans="1:52" ht="16.2" hidden="1" thickBot="1" x14ac:dyDescent="0.35">
      <c r="A520" s="441"/>
      <c r="B520" s="21">
        <f t="shared" si="50"/>
        <v>87</v>
      </c>
      <c r="C520" s="6" t="str">
        <f>VLOOKUP($B520,Chronologie[],7,TRUE)</f>
        <v>TuS 1875 Großschirma</v>
      </c>
      <c r="D520" s="6" t="str">
        <f>VLOOKUP($B520,Chronologie[],8,TRUE)</f>
        <v>Großschirma</v>
      </c>
      <c r="E520" s="240" t="str">
        <f>VLOOKUP($B520,Chronologie[],9,TRUE)</f>
        <v>A</v>
      </c>
      <c r="F520" s="6" t="str">
        <f>VLOOKUP($B520,Chronologie[],COLUMN(F521)-2,TRUE)</f>
        <v>Ü50</v>
      </c>
      <c r="G520" s="6" t="str">
        <f>VLOOKUP($B520,Chronologie[],COLUMN(G521)-2,TRUE)</f>
        <v>KEM</v>
      </c>
      <c r="H520" s="6" t="str">
        <f>VLOOKUP($B520,Chronologie[],COLUMN(H521)-2,TRUE)</f>
        <v>V</v>
      </c>
      <c r="I520" s="10" t="str">
        <f>VLOOKUP($B520,Chronologie[],2,TRUE)</f>
        <v>Ü50-KEM-V</v>
      </c>
      <c r="J520" s="243">
        <f>VLOOKUP($B520,Chronologie[],3,TRUE)</f>
        <v>46032</v>
      </c>
      <c r="K520" s="237" t="s">
        <v>467</v>
      </c>
      <c r="L520" s="237"/>
      <c r="M520" s="237"/>
      <c r="N520" s="237"/>
      <c r="O520" s="237"/>
      <c r="P520" s="237"/>
      <c r="Q520" s="237"/>
      <c r="R520" s="237"/>
      <c r="S520" s="237"/>
      <c r="T520" s="237"/>
      <c r="U520" s="237"/>
      <c r="V520" s="237"/>
      <c r="W520" s="237"/>
      <c r="X520" s="38"/>
      <c r="Y520" s="38"/>
      <c r="Z520" s="38"/>
      <c r="AA520" s="38"/>
      <c r="AB520" s="91"/>
      <c r="AC520" s="94">
        <f>IF(Eingabe[[#This Row],[V1]]="",IF(Eingabe[[#This Row],[Volle alternativ]]="","",Eingabe[[#This Row],[Volle alternativ]]),SUM(Eingabe[[#This Row],[V1]:[V4]]))</f>
        <v>335</v>
      </c>
      <c r="AD520" s="6">
        <f>IF(Eingabe[[#This Row],[R1]]="",IF(Eingabe[[#This Row],[Räumer alternativ]]="","",Eingabe[[#This Row],[Räumer alternativ]]),SUM(Eingabe[[#This Row],[R1]:[R4]]))</f>
        <v>107</v>
      </c>
      <c r="AE520" s="6">
        <f>IF(Eingabe[[#This Row],[F1]]="",IF(Eingabe[[#This Row],[Fehler alternativ]]="","",Eingabe[[#This Row],[Fehler alternativ]]),SUM(Eingabe[[#This Row],[F1]:[F4]]))</f>
        <v>16</v>
      </c>
      <c r="AF520" s="6">
        <f>IF(Eingabe[[#This Row],[Volle]]="","",IF(Eingabe[[#This Row],[S1]]="",Eingabe[[#This Row],[Volle]]+Eingabe[[#This Row],[Räumer]],IF(Eingabe[[#This Row],[Volle]]+Eingabe[[#This Row],[Räumer]]=Eingabe[[#This Row],[S1]]+Eingabe[[#This Row],[S2]]+Eingabe[[#This Row],[S3]]+Eingabe[[#This Row],[S4]],Eingabe[[#This Row],[Volle]]+Eingabe[[#This Row],[Räumer]],"FEHLER")))</f>
        <v>442</v>
      </c>
      <c r="AG520" s="6" t="str">
        <f>IF(Eingabe[[#This Row],[V1]]="","",Eingabe[[#This Row],[V1]]+Eingabe[[#This Row],[R1]])</f>
        <v/>
      </c>
      <c r="AH520" s="6" t="str">
        <f>IF(Eingabe[[#This Row],[V2]]="","",Eingabe[[#This Row],[V2]]+Eingabe[[#This Row],[R2]])</f>
        <v/>
      </c>
      <c r="AI520" s="6" t="str">
        <f>IF(Eingabe[[#This Row],[V3]]="","",Eingabe[[#This Row],[V3]]+Eingabe[[#This Row],[R3]])</f>
        <v/>
      </c>
      <c r="AJ520" s="6" t="str">
        <f>IF(Eingabe[[#This Row],[V4]]="","",Eingabe[[#This Row],[V4]]+Eingabe[[#This Row],[R4]])</f>
        <v/>
      </c>
      <c r="AK520" s="6" t="str">
        <f>IF(Eingabe[[#This Row],[S1P]]="","",Eingabe[[#This Row],[S1P]]+Eingabe[[#This Row],[S2P]]+Eingabe[[#This Row],[S3P]]+Eingabe[[#This Row],[S4P]])</f>
        <v/>
      </c>
      <c r="AL520" s="6" t="str">
        <f>IF(Eingabe[[#This Row],[S1P]]="","",IF(Eingabe[[#This Row],[SP]]&gt;2,1,IF(Eingabe[[#This Row],[SP]]&lt;2,0,IF(Eingabe[[#This Row],[GES]]&gt;Eingabe[[#This Row],[GEGGES]],1,IF(Eingabe[[#This Row],[GES]]=Eingabe[[#This Row],[GEGGES]],0.5,0)))))</f>
        <v/>
      </c>
      <c r="AM520" s="6" t="str">
        <f>IF(Eingabe[[#This Row],[MP]]="","",MOD(ROW(Eingabe[[#This Row],[Position]])-3,6)+1)</f>
        <v/>
      </c>
      <c r="AN520" s="6">
        <f>STANDARDIZE(Eingabe[[#This Row],[GES]],Eingabe[[#This Row],[Schnitt]],VLOOKUP(Eingabe[[#This Row],[Name]],AuswertungG[],21,FALSE))</f>
        <v>-1.6</v>
      </c>
      <c r="AO520" s="6">
        <f>VLOOKUP(Eingabe[[#This Row],[ID]],Chronologie[[ID]:[KW]],12,FALSE)</f>
        <v>20</v>
      </c>
      <c r="AP520" s="95" t="str">
        <f>IF(Eingabe[[#This Row],[Wo]]="H",Eingabe[[#This Row],[Gegner]]&amp;" ["&amp;Eingabe[[#This Row],[Wo]]&amp;"]",Eingabe[[#This Row],[Ort]])</f>
        <v>Großschirma</v>
      </c>
      <c r="AQ520" s="6" t="str">
        <f>IFERROR(IF(Eingabe[[#This Row],[Wo]]="H",IF(MOD(Eingabe[[#This Row],[Position]],2)=1,Eingabe[[#This Row],[S1]],Eingabe[[#This Row],[S4]]),""),"")</f>
        <v/>
      </c>
      <c r="AR520" s="6" t="str">
        <f>IFERROR(IF(Eingabe[[#This Row],[Wo]]="H",IF(Eingabe[[#This Row],[S1]]&gt;0,IF(MOD(Eingabe[[#This Row],[Position]],2)=1,Eingabe[[#This Row],[S2]],Eingabe[[#This Row],[S3]]),""),""),"")</f>
        <v/>
      </c>
      <c r="AS520" s="6" t="str">
        <f>IFERROR(IF(Eingabe[[#This Row],[Wo]]="H",IF(Eingabe[[#This Row],[S1]]&gt;0,IF(MOD(ROW(Eingabe[[#This Row],[Heimbahn 3]]),2)=1,Eingabe[[#This Row],[S4]],Eingabe[[#This Row],[S1]]),""),""),"")</f>
        <v/>
      </c>
      <c r="AT520" s="6" t="str">
        <f>IFERROR(IF(Eingabe[[#This Row],[Wo]]="H",IF(Eingabe[[#This Row],[S1]]&gt;0,IF(MOD(ROW(Eingabe[[#This Row],[Heimbahn 4]]),2)=1,Eingabe[[#This Row],[S3]],Eingabe[[#This Row],[S2]]),""),""),"")</f>
        <v/>
      </c>
      <c r="AU520" s="22" t="str">
        <f>IF(Eingabe[[#This Row],[GES]]="","",IF(Eingabe[[#This Row],[Modus]]="L",_xlfn.RANK.EQ(Eingabe[[#This Row],[GES]],AF519:AF524),IF(Eingabe[[#This Row],[Modus]]="P",_xlfn.RANK.EQ(Eingabe[[#This Row],[GES]],AF519:AF524),"")))</f>
        <v/>
      </c>
      <c r="AV520" s="6">
        <f>VLOOKUP(Eingabe[[#This Row],[Name]],AuswertungG[],8,FALSE)</f>
        <v>498</v>
      </c>
      <c r="AW520" s="6">
        <v>335</v>
      </c>
      <c r="AX520" s="6">
        <v>107</v>
      </c>
      <c r="AY520" s="6">
        <v>16</v>
      </c>
      <c r="AZ520" s="6">
        <f>IFERROR(ABS(Eingabe[[#This Row],[GES]]-Eingabe[[#This Row],[GEGGES]]),"")</f>
        <v>442</v>
      </c>
    </row>
    <row r="521" spans="1:52" ht="16.2" hidden="1" thickBot="1" x14ac:dyDescent="0.35">
      <c r="A521" s="441"/>
      <c r="B521" s="21">
        <f t="shared" ref="B521:B552" si="51">ROUNDUP((ROW(B521)-2)/6,0)</f>
        <v>87</v>
      </c>
      <c r="C521" s="6" t="str">
        <f>VLOOKUP($B521,Chronologie[],7,TRUE)</f>
        <v>TuS 1875 Großschirma</v>
      </c>
      <c r="D521" s="6" t="str">
        <f>VLOOKUP($B521,Chronologie[],8,TRUE)</f>
        <v>Großschirma</v>
      </c>
      <c r="E521" s="240" t="str">
        <f>VLOOKUP($B521,Chronologie[],9,TRUE)</f>
        <v>A</v>
      </c>
      <c r="F521" s="6" t="str">
        <f>VLOOKUP($B521,Chronologie[],COLUMN(F522)-2,TRUE)</f>
        <v>Ü50</v>
      </c>
      <c r="G521" s="6" t="str">
        <f>VLOOKUP($B521,Chronologie[],COLUMN(G522)-2,TRUE)</f>
        <v>KEM</v>
      </c>
      <c r="H521" s="6" t="str">
        <f>VLOOKUP($B521,Chronologie[],COLUMN(H522)-2,TRUE)</f>
        <v>V</v>
      </c>
      <c r="I521" s="10" t="str">
        <f>VLOOKUP($B521,Chronologie[],2,TRUE)</f>
        <v>Ü50-KEM-V</v>
      </c>
      <c r="J521" s="243">
        <f>VLOOKUP($B521,Chronologie[],3,TRUE)</f>
        <v>46032</v>
      </c>
      <c r="K521" s="237"/>
      <c r="L521" s="237"/>
      <c r="M521" s="237"/>
      <c r="N521" s="237"/>
      <c r="O521" s="237"/>
      <c r="P521" s="237"/>
      <c r="Q521" s="237"/>
      <c r="R521" s="237"/>
      <c r="S521" s="237"/>
      <c r="T521" s="237"/>
      <c r="U521" s="237"/>
      <c r="V521" s="237"/>
      <c r="W521" s="237"/>
      <c r="X521" s="38"/>
      <c r="Y521" s="38"/>
      <c r="Z521" s="38"/>
      <c r="AA521" s="38"/>
      <c r="AB521" s="91"/>
      <c r="AC521" s="94" t="str">
        <f>IF(Eingabe[[#This Row],[V1]]="",IF(Eingabe[[#This Row],[Volle alternativ]]="","",Eingabe[[#This Row],[Volle alternativ]]),SUM(Eingabe[[#This Row],[V1]:[V4]]))</f>
        <v/>
      </c>
      <c r="AD521" s="6" t="str">
        <f>IF(Eingabe[[#This Row],[R1]]="",IF(Eingabe[[#This Row],[Räumer alternativ]]="","",Eingabe[[#This Row],[Räumer alternativ]]),SUM(Eingabe[[#This Row],[R1]:[R4]]))</f>
        <v/>
      </c>
      <c r="AE521" s="6" t="str">
        <f>IF(Eingabe[[#This Row],[F1]]="",IF(Eingabe[[#This Row],[Fehler alternativ]]="","",Eingabe[[#This Row],[Fehler alternativ]]),SUM(Eingabe[[#This Row],[F1]:[F4]]))</f>
        <v/>
      </c>
      <c r="AF521" s="6" t="str">
        <f>IF(Eingabe[[#This Row],[Volle]]="","",IF(Eingabe[[#This Row],[S1]]="",Eingabe[[#This Row],[Volle]]+Eingabe[[#This Row],[Räumer]],IF(Eingabe[[#This Row],[Volle]]+Eingabe[[#This Row],[Räumer]]=Eingabe[[#This Row],[S1]]+Eingabe[[#This Row],[S2]]+Eingabe[[#This Row],[S3]]+Eingabe[[#This Row],[S4]],Eingabe[[#This Row],[Volle]]+Eingabe[[#This Row],[Räumer]],"FEHLER")))</f>
        <v/>
      </c>
      <c r="AG521" s="6" t="str">
        <f>IF(Eingabe[[#This Row],[V1]]="","",Eingabe[[#This Row],[V1]]+Eingabe[[#This Row],[R1]])</f>
        <v/>
      </c>
      <c r="AH521" s="6" t="str">
        <f>IF(Eingabe[[#This Row],[V2]]="","",Eingabe[[#This Row],[V2]]+Eingabe[[#This Row],[R2]])</f>
        <v/>
      </c>
      <c r="AI521" s="6" t="str">
        <f>IF(Eingabe[[#This Row],[V3]]="","",Eingabe[[#This Row],[V3]]+Eingabe[[#This Row],[R3]])</f>
        <v/>
      </c>
      <c r="AJ521" s="6" t="str">
        <f>IF(Eingabe[[#This Row],[V4]]="","",Eingabe[[#This Row],[V4]]+Eingabe[[#This Row],[R4]])</f>
        <v/>
      </c>
      <c r="AK521" s="6" t="str">
        <f>IF(Eingabe[[#This Row],[S1P]]="","",Eingabe[[#This Row],[S1P]]+Eingabe[[#This Row],[S2P]]+Eingabe[[#This Row],[S3P]]+Eingabe[[#This Row],[S4P]])</f>
        <v/>
      </c>
      <c r="AL521" s="6" t="str">
        <f>IF(Eingabe[[#This Row],[S1P]]="","",IF(Eingabe[[#This Row],[SP]]&gt;2,1,IF(Eingabe[[#This Row],[SP]]&lt;2,0,IF(Eingabe[[#This Row],[GES]]&gt;Eingabe[[#This Row],[GEGGES]],1,IF(Eingabe[[#This Row],[GES]]=Eingabe[[#This Row],[GEGGES]],0.5,0)))))</f>
        <v/>
      </c>
      <c r="AM521" s="6" t="str">
        <f>IF(Eingabe[[#This Row],[MP]]="","",MOD(ROW(Eingabe[[#This Row],[Position]])-3,6)+1)</f>
        <v/>
      </c>
      <c r="AN521" s="6" t="e">
        <f>STANDARDIZE(Eingabe[[#This Row],[GES]],Eingabe[[#This Row],[Schnitt]],VLOOKUP(Eingabe[[#This Row],[Name]],AuswertungG[],21,FALSE))</f>
        <v>#VALUE!</v>
      </c>
      <c r="AO521" s="6">
        <f>VLOOKUP(Eingabe[[#This Row],[ID]],Chronologie[[ID]:[KW]],12,FALSE)</f>
        <v>20</v>
      </c>
      <c r="AP521" s="95" t="str">
        <f>IF(Eingabe[[#This Row],[Wo]]="H",Eingabe[[#This Row],[Gegner]]&amp;" ["&amp;Eingabe[[#This Row],[Wo]]&amp;"]",Eingabe[[#This Row],[Ort]])</f>
        <v>Großschirma</v>
      </c>
      <c r="AQ521" s="6" t="str">
        <f>IFERROR(IF(Eingabe[[#This Row],[Wo]]="H",IF(MOD(Eingabe[[#This Row],[Position]],2)=1,Eingabe[[#This Row],[S1]],Eingabe[[#This Row],[S4]]),""),"")</f>
        <v/>
      </c>
      <c r="AR521" s="6" t="str">
        <f>IFERROR(IF(Eingabe[[#This Row],[Wo]]="H",IF(Eingabe[[#This Row],[S1]]&gt;0,IF(MOD(Eingabe[[#This Row],[Position]],2)=1,Eingabe[[#This Row],[S2]],Eingabe[[#This Row],[S3]]),""),""),"")</f>
        <v/>
      </c>
      <c r="AS521" s="6" t="str">
        <f>IFERROR(IF(Eingabe[[#This Row],[Wo]]="H",IF(Eingabe[[#This Row],[S1]]&gt;0,IF(MOD(ROW(Eingabe[[#This Row],[Heimbahn 3]]),2)=1,Eingabe[[#This Row],[S4]],Eingabe[[#This Row],[S1]]),""),""),"")</f>
        <v/>
      </c>
      <c r="AT521" s="6" t="str">
        <f>IFERROR(IF(Eingabe[[#This Row],[Wo]]="H",IF(Eingabe[[#This Row],[S1]]&gt;0,IF(MOD(ROW(Eingabe[[#This Row],[Heimbahn 4]]),2)=1,Eingabe[[#This Row],[S3]],Eingabe[[#This Row],[S2]]),""),""),"")</f>
        <v/>
      </c>
      <c r="AU521" s="22" t="str">
        <f>IF(Eingabe[[#This Row],[GES]]="","",IF(Eingabe[[#This Row],[Modus]]="L",_xlfn.RANK.EQ(Eingabe[[#This Row],[GES]],AF519:AF524),IF(Eingabe[[#This Row],[Modus]]="P",_xlfn.RANK.EQ(Eingabe[[#This Row],[GES]],AF519:AF524),"")))</f>
        <v/>
      </c>
      <c r="AV521" s="6" t="e">
        <f>VLOOKUP(Eingabe[[#This Row],[Name]],AuswertungG[],8,FALSE)</f>
        <v>#N/A</v>
      </c>
      <c r="AZ521" s="6" t="str">
        <f>IFERROR(ABS(Eingabe[[#This Row],[GES]]-Eingabe[[#This Row],[GEGGES]]),"")</f>
        <v/>
      </c>
    </row>
    <row r="522" spans="1:52" ht="16.2" hidden="1" thickBot="1" x14ac:dyDescent="0.35">
      <c r="A522" s="441"/>
      <c r="B522" s="21">
        <f t="shared" si="51"/>
        <v>87</v>
      </c>
      <c r="C522" s="6" t="str">
        <f>VLOOKUP($B522,Chronologie[],7,TRUE)</f>
        <v>TuS 1875 Großschirma</v>
      </c>
      <c r="D522" s="6" t="str">
        <f>VLOOKUP($B522,Chronologie[],8,TRUE)</f>
        <v>Großschirma</v>
      </c>
      <c r="E522" s="240" t="str">
        <f>VLOOKUP($B522,Chronologie[],9,TRUE)</f>
        <v>A</v>
      </c>
      <c r="F522" s="6" t="str">
        <f>VLOOKUP($B522,Chronologie[],COLUMN(F523)-2,TRUE)</f>
        <v>Ü50</v>
      </c>
      <c r="G522" s="6" t="str">
        <f>VLOOKUP($B522,Chronologie[],COLUMN(G523)-2,TRUE)</f>
        <v>KEM</v>
      </c>
      <c r="H522" s="6" t="str">
        <f>VLOOKUP($B522,Chronologie[],COLUMN(H523)-2,TRUE)</f>
        <v>V</v>
      </c>
      <c r="I522" s="10" t="str">
        <f>VLOOKUP($B522,Chronologie[],2,TRUE)</f>
        <v>Ü50-KEM-V</v>
      </c>
      <c r="J522" s="243">
        <f>VLOOKUP($B522,Chronologie[],3,TRUE)</f>
        <v>46032</v>
      </c>
      <c r="K522" s="238"/>
      <c r="L522" s="237"/>
      <c r="M522" s="237"/>
      <c r="N522" s="237"/>
      <c r="O522" s="237"/>
      <c r="P522" s="237"/>
      <c r="Q522" s="237"/>
      <c r="R522" s="237"/>
      <c r="S522" s="237"/>
      <c r="T522" s="237"/>
      <c r="U522" s="237"/>
      <c r="V522" s="237"/>
      <c r="W522" s="237"/>
      <c r="X522" s="38"/>
      <c r="Y522" s="38"/>
      <c r="Z522" s="38"/>
      <c r="AA522" s="38"/>
      <c r="AB522" s="91"/>
      <c r="AC522" s="94" t="str">
        <f>IF(Eingabe[[#This Row],[V1]]="",IF(Eingabe[[#This Row],[Volle alternativ]]="","",Eingabe[[#This Row],[Volle alternativ]]),SUM(Eingabe[[#This Row],[V1]:[V4]]))</f>
        <v/>
      </c>
      <c r="AD522" s="6" t="str">
        <f>IF(Eingabe[[#This Row],[R1]]="",IF(Eingabe[[#This Row],[Räumer alternativ]]="","",Eingabe[[#This Row],[Räumer alternativ]]),SUM(Eingabe[[#This Row],[R1]:[R4]]))</f>
        <v/>
      </c>
      <c r="AE522" s="6" t="str">
        <f>IF(Eingabe[[#This Row],[F1]]="",IF(Eingabe[[#This Row],[Fehler alternativ]]="","",Eingabe[[#This Row],[Fehler alternativ]]),SUM(Eingabe[[#This Row],[F1]:[F4]]))</f>
        <v/>
      </c>
      <c r="AF522" s="6" t="str">
        <f>IF(Eingabe[[#This Row],[Volle]]="","",IF(Eingabe[[#This Row],[S1]]="",Eingabe[[#This Row],[Volle]]+Eingabe[[#This Row],[Räumer]],IF(Eingabe[[#This Row],[Volle]]+Eingabe[[#This Row],[Räumer]]=Eingabe[[#This Row],[S1]]+Eingabe[[#This Row],[S2]]+Eingabe[[#This Row],[S3]]+Eingabe[[#This Row],[S4]],Eingabe[[#This Row],[Volle]]+Eingabe[[#This Row],[Räumer]],"FEHLER")))</f>
        <v/>
      </c>
      <c r="AG522" s="6" t="str">
        <f>IF(Eingabe[[#This Row],[V1]]="","",Eingabe[[#This Row],[V1]]+Eingabe[[#This Row],[R1]])</f>
        <v/>
      </c>
      <c r="AH522" s="6" t="str">
        <f>IF(Eingabe[[#This Row],[V2]]="","",Eingabe[[#This Row],[V2]]+Eingabe[[#This Row],[R2]])</f>
        <v/>
      </c>
      <c r="AI522" s="6" t="str">
        <f>IF(Eingabe[[#This Row],[V3]]="","",Eingabe[[#This Row],[V3]]+Eingabe[[#This Row],[R3]])</f>
        <v/>
      </c>
      <c r="AJ522" s="6" t="str">
        <f>IF(Eingabe[[#This Row],[V4]]="","",Eingabe[[#This Row],[V4]]+Eingabe[[#This Row],[R4]])</f>
        <v/>
      </c>
      <c r="AK522" s="6" t="str">
        <f>IF(Eingabe[[#This Row],[S1P]]="","",Eingabe[[#This Row],[S1P]]+Eingabe[[#This Row],[S2P]]+Eingabe[[#This Row],[S3P]]+Eingabe[[#This Row],[S4P]])</f>
        <v/>
      </c>
      <c r="AL522" s="6" t="str">
        <f>IF(Eingabe[[#This Row],[S1P]]="","",IF(Eingabe[[#This Row],[SP]]&gt;2,1,IF(Eingabe[[#This Row],[SP]]&lt;2,0,IF(Eingabe[[#This Row],[GES]]&gt;Eingabe[[#This Row],[GEGGES]],1,IF(Eingabe[[#This Row],[GES]]=Eingabe[[#This Row],[GEGGES]],0.5,0)))))</f>
        <v/>
      </c>
      <c r="AM522" s="6" t="str">
        <f>IF(Eingabe[[#This Row],[MP]]="","",MOD(ROW(Eingabe[[#This Row],[Position]])-3,6)+1)</f>
        <v/>
      </c>
      <c r="AN522" s="6" t="e">
        <f>STANDARDIZE(Eingabe[[#This Row],[GES]],Eingabe[[#This Row],[Schnitt]],VLOOKUP(Eingabe[[#This Row],[Name]],AuswertungG[],21,FALSE))</f>
        <v>#VALUE!</v>
      </c>
      <c r="AO522" s="6">
        <f>VLOOKUP(Eingabe[[#This Row],[ID]],Chronologie[[ID]:[KW]],12,FALSE)</f>
        <v>20</v>
      </c>
      <c r="AP522" s="95" t="str">
        <f>IF(Eingabe[[#This Row],[Wo]]="H",Eingabe[[#This Row],[Gegner]]&amp;" ["&amp;Eingabe[[#This Row],[Wo]]&amp;"]",Eingabe[[#This Row],[Ort]])</f>
        <v>Großschirma</v>
      </c>
      <c r="AQ522" s="6" t="str">
        <f>IFERROR(IF(Eingabe[[#This Row],[Wo]]="H",IF(MOD(Eingabe[[#This Row],[Position]],2)=1,Eingabe[[#This Row],[S1]],Eingabe[[#This Row],[S4]]),""),"")</f>
        <v/>
      </c>
      <c r="AR522" s="6" t="str">
        <f>IFERROR(IF(Eingabe[[#This Row],[Wo]]="H",IF(Eingabe[[#This Row],[S1]]&gt;0,IF(MOD(Eingabe[[#This Row],[Position]],2)=1,Eingabe[[#This Row],[S2]],Eingabe[[#This Row],[S3]]),""),""),"")</f>
        <v/>
      </c>
      <c r="AS522" s="6" t="str">
        <f>IFERROR(IF(Eingabe[[#This Row],[Wo]]="H",IF(Eingabe[[#This Row],[S1]]&gt;0,IF(MOD(ROW(Eingabe[[#This Row],[Heimbahn 3]]),2)=1,Eingabe[[#This Row],[S4]],Eingabe[[#This Row],[S1]]),""),""),"")</f>
        <v/>
      </c>
      <c r="AT522" s="6" t="str">
        <f>IFERROR(IF(Eingabe[[#This Row],[Wo]]="H",IF(Eingabe[[#This Row],[S1]]&gt;0,IF(MOD(ROW(Eingabe[[#This Row],[Heimbahn 4]]),2)=1,Eingabe[[#This Row],[S3]],Eingabe[[#This Row],[S2]]),""),""),"")</f>
        <v/>
      </c>
      <c r="AU522" s="22" t="str">
        <f>IF(Eingabe[[#This Row],[GES]]="","",IF(Eingabe[[#This Row],[Modus]]="L",_xlfn.RANK.EQ(Eingabe[[#This Row],[GES]],AF519:AF524),IF(Eingabe[[#This Row],[Modus]]="P",_xlfn.RANK.EQ(Eingabe[[#This Row],[GES]],AF519:AF524),"")))</f>
        <v/>
      </c>
      <c r="AV522" s="6" t="e">
        <f>VLOOKUP(Eingabe[[#This Row],[Name]],AuswertungG[],8,FALSE)</f>
        <v>#N/A</v>
      </c>
      <c r="AZ522" s="6" t="str">
        <f>IFERROR(ABS(Eingabe[[#This Row],[GES]]-Eingabe[[#This Row],[GEGGES]]),"")</f>
        <v/>
      </c>
    </row>
    <row r="523" spans="1:52" ht="16.2" hidden="1" thickBot="1" x14ac:dyDescent="0.35">
      <c r="A523" s="441"/>
      <c r="B523" s="21">
        <f t="shared" si="51"/>
        <v>87</v>
      </c>
      <c r="C523" s="6" t="str">
        <f>VLOOKUP($B523,Chronologie[],7,TRUE)</f>
        <v>TuS 1875 Großschirma</v>
      </c>
      <c r="D523" s="6" t="str">
        <f>VLOOKUP($B523,Chronologie[],8,TRUE)</f>
        <v>Großschirma</v>
      </c>
      <c r="E523" s="240" t="str">
        <f>VLOOKUP($B523,Chronologie[],9,TRUE)</f>
        <v>A</v>
      </c>
      <c r="F523" s="6" t="str">
        <f>VLOOKUP($B523,Chronologie[],COLUMN(F524)-2,TRUE)</f>
        <v>Ü50</v>
      </c>
      <c r="G523" s="6" t="str">
        <f>VLOOKUP($B523,Chronologie[],COLUMN(G524)-2,TRUE)</f>
        <v>KEM</v>
      </c>
      <c r="H523" s="6" t="str">
        <f>VLOOKUP($B523,Chronologie[],COLUMN(H524)-2,TRUE)</f>
        <v>V</v>
      </c>
      <c r="I523" s="10" t="str">
        <f>VLOOKUP($B523,Chronologie[],2,TRUE)</f>
        <v>Ü50-KEM-V</v>
      </c>
      <c r="J523" s="243">
        <f>VLOOKUP($B523,Chronologie[],3,TRUE)</f>
        <v>46032</v>
      </c>
      <c r="K523" s="237"/>
      <c r="L523" s="237"/>
      <c r="M523" s="237"/>
      <c r="N523" s="237"/>
      <c r="O523" s="237"/>
      <c r="P523" s="237"/>
      <c r="Q523" s="237"/>
      <c r="R523" s="237"/>
      <c r="S523" s="237"/>
      <c r="T523" s="237"/>
      <c r="U523" s="237"/>
      <c r="V523" s="237"/>
      <c r="W523" s="237"/>
      <c r="X523" s="38"/>
      <c r="Y523" s="38"/>
      <c r="Z523" s="38"/>
      <c r="AA523" s="38"/>
      <c r="AB523" s="91"/>
      <c r="AC523" s="94" t="str">
        <f>IF(Eingabe[[#This Row],[V1]]="",IF(Eingabe[[#This Row],[Volle alternativ]]="","",Eingabe[[#This Row],[Volle alternativ]]),SUM(Eingabe[[#This Row],[V1]:[V4]]))</f>
        <v/>
      </c>
      <c r="AD523" s="6" t="str">
        <f>IF(Eingabe[[#This Row],[R1]]="",IF(Eingabe[[#This Row],[Räumer alternativ]]="","",Eingabe[[#This Row],[Räumer alternativ]]),SUM(Eingabe[[#This Row],[R1]:[R4]]))</f>
        <v/>
      </c>
      <c r="AE523" s="6" t="str">
        <f>IF(Eingabe[[#This Row],[F1]]="",IF(Eingabe[[#This Row],[Fehler alternativ]]="","",Eingabe[[#This Row],[Fehler alternativ]]),SUM(Eingabe[[#This Row],[F1]:[F4]]))</f>
        <v/>
      </c>
      <c r="AF523" s="6" t="str">
        <f>IF(Eingabe[[#This Row],[Volle]]="","",IF(Eingabe[[#This Row],[S1]]="",Eingabe[[#This Row],[Volle]]+Eingabe[[#This Row],[Räumer]],IF(Eingabe[[#This Row],[Volle]]+Eingabe[[#This Row],[Räumer]]=Eingabe[[#This Row],[S1]]+Eingabe[[#This Row],[S2]]+Eingabe[[#This Row],[S3]]+Eingabe[[#This Row],[S4]],Eingabe[[#This Row],[Volle]]+Eingabe[[#This Row],[Räumer]],"FEHLER")))</f>
        <v/>
      </c>
      <c r="AG523" s="6" t="str">
        <f>IF(Eingabe[[#This Row],[V1]]="","",Eingabe[[#This Row],[V1]]+Eingabe[[#This Row],[R1]])</f>
        <v/>
      </c>
      <c r="AH523" s="6" t="str">
        <f>IF(Eingabe[[#This Row],[V2]]="","",Eingabe[[#This Row],[V2]]+Eingabe[[#This Row],[R2]])</f>
        <v/>
      </c>
      <c r="AI523" s="6" t="str">
        <f>IF(Eingabe[[#This Row],[V3]]="","",Eingabe[[#This Row],[V3]]+Eingabe[[#This Row],[R3]])</f>
        <v/>
      </c>
      <c r="AJ523" s="6" t="str">
        <f>IF(Eingabe[[#This Row],[V4]]="","",Eingabe[[#This Row],[V4]]+Eingabe[[#This Row],[R4]])</f>
        <v/>
      </c>
      <c r="AK523" s="6" t="str">
        <f>IF(Eingabe[[#This Row],[S1P]]="","",Eingabe[[#This Row],[S1P]]+Eingabe[[#This Row],[S2P]]+Eingabe[[#This Row],[S3P]]+Eingabe[[#This Row],[S4P]])</f>
        <v/>
      </c>
      <c r="AL523" s="6" t="str">
        <f>IF(Eingabe[[#This Row],[S1P]]="","",IF(Eingabe[[#This Row],[SP]]&gt;2,1,IF(Eingabe[[#This Row],[SP]]&lt;2,0,IF(Eingabe[[#This Row],[GES]]&gt;Eingabe[[#This Row],[GEGGES]],1,IF(Eingabe[[#This Row],[GES]]=Eingabe[[#This Row],[GEGGES]],0.5,0)))))</f>
        <v/>
      </c>
      <c r="AM523" s="6" t="str">
        <f>IF(Eingabe[[#This Row],[MP]]="","",MOD(ROW(Eingabe[[#This Row],[Position]])-3,6)+1)</f>
        <v/>
      </c>
      <c r="AN523" s="6" t="e">
        <f>STANDARDIZE(Eingabe[[#This Row],[GES]],Eingabe[[#This Row],[Schnitt]],VLOOKUP(Eingabe[[#This Row],[Name]],AuswertungG[],21,FALSE))</f>
        <v>#VALUE!</v>
      </c>
      <c r="AO523" s="6">
        <f>VLOOKUP(Eingabe[[#This Row],[ID]],Chronologie[[ID]:[KW]],12,FALSE)</f>
        <v>20</v>
      </c>
      <c r="AP523" s="95" t="str">
        <f>IF(Eingabe[[#This Row],[Wo]]="H",Eingabe[[#This Row],[Gegner]]&amp;" ["&amp;Eingabe[[#This Row],[Wo]]&amp;"]",Eingabe[[#This Row],[Ort]])</f>
        <v>Großschirma</v>
      </c>
      <c r="AQ523" s="6" t="str">
        <f>IFERROR(IF(Eingabe[[#This Row],[Wo]]="H",IF(MOD(Eingabe[[#This Row],[Position]],2)=1,Eingabe[[#This Row],[S1]],Eingabe[[#This Row],[S4]]),""),"")</f>
        <v/>
      </c>
      <c r="AR523" s="6" t="str">
        <f>IFERROR(IF(Eingabe[[#This Row],[Wo]]="H",IF(Eingabe[[#This Row],[S1]]&gt;0,IF(MOD(Eingabe[[#This Row],[Position]],2)=1,Eingabe[[#This Row],[S2]],Eingabe[[#This Row],[S3]]),""),""),"")</f>
        <v/>
      </c>
      <c r="AS523" s="6" t="str">
        <f>IFERROR(IF(Eingabe[[#This Row],[Wo]]="H",IF(Eingabe[[#This Row],[S1]]&gt;0,IF(MOD(ROW(Eingabe[[#This Row],[Heimbahn 3]]),2)=1,Eingabe[[#This Row],[S4]],Eingabe[[#This Row],[S1]]),""),""),"")</f>
        <v/>
      </c>
      <c r="AT523" s="6" t="str">
        <f>IFERROR(IF(Eingabe[[#This Row],[Wo]]="H",IF(Eingabe[[#This Row],[S1]]&gt;0,IF(MOD(ROW(Eingabe[[#This Row],[Heimbahn 4]]),2)=1,Eingabe[[#This Row],[S3]],Eingabe[[#This Row],[S2]]),""),""),"")</f>
        <v/>
      </c>
      <c r="AU523" s="22" t="str">
        <f>IF(Eingabe[[#This Row],[GES]]="","",IF(Eingabe[[#This Row],[Modus]]="L",_xlfn.RANK.EQ(Eingabe[[#This Row],[GES]],AF519:AF524),IF(Eingabe[[#This Row],[Modus]]="P",_xlfn.RANK.EQ(Eingabe[[#This Row],[GES]],AF519:AF524),"")))</f>
        <v/>
      </c>
      <c r="AV523" s="6" t="e">
        <f>VLOOKUP(Eingabe[[#This Row],[Name]],AuswertungG[],8,FALSE)</f>
        <v>#N/A</v>
      </c>
      <c r="AZ523" s="6" t="str">
        <f>IFERROR(ABS(Eingabe[[#This Row],[GES]]-Eingabe[[#This Row],[GEGGES]]),"")</f>
        <v/>
      </c>
    </row>
    <row r="524" spans="1:52" ht="16.2" hidden="1" thickBot="1" x14ac:dyDescent="0.35">
      <c r="A524" s="442"/>
      <c r="B524" s="56">
        <f t="shared" si="51"/>
        <v>87</v>
      </c>
      <c r="C524" s="23" t="str">
        <f>VLOOKUP($B524,Chronologie[],7,TRUE)</f>
        <v>TuS 1875 Großschirma</v>
      </c>
      <c r="D524" s="23" t="str">
        <f>VLOOKUP($B524,Chronologie[],8,TRUE)</f>
        <v>Großschirma</v>
      </c>
      <c r="E524" s="39" t="str">
        <f>VLOOKUP($B524,Chronologie[],9,TRUE)</f>
        <v>A</v>
      </c>
      <c r="F524" s="23" t="str">
        <f>VLOOKUP($B524,Chronologie[],COLUMN(F525)-2,TRUE)</f>
        <v>Ü50</v>
      </c>
      <c r="G524" s="23" t="str">
        <f>VLOOKUP($B524,Chronologie[],COLUMN(G525)-2,TRUE)</f>
        <v>KEM</v>
      </c>
      <c r="H524" s="23" t="str">
        <f>VLOOKUP($B524,Chronologie[],COLUMN(H525)-2,TRUE)</f>
        <v>V</v>
      </c>
      <c r="I524" s="13" t="str">
        <f>VLOOKUP($B524,Chronologie[],2,TRUE)</f>
        <v>Ü50-KEM-V</v>
      </c>
      <c r="J524" s="244">
        <f>VLOOKUP($B524,Chronologie[],3,TRUE)</f>
        <v>46032</v>
      </c>
      <c r="K524" s="239"/>
      <c r="L524" s="239"/>
      <c r="M524" s="239"/>
      <c r="N524" s="239"/>
      <c r="O524" s="239"/>
      <c r="P524" s="239"/>
      <c r="Q524" s="239"/>
      <c r="R524" s="239"/>
      <c r="S524" s="239"/>
      <c r="T524" s="239"/>
      <c r="U524" s="239"/>
      <c r="V524" s="239"/>
      <c r="W524" s="239"/>
      <c r="X524" s="40"/>
      <c r="Y524" s="40"/>
      <c r="Z524" s="40"/>
      <c r="AA524" s="40"/>
      <c r="AB524" s="92"/>
      <c r="AC524" s="96" t="str">
        <f>IF(Eingabe[[#This Row],[V1]]="",IF(Eingabe[[#This Row],[Volle alternativ]]="","",Eingabe[[#This Row],[Volle alternativ]]),SUM(Eingabe[[#This Row],[V1]:[V4]]))</f>
        <v/>
      </c>
      <c r="AD524" s="23" t="str">
        <f>IF(Eingabe[[#This Row],[R1]]="",IF(Eingabe[[#This Row],[Räumer alternativ]]="","",Eingabe[[#This Row],[Räumer alternativ]]),SUM(Eingabe[[#This Row],[R1]:[R4]]))</f>
        <v/>
      </c>
      <c r="AE524" s="23" t="str">
        <f>IF(Eingabe[[#This Row],[F1]]="",IF(Eingabe[[#This Row],[Fehler alternativ]]="","",Eingabe[[#This Row],[Fehler alternativ]]),SUM(Eingabe[[#This Row],[F1]:[F4]]))</f>
        <v/>
      </c>
      <c r="AF524" s="23" t="str">
        <f>IF(Eingabe[[#This Row],[Volle]]="","",IF(Eingabe[[#This Row],[S1]]="",Eingabe[[#This Row],[Volle]]+Eingabe[[#This Row],[Räumer]],IF(Eingabe[[#This Row],[Volle]]+Eingabe[[#This Row],[Räumer]]=Eingabe[[#This Row],[S1]]+Eingabe[[#This Row],[S2]]+Eingabe[[#This Row],[S3]]+Eingabe[[#This Row],[S4]],Eingabe[[#This Row],[Volle]]+Eingabe[[#This Row],[Räumer]],"FEHLER")))</f>
        <v/>
      </c>
      <c r="AG524" s="23" t="str">
        <f>IF(Eingabe[[#This Row],[V1]]="","",Eingabe[[#This Row],[V1]]+Eingabe[[#This Row],[R1]])</f>
        <v/>
      </c>
      <c r="AH524" s="23" t="str">
        <f>IF(Eingabe[[#This Row],[V2]]="","",Eingabe[[#This Row],[V2]]+Eingabe[[#This Row],[R2]])</f>
        <v/>
      </c>
      <c r="AI524" s="23" t="str">
        <f>IF(Eingabe[[#This Row],[V3]]="","",Eingabe[[#This Row],[V3]]+Eingabe[[#This Row],[R3]])</f>
        <v/>
      </c>
      <c r="AJ524" s="23" t="str">
        <f>IF(Eingabe[[#This Row],[V4]]="","",Eingabe[[#This Row],[V4]]+Eingabe[[#This Row],[R4]])</f>
        <v/>
      </c>
      <c r="AK524" s="23" t="str">
        <f>IF(Eingabe[[#This Row],[S1P]]="","",Eingabe[[#This Row],[S1P]]+Eingabe[[#This Row],[S2P]]+Eingabe[[#This Row],[S3P]]+Eingabe[[#This Row],[S4P]])</f>
        <v/>
      </c>
      <c r="AL524" s="23" t="str">
        <f>IF(Eingabe[[#This Row],[S1P]]="","",IF(Eingabe[[#This Row],[SP]]&gt;2,1,IF(Eingabe[[#This Row],[SP]]&lt;2,0,IF(Eingabe[[#This Row],[GES]]&gt;Eingabe[[#This Row],[GEGGES]],1,IF(Eingabe[[#This Row],[GES]]=Eingabe[[#This Row],[GEGGES]],0.5,0)))))</f>
        <v/>
      </c>
      <c r="AM524" s="23" t="str">
        <f>IF(Eingabe[[#This Row],[MP]]="","",MOD(ROW(Eingabe[[#This Row],[Position]])-3,6)+1)</f>
        <v/>
      </c>
      <c r="AN524" s="23" t="e">
        <f>STANDARDIZE(Eingabe[[#This Row],[GES]],Eingabe[[#This Row],[Schnitt]],VLOOKUP(Eingabe[[#This Row],[Name]],AuswertungG[],21,FALSE))</f>
        <v>#VALUE!</v>
      </c>
      <c r="AO524" s="23">
        <f>VLOOKUP(Eingabe[[#This Row],[ID]],Chronologie[[ID]:[KW]],12,FALSE)</f>
        <v>20</v>
      </c>
      <c r="AP524" s="59" t="str">
        <f>IF(Eingabe[[#This Row],[Wo]]="H",Eingabe[[#This Row],[Gegner]]&amp;" ["&amp;Eingabe[[#This Row],[Wo]]&amp;"]",Eingabe[[#This Row],[Ort]])</f>
        <v>Großschirma</v>
      </c>
      <c r="AQ524" s="23" t="str">
        <f>IFERROR(IF(Eingabe[[#This Row],[Wo]]="H",IF(MOD(Eingabe[[#This Row],[Position]],2)=1,Eingabe[[#This Row],[S1]],Eingabe[[#This Row],[S4]]),""),"")</f>
        <v/>
      </c>
      <c r="AR524" s="23" t="str">
        <f>IFERROR(IF(Eingabe[[#This Row],[Wo]]="H",IF(Eingabe[[#This Row],[S1]]&gt;0,IF(MOD(Eingabe[[#This Row],[Position]],2)=1,Eingabe[[#This Row],[S2]],Eingabe[[#This Row],[S3]]),""),""),"")</f>
        <v/>
      </c>
      <c r="AS524" s="23" t="str">
        <f>IFERROR(IF(Eingabe[[#This Row],[Wo]]="H",IF(Eingabe[[#This Row],[S1]]&gt;0,IF(MOD(ROW(Eingabe[[#This Row],[Heimbahn 3]]),2)=1,Eingabe[[#This Row],[S4]],Eingabe[[#This Row],[S1]]),""),""),"")</f>
        <v/>
      </c>
      <c r="AT524" s="23" t="str">
        <f>IFERROR(IF(Eingabe[[#This Row],[Wo]]="H",IF(Eingabe[[#This Row],[S1]]&gt;0,IF(MOD(ROW(Eingabe[[#This Row],[Heimbahn 4]]),2)=1,Eingabe[[#This Row],[S3]],Eingabe[[#This Row],[S2]]),""),""),"")</f>
        <v/>
      </c>
      <c r="AU524" s="89" t="str">
        <f>IF(Eingabe[[#This Row],[GES]]="","",IF(Eingabe[[#This Row],[Modus]]="L",_xlfn.RANK.EQ(Eingabe[[#This Row],[GES]],AF519:AF524),IF(Eingabe[[#This Row],[Modus]]="P",_xlfn.RANK.EQ(Eingabe[[#This Row],[GES]],AF519:AF524),"")))</f>
        <v/>
      </c>
      <c r="AV524" s="6" t="e">
        <f>VLOOKUP(Eingabe[[#This Row],[Name]],AuswertungG[],8,FALSE)</f>
        <v>#N/A</v>
      </c>
      <c r="AZ524" s="6" t="str">
        <f>IFERROR(ABS(Eingabe[[#This Row],[GES]]-Eingabe[[#This Row],[GEGGES]]),"")</f>
        <v/>
      </c>
    </row>
    <row r="525" spans="1:52" ht="16.2" hidden="1" thickBot="1" x14ac:dyDescent="0.35">
      <c r="A525" s="440">
        <f t="shared" si="49"/>
        <v>88</v>
      </c>
      <c r="B525" s="55">
        <f t="shared" si="51"/>
        <v>88</v>
      </c>
      <c r="C525" s="35" t="str">
        <f>VLOOKUP($B525,Chronologie[],7,TRUE)</f>
        <v>SV Linda</v>
      </c>
      <c r="D525" s="35" t="str">
        <f>VLOOKUP($B525,Chronologie[],8,TRUE)</f>
        <v>Linda</v>
      </c>
      <c r="E525" s="36" t="str">
        <f>VLOOKUP($B525,Chronologie[],9,TRUE)</f>
        <v>A</v>
      </c>
      <c r="F525" s="35" t="str">
        <f>VLOOKUP($B525,Chronologie[],COLUMN(F526)-2,TRUE)</f>
        <v>M</v>
      </c>
      <c r="G525" s="35" t="str">
        <f>VLOOKUP($B525,Chronologie[],COLUMN(G526)-2,TRUE)</f>
        <v>KEM</v>
      </c>
      <c r="H525" s="35" t="str">
        <f>VLOOKUP($B525,Chronologie[],COLUMN(H526)-2,TRUE)</f>
        <v>V</v>
      </c>
      <c r="I525" s="9" t="str">
        <f>VLOOKUP($B525,Chronologie[],2,TRUE)</f>
        <v>M-KEM-V</v>
      </c>
      <c r="J525" s="242">
        <f>VLOOKUP($B525,Chronologie[],3,TRUE)</f>
        <v>46032</v>
      </c>
      <c r="K525" s="236" t="s">
        <v>469</v>
      </c>
      <c r="L525" s="334">
        <v>84</v>
      </c>
      <c r="M525" s="334">
        <v>91</v>
      </c>
      <c r="N525" s="334">
        <v>91</v>
      </c>
      <c r="O525" s="334">
        <v>89</v>
      </c>
      <c r="P525" s="334">
        <v>35</v>
      </c>
      <c r="Q525" s="334">
        <v>41</v>
      </c>
      <c r="R525" s="334">
        <v>36</v>
      </c>
      <c r="S525" s="334">
        <v>26</v>
      </c>
      <c r="T525" s="334">
        <v>2</v>
      </c>
      <c r="U525" s="334">
        <v>1</v>
      </c>
      <c r="V525" s="334">
        <v>3</v>
      </c>
      <c r="W525" s="334">
        <v>4</v>
      </c>
      <c r="X525" s="37"/>
      <c r="Y525" s="37"/>
      <c r="Z525" s="37"/>
      <c r="AA525" s="37"/>
      <c r="AB525" s="90"/>
      <c r="AC525" s="93">
        <f>IF(Eingabe[[#This Row],[V1]]="",IF(Eingabe[[#This Row],[Volle alternativ]]="","",Eingabe[[#This Row],[Volle alternativ]]),SUM(Eingabe[[#This Row],[V1]:[V4]]))</f>
        <v>355</v>
      </c>
      <c r="AD525" s="35">
        <f>IF(Eingabe[[#This Row],[R1]]="",IF(Eingabe[[#This Row],[Räumer alternativ]]="","",Eingabe[[#This Row],[Räumer alternativ]]),SUM(Eingabe[[#This Row],[R1]:[R4]]))</f>
        <v>138</v>
      </c>
      <c r="AE525" s="35">
        <f>IF(Eingabe[[#This Row],[F1]]="",IF(Eingabe[[#This Row],[Fehler alternativ]]="","",Eingabe[[#This Row],[Fehler alternativ]]),SUM(Eingabe[[#This Row],[F1]:[F4]]))</f>
        <v>10</v>
      </c>
      <c r="AF525" s="35">
        <f>IF(Eingabe[[#This Row],[Volle]]="","",IF(Eingabe[[#This Row],[S1]]="",Eingabe[[#This Row],[Volle]]+Eingabe[[#This Row],[Räumer]],IF(Eingabe[[#This Row],[Volle]]+Eingabe[[#This Row],[Räumer]]=Eingabe[[#This Row],[S1]]+Eingabe[[#This Row],[S2]]+Eingabe[[#This Row],[S3]]+Eingabe[[#This Row],[S4]],Eingabe[[#This Row],[Volle]]+Eingabe[[#This Row],[Räumer]],"FEHLER")))</f>
        <v>493</v>
      </c>
      <c r="AG525" s="35">
        <f>IF(Eingabe[[#This Row],[V1]]="","",Eingabe[[#This Row],[V1]]+Eingabe[[#This Row],[R1]])</f>
        <v>119</v>
      </c>
      <c r="AH525" s="35">
        <f>IF(Eingabe[[#This Row],[V2]]="","",Eingabe[[#This Row],[V2]]+Eingabe[[#This Row],[R2]])</f>
        <v>132</v>
      </c>
      <c r="AI525" s="35">
        <f>IF(Eingabe[[#This Row],[V3]]="","",Eingabe[[#This Row],[V3]]+Eingabe[[#This Row],[R3]])</f>
        <v>127</v>
      </c>
      <c r="AJ525" s="35">
        <f>IF(Eingabe[[#This Row],[V4]]="","",Eingabe[[#This Row],[V4]]+Eingabe[[#This Row],[R4]])</f>
        <v>115</v>
      </c>
      <c r="AK525" s="35" t="str">
        <f>IF(Eingabe[[#This Row],[S1P]]="","",Eingabe[[#This Row],[S1P]]+Eingabe[[#This Row],[S2P]]+Eingabe[[#This Row],[S3P]]+Eingabe[[#This Row],[S4P]])</f>
        <v/>
      </c>
      <c r="AL525" s="35" t="str">
        <f>IF(Eingabe[[#This Row],[S1P]]="","",IF(Eingabe[[#This Row],[SP]]&gt;2,1,IF(Eingabe[[#This Row],[SP]]&lt;2,0,IF(Eingabe[[#This Row],[GES]]&gt;Eingabe[[#This Row],[GEGGES]],1,IF(Eingabe[[#This Row],[GES]]=Eingabe[[#This Row],[GEGGES]],0.5,0)))))</f>
        <v/>
      </c>
      <c r="AM525" s="35" t="str">
        <f>IF(Eingabe[[#This Row],[MP]]="","",MOD(ROW(Eingabe[[#This Row],[Position]])-3,6)+1)</f>
        <v/>
      </c>
      <c r="AN525" s="35">
        <f>STANDARDIZE(Eingabe[[#This Row],[GES]],Eingabe[[#This Row],[Schnitt]],VLOOKUP(Eingabe[[#This Row],[Name]],AuswertungG[],21,FALSE))</f>
        <v>-1.5909090909090908</v>
      </c>
      <c r="AO525" s="35">
        <f>VLOOKUP(Eingabe[[#This Row],[ID]],Chronologie[[ID]:[KW]],12,FALSE)</f>
        <v>20</v>
      </c>
      <c r="AP525" s="58" t="str">
        <f>IF(Eingabe[[#This Row],[Wo]]="H",Eingabe[[#This Row],[Gegner]]&amp;" ["&amp;Eingabe[[#This Row],[Wo]]&amp;"]",Eingabe[[#This Row],[Ort]])</f>
        <v>Linda</v>
      </c>
      <c r="AQ525" s="35" t="str">
        <f>IFERROR(IF(Eingabe[[#This Row],[Wo]]="H",IF(MOD(Eingabe[[#This Row],[Position]],2)=1,Eingabe[[#This Row],[S1]],Eingabe[[#This Row],[S4]]),""),"")</f>
        <v/>
      </c>
      <c r="AR525" s="35" t="str">
        <f>IFERROR(IF(Eingabe[[#This Row],[Wo]]="H",IF(Eingabe[[#This Row],[S1]]&gt;0,IF(MOD(Eingabe[[#This Row],[Position]],2)=1,Eingabe[[#This Row],[S2]],Eingabe[[#This Row],[S3]]),""),""),"")</f>
        <v/>
      </c>
      <c r="AS525" s="35" t="str">
        <f>IFERROR(IF(Eingabe[[#This Row],[Wo]]="H",IF(Eingabe[[#This Row],[S1]]&gt;0,IF(MOD(ROW(Eingabe[[#This Row],[Heimbahn 3]]),2)=1,Eingabe[[#This Row],[S4]],Eingabe[[#This Row],[S1]]),""),""),"")</f>
        <v/>
      </c>
      <c r="AT525" s="35" t="str">
        <f>IFERROR(IF(Eingabe[[#This Row],[Wo]]="H",IF(Eingabe[[#This Row],[S1]]&gt;0,IF(MOD(ROW(Eingabe[[#This Row],[Heimbahn 4]]),2)=1,Eingabe[[#This Row],[S3]],Eingabe[[#This Row],[S2]]),""),""),"")</f>
        <v/>
      </c>
      <c r="AU525" s="88" t="str">
        <f>IF(Eingabe[[#This Row],[GES]]="","",IF(Eingabe[[#This Row],[Modus]]="L",_xlfn.RANK.EQ(Eingabe[[#This Row],[GES]],AF525:AF530),IF(Eingabe[[#This Row],[Modus]]="P",_xlfn.RANK.EQ(Eingabe[[#This Row],[GES]],AF525:AF530),"")))</f>
        <v/>
      </c>
      <c r="AV525" s="6">
        <f>VLOOKUP(Eingabe[[#This Row],[Name]],AuswertungG[],8,FALSE)</f>
        <v>528</v>
      </c>
      <c r="AZ525" s="6">
        <f>IFERROR(ABS(Eingabe[[#This Row],[GES]]-Eingabe[[#This Row],[GEGGES]]),"")</f>
        <v>493</v>
      </c>
    </row>
    <row r="526" spans="1:52" ht="16.2" hidden="1" thickBot="1" x14ac:dyDescent="0.35">
      <c r="A526" s="441"/>
      <c r="B526" s="21">
        <f t="shared" si="51"/>
        <v>88</v>
      </c>
      <c r="C526" s="6" t="str">
        <f>VLOOKUP($B526,Chronologie[],7,TRUE)</f>
        <v>SV Linda</v>
      </c>
      <c r="D526" s="6" t="str">
        <f>VLOOKUP($B526,Chronologie[],8,TRUE)</f>
        <v>Linda</v>
      </c>
      <c r="E526" s="240" t="str">
        <f>VLOOKUP($B526,Chronologie[],9,TRUE)</f>
        <v>A</v>
      </c>
      <c r="F526" s="6" t="str">
        <f>VLOOKUP($B526,Chronologie[],COLUMN(F527)-2,TRUE)</f>
        <v>M</v>
      </c>
      <c r="G526" s="6" t="str">
        <f>VLOOKUP($B526,Chronologie[],COLUMN(G527)-2,TRUE)</f>
        <v>KEM</v>
      </c>
      <c r="H526" s="6" t="str">
        <f>VLOOKUP($B526,Chronologie[],COLUMN(H527)-2,TRUE)</f>
        <v>V</v>
      </c>
      <c r="I526" s="10" t="str">
        <f>VLOOKUP($B526,Chronologie[],2,TRUE)</f>
        <v>M-KEM-V</v>
      </c>
      <c r="J526" s="243">
        <f>VLOOKUP($B526,Chronologie[],3,TRUE)</f>
        <v>46032</v>
      </c>
      <c r="K526" s="237" t="s">
        <v>470</v>
      </c>
      <c r="L526" s="237">
        <v>83</v>
      </c>
      <c r="M526" s="237">
        <v>76</v>
      </c>
      <c r="N526" s="237">
        <v>89</v>
      </c>
      <c r="O526" s="237">
        <v>83</v>
      </c>
      <c r="P526" s="237">
        <v>27</v>
      </c>
      <c r="Q526" s="237">
        <v>35</v>
      </c>
      <c r="R526" s="237">
        <v>26</v>
      </c>
      <c r="S526" s="237">
        <v>50</v>
      </c>
      <c r="T526" s="237">
        <v>5</v>
      </c>
      <c r="U526" s="237">
        <v>3</v>
      </c>
      <c r="V526" s="237">
        <v>3</v>
      </c>
      <c r="W526" s="237">
        <v>0</v>
      </c>
      <c r="X526" s="38"/>
      <c r="Y526" s="38"/>
      <c r="Z526" s="38"/>
      <c r="AA526" s="38"/>
      <c r="AB526" s="91"/>
      <c r="AC526" s="94">
        <f>IF(Eingabe[[#This Row],[V1]]="",IF(Eingabe[[#This Row],[Volle alternativ]]="","",Eingabe[[#This Row],[Volle alternativ]]),SUM(Eingabe[[#This Row],[V1]:[V4]]))</f>
        <v>331</v>
      </c>
      <c r="AD526" s="6">
        <f>IF(Eingabe[[#This Row],[R1]]="",IF(Eingabe[[#This Row],[Räumer alternativ]]="","",Eingabe[[#This Row],[Räumer alternativ]]),SUM(Eingabe[[#This Row],[R1]:[R4]]))</f>
        <v>138</v>
      </c>
      <c r="AE526" s="6">
        <f>IF(Eingabe[[#This Row],[F1]]="",IF(Eingabe[[#This Row],[Fehler alternativ]]="","",Eingabe[[#This Row],[Fehler alternativ]]),SUM(Eingabe[[#This Row],[F1]:[F4]]))</f>
        <v>11</v>
      </c>
      <c r="AF526" s="6">
        <f>IF(Eingabe[[#This Row],[Volle]]="","",IF(Eingabe[[#This Row],[S1]]="",Eingabe[[#This Row],[Volle]]+Eingabe[[#This Row],[Räumer]],IF(Eingabe[[#This Row],[Volle]]+Eingabe[[#This Row],[Räumer]]=Eingabe[[#This Row],[S1]]+Eingabe[[#This Row],[S2]]+Eingabe[[#This Row],[S3]]+Eingabe[[#This Row],[S4]],Eingabe[[#This Row],[Volle]]+Eingabe[[#This Row],[Räumer]],"FEHLER")))</f>
        <v>469</v>
      </c>
      <c r="AG526" s="6">
        <f>IF(Eingabe[[#This Row],[V1]]="","",Eingabe[[#This Row],[V1]]+Eingabe[[#This Row],[R1]])</f>
        <v>110</v>
      </c>
      <c r="AH526" s="6">
        <f>IF(Eingabe[[#This Row],[V2]]="","",Eingabe[[#This Row],[V2]]+Eingabe[[#This Row],[R2]])</f>
        <v>111</v>
      </c>
      <c r="AI526" s="6">
        <f>IF(Eingabe[[#This Row],[V3]]="","",Eingabe[[#This Row],[V3]]+Eingabe[[#This Row],[R3]])</f>
        <v>115</v>
      </c>
      <c r="AJ526" s="6">
        <f>IF(Eingabe[[#This Row],[V4]]="","",Eingabe[[#This Row],[V4]]+Eingabe[[#This Row],[R4]])</f>
        <v>133</v>
      </c>
      <c r="AK526" s="6" t="str">
        <f>IF(Eingabe[[#This Row],[S1P]]="","",Eingabe[[#This Row],[S1P]]+Eingabe[[#This Row],[S2P]]+Eingabe[[#This Row],[S3P]]+Eingabe[[#This Row],[S4P]])</f>
        <v/>
      </c>
      <c r="AL526" s="6" t="str">
        <f>IF(Eingabe[[#This Row],[S1P]]="","",IF(Eingabe[[#This Row],[SP]]&gt;2,1,IF(Eingabe[[#This Row],[SP]]&lt;2,0,IF(Eingabe[[#This Row],[GES]]&gt;Eingabe[[#This Row],[GEGGES]],1,IF(Eingabe[[#This Row],[GES]]=Eingabe[[#This Row],[GEGGES]],0.5,0)))))</f>
        <v/>
      </c>
      <c r="AM526" s="6" t="str">
        <f>IF(Eingabe[[#This Row],[MP]]="","",MOD(ROW(Eingabe[[#This Row],[Position]])-3,6)+1)</f>
        <v/>
      </c>
      <c r="AN526" s="6">
        <f>STANDARDIZE(Eingabe[[#This Row],[GES]],Eingabe[[#This Row],[Schnitt]],VLOOKUP(Eingabe[[#This Row],[Name]],AuswertungG[],21,FALSE))</f>
        <v>-0.13333333333333333</v>
      </c>
      <c r="AO526" s="6">
        <f>VLOOKUP(Eingabe[[#This Row],[ID]],Chronologie[[ID]:[KW]],12,FALSE)</f>
        <v>20</v>
      </c>
      <c r="AP526" s="95" t="str">
        <f>IF(Eingabe[[#This Row],[Wo]]="H",Eingabe[[#This Row],[Gegner]]&amp;" ["&amp;Eingabe[[#This Row],[Wo]]&amp;"]",Eingabe[[#This Row],[Ort]])</f>
        <v>Linda</v>
      </c>
      <c r="AQ526" s="6" t="str">
        <f>IFERROR(IF(Eingabe[[#This Row],[Wo]]="H",IF(MOD(Eingabe[[#This Row],[Position]],2)=1,Eingabe[[#This Row],[S1]],Eingabe[[#This Row],[S4]]),""),"")</f>
        <v/>
      </c>
      <c r="AR526" s="6" t="str">
        <f>IFERROR(IF(Eingabe[[#This Row],[Wo]]="H",IF(Eingabe[[#This Row],[S1]]&gt;0,IF(MOD(Eingabe[[#This Row],[Position]],2)=1,Eingabe[[#This Row],[S2]],Eingabe[[#This Row],[S3]]),""),""),"")</f>
        <v/>
      </c>
      <c r="AS526" s="6" t="str">
        <f>IFERROR(IF(Eingabe[[#This Row],[Wo]]="H",IF(Eingabe[[#This Row],[S1]]&gt;0,IF(MOD(ROW(Eingabe[[#This Row],[Heimbahn 3]]),2)=1,Eingabe[[#This Row],[S4]],Eingabe[[#This Row],[S1]]),""),""),"")</f>
        <v/>
      </c>
      <c r="AT526" s="6" t="str">
        <f>IFERROR(IF(Eingabe[[#This Row],[Wo]]="H",IF(Eingabe[[#This Row],[S1]]&gt;0,IF(MOD(ROW(Eingabe[[#This Row],[Heimbahn 4]]),2)=1,Eingabe[[#This Row],[S3]],Eingabe[[#This Row],[S2]]),""),""),"")</f>
        <v/>
      </c>
      <c r="AU526" s="22" t="str">
        <f>IF(Eingabe[[#This Row],[GES]]="","",IF(Eingabe[[#This Row],[Modus]]="L",_xlfn.RANK.EQ(Eingabe[[#This Row],[GES]],AF525:AF530),IF(Eingabe[[#This Row],[Modus]]="P",_xlfn.RANK.EQ(Eingabe[[#This Row],[GES]],AF525:AF530),"")))</f>
        <v/>
      </c>
      <c r="AV526" s="6">
        <f>VLOOKUP(Eingabe[[#This Row],[Name]],AuswertungG[],8,FALSE)</f>
        <v>471</v>
      </c>
      <c r="AZ526" s="6">
        <f>IFERROR(ABS(Eingabe[[#This Row],[GES]]-Eingabe[[#This Row],[GEGGES]]),"")</f>
        <v>469</v>
      </c>
    </row>
    <row r="527" spans="1:52" ht="16.2" hidden="1" thickBot="1" x14ac:dyDescent="0.35">
      <c r="A527" s="441"/>
      <c r="B527" s="21">
        <f t="shared" si="51"/>
        <v>88</v>
      </c>
      <c r="C527" s="6" t="str">
        <f>VLOOKUP($B527,Chronologie[],7,TRUE)</f>
        <v>SV Linda</v>
      </c>
      <c r="D527" s="6" t="str">
        <f>VLOOKUP($B527,Chronologie[],8,TRUE)</f>
        <v>Linda</v>
      </c>
      <c r="E527" s="240" t="str">
        <f>VLOOKUP($B527,Chronologie[],9,TRUE)</f>
        <v>A</v>
      </c>
      <c r="F527" s="6" t="str">
        <f>VLOOKUP($B527,Chronologie[],COLUMN(F528)-2,TRUE)</f>
        <v>M</v>
      </c>
      <c r="G527" s="6" t="str">
        <f>VLOOKUP($B527,Chronologie[],COLUMN(G528)-2,TRUE)</f>
        <v>KEM</v>
      </c>
      <c r="H527" s="6" t="str">
        <f>VLOOKUP($B527,Chronologie[],COLUMN(H528)-2,TRUE)</f>
        <v>V</v>
      </c>
      <c r="I527" s="10" t="str">
        <f>VLOOKUP($B527,Chronologie[],2,TRUE)</f>
        <v>M-KEM-V</v>
      </c>
      <c r="J527" s="243">
        <f>VLOOKUP($B527,Chronologie[],3,TRUE)</f>
        <v>46032</v>
      </c>
      <c r="K527" s="237" t="s">
        <v>658</v>
      </c>
      <c r="L527" s="237">
        <v>92</v>
      </c>
      <c r="M527" s="237">
        <v>82</v>
      </c>
      <c r="N527" s="237">
        <v>91</v>
      </c>
      <c r="O527" s="237">
        <v>91</v>
      </c>
      <c r="P527" s="237">
        <v>35</v>
      </c>
      <c r="Q527" s="237">
        <v>34</v>
      </c>
      <c r="R527" s="237">
        <v>44</v>
      </c>
      <c r="S527" s="237">
        <v>45</v>
      </c>
      <c r="T527" s="237">
        <v>4</v>
      </c>
      <c r="U527" s="237">
        <v>3</v>
      </c>
      <c r="V527" s="237">
        <v>0</v>
      </c>
      <c r="W527" s="237">
        <v>0</v>
      </c>
      <c r="X527" s="38"/>
      <c r="Y527" s="38"/>
      <c r="Z527" s="38"/>
      <c r="AA527" s="38"/>
      <c r="AB527" s="91"/>
      <c r="AC527" s="94">
        <f>IF(Eingabe[[#This Row],[V1]]="",IF(Eingabe[[#This Row],[Volle alternativ]]="","",Eingabe[[#This Row],[Volle alternativ]]),SUM(Eingabe[[#This Row],[V1]:[V4]]))</f>
        <v>356</v>
      </c>
      <c r="AD527" s="6">
        <f>IF(Eingabe[[#This Row],[R1]]="",IF(Eingabe[[#This Row],[Räumer alternativ]]="","",Eingabe[[#This Row],[Räumer alternativ]]),SUM(Eingabe[[#This Row],[R1]:[R4]]))</f>
        <v>158</v>
      </c>
      <c r="AE527" s="6">
        <f>IF(Eingabe[[#This Row],[F1]]="",IF(Eingabe[[#This Row],[Fehler alternativ]]="","",Eingabe[[#This Row],[Fehler alternativ]]),SUM(Eingabe[[#This Row],[F1]:[F4]]))</f>
        <v>7</v>
      </c>
      <c r="AF527" s="6">
        <f>IF(Eingabe[[#This Row],[Volle]]="","",IF(Eingabe[[#This Row],[S1]]="",Eingabe[[#This Row],[Volle]]+Eingabe[[#This Row],[Räumer]],IF(Eingabe[[#This Row],[Volle]]+Eingabe[[#This Row],[Räumer]]=Eingabe[[#This Row],[S1]]+Eingabe[[#This Row],[S2]]+Eingabe[[#This Row],[S3]]+Eingabe[[#This Row],[S4]],Eingabe[[#This Row],[Volle]]+Eingabe[[#This Row],[Räumer]],"FEHLER")))</f>
        <v>514</v>
      </c>
      <c r="AG527" s="6">
        <f>IF(Eingabe[[#This Row],[V1]]="","",Eingabe[[#This Row],[V1]]+Eingabe[[#This Row],[R1]])</f>
        <v>127</v>
      </c>
      <c r="AH527" s="6">
        <f>IF(Eingabe[[#This Row],[V2]]="","",Eingabe[[#This Row],[V2]]+Eingabe[[#This Row],[R2]])</f>
        <v>116</v>
      </c>
      <c r="AI527" s="6">
        <f>IF(Eingabe[[#This Row],[V3]]="","",Eingabe[[#This Row],[V3]]+Eingabe[[#This Row],[R3]])</f>
        <v>135</v>
      </c>
      <c r="AJ527" s="6">
        <f>IF(Eingabe[[#This Row],[V4]]="","",Eingabe[[#This Row],[V4]]+Eingabe[[#This Row],[R4]])</f>
        <v>136</v>
      </c>
      <c r="AK527" s="6" t="str">
        <f>IF(Eingabe[[#This Row],[S1P]]="","",Eingabe[[#This Row],[S1P]]+Eingabe[[#This Row],[S2P]]+Eingabe[[#This Row],[S3P]]+Eingabe[[#This Row],[S4P]])</f>
        <v/>
      </c>
      <c r="AL527" s="6" t="str">
        <f>IF(Eingabe[[#This Row],[S1P]]="","",IF(Eingabe[[#This Row],[SP]]&gt;2,1,IF(Eingabe[[#This Row],[SP]]&lt;2,0,IF(Eingabe[[#This Row],[GES]]&gt;Eingabe[[#This Row],[GEGGES]],1,IF(Eingabe[[#This Row],[GES]]=Eingabe[[#This Row],[GEGGES]],0.5,0)))))</f>
        <v/>
      </c>
      <c r="AM527" s="6" t="str">
        <f>IF(Eingabe[[#This Row],[MP]]="","",MOD(ROW(Eingabe[[#This Row],[Position]])-3,6)+1)</f>
        <v/>
      </c>
      <c r="AN527" s="6">
        <f>STANDARDIZE(Eingabe[[#This Row],[GES]],Eingabe[[#This Row],[Schnitt]],VLOOKUP(Eingabe[[#This Row],[Name]],AuswertungG[],21,FALSE))</f>
        <v>-1.0285714285714285</v>
      </c>
      <c r="AO527" s="6">
        <f>VLOOKUP(Eingabe[[#This Row],[ID]],Chronologie[[ID]:[KW]],12,FALSE)</f>
        <v>20</v>
      </c>
      <c r="AP527" s="95" t="str">
        <f>IF(Eingabe[[#This Row],[Wo]]="H",Eingabe[[#This Row],[Gegner]]&amp;" ["&amp;Eingabe[[#This Row],[Wo]]&amp;"]",Eingabe[[#This Row],[Ort]])</f>
        <v>Linda</v>
      </c>
      <c r="AQ527" s="6" t="str">
        <f>IFERROR(IF(Eingabe[[#This Row],[Wo]]="H",IF(MOD(Eingabe[[#This Row],[Position]],2)=1,Eingabe[[#This Row],[S1]],Eingabe[[#This Row],[S4]]),""),"")</f>
        <v/>
      </c>
      <c r="AR527" s="6" t="str">
        <f>IFERROR(IF(Eingabe[[#This Row],[Wo]]="H",IF(Eingabe[[#This Row],[S1]]&gt;0,IF(MOD(Eingabe[[#This Row],[Position]],2)=1,Eingabe[[#This Row],[S2]],Eingabe[[#This Row],[S3]]),""),""),"")</f>
        <v/>
      </c>
      <c r="AS527" s="6" t="str">
        <f>IFERROR(IF(Eingabe[[#This Row],[Wo]]="H",IF(Eingabe[[#This Row],[S1]]&gt;0,IF(MOD(ROW(Eingabe[[#This Row],[Heimbahn 3]]),2)=1,Eingabe[[#This Row],[S4]],Eingabe[[#This Row],[S1]]),""),""),"")</f>
        <v/>
      </c>
      <c r="AT527" s="6" t="str">
        <f>IFERROR(IF(Eingabe[[#This Row],[Wo]]="H",IF(Eingabe[[#This Row],[S1]]&gt;0,IF(MOD(ROW(Eingabe[[#This Row],[Heimbahn 4]]),2)=1,Eingabe[[#This Row],[S3]],Eingabe[[#This Row],[S2]]),""),""),"")</f>
        <v/>
      </c>
      <c r="AU527" s="22" t="str">
        <f>IF(Eingabe[[#This Row],[GES]]="","",IF(Eingabe[[#This Row],[Modus]]="L",_xlfn.RANK.EQ(Eingabe[[#This Row],[GES]],AF525:AF530),IF(Eingabe[[#This Row],[Modus]]="P",_xlfn.RANK.EQ(Eingabe[[#This Row],[GES]],AF525:AF530),"")))</f>
        <v/>
      </c>
      <c r="AV527" s="6">
        <f>VLOOKUP(Eingabe[[#This Row],[Name]],AuswertungG[],8,FALSE)</f>
        <v>550</v>
      </c>
      <c r="AZ527" s="6">
        <f>IFERROR(ABS(Eingabe[[#This Row],[GES]]-Eingabe[[#This Row],[GEGGES]]),"")</f>
        <v>514</v>
      </c>
    </row>
    <row r="528" spans="1:52" ht="16.2" hidden="1" thickBot="1" x14ac:dyDescent="0.35">
      <c r="A528" s="441"/>
      <c r="B528" s="21">
        <f t="shared" si="51"/>
        <v>88</v>
      </c>
      <c r="C528" s="6" t="str">
        <f>VLOOKUP($B528,Chronologie[],7,TRUE)</f>
        <v>SV Linda</v>
      </c>
      <c r="D528" s="6" t="str">
        <f>VLOOKUP($B528,Chronologie[],8,TRUE)</f>
        <v>Linda</v>
      </c>
      <c r="E528" s="240" t="str">
        <f>VLOOKUP($B528,Chronologie[],9,TRUE)</f>
        <v>A</v>
      </c>
      <c r="F528" s="6" t="str">
        <f>VLOOKUP($B528,Chronologie[],COLUMN(F529)-2,TRUE)</f>
        <v>M</v>
      </c>
      <c r="G528" s="6" t="str">
        <f>VLOOKUP($B528,Chronologie[],COLUMN(G529)-2,TRUE)</f>
        <v>KEM</v>
      </c>
      <c r="H528" s="6" t="str">
        <f>VLOOKUP($B528,Chronologie[],COLUMN(H529)-2,TRUE)</f>
        <v>V</v>
      </c>
      <c r="I528" s="10" t="str">
        <f>VLOOKUP($B528,Chronologie[],2,TRUE)</f>
        <v>M-KEM-V</v>
      </c>
      <c r="J528" s="243">
        <f>VLOOKUP($B528,Chronologie[],3,TRUE)</f>
        <v>46032</v>
      </c>
      <c r="K528" s="238"/>
      <c r="L528" s="237"/>
      <c r="M528" s="237"/>
      <c r="N528" s="237"/>
      <c r="O528" s="237"/>
      <c r="P528" s="237"/>
      <c r="Q528" s="237"/>
      <c r="R528" s="237"/>
      <c r="S528" s="237"/>
      <c r="T528" s="237"/>
      <c r="U528" s="237"/>
      <c r="V528" s="237"/>
      <c r="W528" s="237"/>
      <c r="X528" s="38"/>
      <c r="Y528" s="38"/>
      <c r="Z528" s="38"/>
      <c r="AA528" s="38"/>
      <c r="AB528" s="91"/>
      <c r="AC528" s="94" t="str">
        <f>IF(Eingabe[[#This Row],[V1]]="",IF(Eingabe[[#This Row],[Volle alternativ]]="","",Eingabe[[#This Row],[Volle alternativ]]),SUM(Eingabe[[#This Row],[V1]:[V4]]))</f>
        <v/>
      </c>
      <c r="AD528" s="6" t="str">
        <f>IF(Eingabe[[#This Row],[R1]]="",IF(Eingabe[[#This Row],[Räumer alternativ]]="","",Eingabe[[#This Row],[Räumer alternativ]]),SUM(Eingabe[[#This Row],[R1]:[R4]]))</f>
        <v/>
      </c>
      <c r="AE528" s="6" t="str">
        <f>IF(Eingabe[[#This Row],[F1]]="",IF(Eingabe[[#This Row],[Fehler alternativ]]="","",Eingabe[[#This Row],[Fehler alternativ]]),SUM(Eingabe[[#This Row],[F1]:[F4]]))</f>
        <v/>
      </c>
      <c r="AF528" s="6" t="str">
        <f>IF(Eingabe[[#This Row],[Volle]]="","",IF(Eingabe[[#This Row],[S1]]="",Eingabe[[#This Row],[Volle]]+Eingabe[[#This Row],[Räumer]],IF(Eingabe[[#This Row],[Volle]]+Eingabe[[#This Row],[Räumer]]=Eingabe[[#This Row],[S1]]+Eingabe[[#This Row],[S2]]+Eingabe[[#This Row],[S3]]+Eingabe[[#This Row],[S4]],Eingabe[[#This Row],[Volle]]+Eingabe[[#This Row],[Räumer]],"FEHLER")))</f>
        <v/>
      </c>
      <c r="AG528" s="6" t="str">
        <f>IF(Eingabe[[#This Row],[V1]]="","",Eingabe[[#This Row],[V1]]+Eingabe[[#This Row],[R1]])</f>
        <v/>
      </c>
      <c r="AH528" s="6" t="str">
        <f>IF(Eingabe[[#This Row],[V2]]="","",Eingabe[[#This Row],[V2]]+Eingabe[[#This Row],[R2]])</f>
        <v/>
      </c>
      <c r="AI528" s="6" t="str">
        <f>IF(Eingabe[[#This Row],[V3]]="","",Eingabe[[#This Row],[V3]]+Eingabe[[#This Row],[R3]])</f>
        <v/>
      </c>
      <c r="AJ528" s="6" t="str">
        <f>IF(Eingabe[[#This Row],[V4]]="","",Eingabe[[#This Row],[V4]]+Eingabe[[#This Row],[R4]])</f>
        <v/>
      </c>
      <c r="AK528" s="6" t="str">
        <f>IF(Eingabe[[#This Row],[S1P]]="","",Eingabe[[#This Row],[S1P]]+Eingabe[[#This Row],[S2P]]+Eingabe[[#This Row],[S3P]]+Eingabe[[#This Row],[S4P]])</f>
        <v/>
      </c>
      <c r="AL528" s="6" t="str">
        <f>IF(Eingabe[[#This Row],[S1P]]="","",IF(Eingabe[[#This Row],[SP]]&gt;2,1,IF(Eingabe[[#This Row],[SP]]&lt;2,0,IF(Eingabe[[#This Row],[GES]]&gt;Eingabe[[#This Row],[GEGGES]],1,IF(Eingabe[[#This Row],[GES]]=Eingabe[[#This Row],[GEGGES]],0.5,0)))))</f>
        <v/>
      </c>
      <c r="AM528" s="6" t="str">
        <f>IF(Eingabe[[#This Row],[MP]]="","",MOD(ROW(Eingabe[[#This Row],[Position]])-3,6)+1)</f>
        <v/>
      </c>
      <c r="AN528" s="6" t="e">
        <f>STANDARDIZE(Eingabe[[#This Row],[GES]],Eingabe[[#This Row],[Schnitt]],VLOOKUP(Eingabe[[#This Row],[Name]],AuswertungG[],21,FALSE))</f>
        <v>#VALUE!</v>
      </c>
      <c r="AO528" s="6">
        <f>VLOOKUP(Eingabe[[#This Row],[ID]],Chronologie[[ID]:[KW]],12,FALSE)</f>
        <v>20</v>
      </c>
      <c r="AP528" s="95" t="str">
        <f>IF(Eingabe[[#This Row],[Wo]]="H",Eingabe[[#This Row],[Gegner]]&amp;" ["&amp;Eingabe[[#This Row],[Wo]]&amp;"]",Eingabe[[#This Row],[Ort]])</f>
        <v>Linda</v>
      </c>
      <c r="AQ528" s="6" t="str">
        <f>IFERROR(IF(Eingabe[[#This Row],[Wo]]="H",IF(MOD(Eingabe[[#This Row],[Position]],2)=1,Eingabe[[#This Row],[S1]],Eingabe[[#This Row],[S4]]),""),"")</f>
        <v/>
      </c>
      <c r="AR528" s="6" t="str">
        <f>IFERROR(IF(Eingabe[[#This Row],[Wo]]="H",IF(Eingabe[[#This Row],[S1]]&gt;0,IF(MOD(Eingabe[[#This Row],[Position]],2)=1,Eingabe[[#This Row],[S2]],Eingabe[[#This Row],[S3]]),""),""),"")</f>
        <v/>
      </c>
      <c r="AS528" s="6" t="str">
        <f>IFERROR(IF(Eingabe[[#This Row],[Wo]]="H",IF(Eingabe[[#This Row],[S1]]&gt;0,IF(MOD(ROW(Eingabe[[#This Row],[Heimbahn 3]]),2)=1,Eingabe[[#This Row],[S4]],Eingabe[[#This Row],[S1]]),""),""),"")</f>
        <v/>
      </c>
      <c r="AT528" s="6" t="str">
        <f>IFERROR(IF(Eingabe[[#This Row],[Wo]]="H",IF(Eingabe[[#This Row],[S1]]&gt;0,IF(MOD(ROW(Eingabe[[#This Row],[Heimbahn 4]]),2)=1,Eingabe[[#This Row],[S3]],Eingabe[[#This Row],[S2]]),""),""),"")</f>
        <v/>
      </c>
      <c r="AU528" s="22" t="str">
        <f>IF(Eingabe[[#This Row],[GES]]="","",IF(Eingabe[[#This Row],[Modus]]="L",_xlfn.RANK.EQ(Eingabe[[#This Row],[GES]],AF525:AF530),IF(Eingabe[[#This Row],[Modus]]="P",_xlfn.RANK.EQ(Eingabe[[#This Row],[GES]],AF525:AF530),"")))</f>
        <v/>
      </c>
      <c r="AV528" s="6" t="e">
        <f>VLOOKUP(Eingabe[[#This Row],[Name]],AuswertungG[],8,FALSE)</f>
        <v>#N/A</v>
      </c>
      <c r="AZ528" s="6" t="str">
        <f>IFERROR(ABS(Eingabe[[#This Row],[GES]]-Eingabe[[#This Row],[GEGGES]]),"")</f>
        <v/>
      </c>
    </row>
    <row r="529" spans="1:52" ht="16.2" hidden="1" thickBot="1" x14ac:dyDescent="0.35">
      <c r="A529" s="441"/>
      <c r="B529" s="21">
        <f t="shared" si="51"/>
        <v>88</v>
      </c>
      <c r="C529" s="6" t="str">
        <f>VLOOKUP($B529,Chronologie[],7,TRUE)</f>
        <v>SV Linda</v>
      </c>
      <c r="D529" s="6" t="str">
        <f>VLOOKUP($B529,Chronologie[],8,TRUE)</f>
        <v>Linda</v>
      </c>
      <c r="E529" s="240" t="str">
        <f>VLOOKUP($B529,Chronologie[],9,TRUE)</f>
        <v>A</v>
      </c>
      <c r="F529" s="6" t="str">
        <f>VLOOKUP($B529,Chronologie[],COLUMN(F530)-2,TRUE)</f>
        <v>M</v>
      </c>
      <c r="G529" s="6" t="str">
        <f>VLOOKUP($B529,Chronologie[],COLUMN(G530)-2,TRUE)</f>
        <v>KEM</v>
      </c>
      <c r="H529" s="6" t="str">
        <f>VLOOKUP($B529,Chronologie[],COLUMN(H530)-2,TRUE)</f>
        <v>V</v>
      </c>
      <c r="I529" s="10" t="str">
        <f>VLOOKUP($B529,Chronologie[],2,TRUE)</f>
        <v>M-KEM-V</v>
      </c>
      <c r="J529" s="243">
        <f>VLOOKUP($B529,Chronologie[],3,TRUE)</f>
        <v>46032</v>
      </c>
      <c r="K529" s="237"/>
      <c r="L529" s="237"/>
      <c r="M529" s="237"/>
      <c r="N529" s="237"/>
      <c r="O529" s="237"/>
      <c r="P529" s="237"/>
      <c r="Q529" s="237"/>
      <c r="R529" s="237"/>
      <c r="S529" s="237"/>
      <c r="T529" s="237"/>
      <c r="U529" s="237"/>
      <c r="V529" s="237"/>
      <c r="W529" s="237"/>
      <c r="X529" s="38"/>
      <c r="Y529" s="38"/>
      <c r="Z529" s="38"/>
      <c r="AA529" s="38"/>
      <c r="AB529" s="91"/>
      <c r="AC529" s="94" t="str">
        <f>IF(Eingabe[[#This Row],[V1]]="",IF(Eingabe[[#This Row],[Volle alternativ]]="","",Eingabe[[#This Row],[Volle alternativ]]),SUM(Eingabe[[#This Row],[V1]:[V4]]))</f>
        <v/>
      </c>
      <c r="AD529" s="6" t="str">
        <f>IF(Eingabe[[#This Row],[R1]]="",IF(Eingabe[[#This Row],[Räumer alternativ]]="","",Eingabe[[#This Row],[Räumer alternativ]]),SUM(Eingabe[[#This Row],[R1]:[R4]]))</f>
        <v/>
      </c>
      <c r="AE529" s="6" t="str">
        <f>IF(Eingabe[[#This Row],[F1]]="",IF(Eingabe[[#This Row],[Fehler alternativ]]="","",Eingabe[[#This Row],[Fehler alternativ]]),SUM(Eingabe[[#This Row],[F1]:[F4]]))</f>
        <v/>
      </c>
      <c r="AF529" s="6" t="str">
        <f>IF(Eingabe[[#This Row],[Volle]]="","",IF(Eingabe[[#This Row],[S1]]="",Eingabe[[#This Row],[Volle]]+Eingabe[[#This Row],[Räumer]],IF(Eingabe[[#This Row],[Volle]]+Eingabe[[#This Row],[Räumer]]=Eingabe[[#This Row],[S1]]+Eingabe[[#This Row],[S2]]+Eingabe[[#This Row],[S3]]+Eingabe[[#This Row],[S4]],Eingabe[[#This Row],[Volle]]+Eingabe[[#This Row],[Räumer]],"FEHLER")))</f>
        <v/>
      </c>
      <c r="AG529" s="6" t="str">
        <f>IF(Eingabe[[#This Row],[V1]]="","",Eingabe[[#This Row],[V1]]+Eingabe[[#This Row],[R1]])</f>
        <v/>
      </c>
      <c r="AH529" s="6" t="str">
        <f>IF(Eingabe[[#This Row],[V2]]="","",Eingabe[[#This Row],[V2]]+Eingabe[[#This Row],[R2]])</f>
        <v/>
      </c>
      <c r="AI529" s="6" t="str">
        <f>IF(Eingabe[[#This Row],[V3]]="","",Eingabe[[#This Row],[V3]]+Eingabe[[#This Row],[R3]])</f>
        <v/>
      </c>
      <c r="AJ529" s="6" t="str">
        <f>IF(Eingabe[[#This Row],[V4]]="","",Eingabe[[#This Row],[V4]]+Eingabe[[#This Row],[R4]])</f>
        <v/>
      </c>
      <c r="AK529" s="6" t="str">
        <f>IF(Eingabe[[#This Row],[S1P]]="","",Eingabe[[#This Row],[S1P]]+Eingabe[[#This Row],[S2P]]+Eingabe[[#This Row],[S3P]]+Eingabe[[#This Row],[S4P]])</f>
        <v/>
      </c>
      <c r="AL529" s="6" t="str">
        <f>IF(Eingabe[[#This Row],[S1P]]="","",IF(Eingabe[[#This Row],[SP]]&gt;2,1,IF(Eingabe[[#This Row],[SP]]&lt;2,0,IF(Eingabe[[#This Row],[GES]]&gt;Eingabe[[#This Row],[GEGGES]],1,IF(Eingabe[[#This Row],[GES]]=Eingabe[[#This Row],[GEGGES]],0.5,0)))))</f>
        <v/>
      </c>
      <c r="AM529" s="6" t="str">
        <f>IF(Eingabe[[#This Row],[MP]]="","",MOD(ROW(Eingabe[[#This Row],[Position]])-3,6)+1)</f>
        <v/>
      </c>
      <c r="AN529" s="6" t="e">
        <f>STANDARDIZE(Eingabe[[#This Row],[GES]],Eingabe[[#This Row],[Schnitt]],VLOOKUP(Eingabe[[#This Row],[Name]],AuswertungG[],21,FALSE))</f>
        <v>#VALUE!</v>
      </c>
      <c r="AO529" s="6">
        <f>VLOOKUP(Eingabe[[#This Row],[ID]],Chronologie[[ID]:[KW]],12,FALSE)</f>
        <v>20</v>
      </c>
      <c r="AP529" s="95" t="str">
        <f>IF(Eingabe[[#This Row],[Wo]]="H",Eingabe[[#This Row],[Gegner]]&amp;" ["&amp;Eingabe[[#This Row],[Wo]]&amp;"]",Eingabe[[#This Row],[Ort]])</f>
        <v>Linda</v>
      </c>
      <c r="AQ529" s="6" t="str">
        <f>IFERROR(IF(Eingabe[[#This Row],[Wo]]="H",IF(MOD(Eingabe[[#This Row],[Position]],2)=1,Eingabe[[#This Row],[S1]],Eingabe[[#This Row],[S4]]),""),"")</f>
        <v/>
      </c>
      <c r="AR529" s="6" t="str">
        <f>IFERROR(IF(Eingabe[[#This Row],[Wo]]="H",IF(Eingabe[[#This Row],[S1]]&gt;0,IF(MOD(Eingabe[[#This Row],[Position]],2)=1,Eingabe[[#This Row],[S2]],Eingabe[[#This Row],[S3]]),""),""),"")</f>
        <v/>
      </c>
      <c r="AS529" s="6" t="str">
        <f>IFERROR(IF(Eingabe[[#This Row],[Wo]]="H",IF(Eingabe[[#This Row],[S1]]&gt;0,IF(MOD(ROW(Eingabe[[#This Row],[Heimbahn 3]]),2)=1,Eingabe[[#This Row],[S4]],Eingabe[[#This Row],[S1]]),""),""),"")</f>
        <v/>
      </c>
      <c r="AT529" s="6" t="str">
        <f>IFERROR(IF(Eingabe[[#This Row],[Wo]]="H",IF(Eingabe[[#This Row],[S1]]&gt;0,IF(MOD(ROW(Eingabe[[#This Row],[Heimbahn 4]]),2)=1,Eingabe[[#This Row],[S3]],Eingabe[[#This Row],[S2]]),""),""),"")</f>
        <v/>
      </c>
      <c r="AU529" s="22" t="str">
        <f>IF(Eingabe[[#This Row],[GES]]="","",IF(Eingabe[[#This Row],[Modus]]="L",_xlfn.RANK.EQ(Eingabe[[#This Row],[GES]],AF525:AF530),IF(Eingabe[[#This Row],[Modus]]="P",_xlfn.RANK.EQ(Eingabe[[#This Row],[GES]],AF525:AF530),"")))</f>
        <v/>
      </c>
      <c r="AV529" s="6" t="e">
        <f>VLOOKUP(Eingabe[[#This Row],[Name]],AuswertungG[],8,FALSE)</f>
        <v>#N/A</v>
      </c>
      <c r="AZ529" s="6" t="str">
        <f>IFERROR(ABS(Eingabe[[#This Row],[GES]]-Eingabe[[#This Row],[GEGGES]]),"")</f>
        <v/>
      </c>
    </row>
    <row r="530" spans="1:52" ht="16.2" hidden="1" thickBot="1" x14ac:dyDescent="0.35">
      <c r="A530" s="442"/>
      <c r="B530" s="56">
        <f t="shared" si="51"/>
        <v>88</v>
      </c>
      <c r="C530" s="23" t="str">
        <f>VLOOKUP($B530,Chronologie[],7,TRUE)</f>
        <v>SV Linda</v>
      </c>
      <c r="D530" s="23" t="str">
        <f>VLOOKUP($B530,Chronologie[],8,TRUE)</f>
        <v>Linda</v>
      </c>
      <c r="E530" s="39" t="str">
        <f>VLOOKUP($B530,Chronologie[],9,TRUE)</f>
        <v>A</v>
      </c>
      <c r="F530" s="23" t="str">
        <f>VLOOKUP($B530,Chronologie[],COLUMN(F531)-2,TRUE)</f>
        <v>M</v>
      </c>
      <c r="G530" s="23" t="str">
        <f>VLOOKUP($B530,Chronologie[],COLUMN(G531)-2,TRUE)</f>
        <v>KEM</v>
      </c>
      <c r="H530" s="23" t="str">
        <f>VLOOKUP($B530,Chronologie[],COLUMN(H531)-2,TRUE)</f>
        <v>V</v>
      </c>
      <c r="I530" s="13" t="str">
        <f>VLOOKUP($B530,Chronologie[],2,TRUE)</f>
        <v>M-KEM-V</v>
      </c>
      <c r="J530" s="244">
        <f>VLOOKUP($B530,Chronologie[],3,TRUE)</f>
        <v>46032</v>
      </c>
      <c r="K530" s="239"/>
      <c r="L530" s="239"/>
      <c r="M530" s="239"/>
      <c r="N530" s="239"/>
      <c r="O530" s="239"/>
      <c r="P530" s="239"/>
      <c r="Q530" s="239"/>
      <c r="R530" s="239"/>
      <c r="S530" s="239"/>
      <c r="T530" s="239"/>
      <c r="U530" s="239"/>
      <c r="V530" s="239"/>
      <c r="W530" s="239"/>
      <c r="X530" s="40"/>
      <c r="Y530" s="40"/>
      <c r="Z530" s="40"/>
      <c r="AA530" s="40"/>
      <c r="AB530" s="92"/>
      <c r="AC530" s="96" t="str">
        <f>IF(Eingabe[[#This Row],[V1]]="",IF(Eingabe[[#This Row],[Volle alternativ]]="","",Eingabe[[#This Row],[Volle alternativ]]),SUM(Eingabe[[#This Row],[V1]:[V4]]))</f>
        <v/>
      </c>
      <c r="AD530" s="23" t="str">
        <f>IF(Eingabe[[#This Row],[R1]]="",IF(Eingabe[[#This Row],[Räumer alternativ]]="","",Eingabe[[#This Row],[Räumer alternativ]]),SUM(Eingabe[[#This Row],[R1]:[R4]]))</f>
        <v/>
      </c>
      <c r="AE530" s="23" t="str">
        <f>IF(Eingabe[[#This Row],[F1]]="",IF(Eingabe[[#This Row],[Fehler alternativ]]="","",Eingabe[[#This Row],[Fehler alternativ]]),SUM(Eingabe[[#This Row],[F1]:[F4]]))</f>
        <v/>
      </c>
      <c r="AF530" s="23" t="str">
        <f>IF(Eingabe[[#This Row],[Volle]]="","",IF(Eingabe[[#This Row],[S1]]="",Eingabe[[#This Row],[Volle]]+Eingabe[[#This Row],[Räumer]],IF(Eingabe[[#This Row],[Volle]]+Eingabe[[#This Row],[Räumer]]=Eingabe[[#This Row],[S1]]+Eingabe[[#This Row],[S2]]+Eingabe[[#This Row],[S3]]+Eingabe[[#This Row],[S4]],Eingabe[[#This Row],[Volle]]+Eingabe[[#This Row],[Räumer]],"FEHLER")))</f>
        <v/>
      </c>
      <c r="AG530" s="23" t="str">
        <f>IF(Eingabe[[#This Row],[V1]]="","",Eingabe[[#This Row],[V1]]+Eingabe[[#This Row],[R1]])</f>
        <v/>
      </c>
      <c r="AH530" s="23" t="str">
        <f>IF(Eingabe[[#This Row],[V2]]="","",Eingabe[[#This Row],[V2]]+Eingabe[[#This Row],[R2]])</f>
        <v/>
      </c>
      <c r="AI530" s="23" t="str">
        <f>IF(Eingabe[[#This Row],[V3]]="","",Eingabe[[#This Row],[V3]]+Eingabe[[#This Row],[R3]])</f>
        <v/>
      </c>
      <c r="AJ530" s="23" t="str">
        <f>IF(Eingabe[[#This Row],[V4]]="","",Eingabe[[#This Row],[V4]]+Eingabe[[#This Row],[R4]])</f>
        <v/>
      </c>
      <c r="AK530" s="23" t="str">
        <f>IF(Eingabe[[#This Row],[S1P]]="","",Eingabe[[#This Row],[S1P]]+Eingabe[[#This Row],[S2P]]+Eingabe[[#This Row],[S3P]]+Eingabe[[#This Row],[S4P]])</f>
        <v/>
      </c>
      <c r="AL530" s="23" t="str">
        <f>IF(Eingabe[[#This Row],[S1P]]="","",IF(Eingabe[[#This Row],[SP]]&gt;2,1,IF(Eingabe[[#This Row],[SP]]&lt;2,0,IF(Eingabe[[#This Row],[GES]]&gt;Eingabe[[#This Row],[GEGGES]],1,IF(Eingabe[[#This Row],[GES]]=Eingabe[[#This Row],[GEGGES]],0.5,0)))))</f>
        <v/>
      </c>
      <c r="AM530" s="23" t="str">
        <f>IF(Eingabe[[#This Row],[MP]]="","",MOD(ROW(Eingabe[[#This Row],[Position]])-3,6)+1)</f>
        <v/>
      </c>
      <c r="AN530" s="23" t="e">
        <f>STANDARDIZE(Eingabe[[#This Row],[GES]],Eingabe[[#This Row],[Schnitt]],VLOOKUP(Eingabe[[#This Row],[Name]],AuswertungG[],21,FALSE))</f>
        <v>#VALUE!</v>
      </c>
      <c r="AO530" s="23">
        <f>VLOOKUP(Eingabe[[#This Row],[ID]],Chronologie[[ID]:[KW]],12,FALSE)</f>
        <v>20</v>
      </c>
      <c r="AP530" s="59" t="str">
        <f>IF(Eingabe[[#This Row],[Wo]]="H",Eingabe[[#This Row],[Gegner]]&amp;" ["&amp;Eingabe[[#This Row],[Wo]]&amp;"]",Eingabe[[#This Row],[Ort]])</f>
        <v>Linda</v>
      </c>
      <c r="AQ530" s="23" t="str">
        <f>IFERROR(IF(Eingabe[[#This Row],[Wo]]="H",IF(MOD(Eingabe[[#This Row],[Position]],2)=1,Eingabe[[#This Row],[S1]],Eingabe[[#This Row],[S4]]),""),"")</f>
        <v/>
      </c>
      <c r="AR530" s="23" t="str">
        <f>IFERROR(IF(Eingabe[[#This Row],[Wo]]="H",IF(Eingabe[[#This Row],[S1]]&gt;0,IF(MOD(Eingabe[[#This Row],[Position]],2)=1,Eingabe[[#This Row],[S2]],Eingabe[[#This Row],[S3]]),""),""),"")</f>
        <v/>
      </c>
      <c r="AS530" s="23" t="str">
        <f>IFERROR(IF(Eingabe[[#This Row],[Wo]]="H",IF(Eingabe[[#This Row],[S1]]&gt;0,IF(MOD(ROW(Eingabe[[#This Row],[Heimbahn 3]]),2)=1,Eingabe[[#This Row],[S4]],Eingabe[[#This Row],[S1]]),""),""),"")</f>
        <v/>
      </c>
      <c r="AT530" s="23" t="str">
        <f>IFERROR(IF(Eingabe[[#This Row],[Wo]]="H",IF(Eingabe[[#This Row],[S1]]&gt;0,IF(MOD(ROW(Eingabe[[#This Row],[Heimbahn 4]]),2)=1,Eingabe[[#This Row],[S3]],Eingabe[[#This Row],[S2]]),""),""),"")</f>
        <v/>
      </c>
      <c r="AU530" s="89" t="str">
        <f>IF(Eingabe[[#This Row],[GES]]="","",IF(Eingabe[[#This Row],[Modus]]="L",_xlfn.RANK.EQ(Eingabe[[#This Row],[GES]],AF525:AF530),IF(Eingabe[[#This Row],[Modus]]="P",_xlfn.RANK.EQ(Eingabe[[#This Row],[GES]],AF525:AF530),"")))</f>
        <v/>
      </c>
      <c r="AV530" s="6" t="e">
        <f>VLOOKUP(Eingabe[[#This Row],[Name]],AuswertungG[],8,FALSE)</f>
        <v>#N/A</v>
      </c>
      <c r="AZ530" s="6" t="str">
        <f>IFERROR(ABS(Eingabe[[#This Row],[GES]]-Eingabe[[#This Row],[GEGGES]]),"")</f>
        <v/>
      </c>
    </row>
    <row r="531" spans="1:52" x14ac:dyDescent="0.3">
      <c r="A531" s="440">
        <f t="shared" si="49"/>
        <v>89</v>
      </c>
      <c r="B531" s="55">
        <f t="shared" si="51"/>
        <v>89</v>
      </c>
      <c r="C531" s="35" t="str">
        <f>VLOOKUP($B531,Chronologie[],7,TRUE)</f>
        <v>SV Krummenhennersdorf</v>
      </c>
      <c r="D531" s="35" t="str">
        <f>VLOOKUP($B531,Chronologie[],8,TRUE)</f>
        <v>Krummenhennersdorf</v>
      </c>
      <c r="E531" s="36" t="str">
        <f>VLOOKUP($B531,Chronologie[],9,TRUE)</f>
        <v>A</v>
      </c>
      <c r="F531" s="35" t="str">
        <f>VLOOKUP($B531,Chronologie[],COLUMN(F532)-2,TRUE)</f>
        <v>U14</v>
      </c>
      <c r="G531" s="35" t="str">
        <f>VLOOKUP($B531,Chronologie[],COLUMN(G532)-2,TRUE)</f>
        <v>KEM</v>
      </c>
      <c r="H531" s="35" t="str">
        <f>VLOOKUP($B531,Chronologie[],COLUMN(H532)-2,TRUE)</f>
        <v>E</v>
      </c>
      <c r="I531" s="9" t="str">
        <f>VLOOKUP($B531,Chronologie[],2,TRUE)</f>
        <v>U14-KEM-E</v>
      </c>
      <c r="J531" s="242">
        <f>VLOOKUP($B531,Chronologie[],3,TRUE)</f>
        <v>46046</v>
      </c>
      <c r="K531" s="236" t="s">
        <v>599</v>
      </c>
      <c r="L531" s="334">
        <v>72</v>
      </c>
      <c r="M531" s="334">
        <v>77</v>
      </c>
      <c r="N531" s="334">
        <v>73</v>
      </c>
      <c r="O531" s="334">
        <v>88</v>
      </c>
      <c r="P531" s="334">
        <v>17</v>
      </c>
      <c r="Q531" s="334">
        <v>17</v>
      </c>
      <c r="R531" s="334">
        <v>16</v>
      </c>
      <c r="S531" s="334">
        <v>35</v>
      </c>
      <c r="T531" s="334">
        <v>11</v>
      </c>
      <c r="U531" s="334">
        <v>9</v>
      </c>
      <c r="V531" s="334">
        <v>8</v>
      </c>
      <c r="W531" s="334">
        <v>5</v>
      </c>
      <c r="X531" s="37"/>
      <c r="Y531" s="37"/>
      <c r="Z531" s="37"/>
      <c r="AA531" s="37"/>
      <c r="AB531" s="90"/>
      <c r="AC531" s="93">
        <f>IF(Eingabe[[#This Row],[V1]]="",IF(Eingabe[[#This Row],[Volle alternativ]]="","",Eingabe[[#This Row],[Volle alternativ]]),SUM(Eingabe[[#This Row],[V1]:[V4]]))</f>
        <v>310</v>
      </c>
      <c r="AD531" s="35">
        <f>IF(Eingabe[[#This Row],[R1]]="",IF(Eingabe[[#This Row],[Räumer alternativ]]="","",Eingabe[[#This Row],[Räumer alternativ]]),SUM(Eingabe[[#This Row],[R1]:[R4]]))</f>
        <v>85</v>
      </c>
      <c r="AE531" s="35">
        <f>IF(Eingabe[[#This Row],[F1]]="",IF(Eingabe[[#This Row],[Fehler alternativ]]="","",Eingabe[[#This Row],[Fehler alternativ]]),SUM(Eingabe[[#This Row],[F1]:[F4]]))</f>
        <v>33</v>
      </c>
      <c r="AF531" s="35">
        <f>IF(Eingabe[[#This Row],[Volle]]="","",IF(Eingabe[[#This Row],[S1]]="",Eingabe[[#This Row],[Volle]]+Eingabe[[#This Row],[Räumer]],IF(Eingabe[[#This Row],[Volle]]+Eingabe[[#This Row],[Räumer]]=Eingabe[[#This Row],[S1]]+Eingabe[[#This Row],[S2]]+Eingabe[[#This Row],[S3]]+Eingabe[[#This Row],[S4]],Eingabe[[#This Row],[Volle]]+Eingabe[[#This Row],[Räumer]],"FEHLER")))</f>
        <v>395</v>
      </c>
      <c r="AG531" s="35">
        <f>IF(Eingabe[[#This Row],[V1]]="","",Eingabe[[#This Row],[V1]]+Eingabe[[#This Row],[R1]])</f>
        <v>89</v>
      </c>
      <c r="AH531" s="35">
        <f>IF(Eingabe[[#This Row],[V2]]="","",Eingabe[[#This Row],[V2]]+Eingabe[[#This Row],[R2]])</f>
        <v>94</v>
      </c>
      <c r="AI531" s="35">
        <f>IF(Eingabe[[#This Row],[V3]]="","",Eingabe[[#This Row],[V3]]+Eingabe[[#This Row],[R3]])</f>
        <v>89</v>
      </c>
      <c r="AJ531" s="35">
        <f>IF(Eingabe[[#This Row],[V4]]="","",Eingabe[[#This Row],[V4]]+Eingabe[[#This Row],[R4]])</f>
        <v>123</v>
      </c>
      <c r="AK531" s="35" t="str">
        <f>IF(Eingabe[[#This Row],[S1P]]="","",Eingabe[[#This Row],[S1P]]+Eingabe[[#This Row],[S2P]]+Eingabe[[#This Row],[S3P]]+Eingabe[[#This Row],[S4P]])</f>
        <v/>
      </c>
      <c r="AL531" s="35" t="str">
        <f>IF(Eingabe[[#This Row],[S1P]]="","",IF(Eingabe[[#This Row],[SP]]&gt;2,1,IF(Eingabe[[#This Row],[SP]]&lt;2,0,IF(Eingabe[[#This Row],[GES]]&gt;Eingabe[[#This Row],[GEGGES]],1,IF(Eingabe[[#This Row],[GES]]=Eingabe[[#This Row],[GEGGES]],0.5,0)))))</f>
        <v/>
      </c>
      <c r="AM531" s="35" t="str">
        <f>IF(Eingabe[[#This Row],[MP]]="","",MOD(ROW(Eingabe[[#This Row],[Position]])-3,6)+1)</f>
        <v/>
      </c>
      <c r="AN531" s="35">
        <f>STANDARDIZE(Eingabe[[#This Row],[GES]],Eingabe[[#This Row],[Schnitt]],VLOOKUP(Eingabe[[#This Row],[Name]],AuswertungG[],21,FALSE))</f>
        <v>1.3913043478260869</v>
      </c>
      <c r="AO531" s="35">
        <f>VLOOKUP(Eingabe[[#This Row],[ID]],Chronologie[[ID]:[KW]],12,FALSE)</f>
        <v>22</v>
      </c>
      <c r="AP531" s="58" t="str">
        <f>IF(Eingabe[[#This Row],[Wo]]="H",Eingabe[[#This Row],[Gegner]]&amp;" ["&amp;Eingabe[[#This Row],[Wo]]&amp;"]",Eingabe[[#This Row],[Ort]])</f>
        <v>Krummenhennersdorf</v>
      </c>
      <c r="AQ531" s="35" t="str">
        <f>IFERROR(IF(Eingabe[[#This Row],[Wo]]="H",IF(MOD(Eingabe[[#This Row],[Position]],2)=1,Eingabe[[#This Row],[S1]],Eingabe[[#This Row],[S4]]),""),"")</f>
        <v/>
      </c>
      <c r="AR531" s="35" t="str">
        <f>IFERROR(IF(Eingabe[[#This Row],[Wo]]="H",IF(Eingabe[[#This Row],[S1]]&gt;0,IF(MOD(Eingabe[[#This Row],[Position]],2)=1,Eingabe[[#This Row],[S2]],Eingabe[[#This Row],[S3]]),""),""),"")</f>
        <v/>
      </c>
      <c r="AS531" s="35" t="str">
        <f>IFERROR(IF(Eingabe[[#This Row],[Wo]]="H",IF(Eingabe[[#This Row],[S1]]&gt;0,IF(MOD(ROW(Eingabe[[#This Row],[Heimbahn 3]]),2)=1,Eingabe[[#This Row],[S4]],Eingabe[[#This Row],[S1]]),""),""),"")</f>
        <v/>
      </c>
      <c r="AT531" s="35" t="str">
        <f>IFERROR(IF(Eingabe[[#This Row],[Wo]]="H",IF(Eingabe[[#This Row],[S1]]&gt;0,IF(MOD(ROW(Eingabe[[#This Row],[Heimbahn 4]]),2)=1,Eingabe[[#This Row],[S3]],Eingabe[[#This Row],[S2]]),""),""),"")</f>
        <v/>
      </c>
      <c r="AU531" s="88" t="str">
        <f>IF(Eingabe[[#This Row],[GES]]="","",IF(Eingabe[[#This Row],[Modus]]="L",_xlfn.RANK.EQ(Eingabe[[#This Row],[GES]],AF531:AF536),IF(Eingabe[[#This Row],[Modus]]="P",_xlfn.RANK.EQ(Eingabe[[#This Row],[GES]],AF531:AF536),"")))</f>
        <v/>
      </c>
      <c r="AV531" s="6">
        <f>VLOOKUP(Eingabe[[#This Row],[Name]],AuswertungG[],8,FALSE)</f>
        <v>363</v>
      </c>
      <c r="AZ531" s="6">
        <f>IFERROR(ABS(Eingabe[[#This Row],[GES]]-Eingabe[[#This Row],[GEGGES]]),"")</f>
        <v>395</v>
      </c>
    </row>
    <row r="532" spans="1:52" x14ac:dyDescent="0.3">
      <c r="A532" s="441"/>
      <c r="B532" s="21">
        <f t="shared" si="51"/>
        <v>89</v>
      </c>
      <c r="C532" s="6" t="str">
        <f>VLOOKUP($B532,Chronologie[],7,TRUE)</f>
        <v>SV Krummenhennersdorf</v>
      </c>
      <c r="D532" s="6" t="str">
        <f>VLOOKUP($B532,Chronologie[],8,TRUE)</f>
        <v>Krummenhennersdorf</v>
      </c>
      <c r="E532" s="240" t="str">
        <f>VLOOKUP($B532,Chronologie[],9,TRUE)</f>
        <v>A</v>
      </c>
      <c r="F532" s="6" t="str">
        <f>VLOOKUP($B532,Chronologie[],COLUMN(F533)-2,TRUE)</f>
        <v>U14</v>
      </c>
      <c r="G532" s="6" t="str">
        <f>VLOOKUP($B532,Chronologie[],COLUMN(G533)-2,TRUE)</f>
        <v>KEM</v>
      </c>
      <c r="H532" s="6" t="str">
        <f>VLOOKUP($B532,Chronologie[],COLUMN(H533)-2,TRUE)</f>
        <v>E</v>
      </c>
      <c r="I532" s="10" t="str">
        <f>VLOOKUP($B532,Chronologie[],2,TRUE)</f>
        <v>U14-KEM-E</v>
      </c>
      <c r="J532" s="243">
        <f>VLOOKUP($B532,Chronologie[],3,TRUE)</f>
        <v>46046</v>
      </c>
      <c r="K532" s="237" t="s">
        <v>484</v>
      </c>
      <c r="L532" s="237">
        <v>87</v>
      </c>
      <c r="M532" s="237">
        <v>86</v>
      </c>
      <c r="N532" s="237">
        <v>83</v>
      </c>
      <c r="O532" s="237">
        <v>84</v>
      </c>
      <c r="P532" s="237">
        <v>18</v>
      </c>
      <c r="Q532" s="237">
        <v>34</v>
      </c>
      <c r="R532" s="237">
        <v>18</v>
      </c>
      <c r="S532" s="237">
        <v>22</v>
      </c>
      <c r="T532" s="237">
        <v>7</v>
      </c>
      <c r="U532" s="237">
        <v>5</v>
      </c>
      <c r="V532" s="237">
        <v>6</v>
      </c>
      <c r="W532" s="237">
        <v>7</v>
      </c>
      <c r="X532" s="38"/>
      <c r="Y532" s="38"/>
      <c r="Z532" s="38"/>
      <c r="AA532" s="38"/>
      <c r="AB532" s="91"/>
      <c r="AC532" s="94">
        <f>IF(Eingabe[[#This Row],[V1]]="",IF(Eingabe[[#This Row],[Volle alternativ]]="","",Eingabe[[#This Row],[Volle alternativ]]),SUM(Eingabe[[#This Row],[V1]:[V4]]))</f>
        <v>340</v>
      </c>
      <c r="AD532" s="6">
        <f>IF(Eingabe[[#This Row],[R1]]="",IF(Eingabe[[#This Row],[Räumer alternativ]]="","",Eingabe[[#This Row],[Räumer alternativ]]),SUM(Eingabe[[#This Row],[R1]:[R4]]))</f>
        <v>92</v>
      </c>
      <c r="AE532" s="6">
        <f>IF(Eingabe[[#This Row],[F1]]="",IF(Eingabe[[#This Row],[Fehler alternativ]]="","",Eingabe[[#This Row],[Fehler alternativ]]),SUM(Eingabe[[#This Row],[F1]:[F4]]))</f>
        <v>25</v>
      </c>
      <c r="AF532" s="6">
        <f>IF(Eingabe[[#This Row],[Volle]]="","",IF(Eingabe[[#This Row],[S1]]="",Eingabe[[#This Row],[Volle]]+Eingabe[[#This Row],[Räumer]],IF(Eingabe[[#This Row],[Volle]]+Eingabe[[#This Row],[Räumer]]=Eingabe[[#This Row],[S1]]+Eingabe[[#This Row],[S2]]+Eingabe[[#This Row],[S3]]+Eingabe[[#This Row],[S4]],Eingabe[[#This Row],[Volle]]+Eingabe[[#This Row],[Räumer]],"FEHLER")))</f>
        <v>432</v>
      </c>
      <c r="AG532" s="6">
        <f>IF(Eingabe[[#This Row],[V1]]="","",Eingabe[[#This Row],[V1]]+Eingabe[[#This Row],[R1]])</f>
        <v>105</v>
      </c>
      <c r="AH532" s="6">
        <f>IF(Eingabe[[#This Row],[V2]]="","",Eingabe[[#This Row],[V2]]+Eingabe[[#This Row],[R2]])</f>
        <v>120</v>
      </c>
      <c r="AI532" s="6">
        <f>IF(Eingabe[[#This Row],[V3]]="","",Eingabe[[#This Row],[V3]]+Eingabe[[#This Row],[R3]])</f>
        <v>101</v>
      </c>
      <c r="AJ532" s="6">
        <f>IF(Eingabe[[#This Row],[V4]]="","",Eingabe[[#This Row],[V4]]+Eingabe[[#This Row],[R4]])</f>
        <v>106</v>
      </c>
      <c r="AK532" s="6" t="str">
        <f>IF(Eingabe[[#This Row],[S1P]]="","",Eingabe[[#This Row],[S1P]]+Eingabe[[#This Row],[S2P]]+Eingabe[[#This Row],[S3P]]+Eingabe[[#This Row],[S4P]])</f>
        <v/>
      </c>
      <c r="AL532" s="6" t="str">
        <f>IF(Eingabe[[#This Row],[S1P]]="","",IF(Eingabe[[#This Row],[SP]]&gt;2,1,IF(Eingabe[[#This Row],[SP]]&lt;2,0,IF(Eingabe[[#This Row],[GES]]&gt;Eingabe[[#This Row],[GEGGES]],1,IF(Eingabe[[#This Row],[GES]]=Eingabe[[#This Row],[GEGGES]],0.5,0)))))</f>
        <v/>
      </c>
      <c r="AM532" s="6" t="str">
        <f>IF(Eingabe[[#This Row],[MP]]="","",MOD(ROW(Eingabe[[#This Row],[Position]])-3,6)+1)</f>
        <v/>
      </c>
      <c r="AN532" s="6">
        <f>STANDARDIZE(Eingabe[[#This Row],[GES]],Eingabe[[#This Row],[Schnitt]],VLOOKUP(Eingabe[[#This Row],[Name]],AuswertungG[],21,FALSE))</f>
        <v>1.3529411764705883</v>
      </c>
      <c r="AO532" s="6">
        <f>VLOOKUP(Eingabe[[#This Row],[ID]],Chronologie[[ID]:[KW]],12,FALSE)</f>
        <v>22</v>
      </c>
      <c r="AP532" s="95" t="str">
        <f>IF(Eingabe[[#This Row],[Wo]]="H",Eingabe[[#This Row],[Gegner]]&amp;" ["&amp;Eingabe[[#This Row],[Wo]]&amp;"]",Eingabe[[#This Row],[Ort]])</f>
        <v>Krummenhennersdorf</v>
      </c>
      <c r="AQ532" s="6" t="str">
        <f>IFERROR(IF(Eingabe[[#This Row],[Wo]]="H",IF(MOD(Eingabe[[#This Row],[Position]],2)=1,Eingabe[[#This Row],[S1]],Eingabe[[#This Row],[S4]]),""),"")</f>
        <v/>
      </c>
      <c r="AR532" s="6" t="str">
        <f>IFERROR(IF(Eingabe[[#This Row],[Wo]]="H",IF(Eingabe[[#This Row],[S1]]&gt;0,IF(MOD(Eingabe[[#This Row],[Position]],2)=1,Eingabe[[#This Row],[S2]],Eingabe[[#This Row],[S3]]),""),""),"")</f>
        <v/>
      </c>
      <c r="AS532" s="6" t="str">
        <f>IFERROR(IF(Eingabe[[#This Row],[Wo]]="H",IF(Eingabe[[#This Row],[S1]]&gt;0,IF(MOD(ROW(Eingabe[[#This Row],[Heimbahn 3]]),2)=1,Eingabe[[#This Row],[S4]],Eingabe[[#This Row],[S1]]),""),""),"")</f>
        <v/>
      </c>
      <c r="AT532" s="6" t="str">
        <f>IFERROR(IF(Eingabe[[#This Row],[Wo]]="H",IF(Eingabe[[#This Row],[S1]]&gt;0,IF(MOD(ROW(Eingabe[[#This Row],[Heimbahn 4]]),2)=1,Eingabe[[#This Row],[S3]],Eingabe[[#This Row],[S2]]),""),""),"")</f>
        <v/>
      </c>
      <c r="AU532" s="22" t="str">
        <f>IF(Eingabe[[#This Row],[GES]]="","",IF(Eingabe[[#This Row],[Modus]]="L",_xlfn.RANK.EQ(Eingabe[[#This Row],[GES]],AF531:AF536),IF(Eingabe[[#This Row],[Modus]]="P",_xlfn.RANK.EQ(Eingabe[[#This Row],[GES]],AF531:AF536),"")))</f>
        <v/>
      </c>
      <c r="AV532" s="6">
        <f>VLOOKUP(Eingabe[[#This Row],[Name]],AuswertungG[],8,FALSE)</f>
        <v>386</v>
      </c>
      <c r="AZ532" s="6">
        <f>IFERROR(ABS(Eingabe[[#This Row],[GES]]-Eingabe[[#This Row],[GEGGES]]),"")</f>
        <v>432</v>
      </c>
    </row>
    <row r="533" spans="1:52" x14ac:dyDescent="0.3">
      <c r="A533" s="441"/>
      <c r="B533" s="21">
        <f t="shared" si="51"/>
        <v>89</v>
      </c>
      <c r="C533" s="6" t="str">
        <f>VLOOKUP($B533,Chronologie[],7,TRUE)</f>
        <v>SV Krummenhennersdorf</v>
      </c>
      <c r="D533" s="6" t="str">
        <f>VLOOKUP($B533,Chronologie[],8,TRUE)</f>
        <v>Krummenhennersdorf</v>
      </c>
      <c r="E533" s="240" t="str">
        <f>VLOOKUP($B533,Chronologie[],9,TRUE)</f>
        <v>A</v>
      </c>
      <c r="F533" s="6" t="str">
        <f>VLOOKUP($B533,Chronologie[],COLUMN(F534)-2,TRUE)</f>
        <v>U14</v>
      </c>
      <c r="G533" s="6" t="str">
        <f>VLOOKUP($B533,Chronologie[],COLUMN(G534)-2,TRUE)</f>
        <v>KEM</v>
      </c>
      <c r="H533" s="6" t="str">
        <f>VLOOKUP($B533,Chronologie[],COLUMN(H534)-2,TRUE)</f>
        <v>E</v>
      </c>
      <c r="I533" s="10" t="str">
        <f>VLOOKUP($B533,Chronologie[],2,TRUE)</f>
        <v>U14-KEM-E</v>
      </c>
      <c r="J533" s="243">
        <f>VLOOKUP($B533,Chronologie[],3,TRUE)</f>
        <v>46046</v>
      </c>
      <c r="K533" s="237" t="s">
        <v>476</v>
      </c>
      <c r="L533" s="237">
        <v>73</v>
      </c>
      <c r="M533" s="237">
        <v>91</v>
      </c>
      <c r="N533" s="237">
        <v>79</v>
      </c>
      <c r="O533" s="237">
        <v>68</v>
      </c>
      <c r="P533" s="237">
        <v>35</v>
      </c>
      <c r="Q533" s="237">
        <v>43</v>
      </c>
      <c r="R533" s="237">
        <v>25</v>
      </c>
      <c r="S533" s="237">
        <v>14</v>
      </c>
      <c r="T533" s="237">
        <v>2</v>
      </c>
      <c r="U533" s="237">
        <v>2</v>
      </c>
      <c r="V533" s="237">
        <v>7</v>
      </c>
      <c r="W533" s="237">
        <v>12</v>
      </c>
      <c r="X533" s="38"/>
      <c r="Y533" s="38"/>
      <c r="Z533" s="38"/>
      <c r="AA533" s="38"/>
      <c r="AB533" s="91"/>
      <c r="AC533" s="94">
        <f>IF(Eingabe[[#This Row],[V1]]="",IF(Eingabe[[#This Row],[Volle alternativ]]="","",Eingabe[[#This Row],[Volle alternativ]]),SUM(Eingabe[[#This Row],[V1]:[V4]]))</f>
        <v>311</v>
      </c>
      <c r="AD533" s="6">
        <f>IF(Eingabe[[#This Row],[R1]]="",IF(Eingabe[[#This Row],[Räumer alternativ]]="","",Eingabe[[#This Row],[Räumer alternativ]]),SUM(Eingabe[[#This Row],[R1]:[R4]]))</f>
        <v>117</v>
      </c>
      <c r="AE533" s="6">
        <f>IF(Eingabe[[#This Row],[F1]]="",IF(Eingabe[[#This Row],[Fehler alternativ]]="","",Eingabe[[#This Row],[Fehler alternativ]]),SUM(Eingabe[[#This Row],[F1]:[F4]]))</f>
        <v>23</v>
      </c>
      <c r="AF533" s="6">
        <f>IF(Eingabe[[#This Row],[Volle]]="","",IF(Eingabe[[#This Row],[S1]]="",Eingabe[[#This Row],[Volle]]+Eingabe[[#This Row],[Räumer]],IF(Eingabe[[#This Row],[Volle]]+Eingabe[[#This Row],[Räumer]]=Eingabe[[#This Row],[S1]]+Eingabe[[#This Row],[S2]]+Eingabe[[#This Row],[S3]]+Eingabe[[#This Row],[S4]],Eingabe[[#This Row],[Volle]]+Eingabe[[#This Row],[Räumer]],"FEHLER")))</f>
        <v>428</v>
      </c>
      <c r="AG533" s="6">
        <f>IF(Eingabe[[#This Row],[V1]]="","",Eingabe[[#This Row],[V1]]+Eingabe[[#This Row],[R1]])</f>
        <v>108</v>
      </c>
      <c r="AH533" s="6">
        <f>IF(Eingabe[[#This Row],[V2]]="","",Eingabe[[#This Row],[V2]]+Eingabe[[#This Row],[R2]])</f>
        <v>134</v>
      </c>
      <c r="AI533" s="6">
        <f>IF(Eingabe[[#This Row],[V3]]="","",Eingabe[[#This Row],[V3]]+Eingabe[[#This Row],[R3]])</f>
        <v>104</v>
      </c>
      <c r="AJ533" s="6">
        <f>IF(Eingabe[[#This Row],[V4]]="","",Eingabe[[#This Row],[V4]]+Eingabe[[#This Row],[R4]])</f>
        <v>82</v>
      </c>
      <c r="AK533" s="6" t="str">
        <f>IF(Eingabe[[#This Row],[S1P]]="","",Eingabe[[#This Row],[S1P]]+Eingabe[[#This Row],[S2P]]+Eingabe[[#This Row],[S3P]]+Eingabe[[#This Row],[S4P]])</f>
        <v/>
      </c>
      <c r="AL533" s="6" t="str">
        <f>IF(Eingabe[[#This Row],[S1P]]="","",IF(Eingabe[[#This Row],[SP]]&gt;2,1,IF(Eingabe[[#This Row],[SP]]&lt;2,0,IF(Eingabe[[#This Row],[GES]]&gt;Eingabe[[#This Row],[GEGGES]],1,IF(Eingabe[[#This Row],[GES]]=Eingabe[[#This Row],[GEGGES]],0.5,0)))))</f>
        <v/>
      </c>
      <c r="AM533" s="6" t="str">
        <f>IF(Eingabe[[#This Row],[MP]]="","",MOD(ROW(Eingabe[[#This Row],[Position]])-3,6)+1)</f>
        <v/>
      </c>
      <c r="AN533" s="6">
        <f>STANDARDIZE(Eingabe[[#This Row],[GES]],Eingabe[[#This Row],[Schnitt]],VLOOKUP(Eingabe[[#This Row],[Name]],AuswertungG[],21,FALSE))</f>
        <v>0.46153846153846156</v>
      </c>
      <c r="AO533" s="6">
        <f>VLOOKUP(Eingabe[[#This Row],[ID]],Chronologie[[ID]:[KW]],12,FALSE)</f>
        <v>22</v>
      </c>
      <c r="AP533" s="95" t="str">
        <f>IF(Eingabe[[#This Row],[Wo]]="H",Eingabe[[#This Row],[Gegner]]&amp;" ["&amp;Eingabe[[#This Row],[Wo]]&amp;"]",Eingabe[[#This Row],[Ort]])</f>
        <v>Krummenhennersdorf</v>
      </c>
      <c r="AQ533" s="6" t="str">
        <f>IFERROR(IF(Eingabe[[#This Row],[Wo]]="H",IF(MOD(Eingabe[[#This Row],[Position]],2)=1,Eingabe[[#This Row],[S1]],Eingabe[[#This Row],[S4]]),""),"")</f>
        <v/>
      </c>
      <c r="AR533" s="6" t="str">
        <f>IFERROR(IF(Eingabe[[#This Row],[Wo]]="H",IF(Eingabe[[#This Row],[S1]]&gt;0,IF(MOD(Eingabe[[#This Row],[Position]],2)=1,Eingabe[[#This Row],[S2]],Eingabe[[#This Row],[S3]]),""),""),"")</f>
        <v/>
      </c>
      <c r="AS533" s="6" t="str">
        <f>IFERROR(IF(Eingabe[[#This Row],[Wo]]="H",IF(Eingabe[[#This Row],[S1]]&gt;0,IF(MOD(ROW(Eingabe[[#This Row],[Heimbahn 3]]),2)=1,Eingabe[[#This Row],[S4]],Eingabe[[#This Row],[S1]]),""),""),"")</f>
        <v/>
      </c>
      <c r="AT533" s="6" t="str">
        <f>IFERROR(IF(Eingabe[[#This Row],[Wo]]="H",IF(Eingabe[[#This Row],[S1]]&gt;0,IF(MOD(ROW(Eingabe[[#This Row],[Heimbahn 4]]),2)=1,Eingabe[[#This Row],[S3]],Eingabe[[#This Row],[S2]]),""),""),"")</f>
        <v/>
      </c>
      <c r="AU533" s="22" t="str">
        <f>IF(Eingabe[[#This Row],[GES]]="","",IF(Eingabe[[#This Row],[Modus]]="L",_xlfn.RANK.EQ(Eingabe[[#This Row],[GES]],AF531:AF536),IF(Eingabe[[#This Row],[Modus]]="P",_xlfn.RANK.EQ(Eingabe[[#This Row],[GES]],AF531:AF536),"")))</f>
        <v/>
      </c>
      <c r="AV533" s="6">
        <f>VLOOKUP(Eingabe[[#This Row],[Name]],AuswertungG[],8,FALSE)</f>
        <v>410</v>
      </c>
      <c r="AZ533" s="6">
        <f>IFERROR(ABS(Eingabe[[#This Row],[GES]]-Eingabe[[#This Row],[GEGGES]]),"")</f>
        <v>428</v>
      </c>
    </row>
    <row r="534" spans="1:52" x14ac:dyDescent="0.3">
      <c r="A534" s="441"/>
      <c r="B534" s="21">
        <f t="shared" si="51"/>
        <v>89</v>
      </c>
      <c r="C534" s="6" t="str">
        <f>VLOOKUP($B534,Chronologie[],7,TRUE)</f>
        <v>SV Krummenhennersdorf</v>
      </c>
      <c r="D534" s="6" t="str">
        <f>VLOOKUP($B534,Chronologie[],8,TRUE)</f>
        <v>Krummenhennersdorf</v>
      </c>
      <c r="E534" s="240" t="str">
        <f>VLOOKUP($B534,Chronologie[],9,TRUE)</f>
        <v>A</v>
      </c>
      <c r="F534" s="6" t="str">
        <f>VLOOKUP($B534,Chronologie[],COLUMN(F535)-2,TRUE)</f>
        <v>U14</v>
      </c>
      <c r="G534" s="6" t="str">
        <f>VLOOKUP($B534,Chronologie[],COLUMN(G535)-2,TRUE)</f>
        <v>KEM</v>
      </c>
      <c r="H534" s="6" t="str">
        <f>VLOOKUP($B534,Chronologie[],COLUMN(H535)-2,TRUE)</f>
        <v>E</v>
      </c>
      <c r="I534" s="10" t="str">
        <f>VLOOKUP($B534,Chronologie[],2,TRUE)</f>
        <v>U14-KEM-E</v>
      </c>
      <c r="J534" s="243">
        <f>VLOOKUP($B534,Chronologie[],3,TRUE)</f>
        <v>46046</v>
      </c>
      <c r="K534" s="238" t="s">
        <v>473</v>
      </c>
      <c r="L534" s="237">
        <v>92</v>
      </c>
      <c r="M534" s="237">
        <v>56</v>
      </c>
      <c r="N534" s="237">
        <v>74</v>
      </c>
      <c r="O534" s="237">
        <v>83</v>
      </c>
      <c r="P534" s="237">
        <v>16</v>
      </c>
      <c r="Q534" s="237">
        <v>18</v>
      </c>
      <c r="R534" s="237">
        <v>16</v>
      </c>
      <c r="S534" s="237">
        <v>35</v>
      </c>
      <c r="T534" s="237">
        <v>6</v>
      </c>
      <c r="U534" s="237">
        <v>9</v>
      </c>
      <c r="V534" s="237">
        <v>8</v>
      </c>
      <c r="W534" s="237">
        <v>3</v>
      </c>
      <c r="X534" s="38"/>
      <c r="Y534" s="38"/>
      <c r="Z534" s="38"/>
      <c r="AA534" s="38"/>
      <c r="AB534" s="91"/>
      <c r="AC534" s="94">
        <f>IF(Eingabe[[#This Row],[V1]]="",IF(Eingabe[[#This Row],[Volle alternativ]]="","",Eingabe[[#This Row],[Volle alternativ]]),SUM(Eingabe[[#This Row],[V1]:[V4]]))</f>
        <v>305</v>
      </c>
      <c r="AD534" s="6">
        <f>IF(Eingabe[[#This Row],[R1]]="",IF(Eingabe[[#This Row],[Räumer alternativ]]="","",Eingabe[[#This Row],[Räumer alternativ]]),SUM(Eingabe[[#This Row],[R1]:[R4]]))</f>
        <v>85</v>
      </c>
      <c r="AE534" s="6">
        <f>IF(Eingabe[[#This Row],[F1]]="",IF(Eingabe[[#This Row],[Fehler alternativ]]="","",Eingabe[[#This Row],[Fehler alternativ]]),SUM(Eingabe[[#This Row],[F1]:[F4]]))</f>
        <v>26</v>
      </c>
      <c r="AF534" s="6">
        <f>IF(Eingabe[[#This Row],[Volle]]="","",IF(Eingabe[[#This Row],[S1]]="",Eingabe[[#This Row],[Volle]]+Eingabe[[#This Row],[Räumer]],IF(Eingabe[[#This Row],[Volle]]+Eingabe[[#This Row],[Räumer]]=Eingabe[[#This Row],[S1]]+Eingabe[[#This Row],[S2]]+Eingabe[[#This Row],[S3]]+Eingabe[[#This Row],[S4]],Eingabe[[#This Row],[Volle]]+Eingabe[[#This Row],[Räumer]],"FEHLER")))</f>
        <v>390</v>
      </c>
      <c r="AG534" s="6">
        <f>IF(Eingabe[[#This Row],[V1]]="","",Eingabe[[#This Row],[V1]]+Eingabe[[#This Row],[R1]])</f>
        <v>108</v>
      </c>
      <c r="AH534" s="6">
        <f>IF(Eingabe[[#This Row],[V2]]="","",Eingabe[[#This Row],[V2]]+Eingabe[[#This Row],[R2]])</f>
        <v>74</v>
      </c>
      <c r="AI534" s="6">
        <f>IF(Eingabe[[#This Row],[V3]]="","",Eingabe[[#This Row],[V3]]+Eingabe[[#This Row],[R3]])</f>
        <v>90</v>
      </c>
      <c r="AJ534" s="6">
        <f>IF(Eingabe[[#This Row],[V4]]="","",Eingabe[[#This Row],[V4]]+Eingabe[[#This Row],[R4]])</f>
        <v>118</v>
      </c>
      <c r="AK534" s="6" t="str">
        <f>IF(Eingabe[[#This Row],[S1P]]="","",Eingabe[[#This Row],[S1P]]+Eingabe[[#This Row],[S2P]]+Eingabe[[#This Row],[S3P]]+Eingabe[[#This Row],[S4P]])</f>
        <v/>
      </c>
      <c r="AL534" s="6" t="str">
        <f>IF(Eingabe[[#This Row],[S1P]]="","",IF(Eingabe[[#This Row],[SP]]&gt;2,1,IF(Eingabe[[#This Row],[SP]]&lt;2,0,IF(Eingabe[[#This Row],[GES]]&gt;Eingabe[[#This Row],[GEGGES]],1,IF(Eingabe[[#This Row],[GES]]=Eingabe[[#This Row],[GEGGES]],0.5,0)))))</f>
        <v/>
      </c>
      <c r="AM534" s="6" t="str">
        <f>IF(Eingabe[[#This Row],[MP]]="","",MOD(ROW(Eingabe[[#This Row],[Position]])-3,6)+1)</f>
        <v/>
      </c>
      <c r="AN534" s="6">
        <f>STANDARDIZE(Eingabe[[#This Row],[GES]],Eingabe[[#This Row],[Schnitt]],VLOOKUP(Eingabe[[#This Row],[Name]],AuswertungG[],21,FALSE))</f>
        <v>0.30769230769230771</v>
      </c>
      <c r="AO534" s="6">
        <f>VLOOKUP(Eingabe[[#This Row],[ID]],Chronologie[[ID]:[KW]],12,FALSE)</f>
        <v>22</v>
      </c>
      <c r="AP534" s="95" t="str">
        <f>IF(Eingabe[[#This Row],[Wo]]="H",Eingabe[[#This Row],[Gegner]]&amp;" ["&amp;Eingabe[[#This Row],[Wo]]&amp;"]",Eingabe[[#This Row],[Ort]])</f>
        <v>Krummenhennersdorf</v>
      </c>
      <c r="AQ534" s="6" t="str">
        <f>IFERROR(IF(Eingabe[[#This Row],[Wo]]="H",IF(MOD(Eingabe[[#This Row],[Position]],2)=1,Eingabe[[#This Row],[S1]],Eingabe[[#This Row],[S4]]),""),"")</f>
        <v/>
      </c>
      <c r="AR534" s="6" t="str">
        <f>IFERROR(IF(Eingabe[[#This Row],[Wo]]="H",IF(Eingabe[[#This Row],[S1]]&gt;0,IF(MOD(Eingabe[[#This Row],[Position]],2)=1,Eingabe[[#This Row],[S2]],Eingabe[[#This Row],[S3]]),""),""),"")</f>
        <v/>
      </c>
      <c r="AS534" s="6" t="str">
        <f>IFERROR(IF(Eingabe[[#This Row],[Wo]]="H",IF(Eingabe[[#This Row],[S1]]&gt;0,IF(MOD(ROW(Eingabe[[#This Row],[Heimbahn 3]]),2)=1,Eingabe[[#This Row],[S4]],Eingabe[[#This Row],[S1]]),""),""),"")</f>
        <v/>
      </c>
      <c r="AT534" s="6" t="str">
        <f>IFERROR(IF(Eingabe[[#This Row],[Wo]]="H",IF(Eingabe[[#This Row],[S1]]&gt;0,IF(MOD(ROW(Eingabe[[#This Row],[Heimbahn 4]]),2)=1,Eingabe[[#This Row],[S3]],Eingabe[[#This Row],[S2]]),""),""),"")</f>
        <v/>
      </c>
      <c r="AU534" s="22" t="str">
        <f>IF(Eingabe[[#This Row],[GES]]="","",IF(Eingabe[[#This Row],[Modus]]="L",_xlfn.RANK.EQ(Eingabe[[#This Row],[GES]],AF531:AF536),IF(Eingabe[[#This Row],[Modus]]="P",_xlfn.RANK.EQ(Eingabe[[#This Row],[GES]],AF531:AF536),"")))</f>
        <v/>
      </c>
      <c r="AV534" s="6">
        <f>VLOOKUP(Eingabe[[#This Row],[Name]],AuswertungG[],8,FALSE)</f>
        <v>386</v>
      </c>
      <c r="AZ534" s="6">
        <f>IFERROR(ABS(Eingabe[[#This Row],[GES]]-Eingabe[[#This Row],[GEGGES]]),"")</f>
        <v>390</v>
      </c>
    </row>
    <row r="535" spans="1:52" x14ac:dyDescent="0.3">
      <c r="A535" s="441"/>
      <c r="B535" s="21">
        <f t="shared" si="51"/>
        <v>89</v>
      </c>
      <c r="C535" s="6" t="str">
        <f>VLOOKUP($B535,Chronologie[],7,TRUE)</f>
        <v>SV Krummenhennersdorf</v>
      </c>
      <c r="D535" s="6" t="str">
        <f>VLOOKUP($B535,Chronologie[],8,TRUE)</f>
        <v>Krummenhennersdorf</v>
      </c>
      <c r="E535" s="240" t="str">
        <f>VLOOKUP($B535,Chronologie[],9,TRUE)</f>
        <v>A</v>
      </c>
      <c r="F535" s="6" t="str">
        <f>VLOOKUP($B535,Chronologie[],COLUMN(F536)-2,TRUE)</f>
        <v>U14</v>
      </c>
      <c r="G535" s="6" t="str">
        <f>VLOOKUP($B535,Chronologie[],COLUMN(G536)-2,TRUE)</f>
        <v>KEM</v>
      </c>
      <c r="H535" s="6" t="str">
        <f>VLOOKUP($B535,Chronologie[],COLUMN(H536)-2,TRUE)</f>
        <v>E</v>
      </c>
      <c r="I535" s="10" t="str">
        <f>VLOOKUP($B535,Chronologie[],2,TRUE)</f>
        <v>U14-KEM-E</v>
      </c>
      <c r="J535" s="243">
        <f>VLOOKUP($B535,Chronologie[],3,TRUE)</f>
        <v>46046</v>
      </c>
      <c r="K535" s="237"/>
      <c r="L535" s="237"/>
      <c r="M535" s="237"/>
      <c r="N535" s="237"/>
      <c r="O535" s="237"/>
      <c r="P535" s="237"/>
      <c r="Q535" s="237"/>
      <c r="R535" s="237"/>
      <c r="S535" s="237"/>
      <c r="T535" s="237"/>
      <c r="U535" s="237"/>
      <c r="V535" s="237"/>
      <c r="W535" s="237"/>
      <c r="X535" s="38"/>
      <c r="Y535" s="38"/>
      <c r="Z535" s="38"/>
      <c r="AA535" s="38"/>
      <c r="AB535" s="91"/>
      <c r="AC535" s="94" t="str">
        <f>IF(Eingabe[[#This Row],[V1]]="",IF(Eingabe[[#This Row],[Volle alternativ]]="","",Eingabe[[#This Row],[Volle alternativ]]),SUM(Eingabe[[#This Row],[V1]:[V4]]))</f>
        <v/>
      </c>
      <c r="AD535" s="6" t="str">
        <f>IF(Eingabe[[#This Row],[R1]]="",IF(Eingabe[[#This Row],[Räumer alternativ]]="","",Eingabe[[#This Row],[Räumer alternativ]]),SUM(Eingabe[[#This Row],[R1]:[R4]]))</f>
        <v/>
      </c>
      <c r="AE535" s="6" t="str">
        <f>IF(Eingabe[[#This Row],[F1]]="",IF(Eingabe[[#This Row],[Fehler alternativ]]="","",Eingabe[[#This Row],[Fehler alternativ]]),SUM(Eingabe[[#This Row],[F1]:[F4]]))</f>
        <v/>
      </c>
      <c r="AF535" s="6" t="str">
        <f>IF(Eingabe[[#This Row],[Volle]]="","",IF(Eingabe[[#This Row],[S1]]="",Eingabe[[#This Row],[Volle]]+Eingabe[[#This Row],[Räumer]],IF(Eingabe[[#This Row],[Volle]]+Eingabe[[#This Row],[Räumer]]=Eingabe[[#This Row],[S1]]+Eingabe[[#This Row],[S2]]+Eingabe[[#This Row],[S3]]+Eingabe[[#This Row],[S4]],Eingabe[[#This Row],[Volle]]+Eingabe[[#This Row],[Räumer]],"FEHLER")))</f>
        <v/>
      </c>
      <c r="AG535" s="6" t="str">
        <f>IF(Eingabe[[#This Row],[V1]]="","",Eingabe[[#This Row],[V1]]+Eingabe[[#This Row],[R1]])</f>
        <v/>
      </c>
      <c r="AH535" s="6" t="str">
        <f>IF(Eingabe[[#This Row],[V2]]="","",Eingabe[[#This Row],[V2]]+Eingabe[[#This Row],[R2]])</f>
        <v/>
      </c>
      <c r="AI535" s="6" t="str">
        <f>IF(Eingabe[[#This Row],[V3]]="","",Eingabe[[#This Row],[V3]]+Eingabe[[#This Row],[R3]])</f>
        <v/>
      </c>
      <c r="AJ535" s="6" t="str">
        <f>IF(Eingabe[[#This Row],[V4]]="","",Eingabe[[#This Row],[V4]]+Eingabe[[#This Row],[R4]])</f>
        <v/>
      </c>
      <c r="AK535" s="6" t="str">
        <f>IF(Eingabe[[#This Row],[S1P]]="","",Eingabe[[#This Row],[S1P]]+Eingabe[[#This Row],[S2P]]+Eingabe[[#This Row],[S3P]]+Eingabe[[#This Row],[S4P]])</f>
        <v/>
      </c>
      <c r="AL535" s="6" t="str">
        <f>IF(Eingabe[[#This Row],[S1P]]="","",IF(Eingabe[[#This Row],[SP]]&gt;2,1,IF(Eingabe[[#This Row],[SP]]&lt;2,0,IF(Eingabe[[#This Row],[GES]]&gt;Eingabe[[#This Row],[GEGGES]],1,IF(Eingabe[[#This Row],[GES]]=Eingabe[[#This Row],[GEGGES]],0.5,0)))))</f>
        <v/>
      </c>
      <c r="AM535" s="6" t="str">
        <f>IF(Eingabe[[#This Row],[MP]]="","",MOD(ROW(Eingabe[[#This Row],[Position]])-3,6)+1)</f>
        <v/>
      </c>
      <c r="AN535" s="6" t="e">
        <f>STANDARDIZE(Eingabe[[#This Row],[GES]],Eingabe[[#This Row],[Schnitt]],VLOOKUP(Eingabe[[#This Row],[Name]],AuswertungG[],21,FALSE))</f>
        <v>#VALUE!</v>
      </c>
      <c r="AO535" s="6">
        <f>VLOOKUP(Eingabe[[#This Row],[ID]],Chronologie[[ID]:[KW]],12,FALSE)</f>
        <v>22</v>
      </c>
      <c r="AP535" s="95" t="str">
        <f>IF(Eingabe[[#This Row],[Wo]]="H",Eingabe[[#This Row],[Gegner]]&amp;" ["&amp;Eingabe[[#This Row],[Wo]]&amp;"]",Eingabe[[#This Row],[Ort]])</f>
        <v>Krummenhennersdorf</v>
      </c>
      <c r="AQ535" s="6" t="str">
        <f>IFERROR(IF(Eingabe[[#This Row],[Wo]]="H",IF(MOD(Eingabe[[#This Row],[Position]],2)=1,Eingabe[[#This Row],[S1]],Eingabe[[#This Row],[S4]]),""),"")</f>
        <v/>
      </c>
      <c r="AR535" s="6" t="str">
        <f>IFERROR(IF(Eingabe[[#This Row],[Wo]]="H",IF(Eingabe[[#This Row],[S1]]&gt;0,IF(MOD(Eingabe[[#This Row],[Position]],2)=1,Eingabe[[#This Row],[S2]],Eingabe[[#This Row],[S3]]),""),""),"")</f>
        <v/>
      </c>
      <c r="AS535" s="6" t="str">
        <f>IFERROR(IF(Eingabe[[#This Row],[Wo]]="H",IF(Eingabe[[#This Row],[S1]]&gt;0,IF(MOD(ROW(Eingabe[[#This Row],[Heimbahn 3]]),2)=1,Eingabe[[#This Row],[S4]],Eingabe[[#This Row],[S1]]),""),""),"")</f>
        <v/>
      </c>
      <c r="AT535" s="6" t="str">
        <f>IFERROR(IF(Eingabe[[#This Row],[Wo]]="H",IF(Eingabe[[#This Row],[S1]]&gt;0,IF(MOD(ROW(Eingabe[[#This Row],[Heimbahn 4]]),2)=1,Eingabe[[#This Row],[S3]],Eingabe[[#This Row],[S2]]),""),""),"")</f>
        <v/>
      </c>
      <c r="AU535" s="22" t="str">
        <f>IF(Eingabe[[#This Row],[GES]]="","",IF(Eingabe[[#This Row],[Modus]]="L",_xlfn.RANK.EQ(Eingabe[[#This Row],[GES]],AF531:AF536),IF(Eingabe[[#This Row],[Modus]]="P",_xlfn.RANK.EQ(Eingabe[[#This Row],[GES]],AF531:AF536),"")))</f>
        <v/>
      </c>
      <c r="AV535" s="6" t="e">
        <f>VLOOKUP(Eingabe[[#This Row],[Name]],AuswertungG[],8,FALSE)</f>
        <v>#N/A</v>
      </c>
      <c r="AZ535" s="6" t="str">
        <f>IFERROR(ABS(Eingabe[[#This Row],[GES]]-Eingabe[[#This Row],[GEGGES]]),"")</f>
        <v/>
      </c>
    </row>
    <row r="536" spans="1:52" ht="16.2" thickBot="1" x14ac:dyDescent="0.35">
      <c r="A536" s="442"/>
      <c r="B536" s="56">
        <f t="shared" si="51"/>
        <v>89</v>
      </c>
      <c r="C536" s="23" t="str">
        <f>VLOOKUP($B536,Chronologie[],7,TRUE)</f>
        <v>SV Krummenhennersdorf</v>
      </c>
      <c r="D536" s="23" t="str">
        <f>VLOOKUP($B536,Chronologie[],8,TRUE)</f>
        <v>Krummenhennersdorf</v>
      </c>
      <c r="E536" s="39" t="str">
        <f>VLOOKUP($B536,Chronologie[],9,TRUE)</f>
        <v>A</v>
      </c>
      <c r="F536" s="23" t="str">
        <f>VLOOKUP($B536,Chronologie[],COLUMN(F537)-2,TRUE)</f>
        <v>U14</v>
      </c>
      <c r="G536" s="23" t="str">
        <f>VLOOKUP($B536,Chronologie[],COLUMN(G537)-2,TRUE)</f>
        <v>KEM</v>
      </c>
      <c r="H536" s="23" t="str">
        <f>VLOOKUP($B536,Chronologie[],COLUMN(H537)-2,TRUE)</f>
        <v>E</v>
      </c>
      <c r="I536" s="13" t="str">
        <f>VLOOKUP($B536,Chronologie[],2,TRUE)</f>
        <v>U14-KEM-E</v>
      </c>
      <c r="J536" s="244">
        <f>VLOOKUP($B536,Chronologie[],3,TRUE)</f>
        <v>46046</v>
      </c>
      <c r="K536" s="239"/>
      <c r="L536" s="239"/>
      <c r="M536" s="239"/>
      <c r="N536" s="239"/>
      <c r="O536" s="239"/>
      <c r="P536" s="239"/>
      <c r="Q536" s="239"/>
      <c r="R536" s="239"/>
      <c r="S536" s="239"/>
      <c r="T536" s="239"/>
      <c r="U536" s="239"/>
      <c r="V536" s="239"/>
      <c r="W536" s="239"/>
      <c r="X536" s="40"/>
      <c r="Y536" s="40"/>
      <c r="Z536" s="40"/>
      <c r="AA536" s="40"/>
      <c r="AB536" s="92"/>
      <c r="AC536" s="96" t="str">
        <f>IF(Eingabe[[#This Row],[V1]]="",IF(Eingabe[[#This Row],[Volle alternativ]]="","",Eingabe[[#This Row],[Volle alternativ]]),SUM(Eingabe[[#This Row],[V1]:[V4]]))</f>
        <v/>
      </c>
      <c r="AD536" s="23" t="str">
        <f>IF(Eingabe[[#This Row],[R1]]="",IF(Eingabe[[#This Row],[Räumer alternativ]]="","",Eingabe[[#This Row],[Räumer alternativ]]),SUM(Eingabe[[#This Row],[R1]:[R4]]))</f>
        <v/>
      </c>
      <c r="AE536" s="23" t="str">
        <f>IF(Eingabe[[#This Row],[F1]]="",IF(Eingabe[[#This Row],[Fehler alternativ]]="","",Eingabe[[#This Row],[Fehler alternativ]]),SUM(Eingabe[[#This Row],[F1]:[F4]]))</f>
        <v/>
      </c>
      <c r="AF536" s="23" t="str">
        <f>IF(Eingabe[[#This Row],[Volle]]="","",IF(Eingabe[[#This Row],[S1]]="",Eingabe[[#This Row],[Volle]]+Eingabe[[#This Row],[Räumer]],IF(Eingabe[[#This Row],[Volle]]+Eingabe[[#This Row],[Räumer]]=Eingabe[[#This Row],[S1]]+Eingabe[[#This Row],[S2]]+Eingabe[[#This Row],[S3]]+Eingabe[[#This Row],[S4]],Eingabe[[#This Row],[Volle]]+Eingabe[[#This Row],[Räumer]],"FEHLER")))</f>
        <v/>
      </c>
      <c r="AG536" s="23" t="str">
        <f>IF(Eingabe[[#This Row],[V1]]="","",Eingabe[[#This Row],[V1]]+Eingabe[[#This Row],[R1]])</f>
        <v/>
      </c>
      <c r="AH536" s="23" t="str">
        <f>IF(Eingabe[[#This Row],[V2]]="","",Eingabe[[#This Row],[V2]]+Eingabe[[#This Row],[R2]])</f>
        <v/>
      </c>
      <c r="AI536" s="23" t="str">
        <f>IF(Eingabe[[#This Row],[V3]]="","",Eingabe[[#This Row],[V3]]+Eingabe[[#This Row],[R3]])</f>
        <v/>
      </c>
      <c r="AJ536" s="23" t="str">
        <f>IF(Eingabe[[#This Row],[V4]]="","",Eingabe[[#This Row],[V4]]+Eingabe[[#This Row],[R4]])</f>
        <v/>
      </c>
      <c r="AK536" s="23" t="str">
        <f>IF(Eingabe[[#This Row],[S1P]]="","",Eingabe[[#This Row],[S1P]]+Eingabe[[#This Row],[S2P]]+Eingabe[[#This Row],[S3P]]+Eingabe[[#This Row],[S4P]])</f>
        <v/>
      </c>
      <c r="AL536" s="23" t="str">
        <f>IF(Eingabe[[#This Row],[S1P]]="","",IF(Eingabe[[#This Row],[SP]]&gt;2,1,IF(Eingabe[[#This Row],[SP]]&lt;2,0,IF(Eingabe[[#This Row],[GES]]&gt;Eingabe[[#This Row],[GEGGES]],1,IF(Eingabe[[#This Row],[GES]]=Eingabe[[#This Row],[GEGGES]],0.5,0)))))</f>
        <v/>
      </c>
      <c r="AM536" s="23" t="str">
        <f>IF(Eingabe[[#This Row],[MP]]="","",MOD(ROW(Eingabe[[#This Row],[Position]])-3,6)+1)</f>
        <v/>
      </c>
      <c r="AN536" s="23" t="e">
        <f>STANDARDIZE(Eingabe[[#This Row],[GES]],Eingabe[[#This Row],[Schnitt]],VLOOKUP(Eingabe[[#This Row],[Name]],AuswertungG[],21,FALSE))</f>
        <v>#VALUE!</v>
      </c>
      <c r="AO536" s="23">
        <f>VLOOKUP(Eingabe[[#This Row],[ID]],Chronologie[[ID]:[KW]],12,FALSE)</f>
        <v>22</v>
      </c>
      <c r="AP536" s="59" t="str">
        <f>IF(Eingabe[[#This Row],[Wo]]="H",Eingabe[[#This Row],[Gegner]]&amp;" ["&amp;Eingabe[[#This Row],[Wo]]&amp;"]",Eingabe[[#This Row],[Ort]])</f>
        <v>Krummenhennersdorf</v>
      </c>
      <c r="AQ536" s="23" t="str">
        <f>IFERROR(IF(Eingabe[[#This Row],[Wo]]="H",IF(MOD(Eingabe[[#This Row],[Position]],2)=1,Eingabe[[#This Row],[S1]],Eingabe[[#This Row],[S4]]),""),"")</f>
        <v/>
      </c>
      <c r="AR536" s="23" t="str">
        <f>IFERROR(IF(Eingabe[[#This Row],[Wo]]="H",IF(Eingabe[[#This Row],[S1]]&gt;0,IF(MOD(Eingabe[[#This Row],[Position]],2)=1,Eingabe[[#This Row],[S2]],Eingabe[[#This Row],[S3]]),""),""),"")</f>
        <v/>
      </c>
      <c r="AS536" s="23" t="str">
        <f>IFERROR(IF(Eingabe[[#This Row],[Wo]]="H",IF(Eingabe[[#This Row],[S1]]&gt;0,IF(MOD(ROW(Eingabe[[#This Row],[Heimbahn 3]]),2)=1,Eingabe[[#This Row],[S4]],Eingabe[[#This Row],[S1]]),""),""),"")</f>
        <v/>
      </c>
      <c r="AT536" s="23" t="str">
        <f>IFERROR(IF(Eingabe[[#This Row],[Wo]]="H",IF(Eingabe[[#This Row],[S1]]&gt;0,IF(MOD(ROW(Eingabe[[#This Row],[Heimbahn 4]]),2)=1,Eingabe[[#This Row],[S3]],Eingabe[[#This Row],[S2]]),""),""),"")</f>
        <v/>
      </c>
      <c r="AU536" s="89" t="str">
        <f>IF(Eingabe[[#This Row],[GES]]="","",IF(Eingabe[[#This Row],[Modus]]="L",_xlfn.RANK.EQ(Eingabe[[#This Row],[GES]],AF531:AF536),IF(Eingabe[[#This Row],[Modus]]="P",_xlfn.RANK.EQ(Eingabe[[#This Row],[GES]],AF531:AF536),"")))</f>
        <v/>
      </c>
      <c r="AV536" s="6" t="e">
        <f>VLOOKUP(Eingabe[[#This Row],[Name]],AuswertungG[],8,FALSE)</f>
        <v>#N/A</v>
      </c>
      <c r="AZ536" s="6" t="str">
        <f>IFERROR(ABS(Eingabe[[#This Row],[GES]]-Eingabe[[#This Row],[GEGGES]]),"")</f>
        <v/>
      </c>
    </row>
    <row r="537" spans="1:52" hidden="1" x14ac:dyDescent="0.3">
      <c r="A537" s="440">
        <f t="shared" si="49"/>
        <v>90</v>
      </c>
      <c r="B537" s="55">
        <f t="shared" si="51"/>
        <v>90</v>
      </c>
      <c r="C537" s="35" t="str">
        <f>VLOOKUP($B537,Chronologie[],7,TRUE)</f>
        <v>SV Krummenhennersdorf</v>
      </c>
      <c r="D537" s="35" t="str">
        <f>VLOOKUP($B537,Chronologie[],8,TRUE)</f>
        <v>Krummenhennersdorf</v>
      </c>
      <c r="E537" s="36" t="str">
        <f>VLOOKUP($B537,Chronologie[],9,TRUE)</f>
        <v>A</v>
      </c>
      <c r="F537" s="35" t="str">
        <f>VLOOKUP($B537,Chronologie[],COLUMN(F538)-2,TRUE)</f>
        <v>U19</v>
      </c>
      <c r="G537" s="35" t="str">
        <f>VLOOKUP($B537,Chronologie[],COLUMN(G538)-2,TRUE)</f>
        <v>KEM</v>
      </c>
      <c r="H537" s="35" t="str">
        <f>VLOOKUP($B537,Chronologie[],COLUMN(H538)-2,TRUE)</f>
        <v>E</v>
      </c>
      <c r="I537" s="9" t="str">
        <f>VLOOKUP($B537,Chronologie[],2,TRUE)</f>
        <v>U19-KEM-E</v>
      </c>
      <c r="J537" s="242">
        <f>VLOOKUP($B537,Chronologie[],3,TRUE)</f>
        <v>46046</v>
      </c>
      <c r="K537" s="236" t="s">
        <v>458</v>
      </c>
      <c r="L537" s="334">
        <v>100</v>
      </c>
      <c r="M537" s="334">
        <v>75</v>
      </c>
      <c r="N537" s="334">
        <v>89</v>
      </c>
      <c r="O537" s="334">
        <v>83</v>
      </c>
      <c r="P537" s="334">
        <v>33</v>
      </c>
      <c r="Q537" s="334">
        <v>35</v>
      </c>
      <c r="R537" s="334">
        <v>45</v>
      </c>
      <c r="S537" s="334">
        <v>42</v>
      </c>
      <c r="T537" s="334">
        <v>2</v>
      </c>
      <c r="U537" s="334">
        <v>1</v>
      </c>
      <c r="V537" s="334">
        <v>1</v>
      </c>
      <c r="W537" s="334">
        <v>2</v>
      </c>
      <c r="X537" s="37"/>
      <c r="Y537" s="37"/>
      <c r="Z537" s="37"/>
      <c r="AA537" s="37"/>
      <c r="AB537" s="90"/>
      <c r="AC537" s="93">
        <f>IF(Eingabe[[#This Row],[V1]]="",IF(Eingabe[[#This Row],[Volle alternativ]]="","",Eingabe[[#This Row],[Volle alternativ]]),SUM(Eingabe[[#This Row],[V1]:[V4]]))</f>
        <v>347</v>
      </c>
      <c r="AD537" s="35">
        <f>IF(Eingabe[[#This Row],[R1]]="",IF(Eingabe[[#This Row],[Räumer alternativ]]="","",Eingabe[[#This Row],[Räumer alternativ]]),SUM(Eingabe[[#This Row],[R1]:[R4]]))</f>
        <v>155</v>
      </c>
      <c r="AE537" s="35">
        <f>IF(Eingabe[[#This Row],[F1]]="",IF(Eingabe[[#This Row],[Fehler alternativ]]="","",Eingabe[[#This Row],[Fehler alternativ]]),SUM(Eingabe[[#This Row],[F1]:[F4]]))</f>
        <v>6</v>
      </c>
      <c r="AF537" s="35">
        <f>IF(Eingabe[[#This Row],[Volle]]="","",IF(Eingabe[[#This Row],[S1]]="",Eingabe[[#This Row],[Volle]]+Eingabe[[#This Row],[Räumer]],IF(Eingabe[[#This Row],[Volle]]+Eingabe[[#This Row],[Räumer]]=Eingabe[[#This Row],[S1]]+Eingabe[[#This Row],[S2]]+Eingabe[[#This Row],[S3]]+Eingabe[[#This Row],[S4]],Eingabe[[#This Row],[Volle]]+Eingabe[[#This Row],[Räumer]],"FEHLER")))</f>
        <v>502</v>
      </c>
      <c r="AG537" s="35">
        <f>IF(Eingabe[[#This Row],[V1]]="","",Eingabe[[#This Row],[V1]]+Eingabe[[#This Row],[R1]])</f>
        <v>133</v>
      </c>
      <c r="AH537" s="35">
        <f>IF(Eingabe[[#This Row],[V2]]="","",Eingabe[[#This Row],[V2]]+Eingabe[[#This Row],[R2]])</f>
        <v>110</v>
      </c>
      <c r="AI537" s="35">
        <f>IF(Eingabe[[#This Row],[V3]]="","",Eingabe[[#This Row],[V3]]+Eingabe[[#This Row],[R3]])</f>
        <v>134</v>
      </c>
      <c r="AJ537" s="35">
        <f>IF(Eingabe[[#This Row],[V4]]="","",Eingabe[[#This Row],[V4]]+Eingabe[[#This Row],[R4]])</f>
        <v>125</v>
      </c>
      <c r="AK537" s="35" t="str">
        <f>IF(Eingabe[[#This Row],[S1P]]="","",Eingabe[[#This Row],[S1P]]+Eingabe[[#This Row],[S2P]]+Eingabe[[#This Row],[S3P]]+Eingabe[[#This Row],[S4P]])</f>
        <v/>
      </c>
      <c r="AL537" s="35" t="str">
        <f>IF(Eingabe[[#This Row],[S1P]]="","",IF(Eingabe[[#This Row],[SP]]&gt;2,1,IF(Eingabe[[#This Row],[SP]]&lt;2,0,IF(Eingabe[[#This Row],[GES]]&gt;Eingabe[[#This Row],[GEGGES]],1,IF(Eingabe[[#This Row],[GES]]=Eingabe[[#This Row],[GEGGES]],0.5,0)))))</f>
        <v/>
      </c>
      <c r="AM537" s="35" t="str">
        <f>IF(Eingabe[[#This Row],[MP]]="","",MOD(ROW(Eingabe[[#This Row],[Position]])-3,6)+1)</f>
        <v/>
      </c>
      <c r="AN537" s="35">
        <f>STANDARDIZE(Eingabe[[#This Row],[GES]],Eingabe[[#This Row],[Schnitt]],VLOOKUP(Eingabe[[#This Row],[Name]],AuswertungG[],21,FALSE))</f>
        <v>-0.3</v>
      </c>
      <c r="AO537" s="35">
        <f>VLOOKUP(Eingabe[[#This Row],[ID]],Chronologie[[ID]:[KW]],12,FALSE)</f>
        <v>22</v>
      </c>
      <c r="AP537" s="58" t="str">
        <f>IF(Eingabe[[#This Row],[Wo]]="H",Eingabe[[#This Row],[Gegner]]&amp;" ["&amp;Eingabe[[#This Row],[Wo]]&amp;"]",Eingabe[[#This Row],[Ort]])</f>
        <v>Krummenhennersdorf</v>
      </c>
      <c r="AQ537" s="35" t="str">
        <f>IFERROR(IF(Eingabe[[#This Row],[Wo]]="H",IF(MOD(Eingabe[[#This Row],[Position]],2)=1,Eingabe[[#This Row],[S1]],Eingabe[[#This Row],[S4]]),""),"")</f>
        <v/>
      </c>
      <c r="AR537" s="35" t="str">
        <f>IFERROR(IF(Eingabe[[#This Row],[Wo]]="H",IF(Eingabe[[#This Row],[S1]]&gt;0,IF(MOD(Eingabe[[#This Row],[Position]],2)=1,Eingabe[[#This Row],[S2]],Eingabe[[#This Row],[S3]]),""),""),"")</f>
        <v/>
      </c>
      <c r="AS537" s="35" t="str">
        <f>IFERROR(IF(Eingabe[[#This Row],[Wo]]="H",IF(Eingabe[[#This Row],[S1]]&gt;0,IF(MOD(ROW(Eingabe[[#This Row],[Heimbahn 3]]),2)=1,Eingabe[[#This Row],[S4]],Eingabe[[#This Row],[S1]]),""),""),"")</f>
        <v/>
      </c>
      <c r="AT537" s="35" t="str">
        <f>IFERROR(IF(Eingabe[[#This Row],[Wo]]="H",IF(Eingabe[[#This Row],[S1]]&gt;0,IF(MOD(ROW(Eingabe[[#This Row],[Heimbahn 4]]),2)=1,Eingabe[[#This Row],[S3]],Eingabe[[#This Row],[S2]]),""),""),"")</f>
        <v/>
      </c>
      <c r="AU537" s="88" t="str">
        <f>IF(Eingabe[[#This Row],[GES]]="","",IF(Eingabe[[#This Row],[Modus]]="L",_xlfn.RANK.EQ(Eingabe[[#This Row],[GES]],AF537:AF542),IF(Eingabe[[#This Row],[Modus]]="P",_xlfn.RANK.EQ(Eingabe[[#This Row],[GES]],AF537:AF542),"")))</f>
        <v/>
      </c>
      <c r="AV537" s="6">
        <f>VLOOKUP(Eingabe[[#This Row],[Name]],AuswertungG[],8,FALSE)</f>
        <v>508</v>
      </c>
      <c r="AZ537" s="6">
        <f>IFERROR(ABS(Eingabe[[#This Row],[GES]]-Eingabe[[#This Row],[GEGGES]]),"")</f>
        <v>502</v>
      </c>
    </row>
    <row r="538" spans="1:52" hidden="1" x14ac:dyDescent="0.3">
      <c r="A538" s="441"/>
      <c r="B538" s="21">
        <f t="shared" si="51"/>
        <v>90</v>
      </c>
      <c r="C538" s="6" t="str">
        <f>VLOOKUP($B538,Chronologie[],7,TRUE)</f>
        <v>SV Krummenhennersdorf</v>
      </c>
      <c r="D538" s="6" t="str">
        <f>VLOOKUP($B538,Chronologie[],8,TRUE)</f>
        <v>Krummenhennersdorf</v>
      </c>
      <c r="E538" s="240" t="str">
        <f>VLOOKUP($B538,Chronologie[],9,TRUE)</f>
        <v>A</v>
      </c>
      <c r="F538" s="6" t="str">
        <f>VLOOKUP($B538,Chronologie[],COLUMN(F539)-2,TRUE)</f>
        <v>U19</v>
      </c>
      <c r="G538" s="6" t="str">
        <f>VLOOKUP($B538,Chronologie[],COLUMN(G539)-2,TRUE)</f>
        <v>KEM</v>
      </c>
      <c r="H538" s="6" t="str">
        <f>VLOOKUP($B538,Chronologie[],COLUMN(H539)-2,TRUE)</f>
        <v>E</v>
      </c>
      <c r="I538" s="10" t="str">
        <f>VLOOKUP($B538,Chronologie[],2,TRUE)</f>
        <v>U19-KEM-E</v>
      </c>
      <c r="J538" s="243">
        <f>VLOOKUP($B538,Chronologie[],3,TRUE)</f>
        <v>46046</v>
      </c>
      <c r="K538" s="237" t="s">
        <v>485</v>
      </c>
      <c r="L538" s="237">
        <v>76</v>
      </c>
      <c r="M538" s="237">
        <v>89</v>
      </c>
      <c r="N538" s="237">
        <v>77</v>
      </c>
      <c r="O538" s="237">
        <v>86</v>
      </c>
      <c r="P538" s="237">
        <v>34</v>
      </c>
      <c r="Q538" s="237">
        <v>36</v>
      </c>
      <c r="R538" s="237">
        <v>35</v>
      </c>
      <c r="S538" s="237">
        <v>44</v>
      </c>
      <c r="T538" s="237">
        <v>4</v>
      </c>
      <c r="U538" s="237">
        <v>2</v>
      </c>
      <c r="V538" s="237">
        <v>3</v>
      </c>
      <c r="W538" s="237">
        <v>2</v>
      </c>
      <c r="X538" s="38"/>
      <c r="Y538" s="38"/>
      <c r="Z538" s="38"/>
      <c r="AA538" s="38"/>
      <c r="AB538" s="91"/>
      <c r="AC538" s="94">
        <f>IF(Eingabe[[#This Row],[V1]]="",IF(Eingabe[[#This Row],[Volle alternativ]]="","",Eingabe[[#This Row],[Volle alternativ]]),SUM(Eingabe[[#This Row],[V1]:[V4]]))</f>
        <v>328</v>
      </c>
      <c r="AD538" s="6">
        <f>IF(Eingabe[[#This Row],[R1]]="",IF(Eingabe[[#This Row],[Räumer alternativ]]="","",Eingabe[[#This Row],[Räumer alternativ]]),SUM(Eingabe[[#This Row],[R1]:[R4]]))</f>
        <v>149</v>
      </c>
      <c r="AE538" s="6">
        <f>IF(Eingabe[[#This Row],[F1]]="",IF(Eingabe[[#This Row],[Fehler alternativ]]="","",Eingabe[[#This Row],[Fehler alternativ]]),SUM(Eingabe[[#This Row],[F1]:[F4]]))</f>
        <v>11</v>
      </c>
      <c r="AF538" s="6">
        <f>IF(Eingabe[[#This Row],[Volle]]="","",IF(Eingabe[[#This Row],[S1]]="",Eingabe[[#This Row],[Volle]]+Eingabe[[#This Row],[Räumer]],IF(Eingabe[[#This Row],[Volle]]+Eingabe[[#This Row],[Räumer]]=Eingabe[[#This Row],[S1]]+Eingabe[[#This Row],[S2]]+Eingabe[[#This Row],[S3]]+Eingabe[[#This Row],[S4]],Eingabe[[#This Row],[Volle]]+Eingabe[[#This Row],[Räumer]],"FEHLER")))</f>
        <v>477</v>
      </c>
      <c r="AG538" s="6">
        <f>IF(Eingabe[[#This Row],[V1]]="","",Eingabe[[#This Row],[V1]]+Eingabe[[#This Row],[R1]])</f>
        <v>110</v>
      </c>
      <c r="AH538" s="6">
        <f>IF(Eingabe[[#This Row],[V2]]="","",Eingabe[[#This Row],[V2]]+Eingabe[[#This Row],[R2]])</f>
        <v>125</v>
      </c>
      <c r="AI538" s="6">
        <f>IF(Eingabe[[#This Row],[V3]]="","",Eingabe[[#This Row],[V3]]+Eingabe[[#This Row],[R3]])</f>
        <v>112</v>
      </c>
      <c r="AJ538" s="6">
        <f>IF(Eingabe[[#This Row],[V4]]="","",Eingabe[[#This Row],[V4]]+Eingabe[[#This Row],[R4]])</f>
        <v>130</v>
      </c>
      <c r="AK538" s="6" t="str">
        <f>IF(Eingabe[[#This Row],[S1P]]="","",Eingabe[[#This Row],[S1P]]+Eingabe[[#This Row],[S2P]]+Eingabe[[#This Row],[S3P]]+Eingabe[[#This Row],[S4P]])</f>
        <v/>
      </c>
      <c r="AL538" s="6" t="str">
        <f>IF(Eingabe[[#This Row],[S1P]]="","",IF(Eingabe[[#This Row],[SP]]&gt;2,1,IF(Eingabe[[#This Row],[SP]]&lt;2,0,IF(Eingabe[[#This Row],[GES]]&gt;Eingabe[[#This Row],[GEGGES]],1,IF(Eingabe[[#This Row],[GES]]=Eingabe[[#This Row],[GEGGES]],0.5,0)))))</f>
        <v/>
      </c>
      <c r="AM538" s="6" t="str">
        <f>IF(Eingabe[[#This Row],[MP]]="","",MOD(ROW(Eingabe[[#This Row],[Position]])-3,6)+1)</f>
        <v/>
      </c>
      <c r="AN538" s="6">
        <f>STANDARDIZE(Eingabe[[#This Row],[GES]],Eingabe[[#This Row],[Schnitt]],VLOOKUP(Eingabe[[#This Row],[Name]],AuswertungG[],21,FALSE))</f>
        <v>0.55172413793103448</v>
      </c>
      <c r="AO538" s="6">
        <f>VLOOKUP(Eingabe[[#This Row],[ID]],Chronologie[[ID]:[KW]],12,FALSE)</f>
        <v>22</v>
      </c>
      <c r="AP538" s="95" t="str">
        <f>IF(Eingabe[[#This Row],[Wo]]="H",Eingabe[[#This Row],[Gegner]]&amp;" ["&amp;Eingabe[[#This Row],[Wo]]&amp;"]",Eingabe[[#This Row],[Ort]])</f>
        <v>Krummenhennersdorf</v>
      </c>
      <c r="AQ538" s="6" t="str">
        <f>IFERROR(IF(Eingabe[[#This Row],[Wo]]="H",IF(MOD(Eingabe[[#This Row],[Position]],2)=1,Eingabe[[#This Row],[S1]],Eingabe[[#This Row],[S4]]),""),"")</f>
        <v/>
      </c>
      <c r="AR538" s="6" t="str">
        <f>IFERROR(IF(Eingabe[[#This Row],[Wo]]="H",IF(Eingabe[[#This Row],[S1]]&gt;0,IF(MOD(Eingabe[[#This Row],[Position]],2)=1,Eingabe[[#This Row],[S2]],Eingabe[[#This Row],[S3]]),""),""),"")</f>
        <v/>
      </c>
      <c r="AS538" s="6" t="str">
        <f>IFERROR(IF(Eingabe[[#This Row],[Wo]]="H",IF(Eingabe[[#This Row],[S1]]&gt;0,IF(MOD(ROW(Eingabe[[#This Row],[Heimbahn 3]]),2)=1,Eingabe[[#This Row],[S4]],Eingabe[[#This Row],[S1]]),""),""),"")</f>
        <v/>
      </c>
      <c r="AT538" s="6" t="str">
        <f>IFERROR(IF(Eingabe[[#This Row],[Wo]]="H",IF(Eingabe[[#This Row],[S1]]&gt;0,IF(MOD(ROW(Eingabe[[#This Row],[Heimbahn 4]]),2)=1,Eingabe[[#This Row],[S3]],Eingabe[[#This Row],[S2]]),""),""),"")</f>
        <v/>
      </c>
      <c r="AU538" s="22" t="str">
        <f>IF(Eingabe[[#This Row],[GES]]="","",IF(Eingabe[[#This Row],[Modus]]="L",_xlfn.RANK.EQ(Eingabe[[#This Row],[GES]],AF537:AF542),IF(Eingabe[[#This Row],[Modus]]="P",_xlfn.RANK.EQ(Eingabe[[#This Row],[GES]],AF537:AF542),"")))</f>
        <v/>
      </c>
      <c r="AV538" s="6">
        <f>VLOOKUP(Eingabe[[#This Row],[Name]],AuswertungG[],8,FALSE)</f>
        <v>461</v>
      </c>
      <c r="AZ538" s="6">
        <f>IFERROR(ABS(Eingabe[[#This Row],[GES]]-Eingabe[[#This Row],[GEGGES]]),"")</f>
        <v>477</v>
      </c>
    </row>
    <row r="539" spans="1:52" hidden="1" x14ac:dyDescent="0.3">
      <c r="A539" s="441"/>
      <c r="B539" s="21">
        <f t="shared" si="51"/>
        <v>90</v>
      </c>
      <c r="C539" s="6" t="str">
        <f>VLOOKUP($B539,Chronologie[],7,TRUE)</f>
        <v>SV Krummenhennersdorf</v>
      </c>
      <c r="D539" s="6" t="str">
        <f>VLOOKUP($B539,Chronologie[],8,TRUE)</f>
        <v>Krummenhennersdorf</v>
      </c>
      <c r="E539" s="240" t="str">
        <f>VLOOKUP($B539,Chronologie[],9,TRUE)</f>
        <v>A</v>
      </c>
      <c r="F539" s="6" t="str">
        <f>VLOOKUP($B539,Chronologie[],COLUMN(F540)-2,TRUE)</f>
        <v>U19</v>
      </c>
      <c r="G539" s="6" t="str">
        <f>VLOOKUP($B539,Chronologie[],COLUMN(G540)-2,TRUE)</f>
        <v>KEM</v>
      </c>
      <c r="H539" s="6" t="str">
        <f>VLOOKUP($B539,Chronologie[],COLUMN(H540)-2,TRUE)</f>
        <v>E</v>
      </c>
      <c r="I539" s="10" t="str">
        <f>VLOOKUP($B539,Chronologie[],2,TRUE)</f>
        <v>U19-KEM-E</v>
      </c>
      <c r="J539" s="243">
        <f>VLOOKUP($B539,Chronologie[],3,TRUE)</f>
        <v>46046</v>
      </c>
      <c r="K539" s="237" t="s">
        <v>474</v>
      </c>
      <c r="L539" s="237">
        <v>93</v>
      </c>
      <c r="M539" s="237">
        <v>82</v>
      </c>
      <c r="N539" s="237">
        <v>86</v>
      </c>
      <c r="O539" s="237">
        <v>77</v>
      </c>
      <c r="P539" s="237">
        <v>54</v>
      </c>
      <c r="Q539" s="237">
        <v>45</v>
      </c>
      <c r="R539" s="237">
        <v>34</v>
      </c>
      <c r="S539" s="237">
        <v>32</v>
      </c>
      <c r="T539" s="237">
        <v>3</v>
      </c>
      <c r="U539" s="237">
        <v>1</v>
      </c>
      <c r="V539" s="237">
        <v>3</v>
      </c>
      <c r="W539" s="237">
        <v>3</v>
      </c>
      <c r="X539" s="38"/>
      <c r="Y539" s="38"/>
      <c r="Z539" s="38"/>
      <c r="AA539" s="38"/>
      <c r="AB539" s="91"/>
      <c r="AC539" s="94">
        <f>IF(Eingabe[[#This Row],[V1]]="",IF(Eingabe[[#This Row],[Volle alternativ]]="","",Eingabe[[#This Row],[Volle alternativ]]),SUM(Eingabe[[#This Row],[V1]:[V4]]))</f>
        <v>338</v>
      </c>
      <c r="AD539" s="6">
        <f>IF(Eingabe[[#This Row],[R1]]="",IF(Eingabe[[#This Row],[Räumer alternativ]]="","",Eingabe[[#This Row],[Räumer alternativ]]),SUM(Eingabe[[#This Row],[R1]:[R4]]))</f>
        <v>165</v>
      </c>
      <c r="AE539" s="6">
        <f>IF(Eingabe[[#This Row],[F1]]="",IF(Eingabe[[#This Row],[Fehler alternativ]]="","",Eingabe[[#This Row],[Fehler alternativ]]),SUM(Eingabe[[#This Row],[F1]:[F4]]))</f>
        <v>10</v>
      </c>
      <c r="AF539" s="6">
        <f>IF(Eingabe[[#This Row],[Volle]]="","",IF(Eingabe[[#This Row],[S1]]="",Eingabe[[#This Row],[Volle]]+Eingabe[[#This Row],[Räumer]],IF(Eingabe[[#This Row],[Volle]]+Eingabe[[#This Row],[Räumer]]=Eingabe[[#This Row],[S1]]+Eingabe[[#This Row],[S2]]+Eingabe[[#This Row],[S3]]+Eingabe[[#This Row],[S4]],Eingabe[[#This Row],[Volle]]+Eingabe[[#This Row],[Räumer]],"FEHLER")))</f>
        <v>503</v>
      </c>
      <c r="AG539" s="6">
        <f>IF(Eingabe[[#This Row],[V1]]="","",Eingabe[[#This Row],[V1]]+Eingabe[[#This Row],[R1]])</f>
        <v>147</v>
      </c>
      <c r="AH539" s="6">
        <f>IF(Eingabe[[#This Row],[V2]]="","",Eingabe[[#This Row],[V2]]+Eingabe[[#This Row],[R2]])</f>
        <v>127</v>
      </c>
      <c r="AI539" s="6">
        <f>IF(Eingabe[[#This Row],[V3]]="","",Eingabe[[#This Row],[V3]]+Eingabe[[#This Row],[R3]])</f>
        <v>120</v>
      </c>
      <c r="AJ539" s="6">
        <f>IF(Eingabe[[#This Row],[V4]]="","",Eingabe[[#This Row],[V4]]+Eingabe[[#This Row],[R4]])</f>
        <v>109</v>
      </c>
      <c r="AK539" s="6" t="str">
        <f>IF(Eingabe[[#This Row],[S1P]]="","",Eingabe[[#This Row],[S1P]]+Eingabe[[#This Row],[S2P]]+Eingabe[[#This Row],[S3P]]+Eingabe[[#This Row],[S4P]])</f>
        <v/>
      </c>
      <c r="AL539" s="6" t="str">
        <f>IF(Eingabe[[#This Row],[S1P]]="","",IF(Eingabe[[#This Row],[SP]]&gt;2,1,IF(Eingabe[[#This Row],[SP]]&lt;2,0,IF(Eingabe[[#This Row],[GES]]&gt;Eingabe[[#This Row],[GEGGES]],1,IF(Eingabe[[#This Row],[GES]]=Eingabe[[#This Row],[GEGGES]],0.5,0)))))</f>
        <v/>
      </c>
      <c r="AM539" s="6" t="str">
        <f>IF(Eingabe[[#This Row],[MP]]="","",MOD(ROW(Eingabe[[#This Row],[Position]])-3,6)+1)</f>
        <v/>
      </c>
      <c r="AN539" s="6">
        <f>STANDARDIZE(Eingabe[[#This Row],[GES]],Eingabe[[#This Row],[Schnitt]],VLOOKUP(Eingabe[[#This Row],[Name]],AuswertungG[],21,FALSE))</f>
        <v>6.4516129032258063E-2</v>
      </c>
      <c r="AO539" s="6">
        <f>VLOOKUP(Eingabe[[#This Row],[ID]],Chronologie[[ID]:[KW]],12,FALSE)</f>
        <v>22</v>
      </c>
      <c r="AP539" s="95" t="str">
        <f>IF(Eingabe[[#This Row],[Wo]]="H",Eingabe[[#This Row],[Gegner]]&amp;" ["&amp;Eingabe[[#This Row],[Wo]]&amp;"]",Eingabe[[#This Row],[Ort]])</f>
        <v>Krummenhennersdorf</v>
      </c>
      <c r="AQ539" s="6" t="str">
        <f>IFERROR(IF(Eingabe[[#This Row],[Wo]]="H",IF(MOD(Eingabe[[#This Row],[Position]],2)=1,Eingabe[[#This Row],[S1]],Eingabe[[#This Row],[S4]]),""),"")</f>
        <v/>
      </c>
      <c r="AR539" s="6" t="str">
        <f>IFERROR(IF(Eingabe[[#This Row],[Wo]]="H",IF(Eingabe[[#This Row],[S1]]&gt;0,IF(MOD(Eingabe[[#This Row],[Position]],2)=1,Eingabe[[#This Row],[S2]],Eingabe[[#This Row],[S3]]),""),""),"")</f>
        <v/>
      </c>
      <c r="AS539" s="6" t="str">
        <f>IFERROR(IF(Eingabe[[#This Row],[Wo]]="H",IF(Eingabe[[#This Row],[S1]]&gt;0,IF(MOD(ROW(Eingabe[[#This Row],[Heimbahn 3]]),2)=1,Eingabe[[#This Row],[S4]],Eingabe[[#This Row],[S1]]),""),""),"")</f>
        <v/>
      </c>
      <c r="AT539" s="6" t="str">
        <f>IFERROR(IF(Eingabe[[#This Row],[Wo]]="H",IF(Eingabe[[#This Row],[S1]]&gt;0,IF(MOD(ROW(Eingabe[[#This Row],[Heimbahn 4]]),2)=1,Eingabe[[#This Row],[S3]],Eingabe[[#This Row],[S2]]),""),""),"")</f>
        <v/>
      </c>
      <c r="AU539" s="22" t="str">
        <f>IF(Eingabe[[#This Row],[GES]]="","",IF(Eingabe[[#This Row],[Modus]]="L",_xlfn.RANK.EQ(Eingabe[[#This Row],[GES]],AF537:AF542),IF(Eingabe[[#This Row],[Modus]]="P",_xlfn.RANK.EQ(Eingabe[[#This Row],[GES]],AF537:AF542),"")))</f>
        <v/>
      </c>
      <c r="AV539" s="6">
        <f>VLOOKUP(Eingabe[[#This Row],[Name]],AuswertungG[],8,FALSE)</f>
        <v>501</v>
      </c>
      <c r="AZ539" s="6">
        <f>IFERROR(ABS(Eingabe[[#This Row],[GES]]-Eingabe[[#This Row],[GEGGES]]),"")</f>
        <v>503</v>
      </c>
    </row>
    <row r="540" spans="1:52" hidden="1" x14ac:dyDescent="0.3">
      <c r="A540" s="441"/>
      <c r="B540" s="21">
        <f t="shared" si="51"/>
        <v>90</v>
      </c>
      <c r="C540" s="6" t="str">
        <f>VLOOKUP($B540,Chronologie[],7,TRUE)</f>
        <v>SV Krummenhennersdorf</v>
      </c>
      <c r="D540" s="6" t="str">
        <f>VLOOKUP($B540,Chronologie[],8,TRUE)</f>
        <v>Krummenhennersdorf</v>
      </c>
      <c r="E540" s="240" t="str">
        <f>VLOOKUP($B540,Chronologie[],9,TRUE)</f>
        <v>A</v>
      </c>
      <c r="F540" s="6" t="str">
        <f>VLOOKUP($B540,Chronologie[],COLUMN(F541)-2,TRUE)</f>
        <v>U19</v>
      </c>
      <c r="G540" s="6" t="str">
        <f>VLOOKUP($B540,Chronologie[],COLUMN(G541)-2,TRUE)</f>
        <v>KEM</v>
      </c>
      <c r="H540" s="6" t="str">
        <f>VLOOKUP($B540,Chronologie[],COLUMN(H541)-2,TRUE)</f>
        <v>E</v>
      </c>
      <c r="I540" s="10" t="str">
        <f>VLOOKUP($B540,Chronologie[],2,TRUE)</f>
        <v>U19-KEM-E</v>
      </c>
      <c r="J540" s="243">
        <f>VLOOKUP($B540,Chronologie[],3,TRUE)</f>
        <v>46046</v>
      </c>
      <c r="K540" s="238" t="s">
        <v>477</v>
      </c>
      <c r="L540" s="237">
        <v>96</v>
      </c>
      <c r="M540" s="237">
        <v>84</v>
      </c>
      <c r="N540" s="237">
        <v>85</v>
      </c>
      <c r="O540" s="237">
        <v>86</v>
      </c>
      <c r="P540" s="237">
        <v>45</v>
      </c>
      <c r="Q540" s="237">
        <v>45</v>
      </c>
      <c r="R540" s="237">
        <v>36</v>
      </c>
      <c r="S540" s="237">
        <v>44</v>
      </c>
      <c r="T540" s="237">
        <v>0</v>
      </c>
      <c r="U540" s="237">
        <v>1</v>
      </c>
      <c r="V540" s="237">
        <v>3</v>
      </c>
      <c r="W540" s="237">
        <v>1</v>
      </c>
      <c r="X540" s="38"/>
      <c r="Y540" s="38"/>
      <c r="Z540" s="38"/>
      <c r="AA540" s="38"/>
      <c r="AB540" s="91"/>
      <c r="AC540" s="94">
        <f>IF(Eingabe[[#This Row],[V1]]="",IF(Eingabe[[#This Row],[Volle alternativ]]="","",Eingabe[[#This Row],[Volle alternativ]]),SUM(Eingabe[[#This Row],[V1]:[V4]]))</f>
        <v>351</v>
      </c>
      <c r="AD540" s="6">
        <f>IF(Eingabe[[#This Row],[R1]]="",IF(Eingabe[[#This Row],[Räumer alternativ]]="","",Eingabe[[#This Row],[Räumer alternativ]]),SUM(Eingabe[[#This Row],[R1]:[R4]]))</f>
        <v>170</v>
      </c>
      <c r="AE540" s="6">
        <f>IF(Eingabe[[#This Row],[F1]]="",IF(Eingabe[[#This Row],[Fehler alternativ]]="","",Eingabe[[#This Row],[Fehler alternativ]]),SUM(Eingabe[[#This Row],[F1]:[F4]]))</f>
        <v>5</v>
      </c>
      <c r="AF540" s="6">
        <f>IF(Eingabe[[#This Row],[Volle]]="","",IF(Eingabe[[#This Row],[S1]]="",Eingabe[[#This Row],[Volle]]+Eingabe[[#This Row],[Räumer]],IF(Eingabe[[#This Row],[Volle]]+Eingabe[[#This Row],[Räumer]]=Eingabe[[#This Row],[S1]]+Eingabe[[#This Row],[S2]]+Eingabe[[#This Row],[S3]]+Eingabe[[#This Row],[S4]],Eingabe[[#This Row],[Volle]]+Eingabe[[#This Row],[Räumer]],"FEHLER")))</f>
        <v>521</v>
      </c>
      <c r="AG540" s="6">
        <f>IF(Eingabe[[#This Row],[V1]]="","",Eingabe[[#This Row],[V1]]+Eingabe[[#This Row],[R1]])</f>
        <v>141</v>
      </c>
      <c r="AH540" s="6">
        <f>IF(Eingabe[[#This Row],[V2]]="","",Eingabe[[#This Row],[V2]]+Eingabe[[#This Row],[R2]])</f>
        <v>129</v>
      </c>
      <c r="AI540" s="6">
        <f>IF(Eingabe[[#This Row],[V3]]="","",Eingabe[[#This Row],[V3]]+Eingabe[[#This Row],[R3]])</f>
        <v>121</v>
      </c>
      <c r="AJ540" s="6">
        <f>IF(Eingabe[[#This Row],[V4]]="","",Eingabe[[#This Row],[V4]]+Eingabe[[#This Row],[R4]])</f>
        <v>130</v>
      </c>
      <c r="AK540" s="6" t="str">
        <f>IF(Eingabe[[#This Row],[S1P]]="","",Eingabe[[#This Row],[S1P]]+Eingabe[[#This Row],[S2P]]+Eingabe[[#This Row],[S3P]]+Eingabe[[#This Row],[S4P]])</f>
        <v/>
      </c>
      <c r="AL540" s="6" t="str">
        <f>IF(Eingabe[[#This Row],[S1P]]="","",IF(Eingabe[[#This Row],[SP]]&gt;2,1,IF(Eingabe[[#This Row],[SP]]&lt;2,0,IF(Eingabe[[#This Row],[GES]]&gt;Eingabe[[#This Row],[GEGGES]],1,IF(Eingabe[[#This Row],[GES]]=Eingabe[[#This Row],[GEGGES]],0.5,0)))))</f>
        <v/>
      </c>
      <c r="AM540" s="6" t="str">
        <f>IF(Eingabe[[#This Row],[MP]]="","",MOD(ROW(Eingabe[[#This Row],[Position]])-3,6)+1)</f>
        <v/>
      </c>
      <c r="AN540" s="6">
        <f>STANDARDIZE(Eingabe[[#This Row],[GES]],Eingabe[[#This Row],[Schnitt]],VLOOKUP(Eingabe[[#This Row],[Name]],AuswertungG[],21,FALSE))</f>
        <v>-0.44</v>
      </c>
      <c r="AO540" s="6">
        <f>VLOOKUP(Eingabe[[#This Row],[ID]],Chronologie[[ID]:[KW]],12,FALSE)</f>
        <v>22</v>
      </c>
      <c r="AP540" s="95" t="str">
        <f>IF(Eingabe[[#This Row],[Wo]]="H",Eingabe[[#This Row],[Gegner]]&amp;" ["&amp;Eingabe[[#This Row],[Wo]]&amp;"]",Eingabe[[#This Row],[Ort]])</f>
        <v>Krummenhennersdorf</v>
      </c>
      <c r="AQ540" s="6" t="str">
        <f>IFERROR(IF(Eingabe[[#This Row],[Wo]]="H",IF(MOD(Eingabe[[#This Row],[Position]],2)=1,Eingabe[[#This Row],[S1]],Eingabe[[#This Row],[S4]]),""),"")</f>
        <v/>
      </c>
      <c r="AR540" s="6" t="str">
        <f>IFERROR(IF(Eingabe[[#This Row],[Wo]]="H",IF(Eingabe[[#This Row],[S1]]&gt;0,IF(MOD(Eingabe[[#This Row],[Position]],2)=1,Eingabe[[#This Row],[S2]],Eingabe[[#This Row],[S3]]),""),""),"")</f>
        <v/>
      </c>
      <c r="AS540" s="6" t="str">
        <f>IFERROR(IF(Eingabe[[#This Row],[Wo]]="H",IF(Eingabe[[#This Row],[S1]]&gt;0,IF(MOD(ROW(Eingabe[[#This Row],[Heimbahn 3]]),2)=1,Eingabe[[#This Row],[S4]],Eingabe[[#This Row],[S1]]),""),""),"")</f>
        <v/>
      </c>
      <c r="AT540" s="6" t="str">
        <f>IFERROR(IF(Eingabe[[#This Row],[Wo]]="H",IF(Eingabe[[#This Row],[S1]]&gt;0,IF(MOD(ROW(Eingabe[[#This Row],[Heimbahn 4]]),2)=1,Eingabe[[#This Row],[S3]],Eingabe[[#This Row],[S2]]),""),""),"")</f>
        <v/>
      </c>
      <c r="AU540" s="22" t="str">
        <f>IF(Eingabe[[#This Row],[GES]]="","",IF(Eingabe[[#This Row],[Modus]]="L",_xlfn.RANK.EQ(Eingabe[[#This Row],[GES]],AF537:AF542),IF(Eingabe[[#This Row],[Modus]]="P",_xlfn.RANK.EQ(Eingabe[[#This Row],[GES]],AF537:AF542),"")))</f>
        <v/>
      </c>
      <c r="AV540" s="6">
        <f>VLOOKUP(Eingabe[[#This Row],[Name]],AuswertungG[],8,FALSE)</f>
        <v>532</v>
      </c>
      <c r="AZ540" s="6">
        <f>IFERROR(ABS(Eingabe[[#This Row],[GES]]-Eingabe[[#This Row],[GEGGES]]),"")</f>
        <v>521</v>
      </c>
    </row>
    <row r="541" spans="1:52" hidden="1" x14ac:dyDescent="0.3">
      <c r="A541" s="441"/>
      <c r="B541" s="21">
        <f t="shared" si="51"/>
        <v>90</v>
      </c>
      <c r="C541" s="6" t="str">
        <f>VLOOKUP($B541,Chronologie[],7,TRUE)</f>
        <v>SV Krummenhennersdorf</v>
      </c>
      <c r="D541" s="6" t="str">
        <f>VLOOKUP($B541,Chronologie[],8,TRUE)</f>
        <v>Krummenhennersdorf</v>
      </c>
      <c r="E541" s="240" t="str">
        <f>VLOOKUP($B541,Chronologie[],9,TRUE)</f>
        <v>A</v>
      </c>
      <c r="F541" s="6" t="str">
        <f>VLOOKUP($B541,Chronologie[],COLUMN(F542)-2,TRUE)</f>
        <v>U19</v>
      </c>
      <c r="G541" s="6" t="str">
        <f>VLOOKUP($B541,Chronologie[],COLUMN(G542)-2,TRUE)</f>
        <v>KEM</v>
      </c>
      <c r="H541" s="6" t="str">
        <f>VLOOKUP($B541,Chronologie[],COLUMN(H542)-2,TRUE)</f>
        <v>E</v>
      </c>
      <c r="I541" s="10" t="str">
        <f>VLOOKUP($B541,Chronologie[],2,TRUE)</f>
        <v>U19-KEM-E</v>
      </c>
      <c r="J541" s="243">
        <f>VLOOKUP($B541,Chronologie[],3,TRUE)</f>
        <v>46046</v>
      </c>
      <c r="K541" s="237"/>
      <c r="L541" s="237"/>
      <c r="M541" s="237"/>
      <c r="N541" s="237"/>
      <c r="O541" s="237"/>
      <c r="P541" s="237"/>
      <c r="Q541" s="237"/>
      <c r="R541" s="237"/>
      <c r="S541" s="237"/>
      <c r="T541" s="237"/>
      <c r="U541" s="237"/>
      <c r="V541" s="237"/>
      <c r="W541" s="237"/>
      <c r="X541" s="38"/>
      <c r="Y541" s="38"/>
      <c r="Z541" s="38"/>
      <c r="AA541" s="38"/>
      <c r="AB541" s="91"/>
      <c r="AC541" s="94" t="str">
        <f>IF(Eingabe[[#This Row],[V1]]="",IF(Eingabe[[#This Row],[Volle alternativ]]="","",Eingabe[[#This Row],[Volle alternativ]]),SUM(Eingabe[[#This Row],[V1]:[V4]]))</f>
        <v/>
      </c>
      <c r="AD541" s="6" t="str">
        <f>IF(Eingabe[[#This Row],[R1]]="",IF(Eingabe[[#This Row],[Räumer alternativ]]="","",Eingabe[[#This Row],[Räumer alternativ]]),SUM(Eingabe[[#This Row],[R1]:[R4]]))</f>
        <v/>
      </c>
      <c r="AE541" s="6" t="str">
        <f>IF(Eingabe[[#This Row],[F1]]="",IF(Eingabe[[#This Row],[Fehler alternativ]]="","",Eingabe[[#This Row],[Fehler alternativ]]),SUM(Eingabe[[#This Row],[F1]:[F4]]))</f>
        <v/>
      </c>
      <c r="AF541" s="6" t="str">
        <f>IF(Eingabe[[#This Row],[Volle]]="","",IF(Eingabe[[#This Row],[S1]]="",Eingabe[[#This Row],[Volle]]+Eingabe[[#This Row],[Räumer]],IF(Eingabe[[#This Row],[Volle]]+Eingabe[[#This Row],[Räumer]]=Eingabe[[#This Row],[S1]]+Eingabe[[#This Row],[S2]]+Eingabe[[#This Row],[S3]]+Eingabe[[#This Row],[S4]],Eingabe[[#This Row],[Volle]]+Eingabe[[#This Row],[Räumer]],"FEHLER")))</f>
        <v/>
      </c>
      <c r="AG541" s="6" t="str">
        <f>IF(Eingabe[[#This Row],[V1]]="","",Eingabe[[#This Row],[V1]]+Eingabe[[#This Row],[R1]])</f>
        <v/>
      </c>
      <c r="AH541" s="6" t="str">
        <f>IF(Eingabe[[#This Row],[V2]]="","",Eingabe[[#This Row],[V2]]+Eingabe[[#This Row],[R2]])</f>
        <v/>
      </c>
      <c r="AI541" s="6" t="str">
        <f>IF(Eingabe[[#This Row],[V3]]="","",Eingabe[[#This Row],[V3]]+Eingabe[[#This Row],[R3]])</f>
        <v/>
      </c>
      <c r="AJ541" s="6" t="str">
        <f>IF(Eingabe[[#This Row],[V4]]="","",Eingabe[[#This Row],[V4]]+Eingabe[[#This Row],[R4]])</f>
        <v/>
      </c>
      <c r="AK541" s="6" t="str">
        <f>IF(Eingabe[[#This Row],[S1P]]="","",Eingabe[[#This Row],[S1P]]+Eingabe[[#This Row],[S2P]]+Eingabe[[#This Row],[S3P]]+Eingabe[[#This Row],[S4P]])</f>
        <v/>
      </c>
      <c r="AL541" s="6" t="str">
        <f>IF(Eingabe[[#This Row],[S1P]]="","",IF(Eingabe[[#This Row],[SP]]&gt;2,1,IF(Eingabe[[#This Row],[SP]]&lt;2,0,IF(Eingabe[[#This Row],[GES]]&gt;Eingabe[[#This Row],[GEGGES]],1,IF(Eingabe[[#This Row],[GES]]=Eingabe[[#This Row],[GEGGES]],0.5,0)))))</f>
        <v/>
      </c>
      <c r="AM541" s="6" t="str">
        <f>IF(Eingabe[[#This Row],[MP]]="","",MOD(ROW(Eingabe[[#This Row],[Position]])-3,6)+1)</f>
        <v/>
      </c>
      <c r="AN541" s="6" t="e">
        <f>STANDARDIZE(Eingabe[[#This Row],[GES]],Eingabe[[#This Row],[Schnitt]],VLOOKUP(Eingabe[[#This Row],[Name]],AuswertungG[],21,FALSE))</f>
        <v>#VALUE!</v>
      </c>
      <c r="AO541" s="6">
        <f>VLOOKUP(Eingabe[[#This Row],[ID]],Chronologie[[ID]:[KW]],12,FALSE)</f>
        <v>22</v>
      </c>
      <c r="AP541" s="95" t="str">
        <f>IF(Eingabe[[#This Row],[Wo]]="H",Eingabe[[#This Row],[Gegner]]&amp;" ["&amp;Eingabe[[#This Row],[Wo]]&amp;"]",Eingabe[[#This Row],[Ort]])</f>
        <v>Krummenhennersdorf</v>
      </c>
      <c r="AQ541" s="6" t="str">
        <f>IFERROR(IF(Eingabe[[#This Row],[Wo]]="H",IF(MOD(Eingabe[[#This Row],[Position]],2)=1,Eingabe[[#This Row],[S1]],Eingabe[[#This Row],[S4]]),""),"")</f>
        <v/>
      </c>
      <c r="AR541" s="6" t="str">
        <f>IFERROR(IF(Eingabe[[#This Row],[Wo]]="H",IF(Eingabe[[#This Row],[S1]]&gt;0,IF(MOD(Eingabe[[#This Row],[Position]],2)=1,Eingabe[[#This Row],[S2]],Eingabe[[#This Row],[S3]]),""),""),"")</f>
        <v/>
      </c>
      <c r="AS541" s="6" t="str">
        <f>IFERROR(IF(Eingabe[[#This Row],[Wo]]="H",IF(Eingabe[[#This Row],[S1]]&gt;0,IF(MOD(ROW(Eingabe[[#This Row],[Heimbahn 3]]),2)=1,Eingabe[[#This Row],[S4]],Eingabe[[#This Row],[S1]]),""),""),"")</f>
        <v/>
      </c>
      <c r="AT541" s="6" t="str">
        <f>IFERROR(IF(Eingabe[[#This Row],[Wo]]="H",IF(Eingabe[[#This Row],[S1]]&gt;0,IF(MOD(ROW(Eingabe[[#This Row],[Heimbahn 4]]),2)=1,Eingabe[[#This Row],[S3]],Eingabe[[#This Row],[S2]]),""),""),"")</f>
        <v/>
      </c>
      <c r="AU541" s="22" t="str">
        <f>IF(Eingabe[[#This Row],[GES]]="","",IF(Eingabe[[#This Row],[Modus]]="L",_xlfn.RANK.EQ(Eingabe[[#This Row],[GES]],AF537:AF542),IF(Eingabe[[#This Row],[Modus]]="P",_xlfn.RANK.EQ(Eingabe[[#This Row],[GES]],AF537:AF542),"")))</f>
        <v/>
      </c>
      <c r="AV541" s="6" t="e">
        <f>VLOOKUP(Eingabe[[#This Row],[Name]],AuswertungG[],8,FALSE)</f>
        <v>#N/A</v>
      </c>
      <c r="AZ541" s="6" t="str">
        <f>IFERROR(ABS(Eingabe[[#This Row],[GES]]-Eingabe[[#This Row],[GEGGES]]),"")</f>
        <v/>
      </c>
    </row>
    <row r="542" spans="1:52" ht="16.2" hidden="1" thickBot="1" x14ac:dyDescent="0.35">
      <c r="A542" s="442"/>
      <c r="B542" s="56">
        <f t="shared" si="51"/>
        <v>90</v>
      </c>
      <c r="C542" s="23" t="str">
        <f>VLOOKUP($B542,Chronologie[],7,TRUE)</f>
        <v>SV Krummenhennersdorf</v>
      </c>
      <c r="D542" s="23" t="str">
        <f>VLOOKUP($B542,Chronologie[],8,TRUE)</f>
        <v>Krummenhennersdorf</v>
      </c>
      <c r="E542" s="39" t="str">
        <f>VLOOKUP($B542,Chronologie[],9,TRUE)</f>
        <v>A</v>
      </c>
      <c r="F542" s="23" t="str">
        <f>VLOOKUP($B542,Chronologie[],COLUMN(F543)-2,TRUE)</f>
        <v>U19</v>
      </c>
      <c r="G542" s="23" t="str">
        <f>VLOOKUP($B542,Chronologie[],COLUMN(G543)-2,TRUE)</f>
        <v>KEM</v>
      </c>
      <c r="H542" s="23" t="str">
        <f>VLOOKUP($B542,Chronologie[],COLUMN(H543)-2,TRUE)</f>
        <v>E</v>
      </c>
      <c r="I542" s="13" t="str">
        <f>VLOOKUP($B542,Chronologie[],2,TRUE)</f>
        <v>U19-KEM-E</v>
      </c>
      <c r="J542" s="244">
        <f>VLOOKUP($B542,Chronologie[],3,TRUE)</f>
        <v>46046</v>
      </c>
      <c r="K542" s="239"/>
      <c r="L542" s="239"/>
      <c r="M542" s="239"/>
      <c r="N542" s="239"/>
      <c r="O542" s="239"/>
      <c r="P542" s="239"/>
      <c r="Q542" s="239"/>
      <c r="R542" s="239"/>
      <c r="S542" s="239"/>
      <c r="T542" s="239"/>
      <c r="U542" s="239"/>
      <c r="V542" s="239"/>
      <c r="W542" s="239"/>
      <c r="X542" s="40"/>
      <c r="Y542" s="40"/>
      <c r="Z542" s="40"/>
      <c r="AA542" s="40"/>
      <c r="AB542" s="92"/>
      <c r="AC542" s="96" t="str">
        <f>IF(Eingabe[[#This Row],[V1]]="",IF(Eingabe[[#This Row],[Volle alternativ]]="","",Eingabe[[#This Row],[Volle alternativ]]),SUM(Eingabe[[#This Row],[V1]:[V4]]))</f>
        <v/>
      </c>
      <c r="AD542" s="23" t="str">
        <f>IF(Eingabe[[#This Row],[R1]]="",IF(Eingabe[[#This Row],[Räumer alternativ]]="","",Eingabe[[#This Row],[Räumer alternativ]]),SUM(Eingabe[[#This Row],[R1]:[R4]]))</f>
        <v/>
      </c>
      <c r="AE542" s="23" t="str">
        <f>IF(Eingabe[[#This Row],[F1]]="",IF(Eingabe[[#This Row],[Fehler alternativ]]="","",Eingabe[[#This Row],[Fehler alternativ]]),SUM(Eingabe[[#This Row],[F1]:[F4]]))</f>
        <v/>
      </c>
      <c r="AF542" s="23" t="str">
        <f>IF(Eingabe[[#This Row],[Volle]]="","",IF(Eingabe[[#This Row],[S1]]="",Eingabe[[#This Row],[Volle]]+Eingabe[[#This Row],[Räumer]],IF(Eingabe[[#This Row],[Volle]]+Eingabe[[#This Row],[Räumer]]=Eingabe[[#This Row],[S1]]+Eingabe[[#This Row],[S2]]+Eingabe[[#This Row],[S3]]+Eingabe[[#This Row],[S4]],Eingabe[[#This Row],[Volle]]+Eingabe[[#This Row],[Räumer]],"FEHLER")))</f>
        <v/>
      </c>
      <c r="AG542" s="23" t="str">
        <f>IF(Eingabe[[#This Row],[V1]]="","",Eingabe[[#This Row],[V1]]+Eingabe[[#This Row],[R1]])</f>
        <v/>
      </c>
      <c r="AH542" s="23" t="str">
        <f>IF(Eingabe[[#This Row],[V2]]="","",Eingabe[[#This Row],[V2]]+Eingabe[[#This Row],[R2]])</f>
        <v/>
      </c>
      <c r="AI542" s="23" t="str">
        <f>IF(Eingabe[[#This Row],[V3]]="","",Eingabe[[#This Row],[V3]]+Eingabe[[#This Row],[R3]])</f>
        <v/>
      </c>
      <c r="AJ542" s="23" t="str">
        <f>IF(Eingabe[[#This Row],[V4]]="","",Eingabe[[#This Row],[V4]]+Eingabe[[#This Row],[R4]])</f>
        <v/>
      </c>
      <c r="AK542" s="23" t="str">
        <f>IF(Eingabe[[#This Row],[S1P]]="","",Eingabe[[#This Row],[S1P]]+Eingabe[[#This Row],[S2P]]+Eingabe[[#This Row],[S3P]]+Eingabe[[#This Row],[S4P]])</f>
        <v/>
      </c>
      <c r="AL542" s="23" t="str">
        <f>IF(Eingabe[[#This Row],[S1P]]="","",IF(Eingabe[[#This Row],[SP]]&gt;2,1,IF(Eingabe[[#This Row],[SP]]&lt;2,0,IF(Eingabe[[#This Row],[GES]]&gt;Eingabe[[#This Row],[GEGGES]],1,IF(Eingabe[[#This Row],[GES]]=Eingabe[[#This Row],[GEGGES]],0.5,0)))))</f>
        <v/>
      </c>
      <c r="AM542" s="23" t="str">
        <f>IF(Eingabe[[#This Row],[MP]]="","",MOD(ROW(Eingabe[[#This Row],[Position]])-3,6)+1)</f>
        <v/>
      </c>
      <c r="AN542" s="23" t="e">
        <f>STANDARDIZE(Eingabe[[#This Row],[GES]],Eingabe[[#This Row],[Schnitt]],VLOOKUP(Eingabe[[#This Row],[Name]],AuswertungG[],21,FALSE))</f>
        <v>#VALUE!</v>
      </c>
      <c r="AO542" s="23">
        <f>VLOOKUP(Eingabe[[#This Row],[ID]],Chronologie[[ID]:[KW]],12,FALSE)</f>
        <v>22</v>
      </c>
      <c r="AP542" s="59" t="str">
        <f>IF(Eingabe[[#This Row],[Wo]]="H",Eingabe[[#This Row],[Gegner]]&amp;" ["&amp;Eingabe[[#This Row],[Wo]]&amp;"]",Eingabe[[#This Row],[Ort]])</f>
        <v>Krummenhennersdorf</v>
      </c>
      <c r="AQ542" s="23" t="str">
        <f>IFERROR(IF(Eingabe[[#This Row],[Wo]]="H",IF(MOD(Eingabe[[#This Row],[Position]],2)=1,Eingabe[[#This Row],[S1]],Eingabe[[#This Row],[S4]]),""),"")</f>
        <v/>
      </c>
      <c r="AR542" s="23" t="str">
        <f>IFERROR(IF(Eingabe[[#This Row],[Wo]]="H",IF(Eingabe[[#This Row],[S1]]&gt;0,IF(MOD(Eingabe[[#This Row],[Position]],2)=1,Eingabe[[#This Row],[S2]],Eingabe[[#This Row],[S3]]),""),""),"")</f>
        <v/>
      </c>
      <c r="AS542" s="23" t="str">
        <f>IFERROR(IF(Eingabe[[#This Row],[Wo]]="H",IF(Eingabe[[#This Row],[S1]]&gt;0,IF(MOD(ROW(Eingabe[[#This Row],[Heimbahn 3]]),2)=1,Eingabe[[#This Row],[S4]],Eingabe[[#This Row],[S1]]),""),""),"")</f>
        <v/>
      </c>
      <c r="AT542" s="23" t="str">
        <f>IFERROR(IF(Eingabe[[#This Row],[Wo]]="H",IF(Eingabe[[#This Row],[S1]]&gt;0,IF(MOD(ROW(Eingabe[[#This Row],[Heimbahn 4]]),2)=1,Eingabe[[#This Row],[S3]],Eingabe[[#This Row],[S2]]),""),""),"")</f>
        <v/>
      </c>
      <c r="AU542" s="89" t="str">
        <f>IF(Eingabe[[#This Row],[GES]]="","",IF(Eingabe[[#This Row],[Modus]]="L",_xlfn.RANK.EQ(Eingabe[[#This Row],[GES]],AF537:AF542),IF(Eingabe[[#This Row],[Modus]]="P",_xlfn.RANK.EQ(Eingabe[[#This Row],[GES]],AF537:AF542),"")))</f>
        <v/>
      </c>
      <c r="AV542" s="6" t="e">
        <f>VLOOKUP(Eingabe[[#This Row],[Name]],AuswertungG[],8,FALSE)</f>
        <v>#N/A</v>
      </c>
      <c r="AZ542" s="6" t="str">
        <f>IFERROR(ABS(Eingabe[[#This Row],[GES]]-Eingabe[[#This Row],[GEGGES]]),"")</f>
        <v/>
      </c>
    </row>
    <row r="543" spans="1:52" hidden="1" x14ac:dyDescent="0.3">
      <c r="A543" s="440">
        <f t="shared" si="49"/>
        <v>91</v>
      </c>
      <c r="B543" s="55">
        <f t="shared" si="51"/>
        <v>91</v>
      </c>
      <c r="C543" s="35" t="str">
        <f>VLOOKUP($B543,Chronologie[],7,TRUE)</f>
        <v>Königsbrücker KV WR</v>
      </c>
      <c r="D543" s="35" t="str">
        <f>VLOOKUP($B543,Chronologie[],8,TRUE)</f>
        <v>Hirschfeld</v>
      </c>
      <c r="E543" s="36" t="str">
        <f>VLOOKUP($B543,Chronologie[],9,TRUE)</f>
        <v>H</v>
      </c>
      <c r="F543" s="35" t="str">
        <f>VLOOKUP($B543,Chronologie[],COLUMN(F544)-2,TRUE)</f>
        <v>E</v>
      </c>
      <c r="G543" s="35" t="str">
        <f>VLOOKUP($B543,Chronologie[],COLUMN(G544)-2,TRUE)</f>
        <v>P</v>
      </c>
      <c r="H543" s="35">
        <f>VLOOKUP($B543,Chronologie[],COLUMN(H544)-2,TRUE)</f>
        <v>2</v>
      </c>
      <c r="I543" s="9" t="str">
        <f>VLOOKUP($B543,Chronologie[],2,TRUE)</f>
        <v>E-P-2</v>
      </c>
      <c r="J543" s="242">
        <f>VLOOKUP($B543,Chronologie[],3,TRUE)</f>
        <v>46052</v>
      </c>
      <c r="K543" s="236" t="s">
        <v>455</v>
      </c>
      <c r="L543" s="334">
        <v>101</v>
      </c>
      <c r="M543" s="334">
        <v>80</v>
      </c>
      <c r="N543" s="334">
        <v>76</v>
      </c>
      <c r="O543" s="334">
        <v>101</v>
      </c>
      <c r="P543" s="334">
        <v>60</v>
      </c>
      <c r="Q543" s="334">
        <v>45</v>
      </c>
      <c r="R543" s="334">
        <v>36</v>
      </c>
      <c r="S543" s="334">
        <v>41</v>
      </c>
      <c r="T543" s="334">
        <v>0</v>
      </c>
      <c r="U543" s="334">
        <v>0</v>
      </c>
      <c r="V543" s="334">
        <v>1</v>
      </c>
      <c r="W543" s="334">
        <v>0</v>
      </c>
      <c r="X543" s="37">
        <v>1</v>
      </c>
      <c r="Y543" s="37">
        <v>0</v>
      </c>
      <c r="Z543" s="37">
        <v>0</v>
      </c>
      <c r="AA543" s="37">
        <v>0.5</v>
      </c>
      <c r="AB543" s="90">
        <v>531</v>
      </c>
      <c r="AC543" s="93">
        <f>IF(Eingabe[[#This Row],[V1]]="",IF(Eingabe[[#This Row],[Volle alternativ]]="","",Eingabe[[#This Row],[Volle alternativ]]),SUM(Eingabe[[#This Row],[V1]:[V4]]))</f>
        <v>358</v>
      </c>
      <c r="AD543" s="35">
        <f>IF(Eingabe[[#This Row],[R1]]="",IF(Eingabe[[#This Row],[Räumer alternativ]]="","",Eingabe[[#This Row],[Räumer alternativ]]),SUM(Eingabe[[#This Row],[R1]:[R4]]))</f>
        <v>182</v>
      </c>
      <c r="AE543" s="35">
        <f>IF(Eingabe[[#This Row],[F1]]="",IF(Eingabe[[#This Row],[Fehler alternativ]]="","",Eingabe[[#This Row],[Fehler alternativ]]),SUM(Eingabe[[#This Row],[F1]:[F4]]))</f>
        <v>1</v>
      </c>
      <c r="AF543" s="35">
        <f>IF(Eingabe[[#This Row],[Volle]]="","",IF(Eingabe[[#This Row],[S1]]="",Eingabe[[#This Row],[Volle]]+Eingabe[[#This Row],[Räumer]],IF(Eingabe[[#This Row],[Volle]]+Eingabe[[#This Row],[Räumer]]=Eingabe[[#This Row],[S1]]+Eingabe[[#This Row],[S2]]+Eingabe[[#This Row],[S3]]+Eingabe[[#This Row],[S4]],Eingabe[[#This Row],[Volle]]+Eingabe[[#This Row],[Räumer]],"FEHLER")))</f>
        <v>540</v>
      </c>
      <c r="AG543" s="35">
        <f>IF(Eingabe[[#This Row],[V1]]="","",Eingabe[[#This Row],[V1]]+Eingabe[[#This Row],[R1]])</f>
        <v>161</v>
      </c>
      <c r="AH543" s="35">
        <f>IF(Eingabe[[#This Row],[V2]]="","",Eingabe[[#This Row],[V2]]+Eingabe[[#This Row],[R2]])</f>
        <v>125</v>
      </c>
      <c r="AI543" s="35">
        <f>IF(Eingabe[[#This Row],[V3]]="","",Eingabe[[#This Row],[V3]]+Eingabe[[#This Row],[R3]])</f>
        <v>112</v>
      </c>
      <c r="AJ543" s="35">
        <f>IF(Eingabe[[#This Row],[V4]]="","",Eingabe[[#This Row],[V4]]+Eingabe[[#This Row],[R4]])</f>
        <v>142</v>
      </c>
      <c r="AK543" s="35">
        <f>IF(Eingabe[[#This Row],[S1P]]="","",Eingabe[[#This Row],[S1P]]+Eingabe[[#This Row],[S2P]]+Eingabe[[#This Row],[S3P]]+Eingabe[[#This Row],[S4P]])</f>
        <v>1.5</v>
      </c>
      <c r="AL543" s="35">
        <f>IF(Eingabe[[#This Row],[S1P]]="","",IF(Eingabe[[#This Row],[SP]]&gt;2,1,IF(Eingabe[[#This Row],[SP]]&lt;2,0,IF(Eingabe[[#This Row],[GES]]&gt;Eingabe[[#This Row],[GEGGES]],1,IF(Eingabe[[#This Row],[GES]]=Eingabe[[#This Row],[GEGGES]],0.5,0)))))</f>
        <v>0</v>
      </c>
      <c r="AM543" s="35">
        <f>IF(Eingabe[[#This Row],[MP]]="","",MOD(ROW(Eingabe[[#This Row],[Position]])-3,6)+1)</f>
        <v>1</v>
      </c>
      <c r="AN543" s="35">
        <f>STANDARDIZE(Eingabe[[#This Row],[GES]],Eingabe[[#This Row],[Schnitt]],VLOOKUP(Eingabe[[#This Row],[Name]],AuswertungG[],21,FALSE))</f>
        <v>-0.71794871794871795</v>
      </c>
      <c r="AO543" s="35">
        <f>VLOOKUP(Eingabe[[#This Row],[ID]],Chronologie[[ID]:[KW]],12,FALSE)</f>
        <v>23</v>
      </c>
      <c r="AP543" s="58" t="str">
        <f>IF(Eingabe[[#This Row],[Wo]]="H",Eingabe[[#This Row],[Gegner]]&amp;" ["&amp;Eingabe[[#This Row],[Wo]]&amp;"]",Eingabe[[#This Row],[Ort]])</f>
        <v>Königsbrücker KV WR [H]</v>
      </c>
      <c r="AQ543" s="35">
        <f>IFERROR(IF(Eingabe[[#This Row],[Wo]]="H",IF(MOD(Eingabe[[#This Row],[Position]],2)=1,Eingabe[[#This Row],[S1]],Eingabe[[#This Row],[S4]]),""),"")</f>
        <v>161</v>
      </c>
      <c r="AR543" s="35">
        <f>IFERROR(IF(Eingabe[[#This Row],[Wo]]="H",IF(Eingabe[[#This Row],[S1]]&gt;0,IF(MOD(Eingabe[[#This Row],[Position]],2)=1,Eingabe[[#This Row],[S2]],Eingabe[[#This Row],[S3]]),""),""),"")</f>
        <v>125</v>
      </c>
      <c r="AS543" s="35">
        <f>IFERROR(IF(Eingabe[[#This Row],[Wo]]="H",IF(Eingabe[[#This Row],[S1]]&gt;0,IF(MOD(ROW(Eingabe[[#This Row],[Heimbahn 3]]),2)=1,Eingabe[[#This Row],[S4]],Eingabe[[#This Row],[S1]]),""),""),"")</f>
        <v>142</v>
      </c>
      <c r="AT543" s="35">
        <f>IFERROR(IF(Eingabe[[#This Row],[Wo]]="H",IF(Eingabe[[#This Row],[S1]]&gt;0,IF(MOD(ROW(Eingabe[[#This Row],[Heimbahn 4]]),2)=1,Eingabe[[#This Row],[S3]],Eingabe[[#This Row],[S2]]),""),""),"")</f>
        <v>112</v>
      </c>
      <c r="AU543" s="88">
        <f>IF(Eingabe[[#This Row],[GES]]="","",IF(Eingabe[[#This Row],[Modus]]="L",_xlfn.RANK.EQ(Eingabe[[#This Row],[GES]],AF543:AF548),IF(Eingabe[[#This Row],[Modus]]="P",_xlfn.RANK.EQ(Eingabe[[#This Row],[GES]],AF543:AF548),"")))</f>
        <v>1</v>
      </c>
      <c r="AV543" s="6">
        <f>VLOOKUP(Eingabe[[#This Row],[Name]],AuswertungG[],8,FALSE)</f>
        <v>568</v>
      </c>
      <c r="AZ543" s="6">
        <f>IFERROR(ABS(Eingabe[[#This Row],[GES]]-Eingabe[[#This Row],[GEGGES]]),"")</f>
        <v>9</v>
      </c>
    </row>
    <row r="544" spans="1:52" hidden="1" x14ac:dyDescent="0.3">
      <c r="A544" s="441"/>
      <c r="B544" s="21">
        <f t="shared" si="51"/>
        <v>91</v>
      </c>
      <c r="C544" s="6" t="str">
        <f>VLOOKUP($B544,Chronologie[],7,TRUE)</f>
        <v>Königsbrücker KV WR</v>
      </c>
      <c r="D544" s="6" t="str">
        <f>VLOOKUP($B544,Chronologie[],8,TRUE)</f>
        <v>Hirschfeld</v>
      </c>
      <c r="E544" s="240" t="str">
        <f>VLOOKUP($B544,Chronologie[],9,TRUE)</f>
        <v>H</v>
      </c>
      <c r="F544" s="6" t="str">
        <f>VLOOKUP($B544,Chronologie[],COLUMN(F545)-2,TRUE)</f>
        <v>E</v>
      </c>
      <c r="G544" s="6" t="str">
        <f>VLOOKUP($B544,Chronologie[],COLUMN(G545)-2,TRUE)</f>
        <v>P</v>
      </c>
      <c r="H544" s="6">
        <f>VLOOKUP($B544,Chronologie[],COLUMN(H545)-2,TRUE)</f>
        <v>2</v>
      </c>
      <c r="I544" s="10" t="str">
        <f>VLOOKUP($B544,Chronologie[],2,TRUE)</f>
        <v>E-P-2</v>
      </c>
      <c r="J544" s="243">
        <f>VLOOKUP($B544,Chronologie[],3,TRUE)</f>
        <v>46052</v>
      </c>
      <c r="K544" s="237" t="s">
        <v>489</v>
      </c>
      <c r="L544" s="237">
        <v>83</v>
      </c>
      <c r="M544" s="237">
        <v>83</v>
      </c>
      <c r="N544" s="237">
        <v>84</v>
      </c>
      <c r="O544" s="237">
        <v>83</v>
      </c>
      <c r="P544" s="237">
        <v>45</v>
      </c>
      <c r="Q544" s="237">
        <v>35</v>
      </c>
      <c r="R544" s="237">
        <v>44</v>
      </c>
      <c r="S544" s="237">
        <v>39</v>
      </c>
      <c r="T544" s="237">
        <v>0</v>
      </c>
      <c r="U544" s="237">
        <v>1</v>
      </c>
      <c r="V544" s="237">
        <v>0</v>
      </c>
      <c r="W544" s="237">
        <v>1</v>
      </c>
      <c r="X544" s="38">
        <v>0</v>
      </c>
      <c r="Y544" s="38">
        <v>0</v>
      </c>
      <c r="Z544" s="38">
        <v>0</v>
      </c>
      <c r="AA544" s="38">
        <v>0</v>
      </c>
      <c r="AB544" s="91">
        <v>526</v>
      </c>
      <c r="AC544" s="94">
        <f>IF(Eingabe[[#This Row],[V1]]="",IF(Eingabe[[#This Row],[Volle alternativ]]="","",Eingabe[[#This Row],[Volle alternativ]]),SUM(Eingabe[[#This Row],[V1]:[V4]]))</f>
        <v>333</v>
      </c>
      <c r="AD544" s="6">
        <f>IF(Eingabe[[#This Row],[R1]]="",IF(Eingabe[[#This Row],[Räumer alternativ]]="","",Eingabe[[#This Row],[Räumer alternativ]]),SUM(Eingabe[[#This Row],[R1]:[R4]]))</f>
        <v>163</v>
      </c>
      <c r="AE544" s="6">
        <f>IF(Eingabe[[#This Row],[F1]]="",IF(Eingabe[[#This Row],[Fehler alternativ]]="","",Eingabe[[#This Row],[Fehler alternativ]]),SUM(Eingabe[[#This Row],[F1]:[F4]]))</f>
        <v>2</v>
      </c>
      <c r="AF544" s="6">
        <f>IF(Eingabe[[#This Row],[Volle]]="","",IF(Eingabe[[#This Row],[S1]]="",Eingabe[[#This Row],[Volle]]+Eingabe[[#This Row],[Räumer]],IF(Eingabe[[#This Row],[Volle]]+Eingabe[[#This Row],[Räumer]]=Eingabe[[#This Row],[S1]]+Eingabe[[#This Row],[S2]]+Eingabe[[#This Row],[S3]]+Eingabe[[#This Row],[S4]],Eingabe[[#This Row],[Volle]]+Eingabe[[#This Row],[Räumer]],"FEHLER")))</f>
        <v>496</v>
      </c>
      <c r="AG544" s="6">
        <f>IF(Eingabe[[#This Row],[V1]]="","",Eingabe[[#This Row],[V1]]+Eingabe[[#This Row],[R1]])</f>
        <v>128</v>
      </c>
      <c r="AH544" s="6">
        <f>IF(Eingabe[[#This Row],[V2]]="","",Eingabe[[#This Row],[V2]]+Eingabe[[#This Row],[R2]])</f>
        <v>118</v>
      </c>
      <c r="AI544" s="6">
        <f>IF(Eingabe[[#This Row],[V3]]="","",Eingabe[[#This Row],[V3]]+Eingabe[[#This Row],[R3]])</f>
        <v>128</v>
      </c>
      <c r="AJ544" s="6">
        <f>IF(Eingabe[[#This Row],[V4]]="","",Eingabe[[#This Row],[V4]]+Eingabe[[#This Row],[R4]])</f>
        <v>122</v>
      </c>
      <c r="AK544" s="6">
        <f>IF(Eingabe[[#This Row],[S1P]]="","",Eingabe[[#This Row],[S1P]]+Eingabe[[#This Row],[S2P]]+Eingabe[[#This Row],[S3P]]+Eingabe[[#This Row],[S4P]])</f>
        <v>0</v>
      </c>
      <c r="AL544" s="6">
        <f>IF(Eingabe[[#This Row],[S1P]]="","",IF(Eingabe[[#This Row],[SP]]&gt;2,1,IF(Eingabe[[#This Row],[SP]]&lt;2,0,IF(Eingabe[[#This Row],[GES]]&gt;Eingabe[[#This Row],[GEGGES]],1,IF(Eingabe[[#This Row],[GES]]=Eingabe[[#This Row],[GEGGES]],0.5,0)))))</f>
        <v>0</v>
      </c>
      <c r="AM544" s="6">
        <f>IF(Eingabe[[#This Row],[MP]]="","",MOD(ROW(Eingabe[[#This Row],[Position]])-3,6)+1)</f>
        <v>2</v>
      </c>
      <c r="AN544" s="6">
        <f>STANDARDIZE(Eingabe[[#This Row],[GES]],Eingabe[[#This Row],[Schnitt]],VLOOKUP(Eingabe[[#This Row],[Name]],AuswertungG[],21,FALSE))</f>
        <v>-1.25</v>
      </c>
      <c r="AO544" s="6">
        <f>VLOOKUP(Eingabe[[#This Row],[ID]],Chronologie[[ID]:[KW]],12,FALSE)</f>
        <v>23</v>
      </c>
      <c r="AP544" s="95" t="str">
        <f>IF(Eingabe[[#This Row],[Wo]]="H",Eingabe[[#This Row],[Gegner]]&amp;" ["&amp;Eingabe[[#This Row],[Wo]]&amp;"]",Eingabe[[#This Row],[Ort]])</f>
        <v>Königsbrücker KV WR [H]</v>
      </c>
      <c r="AQ544" s="6">
        <f>IFERROR(IF(Eingabe[[#This Row],[Wo]]="H",IF(MOD(Eingabe[[#This Row],[Position]],2)=1,Eingabe[[#This Row],[S1]],Eingabe[[#This Row],[S4]]),""),"")</f>
        <v>122</v>
      </c>
      <c r="AR544" s="6">
        <f>IFERROR(IF(Eingabe[[#This Row],[Wo]]="H",IF(Eingabe[[#This Row],[S1]]&gt;0,IF(MOD(Eingabe[[#This Row],[Position]],2)=1,Eingabe[[#This Row],[S2]],Eingabe[[#This Row],[S3]]),""),""),"")</f>
        <v>128</v>
      </c>
      <c r="AS544" s="6">
        <f>IFERROR(IF(Eingabe[[#This Row],[Wo]]="H",IF(Eingabe[[#This Row],[S1]]&gt;0,IF(MOD(ROW(Eingabe[[#This Row],[Heimbahn 3]]),2)=1,Eingabe[[#This Row],[S4]],Eingabe[[#This Row],[S1]]),""),""),"")</f>
        <v>128</v>
      </c>
      <c r="AT544" s="6">
        <f>IFERROR(IF(Eingabe[[#This Row],[Wo]]="H",IF(Eingabe[[#This Row],[S1]]&gt;0,IF(MOD(ROW(Eingabe[[#This Row],[Heimbahn 4]]),2)=1,Eingabe[[#This Row],[S3]],Eingabe[[#This Row],[S2]]),""),""),"")</f>
        <v>118</v>
      </c>
      <c r="AU544" s="22">
        <f>IF(Eingabe[[#This Row],[GES]]="","",IF(Eingabe[[#This Row],[Modus]]="L",_xlfn.RANK.EQ(Eingabe[[#This Row],[GES]],AF543:AF548),IF(Eingabe[[#This Row],[Modus]]="P",_xlfn.RANK.EQ(Eingabe[[#This Row],[GES]],AF543:AF548),"")))</f>
        <v>6</v>
      </c>
      <c r="AV544" s="6">
        <f>VLOOKUP(Eingabe[[#This Row],[Name]],AuswertungG[],8,FALSE)</f>
        <v>526</v>
      </c>
      <c r="AZ544" s="6">
        <f>IFERROR(ABS(Eingabe[[#This Row],[GES]]-Eingabe[[#This Row],[GEGGES]]),"")</f>
        <v>30</v>
      </c>
    </row>
    <row r="545" spans="1:52" hidden="1" x14ac:dyDescent="0.3">
      <c r="A545" s="441"/>
      <c r="B545" s="21">
        <f t="shared" si="51"/>
        <v>91</v>
      </c>
      <c r="C545" s="6" t="str">
        <f>VLOOKUP($B545,Chronologie[],7,TRUE)</f>
        <v>Königsbrücker KV WR</v>
      </c>
      <c r="D545" s="6" t="str">
        <f>VLOOKUP($B545,Chronologie[],8,TRUE)</f>
        <v>Hirschfeld</v>
      </c>
      <c r="E545" s="240" t="str">
        <f>VLOOKUP($B545,Chronologie[],9,TRUE)</f>
        <v>H</v>
      </c>
      <c r="F545" s="6" t="str">
        <f>VLOOKUP($B545,Chronologie[],COLUMN(F546)-2,TRUE)</f>
        <v>E</v>
      </c>
      <c r="G545" s="6" t="str">
        <f>VLOOKUP($B545,Chronologie[],COLUMN(G546)-2,TRUE)</f>
        <v>P</v>
      </c>
      <c r="H545" s="6">
        <f>VLOOKUP($B545,Chronologie[],COLUMN(H546)-2,TRUE)</f>
        <v>2</v>
      </c>
      <c r="I545" s="10" t="str">
        <f>VLOOKUP($B545,Chronologie[],2,TRUE)</f>
        <v>E-P-2</v>
      </c>
      <c r="J545" s="243">
        <f>VLOOKUP($B545,Chronologie[],3,TRUE)</f>
        <v>46052</v>
      </c>
      <c r="K545" s="237" t="s">
        <v>658</v>
      </c>
      <c r="L545" s="237">
        <v>90</v>
      </c>
      <c r="M545" s="237">
        <v>80</v>
      </c>
      <c r="N545" s="237">
        <v>90</v>
      </c>
      <c r="O545" s="237">
        <v>85</v>
      </c>
      <c r="P545" s="237">
        <v>41</v>
      </c>
      <c r="Q545" s="237">
        <v>45</v>
      </c>
      <c r="R545" s="237">
        <v>25</v>
      </c>
      <c r="S545" s="237">
        <v>44</v>
      </c>
      <c r="T545" s="237">
        <v>1</v>
      </c>
      <c r="U545" s="237">
        <v>1</v>
      </c>
      <c r="V545" s="237">
        <v>3</v>
      </c>
      <c r="W545" s="237">
        <v>1</v>
      </c>
      <c r="X545" s="38">
        <v>0</v>
      </c>
      <c r="Y545" s="38">
        <v>0</v>
      </c>
      <c r="Z545" s="38">
        <v>0</v>
      </c>
      <c r="AA545" s="38">
        <v>0</v>
      </c>
      <c r="AB545" s="91">
        <v>553</v>
      </c>
      <c r="AC545" s="94">
        <f>IF(Eingabe[[#This Row],[V1]]="",IF(Eingabe[[#This Row],[Volle alternativ]]="","",Eingabe[[#This Row],[Volle alternativ]]),SUM(Eingabe[[#This Row],[V1]:[V4]]))</f>
        <v>345</v>
      </c>
      <c r="AD545" s="6">
        <f>IF(Eingabe[[#This Row],[R1]]="",IF(Eingabe[[#This Row],[Räumer alternativ]]="","",Eingabe[[#This Row],[Räumer alternativ]]),SUM(Eingabe[[#This Row],[R1]:[R4]]))</f>
        <v>155</v>
      </c>
      <c r="AE545" s="6">
        <f>IF(Eingabe[[#This Row],[F1]]="",IF(Eingabe[[#This Row],[Fehler alternativ]]="","",Eingabe[[#This Row],[Fehler alternativ]]),SUM(Eingabe[[#This Row],[F1]:[F4]]))</f>
        <v>6</v>
      </c>
      <c r="AF545" s="6">
        <f>IF(Eingabe[[#This Row],[Volle]]="","",IF(Eingabe[[#This Row],[S1]]="",Eingabe[[#This Row],[Volle]]+Eingabe[[#This Row],[Räumer]],IF(Eingabe[[#This Row],[Volle]]+Eingabe[[#This Row],[Räumer]]=Eingabe[[#This Row],[S1]]+Eingabe[[#This Row],[S2]]+Eingabe[[#This Row],[S3]]+Eingabe[[#This Row],[S4]],Eingabe[[#This Row],[Volle]]+Eingabe[[#This Row],[Räumer]],"FEHLER")))</f>
        <v>500</v>
      </c>
      <c r="AG545" s="6">
        <f>IF(Eingabe[[#This Row],[V1]]="","",Eingabe[[#This Row],[V1]]+Eingabe[[#This Row],[R1]])</f>
        <v>131</v>
      </c>
      <c r="AH545" s="6">
        <f>IF(Eingabe[[#This Row],[V2]]="","",Eingabe[[#This Row],[V2]]+Eingabe[[#This Row],[R2]])</f>
        <v>125</v>
      </c>
      <c r="AI545" s="6">
        <f>IF(Eingabe[[#This Row],[V3]]="","",Eingabe[[#This Row],[V3]]+Eingabe[[#This Row],[R3]])</f>
        <v>115</v>
      </c>
      <c r="AJ545" s="6">
        <f>IF(Eingabe[[#This Row],[V4]]="","",Eingabe[[#This Row],[V4]]+Eingabe[[#This Row],[R4]])</f>
        <v>129</v>
      </c>
      <c r="AK545" s="6">
        <f>IF(Eingabe[[#This Row],[S1P]]="","",Eingabe[[#This Row],[S1P]]+Eingabe[[#This Row],[S2P]]+Eingabe[[#This Row],[S3P]]+Eingabe[[#This Row],[S4P]])</f>
        <v>0</v>
      </c>
      <c r="AL545" s="6">
        <f>IF(Eingabe[[#This Row],[S1P]]="","",IF(Eingabe[[#This Row],[SP]]&gt;2,1,IF(Eingabe[[#This Row],[SP]]&lt;2,0,IF(Eingabe[[#This Row],[GES]]&gt;Eingabe[[#This Row],[GEGGES]],1,IF(Eingabe[[#This Row],[GES]]=Eingabe[[#This Row],[GEGGES]],0.5,0)))))</f>
        <v>0</v>
      </c>
      <c r="AM545" s="6">
        <f>IF(Eingabe[[#This Row],[MP]]="","",MOD(ROW(Eingabe[[#This Row],[Position]])-3,6)+1)</f>
        <v>3</v>
      </c>
      <c r="AN545" s="6">
        <f>STANDARDIZE(Eingabe[[#This Row],[GES]],Eingabe[[#This Row],[Schnitt]],VLOOKUP(Eingabe[[#This Row],[Name]],AuswertungG[],21,FALSE))</f>
        <v>-1.4285714285714286</v>
      </c>
      <c r="AO545" s="6">
        <f>VLOOKUP(Eingabe[[#This Row],[ID]],Chronologie[[ID]:[KW]],12,FALSE)</f>
        <v>23</v>
      </c>
      <c r="AP545" s="95" t="str">
        <f>IF(Eingabe[[#This Row],[Wo]]="H",Eingabe[[#This Row],[Gegner]]&amp;" ["&amp;Eingabe[[#This Row],[Wo]]&amp;"]",Eingabe[[#This Row],[Ort]])</f>
        <v>Königsbrücker KV WR [H]</v>
      </c>
      <c r="AQ545" s="6">
        <f>IFERROR(IF(Eingabe[[#This Row],[Wo]]="H",IF(MOD(Eingabe[[#This Row],[Position]],2)=1,Eingabe[[#This Row],[S1]],Eingabe[[#This Row],[S4]]),""),"")</f>
        <v>131</v>
      </c>
      <c r="AR545" s="6">
        <f>IFERROR(IF(Eingabe[[#This Row],[Wo]]="H",IF(Eingabe[[#This Row],[S1]]&gt;0,IF(MOD(Eingabe[[#This Row],[Position]],2)=1,Eingabe[[#This Row],[S2]],Eingabe[[#This Row],[S3]]),""),""),"")</f>
        <v>125</v>
      </c>
      <c r="AS545" s="6">
        <f>IFERROR(IF(Eingabe[[#This Row],[Wo]]="H",IF(Eingabe[[#This Row],[S1]]&gt;0,IF(MOD(ROW(Eingabe[[#This Row],[Heimbahn 3]]),2)=1,Eingabe[[#This Row],[S4]],Eingabe[[#This Row],[S1]]),""),""),"")</f>
        <v>129</v>
      </c>
      <c r="AT545" s="6">
        <f>IFERROR(IF(Eingabe[[#This Row],[Wo]]="H",IF(Eingabe[[#This Row],[S1]]&gt;0,IF(MOD(ROW(Eingabe[[#This Row],[Heimbahn 4]]),2)=1,Eingabe[[#This Row],[S3]],Eingabe[[#This Row],[S2]]),""),""),"")</f>
        <v>115</v>
      </c>
      <c r="AU545" s="22">
        <f>IF(Eingabe[[#This Row],[GES]]="","",IF(Eingabe[[#This Row],[Modus]]="L",_xlfn.RANK.EQ(Eingabe[[#This Row],[GES]],AF543:AF548),IF(Eingabe[[#This Row],[Modus]]="P",_xlfn.RANK.EQ(Eingabe[[#This Row],[GES]],AF543:AF548),"")))</f>
        <v>5</v>
      </c>
      <c r="AV545" s="6">
        <f>VLOOKUP(Eingabe[[#This Row],[Name]],AuswertungG[],8,FALSE)</f>
        <v>550</v>
      </c>
      <c r="AZ545" s="6">
        <f>IFERROR(ABS(Eingabe[[#This Row],[GES]]-Eingabe[[#This Row],[GEGGES]]),"")</f>
        <v>53</v>
      </c>
    </row>
    <row r="546" spans="1:52" hidden="1" x14ac:dyDescent="0.3">
      <c r="A546" s="441"/>
      <c r="B546" s="21">
        <f t="shared" si="51"/>
        <v>91</v>
      </c>
      <c r="C546" s="6" t="str">
        <f>VLOOKUP($B546,Chronologie[],7,TRUE)</f>
        <v>Königsbrücker KV WR</v>
      </c>
      <c r="D546" s="6" t="str">
        <f>VLOOKUP($B546,Chronologie[],8,TRUE)</f>
        <v>Hirschfeld</v>
      </c>
      <c r="E546" s="240" t="str">
        <f>VLOOKUP($B546,Chronologie[],9,TRUE)</f>
        <v>H</v>
      </c>
      <c r="F546" s="6" t="str">
        <f>VLOOKUP($B546,Chronologie[],COLUMN(F547)-2,TRUE)</f>
        <v>E</v>
      </c>
      <c r="G546" s="6" t="str">
        <f>VLOOKUP($B546,Chronologie[],COLUMN(G547)-2,TRUE)</f>
        <v>P</v>
      </c>
      <c r="H546" s="6">
        <f>VLOOKUP($B546,Chronologie[],COLUMN(H547)-2,TRUE)</f>
        <v>2</v>
      </c>
      <c r="I546" s="10" t="str">
        <f>VLOOKUP($B546,Chronologie[],2,TRUE)</f>
        <v>E-P-2</v>
      </c>
      <c r="J546" s="243">
        <f>VLOOKUP($B546,Chronologie[],3,TRUE)</f>
        <v>46052</v>
      </c>
      <c r="K546" s="238" t="s">
        <v>6</v>
      </c>
      <c r="L546" s="237">
        <v>94</v>
      </c>
      <c r="M546" s="237">
        <v>81</v>
      </c>
      <c r="N546" s="237">
        <v>91</v>
      </c>
      <c r="O546" s="237">
        <v>92</v>
      </c>
      <c r="P546" s="237">
        <v>36</v>
      </c>
      <c r="Q546" s="237">
        <v>35</v>
      </c>
      <c r="R546" s="237">
        <v>53</v>
      </c>
      <c r="S546" s="237">
        <v>45</v>
      </c>
      <c r="T546" s="237">
        <v>1</v>
      </c>
      <c r="U546" s="237">
        <v>1</v>
      </c>
      <c r="V546" s="237">
        <v>1</v>
      </c>
      <c r="W546" s="237">
        <v>1</v>
      </c>
      <c r="X546" s="38">
        <v>1</v>
      </c>
      <c r="Y546" s="38">
        <v>0</v>
      </c>
      <c r="Z546" s="38">
        <v>1</v>
      </c>
      <c r="AA546" s="38">
        <v>1</v>
      </c>
      <c r="AB546" s="91">
        <v>527</v>
      </c>
      <c r="AC546" s="94">
        <f>IF(Eingabe[[#This Row],[V1]]="",IF(Eingabe[[#This Row],[Volle alternativ]]="","",Eingabe[[#This Row],[Volle alternativ]]),SUM(Eingabe[[#This Row],[V1]:[V4]]))</f>
        <v>358</v>
      </c>
      <c r="AD546" s="6">
        <f>IF(Eingabe[[#This Row],[R1]]="",IF(Eingabe[[#This Row],[Räumer alternativ]]="","",Eingabe[[#This Row],[Räumer alternativ]]),SUM(Eingabe[[#This Row],[R1]:[R4]]))</f>
        <v>169</v>
      </c>
      <c r="AE546" s="6">
        <f>IF(Eingabe[[#This Row],[F1]]="",IF(Eingabe[[#This Row],[Fehler alternativ]]="","",Eingabe[[#This Row],[Fehler alternativ]]),SUM(Eingabe[[#This Row],[F1]:[F4]]))</f>
        <v>4</v>
      </c>
      <c r="AF546" s="6">
        <f>IF(Eingabe[[#This Row],[Volle]]="","",IF(Eingabe[[#This Row],[S1]]="",Eingabe[[#This Row],[Volle]]+Eingabe[[#This Row],[Räumer]],IF(Eingabe[[#This Row],[Volle]]+Eingabe[[#This Row],[Räumer]]=Eingabe[[#This Row],[S1]]+Eingabe[[#This Row],[S2]]+Eingabe[[#This Row],[S3]]+Eingabe[[#This Row],[S4]],Eingabe[[#This Row],[Volle]]+Eingabe[[#This Row],[Räumer]],"FEHLER")))</f>
        <v>527</v>
      </c>
      <c r="AG546" s="6">
        <f>IF(Eingabe[[#This Row],[V1]]="","",Eingabe[[#This Row],[V1]]+Eingabe[[#This Row],[R1]])</f>
        <v>130</v>
      </c>
      <c r="AH546" s="6">
        <f>IF(Eingabe[[#This Row],[V2]]="","",Eingabe[[#This Row],[V2]]+Eingabe[[#This Row],[R2]])</f>
        <v>116</v>
      </c>
      <c r="AI546" s="6">
        <f>IF(Eingabe[[#This Row],[V3]]="","",Eingabe[[#This Row],[V3]]+Eingabe[[#This Row],[R3]])</f>
        <v>144</v>
      </c>
      <c r="AJ546" s="6">
        <f>IF(Eingabe[[#This Row],[V4]]="","",Eingabe[[#This Row],[V4]]+Eingabe[[#This Row],[R4]])</f>
        <v>137</v>
      </c>
      <c r="AK546" s="6">
        <f>IF(Eingabe[[#This Row],[S1P]]="","",Eingabe[[#This Row],[S1P]]+Eingabe[[#This Row],[S2P]]+Eingabe[[#This Row],[S3P]]+Eingabe[[#This Row],[S4P]])</f>
        <v>3</v>
      </c>
      <c r="AL546" s="6">
        <f>IF(Eingabe[[#This Row],[S1P]]="","",IF(Eingabe[[#This Row],[SP]]&gt;2,1,IF(Eingabe[[#This Row],[SP]]&lt;2,0,IF(Eingabe[[#This Row],[GES]]&gt;Eingabe[[#This Row],[GEGGES]],1,IF(Eingabe[[#This Row],[GES]]=Eingabe[[#This Row],[GEGGES]],0.5,0)))))</f>
        <v>1</v>
      </c>
      <c r="AM546" s="6">
        <f>IF(Eingabe[[#This Row],[MP]]="","",MOD(ROW(Eingabe[[#This Row],[Position]])-3,6)+1)</f>
        <v>4</v>
      </c>
      <c r="AN546" s="6">
        <f>STANDARDIZE(Eingabe[[#This Row],[GES]],Eingabe[[#This Row],[Schnitt]],VLOOKUP(Eingabe[[#This Row],[Name]],AuswertungG[],21,FALSE))</f>
        <v>-0.1111111111111111</v>
      </c>
      <c r="AO546" s="6">
        <f>VLOOKUP(Eingabe[[#This Row],[ID]],Chronologie[[ID]:[KW]],12,FALSE)</f>
        <v>23</v>
      </c>
      <c r="AP546" s="95" t="str">
        <f>IF(Eingabe[[#This Row],[Wo]]="H",Eingabe[[#This Row],[Gegner]]&amp;" ["&amp;Eingabe[[#This Row],[Wo]]&amp;"]",Eingabe[[#This Row],[Ort]])</f>
        <v>Königsbrücker KV WR [H]</v>
      </c>
      <c r="AQ546" s="6">
        <f>IFERROR(IF(Eingabe[[#This Row],[Wo]]="H",IF(MOD(Eingabe[[#This Row],[Position]],2)=1,Eingabe[[#This Row],[S1]],Eingabe[[#This Row],[S4]]),""),"")</f>
        <v>137</v>
      </c>
      <c r="AR546" s="6">
        <f>IFERROR(IF(Eingabe[[#This Row],[Wo]]="H",IF(Eingabe[[#This Row],[S1]]&gt;0,IF(MOD(Eingabe[[#This Row],[Position]],2)=1,Eingabe[[#This Row],[S2]],Eingabe[[#This Row],[S3]]),""),""),"")</f>
        <v>144</v>
      </c>
      <c r="AS546" s="6">
        <f>IFERROR(IF(Eingabe[[#This Row],[Wo]]="H",IF(Eingabe[[#This Row],[S1]]&gt;0,IF(MOD(ROW(Eingabe[[#This Row],[Heimbahn 3]]),2)=1,Eingabe[[#This Row],[S4]],Eingabe[[#This Row],[S1]]),""),""),"")</f>
        <v>130</v>
      </c>
      <c r="AT546" s="6">
        <f>IFERROR(IF(Eingabe[[#This Row],[Wo]]="H",IF(Eingabe[[#This Row],[S1]]&gt;0,IF(MOD(ROW(Eingabe[[#This Row],[Heimbahn 4]]),2)=1,Eingabe[[#This Row],[S3]],Eingabe[[#This Row],[S2]]),""),""),"")</f>
        <v>116</v>
      </c>
      <c r="AU546" s="22">
        <f>IF(Eingabe[[#This Row],[GES]]="","",IF(Eingabe[[#This Row],[Modus]]="L",_xlfn.RANK.EQ(Eingabe[[#This Row],[GES]],AF543:AF548),IF(Eingabe[[#This Row],[Modus]]="P",_xlfn.RANK.EQ(Eingabe[[#This Row],[GES]],AF543:AF548),"")))</f>
        <v>3</v>
      </c>
      <c r="AV546" s="6">
        <f>VLOOKUP(Eingabe[[#This Row],[Name]],AuswertungG[],8,FALSE)</f>
        <v>529</v>
      </c>
      <c r="AZ546" s="6">
        <f>IFERROR(ABS(Eingabe[[#This Row],[GES]]-Eingabe[[#This Row],[GEGGES]]),"")</f>
        <v>0</v>
      </c>
    </row>
    <row r="547" spans="1:52" hidden="1" x14ac:dyDescent="0.3">
      <c r="A547" s="441"/>
      <c r="B547" s="21">
        <f t="shared" si="51"/>
        <v>91</v>
      </c>
      <c r="C547" s="6" t="str">
        <f>VLOOKUP($B547,Chronologie[],7,TRUE)</f>
        <v>Königsbrücker KV WR</v>
      </c>
      <c r="D547" s="6" t="str">
        <f>VLOOKUP($B547,Chronologie[],8,TRUE)</f>
        <v>Hirschfeld</v>
      </c>
      <c r="E547" s="240" t="str">
        <f>VLOOKUP($B547,Chronologie[],9,TRUE)</f>
        <v>H</v>
      </c>
      <c r="F547" s="6" t="str">
        <f>VLOOKUP($B547,Chronologie[],COLUMN(F548)-2,TRUE)</f>
        <v>E</v>
      </c>
      <c r="G547" s="6" t="str">
        <f>VLOOKUP($B547,Chronologie[],COLUMN(G548)-2,TRUE)</f>
        <v>P</v>
      </c>
      <c r="H547" s="6">
        <f>VLOOKUP($B547,Chronologie[],COLUMN(H548)-2,TRUE)</f>
        <v>2</v>
      </c>
      <c r="I547" s="10" t="str">
        <f>VLOOKUP($B547,Chronologie[],2,TRUE)</f>
        <v>E-P-2</v>
      </c>
      <c r="J547" s="243">
        <f>VLOOKUP($B547,Chronologie[],3,TRUE)</f>
        <v>46052</v>
      </c>
      <c r="K547" s="237" t="s">
        <v>469</v>
      </c>
      <c r="L547" s="237">
        <v>90</v>
      </c>
      <c r="M547" s="237">
        <v>94</v>
      </c>
      <c r="N547" s="237">
        <v>81</v>
      </c>
      <c r="O547" s="237">
        <v>97</v>
      </c>
      <c r="P547" s="237">
        <v>35</v>
      </c>
      <c r="Q547" s="237">
        <v>35</v>
      </c>
      <c r="R547" s="237">
        <v>52</v>
      </c>
      <c r="S547" s="237">
        <v>44</v>
      </c>
      <c r="T547" s="237">
        <v>1</v>
      </c>
      <c r="U547" s="237">
        <v>3</v>
      </c>
      <c r="V547" s="237">
        <v>0</v>
      </c>
      <c r="W547" s="237">
        <v>2</v>
      </c>
      <c r="X547" s="38">
        <v>0</v>
      </c>
      <c r="Y547" s="38">
        <v>0</v>
      </c>
      <c r="Z547" s="38">
        <v>1</v>
      </c>
      <c r="AA547" s="38">
        <v>1</v>
      </c>
      <c r="AB547" s="91">
        <v>545</v>
      </c>
      <c r="AC547" s="94">
        <f>IF(Eingabe[[#This Row],[V1]]="",IF(Eingabe[[#This Row],[Volle alternativ]]="","",Eingabe[[#This Row],[Volle alternativ]]),SUM(Eingabe[[#This Row],[V1]:[V4]]))</f>
        <v>362</v>
      </c>
      <c r="AD547" s="6">
        <f>IF(Eingabe[[#This Row],[R1]]="",IF(Eingabe[[#This Row],[Räumer alternativ]]="","",Eingabe[[#This Row],[Räumer alternativ]]),SUM(Eingabe[[#This Row],[R1]:[R4]]))</f>
        <v>166</v>
      </c>
      <c r="AE547" s="6">
        <f>IF(Eingabe[[#This Row],[F1]]="",IF(Eingabe[[#This Row],[Fehler alternativ]]="","",Eingabe[[#This Row],[Fehler alternativ]]),SUM(Eingabe[[#This Row],[F1]:[F4]]))</f>
        <v>6</v>
      </c>
      <c r="AF547" s="6">
        <f>IF(Eingabe[[#This Row],[Volle]]="","",IF(Eingabe[[#This Row],[S1]]="",Eingabe[[#This Row],[Volle]]+Eingabe[[#This Row],[Räumer]],IF(Eingabe[[#This Row],[Volle]]+Eingabe[[#This Row],[Räumer]]=Eingabe[[#This Row],[S1]]+Eingabe[[#This Row],[S2]]+Eingabe[[#This Row],[S3]]+Eingabe[[#This Row],[S4]],Eingabe[[#This Row],[Volle]]+Eingabe[[#This Row],[Räumer]],"FEHLER")))</f>
        <v>528</v>
      </c>
      <c r="AG547" s="6">
        <f>IF(Eingabe[[#This Row],[V1]]="","",Eingabe[[#This Row],[V1]]+Eingabe[[#This Row],[R1]])</f>
        <v>125</v>
      </c>
      <c r="AH547" s="6">
        <f>IF(Eingabe[[#This Row],[V2]]="","",Eingabe[[#This Row],[V2]]+Eingabe[[#This Row],[R2]])</f>
        <v>129</v>
      </c>
      <c r="AI547" s="6">
        <f>IF(Eingabe[[#This Row],[V3]]="","",Eingabe[[#This Row],[V3]]+Eingabe[[#This Row],[R3]])</f>
        <v>133</v>
      </c>
      <c r="AJ547" s="6">
        <f>IF(Eingabe[[#This Row],[V4]]="","",Eingabe[[#This Row],[V4]]+Eingabe[[#This Row],[R4]])</f>
        <v>141</v>
      </c>
      <c r="AK547" s="6">
        <f>IF(Eingabe[[#This Row],[S1P]]="","",Eingabe[[#This Row],[S1P]]+Eingabe[[#This Row],[S2P]]+Eingabe[[#This Row],[S3P]]+Eingabe[[#This Row],[S4P]])</f>
        <v>2</v>
      </c>
      <c r="AL547" s="6">
        <f>IF(Eingabe[[#This Row],[S1P]]="","",IF(Eingabe[[#This Row],[SP]]&gt;2,1,IF(Eingabe[[#This Row],[SP]]&lt;2,0,IF(Eingabe[[#This Row],[GES]]&gt;Eingabe[[#This Row],[GEGGES]],1,IF(Eingabe[[#This Row],[GES]]=Eingabe[[#This Row],[GEGGES]],0.5,0)))))</f>
        <v>0</v>
      </c>
      <c r="AM547" s="6">
        <f>IF(Eingabe[[#This Row],[MP]]="","",MOD(ROW(Eingabe[[#This Row],[Position]])-3,6)+1)</f>
        <v>5</v>
      </c>
      <c r="AN547" s="6">
        <f>STANDARDIZE(Eingabe[[#This Row],[GES]],Eingabe[[#This Row],[Schnitt]],VLOOKUP(Eingabe[[#This Row],[Name]],AuswertungG[],21,FALSE))</f>
        <v>0</v>
      </c>
      <c r="AO547" s="6">
        <f>VLOOKUP(Eingabe[[#This Row],[ID]],Chronologie[[ID]:[KW]],12,FALSE)</f>
        <v>23</v>
      </c>
      <c r="AP547" s="95" t="str">
        <f>IF(Eingabe[[#This Row],[Wo]]="H",Eingabe[[#This Row],[Gegner]]&amp;" ["&amp;Eingabe[[#This Row],[Wo]]&amp;"]",Eingabe[[#This Row],[Ort]])</f>
        <v>Königsbrücker KV WR [H]</v>
      </c>
      <c r="AQ547" s="6">
        <f>IFERROR(IF(Eingabe[[#This Row],[Wo]]="H",IF(MOD(Eingabe[[#This Row],[Position]],2)=1,Eingabe[[#This Row],[S1]],Eingabe[[#This Row],[S4]]),""),"")</f>
        <v>125</v>
      </c>
      <c r="AR547" s="6">
        <f>IFERROR(IF(Eingabe[[#This Row],[Wo]]="H",IF(Eingabe[[#This Row],[S1]]&gt;0,IF(MOD(Eingabe[[#This Row],[Position]],2)=1,Eingabe[[#This Row],[S2]],Eingabe[[#This Row],[S3]]),""),""),"")</f>
        <v>129</v>
      </c>
      <c r="AS547" s="6">
        <f>IFERROR(IF(Eingabe[[#This Row],[Wo]]="H",IF(Eingabe[[#This Row],[S1]]&gt;0,IF(MOD(ROW(Eingabe[[#This Row],[Heimbahn 3]]),2)=1,Eingabe[[#This Row],[S4]],Eingabe[[#This Row],[S1]]),""),""),"")</f>
        <v>141</v>
      </c>
      <c r="AT547" s="6">
        <f>IFERROR(IF(Eingabe[[#This Row],[Wo]]="H",IF(Eingabe[[#This Row],[S1]]&gt;0,IF(MOD(ROW(Eingabe[[#This Row],[Heimbahn 4]]),2)=1,Eingabe[[#This Row],[S3]],Eingabe[[#This Row],[S2]]),""),""),"")</f>
        <v>133</v>
      </c>
      <c r="AU547" s="22">
        <f>IF(Eingabe[[#This Row],[GES]]="","",IF(Eingabe[[#This Row],[Modus]]="L",_xlfn.RANK.EQ(Eingabe[[#This Row],[GES]],AF543:AF548),IF(Eingabe[[#This Row],[Modus]]="P",_xlfn.RANK.EQ(Eingabe[[#This Row],[GES]],AF543:AF548),"")))</f>
        <v>2</v>
      </c>
      <c r="AV547" s="6">
        <f>VLOOKUP(Eingabe[[#This Row],[Name]],AuswertungG[],8,FALSE)</f>
        <v>528</v>
      </c>
      <c r="AZ547" s="6">
        <f>IFERROR(ABS(Eingabe[[#This Row],[GES]]-Eingabe[[#This Row],[GEGGES]]),"")</f>
        <v>17</v>
      </c>
    </row>
    <row r="548" spans="1:52" ht="16.2" hidden="1" thickBot="1" x14ac:dyDescent="0.35">
      <c r="A548" s="442"/>
      <c r="B548" s="56">
        <f t="shared" si="51"/>
        <v>91</v>
      </c>
      <c r="C548" s="23" t="str">
        <f>VLOOKUP($B548,Chronologie[],7,TRUE)</f>
        <v>Königsbrücker KV WR</v>
      </c>
      <c r="D548" s="23" t="str">
        <f>VLOOKUP($B548,Chronologie[],8,TRUE)</f>
        <v>Hirschfeld</v>
      </c>
      <c r="E548" s="39" t="str">
        <f>VLOOKUP($B548,Chronologie[],9,TRUE)</f>
        <v>H</v>
      </c>
      <c r="F548" s="23" t="str">
        <f>VLOOKUP($B548,Chronologie[],COLUMN(F549)-2,TRUE)</f>
        <v>E</v>
      </c>
      <c r="G548" s="23" t="str">
        <f>VLOOKUP($B548,Chronologie[],COLUMN(G549)-2,TRUE)</f>
        <v>P</v>
      </c>
      <c r="H548" s="23">
        <f>VLOOKUP($B548,Chronologie[],COLUMN(H549)-2,TRUE)</f>
        <v>2</v>
      </c>
      <c r="I548" s="13" t="str">
        <f>VLOOKUP($B548,Chronologie[],2,TRUE)</f>
        <v>E-P-2</v>
      </c>
      <c r="J548" s="244">
        <f>VLOOKUP($B548,Chronologie[],3,TRUE)</f>
        <v>46052</v>
      </c>
      <c r="K548" s="239" t="s">
        <v>659</v>
      </c>
      <c r="L548" s="239">
        <v>96</v>
      </c>
      <c r="M548" s="239">
        <v>83</v>
      </c>
      <c r="N548" s="239">
        <v>83</v>
      </c>
      <c r="O548" s="239">
        <v>93</v>
      </c>
      <c r="P548" s="239">
        <v>35</v>
      </c>
      <c r="Q548" s="239">
        <v>40</v>
      </c>
      <c r="R548" s="239">
        <v>42</v>
      </c>
      <c r="S548" s="239">
        <v>35</v>
      </c>
      <c r="T548" s="239">
        <v>2</v>
      </c>
      <c r="U548" s="239">
        <v>1</v>
      </c>
      <c r="V548" s="239">
        <v>0</v>
      </c>
      <c r="W548" s="239">
        <v>4</v>
      </c>
      <c r="X548" s="40">
        <v>1</v>
      </c>
      <c r="Y548" s="40">
        <v>0</v>
      </c>
      <c r="Z548" s="40">
        <v>1</v>
      </c>
      <c r="AA548" s="40">
        <v>0</v>
      </c>
      <c r="AB548" s="92">
        <v>514</v>
      </c>
      <c r="AC548" s="96">
        <f>IF(Eingabe[[#This Row],[V1]]="",IF(Eingabe[[#This Row],[Volle alternativ]]="","",Eingabe[[#This Row],[Volle alternativ]]),SUM(Eingabe[[#This Row],[V1]:[V4]]))</f>
        <v>355</v>
      </c>
      <c r="AD548" s="23">
        <f>IF(Eingabe[[#This Row],[R1]]="",IF(Eingabe[[#This Row],[Räumer alternativ]]="","",Eingabe[[#This Row],[Räumer alternativ]]),SUM(Eingabe[[#This Row],[R1]:[R4]]))</f>
        <v>152</v>
      </c>
      <c r="AE548" s="23">
        <f>IF(Eingabe[[#This Row],[F1]]="",IF(Eingabe[[#This Row],[Fehler alternativ]]="","",Eingabe[[#This Row],[Fehler alternativ]]),SUM(Eingabe[[#This Row],[F1]:[F4]]))</f>
        <v>7</v>
      </c>
      <c r="AF548" s="23">
        <f>IF(Eingabe[[#This Row],[Volle]]="","",IF(Eingabe[[#This Row],[S1]]="",Eingabe[[#This Row],[Volle]]+Eingabe[[#This Row],[Räumer]],IF(Eingabe[[#This Row],[Volle]]+Eingabe[[#This Row],[Räumer]]=Eingabe[[#This Row],[S1]]+Eingabe[[#This Row],[S2]]+Eingabe[[#This Row],[S3]]+Eingabe[[#This Row],[S4]],Eingabe[[#This Row],[Volle]]+Eingabe[[#This Row],[Räumer]],"FEHLER")))</f>
        <v>507</v>
      </c>
      <c r="AG548" s="23">
        <f>IF(Eingabe[[#This Row],[V1]]="","",Eingabe[[#This Row],[V1]]+Eingabe[[#This Row],[R1]])</f>
        <v>131</v>
      </c>
      <c r="AH548" s="23">
        <f>IF(Eingabe[[#This Row],[V2]]="","",Eingabe[[#This Row],[V2]]+Eingabe[[#This Row],[R2]])</f>
        <v>123</v>
      </c>
      <c r="AI548" s="23">
        <f>IF(Eingabe[[#This Row],[V3]]="","",Eingabe[[#This Row],[V3]]+Eingabe[[#This Row],[R3]])</f>
        <v>125</v>
      </c>
      <c r="AJ548" s="23">
        <f>IF(Eingabe[[#This Row],[V4]]="","",Eingabe[[#This Row],[V4]]+Eingabe[[#This Row],[R4]])</f>
        <v>128</v>
      </c>
      <c r="AK548" s="23">
        <f>IF(Eingabe[[#This Row],[S1P]]="","",Eingabe[[#This Row],[S1P]]+Eingabe[[#This Row],[S2P]]+Eingabe[[#This Row],[S3P]]+Eingabe[[#This Row],[S4P]])</f>
        <v>2</v>
      </c>
      <c r="AL548" s="23">
        <f>IF(Eingabe[[#This Row],[S1P]]="","",IF(Eingabe[[#This Row],[SP]]&gt;2,1,IF(Eingabe[[#This Row],[SP]]&lt;2,0,IF(Eingabe[[#This Row],[GES]]&gt;Eingabe[[#This Row],[GEGGES]],1,IF(Eingabe[[#This Row],[GES]]=Eingabe[[#This Row],[GEGGES]],0.5,0)))))</f>
        <v>0</v>
      </c>
      <c r="AM548" s="23">
        <f>IF(Eingabe[[#This Row],[MP]]="","",MOD(ROW(Eingabe[[#This Row],[Position]])-3,6)+1)</f>
        <v>6</v>
      </c>
      <c r="AN548" s="23">
        <f>STANDARDIZE(Eingabe[[#This Row],[GES]],Eingabe[[#This Row],[Schnitt]],VLOOKUP(Eingabe[[#This Row],[Name]],AuswertungG[],21,FALSE))</f>
        <v>-1.0416666666666667</v>
      </c>
      <c r="AO548" s="23">
        <f>VLOOKUP(Eingabe[[#This Row],[ID]],Chronologie[[ID]:[KW]],12,FALSE)</f>
        <v>23</v>
      </c>
      <c r="AP548" s="59" t="str">
        <f>IF(Eingabe[[#This Row],[Wo]]="H",Eingabe[[#This Row],[Gegner]]&amp;" ["&amp;Eingabe[[#This Row],[Wo]]&amp;"]",Eingabe[[#This Row],[Ort]])</f>
        <v>Königsbrücker KV WR [H]</v>
      </c>
      <c r="AQ548" s="23">
        <f>IFERROR(IF(Eingabe[[#This Row],[Wo]]="H",IF(MOD(Eingabe[[#This Row],[Position]],2)=1,Eingabe[[#This Row],[S1]],Eingabe[[#This Row],[S4]]),""),"")</f>
        <v>128</v>
      </c>
      <c r="AR548" s="23">
        <f>IFERROR(IF(Eingabe[[#This Row],[Wo]]="H",IF(Eingabe[[#This Row],[S1]]&gt;0,IF(MOD(Eingabe[[#This Row],[Position]],2)=1,Eingabe[[#This Row],[S2]],Eingabe[[#This Row],[S3]]),""),""),"")</f>
        <v>125</v>
      </c>
      <c r="AS548" s="23">
        <f>IFERROR(IF(Eingabe[[#This Row],[Wo]]="H",IF(Eingabe[[#This Row],[S1]]&gt;0,IF(MOD(ROW(Eingabe[[#This Row],[Heimbahn 3]]),2)=1,Eingabe[[#This Row],[S4]],Eingabe[[#This Row],[S1]]),""),""),"")</f>
        <v>131</v>
      </c>
      <c r="AT548" s="23">
        <f>IFERROR(IF(Eingabe[[#This Row],[Wo]]="H",IF(Eingabe[[#This Row],[S1]]&gt;0,IF(MOD(ROW(Eingabe[[#This Row],[Heimbahn 4]]),2)=1,Eingabe[[#This Row],[S3]],Eingabe[[#This Row],[S2]]),""),""),"")</f>
        <v>123</v>
      </c>
      <c r="AU548" s="89">
        <f>IF(Eingabe[[#This Row],[GES]]="","",IF(Eingabe[[#This Row],[Modus]]="L",_xlfn.RANK.EQ(Eingabe[[#This Row],[GES]],AF543:AF548),IF(Eingabe[[#This Row],[Modus]]="P",_xlfn.RANK.EQ(Eingabe[[#This Row],[GES]],AF543:AF548),"")))</f>
        <v>4</v>
      </c>
      <c r="AV548" s="6">
        <f>VLOOKUP(Eingabe[[#This Row],[Name]],AuswertungG[],8,FALSE)</f>
        <v>532</v>
      </c>
      <c r="AZ548" s="6">
        <f>IFERROR(ABS(Eingabe[[#This Row],[GES]]-Eingabe[[#This Row],[GEGGES]]),"")</f>
        <v>7</v>
      </c>
    </row>
    <row r="549" spans="1:52" hidden="1" x14ac:dyDescent="0.3">
      <c r="A549" s="440">
        <f t="shared" si="49"/>
        <v>92</v>
      </c>
      <c r="B549" s="55">
        <f t="shared" si="51"/>
        <v>92</v>
      </c>
      <c r="C549" s="35" t="str">
        <f>VLOOKUP($B549,Chronologie[],7,TRUE)</f>
        <v>SV Krummenhennersdorf</v>
      </c>
      <c r="D549" s="35" t="str">
        <f>VLOOKUP($B549,Chronologie[],8,TRUE)</f>
        <v>Krummenhennersdorf</v>
      </c>
      <c r="E549" s="36" t="str">
        <f>VLOOKUP($B549,Chronologie[],9,TRUE)</f>
        <v>A</v>
      </c>
      <c r="F549" s="35" t="str">
        <f>VLOOKUP($B549,Chronologie[],COLUMN(F550)-2,TRUE)</f>
        <v>U23</v>
      </c>
      <c r="G549" s="35" t="str">
        <f>VLOOKUP($B549,Chronologie[],COLUMN(G550)-2,TRUE)</f>
        <v>KEM</v>
      </c>
      <c r="H549" s="35" t="str">
        <f>VLOOKUP($B549,Chronologie[],COLUMN(H550)-2,TRUE)</f>
        <v>E</v>
      </c>
      <c r="I549" s="9" t="str">
        <f>VLOOKUP($B549,Chronologie[],2,TRUE)</f>
        <v>U23-KEM-E</v>
      </c>
      <c r="J549" s="242">
        <f>VLOOKUP($B549,Chronologie[],3,TRUE)</f>
        <v>46053</v>
      </c>
      <c r="K549" s="236" t="s">
        <v>478</v>
      </c>
      <c r="L549" s="334">
        <v>94</v>
      </c>
      <c r="M549" s="334">
        <v>84</v>
      </c>
      <c r="N549" s="334">
        <v>96</v>
      </c>
      <c r="O549" s="334">
        <v>94</v>
      </c>
      <c r="P549" s="334">
        <v>35</v>
      </c>
      <c r="Q549" s="334">
        <v>43</v>
      </c>
      <c r="R549" s="334">
        <v>35</v>
      </c>
      <c r="S549" s="334">
        <v>50</v>
      </c>
      <c r="T549" s="334">
        <v>3</v>
      </c>
      <c r="U549" s="334">
        <v>0</v>
      </c>
      <c r="V549" s="334">
        <v>1</v>
      </c>
      <c r="W549" s="334">
        <v>0</v>
      </c>
      <c r="X549" s="37"/>
      <c r="Y549" s="37"/>
      <c r="Z549" s="37"/>
      <c r="AA549" s="37"/>
      <c r="AB549" s="90"/>
      <c r="AC549" s="93">
        <f>IF(Eingabe[[#This Row],[V1]]="",IF(Eingabe[[#This Row],[Volle alternativ]]="","",Eingabe[[#This Row],[Volle alternativ]]),SUM(Eingabe[[#This Row],[V1]:[V4]]))</f>
        <v>368</v>
      </c>
      <c r="AD549" s="35">
        <f>IF(Eingabe[[#This Row],[R1]]="",IF(Eingabe[[#This Row],[Räumer alternativ]]="","",Eingabe[[#This Row],[Räumer alternativ]]),SUM(Eingabe[[#This Row],[R1]:[R4]]))</f>
        <v>163</v>
      </c>
      <c r="AE549" s="35">
        <f>IF(Eingabe[[#This Row],[F1]]="",IF(Eingabe[[#This Row],[Fehler alternativ]]="","",Eingabe[[#This Row],[Fehler alternativ]]),SUM(Eingabe[[#This Row],[F1]:[F4]]))</f>
        <v>4</v>
      </c>
      <c r="AF549" s="35">
        <f>IF(Eingabe[[#This Row],[Volle]]="","",IF(Eingabe[[#This Row],[S1]]="",Eingabe[[#This Row],[Volle]]+Eingabe[[#This Row],[Räumer]],IF(Eingabe[[#This Row],[Volle]]+Eingabe[[#This Row],[Räumer]]=Eingabe[[#This Row],[S1]]+Eingabe[[#This Row],[S2]]+Eingabe[[#This Row],[S3]]+Eingabe[[#This Row],[S4]],Eingabe[[#This Row],[Volle]]+Eingabe[[#This Row],[Räumer]],"FEHLER")))</f>
        <v>531</v>
      </c>
      <c r="AG549" s="35">
        <f>IF(Eingabe[[#This Row],[V1]]="","",Eingabe[[#This Row],[V1]]+Eingabe[[#This Row],[R1]])</f>
        <v>129</v>
      </c>
      <c r="AH549" s="35">
        <f>IF(Eingabe[[#This Row],[V2]]="","",Eingabe[[#This Row],[V2]]+Eingabe[[#This Row],[R2]])</f>
        <v>127</v>
      </c>
      <c r="AI549" s="35">
        <f>IF(Eingabe[[#This Row],[V3]]="","",Eingabe[[#This Row],[V3]]+Eingabe[[#This Row],[R3]])</f>
        <v>131</v>
      </c>
      <c r="AJ549" s="35">
        <f>IF(Eingabe[[#This Row],[V4]]="","",Eingabe[[#This Row],[V4]]+Eingabe[[#This Row],[R4]])</f>
        <v>144</v>
      </c>
      <c r="AK549" s="35" t="str">
        <f>IF(Eingabe[[#This Row],[S1P]]="","",Eingabe[[#This Row],[S1P]]+Eingabe[[#This Row],[S2P]]+Eingabe[[#This Row],[S3P]]+Eingabe[[#This Row],[S4P]])</f>
        <v/>
      </c>
      <c r="AL549" s="35" t="str">
        <f>IF(Eingabe[[#This Row],[S1P]]="","",IF(Eingabe[[#This Row],[SP]]&gt;2,1,IF(Eingabe[[#This Row],[SP]]&lt;2,0,IF(Eingabe[[#This Row],[GES]]&gt;Eingabe[[#This Row],[GEGGES]],1,IF(Eingabe[[#This Row],[GES]]=Eingabe[[#This Row],[GEGGES]],0.5,0)))))</f>
        <v/>
      </c>
      <c r="AM549" s="35" t="str">
        <f>IF(Eingabe[[#This Row],[MP]]="","",MOD(ROW(Eingabe[[#This Row],[Position]])-3,6)+1)</f>
        <v/>
      </c>
      <c r="AN549" s="35">
        <f>STANDARDIZE(Eingabe[[#This Row],[GES]],Eingabe[[#This Row],[Schnitt]],VLOOKUP(Eingabe[[#This Row],[Name]],AuswertungG[],21,FALSE))</f>
        <v>0.15</v>
      </c>
      <c r="AO549" s="35">
        <f>VLOOKUP(Eingabe[[#This Row],[ID]],Chronologie[[ID]:[KW]],12,FALSE)</f>
        <v>23</v>
      </c>
      <c r="AP549" s="58" t="str">
        <f>IF(Eingabe[[#This Row],[Wo]]="H",Eingabe[[#This Row],[Gegner]]&amp;" ["&amp;Eingabe[[#This Row],[Wo]]&amp;"]",Eingabe[[#This Row],[Ort]])</f>
        <v>Krummenhennersdorf</v>
      </c>
      <c r="AQ549" s="35" t="str">
        <f>IFERROR(IF(Eingabe[[#This Row],[Wo]]="H",IF(MOD(Eingabe[[#This Row],[Position]],2)=1,Eingabe[[#This Row],[S1]],Eingabe[[#This Row],[S4]]),""),"")</f>
        <v/>
      </c>
      <c r="AR549" s="35" t="str">
        <f>IFERROR(IF(Eingabe[[#This Row],[Wo]]="H",IF(Eingabe[[#This Row],[S1]]&gt;0,IF(MOD(Eingabe[[#This Row],[Position]],2)=1,Eingabe[[#This Row],[S2]],Eingabe[[#This Row],[S3]]),""),""),"")</f>
        <v/>
      </c>
      <c r="AS549" s="35" t="str">
        <f>IFERROR(IF(Eingabe[[#This Row],[Wo]]="H",IF(Eingabe[[#This Row],[S1]]&gt;0,IF(MOD(ROW(Eingabe[[#This Row],[Heimbahn 3]]),2)=1,Eingabe[[#This Row],[S4]],Eingabe[[#This Row],[S1]]),""),""),"")</f>
        <v/>
      </c>
      <c r="AT549" s="35" t="str">
        <f>IFERROR(IF(Eingabe[[#This Row],[Wo]]="H",IF(Eingabe[[#This Row],[S1]]&gt;0,IF(MOD(ROW(Eingabe[[#This Row],[Heimbahn 4]]),2)=1,Eingabe[[#This Row],[S3]],Eingabe[[#This Row],[S2]]),""),""),"")</f>
        <v/>
      </c>
      <c r="AU549" s="88" t="str">
        <f>IF(Eingabe[[#This Row],[GES]]="","",IF(Eingabe[[#This Row],[Modus]]="L",_xlfn.RANK.EQ(Eingabe[[#This Row],[GES]],AF549:AF554),IF(Eingabe[[#This Row],[Modus]]="P",_xlfn.RANK.EQ(Eingabe[[#This Row],[GES]],AF549:AF554),"")))</f>
        <v/>
      </c>
      <c r="AV549" s="6">
        <f>VLOOKUP(Eingabe[[#This Row],[Name]],AuswertungG[],8,FALSE)</f>
        <v>528</v>
      </c>
      <c r="AZ549" s="6">
        <f>IFERROR(ABS(Eingabe[[#This Row],[GES]]-Eingabe[[#This Row],[GEGGES]]),"")</f>
        <v>531</v>
      </c>
    </row>
    <row r="550" spans="1:52" hidden="1" x14ac:dyDescent="0.3">
      <c r="A550" s="441"/>
      <c r="B550" s="21">
        <f t="shared" si="51"/>
        <v>92</v>
      </c>
      <c r="C550" s="6" t="str">
        <f>VLOOKUP($B550,Chronologie[],7,TRUE)</f>
        <v>SV Krummenhennersdorf</v>
      </c>
      <c r="D550" s="6" t="str">
        <f>VLOOKUP($B550,Chronologie[],8,TRUE)</f>
        <v>Krummenhennersdorf</v>
      </c>
      <c r="E550" s="240" t="str">
        <f>VLOOKUP($B550,Chronologie[],9,TRUE)</f>
        <v>A</v>
      </c>
      <c r="F550" s="6" t="str">
        <f>VLOOKUP($B550,Chronologie[],COLUMN(F551)-2,TRUE)</f>
        <v>U23</v>
      </c>
      <c r="G550" s="6" t="str">
        <f>VLOOKUP($B550,Chronologie[],COLUMN(G551)-2,TRUE)</f>
        <v>KEM</v>
      </c>
      <c r="H550" s="6" t="str">
        <f>VLOOKUP($B550,Chronologie[],COLUMN(H551)-2,TRUE)</f>
        <v>E</v>
      </c>
      <c r="I550" s="10" t="str">
        <f>VLOOKUP($B550,Chronologie[],2,TRUE)</f>
        <v>U23-KEM-E</v>
      </c>
      <c r="J550" s="243">
        <f>VLOOKUP($B550,Chronologie[],3,TRUE)</f>
        <v>46053</v>
      </c>
      <c r="K550" s="237" t="s">
        <v>12</v>
      </c>
      <c r="L550" s="237">
        <v>86</v>
      </c>
      <c r="M550" s="237">
        <v>96</v>
      </c>
      <c r="N550" s="237">
        <v>84</v>
      </c>
      <c r="O550" s="237">
        <v>84</v>
      </c>
      <c r="P550" s="237">
        <v>24</v>
      </c>
      <c r="Q550" s="237">
        <v>41</v>
      </c>
      <c r="R550" s="237">
        <v>35</v>
      </c>
      <c r="S550" s="237">
        <v>52</v>
      </c>
      <c r="T550" s="237">
        <v>3</v>
      </c>
      <c r="U550" s="237">
        <v>2</v>
      </c>
      <c r="V550" s="237">
        <v>6</v>
      </c>
      <c r="W550" s="237">
        <v>2</v>
      </c>
      <c r="X550" s="38"/>
      <c r="Y550" s="38"/>
      <c r="Z550" s="38"/>
      <c r="AA550" s="38"/>
      <c r="AB550" s="91"/>
      <c r="AC550" s="94">
        <f>IF(Eingabe[[#This Row],[V1]]="",IF(Eingabe[[#This Row],[Volle alternativ]]="","",Eingabe[[#This Row],[Volle alternativ]]),SUM(Eingabe[[#This Row],[V1]:[V4]]))</f>
        <v>350</v>
      </c>
      <c r="AD550" s="6">
        <f>IF(Eingabe[[#This Row],[R1]]="",IF(Eingabe[[#This Row],[Räumer alternativ]]="","",Eingabe[[#This Row],[Räumer alternativ]]),SUM(Eingabe[[#This Row],[R1]:[R4]]))</f>
        <v>152</v>
      </c>
      <c r="AE550" s="6">
        <f>IF(Eingabe[[#This Row],[F1]]="",IF(Eingabe[[#This Row],[Fehler alternativ]]="","",Eingabe[[#This Row],[Fehler alternativ]]),SUM(Eingabe[[#This Row],[F1]:[F4]]))</f>
        <v>13</v>
      </c>
      <c r="AF550" s="6">
        <f>IF(Eingabe[[#This Row],[Volle]]="","",IF(Eingabe[[#This Row],[S1]]="",Eingabe[[#This Row],[Volle]]+Eingabe[[#This Row],[Räumer]],IF(Eingabe[[#This Row],[Volle]]+Eingabe[[#This Row],[Räumer]]=Eingabe[[#This Row],[S1]]+Eingabe[[#This Row],[S2]]+Eingabe[[#This Row],[S3]]+Eingabe[[#This Row],[S4]],Eingabe[[#This Row],[Volle]]+Eingabe[[#This Row],[Räumer]],"FEHLER")))</f>
        <v>502</v>
      </c>
      <c r="AG550" s="6">
        <f>IF(Eingabe[[#This Row],[V1]]="","",Eingabe[[#This Row],[V1]]+Eingabe[[#This Row],[R1]])</f>
        <v>110</v>
      </c>
      <c r="AH550" s="6">
        <f>IF(Eingabe[[#This Row],[V2]]="","",Eingabe[[#This Row],[V2]]+Eingabe[[#This Row],[R2]])</f>
        <v>137</v>
      </c>
      <c r="AI550" s="6">
        <f>IF(Eingabe[[#This Row],[V3]]="","",Eingabe[[#This Row],[V3]]+Eingabe[[#This Row],[R3]])</f>
        <v>119</v>
      </c>
      <c r="AJ550" s="6">
        <f>IF(Eingabe[[#This Row],[V4]]="","",Eingabe[[#This Row],[V4]]+Eingabe[[#This Row],[R4]])</f>
        <v>136</v>
      </c>
      <c r="AK550" s="6" t="str">
        <f>IF(Eingabe[[#This Row],[S1P]]="","",Eingabe[[#This Row],[S1P]]+Eingabe[[#This Row],[S2P]]+Eingabe[[#This Row],[S3P]]+Eingabe[[#This Row],[S4P]])</f>
        <v/>
      </c>
      <c r="AL550" s="6" t="str">
        <f>IF(Eingabe[[#This Row],[S1P]]="","",IF(Eingabe[[#This Row],[SP]]&gt;2,1,IF(Eingabe[[#This Row],[SP]]&lt;2,0,IF(Eingabe[[#This Row],[GES]]&gt;Eingabe[[#This Row],[GEGGES]],1,IF(Eingabe[[#This Row],[GES]]=Eingabe[[#This Row],[GEGGES]],0.5,0)))))</f>
        <v/>
      </c>
      <c r="AM550" s="6" t="str">
        <f>IF(Eingabe[[#This Row],[MP]]="","",MOD(ROW(Eingabe[[#This Row],[Position]])-3,6)+1)</f>
        <v/>
      </c>
      <c r="AN550" s="6">
        <f>STANDARDIZE(Eingabe[[#This Row],[GES]],Eingabe[[#This Row],[Schnitt]],VLOOKUP(Eingabe[[#This Row],[Name]],AuswertungG[],21,FALSE))</f>
        <v>-1.1111111111111112</v>
      </c>
      <c r="AO550" s="6">
        <f>VLOOKUP(Eingabe[[#This Row],[ID]],Chronologie[[ID]:[KW]],12,FALSE)</f>
        <v>23</v>
      </c>
      <c r="AP550" s="95" t="str">
        <f>IF(Eingabe[[#This Row],[Wo]]="H",Eingabe[[#This Row],[Gegner]]&amp;" ["&amp;Eingabe[[#This Row],[Wo]]&amp;"]",Eingabe[[#This Row],[Ort]])</f>
        <v>Krummenhennersdorf</v>
      </c>
      <c r="AQ550" s="6" t="str">
        <f>IFERROR(IF(Eingabe[[#This Row],[Wo]]="H",IF(MOD(Eingabe[[#This Row],[Position]],2)=1,Eingabe[[#This Row],[S1]],Eingabe[[#This Row],[S4]]),""),"")</f>
        <v/>
      </c>
      <c r="AR550" s="6" t="str">
        <f>IFERROR(IF(Eingabe[[#This Row],[Wo]]="H",IF(Eingabe[[#This Row],[S1]]&gt;0,IF(MOD(Eingabe[[#This Row],[Position]],2)=1,Eingabe[[#This Row],[S2]],Eingabe[[#This Row],[S3]]),""),""),"")</f>
        <v/>
      </c>
      <c r="AS550" s="6" t="str">
        <f>IFERROR(IF(Eingabe[[#This Row],[Wo]]="H",IF(Eingabe[[#This Row],[S1]]&gt;0,IF(MOD(ROW(Eingabe[[#This Row],[Heimbahn 3]]),2)=1,Eingabe[[#This Row],[S4]],Eingabe[[#This Row],[S1]]),""),""),"")</f>
        <v/>
      </c>
      <c r="AT550" s="6" t="str">
        <f>IFERROR(IF(Eingabe[[#This Row],[Wo]]="H",IF(Eingabe[[#This Row],[S1]]&gt;0,IF(MOD(ROW(Eingabe[[#This Row],[Heimbahn 4]]),2)=1,Eingabe[[#This Row],[S3]],Eingabe[[#This Row],[S2]]),""),""),"")</f>
        <v/>
      </c>
      <c r="AU550" s="22" t="str">
        <f>IF(Eingabe[[#This Row],[GES]]="","",IF(Eingabe[[#This Row],[Modus]]="L",_xlfn.RANK.EQ(Eingabe[[#This Row],[GES]],AF549:AF554),IF(Eingabe[[#This Row],[Modus]]="P",_xlfn.RANK.EQ(Eingabe[[#This Row],[GES]],AF549:AF554),"")))</f>
        <v/>
      </c>
      <c r="AV550" s="6">
        <f>VLOOKUP(Eingabe[[#This Row],[Name]],AuswertungG[],8,FALSE)</f>
        <v>532</v>
      </c>
      <c r="AZ550" s="6">
        <f>IFERROR(ABS(Eingabe[[#This Row],[GES]]-Eingabe[[#This Row],[GEGGES]]),"")</f>
        <v>502</v>
      </c>
    </row>
    <row r="551" spans="1:52" hidden="1" x14ac:dyDescent="0.3">
      <c r="A551" s="441"/>
      <c r="B551" s="21">
        <f t="shared" si="51"/>
        <v>92</v>
      </c>
      <c r="C551" s="6" t="str">
        <f>VLOOKUP($B551,Chronologie[],7,TRUE)</f>
        <v>SV Krummenhennersdorf</v>
      </c>
      <c r="D551" s="6" t="str">
        <f>VLOOKUP($B551,Chronologie[],8,TRUE)</f>
        <v>Krummenhennersdorf</v>
      </c>
      <c r="E551" s="240" t="str">
        <f>VLOOKUP($B551,Chronologie[],9,TRUE)</f>
        <v>A</v>
      </c>
      <c r="F551" s="6" t="str">
        <f>VLOOKUP($B551,Chronologie[],COLUMN(F552)-2,TRUE)</f>
        <v>U23</v>
      </c>
      <c r="G551" s="6" t="str">
        <f>VLOOKUP($B551,Chronologie[],COLUMN(G552)-2,TRUE)</f>
        <v>KEM</v>
      </c>
      <c r="H551" s="6" t="str">
        <f>VLOOKUP($B551,Chronologie[],COLUMN(H552)-2,TRUE)</f>
        <v>E</v>
      </c>
      <c r="I551" s="10" t="str">
        <f>VLOOKUP($B551,Chronologie[],2,TRUE)</f>
        <v>U23-KEM-E</v>
      </c>
      <c r="J551" s="243">
        <f>VLOOKUP($B551,Chronologie[],3,TRUE)</f>
        <v>46053</v>
      </c>
      <c r="K551" s="237" t="s">
        <v>464</v>
      </c>
      <c r="L551" s="237">
        <v>80</v>
      </c>
      <c r="M551" s="237">
        <v>86</v>
      </c>
      <c r="N551" s="237">
        <v>85</v>
      </c>
      <c r="O551" s="237">
        <v>91</v>
      </c>
      <c r="P551" s="237">
        <v>36</v>
      </c>
      <c r="Q551" s="237">
        <v>35</v>
      </c>
      <c r="R551" s="237">
        <v>33</v>
      </c>
      <c r="S551" s="237">
        <v>34</v>
      </c>
      <c r="T551" s="237">
        <v>0</v>
      </c>
      <c r="U551" s="237">
        <v>1</v>
      </c>
      <c r="V551" s="237">
        <v>3</v>
      </c>
      <c r="W551" s="237">
        <v>3</v>
      </c>
      <c r="X551" s="38"/>
      <c r="Y551" s="38"/>
      <c r="Z551" s="38"/>
      <c r="AA551" s="38"/>
      <c r="AB551" s="91"/>
      <c r="AC551" s="94">
        <f>IF(Eingabe[[#This Row],[V1]]="",IF(Eingabe[[#This Row],[Volle alternativ]]="","",Eingabe[[#This Row],[Volle alternativ]]),SUM(Eingabe[[#This Row],[V1]:[V4]]))</f>
        <v>342</v>
      </c>
      <c r="AD551" s="6">
        <f>IF(Eingabe[[#This Row],[R1]]="",IF(Eingabe[[#This Row],[Räumer alternativ]]="","",Eingabe[[#This Row],[Räumer alternativ]]),SUM(Eingabe[[#This Row],[R1]:[R4]]))</f>
        <v>138</v>
      </c>
      <c r="AE551" s="6">
        <f>IF(Eingabe[[#This Row],[F1]]="",IF(Eingabe[[#This Row],[Fehler alternativ]]="","",Eingabe[[#This Row],[Fehler alternativ]]),SUM(Eingabe[[#This Row],[F1]:[F4]]))</f>
        <v>7</v>
      </c>
      <c r="AF551" s="6">
        <f>IF(Eingabe[[#This Row],[Volle]]="","",IF(Eingabe[[#This Row],[S1]]="",Eingabe[[#This Row],[Volle]]+Eingabe[[#This Row],[Räumer]],IF(Eingabe[[#This Row],[Volle]]+Eingabe[[#This Row],[Räumer]]=Eingabe[[#This Row],[S1]]+Eingabe[[#This Row],[S2]]+Eingabe[[#This Row],[S3]]+Eingabe[[#This Row],[S4]],Eingabe[[#This Row],[Volle]]+Eingabe[[#This Row],[Räumer]],"FEHLER")))</f>
        <v>480</v>
      </c>
      <c r="AG551" s="6">
        <f>IF(Eingabe[[#This Row],[V1]]="","",Eingabe[[#This Row],[V1]]+Eingabe[[#This Row],[R1]])</f>
        <v>116</v>
      </c>
      <c r="AH551" s="6">
        <f>IF(Eingabe[[#This Row],[V2]]="","",Eingabe[[#This Row],[V2]]+Eingabe[[#This Row],[R2]])</f>
        <v>121</v>
      </c>
      <c r="AI551" s="6">
        <f>IF(Eingabe[[#This Row],[V3]]="","",Eingabe[[#This Row],[V3]]+Eingabe[[#This Row],[R3]])</f>
        <v>118</v>
      </c>
      <c r="AJ551" s="6">
        <f>IF(Eingabe[[#This Row],[V4]]="","",Eingabe[[#This Row],[V4]]+Eingabe[[#This Row],[R4]])</f>
        <v>125</v>
      </c>
      <c r="AK551" s="6" t="str">
        <f>IF(Eingabe[[#This Row],[S1P]]="","",Eingabe[[#This Row],[S1P]]+Eingabe[[#This Row],[S2P]]+Eingabe[[#This Row],[S3P]]+Eingabe[[#This Row],[S4P]])</f>
        <v/>
      </c>
      <c r="AL551" s="6" t="str">
        <f>IF(Eingabe[[#This Row],[S1P]]="","",IF(Eingabe[[#This Row],[SP]]&gt;2,1,IF(Eingabe[[#This Row],[SP]]&lt;2,0,IF(Eingabe[[#This Row],[GES]]&gt;Eingabe[[#This Row],[GEGGES]],1,IF(Eingabe[[#This Row],[GES]]=Eingabe[[#This Row],[GEGGES]],0.5,0)))))</f>
        <v/>
      </c>
      <c r="AM551" s="6" t="str">
        <f>IF(Eingabe[[#This Row],[MP]]="","",MOD(ROW(Eingabe[[#This Row],[Position]])-3,6)+1)</f>
        <v/>
      </c>
      <c r="AN551" s="6">
        <f>STANDARDIZE(Eingabe[[#This Row],[GES]],Eingabe[[#This Row],[Schnitt]],VLOOKUP(Eingabe[[#This Row],[Name]],AuswertungG[],21,FALSE))</f>
        <v>-0.44117647058823528</v>
      </c>
      <c r="AO551" s="6">
        <f>VLOOKUP(Eingabe[[#This Row],[ID]],Chronologie[[ID]:[KW]],12,FALSE)</f>
        <v>23</v>
      </c>
      <c r="AP551" s="95" t="str">
        <f>IF(Eingabe[[#This Row],[Wo]]="H",Eingabe[[#This Row],[Gegner]]&amp;" ["&amp;Eingabe[[#This Row],[Wo]]&amp;"]",Eingabe[[#This Row],[Ort]])</f>
        <v>Krummenhennersdorf</v>
      </c>
      <c r="AQ551" s="6" t="str">
        <f>IFERROR(IF(Eingabe[[#This Row],[Wo]]="H",IF(MOD(Eingabe[[#This Row],[Position]],2)=1,Eingabe[[#This Row],[S1]],Eingabe[[#This Row],[S4]]),""),"")</f>
        <v/>
      </c>
      <c r="AR551" s="6" t="str">
        <f>IFERROR(IF(Eingabe[[#This Row],[Wo]]="H",IF(Eingabe[[#This Row],[S1]]&gt;0,IF(MOD(Eingabe[[#This Row],[Position]],2)=1,Eingabe[[#This Row],[S2]],Eingabe[[#This Row],[S3]]),""),""),"")</f>
        <v/>
      </c>
      <c r="AS551" s="6" t="str">
        <f>IFERROR(IF(Eingabe[[#This Row],[Wo]]="H",IF(Eingabe[[#This Row],[S1]]&gt;0,IF(MOD(ROW(Eingabe[[#This Row],[Heimbahn 3]]),2)=1,Eingabe[[#This Row],[S4]],Eingabe[[#This Row],[S1]]),""),""),"")</f>
        <v/>
      </c>
      <c r="AT551" s="6" t="str">
        <f>IFERROR(IF(Eingabe[[#This Row],[Wo]]="H",IF(Eingabe[[#This Row],[S1]]&gt;0,IF(MOD(ROW(Eingabe[[#This Row],[Heimbahn 4]]),2)=1,Eingabe[[#This Row],[S3]],Eingabe[[#This Row],[S2]]),""),""),"")</f>
        <v/>
      </c>
      <c r="AU551" s="22" t="str">
        <f>IF(Eingabe[[#This Row],[GES]]="","",IF(Eingabe[[#This Row],[Modus]]="L",_xlfn.RANK.EQ(Eingabe[[#This Row],[GES]],AF549:AF554),IF(Eingabe[[#This Row],[Modus]]="P",_xlfn.RANK.EQ(Eingabe[[#This Row],[GES]],AF549:AF554),"")))</f>
        <v/>
      </c>
      <c r="AV551" s="6">
        <f>VLOOKUP(Eingabe[[#This Row],[Name]],AuswertungG[],8,FALSE)</f>
        <v>495</v>
      </c>
      <c r="AZ551" s="6">
        <f>IFERROR(ABS(Eingabe[[#This Row],[GES]]-Eingabe[[#This Row],[GEGGES]]),"")</f>
        <v>480</v>
      </c>
    </row>
    <row r="552" spans="1:52" hidden="1" x14ac:dyDescent="0.3">
      <c r="A552" s="441"/>
      <c r="B552" s="21">
        <f t="shared" si="51"/>
        <v>92</v>
      </c>
      <c r="C552" s="6" t="str">
        <f>VLOOKUP($B552,Chronologie[],7,TRUE)</f>
        <v>SV Krummenhennersdorf</v>
      </c>
      <c r="D552" s="6" t="str">
        <f>VLOOKUP($B552,Chronologie[],8,TRUE)</f>
        <v>Krummenhennersdorf</v>
      </c>
      <c r="E552" s="240" t="str">
        <f>VLOOKUP($B552,Chronologie[],9,TRUE)</f>
        <v>A</v>
      </c>
      <c r="F552" s="6" t="str">
        <f>VLOOKUP($B552,Chronologie[],COLUMN(F553)-2,TRUE)</f>
        <v>U23</v>
      </c>
      <c r="G552" s="6" t="str">
        <f>VLOOKUP($B552,Chronologie[],COLUMN(G553)-2,TRUE)</f>
        <v>KEM</v>
      </c>
      <c r="H552" s="6" t="str">
        <f>VLOOKUP($B552,Chronologie[],COLUMN(H553)-2,TRUE)</f>
        <v>E</v>
      </c>
      <c r="I552" s="10" t="str">
        <f>VLOOKUP($B552,Chronologie[],2,TRUE)</f>
        <v>U23-KEM-E</v>
      </c>
      <c r="J552" s="243">
        <f>VLOOKUP($B552,Chronologie[],3,TRUE)</f>
        <v>46053</v>
      </c>
      <c r="K552" s="238"/>
      <c r="L552" s="237"/>
      <c r="M552" s="237"/>
      <c r="N552" s="237"/>
      <c r="O552" s="237"/>
      <c r="P552" s="237"/>
      <c r="Q552" s="237"/>
      <c r="R552" s="237"/>
      <c r="S552" s="237"/>
      <c r="T552" s="237"/>
      <c r="U552" s="237"/>
      <c r="V552" s="237"/>
      <c r="W552" s="237"/>
      <c r="X552" s="38"/>
      <c r="Y552" s="38"/>
      <c r="Z552" s="38"/>
      <c r="AA552" s="38"/>
      <c r="AB552" s="91"/>
      <c r="AC552" s="94" t="str">
        <f>IF(Eingabe[[#This Row],[V1]]="",IF(Eingabe[[#This Row],[Volle alternativ]]="","",Eingabe[[#This Row],[Volle alternativ]]),SUM(Eingabe[[#This Row],[V1]:[V4]]))</f>
        <v/>
      </c>
      <c r="AD552" s="6" t="str">
        <f>IF(Eingabe[[#This Row],[R1]]="",IF(Eingabe[[#This Row],[Räumer alternativ]]="","",Eingabe[[#This Row],[Räumer alternativ]]),SUM(Eingabe[[#This Row],[R1]:[R4]]))</f>
        <v/>
      </c>
      <c r="AE552" s="6" t="str">
        <f>IF(Eingabe[[#This Row],[F1]]="",IF(Eingabe[[#This Row],[Fehler alternativ]]="","",Eingabe[[#This Row],[Fehler alternativ]]),SUM(Eingabe[[#This Row],[F1]:[F4]]))</f>
        <v/>
      </c>
      <c r="AF552" s="6" t="str">
        <f>IF(Eingabe[[#This Row],[Volle]]="","",IF(Eingabe[[#This Row],[S1]]="",Eingabe[[#This Row],[Volle]]+Eingabe[[#This Row],[Räumer]],IF(Eingabe[[#This Row],[Volle]]+Eingabe[[#This Row],[Räumer]]=Eingabe[[#This Row],[S1]]+Eingabe[[#This Row],[S2]]+Eingabe[[#This Row],[S3]]+Eingabe[[#This Row],[S4]],Eingabe[[#This Row],[Volle]]+Eingabe[[#This Row],[Räumer]],"FEHLER")))</f>
        <v/>
      </c>
      <c r="AG552" s="6" t="str">
        <f>IF(Eingabe[[#This Row],[V1]]="","",Eingabe[[#This Row],[V1]]+Eingabe[[#This Row],[R1]])</f>
        <v/>
      </c>
      <c r="AH552" s="6" t="str">
        <f>IF(Eingabe[[#This Row],[V2]]="","",Eingabe[[#This Row],[V2]]+Eingabe[[#This Row],[R2]])</f>
        <v/>
      </c>
      <c r="AI552" s="6" t="str">
        <f>IF(Eingabe[[#This Row],[V3]]="","",Eingabe[[#This Row],[V3]]+Eingabe[[#This Row],[R3]])</f>
        <v/>
      </c>
      <c r="AJ552" s="6" t="str">
        <f>IF(Eingabe[[#This Row],[V4]]="","",Eingabe[[#This Row],[V4]]+Eingabe[[#This Row],[R4]])</f>
        <v/>
      </c>
      <c r="AK552" s="6" t="str">
        <f>IF(Eingabe[[#This Row],[S1P]]="","",Eingabe[[#This Row],[S1P]]+Eingabe[[#This Row],[S2P]]+Eingabe[[#This Row],[S3P]]+Eingabe[[#This Row],[S4P]])</f>
        <v/>
      </c>
      <c r="AL552" s="6" t="str">
        <f>IF(Eingabe[[#This Row],[S1P]]="","",IF(Eingabe[[#This Row],[SP]]&gt;2,1,IF(Eingabe[[#This Row],[SP]]&lt;2,0,IF(Eingabe[[#This Row],[GES]]&gt;Eingabe[[#This Row],[GEGGES]],1,IF(Eingabe[[#This Row],[GES]]=Eingabe[[#This Row],[GEGGES]],0.5,0)))))</f>
        <v/>
      </c>
      <c r="AM552" s="6" t="str">
        <f>IF(Eingabe[[#This Row],[MP]]="","",MOD(ROW(Eingabe[[#This Row],[Position]])-3,6)+1)</f>
        <v/>
      </c>
      <c r="AN552" s="6" t="e">
        <f>STANDARDIZE(Eingabe[[#This Row],[GES]],Eingabe[[#This Row],[Schnitt]],VLOOKUP(Eingabe[[#This Row],[Name]],AuswertungG[],21,FALSE))</f>
        <v>#VALUE!</v>
      </c>
      <c r="AO552" s="6">
        <f>VLOOKUP(Eingabe[[#This Row],[ID]],Chronologie[[ID]:[KW]],12,FALSE)</f>
        <v>23</v>
      </c>
      <c r="AP552" s="95" t="str">
        <f>IF(Eingabe[[#This Row],[Wo]]="H",Eingabe[[#This Row],[Gegner]]&amp;" ["&amp;Eingabe[[#This Row],[Wo]]&amp;"]",Eingabe[[#This Row],[Ort]])</f>
        <v>Krummenhennersdorf</v>
      </c>
      <c r="AQ552" s="6" t="str">
        <f>IFERROR(IF(Eingabe[[#This Row],[Wo]]="H",IF(MOD(Eingabe[[#This Row],[Position]],2)=1,Eingabe[[#This Row],[S1]],Eingabe[[#This Row],[S4]]),""),"")</f>
        <v/>
      </c>
      <c r="AR552" s="6" t="str">
        <f>IFERROR(IF(Eingabe[[#This Row],[Wo]]="H",IF(Eingabe[[#This Row],[S1]]&gt;0,IF(MOD(Eingabe[[#This Row],[Position]],2)=1,Eingabe[[#This Row],[S2]],Eingabe[[#This Row],[S3]]),""),""),"")</f>
        <v/>
      </c>
      <c r="AS552" s="6" t="str">
        <f>IFERROR(IF(Eingabe[[#This Row],[Wo]]="H",IF(Eingabe[[#This Row],[S1]]&gt;0,IF(MOD(ROW(Eingabe[[#This Row],[Heimbahn 3]]),2)=1,Eingabe[[#This Row],[S4]],Eingabe[[#This Row],[S1]]),""),""),"")</f>
        <v/>
      </c>
      <c r="AT552" s="6" t="str">
        <f>IFERROR(IF(Eingabe[[#This Row],[Wo]]="H",IF(Eingabe[[#This Row],[S1]]&gt;0,IF(MOD(ROW(Eingabe[[#This Row],[Heimbahn 4]]),2)=1,Eingabe[[#This Row],[S3]],Eingabe[[#This Row],[S2]]),""),""),"")</f>
        <v/>
      </c>
      <c r="AU552" s="22" t="str">
        <f>IF(Eingabe[[#This Row],[GES]]="","",IF(Eingabe[[#This Row],[Modus]]="L",_xlfn.RANK.EQ(Eingabe[[#This Row],[GES]],AF549:AF554),IF(Eingabe[[#This Row],[Modus]]="P",_xlfn.RANK.EQ(Eingabe[[#This Row],[GES]],AF549:AF554),"")))</f>
        <v/>
      </c>
      <c r="AV552" s="6" t="e">
        <f>VLOOKUP(Eingabe[[#This Row],[Name]],AuswertungG[],8,FALSE)</f>
        <v>#N/A</v>
      </c>
      <c r="AZ552" s="6" t="str">
        <f>IFERROR(ABS(Eingabe[[#This Row],[GES]]-Eingabe[[#This Row],[GEGGES]]),"")</f>
        <v/>
      </c>
    </row>
    <row r="553" spans="1:52" hidden="1" x14ac:dyDescent="0.3">
      <c r="A553" s="441"/>
      <c r="B553" s="21">
        <f t="shared" ref="B553:B584" si="52">ROUNDUP((ROW(B553)-2)/6,0)</f>
        <v>92</v>
      </c>
      <c r="C553" s="6" t="str">
        <f>VLOOKUP($B553,Chronologie[],7,TRUE)</f>
        <v>SV Krummenhennersdorf</v>
      </c>
      <c r="D553" s="6" t="str">
        <f>VLOOKUP($B553,Chronologie[],8,TRUE)</f>
        <v>Krummenhennersdorf</v>
      </c>
      <c r="E553" s="240" t="str">
        <f>VLOOKUP($B553,Chronologie[],9,TRUE)</f>
        <v>A</v>
      </c>
      <c r="F553" s="6" t="str">
        <f>VLOOKUP($B553,Chronologie[],COLUMN(F554)-2,TRUE)</f>
        <v>U23</v>
      </c>
      <c r="G553" s="6" t="str">
        <f>VLOOKUP($B553,Chronologie[],COLUMN(G554)-2,TRUE)</f>
        <v>KEM</v>
      </c>
      <c r="H553" s="6" t="str">
        <f>VLOOKUP($B553,Chronologie[],COLUMN(H554)-2,TRUE)</f>
        <v>E</v>
      </c>
      <c r="I553" s="10" t="str">
        <f>VLOOKUP($B553,Chronologie[],2,TRUE)</f>
        <v>U23-KEM-E</v>
      </c>
      <c r="J553" s="243">
        <f>VLOOKUP($B553,Chronologie[],3,TRUE)</f>
        <v>46053</v>
      </c>
      <c r="K553" s="237"/>
      <c r="L553" s="237"/>
      <c r="M553" s="237"/>
      <c r="N553" s="237"/>
      <c r="O553" s="237"/>
      <c r="P553" s="237"/>
      <c r="Q553" s="237"/>
      <c r="R553" s="237"/>
      <c r="S553" s="237"/>
      <c r="T553" s="237"/>
      <c r="U553" s="237"/>
      <c r="V553" s="237"/>
      <c r="W553" s="237"/>
      <c r="X553" s="38"/>
      <c r="Y553" s="38"/>
      <c r="Z553" s="38"/>
      <c r="AA553" s="38"/>
      <c r="AB553" s="91"/>
      <c r="AC553" s="94" t="str">
        <f>IF(Eingabe[[#This Row],[V1]]="",IF(Eingabe[[#This Row],[Volle alternativ]]="","",Eingabe[[#This Row],[Volle alternativ]]),SUM(Eingabe[[#This Row],[V1]:[V4]]))</f>
        <v/>
      </c>
      <c r="AD553" s="6" t="str">
        <f>IF(Eingabe[[#This Row],[R1]]="",IF(Eingabe[[#This Row],[Räumer alternativ]]="","",Eingabe[[#This Row],[Räumer alternativ]]),SUM(Eingabe[[#This Row],[R1]:[R4]]))</f>
        <v/>
      </c>
      <c r="AE553" s="6" t="str">
        <f>IF(Eingabe[[#This Row],[F1]]="",IF(Eingabe[[#This Row],[Fehler alternativ]]="","",Eingabe[[#This Row],[Fehler alternativ]]),SUM(Eingabe[[#This Row],[F1]:[F4]]))</f>
        <v/>
      </c>
      <c r="AF553" s="6" t="str">
        <f>IF(Eingabe[[#This Row],[Volle]]="","",IF(Eingabe[[#This Row],[S1]]="",Eingabe[[#This Row],[Volle]]+Eingabe[[#This Row],[Räumer]],IF(Eingabe[[#This Row],[Volle]]+Eingabe[[#This Row],[Räumer]]=Eingabe[[#This Row],[S1]]+Eingabe[[#This Row],[S2]]+Eingabe[[#This Row],[S3]]+Eingabe[[#This Row],[S4]],Eingabe[[#This Row],[Volle]]+Eingabe[[#This Row],[Räumer]],"FEHLER")))</f>
        <v/>
      </c>
      <c r="AG553" s="6" t="str">
        <f>IF(Eingabe[[#This Row],[V1]]="","",Eingabe[[#This Row],[V1]]+Eingabe[[#This Row],[R1]])</f>
        <v/>
      </c>
      <c r="AH553" s="6" t="str">
        <f>IF(Eingabe[[#This Row],[V2]]="","",Eingabe[[#This Row],[V2]]+Eingabe[[#This Row],[R2]])</f>
        <v/>
      </c>
      <c r="AI553" s="6" t="str">
        <f>IF(Eingabe[[#This Row],[V3]]="","",Eingabe[[#This Row],[V3]]+Eingabe[[#This Row],[R3]])</f>
        <v/>
      </c>
      <c r="AJ553" s="6" t="str">
        <f>IF(Eingabe[[#This Row],[V4]]="","",Eingabe[[#This Row],[V4]]+Eingabe[[#This Row],[R4]])</f>
        <v/>
      </c>
      <c r="AK553" s="6" t="str">
        <f>IF(Eingabe[[#This Row],[S1P]]="","",Eingabe[[#This Row],[S1P]]+Eingabe[[#This Row],[S2P]]+Eingabe[[#This Row],[S3P]]+Eingabe[[#This Row],[S4P]])</f>
        <v/>
      </c>
      <c r="AL553" s="6" t="str">
        <f>IF(Eingabe[[#This Row],[S1P]]="","",IF(Eingabe[[#This Row],[SP]]&gt;2,1,IF(Eingabe[[#This Row],[SP]]&lt;2,0,IF(Eingabe[[#This Row],[GES]]&gt;Eingabe[[#This Row],[GEGGES]],1,IF(Eingabe[[#This Row],[GES]]=Eingabe[[#This Row],[GEGGES]],0.5,0)))))</f>
        <v/>
      </c>
      <c r="AM553" s="6" t="str">
        <f>IF(Eingabe[[#This Row],[MP]]="","",MOD(ROW(Eingabe[[#This Row],[Position]])-3,6)+1)</f>
        <v/>
      </c>
      <c r="AN553" s="6" t="e">
        <f>STANDARDIZE(Eingabe[[#This Row],[GES]],Eingabe[[#This Row],[Schnitt]],VLOOKUP(Eingabe[[#This Row],[Name]],AuswertungG[],21,FALSE))</f>
        <v>#VALUE!</v>
      </c>
      <c r="AO553" s="6">
        <f>VLOOKUP(Eingabe[[#This Row],[ID]],Chronologie[[ID]:[KW]],12,FALSE)</f>
        <v>23</v>
      </c>
      <c r="AP553" s="95" t="str">
        <f>IF(Eingabe[[#This Row],[Wo]]="H",Eingabe[[#This Row],[Gegner]]&amp;" ["&amp;Eingabe[[#This Row],[Wo]]&amp;"]",Eingabe[[#This Row],[Ort]])</f>
        <v>Krummenhennersdorf</v>
      </c>
      <c r="AQ553" s="6" t="str">
        <f>IFERROR(IF(Eingabe[[#This Row],[Wo]]="H",IF(MOD(Eingabe[[#This Row],[Position]],2)=1,Eingabe[[#This Row],[S1]],Eingabe[[#This Row],[S4]]),""),"")</f>
        <v/>
      </c>
      <c r="AR553" s="6" t="str">
        <f>IFERROR(IF(Eingabe[[#This Row],[Wo]]="H",IF(Eingabe[[#This Row],[S1]]&gt;0,IF(MOD(Eingabe[[#This Row],[Position]],2)=1,Eingabe[[#This Row],[S2]],Eingabe[[#This Row],[S3]]),""),""),"")</f>
        <v/>
      </c>
      <c r="AS553" s="6" t="str">
        <f>IFERROR(IF(Eingabe[[#This Row],[Wo]]="H",IF(Eingabe[[#This Row],[S1]]&gt;0,IF(MOD(ROW(Eingabe[[#This Row],[Heimbahn 3]]),2)=1,Eingabe[[#This Row],[S4]],Eingabe[[#This Row],[S1]]),""),""),"")</f>
        <v/>
      </c>
      <c r="AT553" s="6" t="str">
        <f>IFERROR(IF(Eingabe[[#This Row],[Wo]]="H",IF(Eingabe[[#This Row],[S1]]&gt;0,IF(MOD(ROW(Eingabe[[#This Row],[Heimbahn 4]]),2)=1,Eingabe[[#This Row],[S3]],Eingabe[[#This Row],[S2]]),""),""),"")</f>
        <v/>
      </c>
      <c r="AU553" s="22" t="str">
        <f>IF(Eingabe[[#This Row],[GES]]="","",IF(Eingabe[[#This Row],[Modus]]="L",_xlfn.RANK.EQ(Eingabe[[#This Row],[GES]],AF549:AF554),IF(Eingabe[[#This Row],[Modus]]="P",_xlfn.RANK.EQ(Eingabe[[#This Row],[GES]],AF549:AF554),"")))</f>
        <v/>
      </c>
      <c r="AV553" s="6" t="e">
        <f>VLOOKUP(Eingabe[[#This Row],[Name]],AuswertungG[],8,FALSE)</f>
        <v>#N/A</v>
      </c>
      <c r="AZ553" s="6" t="str">
        <f>IFERROR(ABS(Eingabe[[#This Row],[GES]]-Eingabe[[#This Row],[GEGGES]]),"")</f>
        <v/>
      </c>
    </row>
    <row r="554" spans="1:52" ht="16.2" hidden="1" thickBot="1" x14ac:dyDescent="0.35">
      <c r="A554" s="442"/>
      <c r="B554" s="56">
        <f t="shared" si="52"/>
        <v>92</v>
      </c>
      <c r="C554" s="23" t="str">
        <f>VLOOKUP($B554,Chronologie[],7,TRUE)</f>
        <v>SV Krummenhennersdorf</v>
      </c>
      <c r="D554" s="23" t="str">
        <f>VLOOKUP($B554,Chronologie[],8,TRUE)</f>
        <v>Krummenhennersdorf</v>
      </c>
      <c r="E554" s="39" t="str">
        <f>VLOOKUP($B554,Chronologie[],9,TRUE)</f>
        <v>A</v>
      </c>
      <c r="F554" s="23" t="str">
        <f>VLOOKUP($B554,Chronologie[],COLUMN(F555)-2,TRUE)</f>
        <v>U23</v>
      </c>
      <c r="G554" s="23" t="str">
        <f>VLOOKUP($B554,Chronologie[],COLUMN(G555)-2,TRUE)</f>
        <v>KEM</v>
      </c>
      <c r="H554" s="23" t="str">
        <f>VLOOKUP($B554,Chronologie[],COLUMN(H555)-2,TRUE)</f>
        <v>E</v>
      </c>
      <c r="I554" s="13" t="str">
        <f>VLOOKUP($B554,Chronologie[],2,TRUE)</f>
        <v>U23-KEM-E</v>
      </c>
      <c r="J554" s="244">
        <f>VLOOKUP($B554,Chronologie[],3,TRUE)</f>
        <v>46053</v>
      </c>
      <c r="K554" s="239"/>
      <c r="L554" s="239"/>
      <c r="M554" s="239"/>
      <c r="N554" s="239"/>
      <c r="O554" s="239"/>
      <c r="P554" s="239"/>
      <c r="Q554" s="239"/>
      <c r="R554" s="239"/>
      <c r="S554" s="239"/>
      <c r="T554" s="239"/>
      <c r="U554" s="239"/>
      <c r="V554" s="239"/>
      <c r="W554" s="239"/>
      <c r="X554" s="40"/>
      <c r="Y554" s="40"/>
      <c r="Z554" s="40"/>
      <c r="AA554" s="40"/>
      <c r="AB554" s="92"/>
      <c r="AC554" s="96" t="str">
        <f>IF(Eingabe[[#This Row],[V1]]="",IF(Eingabe[[#This Row],[Volle alternativ]]="","",Eingabe[[#This Row],[Volle alternativ]]),SUM(Eingabe[[#This Row],[V1]:[V4]]))</f>
        <v/>
      </c>
      <c r="AD554" s="23" t="str">
        <f>IF(Eingabe[[#This Row],[R1]]="",IF(Eingabe[[#This Row],[Räumer alternativ]]="","",Eingabe[[#This Row],[Räumer alternativ]]),SUM(Eingabe[[#This Row],[R1]:[R4]]))</f>
        <v/>
      </c>
      <c r="AE554" s="23" t="str">
        <f>IF(Eingabe[[#This Row],[F1]]="",IF(Eingabe[[#This Row],[Fehler alternativ]]="","",Eingabe[[#This Row],[Fehler alternativ]]),SUM(Eingabe[[#This Row],[F1]:[F4]]))</f>
        <v/>
      </c>
      <c r="AF554" s="23" t="str">
        <f>IF(Eingabe[[#This Row],[Volle]]="","",IF(Eingabe[[#This Row],[S1]]="",Eingabe[[#This Row],[Volle]]+Eingabe[[#This Row],[Räumer]],IF(Eingabe[[#This Row],[Volle]]+Eingabe[[#This Row],[Räumer]]=Eingabe[[#This Row],[S1]]+Eingabe[[#This Row],[S2]]+Eingabe[[#This Row],[S3]]+Eingabe[[#This Row],[S4]],Eingabe[[#This Row],[Volle]]+Eingabe[[#This Row],[Räumer]],"FEHLER")))</f>
        <v/>
      </c>
      <c r="AG554" s="23" t="str">
        <f>IF(Eingabe[[#This Row],[V1]]="","",Eingabe[[#This Row],[V1]]+Eingabe[[#This Row],[R1]])</f>
        <v/>
      </c>
      <c r="AH554" s="23" t="str">
        <f>IF(Eingabe[[#This Row],[V2]]="","",Eingabe[[#This Row],[V2]]+Eingabe[[#This Row],[R2]])</f>
        <v/>
      </c>
      <c r="AI554" s="23" t="str">
        <f>IF(Eingabe[[#This Row],[V3]]="","",Eingabe[[#This Row],[V3]]+Eingabe[[#This Row],[R3]])</f>
        <v/>
      </c>
      <c r="AJ554" s="23" t="str">
        <f>IF(Eingabe[[#This Row],[V4]]="","",Eingabe[[#This Row],[V4]]+Eingabe[[#This Row],[R4]])</f>
        <v/>
      </c>
      <c r="AK554" s="23" t="str">
        <f>IF(Eingabe[[#This Row],[S1P]]="","",Eingabe[[#This Row],[S1P]]+Eingabe[[#This Row],[S2P]]+Eingabe[[#This Row],[S3P]]+Eingabe[[#This Row],[S4P]])</f>
        <v/>
      </c>
      <c r="AL554" s="23" t="str">
        <f>IF(Eingabe[[#This Row],[S1P]]="","",IF(Eingabe[[#This Row],[SP]]&gt;2,1,IF(Eingabe[[#This Row],[SP]]&lt;2,0,IF(Eingabe[[#This Row],[GES]]&gt;Eingabe[[#This Row],[GEGGES]],1,IF(Eingabe[[#This Row],[GES]]=Eingabe[[#This Row],[GEGGES]],0.5,0)))))</f>
        <v/>
      </c>
      <c r="AM554" s="23" t="str">
        <f>IF(Eingabe[[#This Row],[MP]]="","",MOD(ROW(Eingabe[[#This Row],[Position]])-3,6)+1)</f>
        <v/>
      </c>
      <c r="AN554" s="23" t="e">
        <f>STANDARDIZE(Eingabe[[#This Row],[GES]],Eingabe[[#This Row],[Schnitt]],VLOOKUP(Eingabe[[#This Row],[Name]],AuswertungG[],21,FALSE))</f>
        <v>#VALUE!</v>
      </c>
      <c r="AO554" s="23">
        <f>VLOOKUP(Eingabe[[#This Row],[ID]],Chronologie[[ID]:[KW]],12,FALSE)</f>
        <v>23</v>
      </c>
      <c r="AP554" s="59" t="str">
        <f>IF(Eingabe[[#This Row],[Wo]]="H",Eingabe[[#This Row],[Gegner]]&amp;" ["&amp;Eingabe[[#This Row],[Wo]]&amp;"]",Eingabe[[#This Row],[Ort]])</f>
        <v>Krummenhennersdorf</v>
      </c>
      <c r="AQ554" s="23" t="str">
        <f>IFERROR(IF(Eingabe[[#This Row],[Wo]]="H",IF(MOD(Eingabe[[#This Row],[Position]],2)=1,Eingabe[[#This Row],[S1]],Eingabe[[#This Row],[S4]]),""),"")</f>
        <v/>
      </c>
      <c r="AR554" s="23" t="str">
        <f>IFERROR(IF(Eingabe[[#This Row],[Wo]]="H",IF(Eingabe[[#This Row],[S1]]&gt;0,IF(MOD(Eingabe[[#This Row],[Position]],2)=1,Eingabe[[#This Row],[S2]],Eingabe[[#This Row],[S3]]),""),""),"")</f>
        <v/>
      </c>
      <c r="AS554" s="23" t="str">
        <f>IFERROR(IF(Eingabe[[#This Row],[Wo]]="H",IF(Eingabe[[#This Row],[S1]]&gt;0,IF(MOD(ROW(Eingabe[[#This Row],[Heimbahn 3]]),2)=1,Eingabe[[#This Row],[S4]],Eingabe[[#This Row],[S1]]),""),""),"")</f>
        <v/>
      </c>
      <c r="AT554" s="23" t="str">
        <f>IFERROR(IF(Eingabe[[#This Row],[Wo]]="H",IF(Eingabe[[#This Row],[S1]]&gt;0,IF(MOD(ROW(Eingabe[[#This Row],[Heimbahn 4]]),2)=1,Eingabe[[#This Row],[S3]],Eingabe[[#This Row],[S2]]),""),""),"")</f>
        <v/>
      </c>
      <c r="AU554" s="89" t="str">
        <f>IF(Eingabe[[#This Row],[GES]]="","",IF(Eingabe[[#This Row],[Modus]]="L",_xlfn.RANK.EQ(Eingabe[[#This Row],[GES]],AF549:AF554),IF(Eingabe[[#This Row],[Modus]]="P",_xlfn.RANK.EQ(Eingabe[[#This Row],[GES]],AF549:AF554),"")))</f>
        <v/>
      </c>
      <c r="AV554" s="6" t="e">
        <f>VLOOKUP(Eingabe[[#This Row],[Name]],AuswertungG[],8,FALSE)</f>
        <v>#N/A</v>
      </c>
      <c r="AZ554" s="6" t="str">
        <f>IFERROR(ABS(Eingabe[[#This Row],[GES]]-Eingabe[[#This Row],[GEGGES]]),"")</f>
        <v/>
      </c>
    </row>
    <row r="555" spans="1:52" hidden="1" x14ac:dyDescent="0.3">
      <c r="A555" s="440">
        <f t="shared" ref="A555:A597" si="53">B555</f>
        <v>93</v>
      </c>
      <c r="B555" s="55">
        <f t="shared" si="52"/>
        <v>93</v>
      </c>
      <c r="C555" s="35" t="str">
        <f>VLOOKUP($B555,Chronologie[],7,TRUE)</f>
        <v>SV Krummenhennersdorf</v>
      </c>
      <c r="D555" s="35" t="str">
        <f>VLOOKUP($B555,Chronologie[],8,TRUE)</f>
        <v>Krummenhennersdorf</v>
      </c>
      <c r="E555" s="36" t="str">
        <f>VLOOKUP($B555,Chronologie[],9,TRUE)</f>
        <v>A</v>
      </c>
      <c r="F555" s="35" t="str">
        <f>VLOOKUP($B555,Chronologie[],COLUMN(F556)-2,TRUE)</f>
        <v>Ü60</v>
      </c>
      <c r="G555" s="35" t="str">
        <f>VLOOKUP($B555,Chronologie[],COLUMN(G556)-2,TRUE)</f>
        <v>KEM</v>
      </c>
      <c r="H555" s="35" t="str">
        <f>VLOOKUP($B555,Chronologie[],COLUMN(H556)-2,TRUE)</f>
        <v>E</v>
      </c>
      <c r="I555" s="9" t="str">
        <f>VLOOKUP($B555,Chronologie[],2,TRUE)</f>
        <v>Ü60-KEM-E</v>
      </c>
      <c r="J555" s="242">
        <f>VLOOKUP($B555,Chronologie[],3,TRUE)</f>
        <v>46053</v>
      </c>
      <c r="K555" s="236" t="s">
        <v>480</v>
      </c>
      <c r="L555" s="334">
        <v>89</v>
      </c>
      <c r="M555" s="334">
        <v>90</v>
      </c>
      <c r="N555" s="334">
        <v>89</v>
      </c>
      <c r="O555" s="334">
        <v>75</v>
      </c>
      <c r="P555" s="334">
        <v>41</v>
      </c>
      <c r="Q555" s="334">
        <v>42</v>
      </c>
      <c r="R555" s="334">
        <v>43</v>
      </c>
      <c r="S555" s="334">
        <v>42</v>
      </c>
      <c r="T555" s="334">
        <v>2</v>
      </c>
      <c r="U555" s="334">
        <v>1</v>
      </c>
      <c r="V555" s="334">
        <v>2</v>
      </c>
      <c r="W555" s="334">
        <v>2</v>
      </c>
      <c r="X555" s="37"/>
      <c r="Y555" s="37"/>
      <c r="Z555" s="37"/>
      <c r="AA555" s="37"/>
      <c r="AB555" s="90"/>
      <c r="AC555" s="93">
        <f>IF(Eingabe[[#This Row],[V1]]="",IF(Eingabe[[#This Row],[Volle alternativ]]="","",Eingabe[[#This Row],[Volle alternativ]]),SUM(Eingabe[[#This Row],[V1]:[V4]]))</f>
        <v>343</v>
      </c>
      <c r="AD555" s="35">
        <f>IF(Eingabe[[#This Row],[R1]]="",IF(Eingabe[[#This Row],[Räumer alternativ]]="","",Eingabe[[#This Row],[Räumer alternativ]]),SUM(Eingabe[[#This Row],[R1]:[R4]]))</f>
        <v>168</v>
      </c>
      <c r="AE555" s="35">
        <f>IF(Eingabe[[#This Row],[F1]]="",IF(Eingabe[[#This Row],[Fehler alternativ]]="","",Eingabe[[#This Row],[Fehler alternativ]]),SUM(Eingabe[[#This Row],[F1]:[F4]]))</f>
        <v>7</v>
      </c>
      <c r="AF555" s="35">
        <f>IF(Eingabe[[#This Row],[Volle]]="","",IF(Eingabe[[#This Row],[S1]]="",Eingabe[[#This Row],[Volle]]+Eingabe[[#This Row],[Räumer]],IF(Eingabe[[#This Row],[Volle]]+Eingabe[[#This Row],[Räumer]]=Eingabe[[#This Row],[S1]]+Eingabe[[#This Row],[S2]]+Eingabe[[#This Row],[S3]]+Eingabe[[#This Row],[S4]],Eingabe[[#This Row],[Volle]]+Eingabe[[#This Row],[Räumer]],"FEHLER")))</f>
        <v>511</v>
      </c>
      <c r="AG555" s="35">
        <f>IF(Eingabe[[#This Row],[V1]]="","",Eingabe[[#This Row],[V1]]+Eingabe[[#This Row],[R1]])</f>
        <v>130</v>
      </c>
      <c r="AH555" s="35">
        <f>IF(Eingabe[[#This Row],[V2]]="","",Eingabe[[#This Row],[V2]]+Eingabe[[#This Row],[R2]])</f>
        <v>132</v>
      </c>
      <c r="AI555" s="35">
        <f>IF(Eingabe[[#This Row],[V3]]="","",Eingabe[[#This Row],[V3]]+Eingabe[[#This Row],[R3]])</f>
        <v>132</v>
      </c>
      <c r="AJ555" s="35">
        <f>IF(Eingabe[[#This Row],[V4]]="","",Eingabe[[#This Row],[V4]]+Eingabe[[#This Row],[R4]])</f>
        <v>117</v>
      </c>
      <c r="AK555" s="35" t="str">
        <f>IF(Eingabe[[#This Row],[S1P]]="","",Eingabe[[#This Row],[S1P]]+Eingabe[[#This Row],[S2P]]+Eingabe[[#This Row],[S3P]]+Eingabe[[#This Row],[S4P]])</f>
        <v/>
      </c>
      <c r="AL555" s="35" t="str">
        <f>IF(Eingabe[[#This Row],[S1P]]="","",IF(Eingabe[[#This Row],[SP]]&gt;2,1,IF(Eingabe[[#This Row],[SP]]&lt;2,0,IF(Eingabe[[#This Row],[GES]]&gt;Eingabe[[#This Row],[GEGGES]],1,IF(Eingabe[[#This Row],[GES]]=Eingabe[[#This Row],[GEGGES]],0.5,0)))))</f>
        <v/>
      </c>
      <c r="AM555" s="35" t="str">
        <f>IF(Eingabe[[#This Row],[MP]]="","",MOD(ROW(Eingabe[[#This Row],[Position]])-3,6)+1)</f>
        <v/>
      </c>
      <c r="AN555" s="35">
        <f>STANDARDIZE(Eingabe[[#This Row],[GES]],Eingabe[[#This Row],[Schnitt]],VLOOKUP(Eingabe[[#This Row],[Name]],AuswertungG[],21,FALSE))</f>
        <v>0.16666666666666666</v>
      </c>
      <c r="AO555" s="35">
        <f>VLOOKUP(Eingabe[[#This Row],[ID]],Chronologie[[ID]:[KW]],12,FALSE)</f>
        <v>23</v>
      </c>
      <c r="AP555" s="58" t="str">
        <f>IF(Eingabe[[#This Row],[Wo]]="H",Eingabe[[#This Row],[Gegner]]&amp;" ["&amp;Eingabe[[#This Row],[Wo]]&amp;"]",Eingabe[[#This Row],[Ort]])</f>
        <v>Krummenhennersdorf</v>
      </c>
      <c r="AQ555" s="35" t="str">
        <f>IFERROR(IF(Eingabe[[#This Row],[Wo]]="H",IF(MOD(Eingabe[[#This Row],[Position]],2)=1,Eingabe[[#This Row],[S1]],Eingabe[[#This Row],[S4]]),""),"")</f>
        <v/>
      </c>
      <c r="AR555" s="35" t="str">
        <f>IFERROR(IF(Eingabe[[#This Row],[Wo]]="H",IF(Eingabe[[#This Row],[S1]]&gt;0,IF(MOD(Eingabe[[#This Row],[Position]],2)=1,Eingabe[[#This Row],[S2]],Eingabe[[#This Row],[S3]]),""),""),"")</f>
        <v/>
      </c>
      <c r="AS555" s="35" t="str">
        <f>IFERROR(IF(Eingabe[[#This Row],[Wo]]="H",IF(Eingabe[[#This Row],[S1]]&gt;0,IF(MOD(ROW(Eingabe[[#This Row],[Heimbahn 3]]),2)=1,Eingabe[[#This Row],[S4]],Eingabe[[#This Row],[S1]]),""),""),"")</f>
        <v/>
      </c>
      <c r="AT555" s="35" t="str">
        <f>IFERROR(IF(Eingabe[[#This Row],[Wo]]="H",IF(Eingabe[[#This Row],[S1]]&gt;0,IF(MOD(ROW(Eingabe[[#This Row],[Heimbahn 4]]),2)=1,Eingabe[[#This Row],[S3]],Eingabe[[#This Row],[S2]]),""),""),"")</f>
        <v/>
      </c>
      <c r="AU555" s="88" t="str">
        <f>IF(Eingabe[[#This Row],[GES]]="","",IF(Eingabe[[#This Row],[Modus]]="L",_xlfn.RANK.EQ(Eingabe[[#This Row],[GES]],AF555:AF560),IF(Eingabe[[#This Row],[Modus]]="P",_xlfn.RANK.EQ(Eingabe[[#This Row],[GES]],AF555:AF560),"")))</f>
        <v/>
      </c>
      <c r="AV555" s="6">
        <f>VLOOKUP(Eingabe[[#This Row],[Name]],AuswertungG[],8,FALSE)</f>
        <v>509</v>
      </c>
      <c r="AZ555" s="6">
        <f>IFERROR(ABS(Eingabe[[#This Row],[GES]]-Eingabe[[#This Row],[GEGGES]]),"")</f>
        <v>511</v>
      </c>
    </row>
    <row r="556" spans="1:52" hidden="1" x14ac:dyDescent="0.3">
      <c r="A556" s="441"/>
      <c r="B556" s="21">
        <f t="shared" si="52"/>
        <v>93</v>
      </c>
      <c r="C556" s="6" t="str">
        <f>VLOOKUP($B556,Chronologie[],7,TRUE)</f>
        <v>SV Krummenhennersdorf</v>
      </c>
      <c r="D556" s="6" t="str">
        <f>VLOOKUP($B556,Chronologie[],8,TRUE)</f>
        <v>Krummenhennersdorf</v>
      </c>
      <c r="E556" s="240" t="str">
        <f>VLOOKUP($B556,Chronologie[],9,TRUE)</f>
        <v>A</v>
      </c>
      <c r="F556" s="6" t="str">
        <f>VLOOKUP($B556,Chronologie[],COLUMN(F557)-2,TRUE)</f>
        <v>Ü60</v>
      </c>
      <c r="G556" s="6" t="str">
        <f>VLOOKUP($B556,Chronologie[],COLUMN(G557)-2,TRUE)</f>
        <v>KEM</v>
      </c>
      <c r="H556" s="6" t="str">
        <f>VLOOKUP($B556,Chronologie[],COLUMN(H557)-2,TRUE)</f>
        <v>E</v>
      </c>
      <c r="I556" s="10" t="str">
        <f>VLOOKUP($B556,Chronologie[],2,TRUE)</f>
        <v>Ü60-KEM-E</v>
      </c>
      <c r="J556" s="243">
        <f>VLOOKUP($B556,Chronologie[],3,TRUE)</f>
        <v>46053</v>
      </c>
      <c r="K556" s="237" t="s">
        <v>463</v>
      </c>
      <c r="L556" s="237"/>
      <c r="M556" s="237"/>
      <c r="N556" s="237"/>
      <c r="O556" s="237"/>
      <c r="P556" s="237"/>
      <c r="Q556" s="237"/>
      <c r="R556" s="237"/>
      <c r="S556" s="237"/>
      <c r="T556" s="237"/>
      <c r="U556" s="237"/>
      <c r="V556" s="237"/>
      <c r="W556" s="237"/>
      <c r="X556" s="38"/>
      <c r="Y556" s="38"/>
      <c r="Z556" s="38"/>
      <c r="AA556" s="38"/>
      <c r="AB556" s="91"/>
      <c r="AC556" s="94">
        <f>IF(Eingabe[[#This Row],[V1]]="",IF(Eingabe[[#This Row],[Volle alternativ]]="","",Eingabe[[#This Row],[Volle alternativ]]),SUM(Eingabe[[#This Row],[V1]:[V4]]))</f>
        <v>364</v>
      </c>
      <c r="AD556" s="6">
        <f>IF(Eingabe[[#This Row],[R1]]="",IF(Eingabe[[#This Row],[Räumer alternativ]]="","",Eingabe[[#This Row],[Räumer alternativ]]),SUM(Eingabe[[#This Row],[R1]:[R4]]))</f>
        <v>157</v>
      </c>
      <c r="AE556" s="6">
        <f>IF(Eingabe[[#This Row],[F1]]="",IF(Eingabe[[#This Row],[Fehler alternativ]]="","",Eingabe[[#This Row],[Fehler alternativ]]),SUM(Eingabe[[#This Row],[F1]:[F4]]))</f>
        <v>16</v>
      </c>
      <c r="AF556" s="6">
        <f>IF(Eingabe[[#This Row],[Volle]]="","",IF(Eingabe[[#This Row],[S1]]="",Eingabe[[#This Row],[Volle]]+Eingabe[[#This Row],[Räumer]],IF(Eingabe[[#This Row],[Volle]]+Eingabe[[#This Row],[Räumer]]=Eingabe[[#This Row],[S1]]+Eingabe[[#This Row],[S2]]+Eingabe[[#This Row],[S3]]+Eingabe[[#This Row],[S4]],Eingabe[[#This Row],[Volle]]+Eingabe[[#This Row],[Räumer]],"FEHLER")))</f>
        <v>521</v>
      </c>
      <c r="AG556" s="6" t="str">
        <f>IF(Eingabe[[#This Row],[V1]]="","",Eingabe[[#This Row],[V1]]+Eingabe[[#This Row],[R1]])</f>
        <v/>
      </c>
      <c r="AH556" s="6" t="str">
        <f>IF(Eingabe[[#This Row],[V2]]="","",Eingabe[[#This Row],[V2]]+Eingabe[[#This Row],[R2]])</f>
        <v/>
      </c>
      <c r="AI556" s="6" t="str">
        <f>IF(Eingabe[[#This Row],[V3]]="","",Eingabe[[#This Row],[V3]]+Eingabe[[#This Row],[R3]])</f>
        <v/>
      </c>
      <c r="AJ556" s="6" t="str">
        <f>IF(Eingabe[[#This Row],[V4]]="","",Eingabe[[#This Row],[V4]]+Eingabe[[#This Row],[R4]])</f>
        <v/>
      </c>
      <c r="AK556" s="6" t="str">
        <f>IF(Eingabe[[#This Row],[S1P]]="","",Eingabe[[#This Row],[S1P]]+Eingabe[[#This Row],[S2P]]+Eingabe[[#This Row],[S3P]]+Eingabe[[#This Row],[S4P]])</f>
        <v/>
      </c>
      <c r="AL556" s="6" t="str">
        <f>IF(Eingabe[[#This Row],[S1P]]="","",IF(Eingabe[[#This Row],[SP]]&gt;2,1,IF(Eingabe[[#This Row],[SP]]&lt;2,0,IF(Eingabe[[#This Row],[GES]]&gt;Eingabe[[#This Row],[GEGGES]],1,IF(Eingabe[[#This Row],[GES]]=Eingabe[[#This Row],[GEGGES]],0.5,0)))))</f>
        <v/>
      </c>
      <c r="AM556" s="6" t="str">
        <f>IF(Eingabe[[#This Row],[MP]]="","",MOD(ROW(Eingabe[[#This Row],[Position]])-3,6)+1)</f>
        <v/>
      </c>
      <c r="AN556" s="6">
        <f>STANDARDIZE(Eingabe[[#This Row],[GES]],Eingabe[[#This Row],[Schnitt]],VLOOKUP(Eingabe[[#This Row],[Name]],AuswertungG[],21,FALSE))</f>
        <v>0.19354838709677419</v>
      </c>
      <c r="AO556" s="6">
        <f>VLOOKUP(Eingabe[[#This Row],[ID]],Chronologie[[ID]:[KW]],12,FALSE)</f>
        <v>23</v>
      </c>
      <c r="AP556" s="95" t="str">
        <f>IF(Eingabe[[#This Row],[Wo]]="H",Eingabe[[#This Row],[Gegner]]&amp;" ["&amp;Eingabe[[#This Row],[Wo]]&amp;"]",Eingabe[[#This Row],[Ort]])</f>
        <v>Krummenhennersdorf</v>
      </c>
      <c r="AQ556" s="6" t="str">
        <f>IFERROR(IF(Eingabe[[#This Row],[Wo]]="H",IF(MOD(Eingabe[[#This Row],[Position]],2)=1,Eingabe[[#This Row],[S1]],Eingabe[[#This Row],[S4]]),""),"")</f>
        <v/>
      </c>
      <c r="AR556" s="6" t="str">
        <f>IFERROR(IF(Eingabe[[#This Row],[Wo]]="H",IF(Eingabe[[#This Row],[S1]]&gt;0,IF(MOD(Eingabe[[#This Row],[Position]],2)=1,Eingabe[[#This Row],[S2]],Eingabe[[#This Row],[S3]]),""),""),"")</f>
        <v/>
      </c>
      <c r="AS556" s="6" t="str">
        <f>IFERROR(IF(Eingabe[[#This Row],[Wo]]="H",IF(Eingabe[[#This Row],[S1]]&gt;0,IF(MOD(ROW(Eingabe[[#This Row],[Heimbahn 3]]),2)=1,Eingabe[[#This Row],[S4]],Eingabe[[#This Row],[S1]]),""),""),"")</f>
        <v/>
      </c>
      <c r="AT556" s="6" t="str">
        <f>IFERROR(IF(Eingabe[[#This Row],[Wo]]="H",IF(Eingabe[[#This Row],[S1]]&gt;0,IF(MOD(ROW(Eingabe[[#This Row],[Heimbahn 4]]),2)=1,Eingabe[[#This Row],[S3]],Eingabe[[#This Row],[S2]]),""),""),"")</f>
        <v/>
      </c>
      <c r="AU556" s="22" t="str">
        <f>IF(Eingabe[[#This Row],[GES]]="","",IF(Eingabe[[#This Row],[Modus]]="L",_xlfn.RANK.EQ(Eingabe[[#This Row],[GES]],AF555:AF560),IF(Eingabe[[#This Row],[Modus]]="P",_xlfn.RANK.EQ(Eingabe[[#This Row],[GES]],AF555:AF560),"")))</f>
        <v/>
      </c>
      <c r="AV556" s="6">
        <f>VLOOKUP(Eingabe[[#This Row],[Name]],AuswertungG[],8,FALSE)</f>
        <v>515</v>
      </c>
      <c r="AW556" s="6">
        <v>364</v>
      </c>
      <c r="AX556" s="6">
        <v>157</v>
      </c>
      <c r="AY556" s="6">
        <v>16</v>
      </c>
      <c r="AZ556" s="6">
        <f>IFERROR(ABS(Eingabe[[#This Row],[GES]]-Eingabe[[#This Row],[GEGGES]]),"")</f>
        <v>521</v>
      </c>
    </row>
    <row r="557" spans="1:52" hidden="1" x14ac:dyDescent="0.3">
      <c r="A557" s="441"/>
      <c r="B557" s="21">
        <f t="shared" si="52"/>
        <v>93</v>
      </c>
      <c r="C557" s="6" t="str">
        <f>VLOOKUP($B557,Chronologie[],7,TRUE)</f>
        <v>SV Krummenhennersdorf</v>
      </c>
      <c r="D557" s="6" t="str">
        <f>VLOOKUP($B557,Chronologie[],8,TRUE)</f>
        <v>Krummenhennersdorf</v>
      </c>
      <c r="E557" s="240" t="str">
        <f>VLOOKUP($B557,Chronologie[],9,TRUE)</f>
        <v>A</v>
      </c>
      <c r="F557" s="6" t="str">
        <f>VLOOKUP($B557,Chronologie[],COLUMN(F558)-2,TRUE)</f>
        <v>Ü60</v>
      </c>
      <c r="G557" s="6" t="str">
        <f>VLOOKUP($B557,Chronologie[],COLUMN(G558)-2,TRUE)</f>
        <v>KEM</v>
      </c>
      <c r="H557" s="6" t="str">
        <f>VLOOKUP($B557,Chronologie[],COLUMN(H558)-2,TRUE)</f>
        <v>E</v>
      </c>
      <c r="I557" s="10" t="str">
        <f>VLOOKUP($B557,Chronologie[],2,TRUE)</f>
        <v>Ü60-KEM-E</v>
      </c>
      <c r="J557" s="243">
        <f>VLOOKUP($B557,Chronologie[],3,TRUE)</f>
        <v>46053</v>
      </c>
      <c r="K557" s="237"/>
      <c r="L557" s="237"/>
      <c r="M557" s="237"/>
      <c r="N557" s="237"/>
      <c r="O557" s="237"/>
      <c r="P557" s="237"/>
      <c r="Q557" s="237"/>
      <c r="R557" s="237"/>
      <c r="S557" s="237"/>
      <c r="T557" s="237"/>
      <c r="U557" s="237"/>
      <c r="V557" s="237"/>
      <c r="W557" s="237"/>
      <c r="X557" s="38"/>
      <c r="Y557" s="38"/>
      <c r="Z557" s="38"/>
      <c r="AA557" s="38"/>
      <c r="AB557" s="91"/>
      <c r="AC557" s="94" t="str">
        <f>IF(Eingabe[[#This Row],[V1]]="",IF(Eingabe[[#This Row],[Volle alternativ]]="","",Eingabe[[#This Row],[Volle alternativ]]),SUM(Eingabe[[#This Row],[V1]:[V4]]))</f>
        <v/>
      </c>
      <c r="AD557" s="6" t="str">
        <f>IF(Eingabe[[#This Row],[R1]]="",IF(Eingabe[[#This Row],[Räumer alternativ]]="","",Eingabe[[#This Row],[Räumer alternativ]]),SUM(Eingabe[[#This Row],[R1]:[R4]]))</f>
        <v/>
      </c>
      <c r="AE557" s="6" t="str">
        <f>IF(Eingabe[[#This Row],[F1]]="",IF(Eingabe[[#This Row],[Fehler alternativ]]="","",Eingabe[[#This Row],[Fehler alternativ]]),SUM(Eingabe[[#This Row],[F1]:[F4]]))</f>
        <v/>
      </c>
      <c r="AF557" s="6" t="str">
        <f>IF(Eingabe[[#This Row],[Volle]]="","",IF(Eingabe[[#This Row],[S1]]="",Eingabe[[#This Row],[Volle]]+Eingabe[[#This Row],[Räumer]],IF(Eingabe[[#This Row],[Volle]]+Eingabe[[#This Row],[Räumer]]=Eingabe[[#This Row],[S1]]+Eingabe[[#This Row],[S2]]+Eingabe[[#This Row],[S3]]+Eingabe[[#This Row],[S4]],Eingabe[[#This Row],[Volle]]+Eingabe[[#This Row],[Räumer]],"FEHLER")))</f>
        <v/>
      </c>
      <c r="AG557" s="6" t="str">
        <f>IF(Eingabe[[#This Row],[V1]]="","",Eingabe[[#This Row],[V1]]+Eingabe[[#This Row],[R1]])</f>
        <v/>
      </c>
      <c r="AH557" s="6" t="str">
        <f>IF(Eingabe[[#This Row],[V2]]="","",Eingabe[[#This Row],[V2]]+Eingabe[[#This Row],[R2]])</f>
        <v/>
      </c>
      <c r="AI557" s="6" t="str">
        <f>IF(Eingabe[[#This Row],[V3]]="","",Eingabe[[#This Row],[V3]]+Eingabe[[#This Row],[R3]])</f>
        <v/>
      </c>
      <c r="AJ557" s="6" t="str">
        <f>IF(Eingabe[[#This Row],[V4]]="","",Eingabe[[#This Row],[V4]]+Eingabe[[#This Row],[R4]])</f>
        <v/>
      </c>
      <c r="AK557" s="6" t="str">
        <f>IF(Eingabe[[#This Row],[S1P]]="","",Eingabe[[#This Row],[S1P]]+Eingabe[[#This Row],[S2P]]+Eingabe[[#This Row],[S3P]]+Eingabe[[#This Row],[S4P]])</f>
        <v/>
      </c>
      <c r="AL557" s="6" t="str">
        <f>IF(Eingabe[[#This Row],[S1P]]="","",IF(Eingabe[[#This Row],[SP]]&gt;2,1,IF(Eingabe[[#This Row],[SP]]&lt;2,0,IF(Eingabe[[#This Row],[GES]]&gt;Eingabe[[#This Row],[GEGGES]],1,IF(Eingabe[[#This Row],[GES]]=Eingabe[[#This Row],[GEGGES]],0.5,0)))))</f>
        <v/>
      </c>
      <c r="AM557" s="6" t="str">
        <f>IF(Eingabe[[#This Row],[MP]]="","",MOD(ROW(Eingabe[[#This Row],[Position]])-3,6)+1)</f>
        <v/>
      </c>
      <c r="AN557" s="6" t="e">
        <f>STANDARDIZE(Eingabe[[#This Row],[GES]],Eingabe[[#This Row],[Schnitt]],VLOOKUP(Eingabe[[#This Row],[Name]],AuswertungG[],21,FALSE))</f>
        <v>#VALUE!</v>
      </c>
      <c r="AO557" s="6">
        <f>VLOOKUP(Eingabe[[#This Row],[ID]],Chronologie[[ID]:[KW]],12,FALSE)</f>
        <v>23</v>
      </c>
      <c r="AP557" s="95" t="str">
        <f>IF(Eingabe[[#This Row],[Wo]]="H",Eingabe[[#This Row],[Gegner]]&amp;" ["&amp;Eingabe[[#This Row],[Wo]]&amp;"]",Eingabe[[#This Row],[Ort]])</f>
        <v>Krummenhennersdorf</v>
      </c>
      <c r="AQ557" s="6" t="str">
        <f>IFERROR(IF(Eingabe[[#This Row],[Wo]]="H",IF(MOD(Eingabe[[#This Row],[Position]],2)=1,Eingabe[[#This Row],[S1]],Eingabe[[#This Row],[S4]]),""),"")</f>
        <v/>
      </c>
      <c r="AR557" s="6" t="str">
        <f>IFERROR(IF(Eingabe[[#This Row],[Wo]]="H",IF(Eingabe[[#This Row],[S1]]&gt;0,IF(MOD(Eingabe[[#This Row],[Position]],2)=1,Eingabe[[#This Row],[S2]],Eingabe[[#This Row],[S3]]),""),""),"")</f>
        <v/>
      </c>
      <c r="AS557" s="6" t="str">
        <f>IFERROR(IF(Eingabe[[#This Row],[Wo]]="H",IF(Eingabe[[#This Row],[S1]]&gt;0,IF(MOD(ROW(Eingabe[[#This Row],[Heimbahn 3]]),2)=1,Eingabe[[#This Row],[S4]],Eingabe[[#This Row],[S1]]),""),""),"")</f>
        <v/>
      </c>
      <c r="AT557" s="6" t="str">
        <f>IFERROR(IF(Eingabe[[#This Row],[Wo]]="H",IF(Eingabe[[#This Row],[S1]]&gt;0,IF(MOD(ROW(Eingabe[[#This Row],[Heimbahn 4]]),2)=1,Eingabe[[#This Row],[S3]],Eingabe[[#This Row],[S2]]),""),""),"")</f>
        <v/>
      </c>
      <c r="AU557" s="22" t="str">
        <f>IF(Eingabe[[#This Row],[GES]]="","",IF(Eingabe[[#This Row],[Modus]]="L",_xlfn.RANK.EQ(Eingabe[[#This Row],[GES]],AF555:AF560),IF(Eingabe[[#This Row],[Modus]]="P",_xlfn.RANK.EQ(Eingabe[[#This Row],[GES]],AF555:AF560),"")))</f>
        <v/>
      </c>
      <c r="AV557" s="6" t="e">
        <f>VLOOKUP(Eingabe[[#This Row],[Name]],AuswertungG[],8,FALSE)</f>
        <v>#N/A</v>
      </c>
      <c r="AZ557" s="6" t="str">
        <f>IFERROR(ABS(Eingabe[[#This Row],[GES]]-Eingabe[[#This Row],[GEGGES]]),"")</f>
        <v/>
      </c>
    </row>
    <row r="558" spans="1:52" hidden="1" x14ac:dyDescent="0.3">
      <c r="A558" s="441"/>
      <c r="B558" s="21">
        <f t="shared" si="52"/>
        <v>93</v>
      </c>
      <c r="C558" s="6" t="str">
        <f>VLOOKUP($B558,Chronologie[],7,TRUE)</f>
        <v>SV Krummenhennersdorf</v>
      </c>
      <c r="D558" s="6" t="str">
        <f>VLOOKUP($B558,Chronologie[],8,TRUE)</f>
        <v>Krummenhennersdorf</v>
      </c>
      <c r="E558" s="240" t="str">
        <f>VLOOKUP($B558,Chronologie[],9,TRUE)</f>
        <v>A</v>
      </c>
      <c r="F558" s="6" t="str">
        <f>VLOOKUP($B558,Chronologie[],COLUMN(F559)-2,TRUE)</f>
        <v>Ü60</v>
      </c>
      <c r="G558" s="6" t="str">
        <f>VLOOKUP($B558,Chronologie[],COLUMN(G559)-2,TRUE)</f>
        <v>KEM</v>
      </c>
      <c r="H558" s="6" t="str">
        <f>VLOOKUP($B558,Chronologie[],COLUMN(H559)-2,TRUE)</f>
        <v>E</v>
      </c>
      <c r="I558" s="10" t="str">
        <f>VLOOKUP($B558,Chronologie[],2,TRUE)</f>
        <v>Ü60-KEM-E</v>
      </c>
      <c r="J558" s="243">
        <f>VLOOKUP($B558,Chronologie[],3,TRUE)</f>
        <v>46053</v>
      </c>
      <c r="K558" s="238"/>
      <c r="L558" s="237"/>
      <c r="M558" s="237"/>
      <c r="N558" s="237"/>
      <c r="O558" s="237"/>
      <c r="P558" s="237"/>
      <c r="Q558" s="237"/>
      <c r="R558" s="237"/>
      <c r="S558" s="237"/>
      <c r="T558" s="237"/>
      <c r="U558" s="237"/>
      <c r="V558" s="237"/>
      <c r="W558" s="237"/>
      <c r="X558" s="38"/>
      <c r="Y558" s="38"/>
      <c r="Z558" s="38"/>
      <c r="AA558" s="38"/>
      <c r="AB558" s="91"/>
      <c r="AC558" s="94" t="str">
        <f>IF(Eingabe[[#This Row],[V1]]="",IF(Eingabe[[#This Row],[Volle alternativ]]="","",Eingabe[[#This Row],[Volle alternativ]]),SUM(Eingabe[[#This Row],[V1]:[V4]]))</f>
        <v/>
      </c>
      <c r="AD558" s="6" t="str">
        <f>IF(Eingabe[[#This Row],[R1]]="",IF(Eingabe[[#This Row],[Räumer alternativ]]="","",Eingabe[[#This Row],[Räumer alternativ]]),SUM(Eingabe[[#This Row],[R1]:[R4]]))</f>
        <v/>
      </c>
      <c r="AE558" s="6" t="str">
        <f>IF(Eingabe[[#This Row],[F1]]="",IF(Eingabe[[#This Row],[Fehler alternativ]]="","",Eingabe[[#This Row],[Fehler alternativ]]),SUM(Eingabe[[#This Row],[F1]:[F4]]))</f>
        <v/>
      </c>
      <c r="AF558" s="6" t="str">
        <f>IF(Eingabe[[#This Row],[Volle]]="","",IF(Eingabe[[#This Row],[S1]]="",Eingabe[[#This Row],[Volle]]+Eingabe[[#This Row],[Räumer]],IF(Eingabe[[#This Row],[Volle]]+Eingabe[[#This Row],[Räumer]]=Eingabe[[#This Row],[S1]]+Eingabe[[#This Row],[S2]]+Eingabe[[#This Row],[S3]]+Eingabe[[#This Row],[S4]],Eingabe[[#This Row],[Volle]]+Eingabe[[#This Row],[Räumer]],"FEHLER")))</f>
        <v/>
      </c>
      <c r="AG558" s="6" t="str">
        <f>IF(Eingabe[[#This Row],[V1]]="","",Eingabe[[#This Row],[V1]]+Eingabe[[#This Row],[R1]])</f>
        <v/>
      </c>
      <c r="AH558" s="6" t="str">
        <f>IF(Eingabe[[#This Row],[V2]]="","",Eingabe[[#This Row],[V2]]+Eingabe[[#This Row],[R2]])</f>
        <v/>
      </c>
      <c r="AI558" s="6" t="str">
        <f>IF(Eingabe[[#This Row],[V3]]="","",Eingabe[[#This Row],[V3]]+Eingabe[[#This Row],[R3]])</f>
        <v/>
      </c>
      <c r="AJ558" s="6" t="str">
        <f>IF(Eingabe[[#This Row],[V4]]="","",Eingabe[[#This Row],[V4]]+Eingabe[[#This Row],[R4]])</f>
        <v/>
      </c>
      <c r="AK558" s="6" t="str">
        <f>IF(Eingabe[[#This Row],[S1P]]="","",Eingabe[[#This Row],[S1P]]+Eingabe[[#This Row],[S2P]]+Eingabe[[#This Row],[S3P]]+Eingabe[[#This Row],[S4P]])</f>
        <v/>
      </c>
      <c r="AL558" s="6" t="str">
        <f>IF(Eingabe[[#This Row],[S1P]]="","",IF(Eingabe[[#This Row],[SP]]&gt;2,1,IF(Eingabe[[#This Row],[SP]]&lt;2,0,IF(Eingabe[[#This Row],[GES]]&gt;Eingabe[[#This Row],[GEGGES]],1,IF(Eingabe[[#This Row],[GES]]=Eingabe[[#This Row],[GEGGES]],0.5,0)))))</f>
        <v/>
      </c>
      <c r="AM558" s="6" t="str">
        <f>IF(Eingabe[[#This Row],[MP]]="","",MOD(ROW(Eingabe[[#This Row],[Position]])-3,6)+1)</f>
        <v/>
      </c>
      <c r="AN558" s="6" t="e">
        <f>STANDARDIZE(Eingabe[[#This Row],[GES]],Eingabe[[#This Row],[Schnitt]],VLOOKUP(Eingabe[[#This Row],[Name]],AuswertungG[],21,FALSE))</f>
        <v>#VALUE!</v>
      </c>
      <c r="AO558" s="6">
        <f>VLOOKUP(Eingabe[[#This Row],[ID]],Chronologie[[ID]:[KW]],12,FALSE)</f>
        <v>23</v>
      </c>
      <c r="AP558" s="95" t="str">
        <f>IF(Eingabe[[#This Row],[Wo]]="H",Eingabe[[#This Row],[Gegner]]&amp;" ["&amp;Eingabe[[#This Row],[Wo]]&amp;"]",Eingabe[[#This Row],[Ort]])</f>
        <v>Krummenhennersdorf</v>
      </c>
      <c r="AQ558" s="6" t="str">
        <f>IFERROR(IF(Eingabe[[#This Row],[Wo]]="H",IF(MOD(Eingabe[[#This Row],[Position]],2)=1,Eingabe[[#This Row],[S1]],Eingabe[[#This Row],[S4]]),""),"")</f>
        <v/>
      </c>
      <c r="AR558" s="6" t="str">
        <f>IFERROR(IF(Eingabe[[#This Row],[Wo]]="H",IF(Eingabe[[#This Row],[S1]]&gt;0,IF(MOD(Eingabe[[#This Row],[Position]],2)=1,Eingabe[[#This Row],[S2]],Eingabe[[#This Row],[S3]]),""),""),"")</f>
        <v/>
      </c>
      <c r="AS558" s="6" t="str">
        <f>IFERROR(IF(Eingabe[[#This Row],[Wo]]="H",IF(Eingabe[[#This Row],[S1]]&gt;0,IF(MOD(ROW(Eingabe[[#This Row],[Heimbahn 3]]),2)=1,Eingabe[[#This Row],[S4]],Eingabe[[#This Row],[S1]]),""),""),"")</f>
        <v/>
      </c>
      <c r="AT558" s="6" t="str">
        <f>IFERROR(IF(Eingabe[[#This Row],[Wo]]="H",IF(Eingabe[[#This Row],[S1]]&gt;0,IF(MOD(ROW(Eingabe[[#This Row],[Heimbahn 4]]),2)=1,Eingabe[[#This Row],[S3]],Eingabe[[#This Row],[S2]]),""),""),"")</f>
        <v/>
      </c>
      <c r="AU558" s="22" t="str">
        <f>IF(Eingabe[[#This Row],[GES]]="","",IF(Eingabe[[#This Row],[Modus]]="L",_xlfn.RANK.EQ(Eingabe[[#This Row],[GES]],AF555:AF560),IF(Eingabe[[#This Row],[Modus]]="P",_xlfn.RANK.EQ(Eingabe[[#This Row],[GES]],AF555:AF560),"")))</f>
        <v/>
      </c>
      <c r="AV558" s="6" t="e">
        <f>VLOOKUP(Eingabe[[#This Row],[Name]],AuswertungG[],8,FALSE)</f>
        <v>#N/A</v>
      </c>
      <c r="AZ558" s="6" t="str">
        <f>IFERROR(ABS(Eingabe[[#This Row],[GES]]-Eingabe[[#This Row],[GEGGES]]),"")</f>
        <v/>
      </c>
    </row>
    <row r="559" spans="1:52" hidden="1" x14ac:dyDescent="0.3">
      <c r="A559" s="441"/>
      <c r="B559" s="21">
        <f t="shared" si="52"/>
        <v>93</v>
      </c>
      <c r="C559" s="6" t="str">
        <f>VLOOKUP($B559,Chronologie[],7,TRUE)</f>
        <v>SV Krummenhennersdorf</v>
      </c>
      <c r="D559" s="6" t="str">
        <f>VLOOKUP($B559,Chronologie[],8,TRUE)</f>
        <v>Krummenhennersdorf</v>
      </c>
      <c r="E559" s="240" t="str">
        <f>VLOOKUP($B559,Chronologie[],9,TRUE)</f>
        <v>A</v>
      </c>
      <c r="F559" s="6" t="str">
        <f>VLOOKUP($B559,Chronologie[],COLUMN(F560)-2,TRUE)</f>
        <v>Ü60</v>
      </c>
      <c r="G559" s="6" t="str">
        <f>VLOOKUP($B559,Chronologie[],COLUMN(G560)-2,TRUE)</f>
        <v>KEM</v>
      </c>
      <c r="H559" s="6" t="str">
        <f>VLOOKUP($B559,Chronologie[],COLUMN(H560)-2,TRUE)</f>
        <v>E</v>
      </c>
      <c r="I559" s="10" t="str">
        <f>VLOOKUP($B559,Chronologie[],2,TRUE)</f>
        <v>Ü60-KEM-E</v>
      </c>
      <c r="J559" s="243">
        <f>VLOOKUP($B559,Chronologie[],3,TRUE)</f>
        <v>46053</v>
      </c>
      <c r="K559" s="237"/>
      <c r="L559" s="237"/>
      <c r="M559" s="237"/>
      <c r="N559" s="237"/>
      <c r="O559" s="237"/>
      <c r="P559" s="237"/>
      <c r="Q559" s="237"/>
      <c r="R559" s="237"/>
      <c r="S559" s="237"/>
      <c r="T559" s="237"/>
      <c r="U559" s="237"/>
      <c r="V559" s="237"/>
      <c r="W559" s="237"/>
      <c r="X559" s="38"/>
      <c r="Y559" s="38"/>
      <c r="Z559" s="38"/>
      <c r="AA559" s="38"/>
      <c r="AB559" s="91"/>
      <c r="AC559" s="94" t="str">
        <f>IF(Eingabe[[#This Row],[V1]]="",IF(Eingabe[[#This Row],[Volle alternativ]]="","",Eingabe[[#This Row],[Volle alternativ]]),SUM(Eingabe[[#This Row],[V1]:[V4]]))</f>
        <v/>
      </c>
      <c r="AD559" s="6" t="str">
        <f>IF(Eingabe[[#This Row],[R1]]="",IF(Eingabe[[#This Row],[Räumer alternativ]]="","",Eingabe[[#This Row],[Räumer alternativ]]),SUM(Eingabe[[#This Row],[R1]:[R4]]))</f>
        <v/>
      </c>
      <c r="AE559" s="6" t="str">
        <f>IF(Eingabe[[#This Row],[F1]]="",IF(Eingabe[[#This Row],[Fehler alternativ]]="","",Eingabe[[#This Row],[Fehler alternativ]]),SUM(Eingabe[[#This Row],[F1]:[F4]]))</f>
        <v/>
      </c>
      <c r="AF559" s="6" t="str">
        <f>IF(Eingabe[[#This Row],[Volle]]="","",IF(Eingabe[[#This Row],[S1]]="",Eingabe[[#This Row],[Volle]]+Eingabe[[#This Row],[Räumer]],IF(Eingabe[[#This Row],[Volle]]+Eingabe[[#This Row],[Räumer]]=Eingabe[[#This Row],[S1]]+Eingabe[[#This Row],[S2]]+Eingabe[[#This Row],[S3]]+Eingabe[[#This Row],[S4]],Eingabe[[#This Row],[Volle]]+Eingabe[[#This Row],[Räumer]],"FEHLER")))</f>
        <v/>
      </c>
      <c r="AG559" s="6" t="str">
        <f>IF(Eingabe[[#This Row],[V1]]="","",Eingabe[[#This Row],[V1]]+Eingabe[[#This Row],[R1]])</f>
        <v/>
      </c>
      <c r="AH559" s="6" t="str">
        <f>IF(Eingabe[[#This Row],[V2]]="","",Eingabe[[#This Row],[V2]]+Eingabe[[#This Row],[R2]])</f>
        <v/>
      </c>
      <c r="AI559" s="6" t="str">
        <f>IF(Eingabe[[#This Row],[V3]]="","",Eingabe[[#This Row],[V3]]+Eingabe[[#This Row],[R3]])</f>
        <v/>
      </c>
      <c r="AJ559" s="6" t="str">
        <f>IF(Eingabe[[#This Row],[V4]]="","",Eingabe[[#This Row],[V4]]+Eingabe[[#This Row],[R4]])</f>
        <v/>
      </c>
      <c r="AK559" s="6" t="str">
        <f>IF(Eingabe[[#This Row],[S1P]]="","",Eingabe[[#This Row],[S1P]]+Eingabe[[#This Row],[S2P]]+Eingabe[[#This Row],[S3P]]+Eingabe[[#This Row],[S4P]])</f>
        <v/>
      </c>
      <c r="AL559" s="6" t="str">
        <f>IF(Eingabe[[#This Row],[S1P]]="","",IF(Eingabe[[#This Row],[SP]]&gt;2,1,IF(Eingabe[[#This Row],[SP]]&lt;2,0,IF(Eingabe[[#This Row],[GES]]&gt;Eingabe[[#This Row],[GEGGES]],1,IF(Eingabe[[#This Row],[GES]]=Eingabe[[#This Row],[GEGGES]],0.5,0)))))</f>
        <v/>
      </c>
      <c r="AM559" s="6" t="str">
        <f>IF(Eingabe[[#This Row],[MP]]="","",MOD(ROW(Eingabe[[#This Row],[Position]])-3,6)+1)</f>
        <v/>
      </c>
      <c r="AN559" s="6" t="e">
        <f>STANDARDIZE(Eingabe[[#This Row],[GES]],Eingabe[[#This Row],[Schnitt]],VLOOKUP(Eingabe[[#This Row],[Name]],AuswertungG[],21,FALSE))</f>
        <v>#VALUE!</v>
      </c>
      <c r="AO559" s="6">
        <f>VLOOKUP(Eingabe[[#This Row],[ID]],Chronologie[[ID]:[KW]],12,FALSE)</f>
        <v>23</v>
      </c>
      <c r="AP559" s="95" t="str">
        <f>IF(Eingabe[[#This Row],[Wo]]="H",Eingabe[[#This Row],[Gegner]]&amp;" ["&amp;Eingabe[[#This Row],[Wo]]&amp;"]",Eingabe[[#This Row],[Ort]])</f>
        <v>Krummenhennersdorf</v>
      </c>
      <c r="AQ559" s="6" t="str">
        <f>IFERROR(IF(Eingabe[[#This Row],[Wo]]="H",IF(MOD(Eingabe[[#This Row],[Position]],2)=1,Eingabe[[#This Row],[S1]],Eingabe[[#This Row],[S4]]),""),"")</f>
        <v/>
      </c>
      <c r="AR559" s="6" t="str">
        <f>IFERROR(IF(Eingabe[[#This Row],[Wo]]="H",IF(Eingabe[[#This Row],[S1]]&gt;0,IF(MOD(Eingabe[[#This Row],[Position]],2)=1,Eingabe[[#This Row],[S2]],Eingabe[[#This Row],[S3]]),""),""),"")</f>
        <v/>
      </c>
      <c r="AS559" s="6" t="str">
        <f>IFERROR(IF(Eingabe[[#This Row],[Wo]]="H",IF(Eingabe[[#This Row],[S1]]&gt;0,IF(MOD(ROW(Eingabe[[#This Row],[Heimbahn 3]]),2)=1,Eingabe[[#This Row],[S4]],Eingabe[[#This Row],[S1]]),""),""),"")</f>
        <v/>
      </c>
      <c r="AT559" s="6" t="str">
        <f>IFERROR(IF(Eingabe[[#This Row],[Wo]]="H",IF(Eingabe[[#This Row],[S1]]&gt;0,IF(MOD(ROW(Eingabe[[#This Row],[Heimbahn 4]]),2)=1,Eingabe[[#This Row],[S3]],Eingabe[[#This Row],[S2]]),""),""),"")</f>
        <v/>
      </c>
      <c r="AU559" s="22" t="str">
        <f>IF(Eingabe[[#This Row],[GES]]="","",IF(Eingabe[[#This Row],[Modus]]="L",_xlfn.RANK.EQ(Eingabe[[#This Row],[GES]],AF555:AF560),IF(Eingabe[[#This Row],[Modus]]="P",_xlfn.RANK.EQ(Eingabe[[#This Row],[GES]],AF555:AF560),"")))</f>
        <v/>
      </c>
      <c r="AV559" s="6" t="e">
        <f>VLOOKUP(Eingabe[[#This Row],[Name]],AuswertungG[],8,FALSE)</f>
        <v>#N/A</v>
      </c>
      <c r="AZ559" s="6" t="str">
        <f>IFERROR(ABS(Eingabe[[#This Row],[GES]]-Eingabe[[#This Row],[GEGGES]]),"")</f>
        <v/>
      </c>
    </row>
    <row r="560" spans="1:52" ht="16.2" hidden="1" thickBot="1" x14ac:dyDescent="0.35">
      <c r="A560" s="442"/>
      <c r="B560" s="56">
        <f t="shared" si="52"/>
        <v>93</v>
      </c>
      <c r="C560" s="23" t="str">
        <f>VLOOKUP($B560,Chronologie[],7,TRUE)</f>
        <v>SV Krummenhennersdorf</v>
      </c>
      <c r="D560" s="23" t="str">
        <f>VLOOKUP($B560,Chronologie[],8,TRUE)</f>
        <v>Krummenhennersdorf</v>
      </c>
      <c r="E560" s="39" t="str">
        <f>VLOOKUP($B560,Chronologie[],9,TRUE)</f>
        <v>A</v>
      </c>
      <c r="F560" s="23" t="str">
        <f>VLOOKUP($B560,Chronologie[],COLUMN(F561)-2,TRUE)</f>
        <v>Ü60</v>
      </c>
      <c r="G560" s="23" t="str">
        <f>VLOOKUP($B560,Chronologie[],COLUMN(G561)-2,TRUE)</f>
        <v>KEM</v>
      </c>
      <c r="H560" s="23" t="str">
        <f>VLOOKUP($B560,Chronologie[],COLUMN(H561)-2,TRUE)</f>
        <v>E</v>
      </c>
      <c r="I560" s="13" t="str">
        <f>VLOOKUP($B560,Chronologie[],2,TRUE)</f>
        <v>Ü60-KEM-E</v>
      </c>
      <c r="J560" s="244">
        <f>VLOOKUP($B560,Chronologie[],3,TRUE)</f>
        <v>46053</v>
      </c>
      <c r="K560" s="239"/>
      <c r="L560" s="239"/>
      <c r="M560" s="239"/>
      <c r="N560" s="239"/>
      <c r="O560" s="239"/>
      <c r="P560" s="239"/>
      <c r="Q560" s="239"/>
      <c r="R560" s="239"/>
      <c r="S560" s="239"/>
      <c r="T560" s="239"/>
      <c r="U560" s="239"/>
      <c r="V560" s="239"/>
      <c r="W560" s="239"/>
      <c r="X560" s="40"/>
      <c r="Y560" s="40"/>
      <c r="Z560" s="40"/>
      <c r="AA560" s="40"/>
      <c r="AB560" s="92"/>
      <c r="AC560" s="96" t="str">
        <f>IF(Eingabe[[#This Row],[V1]]="",IF(Eingabe[[#This Row],[Volle alternativ]]="","",Eingabe[[#This Row],[Volle alternativ]]),SUM(Eingabe[[#This Row],[V1]:[V4]]))</f>
        <v/>
      </c>
      <c r="AD560" s="23" t="str">
        <f>IF(Eingabe[[#This Row],[R1]]="",IF(Eingabe[[#This Row],[Räumer alternativ]]="","",Eingabe[[#This Row],[Räumer alternativ]]),SUM(Eingabe[[#This Row],[R1]:[R4]]))</f>
        <v/>
      </c>
      <c r="AE560" s="23" t="str">
        <f>IF(Eingabe[[#This Row],[F1]]="",IF(Eingabe[[#This Row],[Fehler alternativ]]="","",Eingabe[[#This Row],[Fehler alternativ]]),SUM(Eingabe[[#This Row],[F1]:[F4]]))</f>
        <v/>
      </c>
      <c r="AF560" s="23" t="str">
        <f>IF(Eingabe[[#This Row],[Volle]]="","",IF(Eingabe[[#This Row],[S1]]="",Eingabe[[#This Row],[Volle]]+Eingabe[[#This Row],[Räumer]],IF(Eingabe[[#This Row],[Volle]]+Eingabe[[#This Row],[Räumer]]=Eingabe[[#This Row],[S1]]+Eingabe[[#This Row],[S2]]+Eingabe[[#This Row],[S3]]+Eingabe[[#This Row],[S4]],Eingabe[[#This Row],[Volle]]+Eingabe[[#This Row],[Räumer]],"FEHLER")))</f>
        <v/>
      </c>
      <c r="AG560" s="23" t="str">
        <f>IF(Eingabe[[#This Row],[V1]]="","",Eingabe[[#This Row],[V1]]+Eingabe[[#This Row],[R1]])</f>
        <v/>
      </c>
      <c r="AH560" s="23" t="str">
        <f>IF(Eingabe[[#This Row],[V2]]="","",Eingabe[[#This Row],[V2]]+Eingabe[[#This Row],[R2]])</f>
        <v/>
      </c>
      <c r="AI560" s="23" t="str">
        <f>IF(Eingabe[[#This Row],[V3]]="","",Eingabe[[#This Row],[V3]]+Eingabe[[#This Row],[R3]])</f>
        <v/>
      </c>
      <c r="AJ560" s="23" t="str">
        <f>IF(Eingabe[[#This Row],[V4]]="","",Eingabe[[#This Row],[V4]]+Eingabe[[#This Row],[R4]])</f>
        <v/>
      </c>
      <c r="AK560" s="23" t="str">
        <f>IF(Eingabe[[#This Row],[S1P]]="","",Eingabe[[#This Row],[S1P]]+Eingabe[[#This Row],[S2P]]+Eingabe[[#This Row],[S3P]]+Eingabe[[#This Row],[S4P]])</f>
        <v/>
      </c>
      <c r="AL560" s="23" t="str">
        <f>IF(Eingabe[[#This Row],[S1P]]="","",IF(Eingabe[[#This Row],[SP]]&gt;2,1,IF(Eingabe[[#This Row],[SP]]&lt;2,0,IF(Eingabe[[#This Row],[GES]]&gt;Eingabe[[#This Row],[GEGGES]],1,IF(Eingabe[[#This Row],[GES]]=Eingabe[[#This Row],[GEGGES]],0.5,0)))))</f>
        <v/>
      </c>
      <c r="AM560" s="23" t="str">
        <f>IF(Eingabe[[#This Row],[MP]]="","",MOD(ROW(Eingabe[[#This Row],[Position]])-3,6)+1)</f>
        <v/>
      </c>
      <c r="AN560" s="23" t="e">
        <f>STANDARDIZE(Eingabe[[#This Row],[GES]],Eingabe[[#This Row],[Schnitt]],VLOOKUP(Eingabe[[#This Row],[Name]],AuswertungG[],21,FALSE))</f>
        <v>#VALUE!</v>
      </c>
      <c r="AO560" s="23">
        <f>VLOOKUP(Eingabe[[#This Row],[ID]],Chronologie[[ID]:[KW]],12,FALSE)</f>
        <v>23</v>
      </c>
      <c r="AP560" s="59" t="str">
        <f>IF(Eingabe[[#This Row],[Wo]]="H",Eingabe[[#This Row],[Gegner]]&amp;" ["&amp;Eingabe[[#This Row],[Wo]]&amp;"]",Eingabe[[#This Row],[Ort]])</f>
        <v>Krummenhennersdorf</v>
      </c>
      <c r="AQ560" s="23" t="str">
        <f>IFERROR(IF(Eingabe[[#This Row],[Wo]]="H",IF(MOD(Eingabe[[#This Row],[Position]],2)=1,Eingabe[[#This Row],[S1]],Eingabe[[#This Row],[S4]]),""),"")</f>
        <v/>
      </c>
      <c r="AR560" s="23" t="str">
        <f>IFERROR(IF(Eingabe[[#This Row],[Wo]]="H",IF(Eingabe[[#This Row],[S1]]&gt;0,IF(MOD(Eingabe[[#This Row],[Position]],2)=1,Eingabe[[#This Row],[S2]],Eingabe[[#This Row],[S3]]),""),""),"")</f>
        <v/>
      </c>
      <c r="AS560" s="23" t="str">
        <f>IFERROR(IF(Eingabe[[#This Row],[Wo]]="H",IF(Eingabe[[#This Row],[S1]]&gt;0,IF(MOD(ROW(Eingabe[[#This Row],[Heimbahn 3]]),2)=1,Eingabe[[#This Row],[S4]],Eingabe[[#This Row],[S1]]),""),""),"")</f>
        <v/>
      </c>
      <c r="AT560" s="23" t="str">
        <f>IFERROR(IF(Eingabe[[#This Row],[Wo]]="H",IF(Eingabe[[#This Row],[S1]]&gt;0,IF(MOD(ROW(Eingabe[[#This Row],[Heimbahn 4]]),2)=1,Eingabe[[#This Row],[S3]],Eingabe[[#This Row],[S2]]),""),""),"")</f>
        <v/>
      </c>
      <c r="AU560" s="89" t="str">
        <f>IF(Eingabe[[#This Row],[GES]]="","",IF(Eingabe[[#This Row],[Modus]]="L",_xlfn.RANK.EQ(Eingabe[[#This Row],[GES]],AF555:AF560),IF(Eingabe[[#This Row],[Modus]]="P",_xlfn.RANK.EQ(Eingabe[[#This Row],[GES]],AF555:AF560),"")))</f>
        <v/>
      </c>
      <c r="AV560" s="6" t="e">
        <f>VLOOKUP(Eingabe[[#This Row],[Name]],AuswertungG[],8,FALSE)</f>
        <v>#N/A</v>
      </c>
      <c r="AZ560" s="6" t="str">
        <f>IFERROR(ABS(Eingabe[[#This Row],[GES]]-Eingabe[[#This Row],[GEGGES]]),"")</f>
        <v/>
      </c>
    </row>
    <row r="561" spans="1:52" hidden="1" x14ac:dyDescent="0.3">
      <c r="A561" s="440">
        <f t="shared" si="53"/>
        <v>94</v>
      </c>
      <c r="B561" s="55">
        <f t="shared" si="52"/>
        <v>94</v>
      </c>
      <c r="C561" s="35" t="str">
        <f>VLOOKUP($B561,Chronologie[],7,TRUE)</f>
        <v>SV Krummenhennersdorf</v>
      </c>
      <c r="D561" s="35" t="str">
        <f>VLOOKUP($B561,Chronologie[],8,TRUE)</f>
        <v>Krummenhennersdorf</v>
      </c>
      <c r="E561" s="36" t="str">
        <f>VLOOKUP($B561,Chronologie[],9,TRUE)</f>
        <v>A</v>
      </c>
      <c r="F561" s="35" t="str">
        <f>VLOOKUP($B561,Chronologie[],COLUMN(F562)-2,TRUE)</f>
        <v>Ü50</v>
      </c>
      <c r="G561" s="35" t="str">
        <f>VLOOKUP($B561,Chronologie[],COLUMN(G562)-2,TRUE)</f>
        <v>KEM</v>
      </c>
      <c r="H561" s="35" t="str">
        <f>VLOOKUP($B561,Chronologie[],COLUMN(H562)-2,TRUE)</f>
        <v>E</v>
      </c>
      <c r="I561" s="9" t="str">
        <f>VLOOKUP($B561,Chronologie[],2,TRUE)</f>
        <v>Ü50-KEM-E</v>
      </c>
      <c r="J561" s="242">
        <f>VLOOKUP($B561,Chronologie[],3,TRUE)</f>
        <v>46053</v>
      </c>
      <c r="K561" s="236" t="s">
        <v>15</v>
      </c>
      <c r="L561" s="334">
        <v>87</v>
      </c>
      <c r="M561" s="334">
        <v>86</v>
      </c>
      <c r="N561" s="334">
        <v>96</v>
      </c>
      <c r="O561" s="334">
        <v>79</v>
      </c>
      <c r="P561" s="334">
        <v>36</v>
      </c>
      <c r="Q561" s="334">
        <v>27</v>
      </c>
      <c r="R561" s="334">
        <v>40</v>
      </c>
      <c r="S561" s="334">
        <v>48</v>
      </c>
      <c r="T561" s="334">
        <v>1</v>
      </c>
      <c r="U561" s="334">
        <v>3</v>
      </c>
      <c r="V561" s="334">
        <v>3</v>
      </c>
      <c r="W561" s="334">
        <v>1</v>
      </c>
      <c r="X561" s="37"/>
      <c r="Y561" s="37"/>
      <c r="Z561" s="37"/>
      <c r="AA561" s="37"/>
      <c r="AB561" s="90"/>
      <c r="AC561" s="93">
        <f>IF(Eingabe[[#This Row],[V1]]="",IF(Eingabe[[#This Row],[Volle alternativ]]="","",Eingabe[[#This Row],[Volle alternativ]]),SUM(Eingabe[[#This Row],[V1]:[V4]]))</f>
        <v>348</v>
      </c>
      <c r="AD561" s="35">
        <f>IF(Eingabe[[#This Row],[R1]]="",IF(Eingabe[[#This Row],[Räumer alternativ]]="","",Eingabe[[#This Row],[Räumer alternativ]]),SUM(Eingabe[[#This Row],[R1]:[R4]]))</f>
        <v>151</v>
      </c>
      <c r="AE561" s="35">
        <f>IF(Eingabe[[#This Row],[F1]]="",IF(Eingabe[[#This Row],[Fehler alternativ]]="","",Eingabe[[#This Row],[Fehler alternativ]]),SUM(Eingabe[[#This Row],[F1]:[F4]]))</f>
        <v>8</v>
      </c>
      <c r="AF561" s="35">
        <f>IF(Eingabe[[#This Row],[Volle]]="","",IF(Eingabe[[#This Row],[S1]]="",Eingabe[[#This Row],[Volle]]+Eingabe[[#This Row],[Räumer]],IF(Eingabe[[#This Row],[Volle]]+Eingabe[[#This Row],[Räumer]]=Eingabe[[#This Row],[S1]]+Eingabe[[#This Row],[S2]]+Eingabe[[#This Row],[S3]]+Eingabe[[#This Row],[S4]],Eingabe[[#This Row],[Volle]]+Eingabe[[#This Row],[Räumer]],"FEHLER")))</f>
        <v>499</v>
      </c>
      <c r="AG561" s="35">
        <f>IF(Eingabe[[#This Row],[V1]]="","",Eingabe[[#This Row],[V1]]+Eingabe[[#This Row],[R1]])</f>
        <v>123</v>
      </c>
      <c r="AH561" s="35">
        <f>IF(Eingabe[[#This Row],[V2]]="","",Eingabe[[#This Row],[V2]]+Eingabe[[#This Row],[R2]])</f>
        <v>113</v>
      </c>
      <c r="AI561" s="35">
        <f>IF(Eingabe[[#This Row],[V3]]="","",Eingabe[[#This Row],[V3]]+Eingabe[[#This Row],[R3]])</f>
        <v>136</v>
      </c>
      <c r="AJ561" s="35">
        <f>IF(Eingabe[[#This Row],[V4]]="","",Eingabe[[#This Row],[V4]]+Eingabe[[#This Row],[R4]])</f>
        <v>127</v>
      </c>
      <c r="AK561" s="35" t="str">
        <f>IF(Eingabe[[#This Row],[S1P]]="","",Eingabe[[#This Row],[S1P]]+Eingabe[[#This Row],[S2P]]+Eingabe[[#This Row],[S3P]]+Eingabe[[#This Row],[S4P]])</f>
        <v/>
      </c>
      <c r="AL561" s="35" t="str">
        <f>IF(Eingabe[[#This Row],[S1P]]="","",IF(Eingabe[[#This Row],[SP]]&gt;2,1,IF(Eingabe[[#This Row],[SP]]&lt;2,0,IF(Eingabe[[#This Row],[GES]]&gt;Eingabe[[#This Row],[GEGGES]],1,IF(Eingabe[[#This Row],[GES]]=Eingabe[[#This Row],[GEGGES]],0.5,0)))))</f>
        <v/>
      </c>
      <c r="AM561" s="35" t="str">
        <f>IF(Eingabe[[#This Row],[MP]]="","",MOD(ROW(Eingabe[[#This Row],[Position]])-3,6)+1)</f>
        <v/>
      </c>
      <c r="AN561" s="35">
        <f>STANDARDIZE(Eingabe[[#This Row],[GES]],Eingabe[[#This Row],[Schnitt]],VLOOKUP(Eingabe[[#This Row],[Name]],AuswertungG[],21,FALSE))</f>
        <v>0.47727272727272729</v>
      </c>
      <c r="AO561" s="35">
        <f>VLOOKUP(Eingabe[[#This Row],[ID]],Chronologie[[ID]:[KW]],12,FALSE)</f>
        <v>23</v>
      </c>
      <c r="AP561" s="58" t="str">
        <f>IF(Eingabe[[#This Row],[Wo]]="H",Eingabe[[#This Row],[Gegner]]&amp;" ["&amp;Eingabe[[#This Row],[Wo]]&amp;"]",Eingabe[[#This Row],[Ort]])</f>
        <v>Krummenhennersdorf</v>
      </c>
      <c r="AQ561" s="35" t="str">
        <f>IFERROR(IF(Eingabe[[#This Row],[Wo]]="H",IF(MOD(Eingabe[[#This Row],[Position]],2)=1,Eingabe[[#This Row],[S1]],Eingabe[[#This Row],[S4]]),""),"")</f>
        <v/>
      </c>
      <c r="AR561" s="35" t="str">
        <f>IFERROR(IF(Eingabe[[#This Row],[Wo]]="H",IF(Eingabe[[#This Row],[S1]]&gt;0,IF(MOD(Eingabe[[#This Row],[Position]],2)=1,Eingabe[[#This Row],[S2]],Eingabe[[#This Row],[S3]]),""),""),"")</f>
        <v/>
      </c>
      <c r="AS561" s="35" t="str">
        <f>IFERROR(IF(Eingabe[[#This Row],[Wo]]="H",IF(Eingabe[[#This Row],[S1]]&gt;0,IF(MOD(ROW(Eingabe[[#This Row],[Heimbahn 3]]),2)=1,Eingabe[[#This Row],[S4]],Eingabe[[#This Row],[S1]]),""),""),"")</f>
        <v/>
      </c>
      <c r="AT561" s="35" t="str">
        <f>IFERROR(IF(Eingabe[[#This Row],[Wo]]="H",IF(Eingabe[[#This Row],[S1]]&gt;0,IF(MOD(ROW(Eingabe[[#This Row],[Heimbahn 4]]),2)=1,Eingabe[[#This Row],[S3]],Eingabe[[#This Row],[S2]]),""),""),"")</f>
        <v/>
      </c>
      <c r="AU561" s="88" t="str">
        <f>IF(Eingabe[[#This Row],[GES]]="","",IF(Eingabe[[#This Row],[Modus]]="L",_xlfn.RANK.EQ(Eingabe[[#This Row],[GES]],AF561:AF566),IF(Eingabe[[#This Row],[Modus]]="P",_xlfn.RANK.EQ(Eingabe[[#This Row],[GES]],AF561:AF566),"")))</f>
        <v/>
      </c>
      <c r="AV561" s="6">
        <f>VLOOKUP(Eingabe[[#This Row],[Name]],AuswertungG[],8,FALSE)</f>
        <v>478</v>
      </c>
      <c r="AZ561" s="6">
        <f>IFERROR(ABS(Eingabe[[#This Row],[GES]]-Eingabe[[#This Row],[GEGGES]]),"")</f>
        <v>499</v>
      </c>
    </row>
    <row r="562" spans="1:52" hidden="1" x14ac:dyDescent="0.3">
      <c r="A562" s="441"/>
      <c r="B562" s="21">
        <f t="shared" si="52"/>
        <v>94</v>
      </c>
      <c r="C562" s="6" t="str">
        <f>VLOOKUP($B562,Chronologie[],7,TRUE)</f>
        <v>SV Krummenhennersdorf</v>
      </c>
      <c r="D562" s="6" t="str">
        <f>VLOOKUP($B562,Chronologie[],8,TRUE)</f>
        <v>Krummenhennersdorf</v>
      </c>
      <c r="E562" s="240" t="str">
        <f>VLOOKUP($B562,Chronologie[],9,TRUE)</f>
        <v>A</v>
      </c>
      <c r="F562" s="6" t="str">
        <f>VLOOKUP($B562,Chronologie[],COLUMN(F563)-2,TRUE)</f>
        <v>Ü50</v>
      </c>
      <c r="G562" s="6" t="str">
        <f>VLOOKUP($B562,Chronologie[],COLUMN(G563)-2,TRUE)</f>
        <v>KEM</v>
      </c>
      <c r="H562" s="6" t="str">
        <f>VLOOKUP($B562,Chronologie[],COLUMN(H563)-2,TRUE)</f>
        <v>E</v>
      </c>
      <c r="I562" s="10" t="str">
        <f>VLOOKUP($B562,Chronologie[],2,TRUE)</f>
        <v>Ü50-KEM-E</v>
      </c>
      <c r="J562" s="243">
        <f>VLOOKUP($B562,Chronologie[],3,TRUE)</f>
        <v>46053</v>
      </c>
      <c r="K562" s="237"/>
      <c r="L562" s="237"/>
      <c r="M562" s="237"/>
      <c r="N562" s="237"/>
      <c r="O562" s="237"/>
      <c r="P562" s="237"/>
      <c r="Q562" s="237"/>
      <c r="R562" s="237"/>
      <c r="S562" s="237"/>
      <c r="T562" s="237"/>
      <c r="U562" s="237"/>
      <c r="V562" s="237"/>
      <c r="W562" s="237"/>
      <c r="X562" s="38"/>
      <c r="Y562" s="38"/>
      <c r="Z562" s="38"/>
      <c r="AA562" s="38"/>
      <c r="AB562" s="91"/>
      <c r="AC562" s="94" t="str">
        <f>IF(Eingabe[[#This Row],[V1]]="",IF(Eingabe[[#This Row],[Volle alternativ]]="","",Eingabe[[#This Row],[Volle alternativ]]),SUM(Eingabe[[#This Row],[V1]:[V4]]))</f>
        <v/>
      </c>
      <c r="AD562" s="6" t="str">
        <f>IF(Eingabe[[#This Row],[R1]]="",IF(Eingabe[[#This Row],[Räumer alternativ]]="","",Eingabe[[#This Row],[Räumer alternativ]]),SUM(Eingabe[[#This Row],[R1]:[R4]]))</f>
        <v/>
      </c>
      <c r="AE562" s="6" t="str">
        <f>IF(Eingabe[[#This Row],[F1]]="",IF(Eingabe[[#This Row],[Fehler alternativ]]="","",Eingabe[[#This Row],[Fehler alternativ]]),SUM(Eingabe[[#This Row],[F1]:[F4]]))</f>
        <v/>
      </c>
      <c r="AF562" s="6" t="str">
        <f>IF(Eingabe[[#This Row],[Volle]]="","",IF(Eingabe[[#This Row],[S1]]="",Eingabe[[#This Row],[Volle]]+Eingabe[[#This Row],[Räumer]],IF(Eingabe[[#This Row],[Volle]]+Eingabe[[#This Row],[Räumer]]=Eingabe[[#This Row],[S1]]+Eingabe[[#This Row],[S2]]+Eingabe[[#This Row],[S3]]+Eingabe[[#This Row],[S4]],Eingabe[[#This Row],[Volle]]+Eingabe[[#This Row],[Räumer]],"FEHLER")))</f>
        <v/>
      </c>
      <c r="AG562" s="6" t="str">
        <f>IF(Eingabe[[#This Row],[V1]]="","",Eingabe[[#This Row],[V1]]+Eingabe[[#This Row],[R1]])</f>
        <v/>
      </c>
      <c r="AH562" s="6" t="str">
        <f>IF(Eingabe[[#This Row],[V2]]="","",Eingabe[[#This Row],[V2]]+Eingabe[[#This Row],[R2]])</f>
        <v/>
      </c>
      <c r="AI562" s="6" t="str">
        <f>IF(Eingabe[[#This Row],[V3]]="","",Eingabe[[#This Row],[V3]]+Eingabe[[#This Row],[R3]])</f>
        <v/>
      </c>
      <c r="AJ562" s="6" t="str">
        <f>IF(Eingabe[[#This Row],[V4]]="","",Eingabe[[#This Row],[V4]]+Eingabe[[#This Row],[R4]])</f>
        <v/>
      </c>
      <c r="AK562" s="6" t="str">
        <f>IF(Eingabe[[#This Row],[S1P]]="","",Eingabe[[#This Row],[S1P]]+Eingabe[[#This Row],[S2P]]+Eingabe[[#This Row],[S3P]]+Eingabe[[#This Row],[S4P]])</f>
        <v/>
      </c>
      <c r="AL562" s="6" t="str">
        <f>IF(Eingabe[[#This Row],[S1P]]="","",IF(Eingabe[[#This Row],[SP]]&gt;2,1,IF(Eingabe[[#This Row],[SP]]&lt;2,0,IF(Eingabe[[#This Row],[GES]]&gt;Eingabe[[#This Row],[GEGGES]],1,IF(Eingabe[[#This Row],[GES]]=Eingabe[[#This Row],[GEGGES]],0.5,0)))))</f>
        <v/>
      </c>
      <c r="AM562" s="6" t="str">
        <f>IF(Eingabe[[#This Row],[MP]]="","",MOD(ROW(Eingabe[[#This Row],[Position]])-3,6)+1)</f>
        <v/>
      </c>
      <c r="AN562" s="6" t="e">
        <f>STANDARDIZE(Eingabe[[#This Row],[GES]],Eingabe[[#This Row],[Schnitt]],VLOOKUP(Eingabe[[#This Row],[Name]],AuswertungG[],21,FALSE))</f>
        <v>#VALUE!</v>
      </c>
      <c r="AO562" s="6">
        <f>VLOOKUP(Eingabe[[#This Row],[ID]],Chronologie[[ID]:[KW]],12,FALSE)</f>
        <v>23</v>
      </c>
      <c r="AP562" s="95" t="str">
        <f>IF(Eingabe[[#This Row],[Wo]]="H",Eingabe[[#This Row],[Gegner]]&amp;" ["&amp;Eingabe[[#This Row],[Wo]]&amp;"]",Eingabe[[#This Row],[Ort]])</f>
        <v>Krummenhennersdorf</v>
      </c>
      <c r="AQ562" s="6" t="str">
        <f>IFERROR(IF(Eingabe[[#This Row],[Wo]]="H",IF(MOD(Eingabe[[#This Row],[Position]],2)=1,Eingabe[[#This Row],[S1]],Eingabe[[#This Row],[S4]]),""),"")</f>
        <v/>
      </c>
      <c r="AR562" s="6" t="str">
        <f>IFERROR(IF(Eingabe[[#This Row],[Wo]]="H",IF(Eingabe[[#This Row],[S1]]&gt;0,IF(MOD(Eingabe[[#This Row],[Position]],2)=1,Eingabe[[#This Row],[S2]],Eingabe[[#This Row],[S3]]),""),""),"")</f>
        <v/>
      </c>
      <c r="AS562" s="6" t="str">
        <f>IFERROR(IF(Eingabe[[#This Row],[Wo]]="H",IF(Eingabe[[#This Row],[S1]]&gt;0,IF(MOD(ROW(Eingabe[[#This Row],[Heimbahn 3]]),2)=1,Eingabe[[#This Row],[S4]],Eingabe[[#This Row],[S1]]),""),""),"")</f>
        <v/>
      </c>
      <c r="AT562" s="6" t="str">
        <f>IFERROR(IF(Eingabe[[#This Row],[Wo]]="H",IF(Eingabe[[#This Row],[S1]]&gt;0,IF(MOD(ROW(Eingabe[[#This Row],[Heimbahn 4]]),2)=1,Eingabe[[#This Row],[S3]],Eingabe[[#This Row],[S2]]),""),""),"")</f>
        <v/>
      </c>
      <c r="AU562" s="22" t="str">
        <f>IF(Eingabe[[#This Row],[GES]]="","",IF(Eingabe[[#This Row],[Modus]]="L",_xlfn.RANK.EQ(Eingabe[[#This Row],[GES]],AF561:AF566),IF(Eingabe[[#This Row],[Modus]]="P",_xlfn.RANK.EQ(Eingabe[[#This Row],[GES]],AF561:AF566),"")))</f>
        <v/>
      </c>
      <c r="AV562" s="6" t="e">
        <f>VLOOKUP(Eingabe[[#This Row],[Name]],AuswertungG[],8,FALSE)</f>
        <v>#N/A</v>
      </c>
      <c r="AZ562" s="6" t="str">
        <f>IFERROR(ABS(Eingabe[[#This Row],[GES]]-Eingabe[[#This Row],[GEGGES]]),"")</f>
        <v/>
      </c>
    </row>
    <row r="563" spans="1:52" hidden="1" x14ac:dyDescent="0.3">
      <c r="A563" s="441"/>
      <c r="B563" s="21">
        <f t="shared" si="52"/>
        <v>94</v>
      </c>
      <c r="C563" s="6" t="str">
        <f>VLOOKUP($B563,Chronologie[],7,TRUE)</f>
        <v>SV Krummenhennersdorf</v>
      </c>
      <c r="D563" s="6" t="str">
        <f>VLOOKUP($B563,Chronologie[],8,TRUE)</f>
        <v>Krummenhennersdorf</v>
      </c>
      <c r="E563" s="240" t="str">
        <f>VLOOKUP($B563,Chronologie[],9,TRUE)</f>
        <v>A</v>
      </c>
      <c r="F563" s="6" t="str">
        <f>VLOOKUP($B563,Chronologie[],COLUMN(F564)-2,TRUE)</f>
        <v>Ü50</v>
      </c>
      <c r="G563" s="6" t="str">
        <f>VLOOKUP($B563,Chronologie[],COLUMN(G564)-2,TRUE)</f>
        <v>KEM</v>
      </c>
      <c r="H563" s="6" t="str">
        <f>VLOOKUP($B563,Chronologie[],COLUMN(H564)-2,TRUE)</f>
        <v>E</v>
      </c>
      <c r="I563" s="10" t="str">
        <f>VLOOKUP($B563,Chronologie[],2,TRUE)</f>
        <v>Ü50-KEM-E</v>
      </c>
      <c r="J563" s="243">
        <f>VLOOKUP($B563,Chronologie[],3,TRUE)</f>
        <v>46053</v>
      </c>
      <c r="K563" s="237"/>
      <c r="L563" s="237"/>
      <c r="M563" s="237"/>
      <c r="N563" s="237"/>
      <c r="O563" s="237"/>
      <c r="P563" s="237"/>
      <c r="Q563" s="237"/>
      <c r="R563" s="237"/>
      <c r="S563" s="237"/>
      <c r="T563" s="237"/>
      <c r="U563" s="237"/>
      <c r="V563" s="237"/>
      <c r="W563" s="237"/>
      <c r="X563" s="38"/>
      <c r="Y563" s="38"/>
      <c r="Z563" s="38"/>
      <c r="AA563" s="38"/>
      <c r="AB563" s="91"/>
      <c r="AC563" s="94" t="str">
        <f>IF(Eingabe[[#This Row],[V1]]="",IF(Eingabe[[#This Row],[Volle alternativ]]="","",Eingabe[[#This Row],[Volle alternativ]]),SUM(Eingabe[[#This Row],[V1]:[V4]]))</f>
        <v/>
      </c>
      <c r="AD563" s="6" t="str">
        <f>IF(Eingabe[[#This Row],[R1]]="",IF(Eingabe[[#This Row],[Räumer alternativ]]="","",Eingabe[[#This Row],[Räumer alternativ]]),SUM(Eingabe[[#This Row],[R1]:[R4]]))</f>
        <v/>
      </c>
      <c r="AE563" s="6" t="str">
        <f>IF(Eingabe[[#This Row],[F1]]="",IF(Eingabe[[#This Row],[Fehler alternativ]]="","",Eingabe[[#This Row],[Fehler alternativ]]),SUM(Eingabe[[#This Row],[F1]:[F4]]))</f>
        <v/>
      </c>
      <c r="AF563" s="6" t="str">
        <f>IF(Eingabe[[#This Row],[Volle]]="","",IF(Eingabe[[#This Row],[S1]]="",Eingabe[[#This Row],[Volle]]+Eingabe[[#This Row],[Räumer]],IF(Eingabe[[#This Row],[Volle]]+Eingabe[[#This Row],[Räumer]]=Eingabe[[#This Row],[S1]]+Eingabe[[#This Row],[S2]]+Eingabe[[#This Row],[S3]]+Eingabe[[#This Row],[S4]],Eingabe[[#This Row],[Volle]]+Eingabe[[#This Row],[Räumer]],"FEHLER")))</f>
        <v/>
      </c>
      <c r="AG563" s="6" t="str">
        <f>IF(Eingabe[[#This Row],[V1]]="","",Eingabe[[#This Row],[V1]]+Eingabe[[#This Row],[R1]])</f>
        <v/>
      </c>
      <c r="AH563" s="6" t="str">
        <f>IF(Eingabe[[#This Row],[V2]]="","",Eingabe[[#This Row],[V2]]+Eingabe[[#This Row],[R2]])</f>
        <v/>
      </c>
      <c r="AI563" s="6" t="str">
        <f>IF(Eingabe[[#This Row],[V3]]="","",Eingabe[[#This Row],[V3]]+Eingabe[[#This Row],[R3]])</f>
        <v/>
      </c>
      <c r="AJ563" s="6" t="str">
        <f>IF(Eingabe[[#This Row],[V4]]="","",Eingabe[[#This Row],[V4]]+Eingabe[[#This Row],[R4]])</f>
        <v/>
      </c>
      <c r="AK563" s="6" t="str">
        <f>IF(Eingabe[[#This Row],[S1P]]="","",Eingabe[[#This Row],[S1P]]+Eingabe[[#This Row],[S2P]]+Eingabe[[#This Row],[S3P]]+Eingabe[[#This Row],[S4P]])</f>
        <v/>
      </c>
      <c r="AL563" s="6" t="str">
        <f>IF(Eingabe[[#This Row],[S1P]]="","",IF(Eingabe[[#This Row],[SP]]&gt;2,1,IF(Eingabe[[#This Row],[SP]]&lt;2,0,IF(Eingabe[[#This Row],[GES]]&gt;Eingabe[[#This Row],[GEGGES]],1,IF(Eingabe[[#This Row],[GES]]=Eingabe[[#This Row],[GEGGES]],0.5,0)))))</f>
        <v/>
      </c>
      <c r="AM563" s="6" t="str">
        <f>IF(Eingabe[[#This Row],[MP]]="","",MOD(ROW(Eingabe[[#This Row],[Position]])-3,6)+1)</f>
        <v/>
      </c>
      <c r="AN563" s="6" t="e">
        <f>STANDARDIZE(Eingabe[[#This Row],[GES]],Eingabe[[#This Row],[Schnitt]],VLOOKUP(Eingabe[[#This Row],[Name]],AuswertungG[],21,FALSE))</f>
        <v>#VALUE!</v>
      </c>
      <c r="AO563" s="6">
        <f>VLOOKUP(Eingabe[[#This Row],[ID]],Chronologie[[ID]:[KW]],12,FALSE)</f>
        <v>23</v>
      </c>
      <c r="AP563" s="95" t="str">
        <f>IF(Eingabe[[#This Row],[Wo]]="H",Eingabe[[#This Row],[Gegner]]&amp;" ["&amp;Eingabe[[#This Row],[Wo]]&amp;"]",Eingabe[[#This Row],[Ort]])</f>
        <v>Krummenhennersdorf</v>
      </c>
      <c r="AQ563" s="6" t="str">
        <f>IFERROR(IF(Eingabe[[#This Row],[Wo]]="H",IF(MOD(Eingabe[[#This Row],[Position]],2)=1,Eingabe[[#This Row],[S1]],Eingabe[[#This Row],[S4]]),""),"")</f>
        <v/>
      </c>
      <c r="AR563" s="6" t="str">
        <f>IFERROR(IF(Eingabe[[#This Row],[Wo]]="H",IF(Eingabe[[#This Row],[S1]]&gt;0,IF(MOD(Eingabe[[#This Row],[Position]],2)=1,Eingabe[[#This Row],[S2]],Eingabe[[#This Row],[S3]]),""),""),"")</f>
        <v/>
      </c>
      <c r="AS563" s="6" t="str">
        <f>IFERROR(IF(Eingabe[[#This Row],[Wo]]="H",IF(Eingabe[[#This Row],[S1]]&gt;0,IF(MOD(ROW(Eingabe[[#This Row],[Heimbahn 3]]),2)=1,Eingabe[[#This Row],[S4]],Eingabe[[#This Row],[S1]]),""),""),"")</f>
        <v/>
      </c>
      <c r="AT563" s="6" t="str">
        <f>IFERROR(IF(Eingabe[[#This Row],[Wo]]="H",IF(Eingabe[[#This Row],[S1]]&gt;0,IF(MOD(ROW(Eingabe[[#This Row],[Heimbahn 4]]),2)=1,Eingabe[[#This Row],[S3]],Eingabe[[#This Row],[S2]]),""),""),"")</f>
        <v/>
      </c>
      <c r="AU563" s="22" t="str">
        <f>IF(Eingabe[[#This Row],[GES]]="","",IF(Eingabe[[#This Row],[Modus]]="L",_xlfn.RANK.EQ(Eingabe[[#This Row],[GES]],AF561:AF566),IF(Eingabe[[#This Row],[Modus]]="P",_xlfn.RANK.EQ(Eingabe[[#This Row],[GES]],AF561:AF566),"")))</f>
        <v/>
      </c>
      <c r="AV563" s="6" t="e">
        <f>VLOOKUP(Eingabe[[#This Row],[Name]],AuswertungG[],8,FALSE)</f>
        <v>#N/A</v>
      </c>
      <c r="AZ563" s="6" t="str">
        <f>IFERROR(ABS(Eingabe[[#This Row],[GES]]-Eingabe[[#This Row],[GEGGES]]),"")</f>
        <v/>
      </c>
    </row>
    <row r="564" spans="1:52" hidden="1" x14ac:dyDescent="0.3">
      <c r="A564" s="441"/>
      <c r="B564" s="21">
        <f t="shared" si="52"/>
        <v>94</v>
      </c>
      <c r="C564" s="6" t="str">
        <f>VLOOKUP($B564,Chronologie[],7,TRUE)</f>
        <v>SV Krummenhennersdorf</v>
      </c>
      <c r="D564" s="6" t="str">
        <f>VLOOKUP($B564,Chronologie[],8,TRUE)</f>
        <v>Krummenhennersdorf</v>
      </c>
      <c r="E564" s="240" t="str">
        <f>VLOOKUP($B564,Chronologie[],9,TRUE)</f>
        <v>A</v>
      </c>
      <c r="F564" s="6" t="str">
        <f>VLOOKUP($B564,Chronologie[],COLUMN(F565)-2,TRUE)</f>
        <v>Ü50</v>
      </c>
      <c r="G564" s="6" t="str">
        <f>VLOOKUP($B564,Chronologie[],COLUMN(G565)-2,TRUE)</f>
        <v>KEM</v>
      </c>
      <c r="H564" s="6" t="str">
        <f>VLOOKUP($B564,Chronologie[],COLUMN(H565)-2,TRUE)</f>
        <v>E</v>
      </c>
      <c r="I564" s="10" t="str">
        <f>VLOOKUP($B564,Chronologie[],2,TRUE)</f>
        <v>Ü50-KEM-E</v>
      </c>
      <c r="J564" s="243">
        <f>VLOOKUP($B564,Chronologie[],3,TRUE)</f>
        <v>46053</v>
      </c>
      <c r="K564" s="238"/>
      <c r="L564" s="237"/>
      <c r="M564" s="237"/>
      <c r="N564" s="237"/>
      <c r="O564" s="237"/>
      <c r="P564" s="237"/>
      <c r="Q564" s="237"/>
      <c r="R564" s="237"/>
      <c r="S564" s="237"/>
      <c r="T564" s="237"/>
      <c r="U564" s="237"/>
      <c r="V564" s="237"/>
      <c r="W564" s="237"/>
      <c r="X564" s="38"/>
      <c r="Y564" s="38"/>
      <c r="Z564" s="38"/>
      <c r="AA564" s="38"/>
      <c r="AB564" s="91"/>
      <c r="AC564" s="94" t="str">
        <f>IF(Eingabe[[#This Row],[V1]]="",IF(Eingabe[[#This Row],[Volle alternativ]]="","",Eingabe[[#This Row],[Volle alternativ]]),SUM(Eingabe[[#This Row],[V1]:[V4]]))</f>
        <v/>
      </c>
      <c r="AD564" s="6" t="str">
        <f>IF(Eingabe[[#This Row],[R1]]="",IF(Eingabe[[#This Row],[Räumer alternativ]]="","",Eingabe[[#This Row],[Räumer alternativ]]),SUM(Eingabe[[#This Row],[R1]:[R4]]))</f>
        <v/>
      </c>
      <c r="AE564" s="6" t="str">
        <f>IF(Eingabe[[#This Row],[F1]]="",IF(Eingabe[[#This Row],[Fehler alternativ]]="","",Eingabe[[#This Row],[Fehler alternativ]]),SUM(Eingabe[[#This Row],[F1]:[F4]]))</f>
        <v/>
      </c>
      <c r="AF564" s="6" t="str">
        <f>IF(Eingabe[[#This Row],[Volle]]="","",IF(Eingabe[[#This Row],[S1]]="",Eingabe[[#This Row],[Volle]]+Eingabe[[#This Row],[Räumer]],IF(Eingabe[[#This Row],[Volle]]+Eingabe[[#This Row],[Räumer]]=Eingabe[[#This Row],[S1]]+Eingabe[[#This Row],[S2]]+Eingabe[[#This Row],[S3]]+Eingabe[[#This Row],[S4]],Eingabe[[#This Row],[Volle]]+Eingabe[[#This Row],[Räumer]],"FEHLER")))</f>
        <v/>
      </c>
      <c r="AG564" s="6" t="str">
        <f>IF(Eingabe[[#This Row],[V1]]="","",Eingabe[[#This Row],[V1]]+Eingabe[[#This Row],[R1]])</f>
        <v/>
      </c>
      <c r="AH564" s="6" t="str">
        <f>IF(Eingabe[[#This Row],[V2]]="","",Eingabe[[#This Row],[V2]]+Eingabe[[#This Row],[R2]])</f>
        <v/>
      </c>
      <c r="AI564" s="6" t="str">
        <f>IF(Eingabe[[#This Row],[V3]]="","",Eingabe[[#This Row],[V3]]+Eingabe[[#This Row],[R3]])</f>
        <v/>
      </c>
      <c r="AJ564" s="6" t="str">
        <f>IF(Eingabe[[#This Row],[V4]]="","",Eingabe[[#This Row],[V4]]+Eingabe[[#This Row],[R4]])</f>
        <v/>
      </c>
      <c r="AK564" s="6" t="str">
        <f>IF(Eingabe[[#This Row],[S1P]]="","",Eingabe[[#This Row],[S1P]]+Eingabe[[#This Row],[S2P]]+Eingabe[[#This Row],[S3P]]+Eingabe[[#This Row],[S4P]])</f>
        <v/>
      </c>
      <c r="AL564" s="6" t="str">
        <f>IF(Eingabe[[#This Row],[S1P]]="","",IF(Eingabe[[#This Row],[SP]]&gt;2,1,IF(Eingabe[[#This Row],[SP]]&lt;2,0,IF(Eingabe[[#This Row],[GES]]&gt;Eingabe[[#This Row],[GEGGES]],1,IF(Eingabe[[#This Row],[GES]]=Eingabe[[#This Row],[GEGGES]],0.5,0)))))</f>
        <v/>
      </c>
      <c r="AM564" s="6" t="str">
        <f>IF(Eingabe[[#This Row],[MP]]="","",MOD(ROW(Eingabe[[#This Row],[Position]])-3,6)+1)</f>
        <v/>
      </c>
      <c r="AN564" s="6" t="e">
        <f>STANDARDIZE(Eingabe[[#This Row],[GES]],Eingabe[[#This Row],[Schnitt]],VLOOKUP(Eingabe[[#This Row],[Name]],AuswertungG[],21,FALSE))</f>
        <v>#VALUE!</v>
      </c>
      <c r="AO564" s="6">
        <f>VLOOKUP(Eingabe[[#This Row],[ID]],Chronologie[[ID]:[KW]],12,FALSE)</f>
        <v>23</v>
      </c>
      <c r="AP564" s="95" t="str">
        <f>IF(Eingabe[[#This Row],[Wo]]="H",Eingabe[[#This Row],[Gegner]]&amp;" ["&amp;Eingabe[[#This Row],[Wo]]&amp;"]",Eingabe[[#This Row],[Ort]])</f>
        <v>Krummenhennersdorf</v>
      </c>
      <c r="AQ564" s="6" t="str">
        <f>IFERROR(IF(Eingabe[[#This Row],[Wo]]="H",IF(MOD(Eingabe[[#This Row],[Position]],2)=1,Eingabe[[#This Row],[S1]],Eingabe[[#This Row],[S4]]),""),"")</f>
        <v/>
      </c>
      <c r="AR564" s="6" t="str">
        <f>IFERROR(IF(Eingabe[[#This Row],[Wo]]="H",IF(Eingabe[[#This Row],[S1]]&gt;0,IF(MOD(Eingabe[[#This Row],[Position]],2)=1,Eingabe[[#This Row],[S2]],Eingabe[[#This Row],[S3]]),""),""),"")</f>
        <v/>
      </c>
      <c r="AS564" s="6" t="str">
        <f>IFERROR(IF(Eingabe[[#This Row],[Wo]]="H",IF(Eingabe[[#This Row],[S1]]&gt;0,IF(MOD(ROW(Eingabe[[#This Row],[Heimbahn 3]]),2)=1,Eingabe[[#This Row],[S4]],Eingabe[[#This Row],[S1]]),""),""),"")</f>
        <v/>
      </c>
      <c r="AT564" s="6" t="str">
        <f>IFERROR(IF(Eingabe[[#This Row],[Wo]]="H",IF(Eingabe[[#This Row],[S1]]&gt;0,IF(MOD(ROW(Eingabe[[#This Row],[Heimbahn 4]]),2)=1,Eingabe[[#This Row],[S3]],Eingabe[[#This Row],[S2]]),""),""),"")</f>
        <v/>
      </c>
      <c r="AU564" s="22" t="str">
        <f>IF(Eingabe[[#This Row],[GES]]="","",IF(Eingabe[[#This Row],[Modus]]="L",_xlfn.RANK.EQ(Eingabe[[#This Row],[GES]],AF561:AF566),IF(Eingabe[[#This Row],[Modus]]="P",_xlfn.RANK.EQ(Eingabe[[#This Row],[GES]],AF561:AF566),"")))</f>
        <v/>
      </c>
      <c r="AV564" s="6" t="e">
        <f>VLOOKUP(Eingabe[[#This Row],[Name]],AuswertungG[],8,FALSE)</f>
        <v>#N/A</v>
      </c>
      <c r="AZ564" s="6" t="str">
        <f>IFERROR(ABS(Eingabe[[#This Row],[GES]]-Eingabe[[#This Row],[GEGGES]]),"")</f>
        <v/>
      </c>
    </row>
    <row r="565" spans="1:52" hidden="1" x14ac:dyDescent="0.3">
      <c r="A565" s="441"/>
      <c r="B565" s="21">
        <f t="shared" si="52"/>
        <v>94</v>
      </c>
      <c r="C565" s="6" t="str">
        <f>VLOOKUP($B565,Chronologie[],7,TRUE)</f>
        <v>SV Krummenhennersdorf</v>
      </c>
      <c r="D565" s="6" t="str">
        <f>VLOOKUP($B565,Chronologie[],8,TRUE)</f>
        <v>Krummenhennersdorf</v>
      </c>
      <c r="E565" s="240" t="str">
        <f>VLOOKUP($B565,Chronologie[],9,TRUE)</f>
        <v>A</v>
      </c>
      <c r="F565" s="6" t="str">
        <f>VLOOKUP($B565,Chronologie[],COLUMN(F566)-2,TRUE)</f>
        <v>Ü50</v>
      </c>
      <c r="G565" s="6" t="str">
        <f>VLOOKUP($B565,Chronologie[],COLUMN(G566)-2,TRUE)</f>
        <v>KEM</v>
      </c>
      <c r="H565" s="6" t="str">
        <f>VLOOKUP($B565,Chronologie[],COLUMN(H566)-2,TRUE)</f>
        <v>E</v>
      </c>
      <c r="I565" s="10" t="str">
        <f>VLOOKUP($B565,Chronologie[],2,TRUE)</f>
        <v>Ü50-KEM-E</v>
      </c>
      <c r="J565" s="243">
        <f>VLOOKUP($B565,Chronologie[],3,TRUE)</f>
        <v>46053</v>
      </c>
      <c r="K565" s="237"/>
      <c r="L565" s="237"/>
      <c r="M565" s="237"/>
      <c r="N565" s="237"/>
      <c r="O565" s="237"/>
      <c r="P565" s="237"/>
      <c r="Q565" s="237"/>
      <c r="R565" s="237"/>
      <c r="S565" s="237"/>
      <c r="T565" s="237"/>
      <c r="U565" s="237"/>
      <c r="V565" s="237"/>
      <c r="W565" s="237"/>
      <c r="X565" s="38"/>
      <c r="Y565" s="38"/>
      <c r="Z565" s="38"/>
      <c r="AA565" s="38"/>
      <c r="AB565" s="91"/>
      <c r="AC565" s="94" t="str">
        <f>IF(Eingabe[[#This Row],[V1]]="",IF(Eingabe[[#This Row],[Volle alternativ]]="","",Eingabe[[#This Row],[Volle alternativ]]),SUM(Eingabe[[#This Row],[V1]:[V4]]))</f>
        <v/>
      </c>
      <c r="AD565" s="6" t="str">
        <f>IF(Eingabe[[#This Row],[R1]]="",IF(Eingabe[[#This Row],[Räumer alternativ]]="","",Eingabe[[#This Row],[Räumer alternativ]]),SUM(Eingabe[[#This Row],[R1]:[R4]]))</f>
        <v/>
      </c>
      <c r="AE565" s="6" t="str">
        <f>IF(Eingabe[[#This Row],[F1]]="",IF(Eingabe[[#This Row],[Fehler alternativ]]="","",Eingabe[[#This Row],[Fehler alternativ]]),SUM(Eingabe[[#This Row],[F1]:[F4]]))</f>
        <v/>
      </c>
      <c r="AF565" s="6" t="str">
        <f>IF(Eingabe[[#This Row],[Volle]]="","",IF(Eingabe[[#This Row],[S1]]="",Eingabe[[#This Row],[Volle]]+Eingabe[[#This Row],[Räumer]],IF(Eingabe[[#This Row],[Volle]]+Eingabe[[#This Row],[Räumer]]=Eingabe[[#This Row],[S1]]+Eingabe[[#This Row],[S2]]+Eingabe[[#This Row],[S3]]+Eingabe[[#This Row],[S4]],Eingabe[[#This Row],[Volle]]+Eingabe[[#This Row],[Räumer]],"FEHLER")))</f>
        <v/>
      </c>
      <c r="AG565" s="6" t="str">
        <f>IF(Eingabe[[#This Row],[V1]]="","",Eingabe[[#This Row],[V1]]+Eingabe[[#This Row],[R1]])</f>
        <v/>
      </c>
      <c r="AH565" s="6" t="str">
        <f>IF(Eingabe[[#This Row],[V2]]="","",Eingabe[[#This Row],[V2]]+Eingabe[[#This Row],[R2]])</f>
        <v/>
      </c>
      <c r="AI565" s="6" t="str">
        <f>IF(Eingabe[[#This Row],[V3]]="","",Eingabe[[#This Row],[V3]]+Eingabe[[#This Row],[R3]])</f>
        <v/>
      </c>
      <c r="AJ565" s="6" t="str">
        <f>IF(Eingabe[[#This Row],[V4]]="","",Eingabe[[#This Row],[V4]]+Eingabe[[#This Row],[R4]])</f>
        <v/>
      </c>
      <c r="AK565" s="6" t="str">
        <f>IF(Eingabe[[#This Row],[S1P]]="","",Eingabe[[#This Row],[S1P]]+Eingabe[[#This Row],[S2P]]+Eingabe[[#This Row],[S3P]]+Eingabe[[#This Row],[S4P]])</f>
        <v/>
      </c>
      <c r="AL565" s="6" t="str">
        <f>IF(Eingabe[[#This Row],[S1P]]="","",IF(Eingabe[[#This Row],[SP]]&gt;2,1,IF(Eingabe[[#This Row],[SP]]&lt;2,0,IF(Eingabe[[#This Row],[GES]]&gt;Eingabe[[#This Row],[GEGGES]],1,IF(Eingabe[[#This Row],[GES]]=Eingabe[[#This Row],[GEGGES]],0.5,0)))))</f>
        <v/>
      </c>
      <c r="AM565" s="6" t="str">
        <f>IF(Eingabe[[#This Row],[MP]]="","",MOD(ROW(Eingabe[[#This Row],[Position]])-3,6)+1)</f>
        <v/>
      </c>
      <c r="AN565" s="6" t="e">
        <f>STANDARDIZE(Eingabe[[#This Row],[GES]],Eingabe[[#This Row],[Schnitt]],VLOOKUP(Eingabe[[#This Row],[Name]],AuswertungG[],21,FALSE))</f>
        <v>#VALUE!</v>
      </c>
      <c r="AO565" s="6">
        <f>VLOOKUP(Eingabe[[#This Row],[ID]],Chronologie[[ID]:[KW]],12,FALSE)</f>
        <v>23</v>
      </c>
      <c r="AP565" s="95" t="str">
        <f>IF(Eingabe[[#This Row],[Wo]]="H",Eingabe[[#This Row],[Gegner]]&amp;" ["&amp;Eingabe[[#This Row],[Wo]]&amp;"]",Eingabe[[#This Row],[Ort]])</f>
        <v>Krummenhennersdorf</v>
      </c>
      <c r="AQ565" s="6" t="str">
        <f>IFERROR(IF(Eingabe[[#This Row],[Wo]]="H",IF(MOD(Eingabe[[#This Row],[Position]],2)=1,Eingabe[[#This Row],[S1]],Eingabe[[#This Row],[S4]]),""),"")</f>
        <v/>
      </c>
      <c r="AR565" s="6" t="str">
        <f>IFERROR(IF(Eingabe[[#This Row],[Wo]]="H",IF(Eingabe[[#This Row],[S1]]&gt;0,IF(MOD(Eingabe[[#This Row],[Position]],2)=1,Eingabe[[#This Row],[S2]],Eingabe[[#This Row],[S3]]),""),""),"")</f>
        <v/>
      </c>
      <c r="AS565" s="6" t="str">
        <f>IFERROR(IF(Eingabe[[#This Row],[Wo]]="H",IF(Eingabe[[#This Row],[S1]]&gt;0,IF(MOD(ROW(Eingabe[[#This Row],[Heimbahn 3]]),2)=1,Eingabe[[#This Row],[S4]],Eingabe[[#This Row],[S1]]),""),""),"")</f>
        <v/>
      </c>
      <c r="AT565" s="6" t="str">
        <f>IFERROR(IF(Eingabe[[#This Row],[Wo]]="H",IF(Eingabe[[#This Row],[S1]]&gt;0,IF(MOD(ROW(Eingabe[[#This Row],[Heimbahn 4]]),2)=1,Eingabe[[#This Row],[S3]],Eingabe[[#This Row],[S2]]),""),""),"")</f>
        <v/>
      </c>
      <c r="AU565" s="22" t="str">
        <f>IF(Eingabe[[#This Row],[GES]]="","",IF(Eingabe[[#This Row],[Modus]]="L",_xlfn.RANK.EQ(Eingabe[[#This Row],[GES]],AF561:AF566),IF(Eingabe[[#This Row],[Modus]]="P",_xlfn.RANK.EQ(Eingabe[[#This Row],[GES]],AF561:AF566),"")))</f>
        <v/>
      </c>
      <c r="AV565" s="6" t="e">
        <f>VLOOKUP(Eingabe[[#This Row],[Name]],AuswertungG[],8,FALSE)</f>
        <v>#N/A</v>
      </c>
      <c r="AZ565" s="6" t="str">
        <f>IFERROR(ABS(Eingabe[[#This Row],[GES]]-Eingabe[[#This Row],[GEGGES]]),"")</f>
        <v/>
      </c>
    </row>
    <row r="566" spans="1:52" ht="16.2" hidden="1" thickBot="1" x14ac:dyDescent="0.35">
      <c r="A566" s="442"/>
      <c r="B566" s="56">
        <f t="shared" si="52"/>
        <v>94</v>
      </c>
      <c r="C566" s="23" t="str">
        <f>VLOOKUP($B566,Chronologie[],7,TRUE)</f>
        <v>SV Krummenhennersdorf</v>
      </c>
      <c r="D566" s="23" t="str">
        <f>VLOOKUP($B566,Chronologie[],8,TRUE)</f>
        <v>Krummenhennersdorf</v>
      </c>
      <c r="E566" s="39" t="str">
        <f>VLOOKUP($B566,Chronologie[],9,TRUE)</f>
        <v>A</v>
      </c>
      <c r="F566" s="23" t="str">
        <f>VLOOKUP($B566,Chronologie[],COLUMN(F567)-2,TRUE)</f>
        <v>Ü50</v>
      </c>
      <c r="G566" s="23" t="str">
        <f>VLOOKUP($B566,Chronologie[],COLUMN(G567)-2,TRUE)</f>
        <v>KEM</v>
      </c>
      <c r="H566" s="23" t="str">
        <f>VLOOKUP($B566,Chronologie[],COLUMN(H567)-2,TRUE)</f>
        <v>E</v>
      </c>
      <c r="I566" s="13" t="str">
        <f>VLOOKUP($B566,Chronologie[],2,TRUE)</f>
        <v>Ü50-KEM-E</v>
      </c>
      <c r="J566" s="244">
        <f>VLOOKUP($B566,Chronologie[],3,TRUE)</f>
        <v>46053</v>
      </c>
      <c r="K566" s="239"/>
      <c r="L566" s="239"/>
      <c r="M566" s="239"/>
      <c r="N566" s="239"/>
      <c r="O566" s="239"/>
      <c r="P566" s="239"/>
      <c r="Q566" s="239"/>
      <c r="R566" s="239"/>
      <c r="S566" s="239"/>
      <c r="T566" s="239"/>
      <c r="U566" s="239"/>
      <c r="V566" s="239"/>
      <c r="W566" s="239"/>
      <c r="X566" s="40"/>
      <c r="Y566" s="40"/>
      <c r="Z566" s="40"/>
      <c r="AA566" s="40"/>
      <c r="AB566" s="92"/>
      <c r="AC566" s="96" t="str">
        <f>IF(Eingabe[[#This Row],[V1]]="",IF(Eingabe[[#This Row],[Volle alternativ]]="","",Eingabe[[#This Row],[Volle alternativ]]),SUM(Eingabe[[#This Row],[V1]:[V4]]))</f>
        <v/>
      </c>
      <c r="AD566" s="23" t="str">
        <f>IF(Eingabe[[#This Row],[R1]]="",IF(Eingabe[[#This Row],[Räumer alternativ]]="","",Eingabe[[#This Row],[Räumer alternativ]]),SUM(Eingabe[[#This Row],[R1]:[R4]]))</f>
        <v/>
      </c>
      <c r="AE566" s="23" t="str">
        <f>IF(Eingabe[[#This Row],[F1]]="",IF(Eingabe[[#This Row],[Fehler alternativ]]="","",Eingabe[[#This Row],[Fehler alternativ]]),SUM(Eingabe[[#This Row],[F1]:[F4]]))</f>
        <v/>
      </c>
      <c r="AF566" s="23" t="str">
        <f>IF(Eingabe[[#This Row],[Volle]]="","",IF(Eingabe[[#This Row],[S1]]="",Eingabe[[#This Row],[Volle]]+Eingabe[[#This Row],[Räumer]],IF(Eingabe[[#This Row],[Volle]]+Eingabe[[#This Row],[Räumer]]=Eingabe[[#This Row],[S1]]+Eingabe[[#This Row],[S2]]+Eingabe[[#This Row],[S3]]+Eingabe[[#This Row],[S4]],Eingabe[[#This Row],[Volle]]+Eingabe[[#This Row],[Räumer]],"FEHLER")))</f>
        <v/>
      </c>
      <c r="AG566" s="23" t="str">
        <f>IF(Eingabe[[#This Row],[V1]]="","",Eingabe[[#This Row],[V1]]+Eingabe[[#This Row],[R1]])</f>
        <v/>
      </c>
      <c r="AH566" s="23" t="str">
        <f>IF(Eingabe[[#This Row],[V2]]="","",Eingabe[[#This Row],[V2]]+Eingabe[[#This Row],[R2]])</f>
        <v/>
      </c>
      <c r="AI566" s="23" t="str">
        <f>IF(Eingabe[[#This Row],[V3]]="","",Eingabe[[#This Row],[V3]]+Eingabe[[#This Row],[R3]])</f>
        <v/>
      </c>
      <c r="AJ566" s="23" t="str">
        <f>IF(Eingabe[[#This Row],[V4]]="","",Eingabe[[#This Row],[V4]]+Eingabe[[#This Row],[R4]])</f>
        <v/>
      </c>
      <c r="AK566" s="23" t="str">
        <f>IF(Eingabe[[#This Row],[S1P]]="","",Eingabe[[#This Row],[S1P]]+Eingabe[[#This Row],[S2P]]+Eingabe[[#This Row],[S3P]]+Eingabe[[#This Row],[S4P]])</f>
        <v/>
      </c>
      <c r="AL566" s="23" t="str">
        <f>IF(Eingabe[[#This Row],[S1P]]="","",IF(Eingabe[[#This Row],[SP]]&gt;2,1,IF(Eingabe[[#This Row],[SP]]&lt;2,0,IF(Eingabe[[#This Row],[GES]]&gt;Eingabe[[#This Row],[GEGGES]],1,IF(Eingabe[[#This Row],[GES]]=Eingabe[[#This Row],[GEGGES]],0.5,0)))))</f>
        <v/>
      </c>
      <c r="AM566" s="23" t="str">
        <f>IF(Eingabe[[#This Row],[MP]]="","",MOD(ROW(Eingabe[[#This Row],[Position]])-3,6)+1)</f>
        <v/>
      </c>
      <c r="AN566" s="23" t="e">
        <f>STANDARDIZE(Eingabe[[#This Row],[GES]],Eingabe[[#This Row],[Schnitt]],VLOOKUP(Eingabe[[#This Row],[Name]],AuswertungG[],21,FALSE))</f>
        <v>#VALUE!</v>
      </c>
      <c r="AO566" s="23">
        <f>VLOOKUP(Eingabe[[#This Row],[ID]],Chronologie[[ID]:[KW]],12,FALSE)</f>
        <v>23</v>
      </c>
      <c r="AP566" s="59" t="str">
        <f>IF(Eingabe[[#This Row],[Wo]]="H",Eingabe[[#This Row],[Gegner]]&amp;" ["&amp;Eingabe[[#This Row],[Wo]]&amp;"]",Eingabe[[#This Row],[Ort]])</f>
        <v>Krummenhennersdorf</v>
      </c>
      <c r="AQ566" s="23" t="str">
        <f>IFERROR(IF(Eingabe[[#This Row],[Wo]]="H",IF(MOD(Eingabe[[#This Row],[Position]],2)=1,Eingabe[[#This Row],[S1]],Eingabe[[#This Row],[S4]]),""),"")</f>
        <v/>
      </c>
      <c r="AR566" s="23" t="str">
        <f>IFERROR(IF(Eingabe[[#This Row],[Wo]]="H",IF(Eingabe[[#This Row],[S1]]&gt;0,IF(MOD(Eingabe[[#This Row],[Position]],2)=1,Eingabe[[#This Row],[S2]],Eingabe[[#This Row],[S3]]),""),""),"")</f>
        <v/>
      </c>
      <c r="AS566" s="23" t="str">
        <f>IFERROR(IF(Eingabe[[#This Row],[Wo]]="H",IF(Eingabe[[#This Row],[S1]]&gt;0,IF(MOD(ROW(Eingabe[[#This Row],[Heimbahn 3]]),2)=1,Eingabe[[#This Row],[S4]],Eingabe[[#This Row],[S1]]),""),""),"")</f>
        <v/>
      </c>
      <c r="AT566" s="23" t="str">
        <f>IFERROR(IF(Eingabe[[#This Row],[Wo]]="H",IF(Eingabe[[#This Row],[S1]]&gt;0,IF(MOD(ROW(Eingabe[[#This Row],[Heimbahn 4]]),2)=1,Eingabe[[#This Row],[S3]],Eingabe[[#This Row],[S2]]),""),""),"")</f>
        <v/>
      </c>
      <c r="AU566" s="89" t="str">
        <f>IF(Eingabe[[#This Row],[GES]]="","",IF(Eingabe[[#This Row],[Modus]]="L",_xlfn.RANK.EQ(Eingabe[[#This Row],[GES]],AF561:AF566),IF(Eingabe[[#This Row],[Modus]]="P",_xlfn.RANK.EQ(Eingabe[[#This Row],[GES]],AF561:AF566),"")))</f>
        <v/>
      </c>
      <c r="AV566" s="6" t="e">
        <f>VLOOKUP(Eingabe[[#This Row],[Name]],AuswertungG[],8,FALSE)</f>
        <v>#N/A</v>
      </c>
      <c r="AZ566" s="6" t="str">
        <f>IFERROR(ABS(Eingabe[[#This Row],[GES]]-Eingabe[[#This Row],[GEGGES]]),"")</f>
        <v/>
      </c>
    </row>
    <row r="567" spans="1:52" hidden="1" x14ac:dyDescent="0.3">
      <c r="A567" s="440">
        <f t="shared" si="53"/>
        <v>95</v>
      </c>
      <c r="B567" s="55">
        <f t="shared" si="52"/>
        <v>95</v>
      </c>
      <c r="C567" s="35" t="str">
        <f>VLOOKUP($B567,Chronologie[],7,TRUE)</f>
        <v>SV Krummenhennersdorf</v>
      </c>
      <c r="D567" s="35" t="str">
        <f>VLOOKUP($B567,Chronologie[],8,TRUE)</f>
        <v>Krummenhennersdorf</v>
      </c>
      <c r="E567" s="36" t="str">
        <f>VLOOKUP($B567,Chronologie[],9,TRUE)</f>
        <v>A</v>
      </c>
      <c r="F567" s="35" t="str">
        <f>VLOOKUP($B567,Chronologie[],COLUMN(F568)-2,TRUE)</f>
        <v>M</v>
      </c>
      <c r="G567" s="35" t="str">
        <f>VLOOKUP($B567,Chronologie[],COLUMN(G568)-2,TRUE)</f>
        <v>KEM</v>
      </c>
      <c r="H567" s="35" t="str">
        <f>VLOOKUP($B567,Chronologie[],COLUMN(H568)-2,TRUE)</f>
        <v>E</v>
      </c>
      <c r="I567" s="9" t="str">
        <f>VLOOKUP($B567,Chronologie[],2,TRUE)</f>
        <v>M-KEM-E</v>
      </c>
      <c r="J567" s="242">
        <f>VLOOKUP($B567,Chronologie[],3,TRUE)</f>
        <v>46053</v>
      </c>
      <c r="K567" s="236" t="s">
        <v>658</v>
      </c>
      <c r="L567" s="236"/>
      <c r="M567" s="236"/>
      <c r="N567" s="236"/>
      <c r="O567" s="236"/>
      <c r="P567" s="236"/>
      <c r="Q567" s="236"/>
      <c r="R567" s="236"/>
      <c r="S567" s="236"/>
      <c r="T567" s="236"/>
      <c r="U567" s="236"/>
      <c r="V567" s="236"/>
      <c r="W567" s="236"/>
      <c r="X567" s="37"/>
      <c r="Y567" s="37"/>
      <c r="Z567" s="37"/>
      <c r="AA567" s="37"/>
      <c r="AB567" s="90"/>
      <c r="AC567" s="93">
        <f>IF(Eingabe[[#This Row],[V1]]="",IF(Eingabe[[#This Row],[Volle alternativ]]="","",Eingabe[[#This Row],[Volle alternativ]]),SUM(Eingabe[[#This Row],[V1]:[V4]]))</f>
        <v>378</v>
      </c>
      <c r="AD567" s="35">
        <f>IF(Eingabe[[#This Row],[R1]]="",IF(Eingabe[[#This Row],[Räumer alternativ]]="","",Eingabe[[#This Row],[Räumer alternativ]]),SUM(Eingabe[[#This Row],[R1]:[R4]]))</f>
        <v>150</v>
      </c>
      <c r="AE567" s="35">
        <f>IF(Eingabe[[#This Row],[F1]]="",IF(Eingabe[[#This Row],[Fehler alternativ]]="","",Eingabe[[#This Row],[Fehler alternativ]]),SUM(Eingabe[[#This Row],[F1]:[F4]]))</f>
        <v>2</v>
      </c>
      <c r="AF567" s="35">
        <f>IF(Eingabe[[#This Row],[Volle]]="","",IF(Eingabe[[#This Row],[S1]]="",Eingabe[[#This Row],[Volle]]+Eingabe[[#This Row],[Räumer]],IF(Eingabe[[#This Row],[Volle]]+Eingabe[[#This Row],[Räumer]]=Eingabe[[#This Row],[S1]]+Eingabe[[#This Row],[S2]]+Eingabe[[#This Row],[S3]]+Eingabe[[#This Row],[S4]],Eingabe[[#This Row],[Volle]]+Eingabe[[#This Row],[Räumer]],"FEHLER")))</f>
        <v>528</v>
      </c>
      <c r="AG567" s="35" t="str">
        <f>IF(Eingabe[[#This Row],[V1]]="","",Eingabe[[#This Row],[V1]]+Eingabe[[#This Row],[R1]])</f>
        <v/>
      </c>
      <c r="AH567" s="35" t="str">
        <f>IF(Eingabe[[#This Row],[V2]]="","",Eingabe[[#This Row],[V2]]+Eingabe[[#This Row],[R2]])</f>
        <v/>
      </c>
      <c r="AI567" s="35" t="str">
        <f>IF(Eingabe[[#This Row],[V3]]="","",Eingabe[[#This Row],[V3]]+Eingabe[[#This Row],[R3]])</f>
        <v/>
      </c>
      <c r="AJ567" s="35" t="str">
        <f>IF(Eingabe[[#This Row],[V4]]="","",Eingabe[[#This Row],[V4]]+Eingabe[[#This Row],[R4]])</f>
        <v/>
      </c>
      <c r="AK567" s="35" t="str">
        <f>IF(Eingabe[[#This Row],[S1P]]="","",Eingabe[[#This Row],[S1P]]+Eingabe[[#This Row],[S2P]]+Eingabe[[#This Row],[S3P]]+Eingabe[[#This Row],[S4P]])</f>
        <v/>
      </c>
      <c r="AL567" s="35" t="str">
        <f>IF(Eingabe[[#This Row],[S1P]]="","",IF(Eingabe[[#This Row],[SP]]&gt;2,1,IF(Eingabe[[#This Row],[SP]]&lt;2,0,IF(Eingabe[[#This Row],[GES]]&gt;Eingabe[[#This Row],[GEGGES]],1,IF(Eingabe[[#This Row],[GES]]=Eingabe[[#This Row],[GEGGES]],0.5,0)))))</f>
        <v/>
      </c>
      <c r="AM567" s="35" t="str">
        <f>IF(Eingabe[[#This Row],[MP]]="","",MOD(ROW(Eingabe[[#This Row],[Position]])-3,6)+1)</f>
        <v/>
      </c>
      <c r="AN567" s="35">
        <f>STANDARDIZE(Eingabe[[#This Row],[GES]],Eingabe[[#This Row],[Schnitt]],VLOOKUP(Eingabe[[#This Row],[Name]],AuswertungG[],21,FALSE))</f>
        <v>-0.62857142857142856</v>
      </c>
      <c r="AO567" s="35">
        <f>VLOOKUP(Eingabe[[#This Row],[ID]],Chronologie[[ID]:[KW]],12,FALSE)</f>
        <v>23</v>
      </c>
      <c r="AP567" s="58" t="str">
        <f>IF(Eingabe[[#This Row],[Wo]]="H",Eingabe[[#This Row],[Gegner]]&amp;" ["&amp;Eingabe[[#This Row],[Wo]]&amp;"]",Eingabe[[#This Row],[Ort]])</f>
        <v>Krummenhennersdorf</v>
      </c>
      <c r="AQ567" s="35" t="str">
        <f>IFERROR(IF(Eingabe[[#This Row],[Wo]]="H",IF(MOD(Eingabe[[#This Row],[Position]],2)=1,Eingabe[[#This Row],[S1]],Eingabe[[#This Row],[S4]]),""),"")</f>
        <v/>
      </c>
      <c r="AR567" s="35" t="str">
        <f>IFERROR(IF(Eingabe[[#This Row],[Wo]]="H",IF(Eingabe[[#This Row],[S1]]&gt;0,IF(MOD(Eingabe[[#This Row],[Position]],2)=1,Eingabe[[#This Row],[S2]],Eingabe[[#This Row],[S3]]),""),""),"")</f>
        <v/>
      </c>
      <c r="AS567" s="35" t="str">
        <f>IFERROR(IF(Eingabe[[#This Row],[Wo]]="H",IF(Eingabe[[#This Row],[S1]]&gt;0,IF(MOD(ROW(Eingabe[[#This Row],[Heimbahn 3]]),2)=1,Eingabe[[#This Row],[S4]],Eingabe[[#This Row],[S1]]),""),""),"")</f>
        <v/>
      </c>
      <c r="AT567" s="35" t="str">
        <f>IFERROR(IF(Eingabe[[#This Row],[Wo]]="H",IF(Eingabe[[#This Row],[S1]]&gt;0,IF(MOD(ROW(Eingabe[[#This Row],[Heimbahn 4]]),2)=1,Eingabe[[#This Row],[S3]],Eingabe[[#This Row],[S2]]),""),""),"")</f>
        <v/>
      </c>
      <c r="AU567" s="88" t="str">
        <f>IF(Eingabe[[#This Row],[GES]]="","",IF(Eingabe[[#This Row],[Modus]]="L",_xlfn.RANK.EQ(Eingabe[[#This Row],[GES]],AF567:AF572),IF(Eingabe[[#This Row],[Modus]]="P",_xlfn.RANK.EQ(Eingabe[[#This Row],[GES]],AF567:AF572),"")))</f>
        <v/>
      </c>
      <c r="AV567" s="6">
        <f>VLOOKUP(Eingabe[[#This Row],[Name]],AuswertungG[],8,FALSE)</f>
        <v>550</v>
      </c>
      <c r="AW567" s="6">
        <v>378</v>
      </c>
      <c r="AX567" s="6">
        <v>150</v>
      </c>
      <c r="AY567" s="6">
        <v>2</v>
      </c>
      <c r="AZ567" s="6">
        <f>IFERROR(ABS(Eingabe[[#This Row],[GES]]-Eingabe[[#This Row],[GEGGES]]),"")</f>
        <v>528</v>
      </c>
    </row>
    <row r="568" spans="1:52" hidden="1" x14ac:dyDescent="0.3">
      <c r="A568" s="441"/>
      <c r="B568" s="21">
        <f t="shared" si="52"/>
        <v>95</v>
      </c>
      <c r="C568" s="6" t="str">
        <f>VLOOKUP($B568,Chronologie[],7,TRUE)</f>
        <v>SV Krummenhennersdorf</v>
      </c>
      <c r="D568" s="6" t="str">
        <f>VLOOKUP($B568,Chronologie[],8,TRUE)</f>
        <v>Krummenhennersdorf</v>
      </c>
      <c r="E568" s="240" t="str">
        <f>VLOOKUP($B568,Chronologie[],9,TRUE)</f>
        <v>A</v>
      </c>
      <c r="F568" s="6" t="str">
        <f>VLOOKUP($B568,Chronologie[],COLUMN(F569)-2,TRUE)</f>
        <v>M</v>
      </c>
      <c r="G568" s="6" t="str">
        <f>VLOOKUP($B568,Chronologie[],COLUMN(G569)-2,TRUE)</f>
        <v>KEM</v>
      </c>
      <c r="H568" s="6" t="str">
        <f>VLOOKUP($B568,Chronologie[],COLUMN(H569)-2,TRUE)</f>
        <v>E</v>
      </c>
      <c r="I568" s="10" t="str">
        <f>VLOOKUP($B568,Chronologie[],2,TRUE)</f>
        <v>M-KEM-E</v>
      </c>
      <c r="J568" s="243">
        <f>VLOOKUP($B568,Chronologie[],3,TRUE)</f>
        <v>46053</v>
      </c>
      <c r="K568" s="237" t="s">
        <v>469</v>
      </c>
      <c r="L568" s="237"/>
      <c r="M568" s="237"/>
      <c r="N568" s="237"/>
      <c r="O568" s="237"/>
      <c r="P568" s="237"/>
      <c r="Q568" s="237"/>
      <c r="R568" s="237"/>
      <c r="S568" s="237"/>
      <c r="T568" s="237"/>
      <c r="U568" s="237"/>
      <c r="V568" s="237"/>
      <c r="W568" s="237"/>
      <c r="X568" s="38"/>
      <c r="Y568" s="38"/>
      <c r="Z568" s="38"/>
      <c r="AA568" s="38"/>
      <c r="AB568" s="91"/>
      <c r="AC568" s="94">
        <f>IF(Eingabe[[#This Row],[V1]]="",IF(Eingabe[[#This Row],[Volle alternativ]]="","",Eingabe[[#This Row],[Volle alternativ]]),SUM(Eingabe[[#This Row],[V1]:[V4]]))</f>
        <v>352</v>
      </c>
      <c r="AD568" s="6">
        <f>IF(Eingabe[[#This Row],[R1]]="",IF(Eingabe[[#This Row],[Räumer alternativ]]="","",Eingabe[[#This Row],[Räumer alternativ]]),SUM(Eingabe[[#This Row],[R1]:[R4]]))</f>
        <v>157</v>
      </c>
      <c r="AE568" s="6">
        <f>IF(Eingabe[[#This Row],[F1]]="",IF(Eingabe[[#This Row],[Fehler alternativ]]="","",Eingabe[[#This Row],[Fehler alternativ]]),SUM(Eingabe[[#This Row],[F1]:[F4]]))</f>
        <v>9</v>
      </c>
      <c r="AF568" s="6">
        <f>IF(Eingabe[[#This Row],[Volle]]="","",IF(Eingabe[[#This Row],[S1]]="",Eingabe[[#This Row],[Volle]]+Eingabe[[#This Row],[Räumer]],IF(Eingabe[[#This Row],[Volle]]+Eingabe[[#This Row],[Räumer]]=Eingabe[[#This Row],[S1]]+Eingabe[[#This Row],[S2]]+Eingabe[[#This Row],[S3]]+Eingabe[[#This Row],[S4]],Eingabe[[#This Row],[Volle]]+Eingabe[[#This Row],[Räumer]],"FEHLER")))</f>
        <v>509</v>
      </c>
      <c r="AG568" s="6" t="str">
        <f>IF(Eingabe[[#This Row],[V1]]="","",Eingabe[[#This Row],[V1]]+Eingabe[[#This Row],[R1]])</f>
        <v/>
      </c>
      <c r="AH568" s="6" t="str">
        <f>IF(Eingabe[[#This Row],[V2]]="","",Eingabe[[#This Row],[V2]]+Eingabe[[#This Row],[R2]])</f>
        <v/>
      </c>
      <c r="AI568" s="6" t="str">
        <f>IF(Eingabe[[#This Row],[V3]]="","",Eingabe[[#This Row],[V3]]+Eingabe[[#This Row],[R3]])</f>
        <v/>
      </c>
      <c r="AJ568" s="6" t="str">
        <f>IF(Eingabe[[#This Row],[V4]]="","",Eingabe[[#This Row],[V4]]+Eingabe[[#This Row],[R4]])</f>
        <v/>
      </c>
      <c r="AK568" s="6" t="str">
        <f>IF(Eingabe[[#This Row],[S1P]]="","",Eingabe[[#This Row],[S1P]]+Eingabe[[#This Row],[S2P]]+Eingabe[[#This Row],[S3P]]+Eingabe[[#This Row],[S4P]])</f>
        <v/>
      </c>
      <c r="AL568" s="6" t="str">
        <f>IF(Eingabe[[#This Row],[S1P]]="","",IF(Eingabe[[#This Row],[SP]]&gt;2,1,IF(Eingabe[[#This Row],[SP]]&lt;2,0,IF(Eingabe[[#This Row],[GES]]&gt;Eingabe[[#This Row],[GEGGES]],1,IF(Eingabe[[#This Row],[GES]]=Eingabe[[#This Row],[GEGGES]],0.5,0)))))</f>
        <v/>
      </c>
      <c r="AM568" s="6" t="str">
        <f>IF(Eingabe[[#This Row],[MP]]="","",MOD(ROW(Eingabe[[#This Row],[Position]])-3,6)+1)</f>
        <v/>
      </c>
      <c r="AN568" s="6">
        <f>STANDARDIZE(Eingabe[[#This Row],[GES]],Eingabe[[#This Row],[Schnitt]],VLOOKUP(Eingabe[[#This Row],[Name]],AuswertungG[],21,FALSE))</f>
        <v>-0.86363636363636365</v>
      </c>
      <c r="AO568" s="6">
        <f>VLOOKUP(Eingabe[[#This Row],[ID]],Chronologie[[ID]:[KW]],12,FALSE)</f>
        <v>23</v>
      </c>
      <c r="AP568" s="95" t="str">
        <f>IF(Eingabe[[#This Row],[Wo]]="H",Eingabe[[#This Row],[Gegner]]&amp;" ["&amp;Eingabe[[#This Row],[Wo]]&amp;"]",Eingabe[[#This Row],[Ort]])</f>
        <v>Krummenhennersdorf</v>
      </c>
      <c r="AQ568" s="6" t="str">
        <f>IFERROR(IF(Eingabe[[#This Row],[Wo]]="H",IF(MOD(Eingabe[[#This Row],[Position]],2)=1,Eingabe[[#This Row],[S1]],Eingabe[[#This Row],[S4]]),""),"")</f>
        <v/>
      </c>
      <c r="AR568" s="6" t="str">
        <f>IFERROR(IF(Eingabe[[#This Row],[Wo]]="H",IF(Eingabe[[#This Row],[S1]]&gt;0,IF(MOD(Eingabe[[#This Row],[Position]],2)=1,Eingabe[[#This Row],[S2]],Eingabe[[#This Row],[S3]]),""),""),"")</f>
        <v/>
      </c>
      <c r="AS568" s="6" t="str">
        <f>IFERROR(IF(Eingabe[[#This Row],[Wo]]="H",IF(Eingabe[[#This Row],[S1]]&gt;0,IF(MOD(ROW(Eingabe[[#This Row],[Heimbahn 3]]),2)=1,Eingabe[[#This Row],[S4]],Eingabe[[#This Row],[S1]]),""),""),"")</f>
        <v/>
      </c>
      <c r="AT568" s="6" t="str">
        <f>IFERROR(IF(Eingabe[[#This Row],[Wo]]="H",IF(Eingabe[[#This Row],[S1]]&gt;0,IF(MOD(ROW(Eingabe[[#This Row],[Heimbahn 4]]),2)=1,Eingabe[[#This Row],[S3]],Eingabe[[#This Row],[S2]]),""),""),"")</f>
        <v/>
      </c>
      <c r="AU568" s="22" t="str">
        <f>IF(Eingabe[[#This Row],[GES]]="","",IF(Eingabe[[#This Row],[Modus]]="L",_xlfn.RANK.EQ(Eingabe[[#This Row],[GES]],AF567:AF572),IF(Eingabe[[#This Row],[Modus]]="P",_xlfn.RANK.EQ(Eingabe[[#This Row],[GES]],AF567:AF572),"")))</f>
        <v/>
      </c>
      <c r="AV568" s="6">
        <f>VLOOKUP(Eingabe[[#This Row],[Name]],AuswertungG[],8,FALSE)</f>
        <v>528</v>
      </c>
      <c r="AW568" s="6">
        <v>352</v>
      </c>
      <c r="AX568" s="6">
        <v>157</v>
      </c>
      <c r="AY568" s="6">
        <v>9</v>
      </c>
      <c r="AZ568" s="6">
        <f>IFERROR(ABS(Eingabe[[#This Row],[GES]]-Eingabe[[#This Row],[GEGGES]]),"")</f>
        <v>509</v>
      </c>
    </row>
    <row r="569" spans="1:52" hidden="1" x14ac:dyDescent="0.3">
      <c r="A569" s="441"/>
      <c r="B569" s="21">
        <f t="shared" si="52"/>
        <v>95</v>
      </c>
      <c r="C569" s="6" t="str">
        <f>VLOOKUP($B569,Chronologie[],7,TRUE)</f>
        <v>SV Krummenhennersdorf</v>
      </c>
      <c r="D569" s="6" t="str">
        <f>VLOOKUP($B569,Chronologie[],8,TRUE)</f>
        <v>Krummenhennersdorf</v>
      </c>
      <c r="E569" s="240" t="str">
        <f>VLOOKUP($B569,Chronologie[],9,TRUE)</f>
        <v>A</v>
      </c>
      <c r="F569" s="6" t="str">
        <f>VLOOKUP($B569,Chronologie[],COLUMN(F570)-2,TRUE)</f>
        <v>M</v>
      </c>
      <c r="G569" s="6" t="str">
        <f>VLOOKUP($B569,Chronologie[],COLUMN(G570)-2,TRUE)</f>
        <v>KEM</v>
      </c>
      <c r="H569" s="6" t="str">
        <f>VLOOKUP($B569,Chronologie[],COLUMN(H570)-2,TRUE)</f>
        <v>E</v>
      </c>
      <c r="I569" s="10" t="str">
        <f>VLOOKUP($B569,Chronologie[],2,TRUE)</f>
        <v>M-KEM-E</v>
      </c>
      <c r="J569" s="243">
        <f>VLOOKUP($B569,Chronologie[],3,TRUE)</f>
        <v>46053</v>
      </c>
      <c r="K569" s="237"/>
      <c r="L569" s="237"/>
      <c r="M569" s="237"/>
      <c r="N569" s="237"/>
      <c r="O569" s="237"/>
      <c r="P569" s="237"/>
      <c r="Q569" s="237"/>
      <c r="R569" s="237"/>
      <c r="S569" s="237"/>
      <c r="T569" s="237"/>
      <c r="U569" s="237"/>
      <c r="V569" s="237"/>
      <c r="W569" s="237"/>
      <c r="X569" s="38"/>
      <c r="Y569" s="38"/>
      <c r="Z569" s="38"/>
      <c r="AA569" s="38"/>
      <c r="AB569" s="91"/>
      <c r="AC569" s="94" t="str">
        <f>IF(Eingabe[[#This Row],[V1]]="",IF(Eingabe[[#This Row],[Volle alternativ]]="","",Eingabe[[#This Row],[Volle alternativ]]),SUM(Eingabe[[#This Row],[V1]:[V4]]))</f>
        <v/>
      </c>
      <c r="AD569" s="6" t="str">
        <f>IF(Eingabe[[#This Row],[R1]]="",IF(Eingabe[[#This Row],[Räumer alternativ]]="","",Eingabe[[#This Row],[Räumer alternativ]]),SUM(Eingabe[[#This Row],[R1]:[R4]]))</f>
        <v/>
      </c>
      <c r="AE569" s="6" t="str">
        <f>IF(Eingabe[[#This Row],[F1]]="",IF(Eingabe[[#This Row],[Fehler alternativ]]="","",Eingabe[[#This Row],[Fehler alternativ]]),SUM(Eingabe[[#This Row],[F1]:[F4]]))</f>
        <v/>
      </c>
      <c r="AF569" s="6" t="str">
        <f>IF(Eingabe[[#This Row],[Volle]]="","",IF(Eingabe[[#This Row],[S1]]="",Eingabe[[#This Row],[Volle]]+Eingabe[[#This Row],[Räumer]],IF(Eingabe[[#This Row],[Volle]]+Eingabe[[#This Row],[Räumer]]=Eingabe[[#This Row],[S1]]+Eingabe[[#This Row],[S2]]+Eingabe[[#This Row],[S3]]+Eingabe[[#This Row],[S4]],Eingabe[[#This Row],[Volle]]+Eingabe[[#This Row],[Räumer]],"FEHLER")))</f>
        <v/>
      </c>
      <c r="AG569" s="6" t="str">
        <f>IF(Eingabe[[#This Row],[V1]]="","",Eingabe[[#This Row],[V1]]+Eingabe[[#This Row],[R1]])</f>
        <v/>
      </c>
      <c r="AH569" s="6" t="str">
        <f>IF(Eingabe[[#This Row],[V2]]="","",Eingabe[[#This Row],[V2]]+Eingabe[[#This Row],[R2]])</f>
        <v/>
      </c>
      <c r="AI569" s="6" t="str">
        <f>IF(Eingabe[[#This Row],[V3]]="","",Eingabe[[#This Row],[V3]]+Eingabe[[#This Row],[R3]])</f>
        <v/>
      </c>
      <c r="AJ569" s="6" t="str">
        <f>IF(Eingabe[[#This Row],[V4]]="","",Eingabe[[#This Row],[V4]]+Eingabe[[#This Row],[R4]])</f>
        <v/>
      </c>
      <c r="AK569" s="6" t="str">
        <f>IF(Eingabe[[#This Row],[S1P]]="","",Eingabe[[#This Row],[S1P]]+Eingabe[[#This Row],[S2P]]+Eingabe[[#This Row],[S3P]]+Eingabe[[#This Row],[S4P]])</f>
        <v/>
      </c>
      <c r="AL569" s="6" t="str">
        <f>IF(Eingabe[[#This Row],[S1P]]="","",IF(Eingabe[[#This Row],[SP]]&gt;2,1,IF(Eingabe[[#This Row],[SP]]&lt;2,0,IF(Eingabe[[#This Row],[GES]]&gt;Eingabe[[#This Row],[GEGGES]],1,IF(Eingabe[[#This Row],[GES]]=Eingabe[[#This Row],[GEGGES]],0.5,0)))))</f>
        <v/>
      </c>
      <c r="AM569" s="6" t="str">
        <f>IF(Eingabe[[#This Row],[MP]]="","",MOD(ROW(Eingabe[[#This Row],[Position]])-3,6)+1)</f>
        <v/>
      </c>
      <c r="AN569" s="6" t="e">
        <f>STANDARDIZE(Eingabe[[#This Row],[GES]],Eingabe[[#This Row],[Schnitt]],VLOOKUP(Eingabe[[#This Row],[Name]],AuswertungG[],21,FALSE))</f>
        <v>#VALUE!</v>
      </c>
      <c r="AO569" s="6">
        <f>VLOOKUP(Eingabe[[#This Row],[ID]],Chronologie[[ID]:[KW]],12,FALSE)</f>
        <v>23</v>
      </c>
      <c r="AP569" s="95" t="str">
        <f>IF(Eingabe[[#This Row],[Wo]]="H",Eingabe[[#This Row],[Gegner]]&amp;" ["&amp;Eingabe[[#This Row],[Wo]]&amp;"]",Eingabe[[#This Row],[Ort]])</f>
        <v>Krummenhennersdorf</v>
      </c>
      <c r="AQ569" s="6" t="str">
        <f>IFERROR(IF(Eingabe[[#This Row],[Wo]]="H",IF(MOD(Eingabe[[#This Row],[Position]],2)=1,Eingabe[[#This Row],[S1]],Eingabe[[#This Row],[S4]]),""),"")</f>
        <v/>
      </c>
      <c r="AR569" s="6" t="str">
        <f>IFERROR(IF(Eingabe[[#This Row],[Wo]]="H",IF(Eingabe[[#This Row],[S1]]&gt;0,IF(MOD(Eingabe[[#This Row],[Position]],2)=1,Eingabe[[#This Row],[S2]],Eingabe[[#This Row],[S3]]),""),""),"")</f>
        <v/>
      </c>
      <c r="AS569" s="6" t="str">
        <f>IFERROR(IF(Eingabe[[#This Row],[Wo]]="H",IF(Eingabe[[#This Row],[S1]]&gt;0,IF(MOD(ROW(Eingabe[[#This Row],[Heimbahn 3]]),2)=1,Eingabe[[#This Row],[S4]],Eingabe[[#This Row],[S1]]),""),""),"")</f>
        <v/>
      </c>
      <c r="AT569" s="6" t="str">
        <f>IFERROR(IF(Eingabe[[#This Row],[Wo]]="H",IF(Eingabe[[#This Row],[S1]]&gt;0,IF(MOD(ROW(Eingabe[[#This Row],[Heimbahn 4]]),2)=1,Eingabe[[#This Row],[S3]],Eingabe[[#This Row],[S2]]),""),""),"")</f>
        <v/>
      </c>
      <c r="AU569" s="22" t="str">
        <f>IF(Eingabe[[#This Row],[GES]]="","",IF(Eingabe[[#This Row],[Modus]]="L",_xlfn.RANK.EQ(Eingabe[[#This Row],[GES]],AF567:AF572),IF(Eingabe[[#This Row],[Modus]]="P",_xlfn.RANK.EQ(Eingabe[[#This Row],[GES]],AF567:AF572),"")))</f>
        <v/>
      </c>
      <c r="AV569" s="6" t="e">
        <f>VLOOKUP(Eingabe[[#This Row],[Name]],AuswertungG[],8,FALSE)</f>
        <v>#N/A</v>
      </c>
      <c r="AZ569" s="6" t="str">
        <f>IFERROR(ABS(Eingabe[[#This Row],[GES]]-Eingabe[[#This Row],[GEGGES]]),"")</f>
        <v/>
      </c>
    </row>
    <row r="570" spans="1:52" hidden="1" x14ac:dyDescent="0.3">
      <c r="A570" s="441"/>
      <c r="B570" s="21">
        <f t="shared" si="52"/>
        <v>95</v>
      </c>
      <c r="C570" s="6" t="str">
        <f>VLOOKUP($B570,Chronologie[],7,TRUE)</f>
        <v>SV Krummenhennersdorf</v>
      </c>
      <c r="D570" s="6" t="str">
        <f>VLOOKUP($B570,Chronologie[],8,TRUE)</f>
        <v>Krummenhennersdorf</v>
      </c>
      <c r="E570" s="240" t="str">
        <f>VLOOKUP($B570,Chronologie[],9,TRUE)</f>
        <v>A</v>
      </c>
      <c r="F570" s="6" t="str">
        <f>VLOOKUP($B570,Chronologie[],COLUMN(F571)-2,TRUE)</f>
        <v>M</v>
      </c>
      <c r="G570" s="6" t="str">
        <f>VLOOKUP($B570,Chronologie[],COLUMN(G571)-2,TRUE)</f>
        <v>KEM</v>
      </c>
      <c r="H570" s="6" t="str">
        <f>VLOOKUP($B570,Chronologie[],COLUMN(H571)-2,TRUE)</f>
        <v>E</v>
      </c>
      <c r="I570" s="10" t="str">
        <f>VLOOKUP($B570,Chronologie[],2,TRUE)</f>
        <v>M-KEM-E</v>
      </c>
      <c r="J570" s="243">
        <f>VLOOKUP($B570,Chronologie[],3,TRUE)</f>
        <v>46053</v>
      </c>
      <c r="K570" s="238"/>
      <c r="L570" s="238"/>
      <c r="M570" s="238"/>
      <c r="N570" s="238"/>
      <c r="O570" s="238"/>
      <c r="P570" s="238"/>
      <c r="Q570" s="238"/>
      <c r="R570" s="238"/>
      <c r="S570" s="238"/>
      <c r="T570" s="238"/>
      <c r="U570" s="238"/>
      <c r="V570" s="238"/>
      <c r="W570" s="238"/>
      <c r="X570" s="38"/>
      <c r="Y570" s="38"/>
      <c r="Z570" s="38"/>
      <c r="AA570" s="38"/>
      <c r="AB570" s="91"/>
      <c r="AC570" s="94" t="str">
        <f>IF(Eingabe[[#This Row],[V1]]="",IF(Eingabe[[#This Row],[Volle alternativ]]="","",Eingabe[[#This Row],[Volle alternativ]]),SUM(Eingabe[[#This Row],[V1]:[V4]]))</f>
        <v/>
      </c>
      <c r="AD570" s="6" t="str">
        <f>IF(Eingabe[[#This Row],[R1]]="",IF(Eingabe[[#This Row],[Räumer alternativ]]="","",Eingabe[[#This Row],[Räumer alternativ]]),SUM(Eingabe[[#This Row],[R1]:[R4]]))</f>
        <v/>
      </c>
      <c r="AE570" s="6" t="str">
        <f>IF(Eingabe[[#This Row],[F1]]="",IF(Eingabe[[#This Row],[Fehler alternativ]]="","",Eingabe[[#This Row],[Fehler alternativ]]),SUM(Eingabe[[#This Row],[F1]:[F4]]))</f>
        <v/>
      </c>
      <c r="AF570" s="6" t="str">
        <f>IF(Eingabe[[#This Row],[Volle]]="","",IF(Eingabe[[#This Row],[S1]]="",Eingabe[[#This Row],[Volle]]+Eingabe[[#This Row],[Räumer]],IF(Eingabe[[#This Row],[Volle]]+Eingabe[[#This Row],[Räumer]]=Eingabe[[#This Row],[S1]]+Eingabe[[#This Row],[S2]]+Eingabe[[#This Row],[S3]]+Eingabe[[#This Row],[S4]],Eingabe[[#This Row],[Volle]]+Eingabe[[#This Row],[Räumer]],"FEHLER")))</f>
        <v/>
      </c>
      <c r="AG570" s="6" t="str">
        <f>IF(Eingabe[[#This Row],[V1]]="","",Eingabe[[#This Row],[V1]]+Eingabe[[#This Row],[R1]])</f>
        <v/>
      </c>
      <c r="AH570" s="6" t="str">
        <f>IF(Eingabe[[#This Row],[V2]]="","",Eingabe[[#This Row],[V2]]+Eingabe[[#This Row],[R2]])</f>
        <v/>
      </c>
      <c r="AI570" s="6" t="str">
        <f>IF(Eingabe[[#This Row],[V3]]="","",Eingabe[[#This Row],[V3]]+Eingabe[[#This Row],[R3]])</f>
        <v/>
      </c>
      <c r="AJ570" s="6" t="str">
        <f>IF(Eingabe[[#This Row],[V4]]="","",Eingabe[[#This Row],[V4]]+Eingabe[[#This Row],[R4]])</f>
        <v/>
      </c>
      <c r="AK570" s="6" t="str">
        <f>IF(Eingabe[[#This Row],[S1P]]="","",Eingabe[[#This Row],[S1P]]+Eingabe[[#This Row],[S2P]]+Eingabe[[#This Row],[S3P]]+Eingabe[[#This Row],[S4P]])</f>
        <v/>
      </c>
      <c r="AL570" s="6" t="str">
        <f>IF(Eingabe[[#This Row],[S1P]]="","",IF(Eingabe[[#This Row],[SP]]&gt;2,1,IF(Eingabe[[#This Row],[SP]]&lt;2,0,IF(Eingabe[[#This Row],[GES]]&gt;Eingabe[[#This Row],[GEGGES]],1,IF(Eingabe[[#This Row],[GES]]=Eingabe[[#This Row],[GEGGES]],0.5,0)))))</f>
        <v/>
      </c>
      <c r="AM570" s="6" t="str">
        <f>IF(Eingabe[[#This Row],[MP]]="","",MOD(ROW(Eingabe[[#This Row],[Position]])-3,6)+1)</f>
        <v/>
      </c>
      <c r="AN570" s="6" t="e">
        <f>STANDARDIZE(Eingabe[[#This Row],[GES]],Eingabe[[#This Row],[Schnitt]],VLOOKUP(Eingabe[[#This Row],[Name]],AuswertungG[],21,FALSE))</f>
        <v>#VALUE!</v>
      </c>
      <c r="AO570" s="6">
        <f>VLOOKUP(Eingabe[[#This Row],[ID]],Chronologie[[ID]:[KW]],12,FALSE)</f>
        <v>23</v>
      </c>
      <c r="AP570" s="95" t="str">
        <f>IF(Eingabe[[#This Row],[Wo]]="H",Eingabe[[#This Row],[Gegner]]&amp;" ["&amp;Eingabe[[#This Row],[Wo]]&amp;"]",Eingabe[[#This Row],[Ort]])</f>
        <v>Krummenhennersdorf</v>
      </c>
      <c r="AQ570" s="6" t="str">
        <f>IFERROR(IF(Eingabe[[#This Row],[Wo]]="H",IF(MOD(Eingabe[[#This Row],[Position]],2)=1,Eingabe[[#This Row],[S1]],Eingabe[[#This Row],[S4]]),""),"")</f>
        <v/>
      </c>
      <c r="AR570" s="6" t="str">
        <f>IFERROR(IF(Eingabe[[#This Row],[Wo]]="H",IF(Eingabe[[#This Row],[S1]]&gt;0,IF(MOD(Eingabe[[#This Row],[Position]],2)=1,Eingabe[[#This Row],[S2]],Eingabe[[#This Row],[S3]]),""),""),"")</f>
        <v/>
      </c>
      <c r="AS570" s="6" t="str">
        <f>IFERROR(IF(Eingabe[[#This Row],[Wo]]="H",IF(Eingabe[[#This Row],[S1]]&gt;0,IF(MOD(ROW(Eingabe[[#This Row],[Heimbahn 3]]),2)=1,Eingabe[[#This Row],[S4]],Eingabe[[#This Row],[S1]]),""),""),"")</f>
        <v/>
      </c>
      <c r="AT570" s="6" t="str">
        <f>IFERROR(IF(Eingabe[[#This Row],[Wo]]="H",IF(Eingabe[[#This Row],[S1]]&gt;0,IF(MOD(ROW(Eingabe[[#This Row],[Heimbahn 4]]),2)=1,Eingabe[[#This Row],[S3]],Eingabe[[#This Row],[S2]]),""),""),"")</f>
        <v/>
      </c>
      <c r="AU570" s="22" t="str">
        <f>IF(Eingabe[[#This Row],[GES]]="","",IF(Eingabe[[#This Row],[Modus]]="L",_xlfn.RANK.EQ(Eingabe[[#This Row],[GES]],AF567:AF572),IF(Eingabe[[#This Row],[Modus]]="P",_xlfn.RANK.EQ(Eingabe[[#This Row],[GES]],AF567:AF572),"")))</f>
        <v/>
      </c>
      <c r="AV570" s="6" t="e">
        <f>VLOOKUP(Eingabe[[#This Row],[Name]],AuswertungG[],8,FALSE)</f>
        <v>#N/A</v>
      </c>
      <c r="AZ570" s="6" t="str">
        <f>IFERROR(ABS(Eingabe[[#This Row],[GES]]-Eingabe[[#This Row],[GEGGES]]),"")</f>
        <v/>
      </c>
    </row>
    <row r="571" spans="1:52" hidden="1" x14ac:dyDescent="0.3">
      <c r="A571" s="441"/>
      <c r="B571" s="21">
        <f t="shared" si="52"/>
        <v>95</v>
      </c>
      <c r="C571" s="6" t="str">
        <f>VLOOKUP($B571,Chronologie[],7,TRUE)</f>
        <v>SV Krummenhennersdorf</v>
      </c>
      <c r="D571" s="6" t="str">
        <f>VLOOKUP($B571,Chronologie[],8,TRUE)</f>
        <v>Krummenhennersdorf</v>
      </c>
      <c r="E571" s="240" t="str">
        <f>VLOOKUP($B571,Chronologie[],9,TRUE)</f>
        <v>A</v>
      </c>
      <c r="F571" s="6" t="str">
        <f>VLOOKUP($B571,Chronologie[],COLUMN(F572)-2,TRUE)</f>
        <v>M</v>
      </c>
      <c r="G571" s="6" t="str">
        <f>VLOOKUP($B571,Chronologie[],COLUMN(G572)-2,TRUE)</f>
        <v>KEM</v>
      </c>
      <c r="H571" s="6" t="str">
        <f>VLOOKUP($B571,Chronologie[],COLUMN(H572)-2,TRUE)</f>
        <v>E</v>
      </c>
      <c r="I571" s="10" t="str">
        <f>VLOOKUP($B571,Chronologie[],2,TRUE)</f>
        <v>M-KEM-E</v>
      </c>
      <c r="J571" s="243">
        <f>VLOOKUP($B571,Chronologie[],3,TRUE)</f>
        <v>46053</v>
      </c>
      <c r="K571" s="237"/>
      <c r="L571" s="237"/>
      <c r="M571" s="237"/>
      <c r="N571" s="237"/>
      <c r="O571" s="237"/>
      <c r="P571" s="237"/>
      <c r="Q571" s="237"/>
      <c r="R571" s="237"/>
      <c r="S571" s="237"/>
      <c r="T571" s="237"/>
      <c r="U571" s="237"/>
      <c r="V571" s="237"/>
      <c r="W571" s="237"/>
      <c r="X571" s="38"/>
      <c r="Y571" s="38"/>
      <c r="Z571" s="38"/>
      <c r="AA571" s="38"/>
      <c r="AB571" s="91"/>
      <c r="AC571" s="94" t="str">
        <f>IF(Eingabe[[#This Row],[V1]]="",IF(Eingabe[[#This Row],[Volle alternativ]]="","",Eingabe[[#This Row],[Volle alternativ]]),SUM(Eingabe[[#This Row],[V1]:[V4]]))</f>
        <v/>
      </c>
      <c r="AD571" s="6" t="str">
        <f>IF(Eingabe[[#This Row],[R1]]="",IF(Eingabe[[#This Row],[Räumer alternativ]]="","",Eingabe[[#This Row],[Räumer alternativ]]),SUM(Eingabe[[#This Row],[R1]:[R4]]))</f>
        <v/>
      </c>
      <c r="AE571" s="6" t="str">
        <f>IF(Eingabe[[#This Row],[F1]]="",IF(Eingabe[[#This Row],[Fehler alternativ]]="","",Eingabe[[#This Row],[Fehler alternativ]]),SUM(Eingabe[[#This Row],[F1]:[F4]]))</f>
        <v/>
      </c>
      <c r="AF571" s="6" t="str">
        <f>IF(Eingabe[[#This Row],[Volle]]="","",IF(Eingabe[[#This Row],[S1]]="",Eingabe[[#This Row],[Volle]]+Eingabe[[#This Row],[Räumer]],IF(Eingabe[[#This Row],[Volle]]+Eingabe[[#This Row],[Räumer]]=Eingabe[[#This Row],[S1]]+Eingabe[[#This Row],[S2]]+Eingabe[[#This Row],[S3]]+Eingabe[[#This Row],[S4]],Eingabe[[#This Row],[Volle]]+Eingabe[[#This Row],[Räumer]],"FEHLER")))</f>
        <v/>
      </c>
      <c r="AG571" s="6" t="str">
        <f>IF(Eingabe[[#This Row],[V1]]="","",Eingabe[[#This Row],[V1]]+Eingabe[[#This Row],[R1]])</f>
        <v/>
      </c>
      <c r="AH571" s="6" t="str">
        <f>IF(Eingabe[[#This Row],[V2]]="","",Eingabe[[#This Row],[V2]]+Eingabe[[#This Row],[R2]])</f>
        <v/>
      </c>
      <c r="AI571" s="6" t="str">
        <f>IF(Eingabe[[#This Row],[V3]]="","",Eingabe[[#This Row],[V3]]+Eingabe[[#This Row],[R3]])</f>
        <v/>
      </c>
      <c r="AJ571" s="6" t="str">
        <f>IF(Eingabe[[#This Row],[V4]]="","",Eingabe[[#This Row],[V4]]+Eingabe[[#This Row],[R4]])</f>
        <v/>
      </c>
      <c r="AK571" s="6" t="str">
        <f>IF(Eingabe[[#This Row],[S1P]]="","",Eingabe[[#This Row],[S1P]]+Eingabe[[#This Row],[S2P]]+Eingabe[[#This Row],[S3P]]+Eingabe[[#This Row],[S4P]])</f>
        <v/>
      </c>
      <c r="AL571" s="6" t="str">
        <f>IF(Eingabe[[#This Row],[S1P]]="","",IF(Eingabe[[#This Row],[SP]]&gt;2,1,IF(Eingabe[[#This Row],[SP]]&lt;2,0,IF(Eingabe[[#This Row],[GES]]&gt;Eingabe[[#This Row],[GEGGES]],1,IF(Eingabe[[#This Row],[GES]]=Eingabe[[#This Row],[GEGGES]],0.5,0)))))</f>
        <v/>
      </c>
      <c r="AM571" s="6" t="str">
        <f>IF(Eingabe[[#This Row],[MP]]="","",MOD(ROW(Eingabe[[#This Row],[Position]])-3,6)+1)</f>
        <v/>
      </c>
      <c r="AN571" s="6" t="e">
        <f>STANDARDIZE(Eingabe[[#This Row],[GES]],Eingabe[[#This Row],[Schnitt]],VLOOKUP(Eingabe[[#This Row],[Name]],AuswertungG[],21,FALSE))</f>
        <v>#VALUE!</v>
      </c>
      <c r="AO571" s="6">
        <f>VLOOKUP(Eingabe[[#This Row],[ID]],Chronologie[[ID]:[KW]],12,FALSE)</f>
        <v>23</v>
      </c>
      <c r="AP571" s="95" t="str">
        <f>IF(Eingabe[[#This Row],[Wo]]="H",Eingabe[[#This Row],[Gegner]]&amp;" ["&amp;Eingabe[[#This Row],[Wo]]&amp;"]",Eingabe[[#This Row],[Ort]])</f>
        <v>Krummenhennersdorf</v>
      </c>
      <c r="AQ571" s="6" t="str">
        <f>IFERROR(IF(Eingabe[[#This Row],[Wo]]="H",IF(MOD(Eingabe[[#This Row],[Position]],2)=1,Eingabe[[#This Row],[S1]],Eingabe[[#This Row],[S4]]),""),"")</f>
        <v/>
      </c>
      <c r="AR571" s="6" t="str">
        <f>IFERROR(IF(Eingabe[[#This Row],[Wo]]="H",IF(Eingabe[[#This Row],[S1]]&gt;0,IF(MOD(Eingabe[[#This Row],[Position]],2)=1,Eingabe[[#This Row],[S2]],Eingabe[[#This Row],[S3]]),""),""),"")</f>
        <v/>
      </c>
      <c r="AS571" s="6" t="str">
        <f>IFERROR(IF(Eingabe[[#This Row],[Wo]]="H",IF(Eingabe[[#This Row],[S1]]&gt;0,IF(MOD(ROW(Eingabe[[#This Row],[Heimbahn 3]]),2)=1,Eingabe[[#This Row],[S4]],Eingabe[[#This Row],[S1]]),""),""),"")</f>
        <v/>
      </c>
      <c r="AT571" s="6" t="str">
        <f>IFERROR(IF(Eingabe[[#This Row],[Wo]]="H",IF(Eingabe[[#This Row],[S1]]&gt;0,IF(MOD(ROW(Eingabe[[#This Row],[Heimbahn 4]]),2)=1,Eingabe[[#This Row],[S3]],Eingabe[[#This Row],[S2]]),""),""),"")</f>
        <v/>
      </c>
      <c r="AU571" s="22" t="str">
        <f>IF(Eingabe[[#This Row],[GES]]="","",IF(Eingabe[[#This Row],[Modus]]="L",_xlfn.RANK.EQ(Eingabe[[#This Row],[GES]],AF567:AF572),IF(Eingabe[[#This Row],[Modus]]="P",_xlfn.RANK.EQ(Eingabe[[#This Row],[GES]],AF567:AF572),"")))</f>
        <v/>
      </c>
      <c r="AV571" s="6" t="e">
        <f>VLOOKUP(Eingabe[[#This Row],[Name]],AuswertungG[],8,FALSE)</f>
        <v>#N/A</v>
      </c>
      <c r="AZ571" s="6" t="str">
        <f>IFERROR(ABS(Eingabe[[#This Row],[GES]]-Eingabe[[#This Row],[GEGGES]]),"")</f>
        <v/>
      </c>
    </row>
    <row r="572" spans="1:52" ht="16.2" hidden="1" thickBot="1" x14ac:dyDescent="0.35">
      <c r="A572" s="442"/>
      <c r="B572" s="56">
        <f t="shared" si="52"/>
        <v>95</v>
      </c>
      <c r="C572" s="23" t="str">
        <f>VLOOKUP($B572,Chronologie[],7,TRUE)</f>
        <v>SV Krummenhennersdorf</v>
      </c>
      <c r="D572" s="23" t="str">
        <f>VLOOKUP($B572,Chronologie[],8,TRUE)</f>
        <v>Krummenhennersdorf</v>
      </c>
      <c r="E572" s="39" t="str">
        <f>VLOOKUP($B572,Chronologie[],9,TRUE)</f>
        <v>A</v>
      </c>
      <c r="F572" s="23" t="str">
        <f>VLOOKUP($B572,Chronologie[],COLUMN(F573)-2,TRUE)</f>
        <v>M</v>
      </c>
      <c r="G572" s="23" t="str">
        <f>VLOOKUP($B572,Chronologie[],COLUMN(G573)-2,TRUE)</f>
        <v>KEM</v>
      </c>
      <c r="H572" s="23" t="str">
        <f>VLOOKUP($B572,Chronologie[],COLUMN(H573)-2,TRUE)</f>
        <v>E</v>
      </c>
      <c r="I572" s="13" t="str">
        <f>VLOOKUP($B572,Chronologie[],2,TRUE)</f>
        <v>M-KEM-E</v>
      </c>
      <c r="J572" s="244">
        <f>VLOOKUP($B572,Chronologie[],3,TRUE)</f>
        <v>46053</v>
      </c>
      <c r="K572" s="239"/>
      <c r="L572" s="239"/>
      <c r="M572" s="239"/>
      <c r="N572" s="239"/>
      <c r="O572" s="239"/>
      <c r="P572" s="239"/>
      <c r="Q572" s="239"/>
      <c r="R572" s="239"/>
      <c r="S572" s="239"/>
      <c r="T572" s="239"/>
      <c r="U572" s="239"/>
      <c r="V572" s="239"/>
      <c r="W572" s="239"/>
      <c r="X572" s="40"/>
      <c r="Y572" s="40"/>
      <c r="Z572" s="40"/>
      <c r="AA572" s="40"/>
      <c r="AB572" s="92"/>
      <c r="AC572" s="96" t="str">
        <f>IF(Eingabe[[#This Row],[V1]]="",IF(Eingabe[[#This Row],[Volle alternativ]]="","",Eingabe[[#This Row],[Volle alternativ]]),SUM(Eingabe[[#This Row],[V1]:[V4]]))</f>
        <v/>
      </c>
      <c r="AD572" s="23" t="str">
        <f>IF(Eingabe[[#This Row],[R1]]="",IF(Eingabe[[#This Row],[Räumer alternativ]]="","",Eingabe[[#This Row],[Räumer alternativ]]),SUM(Eingabe[[#This Row],[R1]:[R4]]))</f>
        <v/>
      </c>
      <c r="AE572" s="23" t="str">
        <f>IF(Eingabe[[#This Row],[F1]]="",IF(Eingabe[[#This Row],[Fehler alternativ]]="","",Eingabe[[#This Row],[Fehler alternativ]]),SUM(Eingabe[[#This Row],[F1]:[F4]]))</f>
        <v/>
      </c>
      <c r="AF572" s="23" t="str">
        <f>IF(Eingabe[[#This Row],[Volle]]="","",IF(Eingabe[[#This Row],[S1]]="",Eingabe[[#This Row],[Volle]]+Eingabe[[#This Row],[Räumer]],IF(Eingabe[[#This Row],[Volle]]+Eingabe[[#This Row],[Räumer]]=Eingabe[[#This Row],[S1]]+Eingabe[[#This Row],[S2]]+Eingabe[[#This Row],[S3]]+Eingabe[[#This Row],[S4]],Eingabe[[#This Row],[Volle]]+Eingabe[[#This Row],[Räumer]],"FEHLER")))</f>
        <v/>
      </c>
      <c r="AG572" s="23" t="str">
        <f>IF(Eingabe[[#This Row],[V1]]="","",Eingabe[[#This Row],[V1]]+Eingabe[[#This Row],[R1]])</f>
        <v/>
      </c>
      <c r="AH572" s="23" t="str">
        <f>IF(Eingabe[[#This Row],[V2]]="","",Eingabe[[#This Row],[V2]]+Eingabe[[#This Row],[R2]])</f>
        <v/>
      </c>
      <c r="AI572" s="23" t="str">
        <f>IF(Eingabe[[#This Row],[V3]]="","",Eingabe[[#This Row],[V3]]+Eingabe[[#This Row],[R3]])</f>
        <v/>
      </c>
      <c r="AJ572" s="23" t="str">
        <f>IF(Eingabe[[#This Row],[V4]]="","",Eingabe[[#This Row],[V4]]+Eingabe[[#This Row],[R4]])</f>
        <v/>
      </c>
      <c r="AK572" s="23" t="str">
        <f>IF(Eingabe[[#This Row],[S1P]]="","",Eingabe[[#This Row],[S1P]]+Eingabe[[#This Row],[S2P]]+Eingabe[[#This Row],[S3P]]+Eingabe[[#This Row],[S4P]])</f>
        <v/>
      </c>
      <c r="AL572" s="23" t="str">
        <f>IF(Eingabe[[#This Row],[S1P]]="","",IF(Eingabe[[#This Row],[SP]]&gt;2,1,IF(Eingabe[[#This Row],[SP]]&lt;2,0,IF(Eingabe[[#This Row],[GES]]&gt;Eingabe[[#This Row],[GEGGES]],1,IF(Eingabe[[#This Row],[GES]]=Eingabe[[#This Row],[GEGGES]],0.5,0)))))</f>
        <v/>
      </c>
      <c r="AM572" s="23" t="str">
        <f>IF(Eingabe[[#This Row],[MP]]="","",MOD(ROW(Eingabe[[#This Row],[Position]])-3,6)+1)</f>
        <v/>
      </c>
      <c r="AN572" s="23" t="e">
        <f>STANDARDIZE(Eingabe[[#This Row],[GES]],Eingabe[[#This Row],[Schnitt]],VLOOKUP(Eingabe[[#This Row],[Name]],AuswertungG[],21,FALSE))</f>
        <v>#VALUE!</v>
      </c>
      <c r="AO572" s="23">
        <f>VLOOKUP(Eingabe[[#This Row],[ID]],Chronologie[[ID]:[KW]],12,FALSE)</f>
        <v>23</v>
      </c>
      <c r="AP572" s="59" t="str">
        <f>IF(Eingabe[[#This Row],[Wo]]="H",Eingabe[[#This Row],[Gegner]]&amp;" ["&amp;Eingabe[[#This Row],[Wo]]&amp;"]",Eingabe[[#This Row],[Ort]])</f>
        <v>Krummenhennersdorf</v>
      </c>
      <c r="AQ572" s="23" t="str">
        <f>IFERROR(IF(Eingabe[[#This Row],[Wo]]="H",IF(MOD(Eingabe[[#This Row],[Position]],2)=1,Eingabe[[#This Row],[S1]],Eingabe[[#This Row],[S4]]),""),"")</f>
        <v/>
      </c>
      <c r="AR572" s="23" t="str">
        <f>IFERROR(IF(Eingabe[[#This Row],[Wo]]="H",IF(Eingabe[[#This Row],[S1]]&gt;0,IF(MOD(Eingabe[[#This Row],[Position]],2)=1,Eingabe[[#This Row],[S2]],Eingabe[[#This Row],[S3]]),""),""),"")</f>
        <v/>
      </c>
      <c r="AS572" s="23" t="str">
        <f>IFERROR(IF(Eingabe[[#This Row],[Wo]]="H",IF(Eingabe[[#This Row],[S1]]&gt;0,IF(MOD(ROW(Eingabe[[#This Row],[Heimbahn 3]]),2)=1,Eingabe[[#This Row],[S4]],Eingabe[[#This Row],[S1]]),""),""),"")</f>
        <v/>
      </c>
      <c r="AT572" s="23" t="str">
        <f>IFERROR(IF(Eingabe[[#This Row],[Wo]]="H",IF(Eingabe[[#This Row],[S1]]&gt;0,IF(MOD(ROW(Eingabe[[#This Row],[Heimbahn 4]]),2)=1,Eingabe[[#This Row],[S3]],Eingabe[[#This Row],[S2]]),""),""),"")</f>
        <v/>
      </c>
      <c r="AU572" s="89" t="str">
        <f>IF(Eingabe[[#This Row],[GES]]="","",IF(Eingabe[[#This Row],[Modus]]="L",_xlfn.RANK.EQ(Eingabe[[#This Row],[GES]],AF567:AF572),IF(Eingabe[[#This Row],[Modus]]="P",_xlfn.RANK.EQ(Eingabe[[#This Row],[GES]],AF567:AF572),"")))</f>
        <v/>
      </c>
      <c r="AV572" s="6" t="e">
        <f>VLOOKUP(Eingabe[[#This Row],[Name]],AuswertungG[],8,FALSE)</f>
        <v>#N/A</v>
      </c>
      <c r="AZ572" s="6" t="str">
        <f>IFERROR(ABS(Eingabe[[#This Row],[GES]]-Eingabe[[#This Row],[GEGGES]]),"")</f>
        <v/>
      </c>
    </row>
    <row r="573" spans="1:52" hidden="1" x14ac:dyDescent="0.3">
      <c r="A573" s="440">
        <f t="shared" si="53"/>
        <v>96</v>
      </c>
      <c r="B573" s="55">
        <f t="shared" si="52"/>
        <v>96</v>
      </c>
      <c r="C573" s="35">
        <f>VLOOKUP($B573,Chronologie[],7,TRUE)</f>
        <v>0</v>
      </c>
      <c r="D573" s="35">
        <f>VLOOKUP($B573,Chronologie[],8,TRUE)</f>
        <v>0</v>
      </c>
      <c r="E573" s="36">
        <f>VLOOKUP($B573,Chronologie[],9,TRUE)</f>
        <v>0</v>
      </c>
      <c r="F573" s="35">
        <f>VLOOKUP($B573,Chronologie[],COLUMN(F574)-2,TRUE)</f>
        <v>0</v>
      </c>
      <c r="G573" s="35">
        <f>VLOOKUP($B573,Chronologie[],COLUMN(G574)-2,TRUE)</f>
        <v>0</v>
      </c>
      <c r="H573" s="35" t="str">
        <f>VLOOKUP($B573,Chronologie[],COLUMN(H574)-2,TRUE)</f>
        <v>E</v>
      </c>
      <c r="I573" s="9" t="str">
        <f>VLOOKUP($B573,Chronologie[],2,TRUE)</f>
        <v>--E</v>
      </c>
      <c r="J573" s="242">
        <f>VLOOKUP($B573,Chronologie[],3,TRUE)</f>
        <v>0</v>
      </c>
      <c r="K573" s="236"/>
      <c r="L573" s="334"/>
      <c r="M573" s="334"/>
      <c r="N573" s="334"/>
      <c r="O573" s="334"/>
      <c r="P573" s="334"/>
      <c r="Q573" s="334"/>
      <c r="R573" s="334"/>
      <c r="S573" s="334"/>
      <c r="T573" s="334"/>
      <c r="U573" s="334"/>
      <c r="V573" s="334"/>
      <c r="W573" s="334"/>
      <c r="X573" s="37"/>
      <c r="Y573" s="37"/>
      <c r="Z573" s="37"/>
      <c r="AA573" s="37"/>
      <c r="AB573" s="90"/>
      <c r="AC573" s="93" t="str">
        <f>IF(Eingabe[[#This Row],[V1]]="",IF(Eingabe[[#This Row],[Volle alternativ]]="","",Eingabe[[#This Row],[Volle alternativ]]),SUM(Eingabe[[#This Row],[V1]:[V4]]))</f>
        <v/>
      </c>
      <c r="AD573" s="35" t="str">
        <f>IF(Eingabe[[#This Row],[R1]]="",IF(Eingabe[[#This Row],[Räumer alternativ]]="","",Eingabe[[#This Row],[Räumer alternativ]]),SUM(Eingabe[[#This Row],[R1]:[R4]]))</f>
        <v/>
      </c>
      <c r="AE573" s="35" t="str">
        <f>IF(Eingabe[[#This Row],[F1]]="",IF(Eingabe[[#This Row],[Fehler alternativ]]="","",Eingabe[[#This Row],[Fehler alternativ]]),SUM(Eingabe[[#This Row],[F1]:[F4]]))</f>
        <v/>
      </c>
      <c r="AF573" s="35" t="str">
        <f>IF(Eingabe[[#This Row],[Volle]]="","",IF(Eingabe[[#This Row],[S1]]="",Eingabe[[#This Row],[Volle]]+Eingabe[[#This Row],[Räumer]],IF(Eingabe[[#This Row],[Volle]]+Eingabe[[#This Row],[Räumer]]=Eingabe[[#This Row],[S1]]+Eingabe[[#This Row],[S2]]+Eingabe[[#This Row],[S3]]+Eingabe[[#This Row],[S4]],Eingabe[[#This Row],[Volle]]+Eingabe[[#This Row],[Räumer]],"FEHLER")))</f>
        <v/>
      </c>
      <c r="AG573" s="35" t="str">
        <f>IF(Eingabe[[#This Row],[V1]]="","",Eingabe[[#This Row],[V1]]+Eingabe[[#This Row],[R1]])</f>
        <v/>
      </c>
      <c r="AH573" s="35" t="str">
        <f>IF(Eingabe[[#This Row],[V2]]="","",Eingabe[[#This Row],[V2]]+Eingabe[[#This Row],[R2]])</f>
        <v/>
      </c>
      <c r="AI573" s="35" t="str">
        <f>IF(Eingabe[[#This Row],[V3]]="","",Eingabe[[#This Row],[V3]]+Eingabe[[#This Row],[R3]])</f>
        <v/>
      </c>
      <c r="AJ573" s="35" t="str">
        <f>IF(Eingabe[[#This Row],[V4]]="","",Eingabe[[#This Row],[V4]]+Eingabe[[#This Row],[R4]])</f>
        <v/>
      </c>
      <c r="AK573" s="35" t="str">
        <f>IF(Eingabe[[#This Row],[S1P]]="","",Eingabe[[#This Row],[S1P]]+Eingabe[[#This Row],[S2P]]+Eingabe[[#This Row],[S3P]]+Eingabe[[#This Row],[S4P]])</f>
        <v/>
      </c>
      <c r="AL573" s="35" t="str">
        <f>IF(Eingabe[[#This Row],[S1P]]="","",IF(Eingabe[[#This Row],[SP]]&gt;2,1,IF(Eingabe[[#This Row],[SP]]&lt;2,0,IF(Eingabe[[#This Row],[GES]]&gt;Eingabe[[#This Row],[GEGGES]],1,IF(Eingabe[[#This Row],[GES]]=Eingabe[[#This Row],[GEGGES]],0.5,0)))))</f>
        <v/>
      </c>
      <c r="AM573" s="35" t="str">
        <f>IF(Eingabe[[#This Row],[MP]]="","",MOD(ROW(Eingabe[[#This Row],[Position]])-3,6)+1)</f>
        <v/>
      </c>
      <c r="AN573" s="35" t="e">
        <f>STANDARDIZE(Eingabe[[#This Row],[GES]],Eingabe[[#This Row],[Schnitt]],VLOOKUP(Eingabe[[#This Row],[Name]],AuswertungG[],21,FALSE))</f>
        <v>#VALUE!</v>
      </c>
      <c r="AO573" s="35" t="str">
        <f>VLOOKUP(Eingabe[[#This Row],[ID]],Chronologie[[ID]:[KW]],12,FALSE)</f>
        <v/>
      </c>
      <c r="AP573" s="58">
        <f>IF(Eingabe[[#This Row],[Wo]]="H",Eingabe[[#This Row],[Gegner]]&amp;" ["&amp;Eingabe[[#This Row],[Wo]]&amp;"]",Eingabe[[#This Row],[Ort]])</f>
        <v>0</v>
      </c>
      <c r="AQ573" s="35" t="str">
        <f>IFERROR(IF(Eingabe[[#This Row],[Wo]]="H",IF(MOD(Eingabe[[#This Row],[Position]],2)=1,Eingabe[[#This Row],[S1]],Eingabe[[#This Row],[S4]]),""),"")</f>
        <v/>
      </c>
      <c r="AR573" s="35" t="str">
        <f>IFERROR(IF(Eingabe[[#This Row],[Wo]]="H",IF(Eingabe[[#This Row],[S1]]&gt;0,IF(MOD(Eingabe[[#This Row],[Position]],2)=1,Eingabe[[#This Row],[S2]],Eingabe[[#This Row],[S3]]),""),""),"")</f>
        <v/>
      </c>
      <c r="AS573" s="35" t="str">
        <f>IFERROR(IF(Eingabe[[#This Row],[Wo]]="H",IF(Eingabe[[#This Row],[S1]]&gt;0,IF(MOD(ROW(Eingabe[[#This Row],[Heimbahn 3]]),2)=1,Eingabe[[#This Row],[S4]],Eingabe[[#This Row],[S1]]),""),""),"")</f>
        <v/>
      </c>
      <c r="AT573" s="35" t="str">
        <f>IFERROR(IF(Eingabe[[#This Row],[Wo]]="H",IF(Eingabe[[#This Row],[S1]]&gt;0,IF(MOD(ROW(Eingabe[[#This Row],[Heimbahn 4]]),2)=1,Eingabe[[#This Row],[S3]],Eingabe[[#This Row],[S2]]),""),""),"")</f>
        <v/>
      </c>
      <c r="AU573" s="88" t="str">
        <f>IF(Eingabe[[#This Row],[GES]]="","",IF(Eingabe[[#This Row],[Modus]]="L",_xlfn.RANK.EQ(Eingabe[[#This Row],[GES]],AF573:AF578),IF(Eingabe[[#This Row],[Modus]]="P",_xlfn.RANK.EQ(Eingabe[[#This Row],[GES]],AF573:AF578),"")))</f>
        <v/>
      </c>
      <c r="AV573" s="6" t="e">
        <f>VLOOKUP(Eingabe[[#This Row],[Name]],AuswertungG[],8,FALSE)</f>
        <v>#N/A</v>
      </c>
      <c r="AZ573" s="6" t="str">
        <f>IFERROR(ABS(Eingabe[[#This Row],[GES]]-Eingabe[[#This Row],[GEGGES]]),"")</f>
        <v/>
      </c>
    </row>
    <row r="574" spans="1:52" hidden="1" x14ac:dyDescent="0.3">
      <c r="A574" s="441"/>
      <c r="B574" s="21">
        <f t="shared" si="52"/>
        <v>96</v>
      </c>
      <c r="C574" s="6">
        <f>VLOOKUP($B574,Chronologie[],7,TRUE)</f>
        <v>0</v>
      </c>
      <c r="D574" s="6">
        <f>VLOOKUP($B574,Chronologie[],8,TRUE)</f>
        <v>0</v>
      </c>
      <c r="E574" s="240">
        <f>VLOOKUP($B574,Chronologie[],9,TRUE)</f>
        <v>0</v>
      </c>
      <c r="F574" s="6">
        <f>VLOOKUP($B574,Chronologie[],COLUMN(F575)-2,TRUE)</f>
        <v>0</v>
      </c>
      <c r="G574" s="6">
        <f>VLOOKUP($B574,Chronologie[],COLUMN(G575)-2,TRUE)</f>
        <v>0</v>
      </c>
      <c r="H574" s="6" t="str">
        <f>VLOOKUP($B574,Chronologie[],COLUMN(H575)-2,TRUE)</f>
        <v>E</v>
      </c>
      <c r="I574" s="10" t="str">
        <f>VLOOKUP($B574,Chronologie[],2,TRUE)</f>
        <v>--E</v>
      </c>
      <c r="J574" s="243">
        <f>VLOOKUP($B574,Chronologie[],3,TRUE)</f>
        <v>0</v>
      </c>
      <c r="K574" s="237"/>
      <c r="L574" s="237"/>
      <c r="M574" s="237"/>
      <c r="N574" s="237"/>
      <c r="O574" s="237"/>
      <c r="P574" s="237"/>
      <c r="Q574" s="237"/>
      <c r="R574" s="237"/>
      <c r="S574" s="237"/>
      <c r="T574" s="237"/>
      <c r="U574" s="237"/>
      <c r="V574" s="237"/>
      <c r="W574" s="237"/>
      <c r="X574" s="38"/>
      <c r="Y574" s="38"/>
      <c r="Z574" s="38"/>
      <c r="AA574" s="38"/>
      <c r="AB574" s="91"/>
      <c r="AC574" s="94" t="str">
        <f>IF(Eingabe[[#This Row],[V1]]="",IF(Eingabe[[#This Row],[Volle alternativ]]="","",Eingabe[[#This Row],[Volle alternativ]]),SUM(Eingabe[[#This Row],[V1]:[V4]]))</f>
        <v/>
      </c>
      <c r="AD574" s="6" t="str">
        <f>IF(Eingabe[[#This Row],[R1]]="",IF(Eingabe[[#This Row],[Räumer alternativ]]="","",Eingabe[[#This Row],[Räumer alternativ]]),SUM(Eingabe[[#This Row],[R1]:[R4]]))</f>
        <v/>
      </c>
      <c r="AE574" s="6" t="str">
        <f>IF(Eingabe[[#This Row],[F1]]="",IF(Eingabe[[#This Row],[Fehler alternativ]]="","",Eingabe[[#This Row],[Fehler alternativ]]),SUM(Eingabe[[#This Row],[F1]:[F4]]))</f>
        <v/>
      </c>
      <c r="AF574" s="6" t="str">
        <f>IF(Eingabe[[#This Row],[Volle]]="","",IF(Eingabe[[#This Row],[S1]]="",Eingabe[[#This Row],[Volle]]+Eingabe[[#This Row],[Räumer]],IF(Eingabe[[#This Row],[Volle]]+Eingabe[[#This Row],[Räumer]]=Eingabe[[#This Row],[S1]]+Eingabe[[#This Row],[S2]]+Eingabe[[#This Row],[S3]]+Eingabe[[#This Row],[S4]],Eingabe[[#This Row],[Volle]]+Eingabe[[#This Row],[Räumer]],"FEHLER")))</f>
        <v/>
      </c>
      <c r="AG574" s="6" t="str">
        <f>IF(Eingabe[[#This Row],[V1]]="","",Eingabe[[#This Row],[V1]]+Eingabe[[#This Row],[R1]])</f>
        <v/>
      </c>
      <c r="AH574" s="6" t="str">
        <f>IF(Eingabe[[#This Row],[V2]]="","",Eingabe[[#This Row],[V2]]+Eingabe[[#This Row],[R2]])</f>
        <v/>
      </c>
      <c r="AI574" s="6" t="str">
        <f>IF(Eingabe[[#This Row],[V3]]="","",Eingabe[[#This Row],[V3]]+Eingabe[[#This Row],[R3]])</f>
        <v/>
      </c>
      <c r="AJ574" s="6" t="str">
        <f>IF(Eingabe[[#This Row],[V4]]="","",Eingabe[[#This Row],[V4]]+Eingabe[[#This Row],[R4]])</f>
        <v/>
      </c>
      <c r="AK574" s="6" t="str">
        <f>IF(Eingabe[[#This Row],[S1P]]="","",Eingabe[[#This Row],[S1P]]+Eingabe[[#This Row],[S2P]]+Eingabe[[#This Row],[S3P]]+Eingabe[[#This Row],[S4P]])</f>
        <v/>
      </c>
      <c r="AL574" s="6" t="str">
        <f>IF(Eingabe[[#This Row],[S1P]]="","",IF(Eingabe[[#This Row],[SP]]&gt;2,1,IF(Eingabe[[#This Row],[SP]]&lt;2,0,IF(Eingabe[[#This Row],[GES]]&gt;Eingabe[[#This Row],[GEGGES]],1,IF(Eingabe[[#This Row],[GES]]=Eingabe[[#This Row],[GEGGES]],0.5,0)))))</f>
        <v/>
      </c>
      <c r="AM574" s="6" t="str">
        <f>IF(Eingabe[[#This Row],[MP]]="","",MOD(ROW(Eingabe[[#This Row],[Position]])-3,6)+1)</f>
        <v/>
      </c>
      <c r="AN574" s="6" t="e">
        <f>STANDARDIZE(Eingabe[[#This Row],[GES]],Eingabe[[#This Row],[Schnitt]],VLOOKUP(Eingabe[[#This Row],[Name]],AuswertungG[],21,FALSE))</f>
        <v>#VALUE!</v>
      </c>
      <c r="AO574" s="6" t="str">
        <f>VLOOKUP(Eingabe[[#This Row],[ID]],Chronologie[[ID]:[KW]],12,FALSE)</f>
        <v/>
      </c>
      <c r="AP574" s="95">
        <f>IF(Eingabe[[#This Row],[Wo]]="H",Eingabe[[#This Row],[Gegner]]&amp;" ["&amp;Eingabe[[#This Row],[Wo]]&amp;"]",Eingabe[[#This Row],[Ort]])</f>
        <v>0</v>
      </c>
      <c r="AQ574" s="6" t="str">
        <f>IFERROR(IF(Eingabe[[#This Row],[Wo]]="H",IF(MOD(Eingabe[[#This Row],[Position]],2)=1,Eingabe[[#This Row],[S1]],Eingabe[[#This Row],[S4]]),""),"")</f>
        <v/>
      </c>
      <c r="AR574" s="6" t="str">
        <f>IFERROR(IF(Eingabe[[#This Row],[Wo]]="H",IF(Eingabe[[#This Row],[S1]]&gt;0,IF(MOD(Eingabe[[#This Row],[Position]],2)=1,Eingabe[[#This Row],[S2]],Eingabe[[#This Row],[S3]]),""),""),"")</f>
        <v/>
      </c>
      <c r="AS574" s="6" t="str">
        <f>IFERROR(IF(Eingabe[[#This Row],[Wo]]="H",IF(Eingabe[[#This Row],[S1]]&gt;0,IF(MOD(ROW(Eingabe[[#This Row],[Heimbahn 3]]),2)=1,Eingabe[[#This Row],[S4]],Eingabe[[#This Row],[S1]]),""),""),"")</f>
        <v/>
      </c>
      <c r="AT574" s="6" t="str">
        <f>IFERROR(IF(Eingabe[[#This Row],[Wo]]="H",IF(Eingabe[[#This Row],[S1]]&gt;0,IF(MOD(ROW(Eingabe[[#This Row],[Heimbahn 4]]),2)=1,Eingabe[[#This Row],[S3]],Eingabe[[#This Row],[S2]]),""),""),"")</f>
        <v/>
      </c>
      <c r="AU574" s="22" t="str">
        <f>IF(Eingabe[[#This Row],[GES]]="","",IF(Eingabe[[#This Row],[Modus]]="L",_xlfn.RANK.EQ(Eingabe[[#This Row],[GES]],AF573:AF578),IF(Eingabe[[#This Row],[Modus]]="P",_xlfn.RANK.EQ(Eingabe[[#This Row],[GES]],AF573:AF578),"")))</f>
        <v/>
      </c>
      <c r="AV574" s="6" t="e">
        <f>VLOOKUP(Eingabe[[#This Row],[Name]],AuswertungG[],8,FALSE)</f>
        <v>#N/A</v>
      </c>
      <c r="AZ574" s="6" t="str">
        <f>IFERROR(ABS(Eingabe[[#This Row],[GES]]-Eingabe[[#This Row],[GEGGES]]),"")</f>
        <v/>
      </c>
    </row>
    <row r="575" spans="1:52" hidden="1" x14ac:dyDescent="0.3">
      <c r="A575" s="441"/>
      <c r="B575" s="21">
        <f t="shared" si="52"/>
        <v>96</v>
      </c>
      <c r="C575" s="6">
        <f>VLOOKUP($B575,Chronologie[],7,TRUE)</f>
        <v>0</v>
      </c>
      <c r="D575" s="6">
        <f>VLOOKUP($B575,Chronologie[],8,TRUE)</f>
        <v>0</v>
      </c>
      <c r="E575" s="240">
        <f>VLOOKUP($B575,Chronologie[],9,TRUE)</f>
        <v>0</v>
      </c>
      <c r="F575" s="6">
        <f>VLOOKUP($B575,Chronologie[],COLUMN(F576)-2,TRUE)</f>
        <v>0</v>
      </c>
      <c r="G575" s="6">
        <f>VLOOKUP($B575,Chronologie[],COLUMN(G576)-2,TRUE)</f>
        <v>0</v>
      </c>
      <c r="H575" s="6" t="str">
        <f>VLOOKUP($B575,Chronologie[],COLUMN(H576)-2,TRUE)</f>
        <v>E</v>
      </c>
      <c r="I575" s="10" t="str">
        <f>VLOOKUP($B575,Chronologie[],2,TRUE)</f>
        <v>--E</v>
      </c>
      <c r="J575" s="243">
        <f>VLOOKUP($B575,Chronologie[],3,TRUE)</f>
        <v>0</v>
      </c>
      <c r="K575" s="237"/>
      <c r="L575" s="237"/>
      <c r="M575" s="237"/>
      <c r="N575" s="237"/>
      <c r="O575" s="237"/>
      <c r="P575" s="237"/>
      <c r="Q575" s="237"/>
      <c r="R575" s="237"/>
      <c r="S575" s="237"/>
      <c r="T575" s="237"/>
      <c r="U575" s="237"/>
      <c r="V575" s="237"/>
      <c r="W575" s="237"/>
      <c r="X575" s="38"/>
      <c r="Y575" s="38"/>
      <c r="Z575" s="38"/>
      <c r="AA575" s="38"/>
      <c r="AB575" s="91"/>
      <c r="AC575" s="94" t="str">
        <f>IF(Eingabe[[#This Row],[V1]]="",IF(Eingabe[[#This Row],[Volle alternativ]]="","",Eingabe[[#This Row],[Volle alternativ]]),SUM(Eingabe[[#This Row],[V1]:[V4]]))</f>
        <v/>
      </c>
      <c r="AD575" s="6" t="str">
        <f>IF(Eingabe[[#This Row],[R1]]="",IF(Eingabe[[#This Row],[Räumer alternativ]]="","",Eingabe[[#This Row],[Räumer alternativ]]),SUM(Eingabe[[#This Row],[R1]:[R4]]))</f>
        <v/>
      </c>
      <c r="AE575" s="6" t="str">
        <f>IF(Eingabe[[#This Row],[F1]]="",IF(Eingabe[[#This Row],[Fehler alternativ]]="","",Eingabe[[#This Row],[Fehler alternativ]]),SUM(Eingabe[[#This Row],[F1]:[F4]]))</f>
        <v/>
      </c>
      <c r="AF575" s="6" t="str">
        <f>IF(Eingabe[[#This Row],[Volle]]="","",IF(Eingabe[[#This Row],[S1]]="",Eingabe[[#This Row],[Volle]]+Eingabe[[#This Row],[Räumer]],IF(Eingabe[[#This Row],[Volle]]+Eingabe[[#This Row],[Räumer]]=Eingabe[[#This Row],[S1]]+Eingabe[[#This Row],[S2]]+Eingabe[[#This Row],[S3]]+Eingabe[[#This Row],[S4]],Eingabe[[#This Row],[Volle]]+Eingabe[[#This Row],[Räumer]],"FEHLER")))</f>
        <v/>
      </c>
      <c r="AG575" s="6" t="str">
        <f>IF(Eingabe[[#This Row],[V1]]="","",Eingabe[[#This Row],[V1]]+Eingabe[[#This Row],[R1]])</f>
        <v/>
      </c>
      <c r="AH575" s="6" t="str">
        <f>IF(Eingabe[[#This Row],[V2]]="","",Eingabe[[#This Row],[V2]]+Eingabe[[#This Row],[R2]])</f>
        <v/>
      </c>
      <c r="AI575" s="6" t="str">
        <f>IF(Eingabe[[#This Row],[V3]]="","",Eingabe[[#This Row],[V3]]+Eingabe[[#This Row],[R3]])</f>
        <v/>
      </c>
      <c r="AJ575" s="6" t="str">
        <f>IF(Eingabe[[#This Row],[V4]]="","",Eingabe[[#This Row],[V4]]+Eingabe[[#This Row],[R4]])</f>
        <v/>
      </c>
      <c r="AK575" s="6" t="str">
        <f>IF(Eingabe[[#This Row],[S1P]]="","",Eingabe[[#This Row],[S1P]]+Eingabe[[#This Row],[S2P]]+Eingabe[[#This Row],[S3P]]+Eingabe[[#This Row],[S4P]])</f>
        <v/>
      </c>
      <c r="AL575" s="6" t="str">
        <f>IF(Eingabe[[#This Row],[S1P]]="","",IF(Eingabe[[#This Row],[SP]]&gt;2,1,IF(Eingabe[[#This Row],[SP]]&lt;2,0,IF(Eingabe[[#This Row],[GES]]&gt;Eingabe[[#This Row],[GEGGES]],1,IF(Eingabe[[#This Row],[GES]]=Eingabe[[#This Row],[GEGGES]],0.5,0)))))</f>
        <v/>
      </c>
      <c r="AM575" s="6" t="str">
        <f>IF(Eingabe[[#This Row],[MP]]="","",MOD(ROW(Eingabe[[#This Row],[Position]])-3,6)+1)</f>
        <v/>
      </c>
      <c r="AN575" s="6" t="e">
        <f>STANDARDIZE(Eingabe[[#This Row],[GES]],Eingabe[[#This Row],[Schnitt]],VLOOKUP(Eingabe[[#This Row],[Name]],AuswertungG[],21,FALSE))</f>
        <v>#VALUE!</v>
      </c>
      <c r="AO575" s="6" t="str">
        <f>VLOOKUP(Eingabe[[#This Row],[ID]],Chronologie[[ID]:[KW]],12,FALSE)</f>
        <v/>
      </c>
      <c r="AP575" s="95">
        <f>IF(Eingabe[[#This Row],[Wo]]="H",Eingabe[[#This Row],[Gegner]]&amp;" ["&amp;Eingabe[[#This Row],[Wo]]&amp;"]",Eingabe[[#This Row],[Ort]])</f>
        <v>0</v>
      </c>
      <c r="AQ575" s="6" t="str">
        <f>IFERROR(IF(Eingabe[[#This Row],[Wo]]="H",IF(MOD(Eingabe[[#This Row],[Position]],2)=1,Eingabe[[#This Row],[S1]],Eingabe[[#This Row],[S4]]),""),"")</f>
        <v/>
      </c>
      <c r="AR575" s="6" t="str">
        <f>IFERROR(IF(Eingabe[[#This Row],[Wo]]="H",IF(Eingabe[[#This Row],[S1]]&gt;0,IF(MOD(Eingabe[[#This Row],[Position]],2)=1,Eingabe[[#This Row],[S2]],Eingabe[[#This Row],[S3]]),""),""),"")</f>
        <v/>
      </c>
      <c r="AS575" s="6" t="str">
        <f>IFERROR(IF(Eingabe[[#This Row],[Wo]]="H",IF(Eingabe[[#This Row],[S1]]&gt;0,IF(MOD(ROW(Eingabe[[#This Row],[Heimbahn 3]]),2)=1,Eingabe[[#This Row],[S4]],Eingabe[[#This Row],[S1]]),""),""),"")</f>
        <v/>
      </c>
      <c r="AT575" s="6" t="str">
        <f>IFERROR(IF(Eingabe[[#This Row],[Wo]]="H",IF(Eingabe[[#This Row],[S1]]&gt;0,IF(MOD(ROW(Eingabe[[#This Row],[Heimbahn 4]]),2)=1,Eingabe[[#This Row],[S3]],Eingabe[[#This Row],[S2]]),""),""),"")</f>
        <v/>
      </c>
      <c r="AU575" s="22" t="str">
        <f>IF(Eingabe[[#This Row],[GES]]="","",IF(Eingabe[[#This Row],[Modus]]="L",_xlfn.RANK.EQ(Eingabe[[#This Row],[GES]],AF573:AF578),IF(Eingabe[[#This Row],[Modus]]="P",_xlfn.RANK.EQ(Eingabe[[#This Row],[GES]],AF573:AF578),"")))</f>
        <v/>
      </c>
      <c r="AV575" s="6" t="e">
        <f>VLOOKUP(Eingabe[[#This Row],[Name]],AuswertungG[],8,FALSE)</f>
        <v>#N/A</v>
      </c>
      <c r="AZ575" s="6" t="str">
        <f>IFERROR(ABS(Eingabe[[#This Row],[GES]]-Eingabe[[#This Row],[GEGGES]]),"")</f>
        <v/>
      </c>
    </row>
    <row r="576" spans="1:52" hidden="1" x14ac:dyDescent="0.3">
      <c r="A576" s="441"/>
      <c r="B576" s="21">
        <f t="shared" si="52"/>
        <v>96</v>
      </c>
      <c r="C576" s="6">
        <f>VLOOKUP($B576,Chronologie[],7,TRUE)</f>
        <v>0</v>
      </c>
      <c r="D576" s="6">
        <f>VLOOKUP($B576,Chronologie[],8,TRUE)</f>
        <v>0</v>
      </c>
      <c r="E576" s="240">
        <f>VLOOKUP($B576,Chronologie[],9,TRUE)</f>
        <v>0</v>
      </c>
      <c r="F576" s="6">
        <f>VLOOKUP($B576,Chronologie[],COLUMN(F577)-2,TRUE)</f>
        <v>0</v>
      </c>
      <c r="G576" s="6">
        <f>VLOOKUP($B576,Chronologie[],COLUMN(G577)-2,TRUE)</f>
        <v>0</v>
      </c>
      <c r="H576" s="6" t="str">
        <f>VLOOKUP($B576,Chronologie[],COLUMN(H577)-2,TRUE)</f>
        <v>E</v>
      </c>
      <c r="I576" s="10" t="str">
        <f>VLOOKUP($B576,Chronologie[],2,TRUE)</f>
        <v>--E</v>
      </c>
      <c r="J576" s="243">
        <f>VLOOKUP($B576,Chronologie[],3,TRUE)</f>
        <v>0</v>
      </c>
      <c r="K576" s="238"/>
      <c r="L576" s="237"/>
      <c r="M576" s="237"/>
      <c r="N576" s="237"/>
      <c r="O576" s="237"/>
      <c r="P576" s="237"/>
      <c r="Q576" s="237"/>
      <c r="R576" s="237"/>
      <c r="S576" s="237"/>
      <c r="T576" s="237"/>
      <c r="U576" s="237"/>
      <c r="V576" s="237"/>
      <c r="W576" s="237"/>
      <c r="X576" s="38"/>
      <c r="Y576" s="38"/>
      <c r="Z576" s="38"/>
      <c r="AA576" s="38"/>
      <c r="AB576" s="91"/>
      <c r="AC576" s="94" t="str">
        <f>IF(Eingabe[[#This Row],[V1]]="",IF(Eingabe[[#This Row],[Volle alternativ]]="","",Eingabe[[#This Row],[Volle alternativ]]),SUM(Eingabe[[#This Row],[V1]:[V4]]))</f>
        <v/>
      </c>
      <c r="AD576" s="6" t="str">
        <f>IF(Eingabe[[#This Row],[R1]]="",IF(Eingabe[[#This Row],[Räumer alternativ]]="","",Eingabe[[#This Row],[Räumer alternativ]]),SUM(Eingabe[[#This Row],[R1]:[R4]]))</f>
        <v/>
      </c>
      <c r="AE576" s="6" t="str">
        <f>IF(Eingabe[[#This Row],[F1]]="",IF(Eingabe[[#This Row],[Fehler alternativ]]="","",Eingabe[[#This Row],[Fehler alternativ]]),SUM(Eingabe[[#This Row],[F1]:[F4]]))</f>
        <v/>
      </c>
      <c r="AF576" s="6" t="str">
        <f>IF(Eingabe[[#This Row],[Volle]]="","",IF(Eingabe[[#This Row],[S1]]="",Eingabe[[#This Row],[Volle]]+Eingabe[[#This Row],[Räumer]],IF(Eingabe[[#This Row],[Volle]]+Eingabe[[#This Row],[Räumer]]=Eingabe[[#This Row],[S1]]+Eingabe[[#This Row],[S2]]+Eingabe[[#This Row],[S3]]+Eingabe[[#This Row],[S4]],Eingabe[[#This Row],[Volle]]+Eingabe[[#This Row],[Räumer]],"FEHLER")))</f>
        <v/>
      </c>
      <c r="AG576" s="6" t="str">
        <f>IF(Eingabe[[#This Row],[V1]]="","",Eingabe[[#This Row],[V1]]+Eingabe[[#This Row],[R1]])</f>
        <v/>
      </c>
      <c r="AH576" s="6" t="str">
        <f>IF(Eingabe[[#This Row],[V2]]="","",Eingabe[[#This Row],[V2]]+Eingabe[[#This Row],[R2]])</f>
        <v/>
      </c>
      <c r="AI576" s="6" t="str">
        <f>IF(Eingabe[[#This Row],[V3]]="","",Eingabe[[#This Row],[V3]]+Eingabe[[#This Row],[R3]])</f>
        <v/>
      </c>
      <c r="AJ576" s="6" t="str">
        <f>IF(Eingabe[[#This Row],[V4]]="","",Eingabe[[#This Row],[V4]]+Eingabe[[#This Row],[R4]])</f>
        <v/>
      </c>
      <c r="AK576" s="6" t="str">
        <f>IF(Eingabe[[#This Row],[S1P]]="","",Eingabe[[#This Row],[S1P]]+Eingabe[[#This Row],[S2P]]+Eingabe[[#This Row],[S3P]]+Eingabe[[#This Row],[S4P]])</f>
        <v/>
      </c>
      <c r="AL576" s="6" t="str">
        <f>IF(Eingabe[[#This Row],[S1P]]="","",IF(Eingabe[[#This Row],[SP]]&gt;2,1,IF(Eingabe[[#This Row],[SP]]&lt;2,0,IF(Eingabe[[#This Row],[GES]]&gt;Eingabe[[#This Row],[GEGGES]],1,IF(Eingabe[[#This Row],[GES]]=Eingabe[[#This Row],[GEGGES]],0.5,0)))))</f>
        <v/>
      </c>
      <c r="AM576" s="6" t="str">
        <f>IF(Eingabe[[#This Row],[MP]]="","",MOD(ROW(Eingabe[[#This Row],[Position]])-3,6)+1)</f>
        <v/>
      </c>
      <c r="AN576" s="6" t="e">
        <f>STANDARDIZE(Eingabe[[#This Row],[GES]],Eingabe[[#This Row],[Schnitt]],VLOOKUP(Eingabe[[#This Row],[Name]],AuswertungG[],21,FALSE))</f>
        <v>#VALUE!</v>
      </c>
      <c r="AO576" s="6" t="str">
        <f>VLOOKUP(Eingabe[[#This Row],[ID]],Chronologie[[ID]:[KW]],12,FALSE)</f>
        <v/>
      </c>
      <c r="AP576" s="95">
        <f>IF(Eingabe[[#This Row],[Wo]]="H",Eingabe[[#This Row],[Gegner]]&amp;" ["&amp;Eingabe[[#This Row],[Wo]]&amp;"]",Eingabe[[#This Row],[Ort]])</f>
        <v>0</v>
      </c>
      <c r="AQ576" s="6" t="str">
        <f>IFERROR(IF(Eingabe[[#This Row],[Wo]]="H",IF(MOD(Eingabe[[#This Row],[Position]],2)=1,Eingabe[[#This Row],[S1]],Eingabe[[#This Row],[S4]]),""),"")</f>
        <v/>
      </c>
      <c r="AR576" s="6" t="str">
        <f>IFERROR(IF(Eingabe[[#This Row],[Wo]]="H",IF(Eingabe[[#This Row],[S1]]&gt;0,IF(MOD(Eingabe[[#This Row],[Position]],2)=1,Eingabe[[#This Row],[S2]],Eingabe[[#This Row],[S3]]),""),""),"")</f>
        <v/>
      </c>
      <c r="AS576" s="6" t="str">
        <f>IFERROR(IF(Eingabe[[#This Row],[Wo]]="H",IF(Eingabe[[#This Row],[S1]]&gt;0,IF(MOD(ROW(Eingabe[[#This Row],[Heimbahn 3]]),2)=1,Eingabe[[#This Row],[S4]],Eingabe[[#This Row],[S1]]),""),""),"")</f>
        <v/>
      </c>
      <c r="AT576" s="6" t="str">
        <f>IFERROR(IF(Eingabe[[#This Row],[Wo]]="H",IF(Eingabe[[#This Row],[S1]]&gt;0,IF(MOD(ROW(Eingabe[[#This Row],[Heimbahn 4]]),2)=1,Eingabe[[#This Row],[S3]],Eingabe[[#This Row],[S2]]),""),""),"")</f>
        <v/>
      </c>
      <c r="AU576" s="22" t="str">
        <f>IF(Eingabe[[#This Row],[GES]]="","",IF(Eingabe[[#This Row],[Modus]]="L",_xlfn.RANK.EQ(Eingabe[[#This Row],[GES]],AF573:AF578),IF(Eingabe[[#This Row],[Modus]]="P",_xlfn.RANK.EQ(Eingabe[[#This Row],[GES]],AF573:AF578),"")))</f>
        <v/>
      </c>
      <c r="AV576" s="6" t="e">
        <f>VLOOKUP(Eingabe[[#This Row],[Name]],AuswertungG[],8,FALSE)</f>
        <v>#N/A</v>
      </c>
      <c r="AZ576" s="6" t="str">
        <f>IFERROR(ABS(Eingabe[[#This Row],[GES]]-Eingabe[[#This Row],[GEGGES]]),"")</f>
        <v/>
      </c>
    </row>
    <row r="577" spans="1:52" hidden="1" x14ac:dyDescent="0.3">
      <c r="A577" s="441"/>
      <c r="B577" s="21">
        <f t="shared" si="52"/>
        <v>96</v>
      </c>
      <c r="C577" s="6">
        <f>VLOOKUP($B577,Chronologie[],7,TRUE)</f>
        <v>0</v>
      </c>
      <c r="D577" s="6">
        <f>VLOOKUP($B577,Chronologie[],8,TRUE)</f>
        <v>0</v>
      </c>
      <c r="E577" s="240">
        <f>VLOOKUP($B577,Chronologie[],9,TRUE)</f>
        <v>0</v>
      </c>
      <c r="F577" s="6">
        <f>VLOOKUP($B577,Chronologie[],COLUMN(F578)-2,TRUE)</f>
        <v>0</v>
      </c>
      <c r="G577" s="6">
        <f>VLOOKUP($B577,Chronologie[],COLUMN(G578)-2,TRUE)</f>
        <v>0</v>
      </c>
      <c r="H577" s="6" t="str">
        <f>VLOOKUP($B577,Chronologie[],COLUMN(H578)-2,TRUE)</f>
        <v>E</v>
      </c>
      <c r="I577" s="10" t="str">
        <f>VLOOKUP($B577,Chronologie[],2,TRUE)</f>
        <v>--E</v>
      </c>
      <c r="J577" s="243">
        <f>VLOOKUP($B577,Chronologie[],3,TRUE)</f>
        <v>0</v>
      </c>
      <c r="K577" s="237"/>
      <c r="L577" s="237"/>
      <c r="M577" s="237"/>
      <c r="N577" s="237"/>
      <c r="O577" s="237"/>
      <c r="P577" s="237"/>
      <c r="Q577" s="237"/>
      <c r="R577" s="237"/>
      <c r="S577" s="237"/>
      <c r="T577" s="237"/>
      <c r="U577" s="237"/>
      <c r="V577" s="237"/>
      <c r="W577" s="237"/>
      <c r="X577" s="38"/>
      <c r="Y577" s="38"/>
      <c r="Z577" s="38"/>
      <c r="AA577" s="38"/>
      <c r="AB577" s="91"/>
      <c r="AC577" s="94" t="str">
        <f>IF(Eingabe[[#This Row],[V1]]="",IF(Eingabe[[#This Row],[Volle alternativ]]="","",Eingabe[[#This Row],[Volle alternativ]]),SUM(Eingabe[[#This Row],[V1]:[V4]]))</f>
        <v/>
      </c>
      <c r="AD577" s="6" t="str">
        <f>IF(Eingabe[[#This Row],[R1]]="",IF(Eingabe[[#This Row],[Räumer alternativ]]="","",Eingabe[[#This Row],[Räumer alternativ]]),SUM(Eingabe[[#This Row],[R1]:[R4]]))</f>
        <v/>
      </c>
      <c r="AE577" s="6" t="str">
        <f>IF(Eingabe[[#This Row],[F1]]="",IF(Eingabe[[#This Row],[Fehler alternativ]]="","",Eingabe[[#This Row],[Fehler alternativ]]),SUM(Eingabe[[#This Row],[F1]:[F4]]))</f>
        <v/>
      </c>
      <c r="AF577" s="6" t="str">
        <f>IF(Eingabe[[#This Row],[Volle]]="","",IF(Eingabe[[#This Row],[S1]]="",Eingabe[[#This Row],[Volle]]+Eingabe[[#This Row],[Räumer]],IF(Eingabe[[#This Row],[Volle]]+Eingabe[[#This Row],[Räumer]]=Eingabe[[#This Row],[S1]]+Eingabe[[#This Row],[S2]]+Eingabe[[#This Row],[S3]]+Eingabe[[#This Row],[S4]],Eingabe[[#This Row],[Volle]]+Eingabe[[#This Row],[Räumer]],"FEHLER")))</f>
        <v/>
      </c>
      <c r="AG577" s="6" t="str">
        <f>IF(Eingabe[[#This Row],[V1]]="","",Eingabe[[#This Row],[V1]]+Eingabe[[#This Row],[R1]])</f>
        <v/>
      </c>
      <c r="AH577" s="6" t="str">
        <f>IF(Eingabe[[#This Row],[V2]]="","",Eingabe[[#This Row],[V2]]+Eingabe[[#This Row],[R2]])</f>
        <v/>
      </c>
      <c r="AI577" s="6" t="str">
        <f>IF(Eingabe[[#This Row],[V3]]="","",Eingabe[[#This Row],[V3]]+Eingabe[[#This Row],[R3]])</f>
        <v/>
      </c>
      <c r="AJ577" s="6" t="str">
        <f>IF(Eingabe[[#This Row],[V4]]="","",Eingabe[[#This Row],[V4]]+Eingabe[[#This Row],[R4]])</f>
        <v/>
      </c>
      <c r="AK577" s="6" t="str">
        <f>IF(Eingabe[[#This Row],[S1P]]="","",Eingabe[[#This Row],[S1P]]+Eingabe[[#This Row],[S2P]]+Eingabe[[#This Row],[S3P]]+Eingabe[[#This Row],[S4P]])</f>
        <v/>
      </c>
      <c r="AL577" s="6" t="str">
        <f>IF(Eingabe[[#This Row],[S1P]]="","",IF(Eingabe[[#This Row],[SP]]&gt;2,1,IF(Eingabe[[#This Row],[SP]]&lt;2,0,IF(Eingabe[[#This Row],[GES]]&gt;Eingabe[[#This Row],[GEGGES]],1,IF(Eingabe[[#This Row],[GES]]=Eingabe[[#This Row],[GEGGES]],0.5,0)))))</f>
        <v/>
      </c>
      <c r="AM577" s="6" t="str">
        <f>IF(Eingabe[[#This Row],[MP]]="","",MOD(ROW(Eingabe[[#This Row],[Position]])-3,6)+1)</f>
        <v/>
      </c>
      <c r="AN577" s="6" t="e">
        <f>STANDARDIZE(Eingabe[[#This Row],[GES]],Eingabe[[#This Row],[Schnitt]],VLOOKUP(Eingabe[[#This Row],[Name]],AuswertungG[],21,FALSE))</f>
        <v>#VALUE!</v>
      </c>
      <c r="AO577" s="6" t="str">
        <f>VLOOKUP(Eingabe[[#This Row],[ID]],Chronologie[[ID]:[KW]],12,FALSE)</f>
        <v/>
      </c>
      <c r="AP577" s="95">
        <f>IF(Eingabe[[#This Row],[Wo]]="H",Eingabe[[#This Row],[Gegner]]&amp;" ["&amp;Eingabe[[#This Row],[Wo]]&amp;"]",Eingabe[[#This Row],[Ort]])</f>
        <v>0</v>
      </c>
      <c r="AQ577" s="6" t="str">
        <f>IFERROR(IF(Eingabe[[#This Row],[Wo]]="H",IF(MOD(Eingabe[[#This Row],[Position]],2)=1,Eingabe[[#This Row],[S1]],Eingabe[[#This Row],[S4]]),""),"")</f>
        <v/>
      </c>
      <c r="AR577" s="6" t="str">
        <f>IFERROR(IF(Eingabe[[#This Row],[Wo]]="H",IF(Eingabe[[#This Row],[S1]]&gt;0,IF(MOD(Eingabe[[#This Row],[Position]],2)=1,Eingabe[[#This Row],[S2]],Eingabe[[#This Row],[S3]]),""),""),"")</f>
        <v/>
      </c>
      <c r="AS577" s="6" t="str">
        <f>IFERROR(IF(Eingabe[[#This Row],[Wo]]="H",IF(Eingabe[[#This Row],[S1]]&gt;0,IF(MOD(ROW(Eingabe[[#This Row],[Heimbahn 3]]),2)=1,Eingabe[[#This Row],[S4]],Eingabe[[#This Row],[S1]]),""),""),"")</f>
        <v/>
      </c>
      <c r="AT577" s="6" t="str">
        <f>IFERROR(IF(Eingabe[[#This Row],[Wo]]="H",IF(Eingabe[[#This Row],[S1]]&gt;0,IF(MOD(ROW(Eingabe[[#This Row],[Heimbahn 4]]),2)=1,Eingabe[[#This Row],[S3]],Eingabe[[#This Row],[S2]]),""),""),"")</f>
        <v/>
      </c>
      <c r="AU577" s="22" t="str">
        <f>IF(Eingabe[[#This Row],[GES]]="","",IF(Eingabe[[#This Row],[Modus]]="L",_xlfn.RANK.EQ(Eingabe[[#This Row],[GES]],AF573:AF578),IF(Eingabe[[#This Row],[Modus]]="P",_xlfn.RANK.EQ(Eingabe[[#This Row],[GES]],AF573:AF578),"")))</f>
        <v/>
      </c>
      <c r="AV577" s="6" t="e">
        <f>VLOOKUP(Eingabe[[#This Row],[Name]],AuswertungG[],8,FALSE)</f>
        <v>#N/A</v>
      </c>
      <c r="AZ577" s="6" t="str">
        <f>IFERROR(ABS(Eingabe[[#This Row],[GES]]-Eingabe[[#This Row],[GEGGES]]),"")</f>
        <v/>
      </c>
    </row>
    <row r="578" spans="1:52" ht="16.2" hidden="1" thickBot="1" x14ac:dyDescent="0.35">
      <c r="A578" s="442"/>
      <c r="B578" s="56">
        <f t="shared" si="52"/>
        <v>96</v>
      </c>
      <c r="C578" s="23">
        <f>VLOOKUP($B578,Chronologie[],7,TRUE)</f>
        <v>0</v>
      </c>
      <c r="D578" s="23">
        <f>VLOOKUP($B578,Chronologie[],8,TRUE)</f>
        <v>0</v>
      </c>
      <c r="E578" s="39">
        <f>VLOOKUP($B578,Chronologie[],9,TRUE)</f>
        <v>0</v>
      </c>
      <c r="F578" s="23">
        <f>VLOOKUP($B578,Chronologie[],COLUMN(F579)-2,TRUE)</f>
        <v>0</v>
      </c>
      <c r="G578" s="23">
        <f>VLOOKUP($B578,Chronologie[],COLUMN(G579)-2,TRUE)</f>
        <v>0</v>
      </c>
      <c r="H578" s="23" t="str">
        <f>VLOOKUP($B578,Chronologie[],COLUMN(H579)-2,TRUE)</f>
        <v>E</v>
      </c>
      <c r="I578" s="13" t="str">
        <f>VLOOKUP($B578,Chronologie[],2,TRUE)</f>
        <v>--E</v>
      </c>
      <c r="J578" s="244">
        <f>VLOOKUP($B578,Chronologie[],3,TRUE)</f>
        <v>0</v>
      </c>
      <c r="K578" s="239"/>
      <c r="L578" s="239"/>
      <c r="M578" s="239"/>
      <c r="N578" s="239"/>
      <c r="O578" s="239"/>
      <c r="P578" s="239"/>
      <c r="Q578" s="239"/>
      <c r="R578" s="239"/>
      <c r="S578" s="239"/>
      <c r="T578" s="239"/>
      <c r="U578" s="239"/>
      <c r="V578" s="239"/>
      <c r="W578" s="239"/>
      <c r="X578" s="40"/>
      <c r="Y578" s="40"/>
      <c r="Z578" s="40"/>
      <c r="AA578" s="40"/>
      <c r="AB578" s="92"/>
      <c r="AC578" s="96" t="str">
        <f>IF(Eingabe[[#This Row],[V1]]="",IF(Eingabe[[#This Row],[Volle alternativ]]="","",Eingabe[[#This Row],[Volle alternativ]]),SUM(Eingabe[[#This Row],[V1]:[V4]]))</f>
        <v/>
      </c>
      <c r="AD578" s="23" t="str">
        <f>IF(Eingabe[[#This Row],[R1]]="",IF(Eingabe[[#This Row],[Räumer alternativ]]="","",Eingabe[[#This Row],[Räumer alternativ]]),SUM(Eingabe[[#This Row],[R1]:[R4]]))</f>
        <v/>
      </c>
      <c r="AE578" s="23" t="str">
        <f>IF(Eingabe[[#This Row],[F1]]="",IF(Eingabe[[#This Row],[Fehler alternativ]]="","",Eingabe[[#This Row],[Fehler alternativ]]),SUM(Eingabe[[#This Row],[F1]:[F4]]))</f>
        <v/>
      </c>
      <c r="AF578" s="23" t="str">
        <f>IF(Eingabe[[#This Row],[Volle]]="","",IF(Eingabe[[#This Row],[S1]]="",Eingabe[[#This Row],[Volle]]+Eingabe[[#This Row],[Räumer]],IF(Eingabe[[#This Row],[Volle]]+Eingabe[[#This Row],[Räumer]]=Eingabe[[#This Row],[S1]]+Eingabe[[#This Row],[S2]]+Eingabe[[#This Row],[S3]]+Eingabe[[#This Row],[S4]],Eingabe[[#This Row],[Volle]]+Eingabe[[#This Row],[Räumer]],"FEHLER")))</f>
        <v/>
      </c>
      <c r="AG578" s="23" t="str">
        <f>IF(Eingabe[[#This Row],[V1]]="","",Eingabe[[#This Row],[V1]]+Eingabe[[#This Row],[R1]])</f>
        <v/>
      </c>
      <c r="AH578" s="23" t="str">
        <f>IF(Eingabe[[#This Row],[V2]]="","",Eingabe[[#This Row],[V2]]+Eingabe[[#This Row],[R2]])</f>
        <v/>
      </c>
      <c r="AI578" s="23" t="str">
        <f>IF(Eingabe[[#This Row],[V3]]="","",Eingabe[[#This Row],[V3]]+Eingabe[[#This Row],[R3]])</f>
        <v/>
      </c>
      <c r="AJ578" s="23" t="str">
        <f>IF(Eingabe[[#This Row],[V4]]="","",Eingabe[[#This Row],[V4]]+Eingabe[[#This Row],[R4]])</f>
        <v/>
      </c>
      <c r="AK578" s="23" t="str">
        <f>IF(Eingabe[[#This Row],[S1P]]="","",Eingabe[[#This Row],[S1P]]+Eingabe[[#This Row],[S2P]]+Eingabe[[#This Row],[S3P]]+Eingabe[[#This Row],[S4P]])</f>
        <v/>
      </c>
      <c r="AL578" s="23" t="str">
        <f>IF(Eingabe[[#This Row],[S1P]]="","",IF(Eingabe[[#This Row],[SP]]&gt;2,1,IF(Eingabe[[#This Row],[SP]]&lt;2,0,IF(Eingabe[[#This Row],[GES]]&gt;Eingabe[[#This Row],[GEGGES]],1,IF(Eingabe[[#This Row],[GES]]=Eingabe[[#This Row],[GEGGES]],0.5,0)))))</f>
        <v/>
      </c>
      <c r="AM578" s="23" t="str">
        <f>IF(Eingabe[[#This Row],[MP]]="","",MOD(ROW(Eingabe[[#This Row],[Position]])-3,6)+1)</f>
        <v/>
      </c>
      <c r="AN578" s="23" t="e">
        <f>STANDARDIZE(Eingabe[[#This Row],[GES]],Eingabe[[#This Row],[Schnitt]],VLOOKUP(Eingabe[[#This Row],[Name]],AuswertungG[],21,FALSE))</f>
        <v>#VALUE!</v>
      </c>
      <c r="AO578" s="23" t="str">
        <f>VLOOKUP(Eingabe[[#This Row],[ID]],Chronologie[[ID]:[KW]],12,FALSE)</f>
        <v/>
      </c>
      <c r="AP578" s="59">
        <f>IF(Eingabe[[#This Row],[Wo]]="H",Eingabe[[#This Row],[Gegner]]&amp;" ["&amp;Eingabe[[#This Row],[Wo]]&amp;"]",Eingabe[[#This Row],[Ort]])</f>
        <v>0</v>
      </c>
      <c r="AQ578" s="23" t="str">
        <f>IFERROR(IF(Eingabe[[#This Row],[Wo]]="H",IF(MOD(Eingabe[[#This Row],[Position]],2)=1,Eingabe[[#This Row],[S1]],Eingabe[[#This Row],[S4]]),""),"")</f>
        <v/>
      </c>
      <c r="AR578" s="23" t="str">
        <f>IFERROR(IF(Eingabe[[#This Row],[Wo]]="H",IF(Eingabe[[#This Row],[S1]]&gt;0,IF(MOD(Eingabe[[#This Row],[Position]],2)=1,Eingabe[[#This Row],[S2]],Eingabe[[#This Row],[S3]]),""),""),"")</f>
        <v/>
      </c>
      <c r="AS578" s="23" t="str">
        <f>IFERROR(IF(Eingabe[[#This Row],[Wo]]="H",IF(Eingabe[[#This Row],[S1]]&gt;0,IF(MOD(ROW(Eingabe[[#This Row],[Heimbahn 3]]),2)=1,Eingabe[[#This Row],[S4]],Eingabe[[#This Row],[S1]]),""),""),"")</f>
        <v/>
      </c>
      <c r="AT578" s="23" t="str">
        <f>IFERROR(IF(Eingabe[[#This Row],[Wo]]="H",IF(Eingabe[[#This Row],[S1]]&gt;0,IF(MOD(ROW(Eingabe[[#This Row],[Heimbahn 4]]),2)=1,Eingabe[[#This Row],[S3]],Eingabe[[#This Row],[S2]]),""),""),"")</f>
        <v/>
      </c>
      <c r="AU578" s="89" t="str">
        <f>IF(Eingabe[[#This Row],[GES]]="","",IF(Eingabe[[#This Row],[Modus]]="L",_xlfn.RANK.EQ(Eingabe[[#This Row],[GES]],AF573:AF578),IF(Eingabe[[#This Row],[Modus]]="P",_xlfn.RANK.EQ(Eingabe[[#This Row],[GES]],AF573:AF578),"")))</f>
        <v/>
      </c>
      <c r="AV578" s="6" t="e">
        <f>VLOOKUP(Eingabe[[#This Row],[Name]],AuswertungG[],8,FALSE)</f>
        <v>#N/A</v>
      </c>
      <c r="AZ578" s="6" t="str">
        <f>IFERROR(ABS(Eingabe[[#This Row],[GES]]-Eingabe[[#This Row],[GEGGES]]),"")</f>
        <v/>
      </c>
    </row>
    <row r="579" spans="1:52" hidden="1" x14ac:dyDescent="0.3">
      <c r="A579" s="440">
        <f t="shared" si="53"/>
        <v>97</v>
      </c>
      <c r="B579" s="55">
        <f t="shared" si="52"/>
        <v>97</v>
      </c>
      <c r="C579" s="35">
        <f>VLOOKUP($B579,Chronologie[],7,TRUE)</f>
        <v>0</v>
      </c>
      <c r="D579" s="35">
        <f>VLOOKUP($B579,Chronologie[],8,TRUE)</f>
        <v>0</v>
      </c>
      <c r="E579" s="36">
        <f>VLOOKUP($B579,Chronologie[],9,TRUE)</f>
        <v>0</v>
      </c>
      <c r="F579" s="35">
        <f>VLOOKUP($B579,Chronologie[],COLUMN(F580)-2,TRUE)</f>
        <v>0</v>
      </c>
      <c r="G579" s="35">
        <f>VLOOKUP($B579,Chronologie[],COLUMN(G580)-2,TRUE)</f>
        <v>0</v>
      </c>
      <c r="H579" s="35">
        <f>VLOOKUP($B579,Chronologie[],COLUMN(H580)-2,TRUE)</f>
        <v>0</v>
      </c>
      <c r="I579" s="9" t="str">
        <f>VLOOKUP($B579,Chronologie[],2,TRUE)</f>
        <v>--</v>
      </c>
      <c r="J579" s="242">
        <f>VLOOKUP($B579,Chronologie[],3,TRUE)</f>
        <v>0</v>
      </c>
      <c r="K579" s="236"/>
      <c r="L579" s="334"/>
      <c r="M579" s="334"/>
      <c r="N579" s="334"/>
      <c r="O579" s="334"/>
      <c r="P579" s="334"/>
      <c r="Q579" s="334"/>
      <c r="R579" s="334"/>
      <c r="S579" s="334"/>
      <c r="T579" s="334"/>
      <c r="U579" s="334"/>
      <c r="V579" s="334"/>
      <c r="W579" s="334"/>
      <c r="X579" s="37"/>
      <c r="Y579" s="37"/>
      <c r="Z579" s="37"/>
      <c r="AA579" s="37"/>
      <c r="AB579" s="90"/>
      <c r="AC579" s="93" t="str">
        <f>IF(Eingabe[[#This Row],[V1]]="",IF(Eingabe[[#This Row],[Volle alternativ]]="","",Eingabe[[#This Row],[Volle alternativ]]),SUM(Eingabe[[#This Row],[V1]:[V4]]))</f>
        <v/>
      </c>
      <c r="AD579" s="35" t="str">
        <f>IF(Eingabe[[#This Row],[R1]]="",IF(Eingabe[[#This Row],[Räumer alternativ]]="","",Eingabe[[#This Row],[Räumer alternativ]]),SUM(Eingabe[[#This Row],[R1]:[R4]]))</f>
        <v/>
      </c>
      <c r="AE579" s="35" t="str">
        <f>IF(Eingabe[[#This Row],[F1]]="",IF(Eingabe[[#This Row],[Fehler alternativ]]="","",Eingabe[[#This Row],[Fehler alternativ]]),SUM(Eingabe[[#This Row],[F1]:[F4]]))</f>
        <v/>
      </c>
      <c r="AF579" s="35" t="str">
        <f>IF(Eingabe[[#This Row],[Volle]]="","",IF(Eingabe[[#This Row],[S1]]="",Eingabe[[#This Row],[Volle]]+Eingabe[[#This Row],[Räumer]],IF(Eingabe[[#This Row],[Volle]]+Eingabe[[#This Row],[Räumer]]=Eingabe[[#This Row],[S1]]+Eingabe[[#This Row],[S2]]+Eingabe[[#This Row],[S3]]+Eingabe[[#This Row],[S4]],Eingabe[[#This Row],[Volle]]+Eingabe[[#This Row],[Räumer]],"FEHLER")))</f>
        <v/>
      </c>
      <c r="AG579" s="35" t="str">
        <f>IF(Eingabe[[#This Row],[V1]]="","",Eingabe[[#This Row],[V1]]+Eingabe[[#This Row],[R1]])</f>
        <v/>
      </c>
      <c r="AH579" s="35" t="str">
        <f>IF(Eingabe[[#This Row],[V2]]="","",Eingabe[[#This Row],[V2]]+Eingabe[[#This Row],[R2]])</f>
        <v/>
      </c>
      <c r="AI579" s="35" t="str">
        <f>IF(Eingabe[[#This Row],[V3]]="","",Eingabe[[#This Row],[V3]]+Eingabe[[#This Row],[R3]])</f>
        <v/>
      </c>
      <c r="AJ579" s="35" t="str">
        <f>IF(Eingabe[[#This Row],[V4]]="","",Eingabe[[#This Row],[V4]]+Eingabe[[#This Row],[R4]])</f>
        <v/>
      </c>
      <c r="AK579" s="35" t="str">
        <f>IF(Eingabe[[#This Row],[S1P]]="","",Eingabe[[#This Row],[S1P]]+Eingabe[[#This Row],[S2P]]+Eingabe[[#This Row],[S3P]]+Eingabe[[#This Row],[S4P]])</f>
        <v/>
      </c>
      <c r="AL579" s="35" t="str">
        <f>IF(Eingabe[[#This Row],[S1P]]="","",IF(Eingabe[[#This Row],[SP]]&gt;2,1,IF(Eingabe[[#This Row],[SP]]&lt;2,0,IF(Eingabe[[#This Row],[GES]]&gt;Eingabe[[#This Row],[GEGGES]],1,IF(Eingabe[[#This Row],[GES]]=Eingabe[[#This Row],[GEGGES]],0.5,0)))))</f>
        <v/>
      </c>
      <c r="AM579" s="35" t="str">
        <f>IF(Eingabe[[#This Row],[MP]]="","",MOD(ROW(Eingabe[[#This Row],[Position]])-3,6)+1)</f>
        <v/>
      </c>
      <c r="AN579" s="35" t="e">
        <f>STANDARDIZE(Eingabe[[#This Row],[GES]],Eingabe[[#This Row],[Schnitt]],VLOOKUP(Eingabe[[#This Row],[Name]],AuswertungG[],21,FALSE))</f>
        <v>#VALUE!</v>
      </c>
      <c r="AO579" s="35" t="str">
        <f>VLOOKUP(Eingabe[[#This Row],[ID]],Chronologie[[ID]:[KW]],12,FALSE)</f>
        <v/>
      </c>
      <c r="AP579" s="58">
        <f>IF(Eingabe[[#This Row],[Wo]]="H",Eingabe[[#This Row],[Gegner]]&amp;" ["&amp;Eingabe[[#This Row],[Wo]]&amp;"]",Eingabe[[#This Row],[Ort]])</f>
        <v>0</v>
      </c>
      <c r="AQ579" s="35" t="str">
        <f>IFERROR(IF(Eingabe[[#This Row],[Wo]]="H",IF(MOD(Eingabe[[#This Row],[Position]],2)=1,Eingabe[[#This Row],[S1]],Eingabe[[#This Row],[S4]]),""),"")</f>
        <v/>
      </c>
      <c r="AR579" s="35" t="str">
        <f>IFERROR(IF(Eingabe[[#This Row],[Wo]]="H",IF(Eingabe[[#This Row],[S1]]&gt;0,IF(MOD(Eingabe[[#This Row],[Position]],2)=1,Eingabe[[#This Row],[S2]],Eingabe[[#This Row],[S3]]),""),""),"")</f>
        <v/>
      </c>
      <c r="AS579" s="35" t="str">
        <f>IFERROR(IF(Eingabe[[#This Row],[Wo]]="H",IF(Eingabe[[#This Row],[S1]]&gt;0,IF(MOD(ROW(Eingabe[[#This Row],[Heimbahn 3]]),2)=1,Eingabe[[#This Row],[S4]],Eingabe[[#This Row],[S1]]),""),""),"")</f>
        <v/>
      </c>
      <c r="AT579" s="35" t="str">
        <f>IFERROR(IF(Eingabe[[#This Row],[Wo]]="H",IF(Eingabe[[#This Row],[S1]]&gt;0,IF(MOD(ROW(Eingabe[[#This Row],[Heimbahn 4]]),2)=1,Eingabe[[#This Row],[S3]],Eingabe[[#This Row],[S2]]),""),""),"")</f>
        <v/>
      </c>
      <c r="AU579" s="88" t="str">
        <f>IF(Eingabe[[#This Row],[GES]]="","",IF(Eingabe[[#This Row],[Modus]]="L",_xlfn.RANK.EQ(Eingabe[[#This Row],[GES]],AF579:AF584),IF(Eingabe[[#This Row],[Modus]]="P",_xlfn.RANK.EQ(Eingabe[[#This Row],[GES]],AF579:AF584),"")))</f>
        <v/>
      </c>
      <c r="AV579" s="6" t="e">
        <f>VLOOKUP(Eingabe[[#This Row],[Name]],AuswertungG[],8,FALSE)</f>
        <v>#N/A</v>
      </c>
      <c r="AZ579" s="6" t="str">
        <f>IFERROR(ABS(Eingabe[[#This Row],[GES]]-Eingabe[[#This Row],[GEGGES]]),"")</f>
        <v/>
      </c>
    </row>
    <row r="580" spans="1:52" hidden="1" x14ac:dyDescent="0.3">
      <c r="A580" s="441"/>
      <c r="B580" s="21">
        <f t="shared" si="52"/>
        <v>97</v>
      </c>
      <c r="C580" s="6">
        <f>VLOOKUP($B580,Chronologie[],7,TRUE)</f>
        <v>0</v>
      </c>
      <c r="D580" s="6">
        <f>VLOOKUP($B580,Chronologie[],8,TRUE)</f>
        <v>0</v>
      </c>
      <c r="E580" s="240">
        <f>VLOOKUP($B580,Chronologie[],9,TRUE)</f>
        <v>0</v>
      </c>
      <c r="F580" s="6">
        <f>VLOOKUP($B580,Chronologie[],COLUMN(F581)-2,TRUE)</f>
        <v>0</v>
      </c>
      <c r="G580" s="6">
        <f>VLOOKUP($B580,Chronologie[],COLUMN(G581)-2,TRUE)</f>
        <v>0</v>
      </c>
      <c r="H580" s="6">
        <f>VLOOKUP($B580,Chronologie[],COLUMN(H581)-2,TRUE)</f>
        <v>0</v>
      </c>
      <c r="I580" s="10" t="str">
        <f>VLOOKUP($B580,Chronologie[],2,TRUE)</f>
        <v>--</v>
      </c>
      <c r="J580" s="243">
        <f>VLOOKUP($B580,Chronologie[],3,TRUE)</f>
        <v>0</v>
      </c>
      <c r="K580" s="237"/>
      <c r="L580" s="237"/>
      <c r="M580" s="237"/>
      <c r="N580" s="237"/>
      <c r="O580" s="237"/>
      <c r="P580" s="237"/>
      <c r="Q580" s="237"/>
      <c r="R580" s="237"/>
      <c r="S580" s="237"/>
      <c r="T580" s="237"/>
      <c r="U580" s="237"/>
      <c r="V580" s="237"/>
      <c r="W580" s="237"/>
      <c r="X580" s="38"/>
      <c r="Y580" s="38"/>
      <c r="Z580" s="38"/>
      <c r="AA580" s="38"/>
      <c r="AB580" s="91"/>
      <c r="AC580" s="94" t="str">
        <f>IF(Eingabe[[#This Row],[V1]]="",IF(Eingabe[[#This Row],[Volle alternativ]]="","",Eingabe[[#This Row],[Volle alternativ]]),SUM(Eingabe[[#This Row],[V1]:[V4]]))</f>
        <v/>
      </c>
      <c r="AD580" s="6" t="str">
        <f>IF(Eingabe[[#This Row],[R1]]="",IF(Eingabe[[#This Row],[Räumer alternativ]]="","",Eingabe[[#This Row],[Räumer alternativ]]),SUM(Eingabe[[#This Row],[R1]:[R4]]))</f>
        <v/>
      </c>
      <c r="AE580" s="6" t="str">
        <f>IF(Eingabe[[#This Row],[F1]]="",IF(Eingabe[[#This Row],[Fehler alternativ]]="","",Eingabe[[#This Row],[Fehler alternativ]]),SUM(Eingabe[[#This Row],[F1]:[F4]]))</f>
        <v/>
      </c>
      <c r="AF580" s="6" t="str">
        <f>IF(Eingabe[[#This Row],[Volle]]="","",IF(Eingabe[[#This Row],[S1]]="",Eingabe[[#This Row],[Volle]]+Eingabe[[#This Row],[Räumer]],IF(Eingabe[[#This Row],[Volle]]+Eingabe[[#This Row],[Räumer]]=Eingabe[[#This Row],[S1]]+Eingabe[[#This Row],[S2]]+Eingabe[[#This Row],[S3]]+Eingabe[[#This Row],[S4]],Eingabe[[#This Row],[Volle]]+Eingabe[[#This Row],[Räumer]],"FEHLER")))</f>
        <v/>
      </c>
      <c r="AG580" s="6" t="str">
        <f>IF(Eingabe[[#This Row],[V1]]="","",Eingabe[[#This Row],[V1]]+Eingabe[[#This Row],[R1]])</f>
        <v/>
      </c>
      <c r="AH580" s="6" t="str">
        <f>IF(Eingabe[[#This Row],[V2]]="","",Eingabe[[#This Row],[V2]]+Eingabe[[#This Row],[R2]])</f>
        <v/>
      </c>
      <c r="AI580" s="6" t="str">
        <f>IF(Eingabe[[#This Row],[V3]]="","",Eingabe[[#This Row],[V3]]+Eingabe[[#This Row],[R3]])</f>
        <v/>
      </c>
      <c r="AJ580" s="6" t="str">
        <f>IF(Eingabe[[#This Row],[V4]]="","",Eingabe[[#This Row],[V4]]+Eingabe[[#This Row],[R4]])</f>
        <v/>
      </c>
      <c r="AK580" s="6" t="str">
        <f>IF(Eingabe[[#This Row],[S1P]]="","",Eingabe[[#This Row],[S1P]]+Eingabe[[#This Row],[S2P]]+Eingabe[[#This Row],[S3P]]+Eingabe[[#This Row],[S4P]])</f>
        <v/>
      </c>
      <c r="AL580" s="6" t="str">
        <f>IF(Eingabe[[#This Row],[S1P]]="","",IF(Eingabe[[#This Row],[SP]]&gt;2,1,IF(Eingabe[[#This Row],[SP]]&lt;2,0,IF(Eingabe[[#This Row],[GES]]&gt;Eingabe[[#This Row],[GEGGES]],1,IF(Eingabe[[#This Row],[GES]]=Eingabe[[#This Row],[GEGGES]],0.5,0)))))</f>
        <v/>
      </c>
      <c r="AM580" s="6" t="str">
        <f>IF(Eingabe[[#This Row],[MP]]="","",MOD(ROW(Eingabe[[#This Row],[Position]])-3,6)+1)</f>
        <v/>
      </c>
      <c r="AN580" s="6" t="e">
        <f>STANDARDIZE(Eingabe[[#This Row],[GES]],Eingabe[[#This Row],[Schnitt]],VLOOKUP(Eingabe[[#This Row],[Name]],AuswertungG[],21,FALSE))</f>
        <v>#VALUE!</v>
      </c>
      <c r="AO580" s="6" t="str">
        <f>VLOOKUP(Eingabe[[#This Row],[ID]],Chronologie[[ID]:[KW]],12,FALSE)</f>
        <v/>
      </c>
      <c r="AP580" s="95">
        <f>IF(Eingabe[[#This Row],[Wo]]="H",Eingabe[[#This Row],[Gegner]]&amp;" ["&amp;Eingabe[[#This Row],[Wo]]&amp;"]",Eingabe[[#This Row],[Ort]])</f>
        <v>0</v>
      </c>
      <c r="AQ580" s="6" t="str">
        <f>IFERROR(IF(Eingabe[[#This Row],[Wo]]="H",IF(MOD(Eingabe[[#This Row],[Position]],2)=1,Eingabe[[#This Row],[S1]],Eingabe[[#This Row],[S4]]),""),"")</f>
        <v/>
      </c>
      <c r="AR580" s="6" t="str">
        <f>IFERROR(IF(Eingabe[[#This Row],[Wo]]="H",IF(Eingabe[[#This Row],[S1]]&gt;0,IF(MOD(Eingabe[[#This Row],[Position]],2)=1,Eingabe[[#This Row],[S2]],Eingabe[[#This Row],[S3]]),""),""),"")</f>
        <v/>
      </c>
      <c r="AS580" s="6" t="str">
        <f>IFERROR(IF(Eingabe[[#This Row],[Wo]]="H",IF(Eingabe[[#This Row],[S1]]&gt;0,IF(MOD(ROW(Eingabe[[#This Row],[Heimbahn 3]]),2)=1,Eingabe[[#This Row],[S4]],Eingabe[[#This Row],[S1]]),""),""),"")</f>
        <v/>
      </c>
      <c r="AT580" s="6" t="str">
        <f>IFERROR(IF(Eingabe[[#This Row],[Wo]]="H",IF(Eingabe[[#This Row],[S1]]&gt;0,IF(MOD(ROW(Eingabe[[#This Row],[Heimbahn 4]]),2)=1,Eingabe[[#This Row],[S3]],Eingabe[[#This Row],[S2]]),""),""),"")</f>
        <v/>
      </c>
      <c r="AU580" s="22" t="str">
        <f>IF(Eingabe[[#This Row],[GES]]="","",IF(Eingabe[[#This Row],[Modus]]="L",_xlfn.RANK.EQ(Eingabe[[#This Row],[GES]],AF579:AF584),IF(Eingabe[[#This Row],[Modus]]="P",_xlfn.RANK.EQ(Eingabe[[#This Row],[GES]],AF579:AF584),"")))</f>
        <v/>
      </c>
      <c r="AV580" s="6" t="e">
        <f>VLOOKUP(Eingabe[[#This Row],[Name]],AuswertungG[],8,FALSE)</f>
        <v>#N/A</v>
      </c>
      <c r="AZ580" s="6" t="str">
        <f>IFERROR(ABS(Eingabe[[#This Row],[GES]]-Eingabe[[#This Row],[GEGGES]]),"")</f>
        <v/>
      </c>
    </row>
    <row r="581" spans="1:52" hidden="1" x14ac:dyDescent="0.3">
      <c r="A581" s="441"/>
      <c r="B581" s="21">
        <f t="shared" si="52"/>
        <v>97</v>
      </c>
      <c r="C581" s="6">
        <f>VLOOKUP($B581,Chronologie[],7,TRUE)</f>
        <v>0</v>
      </c>
      <c r="D581" s="6">
        <f>VLOOKUP($B581,Chronologie[],8,TRUE)</f>
        <v>0</v>
      </c>
      <c r="E581" s="240">
        <f>VLOOKUP($B581,Chronologie[],9,TRUE)</f>
        <v>0</v>
      </c>
      <c r="F581" s="6">
        <f>VLOOKUP($B581,Chronologie[],COLUMN(F582)-2,TRUE)</f>
        <v>0</v>
      </c>
      <c r="G581" s="6">
        <f>VLOOKUP($B581,Chronologie[],COLUMN(G582)-2,TRUE)</f>
        <v>0</v>
      </c>
      <c r="H581" s="6">
        <f>VLOOKUP($B581,Chronologie[],COLUMN(H582)-2,TRUE)</f>
        <v>0</v>
      </c>
      <c r="I581" s="10" t="str">
        <f>VLOOKUP($B581,Chronologie[],2,TRUE)</f>
        <v>--</v>
      </c>
      <c r="J581" s="243">
        <f>VLOOKUP($B581,Chronologie[],3,TRUE)</f>
        <v>0</v>
      </c>
      <c r="K581" s="237"/>
      <c r="L581" s="237"/>
      <c r="M581" s="237"/>
      <c r="N581" s="237"/>
      <c r="O581" s="237"/>
      <c r="P581" s="237"/>
      <c r="Q581" s="237"/>
      <c r="R581" s="237"/>
      <c r="S581" s="237"/>
      <c r="T581" s="237"/>
      <c r="U581" s="237"/>
      <c r="V581" s="237"/>
      <c r="W581" s="237"/>
      <c r="X581" s="38"/>
      <c r="Y581" s="38"/>
      <c r="Z581" s="38"/>
      <c r="AA581" s="38"/>
      <c r="AB581" s="91"/>
      <c r="AC581" s="94" t="str">
        <f>IF(Eingabe[[#This Row],[V1]]="",IF(Eingabe[[#This Row],[Volle alternativ]]="","",Eingabe[[#This Row],[Volle alternativ]]),SUM(Eingabe[[#This Row],[V1]:[V4]]))</f>
        <v/>
      </c>
      <c r="AD581" s="6" t="str">
        <f>IF(Eingabe[[#This Row],[R1]]="",IF(Eingabe[[#This Row],[Räumer alternativ]]="","",Eingabe[[#This Row],[Räumer alternativ]]),SUM(Eingabe[[#This Row],[R1]:[R4]]))</f>
        <v/>
      </c>
      <c r="AE581" s="6" t="str">
        <f>IF(Eingabe[[#This Row],[F1]]="",IF(Eingabe[[#This Row],[Fehler alternativ]]="","",Eingabe[[#This Row],[Fehler alternativ]]),SUM(Eingabe[[#This Row],[F1]:[F4]]))</f>
        <v/>
      </c>
      <c r="AF581" s="6" t="str">
        <f>IF(Eingabe[[#This Row],[Volle]]="","",IF(Eingabe[[#This Row],[S1]]="",Eingabe[[#This Row],[Volle]]+Eingabe[[#This Row],[Räumer]],IF(Eingabe[[#This Row],[Volle]]+Eingabe[[#This Row],[Räumer]]=Eingabe[[#This Row],[S1]]+Eingabe[[#This Row],[S2]]+Eingabe[[#This Row],[S3]]+Eingabe[[#This Row],[S4]],Eingabe[[#This Row],[Volle]]+Eingabe[[#This Row],[Räumer]],"FEHLER")))</f>
        <v/>
      </c>
      <c r="AG581" s="6" t="str">
        <f>IF(Eingabe[[#This Row],[V1]]="","",Eingabe[[#This Row],[V1]]+Eingabe[[#This Row],[R1]])</f>
        <v/>
      </c>
      <c r="AH581" s="6" t="str">
        <f>IF(Eingabe[[#This Row],[V2]]="","",Eingabe[[#This Row],[V2]]+Eingabe[[#This Row],[R2]])</f>
        <v/>
      </c>
      <c r="AI581" s="6" t="str">
        <f>IF(Eingabe[[#This Row],[V3]]="","",Eingabe[[#This Row],[V3]]+Eingabe[[#This Row],[R3]])</f>
        <v/>
      </c>
      <c r="AJ581" s="6" t="str">
        <f>IF(Eingabe[[#This Row],[V4]]="","",Eingabe[[#This Row],[V4]]+Eingabe[[#This Row],[R4]])</f>
        <v/>
      </c>
      <c r="AK581" s="6" t="str">
        <f>IF(Eingabe[[#This Row],[S1P]]="","",Eingabe[[#This Row],[S1P]]+Eingabe[[#This Row],[S2P]]+Eingabe[[#This Row],[S3P]]+Eingabe[[#This Row],[S4P]])</f>
        <v/>
      </c>
      <c r="AL581" s="6" t="str">
        <f>IF(Eingabe[[#This Row],[S1P]]="","",IF(Eingabe[[#This Row],[SP]]&gt;2,1,IF(Eingabe[[#This Row],[SP]]&lt;2,0,IF(Eingabe[[#This Row],[GES]]&gt;Eingabe[[#This Row],[GEGGES]],1,IF(Eingabe[[#This Row],[GES]]=Eingabe[[#This Row],[GEGGES]],0.5,0)))))</f>
        <v/>
      </c>
      <c r="AM581" s="6" t="str">
        <f>IF(Eingabe[[#This Row],[MP]]="","",MOD(ROW(Eingabe[[#This Row],[Position]])-3,6)+1)</f>
        <v/>
      </c>
      <c r="AN581" s="6" t="e">
        <f>STANDARDIZE(Eingabe[[#This Row],[GES]],Eingabe[[#This Row],[Schnitt]],VLOOKUP(Eingabe[[#This Row],[Name]],AuswertungG[],21,FALSE))</f>
        <v>#VALUE!</v>
      </c>
      <c r="AO581" s="6" t="str">
        <f>VLOOKUP(Eingabe[[#This Row],[ID]],Chronologie[[ID]:[KW]],12,FALSE)</f>
        <v/>
      </c>
      <c r="AP581" s="95">
        <f>IF(Eingabe[[#This Row],[Wo]]="H",Eingabe[[#This Row],[Gegner]]&amp;" ["&amp;Eingabe[[#This Row],[Wo]]&amp;"]",Eingabe[[#This Row],[Ort]])</f>
        <v>0</v>
      </c>
      <c r="AQ581" s="6" t="str">
        <f>IFERROR(IF(Eingabe[[#This Row],[Wo]]="H",IF(MOD(Eingabe[[#This Row],[Position]],2)=1,Eingabe[[#This Row],[S1]],Eingabe[[#This Row],[S4]]),""),"")</f>
        <v/>
      </c>
      <c r="AR581" s="6" t="str">
        <f>IFERROR(IF(Eingabe[[#This Row],[Wo]]="H",IF(Eingabe[[#This Row],[S1]]&gt;0,IF(MOD(Eingabe[[#This Row],[Position]],2)=1,Eingabe[[#This Row],[S2]],Eingabe[[#This Row],[S3]]),""),""),"")</f>
        <v/>
      </c>
      <c r="AS581" s="6" t="str">
        <f>IFERROR(IF(Eingabe[[#This Row],[Wo]]="H",IF(Eingabe[[#This Row],[S1]]&gt;0,IF(MOD(ROW(Eingabe[[#This Row],[Heimbahn 3]]),2)=1,Eingabe[[#This Row],[S4]],Eingabe[[#This Row],[S1]]),""),""),"")</f>
        <v/>
      </c>
      <c r="AT581" s="6" t="str">
        <f>IFERROR(IF(Eingabe[[#This Row],[Wo]]="H",IF(Eingabe[[#This Row],[S1]]&gt;0,IF(MOD(ROW(Eingabe[[#This Row],[Heimbahn 4]]),2)=1,Eingabe[[#This Row],[S3]],Eingabe[[#This Row],[S2]]),""),""),"")</f>
        <v/>
      </c>
      <c r="AU581" s="22" t="str">
        <f>IF(Eingabe[[#This Row],[GES]]="","",IF(Eingabe[[#This Row],[Modus]]="L",_xlfn.RANK.EQ(Eingabe[[#This Row],[GES]],AF579:AF584),IF(Eingabe[[#This Row],[Modus]]="P",_xlfn.RANK.EQ(Eingabe[[#This Row],[GES]],AF579:AF584),"")))</f>
        <v/>
      </c>
      <c r="AV581" s="6" t="e">
        <f>VLOOKUP(Eingabe[[#This Row],[Name]],AuswertungG[],8,FALSE)</f>
        <v>#N/A</v>
      </c>
      <c r="AZ581" s="6" t="str">
        <f>IFERROR(ABS(Eingabe[[#This Row],[GES]]-Eingabe[[#This Row],[GEGGES]]),"")</f>
        <v/>
      </c>
    </row>
    <row r="582" spans="1:52" hidden="1" x14ac:dyDescent="0.3">
      <c r="A582" s="441"/>
      <c r="B582" s="21">
        <f t="shared" si="52"/>
        <v>97</v>
      </c>
      <c r="C582" s="6">
        <f>VLOOKUP($B582,Chronologie[],7,TRUE)</f>
        <v>0</v>
      </c>
      <c r="D582" s="6">
        <f>VLOOKUP($B582,Chronologie[],8,TRUE)</f>
        <v>0</v>
      </c>
      <c r="E582" s="240">
        <f>VLOOKUP($B582,Chronologie[],9,TRUE)</f>
        <v>0</v>
      </c>
      <c r="F582" s="6">
        <f>VLOOKUP($B582,Chronologie[],COLUMN(F583)-2,TRUE)</f>
        <v>0</v>
      </c>
      <c r="G582" s="6">
        <f>VLOOKUP($B582,Chronologie[],COLUMN(G583)-2,TRUE)</f>
        <v>0</v>
      </c>
      <c r="H582" s="6">
        <f>VLOOKUP($B582,Chronologie[],COLUMN(H583)-2,TRUE)</f>
        <v>0</v>
      </c>
      <c r="I582" s="10" t="str">
        <f>VLOOKUP($B582,Chronologie[],2,TRUE)</f>
        <v>--</v>
      </c>
      <c r="J582" s="243">
        <f>VLOOKUP($B582,Chronologie[],3,TRUE)</f>
        <v>0</v>
      </c>
      <c r="K582" s="238"/>
      <c r="L582" s="237"/>
      <c r="M582" s="237"/>
      <c r="N582" s="237"/>
      <c r="O582" s="237"/>
      <c r="P582" s="237"/>
      <c r="Q582" s="237"/>
      <c r="R582" s="237"/>
      <c r="S582" s="237"/>
      <c r="T582" s="237"/>
      <c r="U582" s="237"/>
      <c r="V582" s="237"/>
      <c r="W582" s="237"/>
      <c r="X582" s="38"/>
      <c r="Y582" s="38"/>
      <c r="Z582" s="38"/>
      <c r="AA582" s="38"/>
      <c r="AB582" s="91"/>
      <c r="AC582" s="94" t="str">
        <f>IF(Eingabe[[#This Row],[V1]]="",IF(Eingabe[[#This Row],[Volle alternativ]]="","",Eingabe[[#This Row],[Volle alternativ]]),SUM(Eingabe[[#This Row],[V1]:[V4]]))</f>
        <v/>
      </c>
      <c r="AD582" s="6" t="str">
        <f>IF(Eingabe[[#This Row],[R1]]="",IF(Eingabe[[#This Row],[Räumer alternativ]]="","",Eingabe[[#This Row],[Räumer alternativ]]),SUM(Eingabe[[#This Row],[R1]:[R4]]))</f>
        <v/>
      </c>
      <c r="AE582" s="6" t="str">
        <f>IF(Eingabe[[#This Row],[F1]]="",IF(Eingabe[[#This Row],[Fehler alternativ]]="","",Eingabe[[#This Row],[Fehler alternativ]]),SUM(Eingabe[[#This Row],[F1]:[F4]]))</f>
        <v/>
      </c>
      <c r="AF582" s="6" t="str">
        <f>IF(Eingabe[[#This Row],[Volle]]="","",IF(Eingabe[[#This Row],[S1]]="",Eingabe[[#This Row],[Volle]]+Eingabe[[#This Row],[Räumer]],IF(Eingabe[[#This Row],[Volle]]+Eingabe[[#This Row],[Räumer]]=Eingabe[[#This Row],[S1]]+Eingabe[[#This Row],[S2]]+Eingabe[[#This Row],[S3]]+Eingabe[[#This Row],[S4]],Eingabe[[#This Row],[Volle]]+Eingabe[[#This Row],[Räumer]],"FEHLER")))</f>
        <v/>
      </c>
      <c r="AG582" s="6" t="str">
        <f>IF(Eingabe[[#This Row],[V1]]="","",Eingabe[[#This Row],[V1]]+Eingabe[[#This Row],[R1]])</f>
        <v/>
      </c>
      <c r="AH582" s="6" t="str">
        <f>IF(Eingabe[[#This Row],[V2]]="","",Eingabe[[#This Row],[V2]]+Eingabe[[#This Row],[R2]])</f>
        <v/>
      </c>
      <c r="AI582" s="6" t="str">
        <f>IF(Eingabe[[#This Row],[V3]]="","",Eingabe[[#This Row],[V3]]+Eingabe[[#This Row],[R3]])</f>
        <v/>
      </c>
      <c r="AJ582" s="6" t="str">
        <f>IF(Eingabe[[#This Row],[V4]]="","",Eingabe[[#This Row],[V4]]+Eingabe[[#This Row],[R4]])</f>
        <v/>
      </c>
      <c r="AK582" s="6" t="str">
        <f>IF(Eingabe[[#This Row],[S1P]]="","",Eingabe[[#This Row],[S1P]]+Eingabe[[#This Row],[S2P]]+Eingabe[[#This Row],[S3P]]+Eingabe[[#This Row],[S4P]])</f>
        <v/>
      </c>
      <c r="AL582" s="6" t="str">
        <f>IF(Eingabe[[#This Row],[S1P]]="","",IF(Eingabe[[#This Row],[SP]]&gt;2,1,IF(Eingabe[[#This Row],[SP]]&lt;2,0,IF(Eingabe[[#This Row],[GES]]&gt;Eingabe[[#This Row],[GEGGES]],1,IF(Eingabe[[#This Row],[GES]]=Eingabe[[#This Row],[GEGGES]],0.5,0)))))</f>
        <v/>
      </c>
      <c r="AM582" s="6" t="str">
        <f>IF(Eingabe[[#This Row],[MP]]="","",MOD(ROW(Eingabe[[#This Row],[Position]])-3,6)+1)</f>
        <v/>
      </c>
      <c r="AN582" s="6" t="e">
        <f>STANDARDIZE(Eingabe[[#This Row],[GES]],Eingabe[[#This Row],[Schnitt]],VLOOKUP(Eingabe[[#This Row],[Name]],AuswertungG[],21,FALSE))</f>
        <v>#VALUE!</v>
      </c>
      <c r="AO582" s="6" t="str">
        <f>VLOOKUP(Eingabe[[#This Row],[ID]],Chronologie[[ID]:[KW]],12,FALSE)</f>
        <v/>
      </c>
      <c r="AP582" s="95">
        <f>IF(Eingabe[[#This Row],[Wo]]="H",Eingabe[[#This Row],[Gegner]]&amp;" ["&amp;Eingabe[[#This Row],[Wo]]&amp;"]",Eingabe[[#This Row],[Ort]])</f>
        <v>0</v>
      </c>
      <c r="AQ582" s="6" t="str">
        <f>IFERROR(IF(Eingabe[[#This Row],[Wo]]="H",IF(MOD(Eingabe[[#This Row],[Position]],2)=1,Eingabe[[#This Row],[S1]],Eingabe[[#This Row],[S4]]),""),"")</f>
        <v/>
      </c>
      <c r="AR582" s="6" t="str">
        <f>IFERROR(IF(Eingabe[[#This Row],[Wo]]="H",IF(Eingabe[[#This Row],[S1]]&gt;0,IF(MOD(Eingabe[[#This Row],[Position]],2)=1,Eingabe[[#This Row],[S2]],Eingabe[[#This Row],[S3]]),""),""),"")</f>
        <v/>
      </c>
      <c r="AS582" s="6" t="str">
        <f>IFERROR(IF(Eingabe[[#This Row],[Wo]]="H",IF(Eingabe[[#This Row],[S1]]&gt;0,IF(MOD(ROW(Eingabe[[#This Row],[Heimbahn 3]]),2)=1,Eingabe[[#This Row],[S4]],Eingabe[[#This Row],[S1]]),""),""),"")</f>
        <v/>
      </c>
      <c r="AT582" s="6" t="str">
        <f>IFERROR(IF(Eingabe[[#This Row],[Wo]]="H",IF(Eingabe[[#This Row],[S1]]&gt;0,IF(MOD(ROW(Eingabe[[#This Row],[Heimbahn 4]]),2)=1,Eingabe[[#This Row],[S3]],Eingabe[[#This Row],[S2]]),""),""),"")</f>
        <v/>
      </c>
      <c r="AU582" s="22" t="str">
        <f>IF(Eingabe[[#This Row],[GES]]="","",IF(Eingabe[[#This Row],[Modus]]="L",_xlfn.RANK.EQ(Eingabe[[#This Row],[GES]],AF579:AF584),IF(Eingabe[[#This Row],[Modus]]="P",_xlfn.RANK.EQ(Eingabe[[#This Row],[GES]],AF579:AF584),"")))</f>
        <v/>
      </c>
      <c r="AV582" s="6" t="e">
        <f>VLOOKUP(Eingabe[[#This Row],[Name]],AuswertungG[],8,FALSE)</f>
        <v>#N/A</v>
      </c>
      <c r="AZ582" s="6" t="str">
        <f>IFERROR(ABS(Eingabe[[#This Row],[GES]]-Eingabe[[#This Row],[GEGGES]]),"")</f>
        <v/>
      </c>
    </row>
    <row r="583" spans="1:52" hidden="1" x14ac:dyDescent="0.3">
      <c r="A583" s="441"/>
      <c r="B583" s="21">
        <f t="shared" si="52"/>
        <v>97</v>
      </c>
      <c r="C583" s="6">
        <f>VLOOKUP($B583,Chronologie[],7,TRUE)</f>
        <v>0</v>
      </c>
      <c r="D583" s="6">
        <f>VLOOKUP($B583,Chronologie[],8,TRUE)</f>
        <v>0</v>
      </c>
      <c r="E583" s="240">
        <f>VLOOKUP($B583,Chronologie[],9,TRUE)</f>
        <v>0</v>
      </c>
      <c r="F583" s="6">
        <f>VLOOKUP($B583,Chronologie[],COLUMN(F584)-2,TRUE)</f>
        <v>0</v>
      </c>
      <c r="G583" s="6">
        <f>VLOOKUP($B583,Chronologie[],COLUMN(G584)-2,TRUE)</f>
        <v>0</v>
      </c>
      <c r="H583" s="6">
        <f>VLOOKUP($B583,Chronologie[],COLUMN(H584)-2,TRUE)</f>
        <v>0</v>
      </c>
      <c r="I583" s="10" t="str">
        <f>VLOOKUP($B583,Chronologie[],2,TRUE)</f>
        <v>--</v>
      </c>
      <c r="J583" s="243">
        <f>VLOOKUP($B583,Chronologie[],3,TRUE)</f>
        <v>0</v>
      </c>
      <c r="K583" s="237"/>
      <c r="L583" s="237"/>
      <c r="M583" s="237"/>
      <c r="N583" s="237"/>
      <c r="O583" s="237"/>
      <c r="P583" s="237"/>
      <c r="Q583" s="237"/>
      <c r="R583" s="237"/>
      <c r="S583" s="237"/>
      <c r="T583" s="237"/>
      <c r="U583" s="237"/>
      <c r="V583" s="237"/>
      <c r="W583" s="237"/>
      <c r="X583" s="38"/>
      <c r="Y583" s="38"/>
      <c r="Z583" s="38"/>
      <c r="AA583" s="38"/>
      <c r="AB583" s="91"/>
      <c r="AC583" s="94" t="str">
        <f>IF(Eingabe[[#This Row],[V1]]="",IF(Eingabe[[#This Row],[Volle alternativ]]="","",Eingabe[[#This Row],[Volle alternativ]]),SUM(Eingabe[[#This Row],[V1]:[V4]]))</f>
        <v/>
      </c>
      <c r="AD583" s="6" t="str">
        <f>IF(Eingabe[[#This Row],[R1]]="",IF(Eingabe[[#This Row],[Räumer alternativ]]="","",Eingabe[[#This Row],[Räumer alternativ]]),SUM(Eingabe[[#This Row],[R1]:[R4]]))</f>
        <v/>
      </c>
      <c r="AE583" s="6" t="str">
        <f>IF(Eingabe[[#This Row],[F1]]="",IF(Eingabe[[#This Row],[Fehler alternativ]]="","",Eingabe[[#This Row],[Fehler alternativ]]),SUM(Eingabe[[#This Row],[F1]:[F4]]))</f>
        <v/>
      </c>
      <c r="AF583" s="6" t="str">
        <f>IF(Eingabe[[#This Row],[Volle]]="","",IF(Eingabe[[#This Row],[S1]]="",Eingabe[[#This Row],[Volle]]+Eingabe[[#This Row],[Räumer]],IF(Eingabe[[#This Row],[Volle]]+Eingabe[[#This Row],[Räumer]]=Eingabe[[#This Row],[S1]]+Eingabe[[#This Row],[S2]]+Eingabe[[#This Row],[S3]]+Eingabe[[#This Row],[S4]],Eingabe[[#This Row],[Volle]]+Eingabe[[#This Row],[Räumer]],"FEHLER")))</f>
        <v/>
      </c>
      <c r="AG583" s="6" t="str">
        <f>IF(Eingabe[[#This Row],[V1]]="","",Eingabe[[#This Row],[V1]]+Eingabe[[#This Row],[R1]])</f>
        <v/>
      </c>
      <c r="AH583" s="6" t="str">
        <f>IF(Eingabe[[#This Row],[V2]]="","",Eingabe[[#This Row],[V2]]+Eingabe[[#This Row],[R2]])</f>
        <v/>
      </c>
      <c r="AI583" s="6" t="str">
        <f>IF(Eingabe[[#This Row],[V3]]="","",Eingabe[[#This Row],[V3]]+Eingabe[[#This Row],[R3]])</f>
        <v/>
      </c>
      <c r="AJ583" s="6" t="str">
        <f>IF(Eingabe[[#This Row],[V4]]="","",Eingabe[[#This Row],[V4]]+Eingabe[[#This Row],[R4]])</f>
        <v/>
      </c>
      <c r="AK583" s="6" t="str">
        <f>IF(Eingabe[[#This Row],[S1P]]="","",Eingabe[[#This Row],[S1P]]+Eingabe[[#This Row],[S2P]]+Eingabe[[#This Row],[S3P]]+Eingabe[[#This Row],[S4P]])</f>
        <v/>
      </c>
      <c r="AL583" s="6" t="str">
        <f>IF(Eingabe[[#This Row],[S1P]]="","",IF(Eingabe[[#This Row],[SP]]&gt;2,1,IF(Eingabe[[#This Row],[SP]]&lt;2,0,IF(Eingabe[[#This Row],[GES]]&gt;Eingabe[[#This Row],[GEGGES]],1,IF(Eingabe[[#This Row],[GES]]=Eingabe[[#This Row],[GEGGES]],0.5,0)))))</f>
        <v/>
      </c>
      <c r="AM583" s="6" t="str">
        <f>IF(Eingabe[[#This Row],[MP]]="","",MOD(ROW(Eingabe[[#This Row],[Position]])-3,6)+1)</f>
        <v/>
      </c>
      <c r="AN583" s="6" t="e">
        <f>STANDARDIZE(Eingabe[[#This Row],[GES]],Eingabe[[#This Row],[Schnitt]],VLOOKUP(Eingabe[[#This Row],[Name]],AuswertungG[],21,FALSE))</f>
        <v>#VALUE!</v>
      </c>
      <c r="AO583" s="6" t="str">
        <f>VLOOKUP(Eingabe[[#This Row],[ID]],Chronologie[[ID]:[KW]],12,FALSE)</f>
        <v/>
      </c>
      <c r="AP583" s="95">
        <f>IF(Eingabe[[#This Row],[Wo]]="H",Eingabe[[#This Row],[Gegner]]&amp;" ["&amp;Eingabe[[#This Row],[Wo]]&amp;"]",Eingabe[[#This Row],[Ort]])</f>
        <v>0</v>
      </c>
      <c r="AQ583" s="6" t="str">
        <f>IFERROR(IF(Eingabe[[#This Row],[Wo]]="H",IF(MOD(Eingabe[[#This Row],[Position]],2)=1,Eingabe[[#This Row],[S1]],Eingabe[[#This Row],[S4]]),""),"")</f>
        <v/>
      </c>
      <c r="AR583" s="6" t="str">
        <f>IFERROR(IF(Eingabe[[#This Row],[Wo]]="H",IF(Eingabe[[#This Row],[S1]]&gt;0,IF(MOD(Eingabe[[#This Row],[Position]],2)=1,Eingabe[[#This Row],[S2]],Eingabe[[#This Row],[S3]]),""),""),"")</f>
        <v/>
      </c>
      <c r="AS583" s="6" t="str">
        <f>IFERROR(IF(Eingabe[[#This Row],[Wo]]="H",IF(Eingabe[[#This Row],[S1]]&gt;0,IF(MOD(ROW(Eingabe[[#This Row],[Heimbahn 3]]),2)=1,Eingabe[[#This Row],[S4]],Eingabe[[#This Row],[S1]]),""),""),"")</f>
        <v/>
      </c>
      <c r="AT583" s="6" t="str">
        <f>IFERROR(IF(Eingabe[[#This Row],[Wo]]="H",IF(Eingabe[[#This Row],[S1]]&gt;0,IF(MOD(ROW(Eingabe[[#This Row],[Heimbahn 4]]),2)=1,Eingabe[[#This Row],[S3]],Eingabe[[#This Row],[S2]]),""),""),"")</f>
        <v/>
      </c>
      <c r="AU583" s="22" t="str">
        <f>IF(Eingabe[[#This Row],[GES]]="","",IF(Eingabe[[#This Row],[Modus]]="L",_xlfn.RANK.EQ(Eingabe[[#This Row],[GES]],AF579:AF584),IF(Eingabe[[#This Row],[Modus]]="P",_xlfn.RANK.EQ(Eingabe[[#This Row],[GES]],AF579:AF584),"")))</f>
        <v/>
      </c>
      <c r="AV583" s="6" t="e">
        <f>VLOOKUP(Eingabe[[#This Row],[Name]],AuswertungG[],8,FALSE)</f>
        <v>#N/A</v>
      </c>
      <c r="AZ583" s="6" t="str">
        <f>IFERROR(ABS(Eingabe[[#This Row],[GES]]-Eingabe[[#This Row],[GEGGES]]),"")</f>
        <v/>
      </c>
    </row>
    <row r="584" spans="1:52" ht="16.2" hidden="1" thickBot="1" x14ac:dyDescent="0.35">
      <c r="A584" s="442"/>
      <c r="B584" s="56">
        <f t="shared" si="52"/>
        <v>97</v>
      </c>
      <c r="C584" s="23">
        <f>VLOOKUP($B584,Chronologie[],7,TRUE)</f>
        <v>0</v>
      </c>
      <c r="D584" s="23">
        <f>VLOOKUP($B584,Chronologie[],8,TRUE)</f>
        <v>0</v>
      </c>
      <c r="E584" s="39">
        <f>VLOOKUP($B584,Chronologie[],9,TRUE)</f>
        <v>0</v>
      </c>
      <c r="F584" s="23">
        <f>VLOOKUP($B584,Chronologie[],COLUMN(F585)-2,TRUE)</f>
        <v>0</v>
      </c>
      <c r="G584" s="23">
        <f>VLOOKUP($B584,Chronologie[],COLUMN(G585)-2,TRUE)</f>
        <v>0</v>
      </c>
      <c r="H584" s="23">
        <f>VLOOKUP($B584,Chronologie[],COLUMN(H585)-2,TRUE)</f>
        <v>0</v>
      </c>
      <c r="I584" s="13" t="str">
        <f>VLOOKUP($B584,Chronologie[],2,TRUE)</f>
        <v>--</v>
      </c>
      <c r="J584" s="244">
        <f>VLOOKUP($B584,Chronologie[],3,TRUE)</f>
        <v>0</v>
      </c>
      <c r="K584" s="239"/>
      <c r="L584" s="239"/>
      <c r="M584" s="239"/>
      <c r="N584" s="239"/>
      <c r="O584" s="239"/>
      <c r="P584" s="239"/>
      <c r="Q584" s="239"/>
      <c r="R584" s="239"/>
      <c r="S584" s="239"/>
      <c r="T584" s="239"/>
      <c r="U584" s="239"/>
      <c r="V584" s="239"/>
      <c r="W584" s="239"/>
      <c r="X584" s="40"/>
      <c r="Y584" s="40"/>
      <c r="Z584" s="40"/>
      <c r="AA584" s="40"/>
      <c r="AB584" s="92"/>
      <c r="AC584" s="96" t="str">
        <f>IF(Eingabe[[#This Row],[V1]]="",IF(Eingabe[[#This Row],[Volle alternativ]]="","",Eingabe[[#This Row],[Volle alternativ]]),SUM(Eingabe[[#This Row],[V1]:[V4]]))</f>
        <v/>
      </c>
      <c r="AD584" s="23" t="str">
        <f>IF(Eingabe[[#This Row],[R1]]="",IF(Eingabe[[#This Row],[Räumer alternativ]]="","",Eingabe[[#This Row],[Räumer alternativ]]),SUM(Eingabe[[#This Row],[R1]:[R4]]))</f>
        <v/>
      </c>
      <c r="AE584" s="23" t="str">
        <f>IF(Eingabe[[#This Row],[F1]]="",IF(Eingabe[[#This Row],[Fehler alternativ]]="","",Eingabe[[#This Row],[Fehler alternativ]]),SUM(Eingabe[[#This Row],[F1]:[F4]]))</f>
        <v/>
      </c>
      <c r="AF584" s="23" t="str">
        <f>IF(Eingabe[[#This Row],[Volle]]="","",IF(Eingabe[[#This Row],[S1]]="",Eingabe[[#This Row],[Volle]]+Eingabe[[#This Row],[Räumer]],IF(Eingabe[[#This Row],[Volle]]+Eingabe[[#This Row],[Räumer]]=Eingabe[[#This Row],[S1]]+Eingabe[[#This Row],[S2]]+Eingabe[[#This Row],[S3]]+Eingabe[[#This Row],[S4]],Eingabe[[#This Row],[Volle]]+Eingabe[[#This Row],[Räumer]],"FEHLER")))</f>
        <v/>
      </c>
      <c r="AG584" s="23" t="str">
        <f>IF(Eingabe[[#This Row],[V1]]="","",Eingabe[[#This Row],[V1]]+Eingabe[[#This Row],[R1]])</f>
        <v/>
      </c>
      <c r="AH584" s="23" t="str">
        <f>IF(Eingabe[[#This Row],[V2]]="","",Eingabe[[#This Row],[V2]]+Eingabe[[#This Row],[R2]])</f>
        <v/>
      </c>
      <c r="AI584" s="23" t="str">
        <f>IF(Eingabe[[#This Row],[V3]]="","",Eingabe[[#This Row],[V3]]+Eingabe[[#This Row],[R3]])</f>
        <v/>
      </c>
      <c r="AJ584" s="23" t="str">
        <f>IF(Eingabe[[#This Row],[V4]]="","",Eingabe[[#This Row],[V4]]+Eingabe[[#This Row],[R4]])</f>
        <v/>
      </c>
      <c r="AK584" s="23" t="str">
        <f>IF(Eingabe[[#This Row],[S1P]]="","",Eingabe[[#This Row],[S1P]]+Eingabe[[#This Row],[S2P]]+Eingabe[[#This Row],[S3P]]+Eingabe[[#This Row],[S4P]])</f>
        <v/>
      </c>
      <c r="AL584" s="23" t="str">
        <f>IF(Eingabe[[#This Row],[S1P]]="","",IF(Eingabe[[#This Row],[SP]]&gt;2,1,IF(Eingabe[[#This Row],[SP]]&lt;2,0,IF(Eingabe[[#This Row],[GES]]&gt;Eingabe[[#This Row],[GEGGES]],1,IF(Eingabe[[#This Row],[GES]]=Eingabe[[#This Row],[GEGGES]],0.5,0)))))</f>
        <v/>
      </c>
      <c r="AM584" s="23" t="str">
        <f>IF(Eingabe[[#This Row],[MP]]="","",MOD(ROW(Eingabe[[#This Row],[Position]])-3,6)+1)</f>
        <v/>
      </c>
      <c r="AN584" s="23" t="e">
        <f>STANDARDIZE(Eingabe[[#This Row],[GES]],Eingabe[[#This Row],[Schnitt]],VLOOKUP(Eingabe[[#This Row],[Name]],AuswertungG[],21,FALSE))</f>
        <v>#VALUE!</v>
      </c>
      <c r="AO584" s="23" t="str">
        <f>VLOOKUP(Eingabe[[#This Row],[ID]],Chronologie[[ID]:[KW]],12,FALSE)</f>
        <v/>
      </c>
      <c r="AP584" s="59">
        <f>IF(Eingabe[[#This Row],[Wo]]="H",Eingabe[[#This Row],[Gegner]]&amp;" ["&amp;Eingabe[[#This Row],[Wo]]&amp;"]",Eingabe[[#This Row],[Ort]])</f>
        <v>0</v>
      </c>
      <c r="AQ584" s="23" t="str">
        <f>IFERROR(IF(Eingabe[[#This Row],[Wo]]="H",IF(MOD(Eingabe[[#This Row],[Position]],2)=1,Eingabe[[#This Row],[S1]],Eingabe[[#This Row],[S4]]),""),"")</f>
        <v/>
      </c>
      <c r="AR584" s="23" t="str">
        <f>IFERROR(IF(Eingabe[[#This Row],[Wo]]="H",IF(Eingabe[[#This Row],[S1]]&gt;0,IF(MOD(Eingabe[[#This Row],[Position]],2)=1,Eingabe[[#This Row],[S2]],Eingabe[[#This Row],[S3]]),""),""),"")</f>
        <v/>
      </c>
      <c r="AS584" s="23" t="str">
        <f>IFERROR(IF(Eingabe[[#This Row],[Wo]]="H",IF(Eingabe[[#This Row],[S1]]&gt;0,IF(MOD(ROW(Eingabe[[#This Row],[Heimbahn 3]]),2)=1,Eingabe[[#This Row],[S4]],Eingabe[[#This Row],[S1]]),""),""),"")</f>
        <v/>
      </c>
      <c r="AT584" s="23" t="str">
        <f>IFERROR(IF(Eingabe[[#This Row],[Wo]]="H",IF(Eingabe[[#This Row],[S1]]&gt;0,IF(MOD(ROW(Eingabe[[#This Row],[Heimbahn 4]]),2)=1,Eingabe[[#This Row],[S3]],Eingabe[[#This Row],[S2]]),""),""),"")</f>
        <v/>
      </c>
      <c r="AU584" s="89" t="str">
        <f>IF(Eingabe[[#This Row],[GES]]="","",IF(Eingabe[[#This Row],[Modus]]="L",_xlfn.RANK.EQ(Eingabe[[#This Row],[GES]],AF579:AF584),IF(Eingabe[[#This Row],[Modus]]="P",_xlfn.RANK.EQ(Eingabe[[#This Row],[GES]],AF579:AF584),"")))</f>
        <v/>
      </c>
      <c r="AV584" s="6" t="e">
        <f>VLOOKUP(Eingabe[[#This Row],[Name]],AuswertungG[],8,FALSE)</f>
        <v>#N/A</v>
      </c>
      <c r="AZ584" s="6" t="str">
        <f>IFERROR(ABS(Eingabe[[#This Row],[GES]]-Eingabe[[#This Row],[GEGGES]]),"")</f>
        <v/>
      </c>
    </row>
    <row r="585" spans="1:52" hidden="1" x14ac:dyDescent="0.3">
      <c r="A585" s="440">
        <f t="shared" si="53"/>
        <v>98</v>
      </c>
      <c r="B585" s="55">
        <f t="shared" ref="B585:B601" si="54">ROUNDUP((ROW(B585)-2)/6,0)</f>
        <v>98</v>
      </c>
      <c r="C585" s="35">
        <f>VLOOKUP($B585,Chronologie[],7,TRUE)</f>
        <v>0</v>
      </c>
      <c r="D585" s="35">
        <f>VLOOKUP($B585,Chronologie[],8,TRUE)</f>
        <v>0</v>
      </c>
      <c r="E585" s="36">
        <f>VLOOKUP($B585,Chronologie[],9,TRUE)</f>
        <v>0</v>
      </c>
      <c r="F585" s="35">
        <f>VLOOKUP($B585,Chronologie[],COLUMN(F586)-2,TRUE)</f>
        <v>0</v>
      </c>
      <c r="G585" s="35">
        <f>VLOOKUP($B585,Chronologie[],COLUMN(G586)-2,TRUE)</f>
        <v>0</v>
      </c>
      <c r="H585" s="35">
        <f>VLOOKUP($B585,Chronologie[],COLUMN(H586)-2,TRUE)</f>
        <v>0</v>
      </c>
      <c r="I585" s="9" t="str">
        <f>VLOOKUP($B585,Chronologie[],2,TRUE)</f>
        <v>--</v>
      </c>
      <c r="J585" s="242">
        <f>VLOOKUP($B585,Chronologie[],3,TRUE)</f>
        <v>0</v>
      </c>
      <c r="K585" s="236"/>
      <c r="L585" s="334"/>
      <c r="M585" s="334"/>
      <c r="N585" s="334"/>
      <c r="O585" s="334"/>
      <c r="P585" s="334"/>
      <c r="Q585" s="334"/>
      <c r="R585" s="334"/>
      <c r="S585" s="334"/>
      <c r="T585" s="334"/>
      <c r="U585" s="334"/>
      <c r="V585" s="334"/>
      <c r="W585" s="334"/>
      <c r="X585" s="37"/>
      <c r="Y585" s="37"/>
      <c r="Z585" s="37"/>
      <c r="AA585" s="37"/>
      <c r="AB585" s="90"/>
      <c r="AC585" s="93" t="str">
        <f>IF(Eingabe[[#This Row],[V1]]="",IF(Eingabe[[#This Row],[Volle alternativ]]="","",Eingabe[[#This Row],[Volle alternativ]]),SUM(Eingabe[[#This Row],[V1]:[V4]]))</f>
        <v/>
      </c>
      <c r="AD585" s="35" t="str">
        <f>IF(Eingabe[[#This Row],[R1]]="",IF(Eingabe[[#This Row],[Räumer alternativ]]="","",Eingabe[[#This Row],[Räumer alternativ]]),SUM(Eingabe[[#This Row],[R1]:[R4]]))</f>
        <v/>
      </c>
      <c r="AE585" s="35" t="str">
        <f>IF(Eingabe[[#This Row],[F1]]="",IF(Eingabe[[#This Row],[Fehler alternativ]]="","",Eingabe[[#This Row],[Fehler alternativ]]),SUM(Eingabe[[#This Row],[F1]:[F4]]))</f>
        <v/>
      </c>
      <c r="AF585" s="35" t="str">
        <f>IF(Eingabe[[#This Row],[Volle]]="","",IF(Eingabe[[#This Row],[S1]]="",Eingabe[[#This Row],[Volle]]+Eingabe[[#This Row],[Räumer]],IF(Eingabe[[#This Row],[Volle]]+Eingabe[[#This Row],[Räumer]]=Eingabe[[#This Row],[S1]]+Eingabe[[#This Row],[S2]]+Eingabe[[#This Row],[S3]]+Eingabe[[#This Row],[S4]],Eingabe[[#This Row],[Volle]]+Eingabe[[#This Row],[Räumer]],"FEHLER")))</f>
        <v/>
      </c>
      <c r="AG585" s="35" t="str">
        <f>IF(Eingabe[[#This Row],[V1]]="","",Eingabe[[#This Row],[V1]]+Eingabe[[#This Row],[R1]])</f>
        <v/>
      </c>
      <c r="AH585" s="35" t="str">
        <f>IF(Eingabe[[#This Row],[V2]]="","",Eingabe[[#This Row],[V2]]+Eingabe[[#This Row],[R2]])</f>
        <v/>
      </c>
      <c r="AI585" s="35" t="str">
        <f>IF(Eingabe[[#This Row],[V3]]="","",Eingabe[[#This Row],[V3]]+Eingabe[[#This Row],[R3]])</f>
        <v/>
      </c>
      <c r="AJ585" s="35" t="str">
        <f>IF(Eingabe[[#This Row],[V4]]="","",Eingabe[[#This Row],[V4]]+Eingabe[[#This Row],[R4]])</f>
        <v/>
      </c>
      <c r="AK585" s="35" t="str">
        <f>IF(Eingabe[[#This Row],[S1P]]="","",Eingabe[[#This Row],[S1P]]+Eingabe[[#This Row],[S2P]]+Eingabe[[#This Row],[S3P]]+Eingabe[[#This Row],[S4P]])</f>
        <v/>
      </c>
      <c r="AL585" s="35" t="str">
        <f>IF(Eingabe[[#This Row],[S1P]]="","",IF(Eingabe[[#This Row],[SP]]&gt;2,1,IF(Eingabe[[#This Row],[SP]]&lt;2,0,IF(Eingabe[[#This Row],[GES]]&gt;Eingabe[[#This Row],[GEGGES]],1,IF(Eingabe[[#This Row],[GES]]=Eingabe[[#This Row],[GEGGES]],0.5,0)))))</f>
        <v/>
      </c>
      <c r="AM585" s="35" t="str">
        <f>IF(Eingabe[[#This Row],[MP]]="","",MOD(ROW(Eingabe[[#This Row],[Position]])-3,6)+1)</f>
        <v/>
      </c>
      <c r="AN585" s="35" t="e">
        <f>STANDARDIZE(Eingabe[[#This Row],[GES]],Eingabe[[#This Row],[Schnitt]],VLOOKUP(Eingabe[[#This Row],[Name]],AuswertungG[],21,FALSE))</f>
        <v>#VALUE!</v>
      </c>
      <c r="AO585" s="35" t="str">
        <f>VLOOKUP(Eingabe[[#This Row],[ID]],Chronologie[[ID]:[KW]],12,FALSE)</f>
        <v/>
      </c>
      <c r="AP585" s="58">
        <f>IF(Eingabe[[#This Row],[Wo]]="H",Eingabe[[#This Row],[Gegner]]&amp;" ["&amp;Eingabe[[#This Row],[Wo]]&amp;"]",Eingabe[[#This Row],[Ort]])</f>
        <v>0</v>
      </c>
      <c r="AQ585" s="35" t="str">
        <f>IFERROR(IF(Eingabe[[#This Row],[Wo]]="H",IF(MOD(Eingabe[[#This Row],[Position]],2)=1,Eingabe[[#This Row],[S1]],Eingabe[[#This Row],[S4]]),""),"")</f>
        <v/>
      </c>
      <c r="AR585" s="35" t="str">
        <f>IFERROR(IF(Eingabe[[#This Row],[Wo]]="H",IF(Eingabe[[#This Row],[S1]]&gt;0,IF(MOD(Eingabe[[#This Row],[Position]],2)=1,Eingabe[[#This Row],[S2]],Eingabe[[#This Row],[S3]]),""),""),"")</f>
        <v/>
      </c>
      <c r="AS585" s="35" t="str">
        <f>IFERROR(IF(Eingabe[[#This Row],[Wo]]="H",IF(Eingabe[[#This Row],[S1]]&gt;0,IF(MOD(ROW(Eingabe[[#This Row],[Heimbahn 3]]),2)=1,Eingabe[[#This Row],[S4]],Eingabe[[#This Row],[S1]]),""),""),"")</f>
        <v/>
      </c>
      <c r="AT585" s="35" t="str">
        <f>IFERROR(IF(Eingabe[[#This Row],[Wo]]="H",IF(Eingabe[[#This Row],[S1]]&gt;0,IF(MOD(ROW(Eingabe[[#This Row],[Heimbahn 4]]),2)=1,Eingabe[[#This Row],[S3]],Eingabe[[#This Row],[S2]]),""),""),"")</f>
        <v/>
      </c>
      <c r="AU585" s="88" t="str">
        <f>IF(Eingabe[[#This Row],[GES]]="","",IF(Eingabe[[#This Row],[Modus]]="L",_xlfn.RANK.EQ(Eingabe[[#This Row],[GES]],AF585:AF590),IF(Eingabe[[#This Row],[Modus]]="P",_xlfn.RANK.EQ(Eingabe[[#This Row],[GES]],AF585:AF590),"")))</f>
        <v/>
      </c>
      <c r="AV585" s="6" t="e">
        <f>VLOOKUP(Eingabe[[#This Row],[Name]],AuswertungG[],8,FALSE)</f>
        <v>#N/A</v>
      </c>
      <c r="AZ585" s="6" t="str">
        <f>IFERROR(ABS(Eingabe[[#This Row],[GES]]-Eingabe[[#This Row],[GEGGES]]),"")</f>
        <v/>
      </c>
    </row>
    <row r="586" spans="1:52" hidden="1" x14ac:dyDescent="0.3">
      <c r="A586" s="441"/>
      <c r="B586" s="21">
        <f t="shared" si="54"/>
        <v>98</v>
      </c>
      <c r="C586" s="6">
        <f>VLOOKUP($B586,Chronologie[],7,TRUE)</f>
        <v>0</v>
      </c>
      <c r="D586" s="6">
        <f>VLOOKUP($B586,Chronologie[],8,TRUE)</f>
        <v>0</v>
      </c>
      <c r="E586" s="240">
        <f>VLOOKUP($B586,Chronologie[],9,TRUE)</f>
        <v>0</v>
      </c>
      <c r="F586" s="6">
        <f>VLOOKUP($B586,Chronologie[],COLUMN(F587)-2,TRUE)</f>
        <v>0</v>
      </c>
      <c r="G586" s="6">
        <f>VLOOKUP($B586,Chronologie[],COLUMN(G587)-2,TRUE)</f>
        <v>0</v>
      </c>
      <c r="H586" s="6">
        <f>VLOOKUP($B586,Chronologie[],COLUMN(H587)-2,TRUE)</f>
        <v>0</v>
      </c>
      <c r="I586" s="10" t="str">
        <f>VLOOKUP($B586,Chronologie[],2,TRUE)</f>
        <v>--</v>
      </c>
      <c r="J586" s="243">
        <f>VLOOKUP($B586,Chronologie[],3,TRUE)</f>
        <v>0</v>
      </c>
      <c r="K586" s="237"/>
      <c r="L586" s="237"/>
      <c r="M586" s="237"/>
      <c r="N586" s="237"/>
      <c r="O586" s="237"/>
      <c r="P586" s="237"/>
      <c r="Q586" s="237"/>
      <c r="R586" s="237"/>
      <c r="S586" s="237"/>
      <c r="T586" s="237"/>
      <c r="U586" s="237"/>
      <c r="V586" s="237"/>
      <c r="W586" s="237"/>
      <c r="X586" s="38"/>
      <c r="Y586" s="38"/>
      <c r="Z586" s="38"/>
      <c r="AA586" s="38"/>
      <c r="AB586" s="91"/>
      <c r="AC586" s="94" t="str">
        <f>IF(Eingabe[[#This Row],[V1]]="",IF(Eingabe[[#This Row],[Volle alternativ]]="","",Eingabe[[#This Row],[Volle alternativ]]),SUM(Eingabe[[#This Row],[V1]:[V4]]))</f>
        <v/>
      </c>
      <c r="AD586" s="6" t="str">
        <f>IF(Eingabe[[#This Row],[R1]]="",IF(Eingabe[[#This Row],[Räumer alternativ]]="","",Eingabe[[#This Row],[Räumer alternativ]]),SUM(Eingabe[[#This Row],[R1]:[R4]]))</f>
        <v/>
      </c>
      <c r="AE586" s="6" t="str">
        <f>IF(Eingabe[[#This Row],[F1]]="",IF(Eingabe[[#This Row],[Fehler alternativ]]="","",Eingabe[[#This Row],[Fehler alternativ]]),SUM(Eingabe[[#This Row],[F1]:[F4]]))</f>
        <v/>
      </c>
      <c r="AF586" s="6" t="str">
        <f>IF(Eingabe[[#This Row],[Volle]]="","",IF(Eingabe[[#This Row],[S1]]="",Eingabe[[#This Row],[Volle]]+Eingabe[[#This Row],[Räumer]],IF(Eingabe[[#This Row],[Volle]]+Eingabe[[#This Row],[Räumer]]=Eingabe[[#This Row],[S1]]+Eingabe[[#This Row],[S2]]+Eingabe[[#This Row],[S3]]+Eingabe[[#This Row],[S4]],Eingabe[[#This Row],[Volle]]+Eingabe[[#This Row],[Räumer]],"FEHLER")))</f>
        <v/>
      </c>
      <c r="AG586" s="6" t="str">
        <f>IF(Eingabe[[#This Row],[V1]]="","",Eingabe[[#This Row],[V1]]+Eingabe[[#This Row],[R1]])</f>
        <v/>
      </c>
      <c r="AH586" s="6" t="str">
        <f>IF(Eingabe[[#This Row],[V2]]="","",Eingabe[[#This Row],[V2]]+Eingabe[[#This Row],[R2]])</f>
        <v/>
      </c>
      <c r="AI586" s="6" t="str">
        <f>IF(Eingabe[[#This Row],[V3]]="","",Eingabe[[#This Row],[V3]]+Eingabe[[#This Row],[R3]])</f>
        <v/>
      </c>
      <c r="AJ586" s="6" t="str">
        <f>IF(Eingabe[[#This Row],[V4]]="","",Eingabe[[#This Row],[V4]]+Eingabe[[#This Row],[R4]])</f>
        <v/>
      </c>
      <c r="AK586" s="6" t="str">
        <f>IF(Eingabe[[#This Row],[S1P]]="","",Eingabe[[#This Row],[S1P]]+Eingabe[[#This Row],[S2P]]+Eingabe[[#This Row],[S3P]]+Eingabe[[#This Row],[S4P]])</f>
        <v/>
      </c>
      <c r="AL586" s="6" t="str">
        <f>IF(Eingabe[[#This Row],[S1P]]="","",IF(Eingabe[[#This Row],[SP]]&gt;2,1,IF(Eingabe[[#This Row],[SP]]&lt;2,0,IF(Eingabe[[#This Row],[GES]]&gt;Eingabe[[#This Row],[GEGGES]],1,IF(Eingabe[[#This Row],[GES]]=Eingabe[[#This Row],[GEGGES]],0.5,0)))))</f>
        <v/>
      </c>
      <c r="AM586" s="6" t="str">
        <f>IF(Eingabe[[#This Row],[MP]]="","",MOD(ROW(Eingabe[[#This Row],[Position]])-3,6)+1)</f>
        <v/>
      </c>
      <c r="AN586" s="6" t="e">
        <f>STANDARDIZE(Eingabe[[#This Row],[GES]],Eingabe[[#This Row],[Schnitt]],VLOOKUP(Eingabe[[#This Row],[Name]],AuswertungG[],21,FALSE))</f>
        <v>#VALUE!</v>
      </c>
      <c r="AO586" s="6" t="str">
        <f>VLOOKUP(Eingabe[[#This Row],[ID]],Chronologie[[ID]:[KW]],12,FALSE)</f>
        <v/>
      </c>
      <c r="AP586" s="95">
        <f>IF(Eingabe[[#This Row],[Wo]]="H",Eingabe[[#This Row],[Gegner]]&amp;" ["&amp;Eingabe[[#This Row],[Wo]]&amp;"]",Eingabe[[#This Row],[Ort]])</f>
        <v>0</v>
      </c>
      <c r="AQ586" s="6" t="str">
        <f>IFERROR(IF(Eingabe[[#This Row],[Wo]]="H",IF(MOD(Eingabe[[#This Row],[Position]],2)=1,Eingabe[[#This Row],[S1]],Eingabe[[#This Row],[S4]]),""),"")</f>
        <v/>
      </c>
      <c r="AR586" s="6" t="str">
        <f>IFERROR(IF(Eingabe[[#This Row],[Wo]]="H",IF(Eingabe[[#This Row],[S1]]&gt;0,IF(MOD(Eingabe[[#This Row],[Position]],2)=1,Eingabe[[#This Row],[S2]],Eingabe[[#This Row],[S3]]),""),""),"")</f>
        <v/>
      </c>
      <c r="AS586" s="6" t="str">
        <f>IFERROR(IF(Eingabe[[#This Row],[Wo]]="H",IF(Eingabe[[#This Row],[S1]]&gt;0,IF(MOD(ROW(Eingabe[[#This Row],[Heimbahn 3]]),2)=1,Eingabe[[#This Row],[S4]],Eingabe[[#This Row],[S1]]),""),""),"")</f>
        <v/>
      </c>
      <c r="AT586" s="6" t="str">
        <f>IFERROR(IF(Eingabe[[#This Row],[Wo]]="H",IF(Eingabe[[#This Row],[S1]]&gt;0,IF(MOD(ROW(Eingabe[[#This Row],[Heimbahn 4]]),2)=1,Eingabe[[#This Row],[S3]],Eingabe[[#This Row],[S2]]),""),""),"")</f>
        <v/>
      </c>
      <c r="AU586" s="22" t="str">
        <f>IF(Eingabe[[#This Row],[GES]]="","",IF(Eingabe[[#This Row],[Modus]]="L",_xlfn.RANK.EQ(Eingabe[[#This Row],[GES]],AF585:AF590),IF(Eingabe[[#This Row],[Modus]]="P",_xlfn.RANK.EQ(Eingabe[[#This Row],[GES]],AF585:AF590),"")))</f>
        <v/>
      </c>
      <c r="AV586" s="6" t="e">
        <f>VLOOKUP(Eingabe[[#This Row],[Name]],AuswertungG[],8,FALSE)</f>
        <v>#N/A</v>
      </c>
      <c r="AZ586" s="6" t="str">
        <f>IFERROR(ABS(Eingabe[[#This Row],[GES]]-Eingabe[[#This Row],[GEGGES]]),"")</f>
        <v/>
      </c>
    </row>
    <row r="587" spans="1:52" hidden="1" x14ac:dyDescent="0.3">
      <c r="A587" s="441"/>
      <c r="B587" s="21">
        <f t="shared" si="54"/>
        <v>98</v>
      </c>
      <c r="C587" s="6">
        <f>VLOOKUP($B587,Chronologie[],7,TRUE)</f>
        <v>0</v>
      </c>
      <c r="D587" s="6">
        <f>VLOOKUP($B587,Chronologie[],8,TRUE)</f>
        <v>0</v>
      </c>
      <c r="E587" s="240">
        <f>VLOOKUP($B587,Chronologie[],9,TRUE)</f>
        <v>0</v>
      </c>
      <c r="F587" s="6">
        <f>VLOOKUP($B587,Chronologie[],COLUMN(F588)-2,TRUE)</f>
        <v>0</v>
      </c>
      <c r="G587" s="6">
        <f>VLOOKUP($B587,Chronologie[],COLUMN(G588)-2,TRUE)</f>
        <v>0</v>
      </c>
      <c r="H587" s="6">
        <f>VLOOKUP($B587,Chronologie[],COLUMN(H588)-2,TRUE)</f>
        <v>0</v>
      </c>
      <c r="I587" s="10" t="str">
        <f>VLOOKUP($B587,Chronologie[],2,TRUE)</f>
        <v>--</v>
      </c>
      <c r="J587" s="243">
        <f>VLOOKUP($B587,Chronologie[],3,TRUE)</f>
        <v>0</v>
      </c>
      <c r="K587" s="237"/>
      <c r="L587" s="237"/>
      <c r="M587" s="237"/>
      <c r="N587" s="237"/>
      <c r="O587" s="237"/>
      <c r="P587" s="237"/>
      <c r="Q587" s="237"/>
      <c r="R587" s="237"/>
      <c r="S587" s="237"/>
      <c r="T587" s="237"/>
      <c r="U587" s="237"/>
      <c r="V587" s="237"/>
      <c r="W587" s="237"/>
      <c r="X587" s="38"/>
      <c r="Y587" s="38"/>
      <c r="Z587" s="38"/>
      <c r="AA587" s="38"/>
      <c r="AB587" s="91"/>
      <c r="AC587" s="94" t="str">
        <f>IF(Eingabe[[#This Row],[V1]]="",IF(Eingabe[[#This Row],[Volle alternativ]]="","",Eingabe[[#This Row],[Volle alternativ]]),SUM(Eingabe[[#This Row],[V1]:[V4]]))</f>
        <v/>
      </c>
      <c r="AD587" s="6" t="str">
        <f>IF(Eingabe[[#This Row],[R1]]="",IF(Eingabe[[#This Row],[Räumer alternativ]]="","",Eingabe[[#This Row],[Räumer alternativ]]),SUM(Eingabe[[#This Row],[R1]:[R4]]))</f>
        <v/>
      </c>
      <c r="AE587" s="6" t="str">
        <f>IF(Eingabe[[#This Row],[F1]]="",IF(Eingabe[[#This Row],[Fehler alternativ]]="","",Eingabe[[#This Row],[Fehler alternativ]]),SUM(Eingabe[[#This Row],[F1]:[F4]]))</f>
        <v/>
      </c>
      <c r="AF587" s="6" t="str">
        <f>IF(Eingabe[[#This Row],[Volle]]="","",IF(Eingabe[[#This Row],[S1]]="",Eingabe[[#This Row],[Volle]]+Eingabe[[#This Row],[Räumer]],IF(Eingabe[[#This Row],[Volle]]+Eingabe[[#This Row],[Räumer]]=Eingabe[[#This Row],[S1]]+Eingabe[[#This Row],[S2]]+Eingabe[[#This Row],[S3]]+Eingabe[[#This Row],[S4]],Eingabe[[#This Row],[Volle]]+Eingabe[[#This Row],[Räumer]],"FEHLER")))</f>
        <v/>
      </c>
      <c r="AG587" s="6" t="str">
        <f>IF(Eingabe[[#This Row],[V1]]="","",Eingabe[[#This Row],[V1]]+Eingabe[[#This Row],[R1]])</f>
        <v/>
      </c>
      <c r="AH587" s="6" t="str">
        <f>IF(Eingabe[[#This Row],[V2]]="","",Eingabe[[#This Row],[V2]]+Eingabe[[#This Row],[R2]])</f>
        <v/>
      </c>
      <c r="AI587" s="6" t="str">
        <f>IF(Eingabe[[#This Row],[V3]]="","",Eingabe[[#This Row],[V3]]+Eingabe[[#This Row],[R3]])</f>
        <v/>
      </c>
      <c r="AJ587" s="6" t="str">
        <f>IF(Eingabe[[#This Row],[V4]]="","",Eingabe[[#This Row],[V4]]+Eingabe[[#This Row],[R4]])</f>
        <v/>
      </c>
      <c r="AK587" s="6" t="str">
        <f>IF(Eingabe[[#This Row],[S1P]]="","",Eingabe[[#This Row],[S1P]]+Eingabe[[#This Row],[S2P]]+Eingabe[[#This Row],[S3P]]+Eingabe[[#This Row],[S4P]])</f>
        <v/>
      </c>
      <c r="AL587" s="6" t="str">
        <f>IF(Eingabe[[#This Row],[S1P]]="","",IF(Eingabe[[#This Row],[SP]]&gt;2,1,IF(Eingabe[[#This Row],[SP]]&lt;2,0,IF(Eingabe[[#This Row],[GES]]&gt;Eingabe[[#This Row],[GEGGES]],1,IF(Eingabe[[#This Row],[GES]]=Eingabe[[#This Row],[GEGGES]],0.5,0)))))</f>
        <v/>
      </c>
      <c r="AM587" s="6" t="str">
        <f>IF(Eingabe[[#This Row],[MP]]="","",MOD(ROW(Eingabe[[#This Row],[Position]])-3,6)+1)</f>
        <v/>
      </c>
      <c r="AN587" s="6" t="e">
        <f>STANDARDIZE(Eingabe[[#This Row],[GES]],Eingabe[[#This Row],[Schnitt]],VLOOKUP(Eingabe[[#This Row],[Name]],AuswertungG[],21,FALSE))</f>
        <v>#VALUE!</v>
      </c>
      <c r="AO587" s="6" t="str">
        <f>VLOOKUP(Eingabe[[#This Row],[ID]],Chronologie[[ID]:[KW]],12,FALSE)</f>
        <v/>
      </c>
      <c r="AP587" s="95">
        <f>IF(Eingabe[[#This Row],[Wo]]="H",Eingabe[[#This Row],[Gegner]]&amp;" ["&amp;Eingabe[[#This Row],[Wo]]&amp;"]",Eingabe[[#This Row],[Ort]])</f>
        <v>0</v>
      </c>
      <c r="AQ587" s="6" t="str">
        <f>IFERROR(IF(Eingabe[[#This Row],[Wo]]="H",IF(MOD(Eingabe[[#This Row],[Position]],2)=1,Eingabe[[#This Row],[S1]],Eingabe[[#This Row],[S4]]),""),"")</f>
        <v/>
      </c>
      <c r="AR587" s="6" t="str">
        <f>IFERROR(IF(Eingabe[[#This Row],[Wo]]="H",IF(Eingabe[[#This Row],[S1]]&gt;0,IF(MOD(Eingabe[[#This Row],[Position]],2)=1,Eingabe[[#This Row],[S2]],Eingabe[[#This Row],[S3]]),""),""),"")</f>
        <v/>
      </c>
      <c r="AS587" s="6" t="str">
        <f>IFERROR(IF(Eingabe[[#This Row],[Wo]]="H",IF(Eingabe[[#This Row],[S1]]&gt;0,IF(MOD(ROW(Eingabe[[#This Row],[Heimbahn 3]]),2)=1,Eingabe[[#This Row],[S4]],Eingabe[[#This Row],[S1]]),""),""),"")</f>
        <v/>
      </c>
      <c r="AT587" s="6" t="str">
        <f>IFERROR(IF(Eingabe[[#This Row],[Wo]]="H",IF(Eingabe[[#This Row],[S1]]&gt;0,IF(MOD(ROW(Eingabe[[#This Row],[Heimbahn 4]]),2)=1,Eingabe[[#This Row],[S3]],Eingabe[[#This Row],[S2]]),""),""),"")</f>
        <v/>
      </c>
      <c r="AU587" s="22" t="str">
        <f>IF(Eingabe[[#This Row],[GES]]="","",IF(Eingabe[[#This Row],[Modus]]="L",_xlfn.RANK.EQ(Eingabe[[#This Row],[GES]],AF585:AF590),IF(Eingabe[[#This Row],[Modus]]="P",_xlfn.RANK.EQ(Eingabe[[#This Row],[GES]],AF585:AF590),"")))</f>
        <v/>
      </c>
      <c r="AV587" s="6" t="e">
        <f>VLOOKUP(Eingabe[[#This Row],[Name]],AuswertungG[],8,FALSE)</f>
        <v>#N/A</v>
      </c>
      <c r="AZ587" s="6" t="str">
        <f>IFERROR(ABS(Eingabe[[#This Row],[GES]]-Eingabe[[#This Row],[GEGGES]]),"")</f>
        <v/>
      </c>
    </row>
    <row r="588" spans="1:52" hidden="1" x14ac:dyDescent="0.3">
      <c r="A588" s="441"/>
      <c r="B588" s="21">
        <f t="shared" si="54"/>
        <v>98</v>
      </c>
      <c r="C588" s="6">
        <f>VLOOKUP($B588,Chronologie[],7,TRUE)</f>
        <v>0</v>
      </c>
      <c r="D588" s="6">
        <f>VLOOKUP($B588,Chronologie[],8,TRUE)</f>
        <v>0</v>
      </c>
      <c r="E588" s="240">
        <f>VLOOKUP($B588,Chronologie[],9,TRUE)</f>
        <v>0</v>
      </c>
      <c r="F588" s="6">
        <f>VLOOKUP($B588,Chronologie[],COLUMN(F589)-2,TRUE)</f>
        <v>0</v>
      </c>
      <c r="G588" s="6">
        <f>VLOOKUP($B588,Chronologie[],COLUMN(G589)-2,TRUE)</f>
        <v>0</v>
      </c>
      <c r="H588" s="6">
        <f>VLOOKUP($B588,Chronologie[],COLUMN(H589)-2,TRUE)</f>
        <v>0</v>
      </c>
      <c r="I588" s="10" t="str">
        <f>VLOOKUP($B588,Chronologie[],2,TRUE)</f>
        <v>--</v>
      </c>
      <c r="J588" s="243">
        <f>VLOOKUP($B588,Chronologie[],3,TRUE)</f>
        <v>0</v>
      </c>
      <c r="K588" s="238"/>
      <c r="L588" s="237"/>
      <c r="M588" s="237"/>
      <c r="N588" s="237"/>
      <c r="O588" s="237"/>
      <c r="P588" s="237"/>
      <c r="Q588" s="237"/>
      <c r="R588" s="237"/>
      <c r="S588" s="237"/>
      <c r="T588" s="237"/>
      <c r="U588" s="237"/>
      <c r="V588" s="237"/>
      <c r="W588" s="237"/>
      <c r="X588" s="38"/>
      <c r="Y588" s="38"/>
      <c r="Z588" s="38"/>
      <c r="AA588" s="38"/>
      <c r="AB588" s="91"/>
      <c r="AC588" s="94" t="str">
        <f>IF(Eingabe[[#This Row],[V1]]="",IF(Eingabe[[#This Row],[Volle alternativ]]="","",Eingabe[[#This Row],[Volle alternativ]]),SUM(Eingabe[[#This Row],[V1]:[V4]]))</f>
        <v/>
      </c>
      <c r="AD588" s="6" t="str">
        <f>IF(Eingabe[[#This Row],[R1]]="",IF(Eingabe[[#This Row],[Räumer alternativ]]="","",Eingabe[[#This Row],[Räumer alternativ]]),SUM(Eingabe[[#This Row],[R1]:[R4]]))</f>
        <v/>
      </c>
      <c r="AE588" s="6" t="str">
        <f>IF(Eingabe[[#This Row],[F1]]="",IF(Eingabe[[#This Row],[Fehler alternativ]]="","",Eingabe[[#This Row],[Fehler alternativ]]),SUM(Eingabe[[#This Row],[F1]:[F4]]))</f>
        <v/>
      </c>
      <c r="AF588" s="6" t="str">
        <f>IF(Eingabe[[#This Row],[Volle]]="","",IF(Eingabe[[#This Row],[S1]]="",Eingabe[[#This Row],[Volle]]+Eingabe[[#This Row],[Räumer]],IF(Eingabe[[#This Row],[Volle]]+Eingabe[[#This Row],[Räumer]]=Eingabe[[#This Row],[S1]]+Eingabe[[#This Row],[S2]]+Eingabe[[#This Row],[S3]]+Eingabe[[#This Row],[S4]],Eingabe[[#This Row],[Volle]]+Eingabe[[#This Row],[Räumer]],"FEHLER")))</f>
        <v/>
      </c>
      <c r="AG588" s="6" t="str">
        <f>IF(Eingabe[[#This Row],[V1]]="","",Eingabe[[#This Row],[V1]]+Eingabe[[#This Row],[R1]])</f>
        <v/>
      </c>
      <c r="AH588" s="6" t="str">
        <f>IF(Eingabe[[#This Row],[V2]]="","",Eingabe[[#This Row],[V2]]+Eingabe[[#This Row],[R2]])</f>
        <v/>
      </c>
      <c r="AI588" s="6" t="str">
        <f>IF(Eingabe[[#This Row],[V3]]="","",Eingabe[[#This Row],[V3]]+Eingabe[[#This Row],[R3]])</f>
        <v/>
      </c>
      <c r="AJ588" s="6" t="str">
        <f>IF(Eingabe[[#This Row],[V4]]="","",Eingabe[[#This Row],[V4]]+Eingabe[[#This Row],[R4]])</f>
        <v/>
      </c>
      <c r="AK588" s="6" t="str">
        <f>IF(Eingabe[[#This Row],[S1P]]="","",Eingabe[[#This Row],[S1P]]+Eingabe[[#This Row],[S2P]]+Eingabe[[#This Row],[S3P]]+Eingabe[[#This Row],[S4P]])</f>
        <v/>
      </c>
      <c r="AL588" s="6" t="str">
        <f>IF(Eingabe[[#This Row],[S1P]]="","",IF(Eingabe[[#This Row],[SP]]&gt;2,1,IF(Eingabe[[#This Row],[SP]]&lt;2,0,IF(Eingabe[[#This Row],[GES]]&gt;Eingabe[[#This Row],[GEGGES]],1,IF(Eingabe[[#This Row],[GES]]=Eingabe[[#This Row],[GEGGES]],0.5,0)))))</f>
        <v/>
      </c>
      <c r="AM588" s="6" t="str">
        <f>IF(Eingabe[[#This Row],[MP]]="","",MOD(ROW(Eingabe[[#This Row],[Position]])-3,6)+1)</f>
        <v/>
      </c>
      <c r="AN588" s="6" t="e">
        <f>STANDARDIZE(Eingabe[[#This Row],[GES]],Eingabe[[#This Row],[Schnitt]],VLOOKUP(Eingabe[[#This Row],[Name]],AuswertungG[],21,FALSE))</f>
        <v>#VALUE!</v>
      </c>
      <c r="AO588" s="6" t="str">
        <f>VLOOKUP(Eingabe[[#This Row],[ID]],Chronologie[[ID]:[KW]],12,FALSE)</f>
        <v/>
      </c>
      <c r="AP588" s="95">
        <f>IF(Eingabe[[#This Row],[Wo]]="H",Eingabe[[#This Row],[Gegner]]&amp;" ["&amp;Eingabe[[#This Row],[Wo]]&amp;"]",Eingabe[[#This Row],[Ort]])</f>
        <v>0</v>
      </c>
      <c r="AQ588" s="6" t="str">
        <f>IFERROR(IF(Eingabe[[#This Row],[Wo]]="H",IF(MOD(Eingabe[[#This Row],[Position]],2)=1,Eingabe[[#This Row],[S1]],Eingabe[[#This Row],[S4]]),""),"")</f>
        <v/>
      </c>
      <c r="AR588" s="6" t="str">
        <f>IFERROR(IF(Eingabe[[#This Row],[Wo]]="H",IF(Eingabe[[#This Row],[S1]]&gt;0,IF(MOD(Eingabe[[#This Row],[Position]],2)=1,Eingabe[[#This Row],[S2]],Eingabe[[#This Row],[S3]]),""),""),"")</f>
        <v/>
      </c>
      <c r="AS588" s="6" t="str">
        <f>IFERROR(IF(Eingabe[[#This Row],[Wo]]="H",IF(Eingabe[[#This Row],[S1]]&gt;0,IF(MOD(ROW(Eingabe[[#This Row],[Heimbahn 3]]),2)=1,Eingabe[[#This Row],[S4]],Eingabe[[#This Row],[S1]]),""),""),"")</f>
        <v/>
      </c>
      <c r="AT588" s="6" t="str">
        <f>IFERROR(IF(Eingabe[[#This Row],[Wo]]="H",IF(Eingabe[[#This Row],[S1]]&gt;0,IF(MOD(ROW(Eingabe[[#This Row],[Heimbahn 4]]),2)=1,Eingabe[[#This Row],[S3]],Eingabe[[#This Row],[S2]]),""),""),"")</f>
        <v/>
      </c>
      <c r="AU588" s="22" t="str">
        <f>IF(Eingabe[[#This Row],[GES]]="","",IF(Eingabe[[#This Row],[Modus]]="L",_xlfn.RANK.EQ(Eingabe[[#This Row],[GES]],AF585:AF590),IF(Eingabe[[#This Row],[Modus]]="P",_xlfn.RANK.EQ(Eingabe[[#This Row],[GES]],AF585:AF590),"")))</f>
        <v/>
      </c>
      <c r="AV588" s="6" t="e">
        <f>VLOOKUP(Eingabe[[#This Row],[Name]],AuswertungG[],8,FALSE)</f>
        <v>#N/A</v>
      </c>
      <c r="AZ588" s="6" t="str">
        <f>IFERROR(ABS(Eingabe[[#This Row],[GES]]-Eingabe[[#This Row],[GEGGES]]),"")</f>
        <v/>
      </c>
    </row>
    <row r="589" spans="1:52" hidden="1" x14ac:dyDescent="0.3">
      <c r="A589" s="441"/>
      <c r="B589" s="21">
        <f t="shared" si="54"/>
        <v>98</v>
      </c>
      <c r="C589" s="6">
        <f>VLOOKUP($B589,Chronologie[],7,TRUE)</f>
        <v>0</v>
      </c>
      <c r="D589" s="6">
        <f>VLOOKUP($B589,Chronologie[],8,TRUE)</f>
        <v>0</v>
      </c>
      <c r="E589" s="240">
        <f>VLOOKUP($B589,Chronologie[],9,TRUE)</f>
        <v>0</v>
      </c>
      <c r="F589" s="6">
        <f>VLOOKUP($B589,Chronologie[],COLUMN(F590)-2,TRUE)</f>
        <v>0</v>
      </c>
      <c r="G589" s="6">
        <f>VLOOKUP($B589,Chronologie[],COLUMN(G590)-2,TRUE)</f>
        <v>0</v>
      </c>
      <c r="H589" s="6">
        <f>VLOOKUP($B589,Chronologie[],COLUMN(H590)-2,TRUE)</f>
        <v>0</v>
      </c>
      <c r="I589" s="10" t="str">
        <f>VLOOKUP($B589,Chronologie[],2,TRUE)</f>
        <v>--</v>
      </c>
      <c r="J589" s="243">
        <f>VLOOKUP($B589,Chronologie[],3,TRUE)</f>
        <v>0</v>
      </c>
      <c r="K589" s="237"/>
      <c r="L589" s="237"/>
      <c r="M589" s="237"/>
      <c r="N589" s="237"/>
      <c r="O589" s="237"/>
      <c r="P589" s="237"/>
      <c r="Q589" s="237"/>
      <c r="R589" s="237"/>
      <c r="S589" s="237"/>
      <c r="T589" s="237"/>
      <c r="U589" s="237"/>
      <c r="V589" s="237"/>
      <c r="W589" s="237"/>
      <c r="X589" s="38"/>
      <c r="Y589" s="38"/>
      <c r="Z589" s="38"/>
      <c r="AA589" s="38"/>
      <c r="AB589" s="91"/>
      <c r="AC589" s="94" t="str">
        <f>IF(Eingabe[[#This Row],[V1]]="",IF(Eingabe[[#This Row],[Volle alternativ]]="","",Eingabe[[#This Row],[Volle alternativ]]),SUM(Eingabe[[#This Row],[V1]:[V4]]))</f>
        <v/>
      </c>
      <c r="AD589" s="6" t="str">
        <f>IF(Eingabe[[#This Row],[R1]]="",IF(Eingabe[[#This Row],[Räumer alternativ]]="","",Eingabe[[#This Row],[Räumer alternativ]]),SUM(Eingabe[[#This Row],[R1]:[R4]]))</f>
        <v/>
      </c>
      <c r="AE589" s="6" t="str">
        <f>IF(Eingabe[[#This Row],[F1]]="",IF(Eingabe[[#This Row],[Fehler alternativ]]="","",Eingabe[[#This Row],[Fehler alternativ]]),SUM(Eingabe[[#This Row],[F1]:[F4]]))</f>
        <v/>
      </c>
      <c r="AF589" s="6" t="str">
        <f>IF(Eingabe[[#This Row],[Volle]]="","",IF(Eingabe[[#This Row],[S1]]="",Eingabe[[#This Row],[Volle]]+Eingabe[[#This Row],[Räumer]],IF(Eingabe[[#This Row],[Volle]]+Eingabe[[#This Row],[Räumer]]=Eingabe[[#This Row],[S1]]+Eingabe[[#This Row],[S2]]+Eingabe[[#This Row],[S3]]+Eingabe[[#This Row],[S4]],Eingabe[[#This Row],[Volle]]+Eingabe[[#This Row],[Räumer]],"FEHLER")))</f>
        <v/>
      </c>
      <c r="AG589" s="6" t="str">
        <f>IF(Eingabe[[#This Row],[V1]]="","",Eingabe[[#This Row],[V1]]+Eingabe[[#This Row],[R1]])</f>
        <v/>
      </c>
      <c r="AH589" s="6" t="str">
        <f>IF(Eingabe[[#This Row],[V2]]="","",Eingabe[[#This Row],[V2]]+Eingabe[[#This Row],[R2]])</f>
        <v/>
      </c>
      <c r="AI589" s="6" t="str">
        <f>IF(Eingabe[[#This Row],[V3]]="","",Eingabe[[#This Row],[V3]]+Eingabe[[#This Row],[R3]])</f>
        <v/>
      </c>
      <c r="AJ589" s="6" t="str">
        <f>IF(Eingabe[[#This Row],[V4]]="","",Eingabe[[#This Row],[V4]]+Eingabe[[#This Row],[R4]])</f>
        <v/>
      </c>
      <c r="AK589" s="6" t="str">
        <f>IF(Eingabe[[#This Row],[S1P]]="","",Eingabe[[#This Row],[S1P]]+Eingabe[[#This Row],[S2P]]+Eingabe[[#This Row],[S3P]]+Eingabe[[#This Row],[S4P]])</f>
        <v/>
      </c>
      <c r="AL589" s="6" t="str">
        <f>IF(Eingabe[[#This Row],[S1P]]="","",IF(Eingabe[[#This Row],[SP]]&gt;2,1,IF(Eingabe[[#This Row],[SP]]&lt;2,0,IF(Eingabe[[#This Row],[GES]]&gt;Eingabe[[#This Row],[GEGGES]],1,IF(Eingabe[[#This Row],[GES]]=Eingabe[[#This Row],[GEGGES]],0.5,0)))))</f>
        <v/>
      </c>
      <c r="AM589" s="6" t="str">
        <f>IF(Eingabe[[#This Row],[MP]]="","",MOD(ROW(Eingabe[[#This Row],[Position]])-3,6)+1)</f>
        <v/>
      </c>
      <c r="AN589" s="6" t="e">
        <f>STANDARDIZE(Eingabe[[#This Row],[GES]],Eingabe[[#This Row],[Schnitt]],VLOOKUP(Eingabe[[#This Row],[Name]],AuswertungG[],21,FALSE))</f>
        <v>#VALUE!</v>
      </c>
      <c r="AO589" s="6" t="str">
        <f>VLOOKUP(Eingabe[[#This Row],[ID]],Chronologie[[ID]:[KW]],12,FALSE)</f>
        <v/>
      </c>
      <c r="AP589" s="95">
        <f>IF(Eingabe[[#This Row],[Wo]]="H",Eingabe[[#This Row],[Gegner]]&amp;" ["&amp;Eingabe[[#This Row],[Wo]]&amp;"]",Eingabe[[#This Row],[Ort]])</f>
        <v>0</v>
      </c>
      <c r="AQ589" s="6" t="str">
        <f>IFERROR(IF(Eingabe[[#This Row],[Wo]]="H",IF(MOD(Eingabe[[#This Row],[Position]],2)=1,Eingabe[[#This Row],[S1]],Eingabe[[#This Row],[S4]]),""),"")</f>
        <v/>
      </c>
      <c r="AR589" s="6" t="str">
        <f>IFERROR(IF(Eingabe[[#This Row],[Wo]]="H",IF(Eingabe[[#This Row],[S1]]&gt;0,IF(MOD(Eingabe[[#This Row],[Position]],2)=1,Eingabe[[#This Row],[S2]],Eingabe[[#This Row],[S3]]),""),""),"")</f>
        <v/>
      </c>
      <c r="AS589" s="6" t="str">
        <f>IFERROR(IF(Eingabe[[#This Row],[Wo]]="H",IF(Eingabe[[#This Row],[S1]]&gt;0,IF(MOD(ROW(Eingabe[[#This Row],[Heimbahn 3]]),2)=1,Eingabe[[#This Row],[S4]],Eingabe[[#This Row],[S1]]),""),""),"")</f>
        <v/>
      </c>
      <c r="AT589" s="6" t="str">
        <f>IFERROR(IF(Eingabe[[#This Row],[Wo]]="H",IF(Eingabe[[#This Row],[S1]]&gt;0,IF(MOD(ROW(Eingabe[[#This Row],[Heimbahn 4]]),2)=1,Eingabe[[#This Row],[S3]],Eingabe[[#This Row],[S2]]),""),""),"")</f>
        <v/>
      </c>
      <c r="AU589" s="22" t="str">
        <f>IF(Eingabe[[#This Row],[GES]]="","",IF(Eingabe[[#This Row],[Modus]]="L",_xlfn.RANK.EQ(Eingabe[[#This Row],[GES]],AF585:AF590),IF(Eingabe[[#This Row],[Modus]]="P",_xlfn.RANK.EQ(Eingabe[[#This Row],[GES]],AF585:AF590),"")))</f>
        <v/>
      </c>
      <c r="AV589" s="6" t="e">
        <f>VLOOKUP(Eingabe[[#This Row],[Name]],AuswertungG[],8,FALSE)</f>
        <v>#N/A</v>
      </c>
      <c r="AZ589" s="6" t="str">
        <f>IFERROR(ABS(Eingabe[[#This Row],[GES]]-Eingabe[[#This Row],[GEGGES]]),"")</f>
        <v/>
      </c>
    </row>
    <row r="590" spans="1:52" ht="16.2" hidden="1" thickBot="1" x14ac:dyDescent="0.35">
      <c r="A590" s="442"/>
      <c r="B590" s="56">
        <f t="shared" si="54"/>
        <v>98</v>
      </c>
      <c r="C590" s="23">
        <f>VLOOKUP($B590,Chronologie[],7,TRUE)</f>
        <v>0</v>
      </c>
      <c r="D590" s="23">
        <f>VLOOKUP($B590,Chronologie[],8,TRUE)</f>
        <v>0</v>
      </c>
      <c r="E590" s="39">
        <f>VLOOKUP($B590,Chronologie[],9,TRUE)</f>
        <v>0</v>
      </c>
      <c r="F590" s="23">
        <f>VLOOKUP($B590,Chronologie[],COLUMN(F591)-2,TRUE)</f>
        <v>0</v>
      </c>
      <c r="G590" s="23">
        <f>VLOOKUP($B590,Chronologie[],COLUMN(G591)-2,TRUE)</f>
        <v>0</v>
      </c>
      <c r="H590" s="23">
        <f>VLOOKUP($B590,Chronologie[],COLUMN(H591)-2,TRUE)</f>
        <v>0</v>
      </c>
      <c r="I590" s="13" t="str">
        <f>VLOOKUP($B590,Chronologie[],2,TRUE)</f>
        <v>--</v>
      </c>
      <c r="J590" s="244">
        <f>VLOOKUP($B590,Chronologie[],3,TRUE)</f>
        <v>0</v>
      </c>
      <c r="K590" s="239"/>
      <c r="L590" s="239"/>
      <c r="M590" s="239"/>
      <c r="N590" s="239"/>
      <c r="O590" s="239"/>
      <c r="P590" s="239"/>
      <c r="Q590" s="239"/>
      <c r="R590" s="239"/>
      <c r="S590" s="239"/>
      <c r="T590" s="239"/>
      <c r="U590" s="239"/>
      <c r="V590" s="239"/>
      <c r="W590" s="239"/>
      <c r="X590" s="40"/>
      <c r="Y590" s="40"/>
      <c r="Z590" s="40"/>
      <c r="AA590" s="40"/>
      <c r="AB590" s="92"/>
      <c r="AC590" s="96" t="str">
        <f>IF(Eingabe[[#This Row],[V1]]="",IF(Eingabe[[#This Row],[Volle alternativ]]="","",Eingabe[[#This Row],[Volle alternativ]]),SUM(Eingabe[[#This Row],[V1]:[V4]]))</f>
        <v/>
      </c>
      <c r="AD590" s="23" t="str">
        <f>IF(Eingabe[[#This Row],[R1]]="",IF(Eingabe[[#This Row],[Räumer alternativ]]="","",Eingabe[[#This Row],[Räumer alternativ]]),SUM(Eingabe[[#This Row],[R1]:[R4]]))</f>
        <v/>
      </c>
      <c r="AE590" s="23" t="str">
        <f>IF(Eingabe[[#This Row],[F1]]="",IF(Eingabe[[#This Row],[Fehler alternativ]]="","",Eingabe[[#This Row],[Fehler alternativ]]),SUM(Eingabe[[#This Row],[F1]:[F4]]))</f>
        <v/>
      </c>
      <c r="AF590" s="23" t="str">
        <f>IF(Eingabe[[#This Row],[Volle]]="","",IF(Eingabe[[#This Row],[S1]]="",Eingabe[[#This Row],[Volle]]+Eingabe[[#This Row],[Räumer]],IF(Eingabe[[#This Row],[Volle]]+Eingabe[[#This Row],[Räumer]]=Eingabe[[#This Row],[S1]]+Eingabe[[#This Row],[S2]]+Eingabe[[#This Row],[S3]]+Eingabe[[#This Row],[S4]],Eingabe[[#This Row],[Volle]]+Eingabe[[#This Row],[Räumer]],"FEHLER")))</f>
        <v/>
      </c>
      <c r="AG590" s="23" t="str">
        <f>IF(Eingabe[[#This Row],[V1]]="","",Eingabe[[#This Row],[V1]]+Eingabe[[#This Row],[R1]])</f>
        <v/>
      </c>
      <c r="AH590" s="23" t="str">
        <f>IF(Eingabe[[#This Row],[V2]]="","",Eingabe[[#This Row],[V2]]+Eingabe[[#This Row],[R2]])</f>
        <v/>
      </c>
      <c r="AI590" s="23" t="str">
        <f>IF(Eingabe[[#This Row],[V3]]="","",Eingabe[[#This Row],[V3]]+Eingabe[[#This Row],[R3]])</f>
        <v/>
      </c>
      <c r="AJ590" s="23" t="str">
        <f>IF(Eingabe[[#This Row],[V4]]="","",Eingabe[[#This Row],[V4]]+Eingabe[[#This Row],[R4]])</f>
        <v/>
      </c>
      <c r="AK590" s="23" t="str">
        <f>IF(Eingabe[[#This Row],[S1P]]="","",Eingabe[[#This Row],[S1P]]+Eingabe[[#This Row],[S2P]]+Eingabe[[#This Row],[S3P]]+Eingabe[[#This Row],[S4P]])</f>
        <v/>
      </c>
      <c r="AL590" s="23" t="str">
        <f>IF(Eingabe[[#This Row],[S1P]]="","",IF(Eingabe[[#This Row],[SP]]&gt;2,1,IF(Eingabe[[#This Row],[SP]]&lt;2,0,IF(Eingabe[[#This Row],[GES]]&gt;Eingabe[[#This Row],[GEGGES]],1,IF(Eingabe[[#This Row],[GES]]=Eingabe[[#This Row],[GEGGES]],0.5,0)))))</f>
        <v/>
      </c>
      <c r="AM590" s="23" t="str">
        <f>IF(Eingabe[[#This Row],[MP]]="","",MOD(ROW(Eingabe[[#This Row],[Position]])-3,6)+1)</f>
        <v/>
      </c>
      <c r="AN590" s="23" t="e">
        <f>STANDARDIZE(Eingabe[[#This Row],[GES]],Eingabe[[#This Row],[Schnitt]],VLOOKUP(Eingabe[[#This Row],[Name]],AuswertungG[],21,FALSE))</f>
        <v>#VALUE!</v>
      </c>
      <c r="AO590" s="23" t="str">
        <f>VLOOKUP(Eingabe[[#This Row],[ID]],Chronologie[[ID]:[KW]],12,FALSE)</f>
        <v/>
      </c>
      <c r="AP590" s="59">
        <f>IF(Eingabe[[#This Row],[Wo]]="H",Eingabe[[#This Row],[Gegner]]&amp;" ["&amp;Eingabe[[#This Row],[Wo]]&amp;"]",Eingabe[[#This Row],[Ort]])</f>
        <v>0</v>
      </c>
      <c r="AQ590" s="23" t="str">
        <f>IFERROR(IF(Eingabe[[#This Row],[Wo]]="H",IF(MOD(Eingabe[[#This Row],[Position]],2)=1,Eingabe[[#This Row],[S1]],Eingabe[[#This Row],[S4]]),""),"")</f>
        <v/>
      </c>
      <c r="AR590" s="23" t="str">
        <f>IFERROR(IF(Eingabe[[#This Row],[Wo]]="H",IF(Eingabe[[#This Row],[S1]]&gt;0,IF(MOD(Eingabe[[#This Row],[Position]],2)=1,Eingabe[[#This Row],[S2]],Eingabe[[#This Row],[S3]]),""),""),"")</f>
        <v/>
      </c>
      <c r="AS590" s="23" t="str">
        <f>IFERROR(IF(Eingabe[[#This Row],[Wo]]="H",IF(Eingabe[[#This Row],[S1]]&gt;0,IF(MOD(ROW(Eingabe[[#This Row],[Heimbahn 3]]),2)=1,Eingabe[[#This Row],[S4]],Eingabe[[#This Row],[S1]]),""),""),"")</f>
        <v/>
      </c>
      <c r="AT590" s="23" t="str">
        <f>IFERROR(IF(Eingabe[[#This Row],[Wo]]="H",IF(Eingabe[[#This Row],[S1]]&gt;0,IF(MOD(ROW(Eingabe[[#This Row],[Heimbahn 4]]),2)=1,Eingabe[[#This Row],[S3]],Eingabe[[#This Row],[S2]]),""),""),"")</f>
        <v/>
      </c>
      <c r="AU590" s="89" t="str">
        <f>IF(Eingabe[[#This Row],[GES]]="","",IF(Eingabe[[#This Row],[Modus]]="L",_xlfn.RANK.EQ(Eingabe[[#This Row],[GES]],AF585:AF590),IF(Eingabe[[#This Row],[Modus]]="P",_xlfn.RANK.EQ(Eingabe[[#This Row],[GES]],AF585:AF590),"")))</f>
        <v/>
      </c>
      <c r="AV590" s="6" t="e">
        <f>VLOOKUP(Eingabe[[#This Row],[Name]],AuswertungG[],8,FALSE)</f>
        <v>#N/A</v>
      </c>
      <c r="AZ590" s="6" t="str">
        <f>IFERROR(ABS(Eingabe[[#This Row],[GES]]-Eingabe[[#This Row],[GEGGES]]),"")</f>
        <v/>
      </c>
    </row>
    <row r="591" spans="1:52" hidden="1" x14ac:dyDescent="0.3">
      <c r="A591" s="440">
        <f t="shared" si="53"/>
        <v>99</v>
      </c>
      <c r="B591" s="55">
        <f t="shared" si="54"/>
        <v>99</v>
      </c>
      <c r="C591" s="35">
        <f>VLOOKUP($B591,Chronologie[],7,TRUE)</f>
        <v>0</v>
      </c>
      <c r="D591" s="35">
        <f>VLOOKUP($B591,Chronologie[],8,TRUE)</f>
        <v>0</v>
      </c>
      <c r="E591" s="36">
        <f>VLOOKUP($B591,Chronologie[],9,TRUE)</f>
        <v>0</v>
      </c>
      <c r="F591" s="35">
        <f>VLOOKUP($B591,Chronologie[],COLUMN(F592)-2,TRUE)</f>
        <v>0</v>
      </c>
      <c r="G591" s="35">
        <f>VLOOKUP($B591,Chronologie[],COLUMN(G592)-2,TRUE)</f>
        <v>0</v>
      </c>
      <c r="H591" s="35">
        <f>VLOOKUP($B591,Chronologie[],COLUMN(H592)-2,TRUE)</f>
        <v>0</v>
      </c>
      <c r="I591" s="9" t="str">
        <f>VLOOKUP($B591,Chronologie[],2,TRUE)</f>
        <v>--</v>
      </c>
      <c r="J591" s="242">
        <f>VLOOKUP($B591,Chronologie[],3,TRUE)</f>
        <v>0</v>
      </c>
      <c r="K591" s="236"/>
      <c r="L591" s="334"/>
      <c r="M591" s="334"/>
      <c r="N591" s="334"/>
      <c r="O591" s="334"/>
      <c r="P591" s="334"/>
      <c r="Q591" s="334"/>
      <c r="R591" s="334"/>
      <c r="S591" s="334"/>
      <c r="T591" s="334"/>
      <c r="U591" s="334"/>
      <c r="V591" s="334"/>
      <c r="W591" s="334"/>
      <c r="X591" s="37"/>
      <c r="Y591" s="37"/>
      <c r="Z591" s="37"/>
      <c r="AA591" s="37"/>
      <c r="AB591" s="90"/>
      <c r="AC591" s="93" t="str">
        <f>IF(Eingabe[[#This Row],[V1]]="",IF(Eingabe[[#This Row],[Volle alternativ]]="","",Eingabe[[#This Row],[Volle alternativ]]),SUM(Eingabe[[#This Row],[V1]:[V4]]))</f>
        <v/>
      </c>
      <c r="AD591" s="35" t="str">
        <f>IF(Eingabe[[#This Row],[R1]]="",IF(Eingabe[[#This Row],[Räumer alternativ]]="","",Eingabe[[#This Row],[Räumer alternativ]]),SUM(Eingabe[[#This Row],[R1]:[R4]]))</f>
        <v/>
      </c>
      <c r="AE591" s="35" t="str">
        <f>IF(Eingabe[[#This Row],[F1]]="",IF(Eingabe[[#This Row],[Fehler alternativ]]="","",Eingabe[[#This Row],[Fehler alternativ]]),SUM(Eingabe[[#This Row],[F1]:[F4]]))</f>
        <v/>
      </c>
      <c r="AF591" s="35" t="str">
        <f>IF(Eingabe[[#This Row],[Volle]]="","",IF(Eingabe[[#This Row],[S1]]="",Eingabe[[#This Row],[Volle]]+Eingabe[[#This Row],[Räumer]],IF(Eingabe[[#This Row],[Volle]]+Eingabe[[#This Row],[Räumer]]=Eingabe[[#This Row],[S1]]+Eingabe[[#This Row],[S2]]+Eingabe[[#This Row],[S3]]+Eingabe[[#This Row],[S4]],Eingabe[[#This Row],[Volle]]+Eingabe[[#This Row],[Räumer]],"FEHLER")))</f>
        <v/>
      </c>
      <c r="AG591" s="35" t="str">
        <f>IF(Eingabe[[#This Row],[V1]]="","",Eingabe[[#This Row],[V1]]+Eingabe[[#This Row],[R1]])</f>
        <v/>
      </c>
      <c r="AH591" s="35" t="str">
        <f>IF(Eingabe[[#This Row],[V2]]="","",Eingabe[[#This Row],[V2]]+Eingabe[[#This Row],[R2]])</f>
        <v/>
      </c>
      <c r="AI591" s="35" t="str">
        <f>IF(Eingabe[[#This Row],[V3]]="","",Eingabe[[#This Row],[V3]]+Eingabe[[#This Row],[R3]])</f>
        <v/>
      </c>
      <c r="AJ591" s="35" t="str">
        <f>IF(Eingabe[[#This Row],[V4]]="","",Eingabe[[#This Row],[V4]]+Eingabe[[#This Row],[R4]])</f>
        <v/>
      </c>
      <c r="AK591" s="35" t="str">
        <f>IF(Eingabe[[#This Row],[S1P]]="","",Eingabe[[#This Row],[S1P]]+Eingabe[[#This Row],[S2P]]+Eingabe[[#This Row],[S3P]]+Eingabe[[#This Row],[S4P]])</f>
        <v/>
      </c>
      <c r="AL591" s="35" t="str">
        <f>IF(Eingabe[[#This Row],[S1P]]="","",IF(Eingabe[[#This Row],[SP]]&gt;2,1,IF(Eingabe[[#This Row],[SP]]&lt;2,0,IF(Eingabe[[#This Row],[GES]]&gt;Eingabe[[#This Row],[GEGGES]],1,IF(Eingabe[[#This Row],[GES]]=Eingabe[[#This Row],[GEGGES]],0.5,0)))))</f>
        <v/>
      </c>
      <c r="AM591" s="35" t="str">
        <f>IF(Eingabe[[#This Row],[MP]]="","",MOD(ROW(Eingabe[[#This Row],[Position]])-3,6)+1)</f>
        <v/>
      </c>
      <c r="AN591" s="35" t="e">
        <f>STANDARDIZE(Eingabe[[#This Row],[GES]],Eingabe[[#This Row],[Schnitt]],VLOOKUP(Eingabe[[#This Row],[Name]],AuswertungG[],21,FALSE))</f>
        <v>#VALUE!</v>
      </c>
      <c r="AO591" s="35" t="str">
        <f>VLOOKUP(Eingabe[[#This Row],[ID]],Chronologie[[ID]:[KW]],12,FALSE)</f>
        <v/>
      </c>
      <c r="AP591" s="58">
        <f>IF(Eingabe[[#This Row],[Wo]]="H",Eingabe[[#This Row],[Gegner]]&amp;" ["&amp;Eingabe[[#This Row],[Wo]]&amp;"]",Eingabe[[#This Row],[Ort]])</f>
        <v>0</v>
      </c>
      <c r="AQ591" s="35" t="str">
        <f>IFERROR(IF(Eingabe[[#This Row],[Wo]]="H",IF(MOD(Eingabe[[#This Row],[Position]],2)=1,Eingabe[[#This Row],[S1]],Eingabe[[#This Row],[S4]]),""),"")</f>
        <v/>
      </c>
      <c r="AR591" s="35" t="str">
        <f>IFERROR(IF(Eingabe[[#This Row],[Wo]]="H",IF(Eingabe[[#This Row],[S1]]&gt;0,IF(MOD(Eingabe[[#This Row],[Position]],2)=1,Eingabe[[#This Row],[S2]],Eingabe[[#This Row],[S3]]),""),""),"")</f>
        <v/>
      </c>
      <c r="AS591" s="35" t="str">
        <f>IFERROR(IF(Eingabe[[#This Row],[Wo]]="H",IF(Eingabe[[#This Row],[S1]]&gt;0,IF(MOD(ROW(Eingabe[[#This Row],[Heimbahn 3]]),2)=1,Eingabe[[#This Row],[S4]],Eingabe[[#This Row],[S1]]),""),""),"")</f>
        <v/>
      </c>
      <c r="AT591" s="35" t="str">
        <f>IFERROR(IF(Eingabe[[#This Row],[Wo]]="H",IF(Eingabe[[#This Row],[S1]]&gt;0,IF(MOD(ROW(Eingabe[[#This Row],[Heimbahn 4]]),2)=1,Eingabe[[#This Row],[S3]],Eingabe[[#This Row],[S2]]),""),""),"")</f>
        <v/>
      </c>
      <c r="AU591" s="88" t="str">
        <f>IF(Eingabe[[#This Row],[GES]]="","",IF(Eingabe[[#This Row],[Modus]]="L",_xlfn.RANK.EQ(Eingabe[[#This Row],[GES]],AF591:AF596),IF(Eingabe[[#This Row],[Modus]]="P",_xlfn.RANK.EQ(Eingabe[[#This Row],[GES]],AF591:AF596),"")))</f>
        <v/>
      </c>
      <c r="AV591" s="6" t="e">
        <f>VLOOKUP(Eingabe[[#This Row],[Name]],AuswertungG[],8,FALSE)</f>
        <v>#N/A</v>
      </c>
      <c r="AZ591" s="6" t="str">
        <f>IFERROR(ABS(Eingabe[[#This Row],[GES]]-Eingabe[[#This Row],[GEGGES]]),"")</f>
        <v/>
      </c>
    </row>
    <row r="592" spans="1:52" hidden="1" x14ac:dyDescent="0.3">
      <c r="A592" s="441"/>
      <c r="B592" s="21">
        <f t="shared" si="54"/>
        <v>99</v>
      </c>
      <c r="C592" s="6">
        <f>VLOOKUP($B592,Chronologie[],7,TRUE)</f>
        <v>0</v>
      </c>
      <c r="D592" s="6">
        <f>VLOOKUP($B592,Chronologie[],8,TRUE)</f>
        <v>0</v>
      </c>
      <c r="E592" s="240">
        <f>VLOOKUP($B592,Chronologie[],9,TRUE)</f>
        <v>0</v>
      </c>
      <c r="F592" s="6">
        <f>VLOOKUP($B592,Chronologie[],COLUMN(F593)-2,TRUE)</f>
        <v>0</v>
      </c>
      <c r="G592" s="6">
        <f>VLOOKUP($B592,Chronologie[],COLUMN(G593)-2,TRUE)</f>
        <v>0</v>
      </c>
      <c r="H592" s="6">
        <f>VLOOKUP($B592,Chronologie[],COLUMN(H593)-2,TRUE)</f>
        <v>0</v>
      </c>
      <c r="I592" s="10" t="str">
        <f>VLOOKUP($B592,Chronologie[],2,TRUE)</f>
        <v>--</v>
      </c>
      <c r="J592" s="243">
        <f>VLOOKUP($B592,Chronologie[],3,TRUE)</f>
        <v>0</v>
      </c>
      <c r="K592" s="237"/>
      <c r="L592" s="237"/>
      <c r="M592" s="237"/>
      <c r="N592" s="237"/>
      <c r="O592" s="237"/>
      <c r="P592" s="237"/>
      <c r="Q592" s="237"/>
      <c r="R592" s="237"/>
      <c r="S592" s="237"/>
      <c r="T592" s="237"/>
      <c r="U592" s="237"/>
      <c r="V592" s="237"/>
      <c r="W592" s="237"/>
      <c r="X592" s="38"/>
      <c r="Y592" s="38"/>
      <c r="Z592" s="38"/>
      <c r="AA592" s="38"/>
      <c r="AB592" s="91"/>
      <c r="AC592" s="94" t="str">
        <f>IF(Eingabe[[#This Row],[V1]]="",IF(Eingabe[[#This Row],[Volle alternativ]]="","",Eingabe[[#This Row],[Volle alternativ]]),SUM(Eingabe[[#This Row],[V1]:[V4]]))</f>
        <v/>
      </c>
      <c r="AD592" s="6" t="str">
        <f>IF(Eingabe[[#This Row],[R1]]="",IF(Eingabe[[#This Row],[Räumer alternativ]]="","",Eingabe[[#This Row],[Räumer alternativ]]),SUM(Eingabe[[#This Row],[R1]:[R4]]))</f>
        <v/>
      </c>
      <c r="AE592" s="6" t="str">
        <f>IF(Eingabe[[#This Row],[F1]]="",IF(Eingabe[[#This Row],[Fehler alternativ]]="","",Eingabe[[#This Row],[Fehler alternativ]]),SUM(Eingabe[[#This Row],[F1]:[F4]]))</f>
        <v/>
      </c>
      <c r="AF592" s="6" t="str">
        <f>IF(Eingabe[[#This Row],[Volle]]="","",IF(Eingabe[[#This Row],[S1]]="",Eingabe[[#This Row],[Volle]]+Eingabe[[#This Row],[Räumer]],IF(Eingabe[[#This Row],[Volle]]+Eingabe[[#This Row],[Räumer]]=Eingabe[[#This Row],[S1]]+Eingabe[[#This Row],[S2]]+Eingabe[[#This Row],[S3]]+Eingabe[[#This Row],[S4]],Eingabe[[#This Row],[Volle]]+Eingabe[[#This Row],[Räumer]],"FEHLER")))</f>
        <v/>
      </c>
      <c r="AG592" s="6" t="str">
        <f>IF(Eingabe[[#This Row],[V1]]="","",Eingabe[[#This Row],[V1]]+Eingabe[[#This Row],[R1]])</f>
        <v/>
      </c>
      <c r="AH592" s="6" t="str">
        <f>IF(Eingabe[[#This Row],[V2]]="","",Eingabe[[#This Row],[V2]]+Eingabe[[#This Row],[R2]])</f>
        <v/>
      </c>
      <c r="AI592" s="6" t="str">
        <f>IF(Eingabe[[#This Row],[V3]]="","",Eingabe[[#This Row],[V3]]+Eingabe[[#This Row],[R3]])</f>
        <v/>
      </c>
      <c r="AJ592" s="6" t="str">
        <f>IF(Eingabe[[#This Row],[V4]]="","",Eingabe[[#This Row],[V4]]+Eingabe[[#This Row],[R4]])</f>
        <v/>
      </c>
      <c r="AK592" s="6" t="str">
        <f>IF(Eingabe[[#This Row],[S1P]]="","",Eingabe[[#This Row],[S1P]]+Eingabe[[#This Row],[S2P]]+Eingabe[[#This Row],[S3P]]+Eingabe[[#This Row],[S4P]])</f>
        <v/>
      </c>
      <c r="AL592" s="6" t="str">
        <f>IF(Eingabe[[#This Row],[S1P]]="","",IF(Eingabe[[#This Row],[SP]]&gt;2,1,IF(Eingabe[[#This Row],[SP]]&lt;2,0,IF(Eingabe[[#This Row],[GES]]&gt;Eingabe[[#This Row],[GEGGES]],1,IF(Eingabe[[#This Row],[GES]]=Eingabe[[#This Row],[GEGGES]],0.5,0)))))</f>
        <v/>
      </c>
      <c r="AM592" s="6" t="str">
        <f>IF(Eingabe[[#This Row],[MP]]="","",MOD(ROW(Eingabe[[#This Row],[Position]])-3,6)+1)</f>
        <v/>
      </c>
      <c r="AN592" s="6" t="e">
        <f>STANDARDIZE(Eingabe[[#This Row],[GES]],Eingabe[[#This Row],[Schnitt]],VLOOKUP(Eingabe[[#This Row],[Name]],AuswertungG[],21,FALSE))</f>
        <v>#VALUE!</v>
      </c>
      <c r="AO592" s="6" t="str">
        <f>VLOOKUP(Eingabe[[#This Row],[ID]],Chronologie[[ID]:[KW]],12,FALSE)</f>
        <v/>
      </c>
      <c r="AP592" s="95">
        <f>IF(Eingabe[[#This Row],[Wo]]="H",Eingabe[[#This Row],[Gegner]]&amp;" ["&amp;Eingabe[[#This Row],[Wo]]&amp;"]",Eingabe[[#This Row],[Ort]])</f>
        <v>0</v>
      </c>
      <c r="AQ592" s="6" t="str">
        <f>IFERROR(IF(Eingabe[[#This Row],[Wo]]="H",IF(MOD(Eingabe[[#This Row],[Position]],2)=1,Eingabe[[#This Row],[S1]],Eingabe[[#This Row],[S4]]),""),"")</f>
        <v/>
      </c>
      <c r="AR592" s="6" t="str">
        <f>IFERROR(IF(Eingabe[[#This Row],[Wo]]="H",IF(Eingabe[[#This Row],[S1]]&gt;0,IF(MOD(Eingabe[[#This Row],[Position]],2)=1,Eingabe[[#This Row],[S2]],Eingabe[[#This Row],[S3]]),""),""),"")</f>
        <v/>
      </c>
      <c r="AS592" s="6" t="str">
        <f>IFERROR(IF(Eingabe[[#This Row],[Wo]]="H",IF(Eingabe[[#This Row],[S1]]&gt;0,IF(MOD(ROW(Eingabe[[#This Row],[Heimbahn 3]]),2)=1,Eingabe[[#This Row],[S4]],Eingabe[[#This Row],[S1]]),""),""),"")</f>
        <v/>
      </c>
      <c r="AT592" s="6" t="str">
        <f>IFERROR(IF(Eingabe[[#This Row],[Wo]]="H",IF(Eingabe[[#This Row],[S1]]&gt;0,IF(MOD(ROW(Eingabe[[#This Row],[Heimbahn 4]]),2)=1,Eingabe[[#This Row],[S3]],Eingabe[[#This Row],[S2]]),""),""),"")</f>
        <v/>
      </c>
      <c r="AU592" s="22" t="str">
        <f>IF(Eingabe[[#This Row],[GES]]="","",IF(Eingabe[[#This Row],[Modus]]="L",_xlfn.RANK.EQ(Eingabe[[#This Row],[GES]],AF591:AF596),IF(Eingabe[[#This Row],[Modus]]="P",_xlfn.RANK.EQ(Eingabe[[#This Row],[GES]],AF591:AF596),"")))</f>
        <v/>
      </c>
      <c r="AV592" s="6" t="e">
        <f>VLOOKUP(Eingabe[[#This Row],[Name]],AuswertungG[],8,FALSE)</f>
        <v>#N/A</v>
      </c>
      <c r="AZ592" s="6" t="str">
        <f>IFERROR(ABS(Eingabe[[#This Row],[GES]]-Eingabe[[#This Row],[GEGGES]]),"")</f>
        <v/>
      </c>
    </row>
    <row r="593" spans="1:52" hidden="1" x14ac:dyDescent="0.3">
      <c r="A593" s="441"/>
      <c r="B593" s="21">
        <f t="shared" si="54"/>
        <v>99</v>
      </c>
      <c r="C593" s="6">
        <f>VLOOKUP($B593,Chronologie[],7,TRUE)</f>
        <v>0</v>
      </c>
      <c r="D593" s="6">
        <f>VLOOKUP($B593,Chronologie[],8,TRUE)</f>
        <v>0</v>
      </c>
      <c r="E593" s="240">
        <f>VLOOKUP($B593,Chronologie[],9,TRUE)</f>
        <v>0</v>
      </c>
      <c r="F593" s="6">
        <f>VLOOKUP($B593,Chronologie[],COLUMN(F594)-2,TRUE)</f>
        <v>0</v>
      </c>
      <c r="G593" s="6">
        <f>VLOOKUP($B593,Chronologie[],COLUMN(G594)-2,TRUE)</f>
        <v>0</v>
      </c>
      <c r="H593" s="6">
        <f>VLOOKUP($B593,Chronologie[],COLUMN(H594)-2,TRUE)</f>
        <v>0</v>
      </c>
      <c r="I593" s="10" t="str">
        <f>VLOOKUP($B593,Chronologie[],2,TRUE)</f>
        <v>--</v>
      </c>
      <c r="J593" s="243">
        <f>VLOOKUP($B593,Chronologie[],3,TRUE)</f>
        <v>0</v>
      </c>
      <c r="K593" s="237"/>
      <c r="L593" s="237"/>
      <c r="M593" s="237"/>
      <c r="N593" s="237"/>
      <c r="O593" s="237"/>
      <c r="P593" s="237"/>
      <c r="Q593" s="237"/>
      <c r="R593" s="237"/>
      <c r="S593" s="237"/>
      <c r="T593" s="237"/>
      <c r="U593" s="237"/>
      <c r="V593" s="237"/>
      <c r="W593" s="237"/>
      <c r="X593" s="38"/>
      <c r="Y593" s="38"/>
      <c r="Z593" s="38"/>
      <c r="AA593" s="38"/>
      <c r="AB593" s="91"/>
      <c r="AC593" s="94" t="str">
        <f>IF(Eingabe[[#This Row],[V1]]="",IF(Eingabe[[#This Row],[Volle alternativ]]="","",Eingabe[[#This Row],[Volle alternativ]]),SUM(Eingabe[[#This Row],[V1]:[V4]]))</f>
        <v/>
      </c>
      <c r="AD593" s="6" t="str">
        <f>IF(Eingabe[[#This Row],[R1]]="",IF(Eingabe[[#This Row],[Räumer alternativ]]="","",Eingabe[[#This Row],[Räumer alternativ]]),SUM(Eingabe[[#This Row],[R1]:[R4]]))</f>
        <v/>
      </c>
      <c r="AE593" s="6" t="str">
        <f>IF(Eingabe[[#This Row],[F1]]="",IF(Eingabe[[#This Row],[Fehler alternativ]]="","",Eingabe[[#This Row],[Fehler alternativ]]),SUM(Eingabe[[#This Row],[F1]:[F4]]))</f>
        <v/>
      </c>
      <c r="AF593" s="6" t="str">
        <f>IF(Eingabe[[#This Row],[Volle]]="","",IF(Eingabe[[#This Row],[S1]]="",Eingabe[[#This Row],[Volle]]+Eingabe[[#This Row],[Räumer]],IF(Eingabe[[#This Row],[Volle]]+Eingabe[[#This Row],[Räumer]]=Eingabe[[#This Row],[S1]]+Eingabe[[#This Row],[S2]]+Eingabe[[#This Row],[S3]]+Eingabe[[#This Row],[S4]],Eingabe[[#This Row],[Volle]]+Eingabe[[#This Row],[Räumer]],"FEHLER")))</f>
        <v/>
      </c>
      <c r="AG593" s="6" t="str">
        <f>IF(Eingabe[[#This Row],[V1]]="","",Eingabe[[#This Row],[V1]]+Eingabe[[#This Row],[R1]])</f>
        <v/>
      </c>
      <c r="AH593" s="6" t="str">
        <f>IF(Eingabe[[#This Row],[V2]]="","",Eingabe[[#This Row],[V2]]+Eingabe[[#This Row],[R2]])</f>
        <v/>
      </c>
      <c r="AI593" s="6" t="str">
        <f>IF(Eingabe[[#This Row],[V3]]="","",Eingabe[[#This Row],[V3]]+Eingabe[[#This Row],[R3]])</f>
        <v/>
      </c>
      <c r="AJ593" s="6" t="str">
        <f>IF(Eingabe[[#This Row],[V4]]="","",Eingabe[[#This Row],[V4]]+Eingabe[[#This Row],[R4]])</f>
        <v/>
      </c>
      <c r="AK593" s="6" t="str">
        <f>IF(Eingabe[[#This Row],[S1P]]="","",Eingabe[[#This Row],[S1P]]+Eingabe[[#This Row],[S2P]]+Eingabe[[#This Row],[S3P]]+Eingabe[[#This Row],[S4P]])</f>
        <v/>
      </c>
      <c r="AL593" s="6" t="str">
        <f>IF(Eingabe[[#This Row],[S1P]]="","",IF(Eingabe[[#This Row],[SP]]&gt;2,1,IF(Eingabe[[#This Row],[SP]]&lt;2,0,IF(Eingabe[[#This Row],[GES]]&gt;Eingabe[[#This Row],[GEGGES]],1,IF(Eingabe[[#This Row],[GES]]=Eingabe[[#This Row],[GEGGES]],0.5,0)))))</f>
        <v/>
      </c>
      <c r="AM593" s="6" t="str">
        <f>IF(Eingabe[[#This Row],[MP]]="","",MOD(ROW(Eingabe[[#This Row],[Position]])-3,6)+1)</f>
        <v/>
      </c>
      <c r="AN593" s="6" t="e">
        <f>STANDARDIZE(Eingabe[[#This Row],[GES]],Eingabe[[#This Row],[Schnitt]],VLOOKUP(Eingabe[[#This Row],[Name]],AuswertungG[],21,FALSE))</f>
        <v>#VALUE!</v>
      </c>
      <c r="AO593" s="6" t="str">
        <f>VLOOKUP(Eingabe[[#This Row],[ID]],Chronologie[[ID]:[KW]],12,FALSE)</f>
        <v/>
      </c>
      <c r="AP593" s="95">
        <f>IF(Eingabe[[#This Row],[Wo]]="H",Eingabe[[#This Row],[Gegner]]&amp;" ["&amp;Eingabe[[#This Row],[Wo]]&amp;"]",Eingabe[[#This Row],[Ort]])</f>
        <v>0</v>
      </c>
      <c r="AQ593" s="6" t="str">
        <f>IFERROR(IF(Eingabe[[#This Row],[Wo]]="H",IF(MOD(Eingabe[[#This Row],[Position]],2)=1,Eingabe[[#This Row],[S1]],Eingabe[[#This Row],[S4]]),""),"")</f>
        <v/>
      </c>
      <c r="AR593" s="6" t="str">
        <f>IFERROR(IF(Eingabe[[#This Row],[Wo]]="H",IF(Eingabe[[#This Row],[S1]]&gt;0,IF(MOD(Eingabe[[#This Row],[Position]],2)=1,Eingabe[[#This Row],[S2]],Eingabe[[#This Row],[S3]]),""),""),"")</f>
        <v/>
      </c>
      <c r="AS593" s="6" t="str">
        <f>IFERROR(IF(Eingabe[[#This Row],[Wo]]="H",IF(Eingabe[[#This Row],[S1]]&gt;0,IF(MOD(ROW(Eingabe[[#This Row],[Heimbahn 3]]),2)=1,Eingabe[[#This Row],[S4]],Eingabe[[#This Row],[S1]]),""),""),"")</f>
        <v/>
      </c>
      <c r="AT593" s="6" t="str">
        <f>IFERROR(IF(Eingabe[[#This Row],[Wo]]="H",IF(Eingabe[[#This Row],[S1]]&gt;0,IF(MOD(ROW(Eingabe[[#This Row],[Heimbahn 4]]),2)=1,Eingabe[[#This Row],[S3]],Eingabe[[#This Row],[S2]]),""),""),"")</f>
        <v/>
      </c>
      <c r="AU593" s="22" t="str">
        <f>IF(Eingabe[[#This Row],[GES]]="","",IF(Eingabe[[#This Row],[Modus]]="L",_xlfn.RANK.EQ(Eingabe[[#This Row],[GES]],AF591:AF596),IF(Eingabe[[#This Row],[Modus]]="P",_xlfn.RANK.EQ(Eingabe[[#This Row],[GES]],AF591:AF596),"")))</f>
        <v/>
      </c>
      <c r="AV593" s="6" t="e">
        <f>VLOOKUP(Eingabe[[#This Row],[Name]],AuswertungG[],8,FALSE)</f>
        <v>#N/A</v>
      </c>
      <c r="AZ593" s="6" t="str">
        <f>IFERROR(ABS(Eingabe[[#This Row],[GES]]-Eingabe[[#This Row],[GEGGES]]),"")</f>
        <v/>
      </c>
    </row>
    <row r="594" spans="1:52" hidden="1" x14ac:dyDescent="0.3">
      <c r="A594" s="441"/>
      <c r="B594" s="21">
        <f t="shared" si="54"/>
        <v>99</v>
      </c>
      <c r="C594" s="6">
        <f>VLOOKUP($B594,Chronologie[],7,TRUE)</f>
        <v>0</v>
      </c>
      <c r="D594" s="6">
        <f>VLOOKUP($B594,Chronologie[],8,TRUE)</f>
        <v>0</v>
      </c>
      <c r="E594" s="240">
        <f>VLOOKUP($B594,Chronologie[],9,TRUE)</f>
        <v>0</v>
      </c>
      <c r="F594" s="6">
        <f>VLOOKUP($B594,Chronologie[],COLUMN(F595)-2,TRUE)</f>
        <v>0</v>
      </c>
      <c r="G594" s="6">
        <f>VLOOKUP($B594,Chronologie[],COLUMN(G595)-2,TRUE)</f>
        <v>0</v>
      </c>
      <c r="H594" s="6">
        <f>VLOOKUP($B594,Chronologie[],COLUMN(H595)-2,TRUE)</f>
        <v>0</v>
      </c>
      <c r="I594" s="10" t="str">
        <f>VLOOKUP($B594,Chronologie[],2,TRUE)</f>
        <v>--</v>
      </c>
      <c r="J594" s="243">
        <f>VLOOKUP($B594,Chronologie[],3,TRUE)</f>
        <v>0</v>
      </c>
      <c r="K594" s="238"/>
      <c r="L594" s="237"/>
      <c r="M594" s="237"/>
      <c r="N594" s="237"/>
      <c r="O594" s="237"/>
      <c r="P594" s="237"/>
      <c r="Q594" s="237"/>
      <c r="R594" s="237"/>
      <c r="S594" s="237"/>
      <c r="T594" s="237"/>
      <c r="U594" s="237"/>
      <c r="V594" s="237"/>
      <c r="W594" s="237"/>
      <c r="X594" s="38"/>
      <c r="Y594" s="38"/>
      <c r="Z594" s="38"/>
      <c r="AA594" s="38"/>
      <c r="AB594" s="91"/>
      <c r="AC594" s="94" t="str">
        <f>IF(Eingabe[[#This Row],[V1]]="",IF(Eingabe[[#This Row],[Volle alternativ]]="","",Eingabe[[#This Row],[Volle alternativ]]),SUM(Eingabe[[#This Row],[V1]:[V4]]))</f>
        <v/>
      </c>
      <c r="AD594" s="6" t="str">
        <f>IF(Eingabe[[#This Row],[R1]]="",IF(Eingabe[[#This Row],[Räumer alternativ]]="","",Eingabe[[#This Row],[Räumer alternativ]]),SUM(Eingabe[[#This Row],[R1]:[R4]]))</f>
        <v/>
      </c>
      <c r="AE594" s="6" t="str">
        <f>IF(Eingabe[[#This Row],[F1]]="",IF(Eingabe[[#This Row],[Fehler alternativ]]="","",Eingabe[[#This Row],[Fehler alternativ]]),SUM(Eingabe[[#This Row],[F1]:[F4]]))</f>
        <v/>
      </c>
      <c r="AF594" s="6" t="str">
        <f>IF(Eingabe[[#This Row],[Volle]]="","",IF(Eingabe[[#This Row],[S1]]="",Eingabe[[#This Row],[Volle]]+Eingabe[[#This Row],[Räumer]],IF(Eingabe[[#This Row],[Volle]]+Eingabe[[#This Row],[Räumer]]=Eingabe[[#This Row],[S1]]+Eingabe[[#This Row],[S2]]+Eingabe[[#This Row],[S3]]+Eingabe[[#This Row],[S4]],Eingabe[[#This Row],[Volle]]+Eingabe[[#This Row],[Räumer]],"FEHLER")))</f>
        <v/>
      </c>
      <c r="AG594" s="6" t="str">
        <f>IF(Eingabe[[#This Row],[V1]]="","",Eingabe[[#This Row],[V1]]+Eingabe[[#This Row],[R1]])</f>
        <v/>
      </c>
      <c r="AH594" s="6" t="str">
        <f>IF(Eingabe[[#This Row],[V2]]="","",Eingabe[[#This Row],[V2]]+Eingabe[[#This Row],[R2]])</f>
        <v/>
      </c>
      <c r="AI594" s="6" t="str">
        <f>IF(Eingabe[[#This Row],[V3]]="","",Eingabe[[#This Row],[V3]]+Eingabe[[#This Row],[R3]])</f>
        <v/>
      </c>
      <c r="AJ594" s="6" t="str">
        <f>IF(Eingabe[[#This Row],[V4]]="","",Eingabe[[#This Row],[V4]]+Eingabe[[#This Row],[R4]])</f>
        <v/>
      </c>
      <c r="AK594" s="6" t="str">
        <f>IF(Eingabe[[#This Row],[S1P]]="","",Eingabe[[#This Row],[S1P]]+Eingabe[[#This Row],[S2P]]+Eingabe[[#This Row],[S3P]]+Eingabe[[#This Row],[S4P]])</f>
        <v/>
      </c>
      <c r="AL594" s="6" t="str">
        <f>IF(Eingabe[[#This Row],[S1P]]="","",IF(Eingabe[[#This Row],[SP]]&gt;2,1,IF(Eingabe[[#This Row],[SP]]&lt;2,0,IF(Eingabe[[#This Row],[GES]]&gt;Eingabe[[#This Row],[GEGGES]],1,IF(Eingabe[[#This Row],[GES]]=Eingabe[[#This Row],[GEGGES]],0.5,0)))))</f>
        <v/>
      </c>
      <c r="AM594" s="6" t="str">
        <f>IF(Eingabe[[#This Row],[MP]]="","",MOD(ROW(Eingabe[[#This Row],[Position]])-3,6)+1)</f>
        <v/>
      </c>
      <c r="AN594" s="6" t="e">
        <f>STANDARDIZE(Eingabe[[#This Row],[GES]],Eingabe[[#This Row],[Schnitt]],VLOOKUP(Eingabe[[#This Row],[Name]],AuswertungG[],21,FALSE))</f>
        <v>#VALUE!</v>
      </c>
      <c r="AO594" s="6" t="str">
        <f>VLOOKUP(Eingabe[[#This Row],[ID]],Chronologie[[ID]:[KW]],12,FALSE)</f>
        <v/>
      </c>
      <c r="AP594" s="95">
        <f>IF(Eingabe[[#This Row],[Wo]]="H",Eingabe[[#This Row],[Gegner]]&amp;" ["&amp;Eingabe[[#This Row],[Wo]]&amp;"]",Eingabe[[#This Row],[Ort]])</f>
        <v>0</v>
      </c>
      <c r="AQ594" s="6" t="str">
        <f>IFERROR(IF(Eingabe[[#This Row],[Wo]]="H",IF(MOD(Eingabe[[#This Row],[Position]],2)=1,Eingabe[[#This Row],[S1]],Eingabe[[#This Row],[S4]]),""),"")</f>
        <v/>
      </c>
      <c r="AR594" s="6" t="str">
        <f>IFERROR(IF(Eingabe[[#This Row],[Wo]]="H",IF(Eingabe[[#This Row],[S1]]&gt;0,IF(MOD(Eingabe[[#This Row],[Position]],2)=1,Eingabe[[#This Row],[S2]],Eingabe[[#This Row],[S3]]),""),""),"")</f>
        <v/>
      </c>
      <c r="AS594" s="6" t="str">
        <f>IFERROR(IF(Eingabe[[#This Row],[Wo]]="H",IF(Eingabe[[#This Row],[S1]]&gt;0,IF(MOD(ROW(Eingabe[[#This Row],[Heimbahn 3]]),2)=1,Eingabe[[#This Row],[S4]],Eingabe[[#This Row],[S1]]),""),""),"")</f>
        <v/>
      </c>
      <c r="AT594" s="6" t="str">
        <f>IFERROR(IF(Eingabe[[#This Row],[Wo]]="H",IF(Eingabe[[#This Row],[S1]]&gt;0,IF(MOD(ROW(Eingabe[[#This Row],[Heimbahn 4]]),2)=1,Eingabe[[#This Row],[S3]],Eingabe[[#This Row],[S2]]),""),""),"")</f>
        <v/>
      </c>
      <c r="AU594" s="22" t="str">
        <f>IF(Eingabe[[#This Row],[GES]]="","",IF(Eingabe[[#This Row],[Modus]]="L",_xlfn.RANK.EQ(Eingabe[[#This Row],[GES]],AF591:AF596),IF(Eingabe[[#This Row],[Modus]]="P",_xlfn.RANK.EQ(Eingabe[[#This Row],[GES]],AF591:AF596),"")))</f>
        <v/>
      </c>
      <c r="AV594" s="6" t="e">
        <f>VLOOKUP(Eingabe[[#This Row],[Name]],AuswertungG[],8,FALSE)</f>
        <v>#N/A</v>
      </c>
      <c r="AZ594" s="6" t="str">
        <f>IFERROR(ABS(Eingabe[[#This Row],[GES]]-Eingabe[[#This Row],[GEGGES]]),"")</f>
        <v/>
      </c>
    </row>
    <row r="595" spans="1:52" hidden="1" x14ac:dyDescent="0.3">
      <c r="A595" s="441"/>
      <c r="B595" s="21">
        <f t="shared" si="54"/>
        <v>99</v>
      </c>
      <c r="C595" s="6">
        <f>VLOOKUP($B595,Chronologie[],7,TRUE)</f>
        <v>0</v>
      </c>
      <c r="D595" s="6">
        <f>VLOOKUP($B595,Chronologie[],8,TRUE)</f>
        <v>0</v>
      </c>
      <c r="E595" s="240">
        <f>VLOOKUP($B595,Chronologie[],9,TRUE)</f>
        <v>0</v>
      </c>
      <c r="F595" s="6">
        <f>VLOOKUP($B595,Chronologie[],COLUMN(F596)-2,TRUE)</f>
        <v>0</v>
      </c>
      <c r="G595" s="6">
        <f>VLOOKUP($B595,Chronologie[],COLUMN(G596)-2,TRUE)</f>
        <v>0</v>
      </c>
      <c r="H595" s="6">
        <f>VLOOKUP($B595,Chronologie[],COLUMN(H596)-2,TRUE)</f>
        <v>0</v>
      </c>
      <c r="I595" s="10" t="str">
        <f>VLOOKUP($B595,Chronologie[],2,TRUE)</f>
        <v>--</v>
      </c>
      <c r="J595" s="243">
        <f>VLOOKUP($B595,Chronologie[],3,TRUE)</f>
        <v>0</v>
      </c>
      <c r="K595" s="237"/>
      <c r="L595" s="237"/>
      <c r="M595" s="237"/>
      <c r="N595" s="237"/>
      <c r="O595" s="237"/>
      <c r="P595" s="237"/>
      <c r="Q595" s="237"/>
      <c r="R595" s="237"/>
      <c r="S595" s="237"/>
      <c r="T595" s="237"/>
      <c r="U595" s="237"/>
      <c r="V595" s="237"/>
      <c r="W595" s="237"/>
      <c r="X595" s="38"/>
      <c r="Y595" s="38"/>
      <c r="Z595" s="38"/>
      <c r="AA595" s="38"/>
      <c r="AB595" s="91"/>
      <c r="AC595" s="94" t="str">
        <f>IF(Eingabe[[#This Row],[V1]]="",IF(Eingabe[[#This Row],[Volle alternativ]]="","",Eingabe[[#This Row],[Volle alternativ]]),SUM(Eingabe[[#This Row],[V1]:[V4]]))</f>
        <v/>
      </c>
      <c r="AD595" s="6" t="str">
        <f>IF(Eingabe[[#This Row],[R1]]="",IF(Eingabe[[#This Row],[Räumer alternativ]]="","",Eingabe[[#This Row],[Räumer alternativ]]),SUM(Eingabe[[#This Row],[R1]:[R4]]))</f>
        <v/>
      </c>
      <c r="AE595" s="6" t="str">
        <f>IF(Eingabe[[#This Row],[F1]]="",IF(Eingabe[[#This Row],[Fehler alternativ]]="","",Eingabe[[#This Row],[Fehler alternativ]]),SUM(Eingabe[[#This Row],[F1]:[F4]]))</f>
        <v/>
      </c>
      <c r="AF595" s="6" t="str">
        <f>IF(Eingabe[[#This Row],[Volle]]="","",IF(Eingabe[[#This Row],[S1]]="",Eingabe[[#This Row],[Volle]]+Eingabe[[#This Row],[Räumer]],IF(Eingabe[[#This Row],[Volle]]+Eingabe[[#This Row],[Räumer]]=Eingabe[[#This Row],[S1]]+Eingabe[[#This Row],[S2]]+Eingabe[[#This Row],[S3]]+Eingabe[[#This Row],[S4]],Eingabe[[#This Row],[Volle]]+Eingabe[[#This Row],[Räumer]],"FEHLER")))</f>
        <v/>
      </c>
      <c r="AG595" s="6" t="str">
        <f>IF(Eingabe[[#This Row],[V1]]="","",Eingabe[[#This Row],[V1]]+Eingabe[[#This Row],[R1]])</f>
        <v/>
      </c>
      <c r="AH595" s="6" t="str">
        <f>IF(Eingabe[[#This Row],[V2]]="","",Eingabe[[#This Row],[V2]]+Eingabe[[#This Row],[R2]])</f>
        <v/>
      </c>
      <c r="AI595" s="6" t="str">
        <f>IF(Eingabe[[#This Row],[V3]]="","",Eingabe[[#This Row],[V3]]+Eingabe[[#This Row],[R3]])</f>
        <v/>
      </c>
      <c r="AJ595" s="6" t="str">
        <f>IF(Eingabe[[#This Row],[V4]]="","",Eingabe[[#This Row],[V4]]+Eingabe[[#This Row],[R4]])</f>
        <v/>
      </c>
      <c r="AK595" s="6" t="str">
        <f>IF(Eingabe[[#This Row],[S1P]]="","",Eingabe[[#This Row],[S1P]]+Eingabe[[#This Row],[S2P]]+Eingabe[[#This Row],[S3P]]+Eingabe[[#This Row],[S4P]])</f>
        <v/>
      </c>
      <c r="AL595" s="6" t="str">
        <f>IF(Eingabe[[#This Row],[S1P]]="","",IF(Eingabe[[#This Row],[SP]]&gt;2,1,IF(Eingabe[[#This Row],[SP]]&lt;2,0,IF(Eingabe[[#This Row],[GES]]&gt;Eingabe[[#This Row],[GEGGES]],1,IF(Eingabe[[#This Row],[GES]]=Eingabe[[#This Row],[GEGGES]],0.5,0)))))</f>
        <v/>
      </c>
      <c r="AM595" s="6" t="str">
        <f>IF(Eingabe[[#This Row],[MP]]="","",MOD(ROW(Eingabe[[#This Row],[Position]])-3,6)+1)</f>
        <v/>
      </c>
      <c r="AN595" s="6" t="e">
        <f>STANDARDIZE(Eingabe[[#This Row],[GES]],Eingabe[[#This Row],[Schnitt]],VLOOKUP(Eingabe[[#This Row],[Name]],AuswertungG[],21,FALSE))</f>
        <v>#VALUE!</v>
      </c>
      <c r="AO595" s="6" t="str">
        <f>VLOOKUP(Eingabe[[#This Row],[ID]],Chronologie[[ID]:[KW]],12,FALSE)</f>
        <v/>
      </c>
      <c r="AP595" s="95">
        <f>IF(Eingabe[[#This Row],[Wo]]="H",Eingabe[[#This Row],[Gegner]]&amp;" ["&amp;Eingabe[[#This Row],[Wo]]&amp;"]",Eingabe[[#This Row],[Ort]])</f>
        <v>0</v>
      </c>
      <c r="AQ595" s="6" t="str">
        <f>IFERROR(IF(Eingabe[[#This Row],[Wo]]="H",IF(MOD(Eingabe[[#This Row],[Position]],2)=1,Eingabe[[#This Row],[S1]],Eingabe[[#This Row],[S4]]),""),"")</f>
        <v/>
      </c>
      <c r="AR595" s="6" t="str">
        <f>IFERROR(IF(Eingabe[[#This Row],[Wo]]="H",IF(Eingabe[[#This Row],[S1]]&gt;0,IF(MOD(Eingabe[[#This Row],[Position]],2)=1,Eingabe[[#This Row],[S2]],Eingabe[[#This Row],[S3]]),""),""),"")</f>
        <v/>
      </c>
      <c r="AS595" s="6" t="str">
        <f>IFERROR(IF(Eingabe[[#This Row],[Wo]]="H",IF(Eingabe[[#This Row],[S1]]&gt;0,IF(MOD(ROW(Eingabe[[#This Row],[Heimbahn 3]]),2)=1,Eingabe[[#This Row],[S4]],Eingabe[[#This Row],[S1]]),""),""),"")</f>
        <v/>
      </c>
      <c r="AT595" s="6" t="str">
        <f>IFERROR(IF(Eingabe[[#This Row],[Wo]]="H",IF(Eingabe[[#This Row],[S1]]&gt;0,IF(MOD(ROW(Eingabe[[#This Row],[Heimbahn 4]]),2)=1,Eingabe[[#This Row],[S3]],Eingabe[[#This Row],[S2]]),""),""),"")</f>
        <v/>
      </c>
      <c r="AU595" s="22" t="str">
        <f>IF(Eingabe[[#This Row],[GES]]="","",IF(Eingabe[[#This Row],[Modus]]="L",_xlfn.RANK.EQ(Eingabe[[#This Row],[GES]],AF591:AF596),IF(Eingabe[[#This Row],[Modus]]="P",_xlfn.RANK.EQ(Eingabe[[#This Row],[GES]],AF591:AF596),"")))</f>
        <v/>
      </c>
      <c r="AV595" s="6" t="e">
        <f>VLOOKUP(Eingabe[[#This Row],[Name]],AuswertungG[],8,FALSE)</f>
        <v>#N/A</v>
      </c>
      <c r="AZ595" s="6" t="str">
        <f>IFERROR(ABS(Eingabe[[#This Row],[GES]]-Eingabe[[#This Row],[GEGGES]]),"")</f>
        <v/>
      </c>
    </row>
    <row r="596" spans="1:52" ht="16.2" hidden="1" thickBot="1" x14ac:dyDescent="0.35">
      <c r="A596" s="442"/>
      <c r="B596" s="56">
        <f t="shared" si="54"/>
        <v>99</v>
      </c>
      <c r="C596" s="23">
        <f>VLOOKUP($B596,Chronologie[],7,TRUE)</f>
        <v>0</v>
      </c>
      <c r="D596" s="23">
        <f>VLOOKUP($B596,Chronologie[],8,TRUE)</f>
        <v>0</v>
      </c>
      <c r="E596" s="39">
        <f>VLOOKUP($B596,Chronologie[],9,TRUE)</f>
        <v>0</v>
      </c>
      <c r="F596" s="23">
        <f>VLOOKUP($B596,Chronologie[],COLUMN(F597)-2,TRUE)</f>
        <v>0</v>
      </c>
      <c r="G596" s="23">
        <f>VLOOKUP($B596,Chronologie[],COLUMN(G597)-2,TRUE)</f>
        <v>0</v>
      </c>
      <c r="H596" s="23">
        <f>VLOOKUP($B596,Chronologie[],COLUMN(H597)-2,TRUE)</f>
        <v>0</v>
      </c>
      <c r="I596" s="13" t="str">
        <f>VLOOKUP($B596,Chronologie[],2,TRUE)</f>
        <v>--</v>
      </c>
      <c r="J596" s="244">
        <f>VLOOKUP($B596,Chronologie[],3,TRUE)</f>
        <v>0</v>
      </c>
      <c r="K596" s="239"/>
      <c r="L596" s="239"/>
      <c r="M596" s="239"/>
      <c r="N596" s="239"/>
      <c r="O596" s="239"/>
      <c r="P596" s="239"/>
      <c r="Q596" s="239"/>
      <c r="R596" s="239"/>
      <c r="S596" s="239"/>
      <c r="T596" s="239"/>
      <c r="U596" s="239"/>
      <c r="V596" s="239"/>
      <c r="W596" s="239"/>
      <c r="X596" s="40"/>
      <c r="Y596" s="40"/>
      <c r="Z596" s="40"/>
      <c r="AA596" s="40"/>
      <c r="AB596" s="92"/>
      <c r="AC596" s="96" t="str">
        <f>IF(Eingabe[[#This Row],[V1]]="",IF(Eingabe[[#This Row],[Volle alternativ]]="","",Eingabe[[#This Row],[Volle alternativ]]),SUM(Eingabe[[#This Row],[V1]:[V4]]))</f>
        <v/>
      </c>
      <c r="AD596" s="23" t="str">
        <f>IF(Eingabe[[#This Row],[R1]]="",IF(Eingabe[[#This Row],[Räumer alternativ]]="","",Eingabe[[#This Row],[Räumer alternativ]]),SUM(Eingabe[[#This Row],[R1]:[R4]]))</f>
        <v/>
      </c>
      <c r="AE596" s="23" t="str">
        <f>IF(Eingabe[[#This Row],[F1]]="",IF(Eingabe[[#This Row],[Fehler alternativ]]="","",Eingabe[[#This Row],[Fehler alternativ]]),SUM(Eingabe[[#This Row],[F1]:[F4]]))</f>
        <v/>
      </c>
      <c r="AF596" s="23" t="str">
        <f>IF(Eingabe[[#This Row],[Volle]]="","",IF(Eingabe[[#This Row],[S1]]="",Eingabe[[#This Row],[Volle]]+Eingabe[[#This Row],[Räumer]],IF(Eingabe[[#This Row],[Volle]]+Eingabe[[#This Row],[Räumer]]=Eingabe[[#This Row],[S1]]+Eingabe[[#This Row],[S2]]+Eingabe[[#This Row],[S3]]+Eingabe[[#This Row],[S4]],Eingabe[[#This Row],[Volle]]+Eingabe[[#This Row],[Räumer]],"FEHLER")))</f>
        <v/>
      </c>
      <c r="AG596" s="23" t="str">
        <f>IF(Eingabe[[#This Row],[V1]]="","",Eingabe[[#This Row],[V1]]+Eingabe[[#This Row],[R1]])</f>
        <v/>
      </c>
      <c r="AH596" s="23" t="str">
        <f>IF(Eingabe[[#This Row],[V2]]="","",Eingabe[[#This Row],[V2]]+Eingabe[[#This Row],[R2]])</f>
        <v/>
      </c>
      <c r="AI596" s="23" t="str">
        <f>IF(Eingabe[[#This Row],[V3]]="","",Eingabe[[#This Row],[V3]]+Eingabe[[#This Row],[R3]])</f>
        <v/>
      </c>
      <c r="AJ596" s="23" t="str">
        <f>IF(Eingabe[[#This Row],[V4]]="","",Eingabe[[#This Row],[V4]]+Eingabe[[#This Row],[R4]])</f>
        <v/>
      </c>
      <c r="AK596" s="23" t="str">
        <f>IF(Eingabe[[#This Row],[S1P]]="","",Eingabe[[#This Row],[S1P]]+Eingabe[[#This Row],[S2P]]+Eingabe[[#This Row],[S3P]]+Eingabe[[#This Row],[S4P]])</f>
        <v/>
      </c>
      <c r="AL596" s="23" t="str">
        <f>IF(Eingabe[[#This Row],[S1P]]="","",IF(Eingabe[[#This Row],[SP]]&gt;2,1,IF(Eingabe[[#This Row],[SP]]&lt;2,0,IF(Eingabe[[#This Row],[GES]]&gt;Eingabe[[#This Row],[GEGGES]],1,IF(Eingabe[[#This Row],[GES]]=Eingabe[[#This Row],[GEGGES]],0.5,0)))))</f>
        <v/>
      </c>
      <c r="AM596" s="23" t="str">
        <f>IF(Eingabe[[#This Row],[MP]]="","",MOD(ROW(Eingabe[[#This Row],[Position]])-3,6)+1)</f>
        <v/>
      </c>
      <c r="AN596" s="23" t="e">
        <f>STANDARDIZE(Eingabe[[#This Row],[GES]],Eingabe[[#This Row],[Schnitt]],VLOOKUP(Eingabe[[#This Row],[Name]],AuswertungG[],21,FALSE))</f>
        <v>#VALUE!</v>
      </c>
      <c r="AO596" s="23" t="str">
        <f>VLOOKUP(Eingabe[[#This Row],[ID]],Chronologie[[ID]:[KW]],12,FALSE)</f>
        <v/>
      </c>
      <c r="AP596" s="59">
        <f>IF(Eingabe[[#This Row],[Wo]]="H",Eingabe[[#This Row],[Gegner]]&amp;" ["&amp;Eingabe[[#This Row],[Wo]]&amp;"]",Eingabe[[#This Row],[Ort]])</f>
        <v>0</v>
      </c>
      <c r="AQ596" s="23" t="str">
        <f>IFERROR(IF(Eingabe[[#This Row],[Wo]]="H",IF(MOD(Eingabe[[#This Row],[Position]],2)=1,Eingabe[[#This Row],[S1]],Eingabe[[#This Row],[S4]]),""),"")</f>
        <v/>
      </c>
      <c r="AR596" s="23" t="str">
        <f>IFERROR(IF(Eingabe[[#This Row],[Wo]]="H",IF(Eingabe[[#This Row],[S1]]&gt;0,IF(MOD(Eingabe[[#This Row],[Position]],2)=1,Eingabe[[#This Row],[S2]],Eingabe[[#This Row],[S3]]),""),""),"")</f>
        <v/>
      </c>
      <c r="AS596" s="23" t="str">
        <f>IFERROR(IF(Eingabe[[#This Row],[Wo]]="H",IF(Eingabe[[#This Row],[S1]]&gt;0,IF(MOD(ROW(Eingabe[[#This Row],[Heimbahn 3]]),2)=1,Eingabe[[#This Row],[S4]],Eingabe[[#This Row],[S1]]),""),""),"")</f>
        <v/>
      </c>
      <c r="AT596" s="23" t="str">
        <f>IFERROR(IF(Eingabe[[#This Row],[Wo]]="H",IF(Eingabe[[#This Row],[S1]]&gt;0,IF(MOD(ROW(Eingabe[[#This Row],[Heimbahn 4]]),2)=1,Eingabe[[#This Row],[S3]],Eingabe[[#This Row],[S2]]),""),""),"")</f>
        <v/>
      </c>
      <c r="AU596" s="89" t="str">
        <f>IF(Eingabe[[#This Row],[GES]]="","",IF(Eingabe[[#This Row],[Modus]]="L",_xlfn.RANK.EQ(Eingabe[[#This Row],[GES]],AF591:AF596),IF(Eingabe[[#This Row],[Modus]]="P",_xlfn.RANK.EQ(Eingabe[[#This Row],[GES]],AF591:AF596),"")))</f>
        <v/>
      </c>
      <c r="AV596" s="6" t="e">
        <f>VLOOKUP(Eingabe[[#This Row],[Name]],AuswertungG[],8,FALSE)</f>
        <v>#N/A</v>
      </c>
      <c r="AZ596" s="6" t="str">
        <f>IFERROR(ABS(Eingabe[[#This Row],[GES]]-Eingabe[[#This Row],[GEGGES]]),"")</f>
        <v/>
      </c>
    </row>
    <row r="597" spans="1:52" hidden="1" x14ac:dyDescent="0.3">
      <c r="A597" s="440">
        <f t="shared" si="53"/>
        <v>100</v>
      </c>
      <c r="B597" s="55">
        <f t="shared" si="54"/>
        <v>100</v>
      </c>
      <c r="C597" s="35">
        <f>VLOOKUP($B597,Chronologie[],7,TRUE)</f>
        <v>0</v>
      </c>
      <c r="D597" s="35">
        <f>VLOOKUP($B597,Chronologie[],8,TRUE)</f>
        <v>0</v>
      </c>
      <c r="E597" s="36">
        <f>VLOOKUP($B597,Chronologie[],9,TRUE)</f>
        <v>0</v>
      </c>
      <c r="F597" s="35">
        <f>VLOOKUP($B597,Chronologie[],COLUMN(F598)-2,TRUE)</f>
        <v>0</v>
      </c>
      <c r="G597" s="35">
        <f>VLOOKUP($B597,Chronologie[],COLUMN(G598)-2,TRUE)</f>
        <v>0</v>
      </c>
      <c r="H597" s="35">
        <f>VLOOKUP($B597,Chronologie[],COLUMN(H598)-2,TRUE)</f>
        <v>0</v>
      </c>
      <c r="I597" s="9" t="str">
        <f>VLOOKUP($B597,Chronologie[],2,TRUE)</f>
        <v>--</v>
      </c>
      <c r="J597" s="242">
        <f>VLOOKUP($B597,Chronologie[],3,TRUE)</f>
        <v>0</v>
      </c>
      <c r="K597" s="236"/>
      <c r="L597" s="334"/>
      <c r="M597" s="334"/>
      <c r="N597" s="334"/>
      <c r="O597" s="334"/>
      <c r="P597" s="334"/>
      <c r="Q597" s="334"/>
      <c r="R597" s="334"/>
      <c r="S597" s="334"/>
      <c r="T597" s="334"/>
      <c r="U597" s="334"/>
      <c r="V597" s="334"/>
      <c r="W597" s="334"/>
      <c r="X597" s="37"/>
      <c r="Y597" s="37"/>
      <c r="Z597" s="37"/>
      <c r="AA597" s="37"/>
      <c r="AB597" s="90"/>
      <c r="AC597" s="93" t="str">
        <f>IF(Eingabe[[#This Row],[V1]]="",IF(Eingabe[[#This Row],[Volle alternativ]]="","",Eingabe[[#This Row],[Volle alternativ]]),SUM(Eingabe[[#This Row],[V1]:[V4]]))</f>
        <v/>
      </c>
      <c r="AD597" s="35" t="str">
        <f>IF(Eingabe[[#This Row],[R1]]="",IF(Eingabe[[#This Row],[Räumer alternativ]]="","",Eingabe[[#This Row],[Räumer alternativ]]),SUM(Eingabe[[#This Row],[R1]:[R4]]))</f>
        <v/>
      </c>
      <c r="AE597" s="35" t="str">
        <f>IF(Eingabe[[#This Row],[F1]]="",IF(Eingabe[[#This Row],[Fehler alternativ]]="","",Eingabe[[#This Row],[Fehler alternativ]]),SUM(Eingabe[[#This Row],[F1]:[F4]]))</f>
        <v/>
      </c>
      <c r="AF597" s="35" t="str">
        <f>IF(Eingabe[[#This Row],[Volle]]="","",IF(Eingabe[[#This Row],[S1]]="",Eingabe[[#This Row],[Volle]]+Eingabe[[#This Row],[Räumer]],IF(Eingabe[[#This Row],[Volle]]+Eingabe[[#This Row],[Räumer]]=Eingabe[[#This Row],[S1]]+Eingabe[[#This Row],[S2]]+Eingabe[[#This Row],[S3]]+Eingabe[[#This Row],[S4]],Eingabe[[#This Row],[Volle]]+Eingabe[[#This Row],[Räumer]],"FEHLER")))</f>
        <v/>
      </c>
      <c r="AG597" s="35" t="str">
        <f>IF(Eingabe[[#This Row],[V1]]="","",Eingabe[[#This Row],[V1]]+Eingabe[[#This Row],[R1]])</f>
        <v/>
      </c>
      <c r="AH597" s="35" t="str">
        <f>IF(Eingabe[[#This Row],[V2]]="","",Eingabe[[#This Row],[V2]]+Eingabe[[#This Row],[R2]])</f>
        <v/>
      </c>
      <c r="AI597" s="35" t="str">
        <f>IF(Eingabe[[#This Row],[V3]]="","",Eingabe[[#This Row],[V3]]+Eingabe[[#This Row],[R3]])</f>
        <v/>
      </c>
      <c r="AJ597" s="35" t="str">
        <f>IF(Eingabe[[#This Row],[V4]]="","",Eingabe[[#This Row],[V4]]+Eingabe[[#This Row],[R4]])</f>
        <v/>
      </c>
      <c r="AK597" s="35" t="str">
        <f>IF(Eingabe[[#This Row],[S1P]]="","",Eingabe[[#This Row],[S1P]]+Eingabe[[#This Row],[S2P]]+Eingabe[[#This Row],[S3P]]+Eingabe[[#This Row],[S4P]])</f>
        <v/>
      </c>
      <c r="AL597" s="35" t="str">
        <f>IF(Eingabe[[#This Row],[S1P]]="","",IF(Eingabe[[#This Row],[SP]]&gt;2,1,IF(Eingabe[[#This Row],[SP]]&lt;2,0,IF(Eingabe[[#This Row],[GES]]&gt;Eingabe[[#This Row],[GEGGES]],1,IF(Eingabe[[#This Row],[GES]]=Eingabe[[#This Row],[GEGGES]],0.5,0)))))</f>
        <v/>
      </c>
      <c r="AM597" s="35" t="str">
        <f>IF(Eingabe[[#This Row],[MP]]="","",MOD(ROW(Eingabe[[#This Row],[Position]])-3,6)+1)</f>
        <v/>
      </c>
      <c r="AN597" s="35" t="e">
        <f>STANDARDIZE(Eingabe[[#This Row],[GES]],Eingabe[[#This Row],[Schnitt]],VLOOKUP(Eingabe[[#This Row],[Name]],AuswertungG[],21,FALSE))</f>
        <v>#VALUE!</v>
      </c>
      <c r="AO597" s="35" t="str">
        <f>VLOOKUP(Eingabe[[#This Row],[ID]],Chronologie[[ID]:[KW]],12,FALSE)</f>
        <v/>
      </c>
      <c r="AP597" s="58">
        <f>IF(Eingabe[[#This Row],[Wo]]="H",Eingabe[[#This Row],[Gegner]]&amp;" ["&amp;Eingabe[[#This Row],[Wo]]&amp;"]",Eingabe[[#This Row],[Ort]])</f>
        <v>0</v>
      </c>
      <c r="AQ597" s="35" t="str">
        <f>IFERROR(IF(Eingabe[[#This Row],[Wo]]="H",IF(MOD(Eingabe[[#This Row],[Position]],2)=1,Eingabe[[#This Row],[S1]],Eingabe[[#This Row],[S4]]),""),"")</f>
        <v/>
      </c>
      <c r="AR597" s="35" t="str">
        <f>IFERROR(IF(Eingabe[[#This Row],[Wo]]="H",IF(Eingabe[[#This Row],[S1]]&gt;0,IF(MOD(Eingabe[[#This Row],[Position]],2)=1,Eingabe[[#This Row],[S2]],Eingabe[[#This Row],[S3]]),""),""),"")</f>
        <v/>
      </c>
      <c r="AS597" s="35" t="str">
        <f>IFERROR(IF(Eingabe[[#This Row],[Wo]]="H",IF(Eingabe[[#This Row],[S1]]&gt;0,IF(MOD(ROW(Eingabe[[#This Row],[Heimbahn 3]]),2)=1,Eingabe[[#This Row],[S4]],Eingabe[[#This Row],[S1]]),""),""),"")</f>
        <v/>
      </c>
      <c r="AT597" s="35" t="str">
        <f>IFERROR(IF(Eingabe[[#This Row],[Wo]]="H",IF(Eingabe[[#This Row],[S1]]&gt;0,IF(MOD(ROW(Eingabe[[#This Row],[Heimbahn 4]]),2)=1,Eingabe[[#This Row],[S3]],Eingabe[[#This Row],[S2]]),""),""),"")</f>
        <v/>
      </c>
      <c r="AU597" s="88" t="str">
        <f>IF(Eingabe[[#This Row],[GES]]="","",IF(Eingabe[[#This Row],[Modus]]="L",_xlfn.RANK.EQ(Eingabe[[#This Row],[GES]],AF597:AF602),IF(Eingabe[[#This Row],[Modus]]="P",_xlfn.RANK.EQ(Eingabe[[#This Row],[GES]],AF597:AF602),"")))</f>
        <v/>
      </c>
      <c r="AV597" s="6" t="e">
        <f>VLOOKUP(Eingabe[[#This Row],[Name]],AuswertungG[],8,FALSE)</f>
        <v>#N/A</v>
      </c>
      <c r="AZ597" s="6" t="str">
        <f>IFERROR(ABS(Eingabe[[#This Row],[GES]]-Eingabe[[#This Row],[GEGGES]]),"")</f>
        <v/>
      </c>
    </row>
    <row r="598" spans="1:52" hidden="1" x14ac:dyDescent="0.3">
      <c r="A598" s="441"/>
      <c r="B598" s="21">
        <f t="shared" si="54"/>
        <v>100</v>
      </c>
      <c r="C598" s="6">
        <f>VLOOKUP($B598,Chronologie[],7,TRUE)</f>
        <v>0</v>
      </c>
      <c r="D598" s="6">
        <f>VLOOKUP($B598,Chronologie[],8,TRUE)</f>
        <v>0</v>
      </c>
      <c r="E598" s="240">
        <f>VLOOKUP($B598,Chronologie[],9,TRUE)</f>
        <v>0</v>
      </c>
      <c r="F598" s="6">
        <f>VLOOKUP($B598,Chronologie[],COLUMN(F599)-2,TRUE)</f>
        <v>0</v>
      </c>
      <c r="G598" s="6">
        <f>VLOOKUP($B598,Chronologie[],COLUMN(G599)-2,TRUE)</f>
        <v>0</v>
      </c>
      <c r="H598" s="6">
        <f>VLOOKUP($B598,Chronologie[],COLUMN(H599)-2,TRUE)</f>
        <v>0</v>
      </c>
      <c r="I598" s="10" t="str">
        <f>VLOOKUP($B598,Chronologie[],2,TRUE)</f>
        <v>--</v>
      </c>
      <c r="J598" s="243">
        <f>VLOOKUP($B598,Chronologie[],3,TRUE)</f>
        <v>0</v>
      </c>
      <c r="K598" s="237"/>
      <c r="L598" s="237"/>
      <c r="M598" s="237"/>
      <c r="N598" s="237"/>
      <c r="O598" s="237"/>
      <c r="P598" s="237"/>
      <c r="Q598" s="237"/>
      <c r="R598" s="237"/>
      <c r="S598" s="237"/>
      <c r="T598" s="237"/>
      <c r="U598" s="237"/>
      <c r="V598" s="237"/>
      <c r="W598" s="237"/>
      <c r="X598" s="38"/>
      <c r="Y598" s="38"/>
      <c r="Z598" s="38"/>
      <c r="AA598" s="38"/>
      <c r="AB598" s="91"/>
      <c r="AC598" s="94" t="str">
        <f>IF(Eingabe[[#This Row],[V1]]="",IF(Eingabe[[#This Row],[Volle alternativ]]="","",Eingabe[[#This Row],[Volle alternativ]]),SUM(Eingabe[[#This Row],[V1]:[V4]]))</f>
        <v/>
      </c>
      <c r="AD598" s="6" t="str">
        <f>IF(Eingabe[[#This Row],[R1]]="",IF(Eingabe[[#This Row],[Räumer alternativ]]="","",Eingabe[[#This Row],[Räumer alternativ]]),SUM(Eingabe[[#This Row],[R1]:[R4]]))</f>
        <v/>
      </c>
      <c r="AE598" s="6" t="str">
        <f>IF(Eingabe[[#This Row],[F1]]="",IF(Eingabe[[#This Row],[Fehler alternativ]]="","",Eingabe[[#This Row],[Fehler alternativ]]),SUM(Eingabe[[#This Row],[F1]:[F4]]))</f>
        <v/>
      </c>
      <c r="AF598" s="6" t="str">
        <f>IF(Eingabe[[#This Row],[Volle]]="","",IF(Eingabe[[#This Row],[S1]]="",Eingabe[[#This Row],[Volle]]+Eingabe[[#This Row],[Räumer]],IF(Eingabe[[#This Row],[Volle]]+Eingabe[[#This Row],[Räumer]]=Eingabe[[#This Row],[S1]]+Eingabe[[#This Row],[S2]]+Eingabe[[#This Row],[S3]]+Eingabe[[#This Row],[S4]],Eingabe[[#This Row],[Volle]]+Eingabe[[#This Row],[Räumer]],"FEHLER")))</f>
        <v/>
      </c>
      <c r="AG598" s="6" t="str">
        <f>IF(Eingabe[[#This Row],[V1]]="","",Eingabe[[#This Row],[V1]]+Eingabe[[#This Row],[R1]])</f>
        <v/>
      </c>
      <c r="AH598" s="6" t="str">
        <f>IF(Eingabe[[#This Row],[V2]]="","",Eingabe[[#This Row],[V2]]+Eingabe[[#This Row],[R2]])</f>
        <v/>
      </c>
      <c r="AI598" s="6" t="str">
        <f>IF(Eingabe[[#This Row],[V3]]="","",Eingabe[[#This Row],[V3]]+Eingabe[[#This Row],[R3]])</f>
        <v/>
      </c>
      <c r="AJ598" s="6" t="str">
        <f>IF(Eingabe[[#This Row],[V4]]="","",Eingabe[[#This Row],[V4]]+Eingabe[[#This Row],[R4]])</f>
        <v/>
      </c>
      <c r="AK598" s="6" t="str">
        <f>IF(Eingabe[[#This Row],[S1P]]="","",Eingabe[[#This Row],[S1P]]+Eingabe[[#This Row],[S2P]]+Eingabe[[#This Row],[S3P]]+Eingabe[[#This Row],[S4P]])</f>
        <v/>
      </c>
      <c r="AL598" s="6" t="str">
        <f>IF(Eingabe[[#This Row],[S1P]]="","",IF(Eingabe[[#This Row],[SP]]&gt;2,1,IF(Eingabe[[#This Row],[SP]]&lt;2,0,IF(Eingabe[[#This Row],[GES]]&gt;Eingabe[[#This Row],[GEGGES]],1,IF(Eingabe[[#This Row],[GES]]=Eingabe[[#This Row],[GEGGES]],0.5,0)))))</f>
        <v/>
      </c>
      <c r="AM598" s="6" t="str">
        <f>IF(Eingabe[[#This Row],[MP]]="","",MOD(ROW(Eingabe[[#This Row],[Position]])-3,6)+1)</f>
        <v/>
      </c>
      <c r="AN598" s="6" t="e">
        <f>STANDARDIZE(Eingabe[[#This Row],[GES]],Eingabe[[#This Row],[Schnitt]],VLOOKUP(Eingabe[[#This Row],[Name]],AuswertungG[],21,FALSE))</f>
        <v>#VALUE!</v>
      </c>
      <c r="AO598" s="6" t="str">
        <f>VLOOKUP(Eingabe[[#This Row],[ID]],Chronologie[[ID]:[KW]],12,FALSE)</f>
        <v/>
      </c>
      <c r="AP598" s="95">
        <f>IF(Eingabe[[#This Row],[Wo]]="H",Eingabe[[#This Row],[Gegner]]&amp;" ["&amp;Eingabe[[#This Row],[Wo]]&amp;"]",Eingabe[[#This Row],[Ort]])</f>
        <v>0</v>
      </c>
      <c r="AQ598" s="6" t="str">
        <f>IFERROR(IF(Eingabe[[#This Row],[Wo]]="H",IF(MOD(Eingabe[[#This Row],[Position]],2)=1,Eingabe[[#This Row],[S1]],Eingabe[[#This Row],[S4]]),""),"")</f>
        <v/>
      </c>
      <c r="AR598" s="6" t="str">
        <f>IFERROR(IF(Eingabe[[#This Row],[Wo]]="H",IF(Eingabe[[#This Row],[S1]]&gt;0,IF(MOD(Eingabe[[#This Row],[Position]],2)=1,Eingabe[[#This Row],[S2]],Eingabe[[#This Row],[S3]]),""),""),"")</f>
        <v/>
      </c>
      <c r="AS598" s="6" t="str">
        <f>IFERROR(IF(Eingabe[[#This Row],[Wo]]="H",IF(Eingabe[[#This Row],[S1]]&gt;0,IF(MOD(ROW(Eingabe[[#This Row],[Heimbahn 3]]),2)=1,Eingabe[[#This Row],[S4]],Eingabe[[#This Row],[S1]]),""),""),"")</f>
        <v/>
      </c>
      <c r="AT598" s="6" t="str">
        <f>IFERROR(IF(Eingabe[[#This Row],[Wo]]="H",IF(Eingabe[[#This Row],[S1]]&gt;0,IF(MOD(ROW(Eingabe[[#This Row],[Heimbahn 4]]),2)=1,Eingabe[[#This Row],[S3]],Eingabe[[#This Row],[S2]]),""),""),"")</f>
        <v/>
      </c>
      <c r="AU598" s="22" t="str">
        <f>IF(Eingabe[[#This Row],[GES]]="","",IF(Eingabe[[#This Row],[Modus]]="L",_xlfn.RANK.EQ(Eingabe[[#This Row],[GES]],AF597:AF602),IF(Eingabe[[#This Row],[Modus]]="P",_xlfn.RANK.EQ(Eingabe[[#This Row],[GES]],AF597:AF602),"")))</f>
        <v/>
      </c>
      <c r="AV598" s="6" t="e">
        <f>VLOOKUP(Eingabe[[#This Row],[Name]],AuswertungG[],8,FALSE)</f>
        <v>#N/A</v>
      </c>
      <c r="AZ598" s="6" t="str">
        <f>IFERROR(ABS(Eingabe[[#This Row],[GES]]-Eingabe[[#This Row],[GEGGES]]),"")</f>
        <v/>
      </c>
    </row>
    <row r="599" spans="1:52" hidden="1" x14ac:dyDescent="0.3">
      <c r="A599" s="441"/>
      <c r="B599" s="21">
        <f t="shared" si="54"/>
        <v>100</v>
      </c>
      <c r="C599" s="6">
        <f>VLOOKUP($B599,Chronologie[],7,TRUE)</f>
        <v>0</v>
      </c>
      <c r="D599" s="6">
        <f>VLOOKUP($B599,Chronologie[],8,TRUE)</f>
        <v>0</v>
      </c>
      <c r="E599" s="240">
        <f>VLOOKUP($B599,Chronologie[],9,TRUE)</f>
        <v>0</v>
      </c>
      <c r="F599" s="6">
        <f>VLOOKUP($B599,Chronologie[],COLUMN(F600)-2,TRUE)</f>
        <v>0</v>
      </c>
      <c r="G599" s="6">
        <f>VLOOKUP($B599,Chronologie[],COLUMN(G600)-2,TRUE)</f>
        <v>0</v>
      </c>
      <c r="H599" s="6">
        <f>VLOOKUP($B599,Chronologie[],COLUMN(H600)-2,TRUE)</f>
        <v>0</v>
      </c>
      <c r="I599" s="10" t="str">
        <f>VLOOKUP($B599,Chronologie[],2,TRUE)</f>
        <v>--</v>
      </c>
      <c r="J599" s="243">
        <f>VLOOKUP($B599,Chronologie[],3,TRUE)</f>
        <v>0</v>
      </c>
      <c r="K599" s="237"/>
      <c r="L599" s="237"/>
      <c r="M599" s="237"/>
      <c r="N599" s="237"/>
      <c r="O599" s="237"/>
      <c r="P599" s="237"/>
      <c r="Q599" s="237"/>
      <c r="R599" s="237"/>
      <c r="S599" s="237"/>
      <c r="T599" s="237"/>
      <c r="U599" s="237"/>
      <c r="V599" s="237"/>
      <c r="W599" s="237"/>
      <c r="X599" s="38"/>
      <c r="Y599" s="38"/>
      <c r="Z599" s="38"/>
      <c r="AA599" s="38"/>
      <c r="AB599" s="91"/>
      <c r="AC599" s="94" t="str">
        <f>IF(Eingabe[[#This Row],[V1]]="",IF(Eingabe[[#This Row],[Volle alternativ]]="","",Eingabe[[#This Row],[Volle alternativ]]),SUM(Eingabe[[#This Row],[V1]:[V4]]))</f>
        <v/>
      </c>
      <c r="AD599" s="6" t="str">
        <f>IF(Eingabe[[#This Row],[R1]]="",IF(Eingabe[[#This Row],[Räumer alternativ]]="","",Eingabe[[#This Row],[Räumer alternativ]]),SUM(Eingabe[[#This Row],[R1]:[R4]]))</f>
        <v/>
      </c>
      <c r="AE599" s="6" t="str">
        <f>IF(Eingabe[[#This Row],[F1]]="",IF(Eingabe[[#This Row],[Fehler alternativ]]="","",Eingabe[[#This Row],[Fehler alternativ]]),SUM(Eingabe[[#This Row],[F1]:[F4]]))</f>
        <v/>
      </c>
      <c r="AF599" s="6" t="str">
        <f>IF(Eingabe[[#This Row],[Volle]]="","",IF(Eingabe[[#This Row],[S1]]="",Eingabe[[#This Row],[Volle]]+Eingabe[[#This Row],[Räumer]],IF(Eingabe[[#This Row],[Volle]]+Eingabe[[#This Row],[Räumer]]=Eingabe[[#This Row],[S1]]+Eingabe[[#This Row],[S2]]+Eingabe[[#This Row],[S3]]+Eingabe[[#This Row],[S4]],Eingabe[[#This Row],[Volle]]+Eingabe[[#This Row],[Räumer]],"FEHLER")))</f>
        <v/>
      </c>
      <c r="AG599" s="6" t="str">
        <f>IF(Eingabe[[#This Row],[V1]]="","",Eingabe[[#This Row],[V1]]+Eingabe[[#This Row],[R1]])</f>
        <v/>
      </c>
      <c r="AH599" s="6" t="str">
        <f>IF(Eingabe[[#This Row],[V2]]="","",Eingabe[[#This Row],[V2]]+Eingabe[[#This Row],[R2]])</f>
        <v/>
      </c>
      <c r="AI599" s="6" t="str">
        <f>IF(Eingabe[[#This Row],[V3]]="","",Eingabe[[#This Row],[V3]]+Eingabe[[#This Row],[R3]])</f>
        <v/>
      </c>
      <c r="AJ599" s="6" t="str">
        <f>IF(Eingabe[[#This Row],[V4]]="","",Eingabe[[#This Row],[V4]]+Eingabe[[#This Row],[R4]])</f>
        <v/>
      </c>
      <c r="AK599" s="6" t="str">
        <f>IF(Eingabe[[#This Row],[S1P]]="","",Eingabe[[#This Row],[S1P]]+Eingabe[[#This Row],[S2P]]+Eingabe[[#This Row],[S3P]]+Eingabe[[#This Row],[S4P]])</f>
        <v/>
      </c>
      <c r="AL599" s="6" t="str">
        <f>IF(Eingabe[[#This Row],[S1P]]="","",IF(Eingabe[[#This Row],[SP]]&gt;2,1,IF(Eingabe[[#This Row],[SP]]&lt;2,0,IF(Eingabe[[#This Row],[GES]]&gt;Eingabe[[#This Row],[GEGGES]],1,IF(Eingabe[[#This Row],[GES]]=Eingabe[[#This Row],[GEGGES]],0.5,0)))))</f>
        <v/>
      </c>
      <c r="AM599" s="6" t="str">
        <f>IF(Eingabe[[#This Row],[MP]]="","",MOD(ROW(Eingabe[[#This Row],[Position]])-3,6)+1)</f>
        <v/>
      </c>
      <c r="AN599" s="6" t="e">
        <f>STANDARDIZE(Eingabe[[#This Row],[GES]],Eingabe[[#This Row],[Schnitt]],VLOOKUP(Eingabe[[#This Row],[Name]],AuswertungG[],21,FALSE))</f>
        <v>#VALUE!</v>
      </c>
      <c r="AO599" s="6" t="str">
        <f>VLOOKUP(Eingabe[[#This Row],[ID]],Chronologie[[ID]:[KW]],12,FALSE)</f>
        <v/>
      </c>
      <c r="AP599" s="95">
        <f>IF(Eingabe[[#This Row],[Wo]]="H",Eingabe[[#This Row],[Gegner]]&amp;" ["&amp;Eingabe[[#This Row],[Wo]]&amp;"]",Eingabe[[#This Row],[Ort]])</f>
        <v>0</v>
      </c>
      <c r="AQ599" s="6" t="str">
        <f>IFERROR(IF(Eingabe[[#This Row],[Wo]]="H",IF(MOD(Eingabe[[#This Row],[Position]],2)=1,Eingabe[[#This Row],[S1]],Eingabe[[#This Row],[S4]]),""),"")</f>
        <v/>
      </c>
      <c r="AR599" s="6" t="str">
        <f>IFERROR(IF(Eingabe[[#This Row],[Wo]]="H",IF(Eingabe[[#This Row],[S1]]&gt;0,IF(MOD(Eingabe[[#This Row],[Position]],2)=1,Eingabe[[#This Row],[S2]],Eingabe[[#This Row],[S3]]),""),""),"")</f>
        <v/>
      </c>
      <c r="AS599" s="6" t="str">
        <f>IFERROR(IF(Eingabe[[#This Row],[Wo]]="H",IF(Eingabe[[#This Row],[S1]]&gt;0,IF(MOD(ROW(Eingabe[[#This Row],[Heimbahn 3]]),2)=1,Eingabe[[#This Row],[S4]],Eingabe[[#This Row],[S1]]),""),""),"")</f>
        <v/>
      </c>
      <c r="AT599" s="6" t="str">
        <f>IFERROR(IF(Eingabe[[#This Row],[Wo]]="H",IF(Eingabe[[#This Row],[S1]]&gt;0,IF(MOD(ROW(Eingabe[[#This Row],[Heimbahn 4]]),2)=1,Eingabe[[#This Row],[S3]],Eingabe[[#This Row],[S2]]),""),""),"")</f>
        <v/>
      </c>
      <c r="AU599" s="22" t="str">
        <f>IF(Eingabe[[#This Row],[GES]]="","",IF(Eingabe[[#This Row],[Modus]]="L",_xlfn.RANK.EQ(Eingabe[[#This Row],[GES]],AF597:AF602),IF(Eingabe[[#This Row],[Modus]]="P",_xlfn.RANK.EQ(Eingabe[[#This Row],[GES]],AF597:AF602),"")))</f>
        <v/>
      </c>
      <c r="AV599" s="6" t="e">
        <f>VLOOKUP(Eingabe[[#This Row],[Name]],AuswertungG[],8,FALSE)</f>
        <v>#N/A</v>
      </c>
      <c r="AZ599" s="6" t="str">
        <f>IFERROR(ABS(Eingabe[[#This Row],[GES]]-Eingabe[[#This Row],[GEGGES]]),"")</f>
        <v/>
      </c>
    </row>
    <row r="600" spans="1:52" hidden="1" x14ac:dyDescent="0.3">
      <c r="A600" s="441"/>
      <c r="B600" s="21">
        <f t="shared" si="54"/>
        <v>100</v>
      </c>
      <c r="C600" s="6">
        <f>VLOOKUP($B600,Chronologie[],7,TRUE)</f>
        <v>0</v>
      </c>
      <c r="D600" s="6">
        <f>VLOOKUP($B600,Chronologie[],8,TRUE)</f>
        <v>0</v>
      </c>
      <c r="E600" s="240">
        <f>VLOOKUP($B600,Chronologie[],9,TRUE)</f>
        <v>0</v>
      </c>
      <c r="F600" s="6">
        <f>VLOOKUP($B600,Chronologie[],COLUMN(F601)-2,TRUE)</f>
        <v>0</v>
      </c>
      <c r="G600" s="6">
        <f>VLOOKUP($B600,Chronologie[],COLUMN(G601)-2,TRUE)</f>
        <v>0</v>
      </c>
      <c r="H600" s="6">
        <f>VLOOKUP($B600,Chronologie[],COLUMN(H601)-2,TRUE)</f>
        <v>0</v>
      </c>
      <c r="I600" s="10" t="str">
        <f>VLOOKUP($B600,Chronologie[],2,TRUE)</f>
        <v>--</v>
      </c>
      <c r="J600" s="243">
        <f>VLOOKUP($B600,Chronologie[],3,TRUE)</f>
        <v>0</v>
      </c>
      <c r="K600" s="238"/>
      <c r="L600" s="237"/>
      <c r="M600" s="237"/>
      <c r="N600" s="237"/>
      <c r="O600" s="237"/>
      <c r="P600" s="237"/>
      <c r="Q600" s="237"/>
      <c r="R600" s="237"/>
      <c r="S600" s="237"/>
      <c r="T600" s="237"/>
      <c r="U600" s="237"/>
      <c r="V600" s="237"/>
      <c r="W600" s="237"/>
      <c r="X600" s="38"/>
      <c r="Y600" s="38"/>
      <c r="Z600" s="38"/>
      <c r="AA600" s="38"/>
      <c r="AB600" s="91"/>
      <c r="AC600" s="94" t="str">
        <f>IF(Eingabe[[#This Row],[V1]]="",IF(Eingabe[[#This Row],[Volle alternativ]]="","",Eingabe[[#This Row],[Volle alternativ]]),SUM(Eingabe[[#This Row],[V1]:[V4]]))</f>
        <v/>
      </c>
      <c r="AD600" s="6" t="str">
        <f>IF(Eingabe[[#This Row],[R1]]="",IF(Eingabe[[#This Row],[Räumer alternativ]]="","",Eingabe[[#This Row],[Räumer alternativ]]),SUM(Eingabe[[#This Row],[R1]:[R4]]))</f>
        <v/>
      </c>
      <c r="AE600" s="6" t="str">
        <f>IF(Eingabe[[#This Row],[F1]]="",IF(Eingabe[[#This Row],[Fehler alternativ]]="","",Eingabe[[#This Row],[Fehler alternativ]]),SUM(Eingabe[[#This Row],[F1]:[F4]]))</f>
        <v/>
      </c>
      <c r="AF600" s="6" t="str">
        <f>IF(Eingabe[[#This Row],[Volle]]="","",IF(Eingabe[[#This Row],[S1]]="",Eingabe[[#This Row],[Volle]]+Eingabe[[#This Row],[Räumer]],IF(Eingabe[[#This Row],[Volle]]+Eingabe[[#This Row],[Räumer]]=Eingabe[[#This Row],[S1]]+Eingabe[[#This Row],[S2]]+Eingabe[[#This Row],[S3]]+Eingabe[[#This Row],[S4]],Eingabe[[#This Row],[Volle]]+Eingabe[[#This Row],[Räumer]],"FEHLER")))</f>
        <v/>
      </c>
      <c r="AG600" s="6" t="str">
        <f>IF(Eingabe[[#This Row],[V1]]="","",Eingabe[[#This Row],[V1]]+Eingabe[[#This Row],[R1]])</f>
        <v/>
      </c>
      <c r="AH600" s="6" t="str">
        <f>IF(Eingabe[[#This Row],[V2]]="","",Eingabe[[#This Row],[V2]]+Eingabe[[#This Row],[R2]])</f>
        <v/>
      </c>
      <c r="AI600" s="6" t="str">
        <f>IF(Eingabe[[#This Row],[V3]]="","",Eingabe[[#This Row],[V3]]+Eingabe[[#This Row],[R3]])</f>
        <v/>
      </c>
      <c r="AJ600" s="6" t="str">
        <f>IF(Eingabe[[#This Row],[V4]]="","",Eingabe[[#This Row],[V4]]+Eingabe[[#This Row],[R4]])</f>
        <v/>
      </c>
      <c r="AK600" s="6" t="str">
        <f>IF(Eingabe[[#This Row],[S1P]]="","",Eingabe[[#This Row],[S1P]]+Eingabe[[#This Row],[S2P]]+Eingabe[[#This Row],[S3P]]+Eingabe[[#This Row],[S4P]])</f>
        <v/>
      </c>
      <c r="AL600" s="6" t="str">
        <f>IF(Eingabe[[#This Row],[S1P]]="","",IF(Eingabe[[#This Row],[SP]]&gt;2,1,IF(Eingabe[[#This Row],[SP]]&lt;2,0,IF(Eingabe[[#This Row],[GES]]&gt;Eingabe[[#This Row],[GEGGES]],1,IF(Eingabe[[#This Row],[GES]]=Eingabe[[#This Row],[GEGGES]],0.5,0)))))</f>
        <v/>
      </c>
      <c r="AM600" s="6" t="str">
        <f>IF(Eingabe[[#This Row],[MP]]="","",MOD(ROW(Eingabe[[#This Row],[Position]])-3,6)+1)</f>
        <v/>
      </c>
      <c r="AN600" s="6" t="e">
        <f>STANDARDIZE(Eingabe[[#This Row],[GES]],Eingabe[[#This Row],[Schnitt]],VLOOKUP(Eingabe[[#This Row],[Name]],AuswertungG[],21,FALSE))</f>
        <v>#VALUE!</v>
      </c>
      <c r="AO600" s="6" t="str">
        <f>VLOOKUP(Eingabe[[#This Row],[ID]],Chronologie[[ID]:[KW]],12,FALSE)</f>
        <v/>
      </c>
      <c r="AP600" s="95">
        <f>IF(Eingabe[[#This Row],[Wo]]="H",Eingabe[[#This Row],[Gegner]]&amp;" ["&amp;Eingabe[[#This Row],[Wo]]&amp;"]",Eingabe[[#This Row],[Ort]])</f>
        <v>0</v>
      </c>
      <c r="AQ600" s="6" t="str">
        <f>IFERROR(IF(Eingabe[[#This Row],[Wo]]="H",IF(MOD(Eingabe[[#This Row],[Position]],2)=1,Eingabe[[#This Row],[S1]],Eingabe[[#This Row],[S4]]),""),"")</f>
        <v/>
      </c>
      <c r="AR600" s="6" t="str">
        <f>IFERROR(IF(Eingabe[[#This Row],[Wo]]="H",IF(Eingabe[[#This Row],[S1]]&gt;0,IF(MOD(Eingabe[[#This Row],[Position]],2)=1,Eingabe[[#This Row],[S2]],Eingabe[[#This Row],[S3]]),""),""),"")</f>
        <v/>
      </c>
      <c r="AS600" s="6" t="str">
        <f>IFERROR(IF(Eingabe[[#This Row],[Wo]]="H",IF(Eingabe[[#This Row],[S1]]&gt;0,IF(MOD(ROW(Eingabe[[#This Row],[Heimbahn 3]]),2)=1,Eingabe[[#This Row],[S4]],Eingabe[[#This Row],[S1]]),""),""),"")</f>
        <v/>
      </c>
      <c r="AT600" s="6" t="str">
        <f>IFERROR(IF(Eingabe[[#This Row],[Wo]]="H",IF(Eingabe[[#This Row],[S1]]&gt;0,IF(MOD(ROW(Eingabe[[#This Row],[Heimbahn 4]]),2)=1,Eingabe[[#This Row],[S3]],Eingabe[[#This Row],[S2]]),""),""),"")</f>
        <v/>
      </c>
      <c r="AU600" s="22" t="str">
        <f>IF(Eingabe[[#This Row],[GES]]="","",IF(Eingabe[[#This Row],[Modus]]="L",_xlfn.RANK.EQ(Eingabe[[#This Row],[GES]],AF597:AF602),IF(Eingabe[[#This Row],[Modus]]="P",_xlfn.RANK.EQ(Eingabe[[#This Row],[GES]],AF597:AF602),"")))</f>
        <v/>
      </c>
      <c r="AV600" s="6" t="e">
        <f>VLOOKUP(Eingabe[[#This Row],[Name]],AuswertungG[],8,FALSE)</f>
        <v>#N/A</v>
      </c>
      <c r="AZ600" s="6" t="str">
        <f>IFERROR(ABS(Eingabe[[#This Row],[GES]]-Eingabe[[#This Row],[GEGGES]]),"")</f>
        <v/>
      </c>
    </row>
    <row r="601" spans="1:52" hidden="1" x14ac:dyDescent="0.3">
      <c r="A601" s="441"/>
      <c r="B601" s="21">
        <f t="shared" si="54"/>
        <v>100</v>
      </c>
      <c r="C601" s="6">
        <f>VLOOKUP($B601,Chronologie[],7,TRUE)</f>
        <v>0</v>
      </c>
      <c r="D601" s="6">
        <f>VLOOKUP($B601,Chronologie[],8,TRUE)</f>
        <v>0</v>
      </c>
      <c r="E601" s="240">
        <f>VLOOKUP($B601,Chronologie[],9,TRUE)</f>
        <v>0</v>
      </c>
      <c r="F601" s="6">
        <f>VLOOKUP($B601,Chronologie[],COLUMN(F602)-2,TRUE)</f>
        <v>0</v>
      </c>
      <c r="G601" s="6">
        <f>VLOOKUP($B601,Chronologie[],COLUMN(G602)-2,TRUE)</f>
        <v>0</v>
      </c>
      <c r="H601" s="6">
        <f>VLOOKUP($B601,Chronologie[],COLUMN(H602)-2,TRUE)</f>
        <v>0</v>
      </c>
      <c r="I601" s="10" t="str">
        <f>VLOOKUP($B601,Chronologie[],2,TRUE)</f>
        <v>--</v>
      </c>
      <c r="J601" s="243">
        <f>VLOOKUP($B601,Chronologie[],3,TRUE)</f>
        <v>0</v>
      </c>
      <c r="K601" s="237"/>
      <c r="L601" s="237"/>
      <c r="M601" s="237"/>
      <c r="N601" s="237"/>
      <c r="O601" s="237"/>
      <c r="P601" s="237"/>
      <c r="Q601" s="237"/>
      <c r="R601" s="237"/>
      <c r="S601" s="237"/>
      <c r="T601" s="237"/>
      <c r="U601" s="237"/>
      <c r="V601" s="237"/>
      <c r="W601" s="237"/>
      <c r="X601" s="38"/>
      <c r="Y601" s="38"/>
      <c r="Z601" s="38"/>
      <c r="AA601" s="38"/>
      <c r="AB601" s="91"/>
      <c r="AC601" s="94" t="str">
        <f>IF(Eingabe[[#This Row],[V1]]="",IF(Eingabe[[#This Row],[Volle alternativ]]="","",Eingabe[[#This Row],[Volle alternativ]]),SUM(Eingabe[[#This Row],[V1]:[V4]]))</f>
        <v/>
      </c>
      <c r="AD601" s="6" t="str">
        <f>IF(Eingabe[[#This Row],[R1]]="",IF(Eingabe[[#This Row],[Räumer alternativ]]="","",Eingabe[[#This Row],[Räumer alternativ]]),SUM(Eingabe[[#This Row],[R1]:[R4]]))</f>
        <v/>
      </c>
      <c r="AE601" s="6" t="str">
        <f>IF(Eingabe[[#This Row],[F1]]="",IF(Eingabe[[#This Row],[Fehler alternativ]]="","",Eingabe[[#This Row],[Fehler alternativ]]),SUM(Eingabe[[#This Row],[F1]:[F4]]))</f>
        <v/>
      </c>
      <c r="AF601" s="6" t="str">
        <f>IF(Eingabe[[#This Row],[Volle]]="","",IF(Eingabe[[#This Row],[S1]]="",Eingabe[[#This Row],[Volle]]+Eingabe[[#This Row],[Räumer]],IF(Eingabe[[#This Row],[Volle]]+Eingabe[[#This Row],[Räumer]]=Eingabe[[#This Row],[S1]]+Eingabe[[#This Row],[S2]]+Eingabe[[#This Row],[S3]]+Eingabe[[#This Row],[S4]],Eingabe[[#This Row],[Volle]]+Eingabe[[#This Row],[Räumer]],"FEHLER")))</f>
        <v/>
      </c>
      <c r="AG601" s="6" t="str">
        <f>IF(Eingabe[[#This Row],[V1]]="","",Eingabe[[#This Row],[V1]]+Eingabe[[#This Row],[R1]])</f>
        <v/>
      </c>
      <c r="AH601" s="6" t="str">
        <f>IF(Eingabe[[#This Row],[V2]]="","",Eingabe[[#This Row],[V2]]+Eingabe[[#This Row],[R2]])</f>
        <v/>
      </c>
      <c r="AI601" s="6" t="str">
        <f>IF(Eingabe[[#This Row],[V3]]="","",Eingabe[[#This Row],[V3]]+Eingabe[[#This Row],[R3]])</f>
        <v/>
      </c>
      <c r="AJ601" s="6" t="str">
        <f>IF(Eingabe[[#This Row],[V4]]="","",Eingabe[[#This Row],[V4]]+Eingabe[[#This Row],[R4]])</f>
        <v/>
      </c>
      <c r="AK601" s="6" t="str">
        <f>IF(Eingabe[[#This Row],[S1P]]="","",Eingabe[[#This Row],[S1P]]+Eingabe[[#This Row],[S2P]]+Eingabe[[#This Row],[S3P]]+Eingabe[[#This Row],[S4P]])</f>
        <v/>
      </c>
      <c r="AL601" s="6" t="str">
        <f>IF(Eingabe[[#This Row],[S1P]]="","",IF(Eingabe[[#This Row],[SP]]&gt;2,1,IF(Eingabe[[#This Row],[SP]]&lt;2,0,IF(Eingabe[[#This Row],[GES]]&gt;Eingabe[[#This Row],[GEGGES]],1,IF(Eingabe[[#This Row],[GES]]=Eingabe[[#This Row],[GEGGES]],0.5,0)))))</f>
        <v/>
      </c>
      <c r="AM601" s="6" t="str">
        <f>IF(Eingabe[[#This Row],[MP]]="","",MOD(ROW(Eingabe[[#This Row],[Position]])-3,6)+1)</f>
        <v/>
      </c>
      <c r="AN601" s="6" t="e">
        <f>STANDARDIZE(Eingabe[[#This Row],[GES]],Eingabe[[#This Row],[Schnitt]],VLOOKUP(Eingabe[[#This Row],[Name]],AuswertungG[],21,FALSE))</f>
        <v>#VALUE!</v>
      </c>
      <c r="AO601" s="6" t="str">
        <f>VLOOKUP(Eingabe[[#This Row],[ID]],Chronologie[[ID]:[KW]],12,FALSE)</f>
        <v/>
      </c>
      <c r="AP601" s="95">
        <f>IF(Eingabe[[#This Row],[Wo]]="H",Eingabe[[#This Row],[Gegner]]&amp;" ["&amp;Eingabe[[#This Row],[Wo]]&amp;"]",Eingabe[[#This Row],[Ort]])</f>
        <v>0</v>
      </c>
      <c r="AQ601" s="6" t="str">
        <f>IFERROR(IF(Eingabe[[#This Row],[Wo]]="H",IF(MOD(Eingabe[[#This Row],[Position]],2)=1,Eingabe[[#This Row],[S1]],Eingabe[[#This Row],[S4]]),""),"")</f>
        <v/>
      </c>
      <c r="AR601" s="6" t="str">
        <f>IFERROR(IF(Eingabe[[#This Row],[Wo]]="H",IF(Eingabe[[#This Row],[S1]]&gt;0,IF(MOD(Eingabe[[#This Row],[Position]],2)=1,Eingabe[[#This Row],[S2]],Eingabe[[#This Row],[S3]]),""),""),"")</f>
        <v/>
      </c>
      <c r="AS601" s="6" t="str">
        <f>IFERROR(IF(Eingabe[[#This Row],[Wo]]="H",IF(Eingabe[[#This Row],[S1]]&gt;0,IF(MOD(ROW(Eingabe[[#This Row],[Heimbahn 3]]),2)=1,Eingabe[[#This Row],[S4]],Eingabe[[#This Row],[S1]]),""),""),"")</f>
        <v/>
      </c>
      <c r="AT601" s="6" t="str">
        <f>IFERROR(IF(Eingabe[[#This Row],[Wo]]="H",IF(Eingabe[[#This Row],[S1]]&gt;0,IF(MOD(ROW(Eingabe[[#This Row],[Heimbahn 4]]),2)=1,Eingabe[[#This Row],[S3]],Eingabe[[#This Row],[S2]]),""),""),"")</f>
        <v/>
      </c>
      <c r="AU601" s="22" t="str">
        <f>IF(Eingabe[[#This Row],[GES]]="","",IF(Eingabe[[#This Row],[Modus]]="L",_xlfn.RANK.EQ(Eingabe[[#This Row],[GES]],AF597:AF602),IF(Eingabe[[#This Row],[Modus]]="P",_xlfn.RANK.EQ(Eingabe[[#This Row],[GES]],AF597:AF602),"")))</f>
        <v/>
      </c>
      <c r="AV601" s="6" t="e">
        <f>VLOOKUP(Eingabe[[#This Row],[Name]],AuswertungG[],8,FALSE)</f>
        <v>#N/A</v>
      </c>
      <c r="AZ601" s="6" t="str">
        <f>IFERROR(ABS(Eingabe[[#This Row],[GES]]-Eingabe[[#This Row],[GEGGES]]),"")</f>
        <v/>
      </c>
    </row>
    <row r="602" spans="1:52" ht="16.2" hidden="1" thickBot="1" x14ac:dyDescent="0.35">
      <c r="A602" s="442"/>
      <c r="B602" s="56">
        <f>ROUNDUP((ROW(B602)-2)/6,0)</f>
        <v>100</v>
      </c>
      <c r="C602" s="23">
        <f>VLOOKUP($B602,Chronologie[],7,TRUE)</f>
        <v>0</v>
      </c>
      <c r="D602" s="23">
        <f>VLOOKUP($B602,Chronologie[],8,TRUE)</f>
        <v>0</v>
      </c>
      <c r="E602" s="39">
        <f>VLOOKUP($B602,Chronologie[],9,TRUE)</f>
        <v>0</v>
      </c>
      <c r="F602" s="23">
        <f>VLOOKUP($B602,Chronologie[],COLUMN(F603)-2,TRUE)</f>
        <v>0</v>
      </c>
      <c r="G602" s="23">
        <f>VLOOKUP($B602,Chronologie[],COLUMN(G603)-2,TRUE)</f>
        <v>0</v>
      </c>
      <c r="H602" s="23">
        <f>VLOOKUP($B602,Chronologie[],COLUMN(H603)-2,TRUE)</f>
        <v>0</v>
      </c>
      <c r="I602" s="13" t="str">
        <f>VLOOKUP($B602,Chronologie[],2,TRUE)</f>
        <v>--</v>
      </c>
      <c r="J602" s="244">
        <f>VLOOKUP($B602,Chronologie[],3,TRUE)</f>
        <v>0</v>
      </c>
      <c r="K602" s="239"/>
      <c r="L602" s="239"/>
      <c r="M602" s="239"/>
      <c r="N602" s="239"/>
      <c r="O602" s="239"/>
      <c r="P602" s="239"/>
      <c r="Q602" s="239"/>
      <c r="R602" s="239"/>
      <c r="S602" s="239"/>
      <c r="T602" s="239"/>
      <c r="U602" s="239"/>
      <c r="V602" s="239"/>
      <c r="W602" s="239"/>
      <c r="X602" s="40"/>
      <c r="Y602" s="40"/>
      <c r="Z602" s="40"/>
      <c r="AA602" s="40"/>
      <c r="AB602" s="92"/>
      <c r="AC602" s="96" t="str">
        <f>IF(Eingabe[[#This Row],[V1]]="",IF(Eingabe[[#This Row],[Volle alternativ]]="","",Eingabe[[#This Row],[Volle alternativ]]),SUM(Eingabe[[#This Row],[V1]:[V4]]))</f>
        <v/>
      </c>
      <c r="AD602" s="23" t="str">
        <f>IF(Eingabe[[#This Row],[R1]]="",IF(Eingabe[[#This Row],[Räumer alternativ]]="","",Eingabe[[#This Row],[Räumer alternativ]]),SUM(Eingabe[[#This Row],[R1]:[R4]]))</f>
        <v/>
      </c>
      <c r="AE602" s="23" t="str">
        <f>IF(Eingabe[[#This Row],[F1]]="",IF(Eingabe[[#This Row],[Fehler alternativ]]="","",Eingabe[[#This Row],[Fehler alternativ]]),SUM(Eingabe[[#This Row],[F1]:[F4]]))</f>
        <v/>
      </c>
      <c r="AF602" s="23" t="str">
        <f>IF(Eingabe[[#This Row],[Volle]]="","",IF(Eingabe[[#This Row],[S1]]="",Eingabe[[#This Row],[Volle]]+Eingabe[[#This Row],[Räumer]],IF(Eingabe[[#This Row],[Volle]]+Eingabe[[#This Row],[Räumer]]=Eingabe[[#This Row],[S1]]+Eingabe[[#This Row],[S2]]+Eingabe[[#This Row],[S3]]+Eingabe[[#This Row],[S4]],Eingabe[[#This Row],[Volle]]+Eingabe[[#This Row],[Räumer]],"FEHLER")))</f>
        <v/>
      </c>
      <c r="AG602" s="23" t="str">
        <f>IF(Eingabe[[#This Row],[V1]]="","",Eingabe[[#This Row],[V1]]+Eingabe[[#This Row],[R1]])</f>
        <v/>
      </c>
      <c r="AH602" s="23" t="str">
        <f>IF(Eingabe[[#This Row],[V2]]="","",Eingabe[[#This Row],[V2]]+Eingabe[[#This Row],[R2]])</f>
        <v/>
      </c>
      <c r="AI602" s="23" t="str">
        <f>IF(Eingabe[[#This Row],[V3]]="","",Eingabe[[#This Row],[V3]]+Eingabe[[#This Row],[R3]])</f>
        <v/>
      </c>
      <c r="AJ602" s="23" t="str">
        <f>IF(Eingabe[[#This Row],[V4]]="","",Eingabe[[#This Row],[V4]]+Eingabe[[#This Row],[R4]])</f>
        <v/>
      </c>
      <c r="AK602" s="23" t="str">
        <f>IF(Eingabe[[#This Row],[S1P]]="","",Eingabe[[#This Row],[S1P]]+Eingabe[[#This Row],[S2P]]+Eingabe[[#This Row],[S3P]]+Eingabe[[#This Row],[S4P]])</f>
        <v/>
      </c>
      <c r="AL602" s="23" t="str">
        <f>IF(Eingabe[[#This Row],[S1P]]="","",IF(Eingabe[[#This Row],[SP]]&gt;2,1,IF(Eingabe[[#This Row],[SP]]&lt;2,0,IF(Eingabe[[#This Row],[GES]]&gt;Eingabe[[#This Row],[GEGGES]],1,IF(Eingabe[[#This Row],[GES]]=Eingabe[[#This Row],[GEGGES]],0.5,0)))))</f>
        <v/>
      </c>
      <c r="AM602" s="23" t="str">
        <f>IF(Eingabe[[#This Row],[MP]]="","",MOD(ROW(Eingabe[[#This Row],[Position]])-3,6)+1)</f>
        <v/>
      </c>
      <c r="AN602" s="23" t="e">
        <f>STANDARDIZE(Eingabe[[#This Row],[GES]],Eingabe[[#This Row],[Schnitt]],VLOOKUP(Eingabe[[#This Row],[Name]],AuswertungG[],21,FALSE))</f>
        <v>#VALUE!</v>
      </c>
      <c r="AO602" s="23" t="str">
        <f>VLOOKUP(Eingabe[[#This Row],[ID]],Chronologie[[ID]:[KW]],12,FALSE)</f>
        <v/>
      </c>
      <c r="AP602" s="59">
        <f>IF(Eingabe[[#This Row],[Wo]]="H",Eingabe[[#This Row],[Gegner]]&amp;" ["&amp;Eingabe[[#This Row],[Wo]]&amp;"]",Eingabe[[#This Row],[Ort]])</f>
        <v>0</v>
      </c>
      <c r="AQ602" s="23" t="str">
        <f>IFERROR(IF(Eingabe[[#This Row],[Wo]]="H",IF(MOD(Eingabe[[#This Row],[Position]],2)=1,Eingabe[[#This Row],[S1]],Eingabe[[#This Row],[S4]]),""),"")</f>
        <v/>
      </c>
      <c r="AR602" s="23" t="str">
        <f>IFERROR(IF(Eingabe[[#This Row],[Wo]]="H",IF(Eingabe[[#This Row],[S1]]&gt;0,IF(MOD(Eingabe[[#This Row],[Position]],2)=1,Eingabe[[#This Row],[S2]],Eingabe[[#This Row],[S3]]),""),""),"")</f>
        <v/>
      </c>
      <c r="AS602" s="23" t="str">
        <f>IFERROR(IF(Eingabe[[#This Row],[Wo]]="H",IF(Eingabe[[#This Row],[S1]]&gt;0,IF(MOD(ROW(Eingabe[[#This Row],[Heimbahn 3]]),2)=1,Eingabe[[#This Row],[S4]],Eingabe[[#This Row],[S1]]),""),""),"")</f>
        <v/>
      </c>
      <c r="AT602" s="23" t="str">
        <f>IFERROR(IF(Eingabe[[#This Row],[Wo]]="H",IF(Eingabe[[#This Row],[S1]]&gt;0,IF(MOD(ROW(Eingabe[[#This Row],[Heimbahn 4]]),2)=1,Eingabe[[#This Row],[S3]],Eingabe[[#This Row],[S2]]),""),""),"")</f>
        <v/>
      </c>
      <c r="AU602" s="89" t="str">
        <f>IF(Eingabe[[#This Row],[GES]]="","",IF(Eingabe[[#This Row],[Modus]]="L",_xlfn.RANK.EQ(Eingabe[[#This Row],[GES]],AF597:AF602),IF(Eingabe[[#This Row],[Modus]]="P",_xlfn.RANK.EQ(Eingabe[[#This Row],[GES]],AF597:AF602),"")))</f>
        <v/>
      </c>
      <c r="AV602" s="6" t="e">
        <f>VLOOKUP(Eingabe[[#This Row],[Name]],AuswertungG[],8,FALSE)</f>
        <v>#N/A</v>
      </c>
      <c r="AZ602" s="6" t="str">
        <f>IFERROR(ABS(Eingabe[[#This Row],[GES]]-Eingabe[[#This Row],[GEGGES]]),"")</f>
        <v/>
      </c>
    </row>
    <row r="603" spans="1:52" hidden="1" x14ac:dyDescent="0.3">
      <c r="A603" s="440">
        <f t="shared" ref="A603" si="55">B603</f>
        <v>101</v>
      </c>
      <c r="B603" s="55">
        <f t="shared" ref="B603:B634" si="56">ROUNDUP((ROW(B603)-2)/6,0)</f>
        <v>101</v>
      </c>
      <c r="C603" s="35">
        <f>VLOOKUP($B603,Chronologie[],7,TRUE)</f>
        <v>0</v>
      </c>
      <c r="D603" s="35">
        <f>VLOOKUP($B603,Chronologie[],8,TRUE)</f>
        <v>0</v>
      </c>
      <c r="E603" s="36">
        <f>VLOOKUP($B603,Chronologie[],9,TRUE)</f>
        <v>0</v>
      </c>
      <c r="F603" s="35">
        <f>VLOOKUP($B603,Chronologie[],COLUMN(F604)-2,TRUE)</f>
        <v>0</v>
      </c>
      <c r="G603" s="35">
        <f>VLOOKUP($B603,Chronologie[],COLUMN(G604)-2,TRUE)</f>
        <v>0</v>
      </c>
      <c r="H603" s="35">
        <f>VLOOKUP($B603,Chronologie[],COLUMN(H604)-2,TRUE)</f>
        <v>0</v>
      </c>
      <c r="I603" s="9" t="str">
        <f>VLOOKUP($B603,Chronologie[],2,TRUE)</f>
        <v>--</v>
      </c>
      <c r="J603" s="242">
        <f>VLOOKUP($B603,Chronologie[],3,TRUE)</f>
        <v>0</v>
      </c>
      <c r="K603" s="236"/>
      <c r="L603" s="334"/>
      <c r="M603" s="334"/>
      <c r="N603" s="334"/>
      <c r="O603" s="334"/>
      <c r="P603" s="334"/>
      <c r="Q603" s="334"/>
      <c r="R603" s="334"/>
      <c r="S603" s="334"/>
      <c r="T603" s="334"/>
      <c r="U603" s="334"/>
      <c r="V603" s="334"/>
      <c r="W603" s="334"/>
      <c r="X603" s="37"/>
      <c r="Y603" s="37"/>
      <c r="Z603" s="37"/>
      <c r="AA603" s="37"/>
      <c r="AB603" s="90"/>
      <c r="AC603" s="93" t="str">
        <f>IF(Eingabe[[#This Row],[V1]]="",IF(Eingabe[[#This Row],[Volle alternativ]]="","",Eingabe[[#This Row],[Volle alternativ]]),SUM(Eingabe[[#This Row],[V1]:[V4]]))</f>
        <v/>
      </c>
      <c r="AD603" s="35" t="str">
        <f>IF(Eingabe[[#This Row],[R1]]="",IF(Eingabe[[#This Row],[Räumer alternativ]]="","",Eingabe[[#This Row],[Räumer alternativ]]),SUM(Eingabe[[#This Row],[R1]:[R4]]))</f>
        <v/>
      </c>
      <c r="AE603" s="35" t="str">
        <f>IF(Eingabe[[#This Row],[F1]]="",IF(Eingabe[[#This Row],[Fehler alternativ]]="","",Eingabe[[#This Row],[Fehler alternativ]]),SUM(Eingabe[[#This Row],[F1]:[F4]]))</f>
        <v/>
      </c>
      <c r="AF603" s="35" t="str">
        <f>IF(Eingabe[[#This Row],[Volle]]="","",IF(Eingabe[[#This Row],[S1]]="",Eingabe[[#This Row],[Volle]]+Eingabe[[#This Row],[Räumer]],IF(Eingabe[[#This Row],[Volle]]+Eingabe[[#This Row],[Räumer]]=Eingabe[[#This Row],[S1]]+Eingabe[[#This Row],[S2]]+Eingabe[[#This Row],[S3]]+Eingabe[[#This Row],[S4]],Eingabe[[#This Row],[Volle]]+Eingabe[[#This Row],[Räumer]],"FEHLER")))</f>
        <v/>
      </c>
      <c r="AG603" s="35" t="str">
        <f>IF(Eingabe[[#This Row],[V1]]="","",Eingabe[[#This Row],[V1]]+Eingabe[[#This Row],[R1]])</f>
        <v/>
      </c>
      <c r="AH603" s="35" t="str">
        <f>IF(Eingabe[[#This Row],[V2]]="","",Eingabe[[#This Row],[V2]]+Eingabe[[#This Row],[R2]])</f>
        <v/>
      </c>
      <c r="AI603" s="35" t="str">
        <f>IF(Eingabe[[#This Row],[V3]]="","",Eingabe[[#This Row],[V3]]+Eingabe[[#This Row],[R3]])</f>
        <v/>
      </c>
      <c r="AJ603" s="35" t="str">
        <f>IF(Eingabe[[#This Row],[V4]]="","",Eingabe[[#This Row],[V4]]+Eingabe[[#This Row],[R4]])</f>
        <v/>
      </c>
      <c r="AK603" s="35" t="str">
        <f>IF(Eingabe[[#This Row],[S1P]]="","",Eingabe[[#This Row],[S1P]]+Eingabe[[#This Row],[S2P]]+Eingabe[[#This Row],[S3P]]+Eingabe[[#This Row],[S4P]])</f>
        <v/>
      </c>
      <c r="AL603" s="35" t="str">
        <f>IF(Eingabe[[#This Row],[S1P]]="","",IF(Eingabe[[#This Row],[SP]]&gt;2,1,IF(Eingabe[[#This Row],[SP]]&lt;2,0,IF(Eingabe[[#This Row],[GES]]&gt;Eingabe[[#This Row],[GEGGES]],1,IF(Eingabe[[#This Row],[GES]]=Eingabe[[#This Row],[GEGGES]],0.5,0)))))</f>
        <v/>
      </c>
      <c r="AM603" s="35" t="str">
        <f>IF(Eingabe[[#This Row],[MP]]="","",MOD(ROW(Eingabe[[#This Row],[Position]])-3,6)+1)</f>
        <v/>
      </c>
      <c r="AN603" s="35" t="e">
        <f>STANDARDIZE(Eingabe[[#This Row],[GES]],Eingabe[[#This Row],[Schnitt]],VLOOKUP(Eingabe[[#This Row],[Name]],AuswertungG[],21,FALSE))</f>
        <v>#VALUE!</v>
      </c>
      <c r="AO603" s="35" t="str">
        <f>VLOOKUP(Eingabe[[#This Row],[ID]],Chronologie[[ID]:[KW]],12,FALSE)</f>
        <v/>
      </c>
      <c r="AP603" s="58">
        <f>IF(Eingabe[[#This Row],[Wo]]="H",Eingabe[[#This Row],[Gegner]]&amp;" ["&amp;Eingabe[[#This Row],[Wo]]&amp;"]",Eingabe[[#This Row],[Ort]])</f>
        <v>0</v>
      </c>
      <c r="AQ603" s="35" t="str">
        <f>IFERROR(IF(Eingabe[[#This Row],[Wo]]="H",IF(MOD(Eingabe[[#This Row],[Position]],2)=1,Eingabe[[#This Row],[S1]],Eingabe[[#This Row],[S4]]),""),"")</f>
        <v/>
      </c>
      <c r="AR603" s="35" t="str">
        <f>IFERROR(IF(Eingabe[[#This Row],[Wo]]="H",IF(Eingabe[[#This Row],[S1]]&gt;0,IF(MOD(Eingabe[[#This Row],[Position]],2)=1,Eingabe[[#This Row],[S2]],Eingabe[[#This Row],[S3]]),""),""),"")</f>
        <v/>
      </c>
      <c r="AS603" s="35" t="str">
        <f>IFERROR(IF(Eingabe[[#This Row],[Wo]]="H",IF(Eingabe[[#This Row],[S1]]&gt;0,IF(MOD(ROW(Eingabe[[#This Row],[Heimbahn 3]]),2)=1,Eingabe[[#This Row],[S4]],Eingabe[[#This Row],[S1]]),""),""),"")</f>
        <v/>
      </c>
      <c r="AT603" s="35" t="str">
        <f>IFERROR(IF(Eingabe[[#This Row],[Wo]]="H",IF(Eingabe[[#This Row],[S1]]&gt;0,IF(MOD(ROW(Eingabe[[#This Row],[Heimbahn 4]]),2)=1,Eingabe[[#This Row],[S3]],Eingabe[[#This Row],[S2]]),""),""),"")</f>
        <v/>
      </c>
      <c r="AU603" s="88" t="str">
        <f>IF(Eingabe[[#This Row],[GES]]="","",IF(Eingabe[[#This Row],[Modus]]="L",_xlfn.RANK.EQ(Eingabe[[#This Row],[GES]],AF603:AF608),IF(Eingabe[[#This Row],[Modus]]="P",_xlfn.RANK.EQ(Eingabe[[#This Row],[GES]],AF603:AF608),"")))</f>
        <v/>
      </c>
      <c r="AV603" s="6" t="e">
        <f>VLOOKUP(Eingabe[[#This Row],[Name]],AuswertungG[],8,FALSE)</f>
        <v>#N/A</v>
      </c>
      <c r="AZ603" s="6" t="str">
        <f>IFERROR(ABS(Eingabe[[#This Row],[GES]]-Eingabe[[#This Row],[GEGGES]]),"")</f>
        <v/>
      </c>
    </row>
    <row r="604" spans="1:52" hidden="1" x14ac:dyDescent="0.3">
      <c r="A604" s="441"/>
      <c r="B604" s="21">
        <f t="shared" si="56"/>
        <v>101</v>
      </c>
      <c r="C604" s="6">
        <f>VLOOKUP($B604,Chronologie[],7,TRUE)</f>
        <v>0</v>
      </c>
      <c r="D604" s="6">
        <f>VLOOKUP($B604,Chronologie[],8,TRUE)</f>
        <v>0</v>
      </c>
      <c r="E604" s="240">
        <f>VLOOKUP($B604,Chronologie[],9,TRUE)</f>
        <v>0</v>
      </c>
      <c r="F604" s="6">
        <f>VLOOKUP($B604,Chronologie[],COLUMN(F605)-2,TRUE)</f>
        <v>0</v>
      </c>
      <c r="G604" s="6">
        <f>VLOOKUP($B604,Chronologie[],COLUMN(G605)-2,TRUE)</f>
        <v>0</v>
      </c>
      <c r="H604" s="6">
        <f>VLOOKUP($B604,Chronologie[],COLUMN(H605)-2,TRUE)</f>
        <v>0</v>
      </c>
      <c r="I604" s="10" t="str">
        <f>VLOOKUP($B604,Chronologie[],2,TRUE)</f>
        <v>--</v>
      </c>
      <c r="J604" s="243">
        <f>VLOOKUP($B604,Chronologie[],3,TRUE)</f>
        <v>0</v>
      </c>
      <c r="K604" s="237"/>
      <c r="L604" s="237"/>
      <c r="M604" s="237"/>
      <c r="N604" s="237"/>
      <c r="O604" s="237"/>
      <c r="P604" s="237"/>
      <c r="Q604" s="237"/>
      <c r="R604" s="237"/>
      <c r="S604" s="237"/>
      <c r="T604" s="237"/>
      <c r="U604" s="237"/>
      <c r="V604" s="237"/>
      <c r="W604" s="237"/>
      <c r="X604" s="38"/>
      <c r="Y604" s="38"/>
      <c r="Z604" s="38"/>
      <c r="AA604" s="38"/>
      <c r="AB604" s="91"/>
      <c r="AC604" s="94" t="str">
        <f>IF(Eingabe[[#This Row],[V1]]="",IF(Eingabe[[#This Row],[Volle alternativ]]="","",Eingabe[[#This Row],[Volle alternativ]]),SUM(Eingabe[[#This Row],[V1]:[V4]]))</f>
        <v/>
      </c>
      <c r="AD604" s="6" t="str">
        <f>IF(Eingabe[[#This Row],[R1]]="",IF(Eingabe[[#This Row],[Räumer alternativ]]="","",Eingabe[[#This Row],[Räumer alternativ]]),SUM(Eingabe[[#This Row],[R1]:[R4]]))</f>
        <v/>
      </c>
      <c r="AE604" s="6" t="str">
        <f>IF(Eingabe[[#This Row],[F1]]="",IF(Eingabe[[#This Row],[Fehler alternativ]]="","",Eingabe[[#This Row],[Fehler alternativ]]),SUM(Eingabe[[#This Row],[F1]:[F4]]))</f>
        <v/>
      </c>
      <c r="AF604" s="6" t="str">
        <f>IF(Eingabe[[#This Row],[Volle]]="","",IF(Eingabe[[#This Row],[S1]]="",Eingabe[[#This Row],[Volle]]+Eingabe[[#This Row],[Räumer]],IF(Eingabe[[#This Row],[Volle]]+Eingabe[[#This Row],[Räumer]]=Eingabe[[#This Row],[S1]]+Eingabe[[#This Row],[S2]]+Eingabe[[#This Row],[S3]]+Eingabe[[#This Row],[S4]],Eingabe[[#This Row],[Volle]]+Eingabe[[#This Row],[Räumer]],"FEHLER")))</f>
        <v/>
      </c>
      <c r="AG604" s="6" t="str">
        <f>IF(Eingabe[[#This Row],[V1]]="","",Eingabe[[#This Row],[V1]]+Eingabe[[#This Row],[R1]])</f>
        <v/>
      </c>
      <c r="AH604" s="6" t="str">
        <f>IF(Eingabe[[#This Row],[V2]]="","",Eingabe[[#This Row],[V2]]+Eingabe[[#This Row],[R2]])</f>
        <v/>
      </c>
      <c r="AI604" s="6" t="str">
        <f>IF(Eingabe[[#This Row],[V3]]="","",Eingabe[[#This Row],[V3]]+Eingabe[[#This Row],[R3]])</f>
        <v/>
      </c>
      <c r="AJ604" s="6" t="str">
        <f>IF(Eingabe[[#This Row],[V4]]="","",Eingabe[[#This Row],[V4]]+Eingabe[[#This Row],[R4]])</f>
        <v/>
      </c>
      <c r="AK604" s="6" t="str">
        <f>IF(Eingabe[[#This Row],[S1P]]="","",Eingabe[[#This Row],[S1P]]+Eingabe[[#This Row],[S2P]]+Eingabe[[#This Row],[S3P]]+Eingabe[[#This Row],[S4P]])</f>
        <v/>
      </c>
      <c r="AL604" s="6" t="str">
        <f>IF(Eingabe[[#This Row],[S1P]]="","",IF(Eingabe[[#This Row],[SP]]&gt;2,1,IF(Eingabe[[#This Row],[SP]]&lt;2,0,IF(Eingabe[[#This Row],[GES]]&gt;Eingabe[[#This Row],[GEGGES]],1,IF(Eingabe[[#This Row],[GES]]=Eingabe[[#This Row],[GEGGES]],0.5,0)))))</f>
        <v/>
      </c>
      <c r="AM604" s="6" t="str">
        <f>IF(Eingabe[[#This Row],[MP]]="","",MOD(ROW(Eingabe[[#This Row],[Position]])-3,6)+1)</f>
        <v/>
      </c>
      <c r="AN604" s="6" t="e">
        <f>STANDARDIZE(Eingabe[[#This Row],[GES]],Eingabe[[#This Row],[Schnitt]],VLOOKUP(Eingabe[[#This Row],[Name]],AuswertungG[],21,FALSE))</f>
        <v>#VALUE!</v>
      </c>
      <c r="AO604" s="6" t="str">
        <f>VLOOKUP(Eingabe[[#This Row],[ID]],Chronologie[[ID]:[KW]],12,FALSE)</f>
        <v/>
      </c>
      <c r="AP604" s="95">
        <f>IF(Eingabe[[#This Row],[Wo]]="H",Eingabe[[#This Row],[Gegner]]&amp;" ["&amp;Eingabe[[#This Row],[Wo]]&amp;"]",Eingabe[[#This Row],[Ort]])</f>
        <v>0</v>
      </c>
      <c r="AQ604" s="6" t="str">
        <f>IFERROR(IF(Eingabe[[#This Row],[Wo]]="H",IF(MOD(Eingabe[[#This Row],[Position]],2)=1,Eingabe[[#This Row],[S1]],Eingabe[[#This Row],[S4]]),""),"")</f>
        <v/>
      </c>
      <c r="AR604" s="6" t="str">
        <f>IFERROR(IF(Eingabe[[#This Row],[Wo]]="H",IF(Eingabe[[#This Row],[S1]]&gt;0,IF(MOD(Eingabe[[#This Row],[Position]],2)=1,Eingabe[[#This Row],[S2]],Eingabe[[#This Row],[S3]]),""),""),"")</f>
        <v/>
      </c>
      <c r="AS604" s="6" t="str">
        <f>IFERROR(IF(Eingabe[[#This Row],[Wo]]="H",IF(Eingabe[[#This Row],[S1]]&gt;0,IF(MOD(ROW(Eingabe[[#This Row],[Heimbahn 3]]),2)=1,Eingabe[[#This Row],[S4]],Eingabe[[#This Row],[S1]]),""),""),"")</f>
        <v/>
      </c>
      <c r="AT604" s="6" t="str">
        <f>IFERROR(IF(Eingabe[[#This Row],[Wo]]="H",IF(Eingabe[[#This Row],[S1]]&gt;0,IF(MOD(ROW(Eingabe[[#This Row],[Heimbahn 4]]),2)=1,Eingabe[[#This Row],[S3]],Eingabe[[#This Row],[S2]]),""),""),"")</f>
        <v/>
      </c>
      <c r="AU604" s="22" t="str">
        <f>IF(Eingabe[[#This Row],[GES]]="","",IF(Eingabe[[#This Row],[Modus]]="L",_xlfn.RANK.EQ(Eingabe[[#This Row],[GES]],AF603:AF608),IF(Eingabe[[#This Row],[Modus]]="P",_xlfn.RANK.EQ(Eingabe[[#This Row],[GES]],AF603:AF608),"")))</f>
        <v/>
      </c>
      <c r="AV604" s="6" t="e">
        <f>VLOOKUP(Eingabe[[#This Row],[Name]],AuswertungG[],8,FALSE)</f>
        <v>#N/A</v>
      </c>
      <c r="AZ604" s="6" t="str">
        <f>IFERROR(ABS(Eingabe[[#This Row],[GES]]-Eingabe[[#This Row],[GEGGES]]),"")</f>
        <v/>
      </c>
    </row>
    <row r="605" spans="1:52" hidden="1" x14ac:dyDescent="0.3">
      <c r="A605" s="441"/>
      <c r="B605" s="21">
        <f t="shared" si="56"/>
        <v>101</v>
      </c>
      <c r="C605" s="6">
        <f>VLOOKUP($B605,Chronologie[],7,TRUE)</f>
        <v>0</v>
      </c>
      <c r="D605" s="6">
        <f>VLOOKUP($B605,Chronologie[],8,TRUE)</f>
        <v>0</v>
      </c>
      <c r="E605" s="240">
        <f>VLOOKUP($B605,Chronologie[],9,TRUE)</f>
        <v>0</v>
      </c>
      <c r="F605" s="6">
        <f>VLOOKUP($B605,Chronologie[],COLUMN(F606)-2,TRUE)</f>
        <v>0</v>
      </c>
      <c r="G605" s="6">
        <f>VLOOKUP($B605,Chronologie[],COLUMN(G606)-2,TRUE)</f>
        <v>0</v>
      </c>
      <c r="H605" s="6">
        <f>VLOOKUP($B605,Chronologie[],COLUMN(H606)-2,TRUE)</f>
        <v>0</v>
      </c>
      <c r="I605" s="10" t="str">
        <f>VLOOKUP($B605,Chronologie[],2,TRUE)</f>
        <v>--</v>
      </c>
      <c r="J605" s="243">
        <f>VLOOKUP($B605,Chronologie[],3,TRUE)</f>
        <v>0</v>
      </c>
      <c r="K605" s="237"/>
      <c r="L605" s="237"/>
      <c r="M605" s="237"/>
      <c r="N605" s="237"/>
      <c r="O605" s="237"/>
      <c r="P605" s="237"/>
      <c r="Q605" s="237"/>
      <c r="R605" s="237"/>
      <c r="S605" s="237"/>
      <c r="T605" s="237"/>
      <c r="U605" s="237"/>
      <c r="V605" s="237"/>
      <c r="W605" s="237"/>
      <c r="X605" s="38"/>
      <c r="Y605" s="38"/>
      <c r="Z605" s="38"/>
      <c r="AA605" s="38"/>
      <c r="AB605" s="91"/>
      <c r="AC605" s="94" t="str">
        <f>IF(Eingabe[[#This Row],[V1]]="",IF(Eingabe[[#This Row],[Volle alternativ]]="","",Eingabe[[#This Row],[Volle alternativ]]),SUM(Eingabe[[#This Row],[V1]:[V4]]))</f>
        <v/>
      </c>
      <c r="AD605" s="6" t="str">
        <f>IF(Eingabe[[#This Row],[R1]]="",IF(Eingabe[[#This Row],[Räumer alternativ]]="","",Eingabe[[#This Row],[Räumer alternativ]]),SUM(Eingabe[[#This Row],[R1]:[R4]]))</f>
        <v/>
      </c>
      <c r="AE605" s="6" t="str">
        <f>IF(Eingabe[[#This Row],[F1]]="",IF(Eingabe[[#This Row],[Fehler alternativ]]="","",Eingabe[[#This Row],[Fehler alternativ]]),SUM(Eingabe[[#This Row],[F1]:[F4]]))</f>
        <v/>
      </c>
      <c r="AF605" s="6" t="str">
        <f>IF(Eingabe[[#This Row],[Volle]]="","",IF(Eingabe[[#This Row],[S1]]="",Eingabe[[#This Row],[Volle]]+Eingabe[[#This Row],[Räumer]],IF(Eingabe[[#This Row],[Volle]]+Eingabe[[#This Row],[Räumer]]=Eingabe[[#This Row],[S1]]+Eingabe[[#This Row],[S2]]+Eingabe[[#This Row],[S3]]+Eingabe[[#This Row],[S4]],Eingabe[[#This Row],[Volle]]+Eingabe[[#This Row],[Räumer]],"FEHLER")))</f>
        <v/>
      </c>
      <c r="AG605" s="6" t="str">
        <f>IF(Eingabe[[#This Row],[V1]]="","",Eingabe[[#This Row],[V1]]+Eingabe[[#This Row],[R1]])</f>
        <v/>
      </c>
      <c r="AH605" s="6" t="str">
        <f>IF(Eingabe[[#This Row],[V2]]="","",Eingabe[[#This Row],[V2]]+Eingabe[[#This Row],[R2]])</f>
        <v/>
      </c>
      <c r="AI605" s="6" t="str">
        <f>IF(Eingabe[[#This Row],[V3]]="","",Eingabe[[#This Row],[V3]]+Eingabe[[#This Row],[R3]])</f>
        <v/>
      </c>
      <c r="AJ605" s="6" t="str">
        <f>IF(Eingabe[[#This Row],[V4]]="","",Eingabe[[#This Row],[V4]]+Eingabe[[#This Row],[R4]])</f>
        <v/>
      </c>
      <c r="AK605" s="6" t="str">
        <f>IF(Eingabe[[#This Row],[S1P]]="","",Eingabe[[#This Row],[S1P]]+Eingabe[[#This Row],[S2P]]+Eingabe[[#This Row],[S3P]]+Eingabe[[#This Row],[S4P]])</f>
        <v/>
      </c>
      <c r="AL605" s="6" t="str">
        <f>IF(Eingabe[[#This Row],[S1P]]="","",IF(Eingabe[[#This Row],[SP]]&gt;2,1,IF(Eingabe[[#This Row],[SP]]&lt;2,0,IF(Eingabe[[#This Row],[GES]]&gt;Eingabe[[#This Row],[GEGGES]],1,IF(Eingabe[[#This Row],[GES]]=Eingabe[[#This Row],[GEGGES]],0.5,0)))))</f>
        <v/>
      </c>
      <c r="AM605" s="6" t="str">
        <f>IF(Eingabe[[#This Row],[MP]]="","",MOD(ROW(Eingabe[[#This Row],[Position]])-3,6)+1)</f>
        <v/>
      </c>
      <c r="AN605" s="6" t="e">
        <f>STANDARDIZE(Eingabe[[#This Row],[GES]],Eingabe[[#This Row],[Schnitt]],VLOOKUP(Eingabe[[#This Row],[Name]],AuswertungG[],21,FALSE))</f>
        <v>#VALUE!</v>
      </c>
      <c r="AO605" s="6" t="str">
        <f>VLOOKUP(Eingabe[[#This Row],[ID]],Chronologie[[ID]:[KW]],12,FALSE)</f>
        <v/>
      </c>
      <c r="AP605" s="95">
        <f>IF(Eingabe[[#This Row],[Wo]]="H",Eingabe[[#This Row],[Gegner]]&amp;" ["&amp;Eingabe[[#This Row],[Wo]]&amp;"]",Eingabe[[#This Row],[Ort]])</f>
        <v>0</v>
      </c>
      <c r="AQ605" s="6" t="str">
        <f>IFERROR(IF(Eingabe[[#This Row],[Wo]]="H",IF(MOD(Eingabe[[#This Row],[Position]],2)=1,Eingabe[[#This Row],[S1]],Eingabe[[#This Row],[S4]]),""),"")</f>
        <v/>
      </c>
      <c r="AR605" s="6" t="str">
        <f>IFERROR(IF(Eingabe[[#This Row],[Wo]]="H",IF(Eingabe[[#This Row],[S1]]&gt;0,IF(MOD(Eingabe[[#This Row],[Position]],2)=1,Eingabe[[#This Row],[S2]],Eingabe[[#This Row],[S3]]),""),""),"")</f>
        <v/>
      </c>
      <c r="AS605" s="6" t="str">
        <f>IFERROR(IF(Eingabe[[#This Row],[Wo]]="H",IF(Eingabe[[#This Row],[S1]]&gt;0,IF(MOD(ROW(Eingabe[[#This Row],[Heimbahn 3]]),2)=1,Eingabe[[#This Row],[S4]],Eingabe[[#This Row],[S1]]),""),""),"")</f>
        <v/>
      </c>
      <c r="AT605" s="6" t="str">
        <f>IFERROR(IF(Eingabe[[#This Row],[Wo]]="H",IF(Eingabe[[#This Row],[S1]]&gt;0,IF(MOD(ROW(Eingabe[[#This Row],[Heimbahn 4]]),2)=1,Eingabe[[#This Row],[S3]],Eingabe[[#This Row],[S2]]),""),""),"")</f>
        <v/>
      </c>
      <c r="AU605" s="22" t="str">
        <f>IF(Eingabe[[#This Row],[GES]]="","",IF(Eingabe[[#This Row],[Modus]]="L",_xlfn.RANK.EQ(Eingabe[[#This Row],[GES]],AF603:AF608),IF(Eingabe[[#This Row],[Modus]]="P",_xlfn.RANK.EQ(Eingabe[[#This Row],[GES]],AF603:AF608),"")))</f>
        <v/>
      </c>
      <c r="AV605" s="6" t="e">
        <f>VLOOKUP(Eingabe[[#This Row],[Name]],AuswertungG[],8,FALSE)</f>
        <v>#N/A</v>
      </c>
      <c r="AZ605" s="6" t="str">
        <f>IFERROR(ABS(Eingabe[[#This Row],[GES]]-Eingabe[[#This Row],[GEGGES]]),"")</f>
        <v/>
      </c>
    </row>
    <row r="606" spans="1:52" hidden="1" x14ac:dyDescent="0.3">
      <c r="A606" s="441"/>
      <c r="B606" s="21">
        <f t="shared" si="56"/>
        <v>101</v>
      </c>
      <c r="C606" s="6">
        <f>VLOOKUP($B606,Chronologie[],7,TRUE)</f>
        <v>0</v>
      </c>
      <c r="D606" s="6">
        <f>VLOOKUP($B606,Chronologie[],8,TRUE)</f>
        <v>0</v>
      </c>
      <c r="E606" s="240">
        <f>VLOOKUP($B606,Chronologie[],9,TRUE)</f>
        <v>0</v>
      </c>
      <c r="F606" s="6">
        <f>VLOOKUP($B606,Chronologie[],COLUMN(F607)-2,TRUE)</f>
        <v>0</v>
      </c>
      <c r="G606" s="6">
        <f>VLOOKUP($B606,Chronologie[],COLUMN(G607)-2,TRUE)</f>
        <v>0</v>
      </c>
      <c r="H606" s="6">
        <f>VLOOKUP($B606,Chronologie[],COLUMN(H607)-2,TRUE)</f>
        <v>0</v>
      </c>
      <c r="I606" s="10" t="str">
        <f>VLOOKUP($B606,Chronologie[],2,TRUE)</f>
        <v>--</v>
      </c>
      <c r="J606" s="243">
        <f>VLOOKUP($B606,Chronologie[],3,TRUE)</f>
        <v>0</v>
      </c>
      <c r="K606" s="238"/>
      <c r="L606" s="237"/>
      <c r="M606" s="237"/>
      <c r="N606" s="237"/>
      <c r="O606" s="237"/>
      <c r="P606" s="237"/>
      <c r="Q606" s="237"/>
      <c r="R606" s="237"/>
      <c r="S606" s="237"/>
      <c r="T606" s="237"/>
      <c r="U606" s="237"/>
      <c r="V606" s="237"/>
      <c r="W606" s="237"/>
      <c r="X606" s="38"/>
      <c r="Y606" s="38"/>
      <c r="Z606" s="38"/>
      <c r="AA606" s="38"/>
      <c r="AB606" s="91"/>
      <c r="AC606" s="94" t="str">
        <f>IF(Eingabe[[#This Row],[V1]]="",IF(Eingabe[[#This Row],[Volle alternativ]]="","",Eingabe[[#This Row],[Volle alternativ]]),SUM(Eingabe[[#This Row],[V1]:[V4]]))</f>
        <v/>
      </c>
      <c r="AD606" s="6" t="str">
        <f>IF(Eingabe[[#This Row],[R1]]="",IF(Eingabe[[#This Row],[Räumer alternativ]]="","",Eingabe[[#This Row],[Räumer alternativ]]),SUM(Eingabe[[#This Row],[R1]:[R4]]))</f>
        <v/>
      </c>
      <c r="AE606" s="6" t="str">
        <f>IF(Eingabe[[#This Row],[F1]]="",IF(Eingabe[[#This Row],[Fehler alternativ]]="","",Eingabe[[#This Row],[Fehler alternativ]]),SUM(Eingabe[[#This Row],[F1]:[F4]]))</f>
        <v/>
      </c>
      <c r="AF606" s="6" t="str">
        <f>IF(Eingabe[[#This Row],[Volle]]="","",IF(Eingabe[[#This Row],[S1]]="",Eingabe[[#This Row],[Volle]]+Eingabe[[#This Row],[Räumer]],IF(Eingabe[[#This Row],[Volle]]+Eingabe[[#This Row],[Räumer]]=Eingabe[[#This Row],[S1]]+Eingabe[[#This Row],[S2]]+Eingabe[[#This Row],[S3]]+Eingabe[[#This Row],[S4]],Eingabe[[#This Row],[Volle]]+Eingabe[[#This Row],[Räumer]],"FEHLER")))</f>
        <v/>
      </c>
      <c r="AG606" s="6" t="str">
        <f>IF(Eingabe[[#This Row],[V1]]="","",Eingabe[[#This Row],[V1]]+Eingabe[[#This Row],[R1]])</f>
        <v/>
      </c>
      <c r="AH606" s="6" t="str">
        <f>IF(Eingabe[[#This Row],[V2]]="","",Eingabe[[#This Row],[V2]]+Eingabe[[#This Row],[R2]])</f>
        <v/>
      </c>
      <c r="AI606" s="6" t="str">
        <f>IF(Eingabe[[#This Row],[V3]]="","",Eingabe[[#This Row],[V3]]+Eingabe[[#This Row],[R3]])</f>
        <v/>
      </c>
      <c r="AJ606" s="6" t="str">
        <f>IF(Eingabe[[#This Row],[V4]]="","",Eingabe[[#This Row],[V4]]+Eingabe[[#This Row],[R4]])</f>
        <v/>
      </c>
      <c r="AK606" s="6" t="str">
        <f>IF(Eingabe[[#This Row],[S1P]]="","",Eingabe[[#This Row],[S1P]]+Eingabe[[#This Row],[S2P]]+Eingabe[[#This Row],[S3P]]+Eingabe[[#This Row],[S4P]])</f>
        <v/>
      </c>
      <c r="AL606" s="6" t="str">
        <f>IF(Eingabe[[#This Row],[S1P]]="","",IF(Eingabe[[#This Row],[SP]]&gt;2,1,IF(Eingabe[[#This Row],[SP]]&lt;2,0,IF(Eingabe[[#This Row],[GES]]&gt;Eingabe[[#This Row],[GEGGES]],1,IF(Eingabe[[#This Row],[GES]]=Eingabe[[#This Row],[GEGGES]],0.5,0)))))</f>
        <v/>
      </c>
      <c r="AM606" s="6" t="str">
        <f>IF(Eingabe[[#This Row],[MP]]="","",MOD(ROW(Eingabe[[#This Row],[Position]])-3,6)+1)</f>
        <v/>
      </c>
      <c r="AN606" s="6" t="e">
        <f>STANDARDIZE(Eingabe[[#This Row],[GES]],Eingabe[[#This Row],[Schnitt]],VLOOKUP(Eingabe[[#This Row],[Name]],AuswertungG[],21,FALSE))</f>
        <v>#VALUE!</v>
      </c>
      <c r="AO606" s="6" t="str">
        <f>VLOOKUP(Eingabe[[#This Row],[ID]],Chronologie[[ID]:[KW]],12,FALSE)</f>
        <v/>
      </c>
      <c r="AP606" s="95">
        <f>IF(Eingabe[[#This Row],[Wo]]="H",Eingabe[[#This Row],[Gegner]]&amp;" ["&amp;Eingabe[[#This Row],[Wo]]&amp;"]",Eingabe[[#This Row],[Ort]])</f>
        <v>0</v>
      </c>
      <c r="AQ606" s="6" t="str">
        <f>IFERROR(IF(Eingabe[[#This Row],[Wo]]="H",IF(MOD(Eingabe[[#This Row],[Position]],2)=1,Eingabe[[#This Row],[S1]],Eingabe[[#This Row],[S4]]),""),"")</f>
        <v/>
      </c>
      <c r="AR606" s="6" t="str">
        <f>IFERROR(IF(Eingabe[[#This Row],[Wo]]="H",IF(Eingabe[[#This Row],[S1]]&gt;0,IF(MOD(Eingabe[[#This Row],[Position]],2)=1,Eingabe[[#This Row],[S2]],Eingabe[[#This Row],[S3]]),""),""),"")</f>
        <v/>
      </c>
      <c r="AS606" s="6" t="str">
        <f>IFERROR(IF(Eingabe[[#This Row],[Wo]]="H",IF(Eingabe[[#This Row],[S1]]&gt;0,IF(MOD(ROW(Eingabe[[#This Row],[Heimbahn 3]]),2)=1,Eingabe[[#This Row],[S4]],Eingabe[[#This Row],[S1]]),""),""),"")</f>
        <v/>
      </c>
      <c r="AT606" s="6" t="str">
        <f>IFERROR(IF(Eingabe[[#This Row],[Wo]]="H",IF(Eingabe[[#This Row],[S1]]&gt;0,IF(MOD(ROW(Eingabe[[#This Row],[Heimbahn 4]]),2)=1,Eingabe[[#This Row],[S3]],Eingabe[[#This Row],[S2]]),""),""),"")</f>
        <v/>
      </c>
      <c r="AU606" s="22" t="str">
        <f>IF(Eingabe[[#This Row],[GES]]="","",IF(Eingabe[[#This Row],[Modus]]="L",_xlfn.RANK.EQ(Eingabe[[#This Row],[GES]],AF603:AF608),IF(Eingabe[[#This Row],[Modus]]="P",_xlfn.RANK.EQ(Eingabe[[#This Row],[GES]],AF603:AF608),"")))</f>
        <v/>
      </c>
      <c r="AV606" s="6" t="e">
        <f>VLOOKUP(Eingabe[[#This Row],[Name]],AuswertungG[],8,FALSE)</f>
        <v>#N/A</v>
      </c>
      <c r="AZ606" s="6" t="str">
        <f>IFERROR(ABS(Eingabe[[#This Row],[GES]]-Eingabe[[#This Row],[GEGGES]]),"")</f>
        <v/>
      </c>
    </row>
    <row r="607" spans="1:52" hidden="1" x14ac:dyDescent="0.3">
      <c r="A607" s="441"/>
      <c r="B607" s="21">
        <f t="shared" si="56"/>
        <v>101</v>
      </c>
      <c r="C607" s="6">
        <f>VLOOKUP($B607,Chronologie[],7,TRUE)</f>
        <v>0</v>
      </c>
      <c r="D607" s="6">
        <f>VLOOKUP($B607,Chronologie[],8,TRUE)</f>
        <v>0</v>
      </c>
      <c r="E607" s="240">
        <f>VLOOKUP($B607,Chronologie[],9,TRUE)</f>
        <v>0</v>
      </c>
      <c r="F607" s="6">
        <f>VLOOKUP($B607,Chronologie[],COLUMN(F608)-2,TRUE)</f>
        <v>0</v>
      </c>
      <c r="G607" s="6">
        <f>VLOOKUP($B607,Chronologie[],COLUMN(G608)-2,TRUE)</f>
        <v>0</v>
      </c>
      <c r="H607" s="6">
        <f>VLOOKUP($B607,Chronologie[],COLUMN(H608)-2,TRUE)</f>
        <v>0</v>
      </c>
      <c r="I607" s="10" t="str">
        <f>VLOOKUP($B607,Chronologie[],2,TRUE)</f>
        <v>--</v>
      </c>
      <c r="J607" s="243">
        <f>VLOOKUP($B607,Chronologie[],3,TRUE)</f>
        <v>0</v>
      </c>
      <c r="K607" s="237"/>
      <c r="L607" s="237"/>
      <c r="M607" s="237"/>
      <c r="N607" s="237"/>
      <c r="O607" s="237"/>
      <c r="P607" s="237"/>
      <c r="Q607" s="237"/>
      <c r="R607" s="237"/>
      <c r="S607" s="237"/>
      <c r="T607" s="237"/>
      <c r="U607" s="237"/>
      <c r="V607" s="237"/>
      <c r="W607" s="237"/>
      <c r="X607" s="38"/>
      <c r="Y607" s="38"/>
      <c r="Z607" s="38"/>
      <c r="AA607" s="38"/>
      <c r="AB607" s="91"/>
      <c r="AC607" s="94" t="str">
        <f>IF(Eingabe[[#This Row],[V1]]="",IF(Eingabe[[#This Row],[Volle alternativ]]="","",Eingabe[[#This Row],[Volle alternativ]]),SUM(Eingabe[[#This Row],[V1]:[V4]]))</f>
        <v/>
      </c>
      <c r="AD607" s="6" t="str">
        <f>IF(Eingabe[[#This Row],[R1]]="",IF(Eingabe[[#This Row],[Räumer alternativ]]="","",Eingabe[[#This Row],[Räumer alternativ]]),SUM(Eingabe[[#This Row],[R1]:[R4]]))</f>
        <v/>
      </c>
      <c r="AE607" s="6" t="str">
        <f>IF(Eingabe[[#This Row],[F1]]="",IF(Eingabe[[#This Row],[Fehler alternativ]]="","",Eingabe[[#This Row],[Fehler alternativ]]),SUM(Eingabe[[#This Row],[F1]:[F4]]))</f>
        <v/>
      </c>
      <c r="AF607" s="6" t="str">
        <f>IF(Eingabe[[#This Row],[Volle]]="","",IF(Eingabe[[#This Row],[S1]]="",Eingabe[[#This Row],[Volle]]+Eingabe[[#This Row],[Räumer]],IF(Eingabe[[#This Row],[Volle]]+Eingabe[[#This Row],[Räumer]]=Eingabe[[#This Row],[S1]]+Eingabe[[#This Row],[S2]]+Eingabe[[#This Row],[S3]]+Eingabe[[#This Row],[S4]],Eingabe[[#This Row],[Volle]]+Eingabe[[#This Row],[Räumer]],"FEHLER")))</f>
        <v/>
      </c>
      <c r="AG607" s="6" t="str">
        <f>IF(Eingabe[[#This Row],[V1]]="","",Eingabe[[#This Row],[V1]]+Eingabe[[#This Row],[R1]])</f>
        <v/>
      </c>
      <c r="AH607" s="6" t="str">
        <f>IF(Eingabe[[#This Row],[V2]]="","",Eingabe[[#This Row],[V2]]+Eingabe[[#This Row],[R2]])</f>
        <v/>
      </c>
      <c r="AI607" s="6" t="str">
        <f>IF(Eingabe[[#This Row],[V3]]="","",Eingabe[[#This Row],[V3]]+Eingabe[[#This Row],[R3]])</f>
        <v/>
      </c>
      <c r="AJ607" s="6" t="str">
        <f>IF(Eingabe[[#This Row],[V4]]="","",Eingabe[[#This Row],[V4]]+Eingabe[[#This Row],[R4]])</f>
        <v/>
      </c>
      <c r="AK607" s="6" t="str">
        <f>IF(Eingabe[[#This Row],[S1P]]="","",Eingabe[[#This Row],[S1P]]+Eingabe[[#This Row],[S2P]]+Eingabe[[#This Row],[S3P]]+Eingabe[[#This Row],[S4P]])</f>
        <v/>
      </c>
      <c r="AL607" s="6" t="str">
        <f>IF(Eingabe[[#This Row],[S1P]]="","",IF(Eingabe[[#This Row],[SP]]&gt;2,1,IF(Eingabe[[#This Row],[SP]]&lt;2,0,IF(Eingabe[[#This Row],[GES]]&gt;Eingabe[[#This Row],[GEGGES]],1,IF(Eingabe[[#This Row],[GES]]=Eingabe[[#This Row],[GEGGES]],0.5,0)))))</f>
        <v/>
      </c>
      <c r="AM607" s="6" t="str">
        <f>IF(Eingabe[[#This Row],[MP]]="","",MOD(ROW(Eingabe[[#This Row],[Position]])-3,6)+1)</f>
        <v/>
      </c>
      <c r="AN607" s="6" t="e">
        <f>STANDARDIZE(Eingabe[[#This Row],[GES]],Eingabe[[#This Row],[Schnitt]],VLOOKUP(Eingabe[[#This Row],[Name]],AuswertungG[],21,FALSE))</f>
        <v>#VALUE!</v>
      </c>
      <c r="AO607" s="6" t="str">
        <f>VLOOKUP(Eingabe[[#This Row],[ID]],Chronologie[[ID]:[KW]],12,FALSE)</f>
        <v/>
      </c>
      <c r="AP607" s="95">
        <f>IF(Eingabe[[#This Row],[Wo]]="H",Eingabe[[#This Row],[Gegner]]&amp;" ["&amp;Eingabe[[#This Row],[Wo]]&amp;"]",Eingabe[[#This Row],[Ort]])</f>
        <v>0</v>
      </c>
      <c r="AQ607" s="6" t="str">
        <f>IFERROR(IF(Eingabe[[#This Row],[Wo]]="H",IF(MOD(Eingabe[[#This Row],[Position]],2)=1,Eingabe[[#This Row],[S1]],Eingabe[[#This Row],[S4]]),""),"")</f>
        <v/>
      </c>
      <c r="AR607" s="6" t="str">
        <f>IFERROR(IF(Eingabe[[#This Row],[Wo]]="H",IF(Eingabe[[#This Row],[S1]]&gt;0,IF(MOD(Eingabe[[#This Row],[Position]],2)=1,Eingabe[[#This Row],[S2]],Eingabe[[#This Row],[S3]]),""),""),"")</f>
        <v/>
      </c>
      <c r="AS607" s="6" t="str">
        <f>IFERROR(IF(Eingabe[[#This Row],[Wo]]="H",IF(Eingabe[[#This Row],[S1]]&gt;0,IF(MOD(ROW(Eingabe[[#This Row],[Heimbahn 3]]),2)=1,Eingabe[[#This Row],[S4]],Eingabe[[#This Row],[S1]]),""),""),"")</f>
        <v/>
      </c>
      <c r="AT607" s="6" t="str">
        <f>IFERROR(IF(Eingabe[[#This Row],[Wo]]="H",IF(Eingabe[[#This Row],[S1]]&gt;0,IF(MOD(ROW(Eingabe[[#This Row],[Heimbahn 4]]),2)=1,Eingabe[[#This Row],[S3]],Eingabe[[#This Row],[S2]]),""),""),"")</f>
        <v/>
      </c>
      <c r="AU607" s="22" t="str">
        <f>IF(Eingabe[[#This Row],[GES]]="","",IF(Eingabe[[#This Row],[Modus]]="L",_xlfn.RANK.EQ(Eingabe[[#This Row],[GES]],AF603:AF608),IF(Eingabe[[#This Row],[Modus]]="P",_xlfn.RANK.EQ(Eingabe[[#This Row],[GES]],AF603:AF608),"")))</f>
        <v/>
      </c>
      <c r="AV607" s="6" t="e">
        <f>VLOOKUP(Eingabe[[#This Row],[Name]],AuswertungG[],8,FALSE)</f>
        <v>#N/A</v>
      </c>
      <c r="AZ607" s="6" t="str">
        <f>IFERROR(ABS(Eingabe[[#This Row],[GES]]-Eingabe[[#This Row],[GEGGES]]),"")</f>
        <v/>
      </c>
    </row>
    <row r="608" spans="1:52" ht="16.2" hidden="1" thickBot="1" x14ac:dyDescent="0.35">
      <c r="A608" s="442"/>
      <c r="B608" s="56">
        <f t="shared" si="56"/>
        <v>101</v>
      </c>
      <c r="C608" s="23">
        <f>VLOOKUP($B608,Chronologie[],7,TRUE)</f>
        <v>0</v>
      </c>
      <c r="D608" s="23">
        <f>VLOOKUP($B608,Chronologie[],8,TRUE)</f>
        <v>0</v>
      </c>
      <c r="E608" s="39">
        <f>VLOOKUP($B608,Chronologie[],9,TRUE)</f>
        <v>0</v>
      </c>
      <c r="F608" s="23">
        <f>VLOOKUP($B608,Chronologie[],COLUMN(F609)-2,TRUE)</f>
        <v>0</v>
      </c>
      <c r="G608" s="23">
        <f>VLOOKUP($B608,Chronologie[],COLUMN(G609)-2,TRUE)</f>
        <v>0</v>
      </c>
      <c r="H608" s="23">
        <f>VLOOKUP($B608,Chronologie[],COLUMN(H609)-2,TRUE)</f>
        <v>0</v>
      </c>
      <c r="I608" s="13" t="str">
        <f>VLOOKUP($B608,Chronologie[],2,TRUE)</f>
        <v>--</v>
      </c>
      <c r="J608" s="244">
        <f>VLOOKUP($B608,Chronologie[],3,TRUE)</f>
        <v>0</v>
      </c>
      <c r="K608" s="239"/>
      <c r="L608" s="239"/>
      <c r="M608" s="239"/>
      <c r="N608" s="239"/>
      <c r="O608" s="239"/>
      <c r="P608" s="239"/>
      <c r="Q608" s="239"/>
      <c r="R608" s="239"/>
      <c r="S608" s="239"/>
      <c r="T608" s="239"/>
      <c r="U608" s="239"/>
      <c r="V608" s="239"/>
      <c r="W608" s="239"/>
      <c r="X608" s="40"/>
      <c r="Y608" s="40"/>
      <c r="Z608" s="40"/>
      <c r="AA608" s="40"/>
      <c r="AB608" s="92"/>
      <c r="AC608" s="96" t="str">
        <f>IF(Eingabe[[#This Row],[V1]]="",IF(Eingabe[[#This Row],[Volle alternativ]]="","",Eingabe[[#This Row],[Volle alternativ]]),SUM(Eingabe[[#This Row],[V1]:[V4]]))</f>
        <v/>
      </c>
      <c r="AD608" s="23" t="str">
        <f>IF(Eingabe[[#This Row],[R1]]="",IF(Eingabe[[#This Row],[Räumer alternativ]]="","",Eingabe[[#This Row],[Räumer alternativ]]),SUM(Eingabe[[#This Row],[R1]:[R4]]))</f>
        <v/>
      </c>
      <c r="AE608" s="23" t="str">
        <f>IF(Eingabe[[#This Row],[F1]]="",IF(Eingabe[[#This Row],[Fehler alternativ]]="","",Eingabe[[#This Row],[Fehler alternativ]]),SUM(Eingabe[[#This Row],[F1]:[F4]]))</f>
        <v/>
      </c>
      <c r="AF608" s="23" t="str">
        <f>IF(Eingabe[[#This Row],[Volle]]="","",IF(Eingabe[[#This Row],[S1]]="",Eingabe[[#This Row],[Volle]]+Eingabe[[#This Row],[Räumer]],IF(Eingabe[[#This Row],[Volle]]+Eingabe[[#This Row],[Räumer]]=Eingabe[[#This Row],[S1]]+Eingabe[[#This Row],[S2]]+Eingabe[[#This Row],[S3]]+Eingabe[[#This Row],[S4]],Eingabe[[#This Row],[Volle]]+Eingabe[[#This Row],[Räumer]],"FEHLER")))</f>
        <v/>
      </c>
      <c r="AG608" s="23" t="str">
        <f>IF(Eingabe[[#This Row],[V1]]="","",Eingabe[[#This Row],[V1]]+Eingabe[[#This Row],[R1]])</f>
        <v/>
      </c>
      <c r="AH608" s="23" t="str">
        <f>IF(Eingabe[[#This Row],[V2]]="","",Eingabe[[#This Row],[V2]]+Eingabe[[#This Row],[R2]])</f>
        <v/>
      </c>
      <c r="AI608" s="23" t="str">
        <f>IF(Eingabe[[#This Row],[V3]]="","",Eingabe[[#This Row],[V3]]+Eingabe[[#This Row],[R3]])</f>
        <v/>
      </c>
      <c r="AJ608" s="23" t="str">
        <f>IF(Eingabe[[#This Row],[V4]]="","",Eingabe[[#This Row],[V4]]+Eingabe[[#This Row],[R4]])</f>
        <v/>
      </c>
      <c r="AK608" s="23" t="str">
        <f>IF(Eingabe[[#This Row],[S1P]]="","",Eingabe[[#This Row],[S1P]]+Eingabe[[#This Row],[S2P]]+Eingabe[[#This Row],[S3P]]+Eingabe[[#This Row],[S4P]])</f>
        <v/>
      </c>
      <c r="AL608" s="23" t="str">
        <f>IF(Eingabe[[#This Row],[S1P]]="","",IF(Eingabe[[#This Row],[SP]]&gt;2,1,IF(Eingabe[[#This Row],[SP]]&lt;2,0,IF(Eingabe[[#This Row],[GES]]&gt;Eingabe[[#This Row],[GEGGES]],1,IF(Eingabe[[#This Row],[GES]]=Eingabe[[#This Row],[GEGGES]],0.5,0)))))</f>
        <v/>
      </c>
      <c r="AM608" s="23" t="str">
        <f>IF(Eingabe[[#This Row],[MP]]="","",MOD(ROW(Eingabe[[#This Row],[Position]])-3,6)+1)</f>
        <v/>
      </c>
      <c r="AN608" s="23" t="e">
        <f>STANDARDIZE(Eingabe[[#This Row],[GES]],Eingabe[[#This Row],[Schnitt]],VLOOKUP(Eingabe[[#This Row],[Name]],AuswertungG[],21,FALSE))</f>
        <v>#VALUE!</v>
      </c>
      <c r="AO608" s="23" t="str">
        <f>VLOOKUP(Eingabe[[#This Row],[ID]],Chronologie[[ID]:[KW]],12,FALSE)</f>
        <v/>
      </c>
      <c r="AP608" s="59">
        <f>IF(Eingabe[[#This Row],[Wo]]="H",Eingabe[[#This Row],[Gegner]]&amp;" ["&amp;Eingabe[[#This Row],[Wo]]&amp;"]",Eingabe[[#This Row],[Ort]])</f>
        <v>0</v>
      </c>
      <c r="AQ608" s="23" t="str">
        <f>IFERROR(IF(Eingabe[[#This Row],[Wo]]="H",IF(MOD(Eingabe[[#This Row],[Position]],2)=1,Eingabe[[#This Row],[S1]],Eingabe[[#This Row],[S4]]),""),"")</f>
        <v/>
      </c>
      <c r="AR608" s="23" t="str">
        <f>IFERROR(IF(Eingabe[[#This Row],[Wo]]="H",IF(Eingabe[[#This Row],[S1]]&gt;0,IF(MOD(Eingabe[[#This Row],[Position]],2)=1,Eingabe[[#This Row],[S2]],Eingabe[[#This Row],[S3]]),""),""),"")</f>
        <v/>
      </c>
      <c r="AS608" s="23" t="str">
        <f>IFERROR(IF(Eingabe[[#This Row],[Wo]]="H",IF(Eingabe[[#This Row],[S1]]&gt;0,IF(MOD(ROW(Eingabe[[#This Row],[Heimbahn 3]]),2)=1,Eingabe[[#This Row],[S4]],Eingabe[[#This Row],[S1]]),""),""),"")</f>
        <v/>
      </c>
      <c r="AT608" s="23" t="str">
        <f>IFERROR(IF(Eingabe[[#This Row],[Wo]]="H",IF(Eingabe[[#This Row],[S1]]&gt;0,IF(MOD(ROW(Eingabe[[#This Row],[Heimbahn 4]]),2)=1,Eingabe[[#This Row],[S3]],Eingabe[[#This Row],[S2]]),""),""),"")</f>
        <v/>
      </c>
      <c r="AU608" s="89" t="str">
        <f>IF(Eingabe[[#This Row],[GES]]="","",IF(Eingabe[[#This Row],[Modus]]="L",_xlfn.RANK.EQ(Eingabe[[#This Row],[GES]],AF603:AF608),IF(Eingabe[[#This Row],[Modus]]="P",_xlfn.RANK.EQ(Eingabe[[#This Row],[GES]],AF603:AF608),"")))</f>
        <v/>
      </c>
      <c r="AV608" s="6" t="e">
        <f>VLOOKUP(Eingabe[[#This Row],[Name]],AuswertungG[],8,FALSE)</f>
        <v>#N/A</v>
      </c>
      <c r="AZ608" s="6" t="str">
        <f>IFERROR(ABS(Eingabe[[#This Row],[GES]]-Eingabe[[#This Row],[GEGGES]]),"")</f>
        <v/>
      </c>
    </row>
    <row r="609" spans="1:52" hidden="1" x14ac:dyDescent="0.3">
      <c r="A609" s="440">
        <f t="shared" ref="A609" si="57">B609</f>
        <v>102</v>
      </c>
      <c r="B609" s="55">
        <f t="shared" si="56"/>
        <v>102</v>
      </c>
      <c r="C609" s="35">
        <f>VLOOKUP($B609,Chronologie[],7,TRUE)</f>
        <v>0</v>
      </c>
      <c r="D609" s="35">
        <f>VLOOKUP($B609,Chronologie[],8,TRUE)</f>
        <v>0</v>
      </c>
      <c r="E609" s="36">
        <f>VLOOKUP($B609,Chronologie[],9,TRUE)</f>
        <v>0</v>
      </c>
      <c r="F609" s="35">
        <f>VLOOKUP($B609,Chronologie[],COLUMN(F610)-2,TRUE)</f>
        <v>0</v>
      </c>
      <c r="G609" s="35">
        <f>VLOOKUP($B609,Chronologie[],COLUMN(G610)-2,TRUE)</f>
        <v>0</v>
      </c>
      <c r="H609" s="35">
        <f>VLOOKUP($B609,Chronologie[],COLUMN(H610)-2,TRUE)</f>
        <v>0</v>
      </c>
      <c r="I609" s="9" t="str">
        <f>VLOOKUP($B609,Chronologie[],2,TRUE)</f>
        <v>--</v>
      </c>
      <c r="J609" s="242">
        <f>VLOOKUP($B609,Chronologie[],3,TRUE)</f>
        <v>0</v>
      </c>
      <c r="K609" s="236"/>
      <c r="L609" s="334"/>
      <c r="M609" s="334"/>
      <c r="N609" s="334"/>
      <c r="O609" s="334"/>
      <c r="P609" s="334"/>
      <c r="Q609" s="334"/>
      <c r="R609" s="334"/>
      <c r="S609" s="334"/>
      <c r="T609" s="334"/>
      <c r="U609" s="334"/>
      <c r="V609" s="334"/>
      <c r="W609" s="334"/>
      <c r="X609" s="37"/>
      <c r="Y609" s="37"/>
      <c r="Z609" s="37"/>
      <c r="AA609" s="37"/>
      <c r="AB609" s="90"/>
      <c r="AC609" s="93" t="str">
        <f>IF(Eingabe[[#This Row],[V1]]="",IF(Eingabe[[#This Row],[Volle alternativ]]="","",Eingabe[[#This Row],[Volle alternativ]]),SUM(Eingabe[[#This Row],[V1]:[V4]]))</f>
        <v/>
      </c>
      <c r="AD609" s="35" t="str">
        <f>IF(Eingabe[[#This Row],[R1]]="",IF(Eingabe[[#This Row],[Räumer alternativ]]="","",Eingabe[[#This Row],[Räumer alternativ]]),SUM(Eingabe[[#This Row],[R1]:[R4]]))</f>
        <v/>
      </c>
      <c r="AE609" s="35" t="str">
        <f>IF(Eingabe[[#This Row],[F1]]="",IF(Eingabe[[#This Row],[Fehler alternativ]]="","",Eingabe[[#This Row],[Fehler alternativ]]),SUM(Eingabe[[#This Row],[F1]:[F4]]))</f>
        <v/>
      </c>
      <c r="AF609" s="35" t="str">
        <f>IF(Eingabe[[#This Row],[Volle]]="","",IF(Eingabe[[#This Row],[S1]]="",Eingabe[[#This Row],[Volle]]+Eingabe[[#This Row],[Räumer]],IF(Eingabe[[#This Row],[Volle]]+Eingabe[[#This Row],[Räumer]]=Eingabe[[#This Row],[S1]]+Eingabe[[#This Row],[S2]]+Eingabe[[#This Row],[S3]]+Eingabe[[#This Row],[S4]],Eingabe[[#This Row],[Volle]]+Eingabe[[#This Row],[Räumer]],"FEHLER")))</f>
        <v/>
      </c>
      <c r="AG609" s="35" t="str">
        <f>IF(Eingabe[[#This Row],[V1]]="","",Eingabe[[#This Row],[V1]]+Eingabe[[#This Row],[R1]])</f>
        <v/>
      </c>
      <c r="AH609" s="35" t="str">
        <f>IF(Eingabe[[#This Row],[V2]]="","",Eingabe[[#This Row],[V2]]+Eingabe[[#This Row],[R2]])</f>
        <v/>
      </c>
      <c r="AI609" s="35" t="str">
        <f>IF(Eingabe[[#This Row],[V3]]="","",Eingabe[[#This Row],[V3]]+Eingabe[[#This Row],[R3]])</f>
        <v/>
      </c>
      <c r="AJ609" s="35" t="str">
        <f>IF(Eingabe[[#This Row],[V4]]="","",Eingabe[[#This Row],[V4]]+Eingabe[[#This Row],[R4]])</f>
        <v/>
      </c>
      <c r="AK609" s="35" t="str">
        <f>IF(Eingabe[[#This Row],[S1P]]="","",Eingabe[[#This Row],[S1P]]+Eingabe[[#This Row],[S2P]]+Eingabe[[#This Row],[S3P]]+Eingabe[[#This Row],[S4P]])</f>
        <v/>
      </c>
      <c r="AL609" s="35" t="str">
        <f>IF(Eingabe[[#This Row],[S1P]]="","",IF(Eingabe[[#This Row],[SP]]&gt;2,1,IF(Eingabe[[#This Row],[SP]]&lt;2,0,IF(Eingabe[[#This Row],[GES]]&gt;Eingabe[[#This Row],[GEGGES]],1,IF(Eingabe[[#This Row],[GES]]=Eingabe[[#This Row],[GEGGES]],0.5,0)))))</f>
        <v/>
      </c>
      <c r="AM609" s="35" t="str">
        <f>IF(Eingabe[[#This Row],[MP]]="","",MOD(ROW(Eingabe[[#This Row],[Position]])-3,6)+1)</f>
        <v/>
      </c>
      <c r="AN609" s="35" t="e">
        <f>STANDARDIZE(Eingabe[[#This Row],[GES]],Eingabe[[#This Row],[Schnitt]],VLOOKUP(Eingabe[[#This Row],[Name]],AuswertungG[],21,FALSE))</f>
        <v>#VALUE!</v>
      </c>
      <c r="AO609" s="35" t="str">
        <f>VLOOKUP(Eingabe[[#This Row],[ID]],Chronologie[[ID]:[KW]],12,FALSE)</f>
        <v/>
      </c>
      <c r="AP609" s="58">
        <f>IF(Eingabe[[#This Row],[Wo]]="H",Eingabe[[#This Row],[Gegner]]&amp;" ["&amp;Eingabe[[#This Row],[Wo]]&amp;"]",Eingabe[[#This Row],[Ort]])</f>
        <v>0</v>
      </c>
      <c r="AQ609" s="35" t="str">
        <f>IFERROR(IF(Eingabe[[#This Row],[Wo]]="H",IF(MOD(Eingabe[[#This Row],[Position]],2)=1,Eingabe[[#This Row],[S1]],Eingabe[[#This Row],[S4]]),""),"")</f>
        <v/>
      </c>
      <c r="AR609" s="35" t="str">
        <f>IFERROR(IF(Eingabe[[#This Row],[Wo]]="H",IF(Eingabe[[#This Row],[S1]]&gt;0,IF(MOD(Eingabe[[#This Row],[Position]],2)=1,Eingabe[[#This Row],[S2]],Eingabe[[#This Row],[S3]]),""),""),"")</f>
        <v/>
      </c>
      <c r="AS609" s="35" t="str">
        <f>IFERROR(IF(Eingabe[[#This Row],[Wo]]="H",IF(Eingabe[[#This Row],[S1]]&gt;0,IF(MOD(ROW(Eingabe[[#This Row],[Heimbahn 3]]),2)=1,Eingabe[[#This Row],[S4]],Eingabe[[#This Row],[S1]]),""),""),"")</f>
        <v/>
      </c>
      <c r="AT609" s="35" t="str">
        <f>IFERROR(IF(Eingabe[[#This Row],[Wo]]="H",IF(Eingabe[[#This Row],[S1]]&gt;0,IF(MOD(ROW(Eingabe[[#This Row],[Heimbahn 4]]),2)=1,Eingabe[[#This Row],[S3]],Eingabe[[#This Row],[S2]]),""),""),"")</f>
        <v/>
      </c>
      <c r="AU609" s="88" t="str">
        <f>IF(Eingabe[[#This Row],[GES]]="","",IF(Eingabe[[#This Row],[Modus]]="L",_xlfn.RANK.EQ(Eingabe[[#This Row],[GES]],AF609:AF614),IF(Eingabe[[#This Row],[Modus]]="P",_xlfn.RANK.EQ(Eingabe[[#This Row],[GES]],AF609:AF614),"")))</f>
        <v/>
      </c>
      <c r="AV609" s="6" t="e">
        <f>VLOOKUP(Eingabe[[#This Row],[Name]],AuswertungG[],8,FALSE)</f>
        <v>#N/A</v>
      </c>
      <c r="AZ609" s="6" t="str">
        <f>IFERROR(ABS(Eingabe[[#This Row],[GES]]-Eingabe[[#This Row],[GEGGES]]),"")</f>
        <v/>
      </c>
    </row>
    <row r="610" spans="1:52" hidden="1" x14ac:dyDescent="0.3">
      <c r="A610" s="441"/>
      <c r="B610" s="21">
        <f t="shared" si="56"/>
        <v>102</v>
      </c>
      <c r="C610" s="6">
        <f>VLOOKUP($B610,Chronologie[],7,TRUE)</f>
        <v>0</v>
      </c>
      <c r="D610" s="6">
        <f>VLOOKUP($B610,Chronologie[],8,TRUE)</f>
        <v>0</v>
      </c>
      <c r="E610" s="240">
        <f>VLOOKUP($B610,Chronologie[],9,TRUE)</f>
        <v>0</v>
      </c>
      <c r="F610" s="6">
        <f>VLOOKUP($B610,Chronologie[],COLUMN(F611)-2,TRUE)</f>
        <v>0</v>
      </c>
      <c r="G610" s="6">
        <f>VLOOKUP($B610,Chronologie[],COLUMN(G611)-2,TRUE)</f>
        <v>0</v>
      </c>
      <c r="H610" s="6">
        <f>VLOOKUP($B610,Chronologie[],COLUMN(H611)-2,TRUE)</f>
        <v>0</v>
      </c>
      <c r="I610" s="10" t="str">
        <f>VLOOKUP($B610,Chronologie[],2,TRUE)</f>
        <v>--</v>
      </c>
      <c r="J610" s="243">
        <f>VLOOKUP($B610,Chronologie[],3,TRUE)</f>
        <v>0</v>
      </c>
      <c r="K610" s="237"/>
      <c r="L610" s="237"/>
      <c r="M610" s="237"/>
      <c r="N610" s="237"/>
      <c r="O610" s="237"/>
      <c r="P610" s="237"/>
      <c r="Q610" s="237"/>
      <c r="R610" s="237"/>
      <c r="S610" s="237"/>
      <c r="T610" s="237"/>
      <c r="U610" s="237"/>
      <c r="V610" s="237"/>
      <c r="W610" s="237"/>
      <c r="X610" s="38"/>
      <c r="Y610" s="38"/>
      <c r="Z610" s="38"/>
      <c r="AA610" s="38"/>
      <c r="AB610" s="91"/>
      <c r="AC610" s="94" t="str">
        <f>IF(Eingabe[[#This Row],[V1]]="",IF(Eingabe[[#This Row],[Volle alternativ]]="","",Eingabe[[#This Row],[Volle alternativ]]),SUM(Eingabe[[#This Row],[V1]:[V4]]))</f>
        <v/>
      </c>
      <c r="AD610" s="6" t="str">
        <f>IF(Eingabe[[#This Row],[R1]]="",IF(Eingabe[[#This Row],[Räumer alternativ]]="","",Eingabe[[#This Row],[Räumer alternativ]]),SUM(Eingabe[[#This Row],[R1]:[R4]]))</f>
        <v/>
      </c>
      <c r="AE610" s="6" t="str">
        <f>IF(Eingabe[[#This Row],[F1]]="",IF(Eingabe[[#This Row],[Fehler alternativ]]="","",Eingabe[[#This Row],[Fehler alternativ]]),SUM(Eingabe[[#This Row],[F1]:[F4]]))</f>
        <v/>
      </c>
      <c r="AF610" s="6" t="str">
        <f>IF(Eingabe[[#This Row],[Volle]]="","",IF(Eingabe[[#This Row],[S1]]="",Eingabe[[#This Row],[Volle]]+Eingabe[[#This Row],[Räumer]],IF(Eingabe[[#This Row],[Volle]]+Eingabe[[#This Row],[Räumer]]=Eingabe[[#This Row],[S1]]+Eingabe[[#This Row],[S2]]+Eingabe[[#This Row],[S3]]+Eingabe[[#This Row],[S4]],Eingabe[[#This Row],[Volle]]+Eingabe[[#This Row],[Räumer]],"FEHLER")))</f>
        <v/>
      </c>
      <c r="AG610" s="6" t="str">
        <f>IF(Eingabe[[#This Row],[V1]]="","",Eingabe[[#This Row],[V1]]+Eingabe[[#This Row],[R1]])</f>
        <v/>
      </c>
      <c r="AH610" s="6" t="str">
        <f>IF(Eingabe[[#This Row],[V2]]="","",Eingabe[[#This Row],[V2]]+Eingabe[[#This Row],[R2]])</f>
        <v/>
      </c>
      <c r="AI610" s="6" t="str">
        <f>IF(Eingabe[[#This Row],[V3]]="","",Eingabe[[#This Row],[V3]]+Eingabe[[#This Row],[R3]])</f>
        <v/>
      </c>
      <c r="AJ610" s="6" t="str">
        <f>IF(Eingabe[[#This Row],[V4]]="","",Eingabe[[#This Row],[V4]]+Eingabe[[#This Row],[R4]])</f>
        <v/>
      </c>
      <c r="AK610" s="6" t="str">
        <f>IF(Eingabe[[#This Row],[S1P]]="","",Eingabe[[#This Row],[S1P]]+Eingabe[[#This Row],[S2P]]+Eingabe[[#This Row],[S3P]]+Eingabe[[#This Row],[S4P]])</f>
        <v/>
      </c>
      <c r="AL610" s="6" t="str">
        <f>IF(Eingabe[[#This Row],[S1P]]="","",IF(Eingabe[[#This Row],[SP]]&gt;2,1,IF(Eingabe[[#This Row],[SP]]&lt;2,0,IF(Eingabe[[#This Row],[GES]]&gt;Eingabe[[#This Row],[GEGGES]],1,IF(Eingabe[[#This Row],[GES]]=Eingabe[[#This Row],[GEGGES]],0.5,0)))))</f>
        <v/>
      </c>
      <c r="AM610" s="6" t="str">
        <f>IF(Eingabe[[#This Row],[MP]]="","",MOD(ROW(Eingabe[[#This Row],[Position]])-3,6)+1)</f>
        <v/>
      </c>
      <c r="AN610" s="6" t="e">
        <f>STANDARDIZE(Eingabe[[#This Row],[GES]],Eingabe[[#This Row],[Schnitt]],VLOOKUP(Eingabe[[#This Row],[Name]],AuswertungG[],21,FALSE))</f>
        <v>#VALUE!</v>
      </c>
      <c r="AO610" s="6" t="str">
        <f>VLOOKUP(Eingabe[[#This Row],[ID]],Chronologie[[ID]:[KW]],12,FALSE)</f>
        <v/>
      </c>
      <c r="AP610" s="95">
        <f>IF(Eingabe[[#This Row],[Wo]]="H",Eingabe[[#This Row],[Gegner]]&amp;" ["&amp;Eingabe[[#This Row],[Wo]]&amp;"]",Eingabe[[#This Row],[Ort]])</f>
        <v>0</v>
      </c>
      <c r="AQ610" s="6" t="str">
        <f>IFERROR(IF(Eingabe[[#This Row],[Wo]]="H",IF(MOD(Eingabe[[#This Row],[Position]],2)=1,Eingabe[[#This Row],[S1]],Eingabe[[#This Row],[S4]]),""),"")</f>
        <v/>
      </c>
      <c r="AR610" s="6" t="str">
        <f>IFERROR(IF(Eingabe[[#This Row],[Wo]]="H",IF(Eingabe[[#This Row],[S1]]&gt;0,IF(MOD(Eingabe[[#This Row],[Position]],2)=1,Eingabe[[#This Row],[S2]],Eingabe[[#This Row],[S3]]),""),""),"")</f>
        <v/>
      </c>
      <c r="AS610" s="6" t="str">
        <f>IFERROR(IF(Eingabe[[#This Row],[Wo]]="H",IF(Eingabe[[#This Row],[S1]]&gt;0,IF(MOD(ROW(Eingabe[[#This Row],[Heimbahn 3]]),2)=1,Eingabe[[#This Row],[S4]],Eingabe[[#This Row],[S1]]),""),""),"")</f>
        <v/>
      </c>
      <c r="AT610" s="6" t="str">
        <f>IFERROR(IF(Eingabe[[#This Row],[Wo]]="H",IF(Eingabe[[#This Row],[S1]]&gt;0,IF(MOD(ROW(Eingabe[[#This Row],[Heimbahn 4]]),2)=1,Eingabe[[#This Row],[S3]],Eingabe[[#This Row],[S2]]),""),""),"")</f>
        <v/>
      </c>
      <c r="AU610" s="22" t="str">
        <f>IF(Eingabe[[#This Row],[GES]]="","",IF(Eingabe[[#This Row],[Modus]]="L",_xlfn.RANK.EQ(Eingabe[[#This Row],[GES]],AF609:AF614),IF(Eingabe[[#This Row],[Modus]]="P",_xlfn.RANK.EQ(Eingabe[[#This Row],[GES]],AF609:AF614),"")))</f>
        <v/>
      </c>
      <c r="AV610" s="6" t="e">
        <f>VLOOKUP(Eingabe[[#This Row],[Name]],AuswertungG[],8,FALSE)</f>
        <v>#N/A</v>
      </c>
      <c r="AZ610" s="6" t="str">
        <f>IFERROR(ABS(Eingabe[[#This Row],[GES]]-Eingabe[[#This Row],[GEGGES]]),"")</f>
        <v/>
      </c>
    </row>
    <row r="611" spans="1:52" hidden="1" x14ac:dyDescent="0.3">
      <c r="A611" s="441"/>
      <c r="B611" s="21">
        <f t="shared" si="56"/>
        <v>102</v>
      </c>
      <c r="C611" s="6">
        <f>VLOOKUP($B611,Chronologie[],7,TRUE)</f>
        <v>0</v>
      </c>
      <c r="D611" s="6">
        <f>VLOOKUP($B611,Chronologie[],8,TRUE)</f>
        <v>0</v>
      </c>
      <c r="E611" s="240">
        <f>VLOOKUP($B611,Chronologie[],9,TRUE)</f>
        <v>0</v>
      </c>
      <c r="F611" s="6">
        <f>VLOOKUP($B611,Chronologie[],COLUMN(F612)-2,TRUE)</f>
        <v>0</v>
      </c>
      <c r="G611" s="6">
        <f>VLOOKUP($B611,Chronologie[],COLUMN(G612)-2,TRUE)</f>
        <v>0</v>
      </c>
      <c r="H611" s="6">
        <f>VLOOKUP($B611,Chronologie[],COLUMN(H612)-2,TRUE)</f>
        <v>0</v>
      </c>
      <c r="I611" s="10" t="str">
        <f>VLOOKUP($B611,Chronologie[],2,TRUE)</f>
        <v>--</v>
      </c>
      <c r="J611" s="243">
        <f>VLOOKUP($B611,Chronologie[],3,TRUE)</f>
        <v>0</v>
      </c>
      <c r="K611" s="237"/>
      <c r="L611" s="237"/>
      <c r="M611" s="237"/>
      <c r="N611" s="237"/>
      <c r="O611" s="237"/>
      <c r="P611" s="237"/>
      <c r="Q611" s="237"/>
      <c r="R611" s="237"/>
      <c r="S611" s="237"/>
      <c r="T611" s="237"/>
      <c r="U611" s="237"/>
      <c r="V611" s="237"/>
      <c r="W611" s="237"/>
      <c r="X611" s="38"/>
      <c r="Y611" s="38"/>
      <c r="Z611" s="38"/>
      <c r="AA611" s="38"/>
      <c r="AB611" s="91"/>
      <c r="AC611" s="94" t="str">
        <f>IF(Eingabe[[#This Row],[V1]]="",IF(Eingabe[[#This Row],[Volle alternativ]]="","",Eingabe[[#This Row],[Volle alternativ]]),SUM(Eingabe[[#This Row],[V1]:[V4]]))</f>
        <v/>
      </c>
      <c r="AD611" s="6" t="str">
        <f>IF(Eingabe[[#This Row],[R1]]="",IF(Eingabe[[#This Row],[Räumer alternativ]]="","",Eingabe[[#This Row],[Räumer alternativ]]),SUM(Eingabe[[#This Row],[R1]:[R4]]))</f>
        <v/>
      </c>
      <c r="AE611" s="6" t="str">
        <f>IF(Eingabe[[#This Row],[F1]]="",IF(Eingabe[[#This Row],[Fehler alternativ]]="","",Eingabe[[#This Row],[Fehler alternativ]]),SUM(Eingabe[[#This Row],[F1]:[F4]]))</f>
        <v/>
      </c>
      <c r="AF611" s="6" t="str">
        <f>IF(Eingabe[[#This Row],[Volle]]="","",IF(Eingabe[[#This Row],[S1]]="",Eingabe[[#This Row],[Volle]]+Eingabe[[#This Row],[Räumer]],IF(Eingabe[[#This Row],[Volle]]+Eingabe[[#This Row],[Räumer]]=Eingabe[[#This Row],[S1]]+Eingabe[[#This Row],[S2]]+Eingabe[[#This Row],[S3]]+Eingabe[[#This Row],[S4]],Eingabe[[#This Row],[Volle]]+Eingabe[[#This Row],[Räumer]],"FEHLER")))</f>
        <v/>
      </c>
      <c r="AG611" s="6" t="str">
        <f>IF(Eingabe[[#This Row],[V1]]="","",Eingabe[[#This Row],[V1]]+Eingabe[[#This Row],[R1]])</f>
        <v/>
      </c>
      <c r="AH611" s="6" t="str">
        <f>IF(Eingabe[[#This Row],[V2]]="","",Eingabe[[#This Row],[V2]]+Eingabe[[#This Row],[R2]])</f>
        <v/>
      </c>
      <c r="AI611" s="6" t="str">
        <f>IF(Eingabe[[#This Row],[V3]]="","",Eingabe[[#This Row],[V3]]+Eingabe[[#This Row],[R3]])</f>
        <v/>
      </c>
      <c r="AJ611" s="6" t="str">
        <f>IF(Eingabe[[#This Row],[V4]]="","",Eingabe[[#This Row],[V4]]+Eingabe[[#This Row],[R4]])</f>
        <v/>
      </c>
      <c r="AK611" s="6" t="str">
        <f>IF(Eingabe[[#This Row],[S1P]]="","",Eingabe[[#This Row],[S1P]]+Eingabe[[#This Row],[S2P]]+Eingabe[[#This Row],[S3P]]+Eingabe[[#This Row],[S4P]])</f>
        <v/>
      </c>
      <c r="AL611" s="6" t="str">
        <f>IF(Eingabe[[#This Row],[S1P]]="","",IF(Eingabe[[#This Row],[SP]]&gt;2,1,IF(Eingabe[[#This Row],[SP]]&lt;2,0,IF(Eingabe[[#This Row],[GES]]&gt;Eingabe[[#This Row],[GEGGES]],1,IF(Eingabe[[#This Row],[GES]]=Eingabe[[#This Row],[GEGGES]],0.5,0)))))</f>
        <v/>
      </c>
      <c r="AM611" s="6" t="str">
        <f>IF(Eingabe[[#This Row],[MP]]="","",MOD(ROW(Eingabe[[#This Row],[Position]])-3,6)+1)</f>
        <v/>
      </c>
      <c r="AN611" s="6" t="e">
        <f>STANDARDIZE(Eingabe[[#This Row],[GES]],Eingabe[[#This Row],[Schnitt]],VLOOKUP(Eingabe[[#This Row],[Name]],AuswertungG[],21,FALSE))</f>
        <v>#VALUE!</v>
      </c>
      <c r="AO611" s="6" t="str">
        <f>VLOOKUP(Eingabe[[#This Row],[ID]],Chronologie[[ID]:[KW]],12,FALSE)</f>
        <v/>
      </c>
      <c r="AP611" s="95">
        <f>IF(Eingabe[[#This Row],[Wo]]="H",Eingabe[[#This Row],[Gegner]]&amp;" ["&amp;Eingabe[[#This Row],[Wo]]&amp;"]",Eingabe[[#This Row],[Ort]])</f>
        <v>0</v>
      </c>
      <c r="AQ611" s="6" t="str">
        <f>IFERROR(IF(Eingabe[[#This Row],[Wo]]="H",IF(MOD(Eingabe[[#This Row],[Position]],2)=1,Eingabe[[#This Row],[S1]],Eingabe[[#This Row],[S4]]),""),"")</f>
        <v/>
      </c>
      <c r="AR611" s="6" t="str">
        <f>IFERROR(IF(Eingabe[[#This Row],[Wo]]="H",IF(Eingabe[[#This Row],[S1]]&gt;0,IF(MOD(Eingabe[[#This Row],[Position]],2)=1,Eingabe[[#This Row],[S2]],Eingabe[[#This Row],[S3]]),""),""),"")</f>
        <v/>
      </c>
      <c r="AS611" s="6" t="str">
        <f>IFERROR(IF(Eingabe[[#This Row],[Wo]]="H",IF(Eingabe[[#This Row],[S1]]&gt;0,IF(MOD(ROW(Eingabe[[#This Row],[Heimbahn 3]]),2)=1,Eingabe[[#This Row],[S4]],Eingabe[[#This Row],[S1]]),""),""),"")</f>
        <v/>
      </c>
      <c r="AT611" s="6" t="str">
        <f>IFERROR(IF(Eingabe[[#This Row],[Wo]]="H",IF(Eingabe[[#This Row],[S1]]&gt;0,IF(MOD(ROW(Eingabe[[#This Row],[Heimbahn 4]]),2)=1,Eingabe[[#This Row],[S3]],Eingabe[[#This Row],[S2]]),""),""),"")</f>
        <v/>
      </c>
      <c r="AU611" s="22" t="str">
        <f>IF(Eingabe[[#This Row],[GES]]="","",IF(Eingabe[[#This Row],[Modus]]="L",_xlfn.RANK.EQ(Eingabe[[#This Row],[GES]],AF609:AF614),IF(Eingabe[[#This Row],[Modus]]="P",_xlfn.RANK.EQ(Eingabe[[#This Row],[GES]],AF609:AF614),"")))</f>
        <v/>
      </c>
      <c r="AV611" s="6" t="e">
        <f>VLOOKUP(Eingabe[[#This Row],[Name]],AuswertungG[],8,FALSE)</f>
        <v>#N/A</v>
      </c>
      <c r="AZ611" s="6" t="str">
        <f>IFERROR(ABS(Eingabe[[#This Row],[GES]]-Eingabe[[#This Row],[GEGGES]]),"")</f>
        <v/>
      </c>
    </row>
    <row r="612" spans="1:52" hidden="1" x14ac:dyDescent="0.3">
      <c r="A612" s="441"/>
      <c r="B612" s="21">
        <f t="shared" si="56"/>
        <v>102</v>
      </c>
      <c r="C612" s="6">
        <f>VLOOKUP($B612,Chronologie[],7,TRUE)</f>
        <v>0</v>
      </c>
      <c r="D612" s="6">
        <f>VLOOKUP($B612,Chronologie[],8,TRUE)</f>
        <v>0</v>
      </c>
      <c r="E612" s="240">
        <f>VLOOKUP($B612,Chronologie[],9,TRUE)</f>
        <v>0</v>
      </c>
      <c r="F612" s="6">
        <f>VLOOKUP($B612,Chronologie[],COLUMN(F613)-2,TRUE)</f>
        <v>0</v>
      </c>
      <c r="G612" s="6">
        <f>VLOOKUP($B612,Chronologie[],COLUMN(G613)-2,TRUE)</f>
        <v>0</v>
      </c>
      <c r="H612" s="6">
        <f>VLOOKUP($B612,Chronologie[],COLUMN(H613)-2,TRUE)</f>
        <v>0</v>
      </c>
      <c r="I612" s="10" t="str">
        <f>VLOOKUP($B612,Chronologie[],2,TRUE)</f>
        <v>--</v>
      </c>
      <c r="J612" s="243">
        <f>VLOOKUP($B612,Chronologie[],3,TRUE)</f>
        <v>0</v>
      </c>
      <c r="K612" s="238"/>
      <c r="L612" s="237"/>
      <c r="M612" s="237"/>
      <c r="N612" s="237"/>
      <c r="O612" s="237"/>
      <c r="P612" s="237"/>
      <c r="Q612" s="237"/>
      <c r="R612" s="237"/>
      <c r="S612" s="237"/>
      <c r="T612" s="237"/>
      <c r="U612" s="237"/>
      <c r="V612" s="237"/>
      <c r="W612" s="237"/>
      <c r="X612" s="38"/>
      <c r="Y612" s="38"/>
      <c r="Z612" s="38"/>
      <c r="AA612" s="38"/>
      <c r="AB612" s="91"/>
      <c r="AC612" s="94" t="str">
        <f>IF(Eingabe[[#This Row],[V1]]="",IF(Eingabe[[#This Row],[Volle alternativ]]="","",Eingabe[[#This Row],[Volle alternativ]]),SUM(Eingabe[[#This Row],[V1]:[V4]]))</f>
        <v/>
      </c>
      <c r="AD612" s="6" t="str">
        <f>IF(Eingabe[[#This Row],[R1]]="",IF(Eingabe[[#This Row],[Räumer alternativ]]="","",Eingabe[[#This Row],[Räumer alternativ]]),SUM(Eingabe[[#This Row],[R1]:[R4]]))</f>
        <v/>
      </c>
      <c r="AE612" s="6" t="str">
        <f>IF(Eingabe[[#This Row],[F1]]="",IF(Eingabe[[#This Row],[Fehler alternativ]]="","",Eingabe[[#This Row],[Fehler alternativ]]),SUM(Eingabe[[#This Row],[F1]:[F4]]))</f>
        <v/>
      </c>
      <c r="AF612" s="6" t="str">
        <f>IF(Eingabe[[#This Row],[Volle]]="","",IF(Eingabe[[#This Row],[S1]]="",Eingabe[[#This Row],[Volle]]+Eingabe[[#This Row],[Räumer]],IF(Eingabe[[#This Row],[Volle]]+Eingabe[[#This Row],[Räumer]]=Eingabe[[#This Row],[S1]]+Eingabe[[#This Row],[S2]]+Eingabe[[#This Row],[S3]]+Eingabe[[#This Row],[S4]],Eingabe[[#This Row],[Volle]]+Eingabe[[#This Row],[Räumer]],"FEHLER")))</f>
        <v/>
      </c>
      <c r="AG612" s="6" t="str">
        <f>IF(Eingabe[[#This Row],[V1]]="","",Eingabe[[#This Row],[V1]]+Eingabe[[#This Row],[R1]])</f>
        <v/>
      </c>
      <c r="AH612" s="6" t="str">
        <f>IF(Eingabe[[#This Row],[V2]]="","",Eingabe[[#This Row],[V2]]+Eingabe[[#This Row],[R2]])</f>
        <v/>
      </c>
      <c r="AI612" s="6" t="str">
        <f>IF(Eingabe[[#This Row],[V3]]="","",Eingabe[[#This Row],[V3]]+Eingabe[[#This Row],[R3]])</f>
        <v/>
      </c>
      <c r="AJ612" s="6" t="str">
        <f>IF(Eingabe[[#This Row],[V4]]="","",Eingabe[[#This Row],[V4]]+Eingabe[[#This Row],[R4]])</f>
        <v/>
      </c>
      <c r="AK612" s="6" t="str">
        <f>IF(Eingabe[[#This Row],[S1P]]="","",Eingabe[[#This Row],[S1P]]+Eingabe[[#This Row],[S2P]]+Eingabe[[#This Row],[S3P]]+Eingabe[[#This Row],[S4P]])</f>
        <v/>
      </c>
      <c r="AL612" s="6" t="str">
        <f>IF(Eingabe[[#This Row],[S1P]]="","",IF(Eingabe[[#This Row],[SP]]&gt;2,1,IF(Eingabe[[#This Row],[SP]]&lt;2,0,IF(Eingabe[[#This Row],[GES]]&gt;Eingabe[[#This Row],[GEGGES]],1,IF(Eingabe[[#This Row],[GES]]=Eingabe[[#This Row],[GEGGES]],0.5,0)))))</f>
        <v/>
      </c>
      <c r="AM612" s="6" t="str">
        <f>IF(Eingabe[[#This Row],[MP]]="","",MOD(ROW(Eingabe[[#This Row],[Position]])-3,6)+1)</f>
        <v/>
      </c>
      <c r="AN612" s="6" t="e">
        <f>STANDARDIZE(Eingabe[[#This Row],[GES]],Eingabe[[#This Row],[Schnitt]],VLOOKUP(Eingabe[[#This Row],[Name]],AuswertungG[],21,FALSE))</f>
        <v>#VALUE!</v>
      </c>
      <c r="AO612" s="6" t="str">
        <f>VLOOKUP(Eingabe[[#This Row],[ID]],Chronologie[[ID]:[KW]],12,FALSE)</f>
        <v/>
      </c>
      <c r="AP612" s="95">
        <f>IF(Eingabe[[#This Row],[Wo]]="H",Eingabe[[#This Row],[Gegner]]&amp;" ["&amp;Eingabe[[#This Row],[Wo]]&amp;"]",Eingabe[[#This Row],[Ort]])</f>
        <v>0</v>
      </c>
      <c r="AQ612" s="6" t="str">
        <f>IFERROR(IF(Eingabe[[#This Row],[Wo]]="H",IF(MOD(Eingabe[[#This Row],[Position]],2)=1,Eingabe[[#This Row],[S1]],Eingabe[[#This Row],[S4]]),""),"")</f>
        <v/>
      </c>
      <c r="AR612" s="6" t="str">
        <f>IFERROR(IF(Eingabe[[#This Row],[Wo]]="H",IF(Eingabe[[#This Row],[S1]]&gt;0,IF(MOD(Eingabe[[#This Row],[Position]],2)=1,Eingabe[[#This Row],[S2]],Eingabe[[#This Row],[S3]]),""),""),"")</f>
        <v/>
      </c>
      <c r="AS612" s="6" t="str">
        <f>IFERROR(IF(Eingabe[[#This Row],[Wo]]="H",IF(Eingabe[[#This Row],[S1]]&gt;0,IF(MOD(ROW(Eingabe[[#This Row],[Heimbahn 3]]),2)=1,Eingabe[[#This Row],[S4]],Eingabe[[#This Row],[S1]]),""),""),"")</f>
        <v/>
      </c>
      <c r="AT612" s="6" t="str">
        <f>IFERROR(IF(Eingabe[[#This Row],[Wo]]="H",IF(Eingabe[[#This Row],[S1]]&gt;0,IF(MOD(ROW(Eingabe[[#This Row],[Heimbahn 4]]),2)=1,Eingabe[[#This Row],[S3]],Eingabe[[#This Row],[S2]]),""),""),"")</f>
        <v/>
      </c>
      <c r="AU612" s="22" t="str">
        <f>IF(Eingabe[[#This Row],[GES]]="","",IF(Eingabe[[#This Row],[Modus]]="L",_xlfn.RANK.EQ(Eingabe[[#This Row],[GES]],AF609:AF614),IF(Eingabe[[#This Row],[Modus]]="P",_xlfn.RANK.EQ(Eingabe[[#This Row],[GES]],AF609:AF614),"")))</f>
        <v/>
      </c>
      <c r="AV612" s="6" t="e">
        <f>VLOOKUP(Eingabe[[#This Row],[Name]],AuswertungG[],8,FALSE)</f>
        <v>#N/A</v>
      </c>
      <c r="AZ612" s="6" t="str">
        <f>IFERROR(ABS(Eingabe[[#This Row],[GES]]-Eingabe[[#This Row],[GEGGES]]),"")</f>
        <v/>
      </c>
    </row>
    <row r="613" spans="1:52" hidden="1" x14ac:dyDescent="0.3">
      <c r="A613" s="441"/>
      <c r="B613" s="21">
        <f t="shared" si="56"/>
        <v>102</v>
      </c>
      <c r="C613" s="6">
        <f>VLOOKUP($B613,Chronologie[],7,TRUE)</f>
        <v>0</v>
      </c>
      <c r="D613" s="6">
        <f>VLOOKUP($B613,Chronologie[],8,TRUE)</f>
        <v>0</v>
      </c>
      <c r="E613" s="240">
        <f>VLOOKUP($B613,Chronologie[],9,TRUE)</f>
        <v>0</v>
      </c>
      <c r="F613" s="6">
        <f>VLOOKUP($B613,Chronologie[],COLUMN(F614)-2,TRUE)</f>
        <v>0</v>
      </c>
      <c r="G613" s="6">
        <f>VLOOKUP($B613,Chronologie[],COLUMN(G614)-2,TRUE)</f>
        <v>0</v>
      </c>
      <c r="H613" s="6">
        <f>VLOOKUP($B613,Chronologie[],COLUMN(H614)-2,TRUE)</f>
        <v>0</v>
      </c>
      <c r="I613" s="10" t="str">
        <f>VLOOKUP($B613,Chronologie[],2,TRUE)</f>
        <v>--</v>
      </c>
      <c r="J613" s="243">
        <f>VLOOKUP($B613,Chronologie[],3,TRUE)</f>
        <v>0</v>
      </c>
      <c r="K613" s="237"/>
      <c r="L613" s="237"/>
      <c r="M613" s="237"/>
      <c r="N613" s="237"/>
      <c r="O613" s="237"/>
      <c r="P613" s="237"/>
      <c r="Q613" s="237"/>
      <c r="R613" s="237"/>
      <c r="S613" s="237"/>
      <c r="T613" s="237"/>
      <c r="U613" s="237"/>
      <c r="V613" s="237"/>
      <c r="W613" s="237"/>
      <c r="X613" s="38"/>
      <c r="Y613" s="38"/>
      <c r="Z613" s="38"/>
      <c r="AA613" s="38"/>
      <c r="AB613" s="91"/>
      <c r="AC613" s="94" t="str">
        <f>IF(Eingabe[[#This Row],[V1]]="",IF(Eingabe[[#This Row],[Volle alternativ]]="","",Eingabe[[#This Row],[Volle alternativ]]),SUM(Eingabe[[#This Row],[V1]:[V4]]))</f>
        <v/>
      </c>
      <c r="AD613" s="6" t="str">
        <f>IF(Eingabe[[#This Row],[R1]]="",IF(Eingabe[[#This Row],[Räumer alternativ]]="","",Eingabe[[#This Row],[Räumer alternativ]]),SUM(Eingabe[[#This Row],[R1]:[R4]]))</f>
        <v/>
      </c>
      <c r="AE613" s="6" t="str">
        <f>IF(Eingabe[[#This Row],[F1]]="",IF(Eingabe[[#This Row],[Fehler alternativ]]="","",Eingabe[[#This Row],[Fehler alternativ]]),SUM(Eingabe[[#This Row],[F1]:[F4]]))</f>
        <v/>
      </c>
      <c r="AF613" s="6" t="str">
        <f>IF(Eingabe[[#This Row],[Volle]]="","",IF(Eingabe[[#This Row],[S1]]="",Eingabe[[#This Row],[Volle]]+Eingabe[[#This Row],[Räumer]],IF(Eingabe[[#This Row],[Volle]]+Eingabe[[#This Row],[Räumer]]=Eingabe[[#This Row],[S1]]+Eingabe[[#This Row],[S2]]+Eingabe[[#This Row],[S3]]+Eingabe[[#This Row],[S4]],Eingabe[[#This Row],[Volle]]+Eingabe[[#This Row],[Räumer]],"FEHLER")))</f>
        <v/>
      </c>
      <c r="AG613" s="6" t="str">
        <f>IF(Eingabe[[#This Row],[V1]]="","",Eingabe[[#This Row],[V1]]+Eingabe[[#This Row],[R1]])</f>
        <v/>
      </c>
      <c r="AH613" s="6" t="str">
        <f>IF(Eingabe[[#This Row],[V2]]="","",Eingabe[[#This Row],[V2]]+Eingabe[[#This Row],[R2]])</f>
        <v/>
      </c>
      <c r="AI613" s="6" t="str">
        <f>IF(Eingabe[[#This Row],[V3]]="","",Eingabe[[#This Row],[V3]]+Eingabe[[#This Row],[R3]])</f>
        <v/>
      </c>
      <c r="AJ613" s="6" t="str">
        <f>IF(Eingabe[[#This Row],[V4]]="","",Eingabe[[#This Row],[V4]]+Eingabe[[#This Row],[R4]])</f>
        <v/>
      </c>
      <c r="AK613" s="6" t="str">
        <f>IF(Eingabe[[#This Row],[S1P]]="","",Eingabe[[#This Row],[S1P]]+Eingabe[[#This Row],[S2P]]+Eingabe[[#This Row],[S3P]]+Eingabe[[#This Row],[S4P]])</f>
        <v/>
      </c>
      <c r="AL613" s="6" t="str">
        <f>IF(Eingabe[[#This Row],[S1P]]="","",IF(Eingabe[[#This Row],[SP]]&gt;2,1,IF(Eingabe[[#This Row],[SP]]&lt;2,0,IF(Eingabe[[#This Row],[GES]]&gt;Eingabe[[#This Row],[GEGGES]],1,IF(Eingabe[[#This Row],[GES]]=Eingabe[[#This Row],[GEGGES]],0.5,0)))))</f>
        <v/>
      </c>
      <c r="AM613" s="6" t="str">
        <f>IF(Eingabe[[#This Row],[MP]]="","",MOD(ROW(Eingabe[[#This Row],[Position]])-3,6)+1)</f>
        <v/>
      </c>
      <c r="AN613" s="6" t="e">
        <f>STANDARDIZE(Eingabe[[#This Row],[GES]],Eingabe[[#This Row],[Schnitt]],VLOOKUP(Eingabe[[#This Row],[Name]],AuswertungG[],21,FALSE))</f>
        <v>#VALUE!</v>
      </c>
      <c r="AO613" s="6" t="str">
        <f>VLOOKUP(Eingabe[[#This Row],[ID]],Chronologie[[ID]:[KW]],12,FALSE)</f>
        <v/>
      </c>
      <c r="AP613" s="95">
        <f>IF(Eingabe[[#This Row],[Wo]]="H",Eingabe[[#This Row],[Gegner]]&amp;" ["&amp;Eingabe[[#This Row],[Wo]]&amp;"]",Eingabe[[#This Row],[Ort]])</f>
        <v>0</v>
      </c>
      <c r="AQ613" s="6" t="str">
        <f>IFERROR(IF(Eingabe[[#This Row],[Wo]]="H",IF(MOD(Eingabe[[#This Row],[Position]],2)=1,Eingabe[[#This Row],[S1]],Eingabe[[#This Row],[S4]]),""),"")</f>
        <v/>
      </c>
      <c r="AR613" s="6" t="str">
        <f>IFERROR(IF(Eingabe[[#This Row],[Wo]]="H",IF(Eingabe[[#This Row],[S1]]&gt;0,IF(MOD(Eingabe[[#This Row],[Position]],2)=1,Eingabe[[#This Row],[S2]],Eingabe[[#This Row],[S3]]),""),""),"")</f>
        <v/>
      </c>
      <c r="AS613" s="6" t="str">
        <f>IFERROR(IF(Eingabe[[#This Row],[Wo]]="H",IF(Eingabe[[#This Row],[S1]]&gt;0,IF(MOD(ROW(Eingabe[[#This Row],[Heimbahn 3]]),2)=1,Eingabe[[#This Row],[S4]],Eingabe[[#This Row],[S1]]),""),""),"")</f>
        <v/>
      </c>
      <c r="AT613" s="6" t="str">
        <f>IFERROR(IF(Eingabe[[#This Row],[Wo]]="H",IF(Eingabe[[#This Row],[S1]]&gt;0,IF(MOD(ROW(Eingabe[[#This Row],[Heimbahn 4]]),2)=1,Eingabe[[#This Row],[S3]],Eingabe[[#This Row],[S2]]),""),""),"")</f>
        <v/>
      </c>
      <c r="AU613" s="22" t="str">
        <f>IF(Eingabe[[#This Row],[GES]]="","",IF(Eingabe[[#This Row],[Modus]]="L",_xlfn.RANK.EQ(Eingabe[[#This Row],[GES]],AF609:AF614),IF(Eingabe[[#This Row],[Modus]]="P",_xlfn.RANK.EQ(Eingabe[[#This Row],[GES]],AF609:AF614),"")))</f>
        <v/>
      </c>
      <c r="AV613" s="6" t="e">
        <f>VLOOKUP(Eingabe[[#This Row],[Name]],AuswertungG[],8,FALSE)</f>
        <v>#N/A</v>
      </c>
      <c r="AZ613" s="6" t="str">
        <f>IFERROR(ABS(Eingabe[[#This Row],[GES]]-Eingabe[[#This Row],[GEGGES]]),"")</f>
        <v/>
      </c>
    </row>
    <row r="614" spans="1:52" ht="16.2" hidden="1" thickBot="1" x14ac:dyDescent="0.35">
      <c r="A614" s="442"/>
      <c r="B614" s="56">
        <f t="shared" si="56"/>
        <v>102</v>
      </c>
      <c r="C614" s="23">
        <f>VLOOKUP($B614,Chronologie[],7,TRUE)</f>
        <v>0</v>
      </c>
      <c r="D614" s="23">
        <f>VLOOKUP($B614,Chronologie[],8,TRUE)</f>
        <v>0</v>
      </c>
      <c r="E614" s="39">
        <f>VLOOKUP($B614,Chronologie[],9,TRUE)</f>
        <v>0</v>
      </c>
      <c r="F614" s="23">
        <f>VLOOKUP($B614,Chronologie[],COLUMN(F615)-2,TRUE)</f>
        <v>0</v>
      </c>
      <c r="G614" s="23">
        <f>VLOOKUP($B614,Chronologie[],COLUMN(G615)-2,TRUE)</f>
        <v>0</v>
      </c>
      <c r="H614" s="23">
        <f>VLOOKUP($B614,Chronologie[],COLUMN(H615)-2,TRUE)</f>
        <v>0</v>
      </c>
      <c r="I614" s="13" t="str">
        <f>VLOOKUP($B614,Chronologie[],2,TRUE)</f>
        <v>--</v>
      </c>
      <c r="J614" s="244">
        <f>VLOOKUP($B614,Chronologie[],3,TRUE)</f>
        <v>0</v>
      </c>
      <c r="K614" s="239"/>
      <c r="L614" s="239"/>
      <c r="M614" s="239"/>
      <c r="N614" s="239"/>
      <c r="O614" s="239"/>
      <c r="P614" s="239"/>
      <c r="Q614" s="239"/>
      <c r="R614" s="239"/>
      <c r="S614" s="239"/>
      <c r="T614" s="239"/>
      <c r="U614" s="239"/>
      <c r="V614" s="239"/>
      <c r="W614" s="239"/>
      <c r="X614" s="40"/>
      <c r="Y614" s="40"/>
      <c r="Z614" s="40"/>
      <c r="AA614" s="40"/>
      <c r="AB614" s="92"/>
      <c r="AC614" s="96" t="str">
        <f>IF(Eingabe[[#This Row],[V1]]="",IF(Eingabe[[#This Row],[Volle alternativ]]="","",Eingabe[[#This Row],[Volle alternativ]]),SUM(Eingabe[[#This Row],[V1]:[V4]]))</f>
        <v/>
      </c>
      <c r="AD614" s="23" t="str">
        <f>IF(Eingabe[[#This Row],[R1]]="",IF(Eingabe[[#This Row],[Räumer alternativ]]="","",Eingabe[[#This Row],[Räumer alternativ]]),SUM(Eingabe[[#This Row],[R1]:[R4]]))</f>
        <v/>
      </c>
      <c r="AE614" s="23" t="str">
        <f>IF(Eingabe[[#This Row],[F1]]="",IF(Eingabe[[#This Row],[Fehler alternativ]]="","",Eingabe[[#This Row],[Fehler alternativ]]),SUM(Eingabe[[#This Row],[F1]:[F4]]))</f>
        <v/>
      </c>
      <c r="AF614" s="23" t="str">
        <f>IF(Eingabe[[#This Row],[Volle]]="","",IF(Eingabe[[#This Row],[S1]]="",Eingabe[[#This Row],[Volle]]+Eingabe[[#This Row],[Räumer]],IF(Eingabe[[#This Row],[Volle]]+Eingabe[[#This Row],[Räumer]]=Eingabe[[#This Row],[S1]]+Eingabe[[#This Row],[S2]]+Eingabe[[#This Row],[S3]]+Eingabe[[#This Row],[S4]],Eingabe[[#This Row],[Volle]]+Eingabe[[#This Row],[Räumer]],"FEHLER")))</f>
        <v/>
      </c>
      <c r="AG614" s="23" t="str">
        <f>IF(Eingabe[[#This Row],[V1]]="","",Eingabe[[#This Row],[V1]]+Eingabe[[#This Row],[R1]])</f>
        <v/>
      </c>
      <c r="AH614" s="23" t="str">
        <f>IF(Eingabe[[#This Row],[V2]]="","",Eingabe[[#This Row],[V2]]+Eingabe[[#This Row],[R2]])</f>
        <v/>
      </c>
      <c r="AI614" s="23" t="str">
        <f>IF(Eingabe[[#This Row],[V3]]="","",Eingabe[[#This Row],[V3]]+Eingabe[[#This Row],[R3]])</f>
        <v/>
      </c>
      <c r="AJ614" s="23" t="str">
        <f>IF(Eingabe[[#This Row],[V4]]="","",Eingabe[[#This Row],[V4]]+Eingabe[[#This Row],[R4]])</f>
        <v/>
      </c>
      <c r="AK614" s="23" t="str">
        <f>IF(Eingabe[[#This Row],[S1P]]="","",Eingabe[[#This Row],[S1P]]+Eingabe[[#This Row],[S2P]]+Eingabe[[#This Row],[S3P]]+Eingabe[[#This Row],[S4P]])</f>
        <v/>
      </c>
      <c r="AL614" s="23" t="str">
        <f>IF(Eingabe[[#This Row],[S1P]]="","",IF(Eingabe[[#This Row],[SP]]&gt;2,1,IF(Eingabe[[#This Row],[SP]]&lt;2,0,IF(Eingabe[[#This Row],[GES]]&gt;Eingabe[[#This Row],[GEGGES]],1,IF(Eingabe[[#This Row],[GES]]=Eingabe[[#This Row],[GEGGES]],0.5,0)))))</f>
        <v/>
      </c>
      <c r="AM614" s="23" t="str">
        <f>IF(Eingabe[[#This Row],[MP]]="","",MOD(ROW(Eingabe[[#This Row],[Position]])-3,6)+1)</f>
        <v/>
      </c>
      <c r="AN614" s="23" t="e">
        <f>STANDARDIZE(Eingabe[[#This Row],[GES]],Eingabe[[#This Row],[Schnitt]],VLOOKUP(Eingabe[[#This Row],[Name]],AuswertungG[],21,FALSE))</f>
        <v>#VALUE!</v>
      </c>
      <c r="AO614" s="23" t="str">
        <f>VLOOKUP(Eingabe[[#This Row],[ID]],Chronologie[[ID]:[KW]],12,FALSE)</f>
        <v/>
      </c>
      <c r="AP614" s="59">
        <f>IF(Eingabe[[#This Row],[Wo]]="H",Eingabe[[#This Row],[Gegner]]&amp;" ["&amp;Eingabe[[#This Row],[Wo]]&amp;"]",Eingabe[[#This Row],[Ort]])</f>
        <v>0</v>
      </c>
      <c r="AQ614" s="23" t="str">
        <f>IFERROR(IF(Eingabe[[#This Row],[Wo]]="H",IF(MOD(Eingabe[[#This Row],[Position]],2)=1,Eingabe[[#This Row],[S1]],Eingabe[[#This Row],[S4]]),""),"")</f>
        <v/>
      </c>
      <c r="AR614" s="23" t="str">
        <f>IFERROR(IF(Eingabe[[#This Row],[Wo]]="H",IF(Eingabe[[#This Row],[S1]]&gt;0,IF(MOD(Eingabe[[#This Row],[Position]],2)=1,Eingabe[[#This Row],[S2]],Eingabe[[#This Row],[S3]]),""),""),"")</f>
        <v/>
      </c>
      <c r="AS614" s="23" t="str">
        <f>IFERROR(IF(Eingabe[[#This Row],[Wo]]="H",IF(Eingabe[[#This Row],[S1]]&gt;0,IF(MOD(ROW(Eingabe[[#This Row],[Heimbahn 3]]),2)=1,Eingabe[[#This Row],[S4]],Eingabe[[#This Row],[S1]]),""),""),"")</f>
        <v/>
      </c>
      <c r="AT614" s="23" t="str">
        <f>IFERROR(IF(Eingabe[[#This Row],[Wo]]="H",IF(Eingabe[[#This Row],[S1]]&gt;0,IF(MOD(ROW(Eingabe[[#This Row],[Heimbahn 4]]),2)=1,Eingabe[[#This Row],[S3]],Eingabe[[#This Row],[S2]]),""),""),"")</f>
        <v/>
      </c>
      <c r="AU614" s="89" t="str">
        <f>IF(Eingabe[[#This Row],[GES]]="","",IF(Eingabe[[#This Row],[Modus]]="L",_xlfn.RANK.EQ(Eingabe[[#This Row],[GES]],AF609:AF614),IF(Eingabe[[#This Row],[Modus]]="P",_xlfn.RANK.EQ(Eingabe[[#This Row],[GES]],AF609:AF614),"")))</f>
        <v/>
      </c>
      <c r="AV614" s="6" t="e">
        <f>VLOOKUP(Eingabe[[#This Row],[Name]],AuswertungG[],8,FALSE)</f>
        <v>#N/A</v>
      </c>
      <c r="AZ614" s="6" t="str">
        <f>IFERROR(ABS(Eingabe[[#This Row],[GES]]-Eingabe[[#This Row],[GEGGES]]),"")</f>
        <v/>
      </c>
    </row>
    <row r="615" spans="1:52" hidden="1" x14ac:dyDescent="0.3">
      <c r="A615" s="440">
        <f t="shared" ref="A615" si="58">B615</f>
        <v>103</v>
      </c>
      <c r="B615" s="55">
        <f t="shared" si="56"/>
        <v>103</v>
      </c>
      <c r="C615" s="35">
        <f>VLOOKUP($B615,Chronologie[],7,TRUE)</f>
        <v>0</v>
      </c>
      <c r="D615" s="35">
        <f>VLOOKUP($B615,Chronologie[],8,TRUE)</f>
        <v>0</v>
      </c>
      <c r="E615" s="36">
        <f>VLOOKUP($B615,Chronologie[],9,TRUE)</f>
        <v>0</v>
      </c>
      <c r="F615" s="35">
        <f>VLOOKUP($B615,Chronologie[],COLUMN(F616)-2,TRUE)</f>
        <v>0</v>
      </c>
      <c r="G615" s="35">
        <f>VLOOKUP($B615,Chronologie[],COLUMN(G616)-2,TRUE)</f>
        <v>0</v>
      </c>
      <c r="H615" s="35">
        <f>VLOOKUP($B615,Chronologie[],COLUMN(H616)-2,TRUE)</f>
        <v>0</v>
      </c>
      <c r="I615" s="9" t="str">
        <f>VLOOKUP($B615,Chronologie[],2,TRUE)</f>
        <v>--</v>
      </c>
      <c r="J615" s="242">
        <f>VLOOKUP($B615,Chronologie[],3,TRUE)</f>
        <v>0</v>
      </c>
      <c r="K615" s="236"/>
      <c r="L615" s="334"/>
      <c r="M615" s="334"/>
      <c r="N615" s="334"/>
      <c r="O615" s="334"/>
      <c r="P615" s="334"/>
      <c r="Q615" s="334"/>
      <c r="R615" s="334"/>
      <c r="S615" s="334"/>
      <c r="T615" s="334"/>
      <c r="U615" s="334"/>
      <c r="V615" s="334"/>
      <c r="W615" s="334"/>
      <c r="X615" s="37"/>
      <c r="Y615" s="37"/>
      <c r="Z615" s="37"/>
      <c r="AA615" s="37"/>
      <c r="AB615" s="90"/>
      <c r="AC615" s="93" t="str">
        <f>IF(Eingabe[[#This Row],[V1]]="",IF(Eingabe[[#This Row],[Volle alternativ]]="","",Eingabe[[#This Row],[Volle alternativ]]),SUM(Eingabe[[#This Row],[V1]:[V4]]))</f>
        <v/>
      </c>
      <c r="AD615" s="35" t="str">
        <f>IF(Eingabe[[#This Row],[R1]]="",IF(Eingabe[[#This Row],[Räumer alternativ]]="","",Eingabe[[#This Row],[Räumer alternativ]]),SUM(Eingabe[[#This Row],[R1]:[R4]]))</f>
        <v/>
      </c>
      <c r="AE615" s="35" t="str">
        <f>IF(Eingabe[[#This Row],[F1]]="",IF(Eingabe[[#This Row],[Fehler alternativ]]="","",Eingabe[[#This Row],[Fehler alternativ]]),SUM(Eingabe[[#This Row],[F1]:[F4]]))</f>
        <v/>
      </c>
      <c r="AF615" s="35" t="str">
        <f>IF(Eingabe[[#This Row],[Volle]]="","",IF(Eingabe[[#This Row],[S1]]="",Eingabe[[#This Row],[Volle]]+Eingabe[[#This Row],[Räumer]],IF(Eingabe[[#This Row],[Volle]]+Eingabe[[#This Row],[Räumer]]=Eingabe[[#This Row],[S1]]+Eingabe[[#This Row],[S2]]+Eingabe[[#This Row],[S3]]+Eingabe[[#This Row],[S4]],Eingabe[[#This Row],[Volle]]+Eingabe[[#This Row],[Räumer]],"FEHLER")))</f>
        <v/>
      </c>
      <c r="AG615" s="35" t="str">
        <f>IF(Eingabe[[#This Row],[V1]]="","",Eingabe[[#This Row],[V1]]+Eingabe[[#This Row],[R1]])</f>
        <v/>
      </c>
      <c r="AH615" s="35" t="str">
        <f>IF(Eingabe[[#This Row],[V2]]="","",Eingabe[[#This Row],[V2]]+Eingabe[[#This Row],[R2]])</f>
        <v/>
      </c>
      <c r="AI615" s="35" t="str">
        <f>IF(Eingabe[[#This Row],[V3]]="","",Eingabe[[#This Row],[V3]]+Eingabe[[#This Row],[R3]])</f>
        <v/>
      </c>
      <c r="AJ615" s="35" t="str">
        <f>IF(Eingabe[[#This Row],[V4]]="","",Eingabe[[#This Row],[V4]]+Eingabe[[#This Row],[R4]])</f>
        <v/>
      </c>
      <c r="AK615" s="35" t="str">
        <f>IF(Eingabe[[#This Row],[S1P]]="","",Eingabe[[#This Row],[S1P]]+Eingabe[[#This Row],[S2P]]+Eingabe[[#This Row],[S3P]]+Eingabe[[#This Row],[S4P]])</f>
        <v/>
      </c>
      <c r="AL615" s="35" t="str">
        <f>IF(Eingabe[[#This Row],[S1P]]="","",IF(Eingabe[[#This Row],[SP]]&gt;2,1,IF(Eingabe[[#This Row],[SP]]&lt;2,0,IF(Eingabe[[#This Row],[GES]]&gt;Eingabe[[#This Row],[GEGGES]],1,IF(Eingabe[[#This Row],[GES]]=Eingabe[[#This Row],[GEGGES]],0.5,0)))))</f>
        <v/>
      </c>
      <c r="AM615" s="35" t="str">
        <f>IF(Eingabe[[#This Row],[MP]]="","",MOD(ROW(Eingabe[[#This Row],[Position]])-3,6)+1)</f>
        <v/>
      </c>
      <c r="AN615" s="35" t="e">
        <f>STANDARDIZE(Eingabe[[#This Row],[GES]],Eingabe[[#This Row],[Schnitt]],VLOOKUP(Eingabe[[#This Row],[Name]],AuswertungG[],21,FALSE))</f>
        <v>#VALUE!</v>
      </c>
      <c r="AO615" s="35" t="str">
        <f>VLOOKUP(Eingabe[[#This Row],[ID]],Chronologie[[ID]:[KW]],12,FALSE)</f>
        <v/>
      </c>
      <c r="AP615" s="58">
        <f>IF(Eingabe[[#This Row],[Wo]]="H",Eingabe[[#This Row],[Gegner]]&amp;" ["&amp;Eingabe[[#This Row],[Wo]]&amp;"]",Eingabe[[#This Row],[Ort]])</f>
        <v>0</v>
      </c>
      <c r="AQ615" s="35" t="str">
        <f>IFERROR(IF(Eingabe[[#This Row],[Wo]]="H",IF(MOD(Eingabe[[#This Row],[Position]],2)=1,Eingabe[[#This Row],[S1]],Eingabe[[#This Row],[S4]]),""),"")</f>
        <v/>
      </c>
      <c r="AR615" s="35" t="str">
        <f>IFERROR(IF(Eingabe[[#This Row],[Wo]]="H",IF(Eingabe[[#This Row],[S1]]&gt;0,IF(MOD(Eingabe[[#This Row],[Position]],2)=1,Eingabe[[#This Row],[S2]],Eingabe[[#This Row],[S3]]),""),""),"")</f>
        <v/>
      </c>
      <c r="AS615" s="35" t="str">
        <f>IFERROR(IF(Eingabe[[#This Row],[Wo]]="H",IF(Eingabe[[#This Row],[S1]]&gt;0,IF(MOD(ROW(Eingabe[[#This Row],[Heimbahn 3]]),2)=1,Eingabe[[#This Row],[S4]],Eingabe[[#This Row],[S1]]),""),""),"")</f>
        <v/>
      </c>
      <c r="AT615" s="35" t="str">
        <f>IFERROR(IF(Eingabe[[#This Row],[Wo]]="H",IF(Eingabe[[#This Row],[S1]]&gt;0,IF(MOD(ROW(Eingabe[[#This Row],[Heimbahn 4]]),2)=1,Eingabe[[#This Row],[S3]],Eingabe[[#This Row],[S2]]),""),""),"")</f>
        <v/>
      </c>
      <c r="AU615" s="88" t="str">
        <f>IF(Eingabe[[#This Row],[GES]]="","",IF(Eingabe[[#This Row],[Modus]]="L",_xlfn.RANK.EQ(Eingabe[[#This Row],[GES]],AF615:AF620),IF(Eingabe[[#This Row],[Modus]]="P",_xlfn.RANK.EQ(Eingabe[[#This Row],[GES]],AF615:AF620),"")))</f>
        <v/>
      </c>
      <c r="AV615" s="6" t="e">
        <f>VLOOKUP(Eingabe[[#This Row],[Name]],AuswertungG[],8,FALSE)</f>
        <v>#N/A</v>
      </c>
      <c r="AZ615" s="6" t="str">
        <f>IFERROR(ABS(Eingabe[[#This Row],[GES]]-Eingabe[[#This Row],[GEGGES]]),"")</f>
        <v/>
      </c>
    </row>
    <row r="616" spans="1:52" hidden="1" x14ac:dyDescent="0.3">
      <c r="A616" s="441"/>
      <c r="B616" s="21">
        <f t="shared" si="56"/>
        <v>103</v>
      </c>
      <c r="C616" s="6">
        <f>VLOOKUP($B616,Chronologie[],7,TRUE)</f>
        <v>0</v>
      </c>
      <c r="D616" s="6">
        <f>VLOOKUP($B616,Chronologie[],8,TRUE)</f>
        <v>0</v>
      </c>
      <c r="E616" s="240">
        <f>VLOOKUP($B616,Chronologie[],9,TRUE)</f>
        <v>0</v>
      </c>
      <c r="F616" s="6">
        <f>VLOOKUP($B616,Chronologie[],COLUMN(F617)-2,TRUE)</f>
        <v>0</v>
      </c>
      <c r="G616" s="6">
        <f>VLOOKUP($B616,Chronologie[],COLUMN(G617)-2,TRUE)</f>
        <v>0</v>
      </c>
      <c r="H616" s="6">
        <f>VLOOKUP($B616,Chronologie[],COLUMN(H617)-2,TRUE)</f>
        <v>0</v>
      </c>
      <c r="I616" s="10" t="str">
        <f>VLOOKUP($B616,Chronologie[],2,TRUE)</f>
        <v>--</v>
      </c>
      <c r="J616" s="243">
        <f>VLOOKUP($B616,Chronologie[],3,TRUE)</f>
        <v>0</v>
      </c>
      <c r="K616" s="237"/>
      <c r="L616" s="237"/>
      <c r="M616" s="237"/>
      <c r="N616" s="237"/>
      <c r="O616" s="237"/>
      <c r="P616" s="237"/>
      <c r="Q616" s="237"/>
      <c r="R616" s="237"/>
      <c r="S616" s="237"/>
      <c r="T616" s="237"/>
      <c r="U616" s="237"/>
      <c r="V616" s="237"/>
      <c r="W616" s="237"/>
      <c r="X616" s="38"/>
      <c r="Y616" s="38"/>
      <c r="Z616" s="38"/>
      <c r="AA616" s="38"/>
      <c r="AB616" s="91"/>
      <c r="AC616" s="94" t="str">
        <f>IF(Eingabe[[#This Row],[V1]]="",IF(Eingabe[[#This Row],[Volle alternativ]]="","",Eingabe[[#This Row],[Volle alternativ]]),SUM(Eingabe[[#This Row],[V1]:[V4]]))</f>
        <v/>
      </c>
      <c r="AD616" s="6" t="str">
        <f>IF(Eingabe[[#This Row],[R1]]="",IF(Eingabe[[#This Row],[Räumer alternativ]]="","",Eingabe[[#This Row],[Räumer alternativ]]),SUM(Eingabe[[#This Row],[R1]:[R4]]))</f>
        <v/>
      </c>
      <c r="AE616" s="6" t="str">
        <f>IF(Eingabe[[#This Row],[F1]]="",IF(Eingabe[[#This Row],[Fehler alternativ]]="","",Eingabe[[#This Row],[Fehler alternativ]]),SUM(Eingabe[[#This Row],[F1]:[F4]]))</f>
        <v/>
      </c>
      <c r="AF616" s="6" t="str">
        <f>IF(Eingabe[[#This Row],[Volle]]="","",IF(Eingabe[[#This Row],[S1]]="",Eingabe[[#This Row],[Volle]]+Eingabe[[#This Row],[Räumer]],IF(Eingabe[[#This Row],[Volle]]+Eingabe[[#This Row],[Räumer]]=Eingabe[[#This Row],[S1]]+Eingabe[[#This Row],[S2]]+Eingabe[[#This Row],[S3]]+Eingabe[[#This Row],[S4]],Eingabe[[#This Row],[Volle]]+Eingabe[[#This Row],[Räumer]],"FEHLER")))</f>
        <v/>
      </c>
      <c r="AG616" s="6" t="str">
        <f>IF(Eingabe[[#This Row],[V1]]="","",Eingabe[[#This Row],[V1]]+Eingabe[[#This Row],[R1]])</f>
        <v/>
      </c>
      <c r="AH616" s="6" t="str">
        <f>IF(Eingabe[[#This Row],[V2]]="","",Eingabe[[#This Row],[V2]]+Eingabe[[#This Row],[R2]])</f>
        <v/>
      </c>
      <c r="AI616" s="6" t="str">
        <f>IF(Eingabe[[#This Row],[V3]]="","",Eingabe[[#This Row],[V3]]+Eingabe[[#This Row],[R3]])</f>
        <v/>
      </c>
      <c r="AJ616" s="6" t="str">
        <f>IF(Eingabe[[#This Row],[V4]]="","",Eingabe[[#This Row],[V4]]+Eingabe[[#This Row],[R4]])</f>
        <v/>
      </c>
      <c r="AK616" s="6" t="str">
        <f>IF(Eingabe[[#This Row],[S1P]]="","",Eingabe[[#This Row],[S1P]]+Eingabe[[#This Row],[S2P]]+Eingabe[[#This Row],[S3P]]+Eingabe[[#This Row],[S4P]])</f>
        <v/>
      </c>
      <c r="AL616" s="6" t="str">
        <f>IF(Eingabe[[#This Row],[S1P]]="","",IF(Eingabe[[#This Row],[SP]]&gt;2,1,IF(Eingabe[[#This Row],[SP]]&lt;2,0,IF(Eingabe[[#This Row],[GES]]&gt;Eingabe[[#This Row],[GEGGES]],1,IF(Eingabe[[#This Row],[GES]]=Eingabe[[#This Row],[GEGGES]],0.5,0)))))</f>
        <v/>
      </c>
      <c r="AM616" s="6" t="str">
        <f>IF(Eingabe[[#This Row],[MP]]="","",MOD(ROW(Eingabe[[#This Row],[Position]])-3,6)+1)</f>
        <v/>
      </c>
      <c r="AN616" s="6" t="e">
        <f>STANDARDIZE(Eingabe[[#This Row],[GES]],Eingabe[[#This Row],[Schnitt]],VLOOKUP(Eingabe[[#This Row],[Name]],AuswertungG[],21,FALSE))</f>
        <v>#VALUE!</v>
      </c>
      <c r="AO616" s="6" t="str">
        <f>VLOOKUP(Eingabe[[#This Row],[ID]],Chronologie[[ID]:[KW]],12,FALSE)</f>
        <v/>
      </c>
      <c r="AP616" s="95">
        <f>IF(Eingabe[[#This Row],[Wo]]="H",Eingabe[[#This Row],[Gegner]]&amp;" ["&amp;Eingabe[[#This Row],[Wo]]&amp;"]",Eingabe[[#This Row],[Ort]])</f>
        <v>0</v>
      </c>
      <c r="AQ616" s="6" t="str">
        <f>IFERROR(IF(Eingabe[[#This Row],[Wo]]="H",IF(MOD(Eingabe[[#This Row],[Position]],2)=1,Eingabe[[#This Row],[S1]],Eingabe[[#This Row],[S4]]),""),"")</f>
        <v/>
      </c>
      <c r="AR616" s="6" t="str">
        <f>IFERROR(IF(Eingabe[[#This Row],[Wo]]="H",IF(Eingabe[[#This Row],[S1]]&gt;0,IF(MOD(Eingabe[[#This Row],[Position]],2)=1,Eingabe[[#This Row],[S2]],Eingabe[[#This Row],[S3]]),""),""),"")</f>
        <v/>
      </c>
      <c r="AS616" s="6" t="str">
        <f>IFERROR(IF(Eingabe[[#This Row],[Wo]]="H",IF(Eingabe[[#This Row],[S1]]&gt;0,IF(MOD(ROW(Eingabe[[#This Row],[Heimbahn 3]]),2)=1,Eingabe[[#This Row],[S4]],Eingabe[[#This Row],[S1]]),""),""),"")</f>
        <v/>
      </c>
      <c r="AT616" s="6" t="str">
        <f>IFERROR(IF(Eingabe[[#This Row],[Wo]]="H",IF(Eingabe[[#This Row],[S1]]&gt;0,IF(MOD(ROW(Eingabe[[#This Row],[Heimbahn 4]]),2)=1,Eingabe[[#This Row],[S3]],Eingabe[[#This Row],[S2]]),""),""),"")</f>
        <v/>
      </c>
      <c r="AU616" s="22" t="str">
        <f>IF(Eingabe[[#This Row],[GES]]="","",IF(Eingabe[[#This Row],[Modus]]="L",_xlfn.RANK.EQ(Eingabe[[#This Row],[GES]],AF615:AF620),IF(Eingabe[[#This Row],[Modus]]="P",_xlfn.RANK.EQ(Eingabe[[#This Row],[GES]],AF615:AF620),"")))</f>
        <v/>
      </c>
      <c r="AV616" s="6" t="e">
        <f>VLOOKUP(Eingabe[[#This Row],[Name]],AuswertungG[],8,FALSE)</f>
        <v>#N/A</v>
      </c>
      <c r="AZ616" s="6" t="str">
        <f>IFERROR(ABS(Eingabe[[#This Row],[GES]]-Eingabe[[#This Row],[GEGGES]]),"")</f>
        <v/>
      </c>
    </row>
    <row r="617" spans="1:52" hidden="1" x14ac:dyDescent="0.3">
      <c r="A617" s="441"/>
      <c r="B617" s="21">
        <f t="shared" si="56"/>
        <v>103</v>
      </c>
      <c r="C617" s="6">
        <f>VLOOKUP($B617,Chronologie[],7,TRUE)</f>
        <v>0</v>
      </c>
      <c r="D617" s="6">
        <f>VLOOKUP($B617,Chronologie[],8,TRUE)</f>
        <v>0</v>
      </c>
      <c r="E617" s="240">
        <f>VLOOKUP($B617,Chronologie[],9,TRUE)</f>
        <v>0</v>
      </c>
      <c r="F617" s="6">
        <f>VLOOKUP($B617,Chronologie[],COLUMN(F618)-2,TRUE)</f>
        <v>0</v>
      </c>
      <c r="G617" s="6">
        <f>VLOOKUP($B617,Chronologie[],COLUMN(G618)-2,TRUE)</f>
        <v>0</v>
      </c>
      <c r="H617" s="6">
        <f>VLOOKUP($B617,Chronologie[],COLUMN(H618)-2,TRUE)</f>
        <v>0</v>
      </c>
      <c r="I617" s="10" t="str">
        <f>VLOOKUP($B617,Chronologie[],2,TRUE)</f>
        <v>--</v>
      </c>
      <c r="J617" s="243">
        <f>VLOOKUP($B617,Chronologie[],3,TRUE)</f>
        <v>0</v>
      </c>
      <c r="K617" s="237"/>
      <c r="L617" s="237"/>
      <c r="M617" s="237"/>
      <c r="N617" s="237"/>
      <c r="O617" s="237"/>
      <c r="P617" s="237"/>
      <c r="Q617" s="237"/>
      <c r="R617" s="237"/>
      <c r="S617" s="237"/>
      <c r="T617" s="237"/>
      <c r="U617" s="237"/>
      <c r="V617" s="237"/>
      <c r="W617" s="237"/>
      <c r="X617" s="38"/>
      <c r="Y617" s="38"/>
      <c r="Z617" s="38"/>
      <c r="AA617" s="38"/>
      <c r="AB617" s="91"/>
      <c r="AC617" s="94" t="str">
        <f>IF(Eingabe[[#This Row],[V1]]="",IF(Eingabe[[#This Row],[Volle alternativ]]="","",Eingabe[[#This Row],[Volle alternativ]]),SUM(Eingabe[[#This Row],[V1]:[V4]]))</f>
        <v/>
      </c>
      <c r="AD617" s="6" t="str">
        <f>IF(Eingabe[[#This Row],[R1]]="",IF(Eingabe[[#This Row],[Räumer alternativ]]="","",Eingabe[[#This Row],[Räumer alternativ]]),SUM(Eingabe[[#This Row],[R1]:[R4]]))</f>
        <v/>
      </c>
      <c r="AE617" s="6" t="str">
        <f>IF(Eingabe[[#This Row],[F1]]="",IF(Eingabe[[#This Row],[Fehler alternativ]]="","",Eingabe[[#This Row],[Fehler alternativ]]),SUM(Eingabe[[#This Row],[F1]:[F4]]))</f>
        <v/>
      </c>
      <c r="AF617" s="6" t="str">
        <f>IF(Eingabe[[#This Row],[Volle]]="","",IF(Eingabe[[#This Row],[S1]]="",Eingabe[[#This Row],[Volle]]+Eingabe[[#This Row],[Räumer]],IF(Eingabe[[#This Row],[Volle]]+Eingabe[[#This Row],[Räumer]]=Eingabe[[#This Row],[S1]]+Eingabe[[#This Row],[S2]]+Eingabe[[#This Row],[S3]]+Eingabe[[#This Row],[S4]],Eingabe[[#This Row],[Volle]]+Eingabe[[#This Row],[Räumer]],"FEHLER")))</f>
        <v/>
      </c>
      <c r="AG617" s="6" t="str">
        <f>IF(Eingabe[[#This Row],[V1]]="","",Eingabe[[#This Row],[V1]]+Eingabe[[#This Row],[R1]])</f>
        <v/>
      </c>
      <c r="AH617" s="6" t="str">
        <f>IF(Eingabe[[#This Row],[V2]]="","",Eingabe[[#This Row],[V2]]+Eingabe[[#This Row],[R2]])</f>
        <v/>
      </c>
      <c r="AI617" s="6" t="str">
        <f>IF(Eingabe[[#This Row],[V3]]="","",Eingabe[[#This Row],[V3]]+Eingabe[[#This Row],[R3]])</f>
        <v/>
      </c>
      <c r="AJ617" s="6" t="str">
        <f>IF(Eingabe[[#This Row],[V4]]="","",Eingabe[[#This Row],[V4]]+Eingabe[[#This Row],[R4]])</f>
        <v/>
      </c>
      <c r="AK617" s="6" t="str">
        <f>IF(Eingabe[[#This Row],[S1P]]="","",Eingabe[[#This Row],[S1P]]+Eingabe[[#This Row],[S2P]]+Eingabe[[#This Row],[S3P]]+Eingabe[[#This Row],[S4P]])</f>
        <v/>
      </c>
      <c r="AL617" s="6" t="str">
        <f>IF(Eingabe[[#This Row],[S1P]]="","",IF(Eingabe[[#This Row],[SP]]&gt;2,1,IF(Eingabe[[#This Row],[SP]]&lt;2,0,IF(Eingabe[[#This Row],[GES]]&gt;Eingabe[[#This Row],[GEGGES]],1,IF(Eingabe[[#This Row],[GES]]=Eingabe[[#This Row],[GEGGES]],0.5,0)))))</f>
        <v/>
      </c>
      <c r="AM617" s="6" t="str">
        <f>IF(Eingabe[[#This Row],[MP]]="","",MOD(ROW(Eingabe[[#This Row],[Position]])-3,6)+1)</f>
        <v/>
      </c>
      <c r="AN617" s="6" t="e">
        <f>STANDARDIZE(Eingabe[[#This Row],[GES]],Eingabe[[#This Row],[Schnitt]],VLOOKUP(Eingabe[[#This Row],[Name]],AuswertungG[],21,FALSE))</f>
        <v>#VALUE!</v>
      </c>
      <c r="AO617" s="6" t="str">
        <f>VLOOKUP(Eingabe[[#This Row],[ID]],Chronologie[[ID]:[KW]],12,FALSE)</f>
        <v/>
      </c>
      <c r="AP617" s="95">
        <f>IF(Eingabe[[#This Row],[Wo]]="H",Eingabe[[#This Row],[Gegner]]&amp;" ["&amp;Eingabe[[#This Row],[Wo]]&amp;"]",Eingabe[[#This Row],[Ort]])</f>
        <v>0</v>
      </c>
      <c r="AQ617" s="6" t="str">
        <f>IFERROR(IF(Eingabe[[#This Row],[Wo]]="H",IF(MOD(Eingabe[[#This Row],[Position]],2)=1,Eingabe[[#This Row],[S1]],Eingabe[[#This Row],[S4]]),""),"")</f>
        <v/>
      </c>
      <c r="AR617" s="6" t="str">
        <f>IFERROR(IF(Eingabe[[#This Row],[Wo]]="H",IF(Eingabe[[#This Row],[S1]]&gt;0,IF(MOD(Eingabe[[#This Row],[Position]],2)=1,Eingabe[[#This Row],[S2]],Eingabe[[#This Row],[S3]]),""),""),"")</f>
        <v/>
      </c>
      <c r="AS617" s="6" t="str">
        <f>IFERROR(IF(Eingabe[[#This Row],[Wo]]="H",IF(Eingabe[[#This Row],[S1]]&gt;0,IF(MOD(ROW(Eingabe[[#This Row],[Heimbahn 3]]),2)=1,Eingabe[[#This Row],[S4]],Eingabe[[#This Row],[S1]]),""),""),"")</f>
        <v/>
      </c>
      <c r="AT617" s="6" t="str">
        <f>IFERROR(IF(Eingabe[[#This Row],[Wo]]="H",IF(Eingabe[[#This Row],[S1]]&gt;0,IF(MOD(ROW(Eingabe[[#This Row],[Heimbahn 4]]),2)=1,Eingabe[[#This Row],[S3]],Eingabe[[#This Row],[S2]]),""),""),"")</f>
        <v/>
      </c>
      <c r="AU617" s="22" t="str">
        <f>IF(Eingabe[[#This Row],[GES]]="","",IF(Eingabe[[#This Row],[Modus]]="L",_xlfn.RANK.EQ(Eingabe[[#This Row],[GES]],AF615:AF620),IF(Eingabe[[#This Row],[Modus]]="P",_xlfn.RANK.EQ(Eingabe[[#This Row],[GES]],AF615:AF620),"")))</f>
        <v/>
      </c>
      <c r="AV617" s="6" t="e">
        <f>VLOOKUP(Eingabe[[#This Row],[Name]],AuswertungG[],8,FALSE)</f>
        <v>#N/A</v>
      </c>
      <c r="AZ617" s="6" t="str">
        <f>IFERROR(ABS(Eingabe[[#This Row],[GES]]-Eingabe[[#This Row],[GEGGES]]),"")</f>
        <v/>
      </c>
    </row>
    <row r="618" spans="1:52" hidden="1" x14ac:dyDescent="0.3">
      <c r="A618" s="441"/>
      <c r="B618" s="21">
        <f t="shared" si="56"/>
        <v>103</v>
      </c>
      <c r="C618" s="6">
        <f>VLOOKUP($B618,Chronologie[],7,TRUE)</f>
        <v>0</v>
      </c>
      <c r="D618" s="6">
        <f>VLOOKUP($B618,Chronologie[],8,TRUE)</f>
        <v>0</v>
      </c>
      <c r="E618" s="240">
        <f>VLOOKUP($B618,Chronologie[],9,TRUE)</f>
        <v>0</v>
      </c>
      <c r="F618" s="6">
        <f>VLOOKUP($B618,Chronologie[],COLUMN(F619)-2,TRUE)</f>
        <v>0</v>
      </c>
      <c r="G618" s="6">
        <f>VLOOKUP($B618,Chronologie[],COLUMN(G619)-2,TRUE)</f>
        <v>0</v>
      </c>
      <c r="H618" s="6">
        <f>VLOOKUP($B618,Chronologie[],COLUMN(H619)-2,TRUE)</f>
        <v>0</v>
      </c>
      <c r="I618" s="10" t="str">
        <f>VLOOKUP($B618,Chronologie[],2,TRUE)</f>
        <v>--</v>
      </c>
      <c r="J618" s="243">
        <f>VLOOKUP($B618,Chronologie[],3,TRUE)</f>
        <v>0</v>
      </c>
      <c r="K618" s="238"/>
      <c r="L618" s="237"/>
      <c r="M618" s="237"/>
      <c r="N618" s="237"/>
      <c r="O618" s="237"/>
      <c r="P618" s="237"/>
      <c r="Q618" s="237"/>
      <c r="R618" s="237"/>
      <c r="S618" s="237"/>
      <c r="T618" s="237"/>
      <c r="U618" s="237"/>
      <c r="V618" s="237"/>
      <c r="W618" s="237"/>
      <c r="X618" s="38"/>
      <c r="Y618" s="38"/>
      <c r="Z618" s="38"/>
      <c r="AA618" s="38"/>
      <c r="AB618" s="91"/>
      <c r="AC618" s="94" t="str">
        <f>IF(Eingabe[[#This Row],[V1]]="",IF(Eingabe[[#This Row],[Volle alternativ]]="","",Eingabe[[#This Row],[Volle alternativ]]),SUM(Eingabe[[#This Row],[V1]:[V4]]))</f>
        <v/>
      </c>
      <c r="AD618" s="6" t="str">
        <f>IF(Eingabe[[#This Row],[R1]]="",IF(Eingabe[[#This Row],[Räumer alternativ]]="","",Eingabe[[#This Row],[Räumer alternativ]]),SUM(Eingabe[[#This Row],[R1]:[R4]]))</f>
        <v/>
      </c>
      <c r="AE618" s="6" t="str">
        <f>IF(Eingabe[[#This Row],[F1]]="",IF(Eingabe[[#This Row],[Fehler alternativ]]="","",Eingabe[[#This Row],[Fehler alternativ]]),SUM(Eingabe[[#This Row],[F1]:[F4]]))</f>
        <v/>
      </c>
      <c r="AF618" s="6" t="str">
        <f>IF(Eingabe[[#This Row],[Volle]]="","",IF(Eingabe[[#This Row],[S1]]="",Eingabe[[#This Row],[Volle]]+Eingabe[[#This Row],[Räumer]],IF(Eingabe[[#This Row],[Volle]]+Eingabe[[#This Row],[Räumer]]=Eingabe[[#This Row],[S1]]+Eingabe[[#This Row],[S2]]+Eingabe[[#This Row],[S3]]+Eingabe[[#This Row],[S4]],Eingabe[[#This Row],[Volle]]+Eingabe[[#This Row],[Räumer]],"FEHLER")))</f>
        <v/>
      </c>
      <c r="AG618" s="6" t="str">
        <f>IF(Eingabe[[#This Row],[V1]]="","",Eingabe[[#This Row],[V1]]+Eingabe[[#This Row],[R1]])</f>
        <v/>
      </c>
      <c r="AH618" s="6" t="str">
        <f>IF(Eingabe[[#This Row],[V2]]="","",Eingabe[[#This Row],[V2]]+Eingabe[[#This Row],[R2]])</f>
        <v/>
      </c>
      <c r="AI618" s="6" t="str">
        <f>IF(Eingabe[[#This Row],[V3]]="","",Eingabe[[#This Row],[V3]]+Eingabe[[#This Row],[R3]])</f>
        <v/>
      </c>
      <c r="AJ618" s="6" t="str">
        <f>IF(Eingabe[[#This Row],[V4]]="","",Eingabe[[#This Row],[V4]]+Eingabe[[#This Row],[R4]])</f>
        <v/>
      </c>
      <c r="AK618" s="6" t="str">
        <f>IF(Eingabe[[#This Row],[S1P]]="","",Eingabe[[#This Row],[S1P]]+Eingabe[[#This Row],[S2P]]+Eingabe[[#This Row],[S3P]]+Eingabe[[#This Row],[S4P]])</f>
        <v/>
      </c>
      <c r="AL618" s="6" t="str">
        <f>IF(Eingabe[[#This Row],[S1P]]="","",IF(Eingabe[[#This Row],[SP]]&gt;2,1,IF(Eingabe[[#This Row],[SP]]&lt;2,0,IF(Eingabe[[#This Row],[GES]]&gt;Eingabe[[#This Row],[GEGGES]],1,IF(Eingabe[[#This Row],[GES]]=Eingabe[[#This Row],[GEGGES]],0.5,0)))))</f>
        <v/>
      </c>
      <c r="AM618" s="6" t="str">
        <f>IF(Eingabe[[#This Row],[MP]]="","",MOD(ROW(Eingabe[[#This Row],[Position]])-3,6)+1)</f>
        <v/>
      </c>
      <c r="AN618" s="6" t="e">
        <f>STANDARDIZE(Eingabe[[#This Row],[GES]],Eingabe[[#This Row],[Schnitt]],VLOOKUP(Eingabe[[#This Row],[Name]],AuswertungG[],21,FALSE))</f>
        <v>#VALUE!</v>
      </c>
      <c r="AO618" s="6" t="str">
        <f>VLOOKUP(Eingabe[[#This Row],[ID]],Chronologie[[ID]:[KW]],12,FALSE)</f>
        <v/>
      </c>
      <c r="AP618" s="95">
        <f>IF(Eingabe[[#This Row],[Wo]]="H",Eingabe[[#This Row],[Gegner]]&amp;" ["&amp;Eingabe[[#This Row],[Wo]]&amp;"]",Eingabe[[#This Row],[Ort]])</f>
        <v>0</v>
      </c>
      <c r="AQ618" s="6" t="str">
        <f>IFERROR(IF(Eingabe[[#This Row],[Wo]]="H",IF(MOD(Eingabe[[#This Row],[Position]],2)=1,Eingabe[[#This Row],[S1]],Eingabe[[#This Row],[S4]]),""),"")</f>
        <v/>
      </c>
      <c r="AR618" s="6" t="str">
        <f>IFERROR(IF(Eingabe[[#This Row],[Wo]]="H",IF(Eingabe[[#This Row],[S1]]&gt;0,IF(MOD(Eingabe[[#This Row],[Position]],2)=1,Eingabe[[#This Row],[S2]],Eingabe[[#This Row],[S3]]),""),""),"")</f>
        <v/>
      </c>
      <c r="AS618" s="6" t="str">
        <f>IFERROR(IF(Eingabe[[#This Row],[Wo]]="H",IF(Eingabe[[#This Row],[S1]]&gt;0,IF(MOD(ROW(Eingabe[[#This Row],[Heimbahn 3]]),2)=1,Eingabe[[#This Row],[S4]],Eingabe[[#This Row],[S1]]),""),""),"")</f>
        <v/>
      </c>
      <c r="AT618" s="6" t="str">
        <f>IFERROR(IF(Eingabe[[#This Row],[Wo]]="H",IF(Eingabe[[#This Row],[S1]]&gt;0,IF(MOD(ROW(Eingabe[[#This Row],[Heimbahn 4]]),2)=1,Eingabe[[#This Row],[S3]],Eingabe[[#This Row],[S2]]),""),""),"")</f>
        <v/>
      </c>
      <c r="AU618" s="22" t="str">
        <f>IF(Eingabe[[#This Row],[GES]]="","",IF(Eingabe[[#This Row],[Modus]]="L",_xlfn.RANK.EQ(Eingabe[[#This Row],[GES]],AF615:AF620),IF(Eingabe[[#This Row],[Modus]]="P",_xlfn.RANK.EQ(Eingabe[[#This Row],[GES]],AF615:AF620),"")))</f>
        <v/>
      </c>
      <c r="AV618" s="6" t="e">
        <f>VLOOKUP(Eingabe[[#This Row],[Name]],AuswertungG[],8,FALSE)</f>
        <v>#N/A</v>
      </c>
      <c r="AZ618" s="6" t="str">
        <f>IFERROR(ABS(Eingabe[[#This Row],[GES]]-Eingabe[[#This Row],[GEGGES]]),"")</f>
        <v/>
      </c>
    </row>
    <row r="619" spans="1:52" hidden="1" x14ac:dyDescent="0.3">
      <c r="A619" s="441"/>
      <c r="B619" s="21">
        <f t="shared" si="56"/>
        <v>103</v>
      </c>
      <c r="C619" s="6">
        <f>VLOOKUP($B619,Chronologie[],7,TRUE)</f>
        <v>0</v>
      </c>
      <c r="D619" s="6">
        <f>VLOOKUP($B619,Chronologie[],8,TRUE)</f>
        <v>0</v>
      </c>
      <c r="E619" s="240">
        <f>VLOOKUP($B619,Chronologie[],9,TRUE)</f>
        <v>0</v>
      </c>
      <c r="F619" s="6">
        <f>VLOOKUP($B619,Chronologie[],COLUMN(F620)-2,TRUE)</f>
        <v>0</v>
      </c>
      <c r="G619" s="6">
        <f>VLOOKUP($B619,Chronologie[],COLUMN(G620)-2,TRUE)</f>
        <v>0</v>
      </c>
      <c r="H619" s="6">
        <f>VLOOKUP($B619,Chronologie[],COLUMN(H620)-2,TRUE)</f>
        <v>0</v>
      </c>
      <c r="I619" s="10" t="str">
        <f>VLOOKUP($B619,Chronologie[],2,TRUE)</f>
        <v>--</v>
      </c>
      <c r="J619" s="243">
        <f>VLOOKUP($B619,Chronologie[],3,TRUE)</f>
        <v>0</v>
      </c>
      <c r="K619" s="237"/>
      <c r="L619" s="237"/>
      <c r="M619" s="237"/>
      <c r="N619" s="237"/>
      <c r="O619" s="237"/>
      <c r="P619" s="237"/>
      <c r="Q619" s="237"/>
      <c r="R619" s="237"/>
      <c r="S619" s="237"/>
      <c r="T619" s="237"/>
      <c r="U619" s="237"/>
      <c r="V619" s="237"/>
      <c r="W619" s="237"/>
      <c r="X619" s="38"/>
      <c r="Y619" s="38"/>
      <c r="Z619" s="38"/>
      <c r="AA619" s="38"/>
      <c r="AB619" s="91"/>
      <c r="AC619" s="94" t="str">
        <f>IF(Eingabe[[#This Row],[V1]]="",IF(Eingabe[[#This Row],[Volle alternativ]]="","",Eingabe[[#This Row],[Volle alternativ]]),SUM(Eingabe[[#This Row],[V1]:[V4]]))</f>
        <v/>
      </c>
      <c r="AD619" s="6" t="str">
        <f>IF(Eingabe[[#This Row],[R1]]="",IF(Eingabe[[#This Row],[Räumer alternativ]]="","",Eingabe[[#This Row],[Räumer alternativ]]),SUM(Eingabe[[#This Row],[R1]:[R4]]))</f>
        <v/>
      </c>
      <c r="AE619" s="6" t="str">
        <f>IF(Eingabe[[#This Row],[F1]]="",IF(Eingabe[[#This Row],[Fehler alternativ]]="","",Eingabe[[#This Row],[Fehler alternativ]]),SUM(Eingabe[[#This Row],[F1]:[F4]]))</f>
        <v/>
      </c>
      <c r="AF619" s="6" t="str">
        <f>IF(Eingabe[[#This Row],[Volle]]="","",IF(Eingabe[[#This Row],[S1]]="",Eingabe[[#This Row],[Volle]]+Eingabe[[#This Row],[Räumer]],IF(Eingabe[[#This Row],[Volle]]+Eingabe[[#This Row],[Räumer]]=Eingabe[[#This Row],[S1]]+Eingabe[[#This Row],[S2]]+Eingabe[[#This Row],[S3]]+Eingabe[[#This Row],[S4]],Eingabe[[#This Row],[Volle]]+Eingabe[[#This Row],[Räumer]],"FEHLER")))</f>
        <v/>
      </c>
      <c r="AG619" s="6" t="str">
        <f>IF(Eingabe[[#This Row],[V1]]="","",Eingabe[[#This Row],[V1]]+Eingabe[[#This Row],[R1]])</f>
        <v/>
      </c>
      <c r="AH619" s="6" t="str">
        <f>IF(Eingabe[[#This Row],[V2]]="","",Eingabe[[#This Row],[V2]]+Eingabe[[#This Row],[R2]])</f>
        <v/>
      </c>
      <c r="AI619" s="6" t="str">
        <f>IF(Eingabe[[#This Row],[V3]]="","",Eingabe[[#This Row],[V3]]+Eingabe[[#This Row],[R3]])</f>
        <v/>
      </c>
      <c r="AJ619" s="6" t="str">
        <f>IF(Eingabe[[#This Row],[V4]]="","",Eingabe[[#This Row],[V4]]+Eingabe[[#This Row],[R4]])</f>
        <v/>
      </c>
      <c r="AK619" s="6" t="str">
        <f>IF(Eingabe[[#This Row],[S1P]]="","",Eingabe[[#This Row],[S1P]]+Eingabe[[#This Row],[S2P]]+Eingabe[[#This Row],[S3P]]+Eingabe[[#This Row],[S4P]])</f>
        <v/>
      </c>
      <c r="AL619" s="6" t="str">
        <f>IF(Eingabe[[#This Row],[S1P]]="","",IF(Eingabe[[#This Row],[SP]]&gt;2,1,IF(Eingabe[[#This Row],[SP]]&lt;2,0,IF(Eingabe[[#This Row],[GES]]&gt;Eingabe[[#This Row],[GEGGES]],1,IF(Eingabe[[#This Row],[GES]]=Eingabe[[#This Row],[GEGGES]],0.5,0)))))</f>
        <v/>
      </c>
      <c r="AM619" s="6" t="str">
        <f>IF(Eingabe[[#This Row],[MP]]="","",MOD(ROW(Eingabe[[#This Row],[Position]])-3,6)+1)</f>
        <v/>
      </c>
      <c r="AN619" s="6" t="e">
        <f>STANDARDIZE(Eingabe[[#This Row],[GES]],Eingabe[[#This Row],[Schnitt]],VLOOKUP(Eingabe[[#This Row],[Name]],AuswertungG[],21,FALSE))</f>
        <v>#VALUE!</v>
      </c>
      <c r="AO619" s="6" t="str">
        <f>VLOOKUP(Eingabe[[#This Row],[ID]],Chronologie[[ID]:[KW]],12,FALSE)</f>
        <v/>
      </c>
      <c r="AP619" s="95">
        <f>IF(Eingabe[[#This Row],[Wo]]="H",Eingabe[[#This Row],[Gegner]]&amp;" ["&amp;Eingabe[[#This Row],[Wo]]&amp;"]",Eingabe[[#This Row],[Ort]])</f>
        <v>0</v>
      </c>
      <c r="AQ619" s="6" t="str">
        <f>IFERROR(IF(Eingabe[[#This Row],[Wo]]="H",IF(MOD(Eingabe[[#This Row],[Position]],2)=1,Eingabe[[#This Row],[S1]],Eingabe[[#This Row],[S4]]),""),"")</f>
        <v/>
      </c>
      <c r="AR619" s="6" t="str">
        <f>IFERROR(IF(Eingabe[[#This Row],[Wo]]="H",IF(Eingabe[[#This Row],[S1]]&gt;0,IF(MOD(Eingabe[[#This Row],[Position]],2)=1,Eingabe[[#This Row],[S2]],Eingabe[[#This Row],[S3]]),""),""),"")</f>
        <v/>
      </c>
      <c r="AS619" s="6" t="str">
        <f>IFERROR(IF(Eingabe[[#This Row],[Wo]]="H",IF(Eingabe[[#This Row],[S1]]&gt;0,IF(MOD(ROW(Eingabe[[#This Row],[Heimbahn 3]]),2)=1,Eingabe[[#This Row],[S4]],Eingabe[[#This Row],[S1]]),""),""),"")</f>
        <v/>
      </c>
      <c r="AT619" s="6" t="str">
        <f>IFERROR(IF(Eingabe[[#This Row],[Wo]]="H",IF(Eingabe[[#This Row],[S1]]&gt;0,IF(MOD(ROW(Eingabe[[#This Row],[Heimbahn 4]]),2)=1,Eingabe[[#This Row],[S3]],Eingabe[[#This Row],[S2]]),""),""),"")</f>
        <v/>
      </c>
      <c r="AU619" s="22" t="str">
        <f>IF(Eingabe[[#This Row],[GES]]="","",IF(Eingabe[[#This Row],[Modus]]="L",_xlfn.RANK.EQ(Eingabe[[#This Row],[GES]],AF615:AF620),IF(Eingabe[[#This Row],[Modus]]="P",_xlfn.RANK.EQ(Eingabe[[#This Row],[GES]],AF615:AF620),"")))</f>
        <v/>
      </c>
      <c r="AV619" s="6" t="e">
        <f>VLOOKUP(Eingabe[[#This Row],[Name]],AuswertungG[],8,FALSE)</f>
        <v>#N/A</v>
      </c>
      <c r="AZ619" s="6" t="str">
        <f>IFERROR(ABS(Eingabe[[#This Row],[GES]]-Eingabe[[#This Row],[GEGGES]]),"")</f>
        <v/>
      </c>
    </row>
    <row r="620" spans="1:52" ht="16.2" hidden="1" thickBot="1" x14ac:dyDescent="0.35">
      <c r="A620" s="442"/>
      <c r="B620" s="56">
        <f t="shared" si="56"/>
        <v>103</v>
      </c>
      <c r="C620" s="23">
        <f>VLOOKUP($B620,Chronologie[],7,TRUE)</f>
        <v>0</v>
      </c>
      <c r="D620" s="23">
        <f>VLOOKUP($B620,Chronologie[],8,TRUE)</f>
        <v>0</v>
      </c>
      <c r="E620" s="39">
        <f>VLOOKUP($B620,Chronologie[],9,TRUE)</f>
        <v>0</v>
      </c>
      <c r="F620" s="23">
        <f>VLOOKUP($B620,Chronologie[],COLUMN(F621)-2,TRUE)</f>
        <v>0</v>
      </c>
      <c r="G620" s="23">
        <f>VLOOKUP($B620,Chronologie[],COLUMN(G621)-2,TRUE)</f>
        <v>0</v>
      </c>
      <c r="H620" s="23">
        <f>VLOOKUP($B620,Chronologie[],COLUMN(H621)-2,TRUE)</f>
        <v>0</v>
      </c>
      <c r="I620" s="13" t="str">
        <f>VLOOKUP($B620,Chronologie[],2,TRUE)</f>
        <v>--</v>
      </c>
      <c r="J620" s="244">
        <f>VLOOKUP($B620,Chronologie[],3,TRUE)</f>
        <v>0</v>
      </c>
      <c r="K620" s="239"/>
      <c r="L620" s="239"/>
      <c r="M620" s="239"/>
      <c r="N620" s="239"/>
      <c r="O620" s="239"/>
      <c r="P620" s="239"/>
      <c r="Q620" s="239"/>
      <c r="R620" s="239"/>
      <c r="S620" s="239"/>
      <c r="T620" s="239"/>
      <c r="U620" s="239"/>
      <c r="V620" s="239"/>
      <c r="W620" s="239"/>
      <c r="X620" s="40"/>
      <c r="Y620" s="40"/>
      <c r="Z620" s="40"/>
      <c r="AA620" s="40"/>
      <c r="AB620" s="92"/>
      <c r="AC620" s="96" t="str">
        <f>IF(Eingabe[[#This Row],[V1]]="",IF(Eingabe[[#This Row],[Volle alternativ]]="","",Eingabe[[#This Row],[Volle alternativ]]),SUM(Eingabe[[#This Row],[V1]:[V4]]))</f>
        <v/>
      </c>
      <c r="AD620" s="23" t="str">
        <f>IF(Eingabe[[#This Row],[R1]]="",IF(Eingabe[[#This Row],[Räumer alternativ]]="","",Eingabe[[#This Row],[Räumer alternativ]]),SUM(Eingabe[[#This Row],[R1]:[R4]]))</f>
        <v/>
      </c>
      <c r="AE620" s="23" t="str">
        <f>IF(Eingabe[[#This Row],[F1]]="",IF(Eingabe[[#This Row],[Fehler alternativ]]="","",Eingabe[[#This Row],[Fehler alternativ]]),SUM(Eingabe[[#This Row],[F1]:[F4]]))</f>
        <v/>
      </c>
      <c r="AF620" s="23" t="str">
        <f>IF(Eingabe[[#This Row],[Volle]]="","",IF(Eingabe[[#This Row],[S1]]="",Eingabe[[#This Row],[Volle]]+Eingabe[[#This Row],[Räumer]],IF(Eingabe[[#This Row],[Volle]]+Eingabe[[#This Row],[Räumer]]=Eingabe[[#This Row],[S1]]+Eingabe[[#This Row],[S2]]+Eingabe[[#This Row],[S3]]+Eingabe[[#This Row],[S4]],Eingabe[[#This Row],[Volle]]+Eingabe[[#This Row],[Räumer]],"FEHLER")))</f>
        <v/>
      </c>
      <c r="AG620" s="23" t="str">
        <f>IF(Eingabe[[#This Row],[V1]]="","",Eingabe[[#This Row],[V1]]+Eingabe[[#This Row],[R1]])</f>
        <v/>
      </c>
      <c r="AH620" s="23" t="str">
        <f>IF(Eingabe[[#This Row],[V2]]="","",Eingabe[[#This Row],[V2]]+Eingabe[[#This Row],[R2]])</f>
        <v/>
      </c>
      <c r="AI620" s="23" t="str">
        <f>IF(Eingabe[[#This Row],[V3]]="","",Eingabe[[#This Row],[V3]]+Eingabe[[#This Row],[R3]])</f>
        <v/>
      </c>
      <c r="AJ620" s="23" t="str">
        <f>IF(Eingabe[[#This Row],[V4]]="","",Eingabe[[#This Row],[V4]]+Eingabe[[#This Row],[R4]])</f>
        <v/>
      </c>
      <c r="AK620" s="23" t="str">
        <f>IF(Eingabe[[#This Row],[S1P]]="","",Eingabe[[#This Row],[S1P]]+Eingabe[[#This Row],[S2P]]+Eingabe[[#This Row],[S3P]]+Eingabe[[#This Row],[S4P]])</f>
        <v/>
      </c>
      <c r="AL620" s="23" t="str">
        <f>IF(Eingabe[[#This Row],[S1P]]="","",IF(Eingabe[[#This Row],[SP]]&gt;2,1,IF(Eingabe[[#This Row],[SP]]&lt;2,0,IF(Eingabe[[#This Row],[GES]]&gt;Eingabe[[#This Row],[GEGGES]],1,IF(Eingabe[[#This Row],[GES]]=Eingabe[[#This Row],[GEGGES]],0.5,0)))))</f>
        <v/>
      </c>
      <c r="AM620" s="23" t="str">
        <f>IF(Eingabe[[#This Row],[MP]]="","",MOD(ROW(Eingabe[[#This Row],[Position]])-3,6)+1)</f>
        <v/>
      </c>
      <c r="AN620" s="23" t="e">
        <f>STANDARDIZE(Eingabe[[#This Row],[GES]],Eingabe[[#This Row],[Schnitt]],VLOOKUP(Eingabe[[#This Row],[Name]],AuswertungG[],21,FALSE))</f>
        <v>#VALUE!</v>
      </c>
      <c r="AO620" s="23" t="str">
        <f>VLOOKUP(Eingabe[[#This Row],[ID]],Chronologie[[ID]:[KW]],12,FALSE)</f>
        <v/>
      </c>
      <c r="AP620" s="59">
        <f>IF(Eingabe[[#This Row],[Wo]]="H",Eingabe[[#This Row],[Gegner]]&amp;" ["&amp;Eingabe[[#This Row],[Wo]]&amp;"]",Eingabe[[#This Row],[Ort]])</f>
        <v>0</v>
      </c>
      <c r="AQ620" s="23" t="str">
        <f>IFERROR(IF(Eingabe[[#This Row],[Wo]]="H",IF(MOD(Eingabe[[#This Row],[Position]],2)=1,Eingabe[[#This Row],[S1]],Eingabe[[#This Row],[S4]]),""),"")</f>
        <v/>
      </c>
      <c r="AR620" s="23" t="str">
        <f>IFERROR(IF(Eingabe[[#This Row],[Wo]]="H",IF(Eingabe[[#This Row],[S1]]&gt;0,IF(MOD(Eingabe[[#This Row],[Position]],2)=1,Eingabe[[#This Row],[S2]],Eingabe[[#This Row],[S3]]),""),""),"")</f>
        <v/>
      </c>
      <c r="AS620" s="23" t="str">
        <f>IFERROR(IF(Eingabe[[#This Row],[Wo]]="H",IF(Eingabe[[#This Row],[S1]]&gt;0,IF(MOD(ROW(Eingabe[[#This Row],[Heimbahn 3]]),2)=1,Eingabe[[#This Row],[S4]],Eingabe[[#This Row],[S1]]),""),""),"")</f>
        <v/>
      </c>
      <c r="AT620" s="23" t="str">
        <f>IFERROR(IF(Eingabe[[#This Row],[Wo]]="H",IF(Eingabe[[#This Row],[S1]]&gt;0,IF(MOD(ROW(Eingabe[[#This Row],[Heimbahn 4]]),2)=1,Eingabe[[#This Row],[S3]],Eingabe[[#This Row],[S2]]),""),""),"")</f>
        <v/>
      </c>
      <c r="AU620" s="89" t="str">
        <f>IF(Eingabe[[#This Row],[GES]]="","",IF(Eingabe[[#This Row],[Modus]]="L",_xlfn.RANK.EQ(Eingabe[[#This Row],[GES]],AF615:AF620),IF(Eingabe[[#This Row],[Modus]]="P",_xlfn.RANK.EQ(Eingabe[[#This Row],[GES]],AF615:AF620),"")))</f>
        <v/>
      </c>
      <c r="AV620" s="6" t="e">
        <f>VLOOKUP(Eingabe[[#This Row],[Name]],AuswertungG[],8,FALSE)</f>
        <v>#N/A</v>
      </c>
      <c r="AZ620" s="6" t="str">
        <f>IFERROR(ABS(Eingabe[[#This Row],[GES]]-Eingabe[[#This Row],[GEGGES]]),"")</f>
        <v/>
      </c>
    </row>
    <row r="621" spans="1:52" hidden="1" x14ac:dyDescent="0.3">
      <c r="A621" s="440">
        <f t="shared" ref="A621" si="59">B621</f>
        <v>104</v>
      </c>
      <c r="B621" s="55">
        <f t="shared" si="56"/>
        <v>104</v>
      </c>
      <c r="C621" s="35">
        <f>VLOOKUP($B621,Chronologie[],7,TRUE)</f>
        <v>0</v>
      </c>
      <c r="D621" s="35">
        <f>VLOOKUP($B621,Chronologie[],8,TRUE)</f>
        <v>0</v>
      </c>
      <c r="E621" s="36">
        <f>VLOOKUP($B621,Chronologie[],9,TRUE)</f>
        <v>0</v>
      </c>
      <c r="F621" s="35">
        <f>VLOOKUP($B621,Chronologie[],COLUMN(F622)-2,TRUE)</f>
        <v>0</v>
      </c>
      <c r="G621" s="35">
        <f>VLOOKUP($B621,Chronologie[],COLUMN(G622)-2,TRUE)</f>
        <v>0</v>
      </c>
      <c r="H621" s="35">
        <f>VLOOKUP($B621,Chronologie[],COLUMN(H622)-2,TRUE)</f>
        <v>0</v>
      </c>
      <c r="I621" s="9" t="str">
        <f>VLOOKUP($B621,Chronologie[],2,TRUE)</f>
        <v>--</v>
      </c>
      <c r="J621" s="242">
        <f>VLOOKUP($B621,Chronologie[],3,TRUE)</f>
        <v>0</v>
      </c>
      <c r="K621" s="236"/>
      <c r="L621" s="334"/>
      <c r="M621" s="334"/>
      <c r="N621" s="334"/>
      <c r="O621" s="334"/>
      <c r="P621" s="334"/>
      <c r="Q621" s="334"/>
      <c r="R621" s="334"/>
      <c r="S621" s="334"/>
      <c r="T621" s="334"/>
      <c r="U621" s="334"/>
      <c r="V621" s="334"/>
      <c r="W621" s="334"/>
      <c r="X621" s="37"/>
      <c r="Y621" s="37"/>
      <c r="Z621" s="37"/>
      <c r="AA621" s="37"/>
      <c r="AB621" s="90"/>
      <c r="AC621" s="93" t="str">
        <f>IF(Eingabe[[#This Row],[V1]]="",IF(Eingabe[[#This Row],[Volle alternativ]]="","",Eingabe[[#This Row],[Volle alternativ]]),SUM(Eingabe[[#This Row],[V1]:[V4]]))</f>
        <v/>
      </c>
      <c r="AD621" s="35" t="str">
        <f>IF(Eingabe[[#This Row],[R1]]="",IF(Eingabe[[#This Row],[Räumer alternativ]]="","",Eingabe[[#This Row],[Räumer alternativ]]),SUM(Eingabe[[#This Row],[R1]:[R4]]))</f>
        <v/>
      </c>
      <c r="AE621" s="35" t="str">
        <f>IF(Eingabe[[#This Row],[F1]]="",IF(Eingabe[[#This Row],[Fehler alternativ]]="","",Eingabe[[#This Row],[Fehler alternativ]]),SUM(Eingabe[[#This Row],[F1]:[F4]]))</f>
        <v/>
      </c>
      <c r="AF621" s="35" t="str">
        <f>IF(Eingabe[[#This Row],[Volle]]="","",IF(Eingabe[[#This Row],[S1]]="",Eingabe[[#This Row],[Volle]]+Eingabe[[#This Row],[Räumer]],IF(Eingabe[[#This Row],[Volle]]+Eingabe[[#This Row],[Räumer]]=Eingabe[[#This Row],[S1]]+Eingabe[[#This Row],[S2]]+Eingabe[[#This Row],[S3]]+Eingabe[[#This Row],[S4]],Eingabe[[#This Row],[Volle]]+Eingabe[[#This Row],[Räumer]],"FEHLER")))</f>
        <v/>
      </c>
      <c r="AG621" s="35" t="str">
        <f>IF(Eingabe[[#This Row],[V1]]="","",Eingabe[[#This Row],[V1]]+Eingabe[[#This Row],[R1]])</f>
        <v/>
      </c>
      <c r="AH621" s="35" t="str">
        <f>IF(Eingabe[[#This Row],[V2]]="","",Eingabe[[#This Row],[V2]]+Eingabe[[#This Row],[R2]])</f>
        <v/>
      </c>
      <c r="AI621" s="35" t="str">
        <f>IF(Eingabe[[#This Row],[V3]]="","",Eingabe[[#This Row],[V3]]+Eingabe[[#This Row],[R3]])</f>
        <v/>
      </c>
      <c r="AJ621" s="35" t="str">
        <f>IF(Eingabe[[#This Row],[V4]]="","",Eingabe[[#This Row],[V4]]+Eingabe[[#This Row],[R4]])</f>
        <v/>
      </c>
      <c r="AK621" s="35" t="str">
        <f>IF(Eingabe[[#This Row],[S1P]]="","",Eingabe[[#This Row],[S1P]]+Eingabe[[#This Row],[S2P]]+Eingabe[[#This Row],[S3P]]+Eingabe[[#This Row],[S4P]])</f>
        <v/>
      </c>
      <c r="AL621" s="35" t="str">
        <f>IF(Eingabe[[#This Row],[S1P]]="","",IF(Eingabe[[#This Row],[SP]]&gt;2,1,IF(Eingabe[[#This Row],[SP]]&lt;2,0,IF(Eingabe[[#This Row],[GES]]&gt;Eingabe[[#This Row],[GEGGES]],1,IF(Eingabe[[#This Row],[GES]]=Eingabe[[#This Row],[GEGGES]],0.5,0)))))</f>
        <v/>
      </c>
      <c r="AM621" s="35" t="str">
        <f>IF(Eingabe[[#This Row],[MP]]="","",MOD(ROW(Eingabe[[#This Row],[Position]])-3,6)+1)</f>
        <v/>
      </c>
      <c r="AN621" s="35" t="e">
        <f>STANDARDIZE(Eingabe[[#This Row],[GES]],Eingabe[[#This Row],[Schnitt]],VLOOKUP(Eingabe[[#This Row],[Name]],AuswertungG[],21,FALSE))</f>
        <v>#VALUE!</v>
      </c>
      <c r="AO621" s="35" t="str">
        <f>VLOOKUP(Eingabe[[#This Row],[ID]],Chronologie[[ID]:[KW]],12,FALSE)</f>
        <v/>
      </c>
      <c r="AP621" s="58">
        <f>IF(Eingabe[[#This Row],[Wo]]="H",Eingabe[[#This Row],[Gegner]]&amp;" ["&amp;Eingabe[[#This Row],[Wo]]&amp;"]",Eingabe[[#This Row],[Ort]])</f>
        <v>0</v>
      </c>
      <c r="AQ621" s="35"/>
      <c r="AR621" s="35"/>
      <c r="AS621" s="35"/>
      <c r="AT621" s="35" t="str">
        <f>IFERROR(IF(Eingabe[[#This Row],[Wo]]="H",IF(Eingabe[[#This Row],[S1]]&gt;0,IF(MOD(ROW(Eingabe[[#This Row],[Heimbahn 4]]),2)=1,Eingabe[[#This Row],[S3]],Eingabe[[#This Row],[S2]]),""),""),"")</f>
        <v/>
      </c>
      <c r="AU621" s="88" t="str">
        <f>IF(Eingabe[[#This Row],[GES]]="","",IF(Eingabe[[#This Row],[Modus]]="L",_xlfn.RANK.EQ(Eingabe[[#This Row],[GES]],AF621:AF626),IF(Eingabe[[#This Row],[Modus]]="P",_xlfn.RANK.EQ(Eingabe[[#This Row],[GES]],AF621:AF626),"")))</f>
        <v/>
      </c>
      <c r="AV621" s="6" t="e">
        <f>VLOOKUP(Eingabe[[#This Row],[Name]],AuswertungG[],8,FALSE)</f>
        <v>#N/A</v>
      </c>
      <c r="AZ621" s="6" t="str">
        <f>IFERROR(ABS(Eingabe[[#This Row],[GES]]-Eingabe[[#This Row],[GEGGES]]),"")</f>
        <v/>
      </c>
    </row>
    <row r="622" spans="1:52" hidden="1" x14ac:dyDescent="0.3">
      <c r="A622" s="441"/>
      <c r="B622" s="21">
        <f t="shared" si="56"/>
        <v>104</v>
      </c>
      <c r="C622" s="6">
        <f>VLOOKUP($B622,Chronologie[],7,TRUE)</f>
        <v>0</v>
      </c>
      <c r="D622" s="6">
        <f>VLOOKUP($B622,Chronologie[],8,TRUE)</f>
        <v>0</v>
      </c>
      <c r="E622" s="240">
        <f>VLOOKUP($B622,Chronologie[],9,TRUE)</f>
        <v>0</v>
      </c>
      <c r="F622" s="6">
        <f>VLOOKUP($B622,Chronologie[],COLUMN(F623)-2,TRUE)</f>
        <v>0</v>
      </c>
      <c r="G622" s="6">
        <f>VLOOKUP($B622,Chronologie[],COLUMN(G623)-2,TRUE)</f>
        <v>0</v>
      </c>
      <c r="H622" s="6">
        <f>VLOOKUP($B622,Chronologie[],COLUMN(H623)-2,TRUE)</f>
        <v>0</v>
      </c>
      <c r="I622" s="10" t="str">
        <f>VLOOKUP($B622,Chronologie[],2,TRUE)</f>
        <v>--</v>
      </c>
      <c r="J622" s="243">
        <f>VLOOKUP($B622,Chronologie[],3,TRUE)</f>
        <v>0</v>
      </c>
      <c r="K622" s="237"/>
      <c r="L622" s="237"/>
      <c r="M622" s="237"/>
      <c r="N622" s="237"/>
      <c r="O622" s="237"/>
      <c r="P622" s="237"/>
      <c r="Q622" s="237"/>
      <c r="R622" s="237"/>
      <c r="S622" s="237"/>
      <c r="T622" s="237"/>
      <c r="U622" s="237"/>
      <c r="V622" s="237"/>
      <c r="W622" s="237"/>
      <c r="X622" s="38"/>
      <c r="Y622" s="38"/>
      <c r="Z622" s="38"/>
      <c r="AA622" s="38"/>
      <c r="AB622" s="91"/>
      <c r="AC622" s="94" t="str">
        <f>IF(Eingabe[[#This Row],[V1]]="",IF(Eingabe[[#This Row],[Volle alternativ]]="","",Eingabe[[#This Row],[Volle alternativ]]),SUM(Eingabe[[#This Row],[V1]:[V4]]))</f>
        <v/>
      </c>
      <c r="AD622" s="6" t="str">
        <f>IF(Eingabe[[#This Row],[R1]]="",IF(Eingabe[[#This Row],[Räumer alternativ]]="","",Eingabe[[#This Row],[Räumer alternativ]]),SUM(Eingabe[[#This Row],[R1]:[R4]]))</f>
        <v/>
      </c>
      <c r="AE622" s="6" t="str">
        <f>IF(Eingabe[[#This Row],[F1]]="",IF(Eingabe[[#This Row],[Fehler alternativ]]="","",Eingabe[[#This Row],[Fehler alternativ]]),SUM(Eingabe[[#This Row],[F1]:[F4]]))</f>
        <v/>
      </c>
      <c r="AF622" s="6" t="str">
        <f>IF(Eingabe[[#This Row],[Volle]]="","",IF(Eingabe[[#This Row],[S1]]="",Eingabe[[#This Row],[Volle]]+Eingabe[[#This Row],[Räumer]],IF(Eingabe[[#This Row],[Volle]]+Eingabe[[#This Row],[Räumer]]=Eingabe[[#This Row],[S1]]+Eingabe[[#This Row],[S2]]+Eingabe[[#This Row],[S3]]+Eingabe[[#This Row],[S4]],Eingabe[[#This Row],[Volle]]+Eingabe[[#This Row],[Räumer]],"FEHLER")))</f>
        <v/>
      </c>
      <c r="AG622" s="6" t="str">
        <f>IF(Eingabe[[#This Row],[V1]]="","",Eingabe[[#This Row],[V1]]+Eingabe[[#This Row],[R1]])</f>
        <v/>
      </c>
      <c r="AH622" s="6" t="str">
        <f>IF(Eingabe[[#This Row],[V2]]="","",Eingabe[[#This Row],[V2]]+Eingabe[[#This Row],[R2]])</f>
        <v/>
      </c>
      <c r="AI622" s="6" t="str">
        <f>IF(Eingabe[[#This Row],[V3]]="","",Eingabe[[#This Row],[V3]]+Eingabe[[#This Row],[R3]])</f>
        <v/>
      </c>
      <c r="AJ622" s="6" t="str">
        <f>IF(Eingabe[[#This Row],[V4]]="","",Eingabe[[#This Row],[V4]]+Eingabe[[#This Row],[R4]])</f>
        <v/>
      </c>
      <c r="AK622" s="6" t="str">
        <f>IF(Eingabe[[#This Row],[S1P]]="","",Eingabe[[#This Row],[S1P]]+Eingabe[[#This Row],[S2P]]+Eingabe[[#This Row],[S3P]]+Eingabe[[#This Row],[S4P]])</f>
        <v/>
      </c>
      <c r="AL622" s="6" t="str">
        <f>IF(Eingabe[[#This Row],[S1P]]="","",IF(Eingabe[[#This Row],[SP]]&gt;2,1,IF(Eingabe[[#This Row],[SP]]&lt;2,0,IF(Eingabe[[#This Row],[GES]]&gt;Eingabe[[#This Row],[GEGGES]],1,IF(Eingabe[[#This Row],[GES]]=Eingabe[[#This Row],[GEGGES]],0.5,0)))))</f>
        <v/>
      </c>
      <c r="AM622" s="6" t="str">
        <f>IF(Eingabe[[#This Row],[MP]]="","",MOD(ROW(Eingabe[[#This Row],[Position]])-3,6)+1)</f>
        <v/>
      </c>
      <c r="AN622" s="6" t="e">
        <f>STANDARDIZE(Eingabe[[#This Row],[GES]],Eingabe[[#This Row],[Schnitt]],VLOOKUP(Eingabe[[#This Row],[Name]],AuswertungG[],21,FALSE))</f>
        <v>#VALUE!</v>
      </c>
      <c r="AO622" s="6" t="str">
        <f>VLOOKUP(Eingabe[[#This Row],[ID]],Chronologie[[ID]:[KW]],12,FALSE)</f>
        <v/>
      </c>
      <c r="AP622" s="95">
        <f>IF(Eingabe[[#This Row],[Wo]]="H",Eingabe[[#This Row],[Gegner]]&amp;" ["&amp;Eingabe[[#This Row],[Wo]]&amp;"]",Eingabe[[#This Row],[Ort]])</f>
        <v>0</v>
      </c>
      <c r="AQ622" s="6" t="str">
        <f>IFERROR(IF(Eingabe[[#This Row],[Wo]]="H",IF(MOD(Eingabe[[#This Row],[Position]],2)=1,Eingabe[[#This Row],[S1]],Eingabe[[#This Row],[S4]]),""),"")</f>
        <v/>
      </c>
      <c r="AR622" s="6" t="str">
        <f>IFERROR(IF(Eingabe[[#This Row],[Wo]]="H",IF(Eingabe[[#This Row],[S1]]&gt;0,IF(MOD(Eingabe[[#This Row],[Position]],2)=1,Eingabe[[#This Row],[S2]],Eingabe[[#This Row],[S3]]),""),""),"")</f>
        <v/>
      </c>
      <c r="AS622" s="6" t="str">
        <f>IFERROR(IF(Eingabe[[#This Row],[Wo]]="H",IF(Eingabe[[#This Row],[S1]]&gt;0,IF(MOD(ROW(Eingabe[[#This Row],[Heimbahn 3]]),2)=1,Eingabe[[#This Row],[S4]],Eingabe[[#This Row],[S1]]),""),""),"")</f>
        <v/>
      </c>
      <c r="AT622" s="6" t="str">
        <f>IFERROR(IF(Eingabe[[#This Row],[Wo]]="H",IF(Eingabe[[#This Row],[S1]]&gt;0,IF(MOD(ROW(Eingabe[[#This Row],[Heimbahn 4]]),2)=1,Eingabe[[#This Row],[S3]],Eingabe[[#This Row],[S2]]),""),""),"")</f>
        <v/>
      </c>
      <c r="AU622" s="22" t="str">
        <f>IF(Eingabe[[#This Row],[GES]]="","",IF(Eingabe[[#This Row],[Modus]]="L",_xlfn.RANK.EQ(Eingabe[[#This Row],[GES]],AF621:AF626),IF(Eingabe[[#This Row],[Modus]]="P",_xlfn.RANK.EQ(Eingabe[[#This Row],[GES]],AF621:AF626),"")))</f>
        <v/>
      </c>
      <c r="AV622" s="6" t="e">
        <f>VLOOKUP(Eingabe[[#This Row],[Name]],AuswertungG[],8,FALSE)</f>
        <v>#N/A</v>
      </c>
      <c r="AZ622" s="6" t="str">
        <f>IFERROR(ABS(Eingabe[[#This Row],[GES]]-Eingabe[[#This Row],[GEGGES]]),"")</f>
        <v/>
      </c>
    </row>
    <row r="623" spans="1:52" hidden="1" x14ac:dyDescent="0.3">
      <c r="A623" s="441"/>
      <c r="B623" s="21">
        <f t="shared" si="56"/>
        <v>104</v>
      </c>
      <c r="C623" s="6">
        <f>VLOOKUP($B623,Chronologie[],7,TRUE)</f>
        <v>0</v>
      </c>
      <c r="D623" s="6">
        <f>VLOOKUP($B623,Chronologie[],8,TRUE)</f>
        <v>0</v>
      </c>
      <c r="E623" s="240">
        <f>VLOOKUP($B623,Chronologie[],9,TRUE)</f>
        <v>0</v>
      </c>
      <c r="F623" s="6">
        <f>VLOOKUP($B623,Chronologie[],COLUMN(F624)-2,TRUE)</f>
        <v>0</v>
      </c>
      <c r="G623" s="6">
        <f>VLOOKUP($B623,Chronologie[],COLUMN(G624)-2,TRUE)</f>
        <v>0</v>
      </c>
      <c r="H623" s="6">
        <f>VLOOKUP($B623,Chronologie[],COLUMN(H624)-2,TRUE)</f>
        <v>0</v>
      </c>
      <c r="I623" s="10" t="str">
        <f>VLOOKUP($B623,Chronologie[],2,TRUE)</f>
        <v>--</v>
      </c>
      <c r="J623" s="243">
        <f>VLOOKUP($B623,Chronologie[],3,TRUE)</f>
        <v>0</v>
      </c>
      <c r="K623" s="237"/>
      <c r="L623" s="237"/>
      <c r="M623" s="237"/>
      <c r="N623" s="237"/>
      <c r="O623" s="237"/>
      <c r="P623" s="237"/>
      <c r="Q623" s="237"/>
      <c r="R623" s="237"/>
      <c r="S623" s="237"/>
      <c r="T623" s="237"/>
      <c r="U623" s="237"/>
      <c r="V623" s="237"/>
      <c r="W623" s="237"/>
      <c r="X623" s="38"/>
      <c r="Y623" s="38"/>
      <c r="Z623" s="38"/>
      <c r="AA623" s="38"/>
      <c r="AB623" s="91"/>
      <c r="AC623" s="94" t="str">
        <f>IF(Eingabe[[#This Row],[V1]]="",IF(Eingabe[[#This Row],[Volle alternativ]]="","",Eingabe[[#This Row],[Volle alternativ]]),SUM(Eingabe[[#This Row],[V1]:[V4]]))</f>
        <v/>
      </c>
      <c r="AD623" s="6" t="str">
        <f>IF(Eingabe[[#This Row],[R1]]="",IF(Eingabe[[#This Row],[Räumer alternativ]]="","",Eingabe[[#This Row],[Räumer alternativ]]),SUM(Eingabe[[#This Row],[R1]:[R4]]))</f>
        <v/>
      </c>
      <c r="AE623" s="6" t="str">
        <f>IF(Eingabe[[#This Row],[F1]]="",IF(Eingabe[[#This Row],[Fehler alternativ]]="","",Eingabe[[#This Row],[Fehler alternativ]]),SUM(Eingabe[[#This Row],[F1]:[F4]]))</f>
        <v/>
      </c>
      <c r="AF623" s="6" t="str">
        <f>IF(Eingabe[[#This Row],[Volle]]="","",IF(Eingabe[[#This Row],[S1]]="",Eingabe[[#This Row],[Volle]]+Eingabe[[#This Row],[Räumer]],IF(Eingabe[[#This Row],[Volle]]+Eingabe[[#This Row],[Räumer]]=Eingabe[[#This Row],[S1]]+Eingabe[[#This Row],[S2]]+Eingabe[[#This Row],[S3]]+Eingabe[[#This Row],[S4]],Eingabe[[#This Row],[Volle]]+Eingabe[[#This Row],[Räumer]],"FEHLER")))</f>
        <v/>
      </c>
      <c r="AG623" s="6" t="str">
        <f>IF(Eingabe[[#This Row],[V1]]="","",Eingabe[[#This Row],[V1]]+Eingabe[[#This Row],[R1]])</f>
        <v/>
      </c>
      <c r="AH623" s="6" t="str">
        <f>IF(Eingabe[[#This Row],[V2]]="","",Eingabe[[#This Row],[V2]]+Eingabe[[#This Row],[R2]])</f>
        <v/>
      </c>
      <c r="AI623" s="6" t="str">
        <f>IF(Eingabe[[#This Row],[V3]]="","",Eingabe[[#This Row],[V3]]+Eingabe[[#This Row],[R3]])</f>
        <v/>
      </c>
      <c r="AJ623" s="6" t="str">
        <f>IF(Eingabe[[#This Row],[V4]]="","",Eingabe[[#This Row],[V4]]+Eingabe[[#This Row],[R4]])</f>
        <v/>
      </c>
      <c r="AK623" s="6" t="str">
        <f>IF(Eingabe[[#This Row],[S1P]]="","",Eingabe[[#This Row],[S1P]]+Eingabe[[#This Row],[S2P]]+Eingabe[[#This Row],[S3P]]+Eingabe[[#This Row],[S4P]])</f>
        <v/>
      </c>
      <c r="AL623" s="6" t="str">
        <f>IF(Eingabe[[#This Row],[S1P]]="","",IF(Eingabe[[#This Row],[SP]]&gt;2,1,IF(Eingabe[[#This Row],[SP]]&lt;2,0,IF(Eingabe[[#This Row],[GES]]&gt;Eingabe[[#This Row],[GEGGES]],1,IF(Eingabe[[#This Row],[GES]]=Eingabe[[#This Row],[GEGGES]],0.5,0)))))</f>
        <v/>
      </c>
      <c r="AM623" s="6" t="str">
        <f>IF(Eingabe[[#This Row],[MP]]="","",MOD(ROW(Eingabe[[#This Row],[Position]])-3,6)+1)</f>
        <v/>
      </c>
      <c r="AN623" s="6" t="e">
        <f>STANDARDIZE(Eingabe[[#This Row],[GES]],Eingabe[[#This Row],[Schnitt]],VLOOKUP(Eingabe[[#This Row],[Name]],AuswertungG[],21,FALSE))</f>
        <v>#VALUE!</v>
      </c>
      <c r="AO623" s="6" t="str">
        <f>VLOOKUP(Eingabe[[#This Row],[ID]],Chronologie[[ID]:[KW]],12,FALSE)</f>
        <v/>
      </c>
      <c r="AP623" s="95">
        <f>IF(Eingabe[[#This Row],[Wo]]="H",Eingabe[[#This Row],[Gegner]]&amp;" ["&amp;Eingabe[[#This Row],[Wo]]&amp;"]",Eingabe[[#This Row],[Ort]])</f>
        <v>0</v>
      </c>
      <c r="AQ623" s="6" t="str">
        <f>IFERROR(IF(Eingabe[[#This Row],[Wo]]="H",IF(MOD(Eingabe[[#This Row],[Position]],2)=1,Eingabe[[#This Row],[S1]],Eingabe[[#This Row],[S4]]),""),"")</f>
        <v/>
      </c>
      <c r="AR623" s="6" t="str">
        <f>IFERROR(IF(Eingabe[[#This Row],[Wo]]="H",IF(Eingabe[[#This Row],[S1]]&gt;0,IF(MOD(Eingabe[[#This Row],[Position]],2)=1,Eingabe[[#This Row],[S2]],Eingabe[[#This Row],[S3]]),""),""),"")</f>
        <v/>
      </c>
      <c r="AS623" s="6" t="str">
        <f>IFERROR(IF(Eingabe[[#This Row],[Wo]]="H",IF(Eingabe[[#This Row],[S1]]&gt;0,IF(MOD(ROW(Eingabe[[#This Row],[Heimbahn 3]]),2)=1,Eingabe[[#This Row],[S4]],Eingabe[[#This Row],[S1]]),""),""),"")</f>
        <v/>
      </c>
      <c r="AT623" s="6" t="str">
        <f>IFERROR(IF(Eingabe[[#This Row],[Wo]]="H",IF(Eingabe[[#This Row],[S1]]&gt;0,IF(MOD(ROW(Eingabe[[#This Row],[Heimbahn 4]]),2)=1,Eingabe[[#This Row],[S3]],Eingabe[[#This Row],[S2]]),""),""),"")</f>
        <v/>
      </c>
      <c r="AU623" s="22" t="str">
        <f>IF(Eingabe[[#This Row],[GES]]="","",IF(Eingabe[[#This Row],[Modus]]="L",_xlfn.RANK.EQ(Eingabe[[#This Row],[GES]],AF621:AF626),IF(Eingabe[[#This Row],[Modus]]="P",_xlfn.RANK.EQ(Eingabe[[#This Row],[GES]],AF621:AF626),"")))</f>
        <v/>
      </c>
      <c r="AV623" s="6" t="e">
        <f>VLOOKUP(Eingabe[[#This Row],[Name]],AuswertungG[],8,FALSE)</f>
        <v>#N/A</v>
      </c>
      <c r="AZ623" s="6" t="str">
        <f>IFERROR(ABS(Eingabe[[#This Row],[GES]]-Eingabe[[#This Row],[GEGGES]]),"")</f>
        <v/>
      </c>
    </row>
    <row r="624" spans="1:52" hidden="1" x14ac:dyDescent="0.3">
      <c r="A624" s="441"/>
      <c r="B624" s="21">
        <f t="shared" si="56"/>
        <v>104</v>
      </c>
      <c r="C624" s="6">
        <f>VLOOKUP($B624,Chronologie[],7,TRUE)</f>
        <v>0</v>
      </c>
      <c r="D624" s="6">
        <f>VLOOKUP($B624,Chronologie[],8,TRUE)</f>
        <v>0</v>
      </c>
      <c r="E624" s="240">
        <f>VLOOKUP($B624,Chronologie[],9,TRUE)</f>
        <v>0</v>
      </c>
      <c r="F624" s="6">
        <f>VLOOKUP($B624,Chronologie[],COLUMN(F625)-2,TRUE)</f>
        <v>0</v>
      </c>
      <c r="G624" s="6">
        <f>VLOOKUP($B624,Chronologie[],COLUMN(G625)-2,TRUE)</f>
        <v>0</v>
      </c>
      <c r="H624" s="6">
        <f>VLOOKUP($B624,Chronologie[],COLUMN(H625)-2,TRUE)</f>
        <v>0</v>
      </c>
      <c r="I624" s="10" t="str">
        <f>VLOOKUP($B624,Chronologie[],2,TRUE)</f>
        <v>--</v>
      </c>
      <c r="J624" s="243">
        <f>VLOOKUP($B624,Chronologie[],3,TRUE)</f>
        <v>0</v>
      </c>
      <c r="K624" s="238"/>
      <c r="L624" s="237"/>
      <c r="M624" s="237"/>
      <c r="N624" s="237"/>
      <c r="O624" s="237"/>
      <c r="P624" s="237"/>
      <c r="Q624" s="237"/>
      <c r="R624" s="237"/>
      <c r="S624" s="237"/>
      <c r="T624" s="237"/>
      <c r="U624" s="237"/>
      <c r="V624" s="237"/>
      <c r="W624" s="237"/>
      <c r="X624" s="38"/>
      <c r="Y624" s="38"/>
      <c r="Z624" s="38"/>
      <c r="AA624" s="38"/>
      <c r="AB624" s="91"/>
      <c r="AC624" s="94" t="str">
        <f>IF(Eingabe[[#This Row],[V1]]="",IF(Eingabe[[#This Row],[Volle alternativ]]="","",Eingabe[[#This Row],[Volle alternativ]]),SUM(Eingabe[[#This Row],[V1]:[V4]]))</f>
        <v/>
      </c>
      <c r="AD624" s="6" t="str">
        <f>IF(Eingabe[[#This Row],[R1]]="",IF(Eingabe[[#This Row],[Räumer alternativ]]="","",Eingabe[[#This Row],[Räumer alternativ]]),SUM(Eingabe[[#This Row],[R1]:[R4]]))</f>
        <v/>
      </c>
      <c r="AE624" s="6" t="str">
        <f>IF(Eingabe[[#This Row],[F1]]="",IF(Eingabe[[#This Row],[Fehler alternativ]]="","",Eingabe[[#This Row],[Fehler alternativ]]),SUM(Eingabe[[#This Row],[F1]:[F4]]))</f>
        <v/>
      </c>
      <c r="AF624" s="6" t="str">
        <f>IF(Eingabe[[#This Row],[Volle]]="","",IF(Eingabe[[#This Row],[S1]]="",Eingabe[[#This Row],[Volle]]+Eingabe[[#This Row],[Räumer]],IF(Eingabe[[#This Row],[Volle]]+Eingabe[[#This Row],[Räumer]]=Eingabe[[#This Row],[S1]]+Eingabe[[#This Row],[S2]]+Eingabe[[#This Row],[S3]]+Eingabe[[#This Row],[S4]],Eingabe[[#This Row],[Volle]]+Eingabe[[#This Row],[Räumer]],"FEHLER")))</f>
        <v/>
      </c>
      <c r="AG624" s="6" t="str">
        <f>IF(Eingabe[[#This Row],[V1]]="","",Eingabe[[#This Row],[V1]]+Eingabe[[#This Row],[R1]])</f>
        <v/>
      </c>
      <c r="AH624" s="6" t="str">
        <f>IF(Eingabe[[#This Row],[V2]]="","",Eingabe[[#This Row],[V2]]+Eingabe[[#This Row],[R2]])</f>
        <v/>
      </c>
      <c r="AI624" s="6" t="str">
        <f>IF(Eingabe[[#This Row],[V3]]="","",Eingabe[[#This Row],[V3]]+Eingabe[[#This Row],[R3]])</f>
        <v/>
      </c>
      <c r="AJ624" s="6" t="str">
        <f>IF(Eingabe[[#This Row],[V4]]="","",Eingabe[[#This Row],[V4]]+Eingabe[[#This Row],[R4]])</f>
        <v/>
      </c>
      <c r="AK624" s="6" t="str">
        <f>IF(Eingabe[[#This Row],[S1P]]="","",Eingabe[[#This Row],[S1P]]+Eingabe[[#This Row],[S2P]]+Eingabe[[#This Row],[S3P]]+Eingabe[[#This Row],[S4P]])</f>
        <v/>
      </c>
      <c r="AL624" s="6" t="str">
        <f>IF(Eingabe[[#This Row],[S1P]]="","",IF(Eingabe[[#This Row],[SP]]&gt;2,1,IF(Eingabe[[#This Row],[SP]]&lt;2,0,IF(Eingabe[[#This Row],[GES]]&gt;Eingabe[[#This Row],[GEGGES]],1,IF(Eingabe[[#This Row],[GES]]=Eingabe[[#This Row],[GEGGES]],0.5,0)))))</f>
        <v/>
      </c>
      <c r="AM624" s="6" t="str">
        <f>IF(Eingabe[[#This Row],[MP]]="","",MOD(ROW(Eingabe[[#This Row],[Position]])-3,6)+1)</f>
        <v/>
      </c>
      <c r="AN624" s="6" t="e">
        <f>STANDARDIZE(Eingabe[[#This Row],[GES]],Eingabe[[#This Row],[Schnitt]],VLOOKUP(Eingabe[[#This Row],[Name]],AuswertungG[],21,FALSE))</f>
        <v>#VALUE!</v>
      </c>
      <c r="AO624" s="6" t="str">
        <f>VLOOKUP(Eingabe[[#This Row],[ID]],Chronologie[[ID]:[KW]],12,FALSE)</f>
        <v/>
      </c>
      <c r="AP624" s="95">
        <f>IF(Eingabe[[#This Row],[Wo]]="H",Eingabe[[#This Row],[Gegner]]&amp;" ["&amp;Eingabe[[#This Row],[Wo]]&amp;"]",Eingabe[[#This Row],[Ort]])</f>
        <v>0</v>
      </c>
      <c r="AQ624" s="6" t="str">
        <f>IFERROR(IF(Eingabe[[#This Row],[Wo]]="H",IF(MOD(Eingabe[[#This Row],[Position]],2)=1,Eingabe[[#This Row],[S1]],Eingabe[[#This Row],[S4]]),""),"")</f>
        <v/>
      </c>
      <c r="AR624" s="6" t="str">
        <f>IFERROR(IF(Eingabe[[#This Row],[Wo]]="H",IF(Eingabe[[#This Row],[S1]]&gt;0,IF(MOD(Eingabe[[#This Row],[Position]],2)=1,Eingabe[[#This Row],[S2]],Eingabe[[#This Row],[S3]]),""),""),"")</f>
        <v/>
      </c>
      <c r="AS624" s="6" t="str">
        <f>IFERROR(IF(Eingabe[[#This Row],[Wo]]="H",IF(Eingabe[[#This Row],[S1]]&gt;0,IF(MOD(ROW(Eingabe[[#This Row],[Heimbahn 3]]),2)=1,Eingabe[[#This Row],[S4]],Eingabe[[#This Row],[S1]]),""),""),"")</f>
        <v/>
      </c>
      <c r="AT624" s="6" t="str">
        <f>IFERROR(IF(Eingabe[[#This Row],[Wo]]="H",IF(Eingabe[[#This Row],[S1]]&gt;0,IF(MOD(ROW(Eingabe[[#This Row],[Heimbahn 4]]),2)=1,Eingabe[[#This Row],[S3]],Eingabe[[#This Row],[S2]]),""),""),"")</f>
        <v/>
      </c>
      <c r="AU624" s="22" t="str">
        <f>IF(Eingabe[[#This Row],[GES]]="","",IF(Eingabe[[#This Row],[Modus]]="L",_xlfn.RANK.EQ(Eingabe[[#This Row],[GES]],AF621:AF626),IF(Eingabe[[#This Row],[Modus]]="P",_xlfn.RANK.EQ(Eingabe[[#This Row],[GES]],AF621:AF626),"")))</f>
        <v/>
      </c>
      <c r="AV624" s="6" t="e">
        <f>VLOOKUP(Eingabe[[#This Row],[Name]],AuswertungG[],8,FALSE)</f>
        <v>#N/A</v>
      </c>
      <c r="AZ624" s="6" t="str">
        <f>IFERROR(ABS(Eingabe[[#This Row],[GES]]-Eingabe[[#This Row],[GEGGES]]),"")</f>
        <v/>
      </c>
    </row>
    <row r="625" spans="1:52" hidden="1" x14ac:dyDescent="0.3">
      <c r="A625" s="441"/>
      <c r="B625" s="21">
        <f t="shared" si="56"/>
        <v>104</v>
      </c>
      <c r="C625" s="6">
        <f>VLOOKUP($B625,Chronologie[],7,TRUE)</f>
        <v>0</v>
      </c>
      <c r="D625" s="6">
        <f>VLOOKUP($B625,Chronologie[],8,TRUE)</f>
        <v>0</v>
      </c>
      <c r="E625" s="240">
        <f>VLOOKUP($B625,Chronologie[],9,TRUE)</f>
        <v>0</v>
      </c>
      <c r="F625" s="6">
        <f>VLOOKUP($B625,Chronologie[],COLUMN(F626)-2,TRUE)</f>
        <v>0</v>
      </c>
      <c r="G625" s="6">
        <f>VLOOKUP($B625,Chronologie[],COLUMN(G626)-2,TRUE)</f>
        <v>0</v>
      </c>
      <c r="H625" s="6">
        <f>VLOOKUP($B625,Chronologie[],COLUMN(H626)-2,TRUE)</f>
        <v>0</v>
      </c>
      <c r="I625" s="10" t="str">
        <f>VLOOKUP($B625,Chronologie[],2,TRUE)</f>
        <v>--</v>
      </c>
      <c r="J625" s="243">
        <f>VLOOKUP($B625,Chronologie[],3,TRUE)</f>
        <v>0</v>
      </c>
      <c r="K625" s="237"/>
      <c r="L625" s="237"/>
      <c r="M625" s="237"/>
      <c r="N625" s="237"/>
      <c r="O625" s="237"/>
      <c r="P625" s="237"/>
      <c r="Q625" s="237"/>
      <c r="R625" s="237"/>
      <c r="S625" s="237"/>
      <c r="T625" s="237"/>
      <c r="U625" s="237"/>
      <c r="V625" s="237"/>
      <c r="W625" s="237"/>
      <c r="X625" s="38"/>
      <c r="Y625" s="38"/>
      <c r="Z625" s="38"/>
      <c r="AA625" s="38"/>
      <c r="AB625" s="91"/>
      <c r="AC625" s="94" t="str">
        <f>IF(Eingabe[[#This Row],[V1]]="",IF(Eingabe[[#This Row],[Volle alternativ]]="","",Eingabe[[#This Row],[Volle alternativ]]),SUM(Eingabe[[#This Row],[V1]:[V4]]))</f>
        <v/>
      </c>
      <c r="AD625" s="6" t="str">
        <f>IF(Eingabe[[#This Row],[R1]]="",IF(Eingabe[[#This Row],[Räumer alternativ]]="","",Eingabe[[#This Row],[Räumer alternativ]]),SUM(Eingabe[[#This Row],[R1]:[R4]]))</f>
        <v/>
      </c>
      <c r="AE625" s="6" t="str">
        <f>IF(Eingabe[[#This Row],[F1]]="",IF(Eingabe[[#This Row],[Fehler alternativ]]="","",Eingabe[[#This Row],[Fehler alternativ]]),SUM(Eingabe[[#This Row],[F1]:[F4]]))</f>
        <v/>
      </c>
      <c r="AF625" s="6" t="str">
        <f>IF(Eingabe[[#This Row],[Volle]]="","",IF(Eingabe[[#This Row],[S1]]="",Eingabe[[#This Row],[Volle]]+Eingabe[[#This Row],[Räumer]],IF(Eingabe[[#This Row],[Volle]]+Eingabe[[#This Row],[Räumer]]=Eingabe[[#This Row],[S1]]+Eingabe[[#This Row],[S2]]+Eingabe[[#This Row],[S3]]+Eingabe[[#This Row],[S4]],Eingabe[[#This Row],[Volle]]+Eingabe[[#This Row],[Räumer]],"FEHLER")))</f>
        <v/>
      </c>
      <c r="AG625" s="6" t="str">
        <f>IF(Eingabe[[#This Row],[V1]]="","",Eingabe[[#This Row],[V1]]+Eingabe[[#This Row],[R1]])</f>
        <v/>
      </c>
      <c r="AH625" s="6" t="str">
        <f>IF(Eingabe[[#This Row],[V2]]="","",Eingabe[[#This Row],[V2]]+Eingabe[[#This Row],[R2]])</f>
        <v/>
      </c>
      <c r="AI625" s="6" t="str">
        <f>IF(Eingabe[[#This Row],[V3]]="","",Eingabe[[#This Row],[V3]]+Eingabe[[#This Row],[R3]])</f>
        <v/>
      </c>
      <c r="AJ625" s="6" t="str">
        <f>IF(Eingabe[[#This Row],[V4]]="","",Eingabe[[#This Row],[V4]]+Eingabe[[#This Row],[R4]])</f>
        <v/>
      </c>
      <c r="AK625" s="6" t="str">
        <f>IF(Eingabe[[#This Row],[S1P]]="","",Eingabe[[#This Row],[S1P]]+Eingabe[[#This Row],[S2P]]+Eingabe[[#This Row],[S3P]]+Eingabe[[#This Row],[S4P]])</f>
        <v/>
      </c>
      <c r="AL625" s="6" t="str">
        <f>IF(Eingabe[[#This Row],[S1P]]="","",IF(Eingabe[[#This Row],[SP]]&gt;2,1,IF(Eingabe[[#This Row],[SP]]&lt;2,0,IF(Eingabe[[#This Row],[GES]]&gt;Eingabe[[#This Row],[GEGGES]],1,IF(Eingabe[[#This Row],[GES]]=Eingabe[[#This Row],[GEGGES]],0.5,0)))))</f>
        <v/>
      </c>
      <c r="AM625" s="6" t="str">
        <f>IF(Eingabe[[#This Row],[MP]]="","",MOD(ROW(Eingabe[[#This Row],[Position]])-3,6)+1)</f>
        <v/>
      </c>
      <c r="AN625" s="6" t="e">
        <f>STANDARDIZE(Eingabe[[#This Row],[GES]],Eingabe[[#This Row],[Schnitt]],VLOOKUP(Eingabe[[#This Row],[Name]],AuswertungG[],21,FALSE))</f>
        <v>#VALUE!</v>
      </c>
      <c r="AO625" s="6" t="str">
        <f>VLOOKUP(Eingabe[[#This Row],[ID]],Chronologie[[ID]:[KW]],12,FALSE)</f>
        <v/>
      </c>
      <c r="AP625" s="95">
        <f>IF(Eingabe[[#This Row],[Wo]]="H",Eingabe[[#This Row],[Gegner]]&amp;" ["&amp;Eingabe[[#This Row],[Wo]]&amp;"]",Eingabe[[#This Row],[Ort]])</f>
        <v>0</v>
      </c>
      <c r="AQ625" s="6" t="str">
        <f>IFERROR(IF(Eingabe[[#This Row],[Wo]]="H",IF(MOD(Eingabe[[#This Row],[Position]],2)=1,Eingabe[[#This Row],[S1]],Eingabe[[#This Row],[S4]]),""),"")</f>
        <v/>
      </c>
      <c r="AR625" s="6" t="str">
        <f>IFERROR(IF(Eingabe[[#This Row],[Wo]]="H",IF(Eingabe[[#This Row],[S1]]&gt;0,IF(MOD(Eingabe[[#This Row],[Position]],2)=1,Eingabe[[#This Row],[S2]],Eingabe[[#This Row],[S3]]),""),""),"")</f>
        <v/>
      </c>
      <c r="AS625" s="6" t="str">
        <f>IFERROR(IF(Eingabe[[#This Row],[Wo]]="H",IF(Eingabe[[#This Row],[S1]]&gt;0,IF(MOD(ROW(Eingabe[[#This Row],[Heimbahn 3]]),2)=1,Eingabe[[#This Row],[S4]],Eingabe[[#This Row],[S1]]),""),""),"")</f>
        <v/>
      </c>
      <c r="AT625" s="6" t="str">
        <f>IFERROR(IF(Eingabe[[#This Row],[Wo]]="H",IF(Eingabe[[#This Row],[S1]]&gt;0,IF(MOD(ROW(Eingabe[[#This Row],[Heimbahn 4]]),2)=1,Eingabe[[#This Row],[S3]],Eingabe[[#This Row],[S2]]),""),""),"")</f>
        <v/>
      </c>
      <c r="AU625" s="22" t="str">
        <f>IF(Eingabe[[#This Row],[GES]]="","",IF(Eingabe[[#This Row],[Modus]]="L",_xlfn.RANK.EQ(Eingabe[[#This Row],[GES]],AF621:AF626),IF(Eingabe[[#This Row],[Modus]]="P",_xlfn.RANK.EQ(Eingabe[[#This Row],[GES]],AF621:AF626),"")))</f>
        <v/>
      </c>
      <c r="AV625" s="6" t="e">
        <f>VLOOKUP(Eingabe[[#This Row],[Name]],AuswertungG[],8,FALSE)</f>
        <v>#N/A</v>
      </c>
      <c r="AZ625" s="6" t="str">
        <f>IFERROR(ABS(Eingabe[[#This Row],[GES]]-Eingabe[[#This Row],[GEGGES]]),"")</f>
        <v/>
      </c>
    </row>
    <row r="626" spans="1:52" ht="16.2" hidden="1" thickBot="1" x14ac:dyDescent="0.35">
      <c r="A626" s="442"/>
      <c r="B626" s="56">
        <f t="shared" si="56"/>
        <v>104</v>
      </c>
      <c r="C626" s="23">
        <f>VLOOKUP($B626,Chronologie[],7,TRUE)</f>
        <v>0</v>
      </c>
      <c r="D626" s="23">
        <f>VLOOKUP($B626,Chronologie[],8,TRUE)</f>
        <v>0</v>
      </c>
      <c r="E626" s="39">
        <f>VLOOKUP($B626,Chronologie[],9,TRUE)</f>
        <v>0</v>
      </c>
      <c r="F626" s="23">
        <f>VLOOKUP($B626,Chronologie[],COLUMN(F627)-2,TRUE)</f>
        <v>0</v>
      </c>
      <c r="G626" s="23">
        <f>VLOOKUP($B626,Chronologie[],COLUMN(G627)-2,TRUE)</f>
        <v>0</v>
      </c>
      <c r="H626" s="23">
        <f>VLOOKUP($B626,Chronologie[],COLUMN(H627)-2,TRUE)</f>
        <v>0</v>
      </c>
      <c r="I626" s="13" t="str">
        <f>VLOOKUP($B626,Chronologie[],2,TRUE)</f>
        <v>--</v>
      </c>
      <c r="J626" s="244">
        <f>VLOOKUP($B626,Chronologie[],3,TRUE)</f>
        <v>0</v>
      </c>
      <c r="K626" s="239"/>
      <c r="L626" s="239"/>
      <c r="M626" s="239"/>
      <c r="N626" s="239"/>
      <c r="O626" s="239"/>
      <c r="P626" s="239"/>
      <c r="Q626" s="239"/>
      <c r="R626" s="239"/>
      <c r="S626" s="239"/>
      <c r="T626" s="239"/>
      <c r="U626" s="239"/>
      <c r="V626" s="239"/>
      <c r="W626" s="239"/>
      <c r="X626" s="40"/>
      <c r="Y626" s="40"/>
      <c r="Z626" s="40"/>
      <c r="AA626" s="40"/>
      <c r="AB626" s="92"/>
      <c r="AC626" s="96" t="str">
        <f>IF(Eingabe[[#This Row],[V1]]="",IF(Eingabe[[#This Row],[Volle alternativ]]="","",Eingabe[[#This Row],[Volle alternativ]]),SUM(Eingabe[[#This Row],[V1]:[V4]]))</f>
        <v/>
      </c>
      <c r="AD626" s="23" t="str">
        <f>IF(Eingabe[[#This Row],[R1]]="",IF(Eingabe[[#This Row],[Räumer alternativ]]="","",Eingabe[[#This Row],[Räumer alternativ]]),SUM(Eingabe[[#This Row],[R1]:[R4]]))</f>
        <v/>
      </c>
      <c r="AE626" s="23" t="str">
        <f>IF(Eingabe[[#This Row],[F1]]="",IF(Eingabe[[#This Row],[Fehler alternativ]]="","",Eingabe[[#This Row],[Fehler alternativ]]),SUM(Eingabe[[#This Row],[F1]:[F4]]))</f>
        <v/>
      </c>
      <c r="AF626" s="23" t="str">
        <f>IF(Eingabe[[#This Row],[Volle]]="","",IF(Eingabe[[#This Row],[S1]]="",Eingabe[[#This Row],[Volle]]+Eingabe[[#This Row],[Räumer]],IF(Eingabe[[#This Row],[Volle]]+Eingabe[[#This Row],[Räumer]]=Eingabe[[#This Row],[S1]]+Eingabe[[#This Row],[S2]]+Eingabe[[#This Row],[S3]]+Eingabe[[#This Row],[S4]],Eingabe[[#This Row],[Volle]]+Eingabe[[#This Row],[Räumer]],"FEHLER")))</f>
        <v/>
      </c>
      <c r="AG626" s="23" t="str">
        <f>IF(Eingabe[[#This Row],[V1]]="","",Eingabe[[#This Row],[V1]]+Eingabe[[#This Row],[R1]])</f>
        <v/>
      </c>
      <c r="AH626" s="23" t="str">
        <f>IF(Eingabe[[#This Row],[V2]]="","",Eingabe[[#This Row],[V2]]+Eingabe[[#This Row],[R2]])</f>
        <v/>
      </c>
      <c r="AI626" s="23" t="str">
        <f>IF(Eingabe[[#This Row],[V3]]="","",Eingabe[[#This Row],[V3]]+Eingabe[[#This Row],[R3]])</f>
        <v/>
      </c>
      <c r="AJ626" s="23" t="str">
        <f>IF(Eingabe[[#This Row],[V4]]="","",Eingabe[[#This Row],[V4]]+Eingabe[[#This Row],[R4]])</f>
        <v/>
      </c>
      <c r="AK626" s="23" t="str">
        <f>IF(Eingabe[[#This Row],[S1P]]="","",Eingabe[[#This Row],[S1P]]+Eingabe[[#This Row],[S2P]]+Eingabe[[#This Row],[S3P]]+Eingabe[[#This Row],[S4P]])</f>
        <v/>
      </c>
      <c r="AL626" s="23" t="str">
        <f>IF(Eingabe[[#This Row],[S1P]]="","",IF(Eingabe[[#This Row],[SP]]&gt;2,1,IF(Eingabe[[#This Row],[SP]]&lt;2,0,IF(Eingabe[[#This Row],[GES]]&gt;Eingabe[[#This Row],[GEGGES]],1,IF(Eingabe[[#This Row],[GES]]=Eingabe[[#This Row],[GEGGES]],0.5,0)))))</f>
        <v/>
      </c>
      <c r="AM626" s="23" t="str">
        <f>IF(Eingabe[[#This Row],[MP]]="","",MOD(ROW(Eingabe[[#This Row],[Position]])-3,6)+1)</f>
        <v/>
      </c>
      <c r="AN626" s="23" t="e">
        <f>STANDARDIZE(Eingabe[[#This Row],[GES]],Eingabe[[#This Row],[Schnitt]],VLOOKUP(Eingabe[[#This Row],[Name]],AuswertungG[],21,FALSE))</f>
        <v>#VALUE!</v>
      </c>
      <c r="AO626" s="23" t="str">
        <f>VLOOKUP(Eingabe[[#This Row],[ID]],Chronologie[[ID]:[KW]],12,FALSE)</f>
        <v/>
      </c>
      <c r="AP626" s="59">
        <f>IF(Eingabe[[#This Row],[Wo]]="H",Eingabe[[#This Row],[Gegner]]&amp;" ["&amp;Eingabe[[#This Row],[Wo]]&amp;"]",Eingabe[[#This Row],[Ort]])</f>
        <v>0</v>
      </c>
      <c r="AQ626" s="23" t="str">
        <f>IFERROR(IF(Eingabe[[#This Row],[Wo]]="H",IF(MOD(Eingabe[[#This Row],[Position]],2)=1,Eingabe[[#This Row],[S1]],Eingabe[[#This Row],[S4]]),""),"")</f>
        <v/>
      </c>
      <c r="AR626" s="23" t="str">
        <f>IFERROR(IF(Eingabe[[#This Row],[Wo]]="H",IF(Eingabe[[#This Row],[S1]]&gt;0,IF(MOD(Eingabe[[#This Row],[Position]],2)=1,Eingabe[[#This Row],[S2]],Eingabe[[#This Row],[S3]]),""),""),"")</f>
        <v/>
      </c>
      <c r="AS626" s="23" t="str">
        <f>IFERROR(IF(Eingabe[[#This Row],[Wo]]="H",IF(Eingabe[[#This Row],[S1]]&gt;0,IF(MOD(ROW(Eingabe[[#This Row],[Heimbahn 3]]),2)=1,Eingabe[[#This Row],[S4]],Eingabe[[#This Row],[S1]]),""),""),"")</f>
        <v/>
      </c>
      <c r="AT626" s="23" t="str">
        <f>IFERROR(IF(Eingabe[[#This Row],[Wo]]="H",IF(Eingabe[[#This Row],[S1]]&gt;0,IF(MOD(ROW(Eingabe[[#This Row],[Heimbahn 4]]),2)=1,Eingabe[[#This Row],[S3]],Eingabe[[#This Row],[S2]]),""),""),"")</f>
        <v/>
      </c>
      <c r="AU626" s="89" t="str">
        <f>IF(Eingabe[[#This Row],[GES]]="","",IF(Eingabe[[#This Row],[Modus]]="L",_xlfn.RANK.EQ(Eingabe[[#This Row],[GES]],AF621:AF626),IF(Eingabe[[#This Row],[Modus]]="P",_xlfn.RANK.EQ(Eingabe[[#This Row],[GES]],AF621:AF626),"")))</f>
        <v/>
      </c>
      <c r="AV626" s="6" t="e">
        <f>VLOOKUP(Eingabe[[#This Row],[Name]],AuswertungG[],8,FALSE)</f>
        <v>#N/A</v>
      </c>
      <c r="AZ626" s="6" t="str">
        <f>IFERROR(ABS(Eingabe[[#This Row],[GES]]-Eingabe[[#This Row],[GEGGES]]),"")</f>
        <v/>
      </c>
    </row>
    <row r="627" spans="1:52" hidden="1" x14ac:dyDescent="0.3">
      <c r="A627" s="440">
        <f t="shared" ref="A627" si="60">B627</f>
        <v>105</v>
      </c>
      <c r="B627" s="55">
        <f t="shared" si="56"/>
        <v>105</v>
      </c>
      <c r="C627" s="35">
        <f>VLOOKUP($B627,Chronologie[],7,TRUE)</f>
        <v>0</v>
      </c>
      <c r="D627" s="35">
        <f>VLOOKUP($B627,Chronologie[],8,TRUE)</f>
        <v>0</v>
      </c>
      <c r="E627" s="36">
        <f>VLOOKUP($B627,Chronologie[],9,TRUE)</f>
        <v>0</v>
      </c>
      <c r="F627" s="35">
        <f>VLOOKUP($B627,Chronologie[],COLUMN(F628)-2,TRUE)</f>
        <v>0</v>
      </c>
      <c r="G627" s="35">
        <f>VLOOKUP($B627,Chronologie[],COLUMN(G628)-2,TRUE)</f>
        <v>0</v>
      </c>
      <c r="H627" s="35">
        <f>VLOOKUP($B627,Chronologie[],COLUMN(H628)-2,TRUE)</f>
        <v>0</v>
      </c>
      <c r="I627" s="9" t="str">
        <f>VLOOKUP($B627,Chronologie[],2,TRUE)</f>
        <v>--</v>
      </c>
      <c r="J627" s="242">
        <f>VLOOKUP($B627,Chronologie[],3,TRUE)</f>
        <v>0</v>
      </c>
      <c r="K627" s="236"/>
      <c r="L627" s="236"/>
      <c r="M627" s="236"/>
      <c r="N627" s="236"/>
      <c r="O627" s="236"/>
      <c r="P627" s="236"/>
      <c r="Q627" s="236"/>
      <c r="R627" s="236"/>
      <c r="S627" s="236"/>
      <c r="T627" s="236"/>
      <c r="U627" s="236"/>
      <c r="V627" s="236"/>
      <c r="W627" s="236"/>
      <c r="X627" s="37"/>
      <c r="Y627" s="37"/>
      <c r="Z627" s="37"/>
      <c r="AA627" s="37"/>
      <c r="AB627" s="90"/>
      <c r="AC627" s="93" t="str">
        <f>IF(Eingabe[[#This Row],[V1]]="",IF(Eingabe[[#This Row],[Volle alternativ]]="","",Eingabe[[#This Row],[Volle alternativ]]),SUM(Eingabe[[#This Row],[V1]:[V4]]))</f>
        <v/>
      </c>
      <c r="AD627" s="35" t="str">
        <f>IF(Eingabe[[#This Row],[R1]]="",IF(Eingabe[[#This Row],[Räumer alternativ]]="","",Eingabe[[#This Row],[Räumer alternativ]]),SUM(Eingabe[[#This Row],[R1]:[R4]]))</f>
        <v/>
      </c>
      <c r="AE627" s="35" t="str">
        <f>IF(Eingabe[[#This Row],[F1]]="",IF(Eingabe[[#This Row],[Fehler alternativ]]="","",Eingabe[[#This Row],[Fehler alternativ]]),SUM(Eingabe[[#This Row],[F1]:[F4]]))</f>
        <v/>
      </c>
      <c r="AF627" s="35" t="str">
        <f>IF(Eingabe[[#This Row],[Volle]]="","",IF(Eingabe[[#This Row],[S1]]="",Eingabe[[#This Row],[Volle]]+Eingabe[[#This Row],[Räumer]],IF(Eingabe[[#This Row],[Volle]]+Eingabe[[#This Row],[Räumer]]=Eingabe[[#This Row],[S1]]+Eingabe[[#This Row],[S2]]+Eingabe[[#This Row],[S3]]+Eingabe[[#This Row],[S4]],Eingabe[[#This Row],[Volle]]+Eingabe[[#This Row],[Räumer]],"FEHLER")))</f>
        <v/>
      </c>
      <c r="AG627" s="35" t="str">
        <f>IF(Eingabe[[#This Row],[V1]]="","",Eingabe[[#This Row],[V1]]+Eingabe[[#This Row],[R1]])</f>
        <v/>
      </c>
      <c r="AH627" s="35" t="str">
        <f>IF(Eingabe[[#This Row],[V2]]="","",Eingabe[[#This Row],[V2]]+Eingabe[[#This Row],[R2]])</f>
        <v/>
      </c>
      <c r="AI627" s="35" t="str">
        <f>IF(Eingabe[[#This Row],[V3]]="","",Eingabe[[#This Row],[V3]]+Eingabe[[#This Row],[R3]])</f>
        <v/>
      </c>
      <c r="AJ627" s="35" t="str">
        <f>IF(Eingabe[[#This Row],[V4]]="","",Eingabe[[#This Row],[V4]]+Eingabe[[#This Row],[R4]])</f>
        <v/>
      </c>
      <c r="AK627" s="35" t="str">
        <f>IF(Eingabe[[#This Row],[S1P]]="","",Eingabe[[#This Row],[S1P]]+Eingabe[[#This Row],[S2P]]+Eingabe[[#This Row],[S3P]]+Eingabe[[#This Row],[S4P]])</f>
        <v/>
      </c>
      <c r="AL627" s="35" t="str">
        <f>IF(Eingabe[[#This Row],[S1P]]="","",IF(Eingabe[[#This Row],[SP]]&gt;2,1,IF(Eingabe[[#This Row],[SP]]&lt;2,0,IF(Eingabe[[#This Row],[GES]]&gt;Eingabe[[#This Row],[GEGGES]],1,IF(Eingabe[[#This Row],[GES]]=Eingabe[[#This Row],[GEGGES]],0.5,0)))))</f>
        <v/>
      </c>
      <c r="AM627" s="35" t="str">
        <f>IF(Eingabe[[#This Row],[MP]]="","",MOD(ROW(Eingabe[[#This Row],[Position]])-3,6)+1)</f>
        <v/>
      </c>
      <c r="AN627" s="35" t="e">
        <f>STANDARDIZE(Eingabe[[#This Row],[GES]],Eingabe[[#This Row],[Schnitt]],VLOOKUP(Eingabe[[#This Row],[Name]],AuswertungG[],21,FALSE))</f>
        <v>#VALUE!</v>
      </c>
      <c r="AO627" s="35" t="str">
        <f>VLOOKUP(Eingabe[[#This Row],[ID]],Chronologie[[ID]:[KW]],12,FALSE)</f>
        <v/>
      </c>
      <c r="AP627" s="58">
        <f>IF(Eingabe[[#This Row],[Wo]]="H",Eingabe[[#This Row],[Gegner]]&amp;" ["&amp;Eingabe[[#This Row],[Wo]]&amp;"]",Eingabe[[#This Row],[Ort]])</f>
        <v>0</v>
      </c>
      <c r="AQ627" s="35" t="str">
        <f>IFERROR(IF(Eingabe[[#This Row],[Wo]]="H",IF(MOD(Eingabe[[#This Row],[Position]],2)=1,Eingabe[[#This Row],[S1]],Eingabe[[#This Row],[S4]]),""),"")</f>
        <v/>
      </c>
      <c r="AR627" s="35" t="str">
        <f>IFERROR(IF(Eingabe[[#This Row],[Wo]]="H",IF(Eingabe[[#This Row],[S1]]&gt;0,IF(MOD(Eingabe[[#This Row],[Position]],2)=1,Eingabe[[#This Row],[S2]],Eingabe[[#This Row],[S3]]),""),""),"")</f>
        <v/>
      </c>
      <c r="AS627" s="35" t="str">
        <f>IFERROR(IF(Eingabe[[#This Row],[Wo]]="H",IF(Eingabe[[#This Row],[S1]]&gt;0,IF(MOD(ROW(Eingabe[[#This Row],[Heimbahn 3]]),2)=1,Eingabe[[#This Row],[S4]],Eingabe[[#This Row],[S1]]),""),""),"")</f>
        <v/>
      </c>
      <c r="AT627" s="35" t="str">
        <f>IFERROR(IF(Eingabe[[#This Row],[Wo]]="H",IF(Eingabe[[#This Row],[S1]]&gt;0,IF(MOD(ROW(Eingabe[[#This Row],[Heimbahn 4]]),2)=1,Eingabe[[#This Row],[S3]],Eingabe[[#This Row],[S2]]),""),""),"")</f>
        <v/>
      </c>
      <c r="AU627" s="88" t="str">
        <f>IF(Eingabe[[#This Row],[GES]]="","",IF(Eingabe[[#This Row],[Modus]]="L",_xlfn.RANK.EQ(Eingabe[[#This Row],[GES]],AF627:AF632),IF(Eingabe[[#This Row],[Modus]]="P",_xlfn.RANK.EQ(Eingabe[[#This Row],[GES]],AF627:AF632),"")))</f>
        <v/>
      </c>
      <c r="AV627" s="6" t="e">
        <f>VLOOKUP(Eingabe[[#This Row],[Name]],AuswertungG[],8,FALSE)</f>
        <v>#N/A</v>
      </c>
      <c r="AZ627" s="6" t="str">
        <f>IFERROR(ABS(Eingabe[[#This Row],[GES]]-Eingabe[[#This Row],[GEGGES]]),"")</f>
        <v/>
      </c>
    </row>
    <row r="628" spans="1:52" hidden="1" x14ac:dyDescent="0.3">
      <c r="A628" s="441"/>
      <c r="B628" s="21">
        <f t="shared" si="56"/>
        <v>105</v>
      </c>
      <c r="C628" s="6">
        <f>VLOOKUP($B628,Chronologie[],7,TRUE)</f>
        <v>0</v>
      </c>
      <c r="D628" s="6">
        <f>VLOOKUP($B628,Chronologie[],8,TRUE)</f>
        <v>0</v>
      </c>
      <c r="E628" s="240">
        <f>VLOOKUP($B628,Chronologie[],9,TRUE)</f>
        <v>0</v>
      </c>
      <c r="F628" s="6">
        <f>VLOOKUP($B628,Chronologie[],COLUMN(F629)-2,TRUE)</f>
        <v>0</v>
      </c>
      <c r="G628" s="6">
        <f>VLOOKUP($B628,Chronologie[],COLUMN(G629)-2,TRUE)</f>
        <v>0</v>
      </c>
      <c r="H628" s="6">
        <f>VLOOKUP($B628,Chronologie[],COLUMN(H629)-2,TRUE)</f>
        <v>0</v>
      </c>
      <c r="I628" s="10" t="str">
        <f>VLOOKUP($B628,Chronologie[],2,TRUE)</f>
        <v>--</v>
      </c>
      <c r="J628" s="243">
        <f>VLOOKUP($B628,Chronologie[],3,TRUE)</f>
        <v>0</v>
      </c>
      <c r="K628" s="237"/>
      <c r="L628" s="237"/>
      <c r="M628" s="237"/>
      <c r="N628" s="237"/>
      <c r="O628" s="237"/>
      <c r="P628" s="237"/>
      <c r="Q628" s="237"/>
      <c r="R628" s="237"/>
      <c r="S628" s="237"/>
      <c r="T628" s="237"/>
      <c r="U628" s="237"/>
      <c r="V628" s="237"/>
      <c r="W628" s="237"/>
      <c r="X628" s="38"/>
      <c r="Y628" s="38"/>
      <c r="Z628" s="38"/>
      <c r="AA628" s="38"/>
      <c r="AB628" s="91"/>
      <c r="AC628" s="94" t="str">
        <f>IF(Eingabe[[#This Row],[V1]]="",IF(Eingabe[[#This Row],[Volle alternativ]]="","",Eingabe[[#This Row],[Volle alternativ]]),SUM(Eingabe[[#This Row],[V1]:[V4]]))</f>
        <v/>
      </c>
      <c r="AD628" s="6" t="str">
        <f>IF(Eingabe[[#This Row],[R1]]="",IF(Eingabe[[#This Row],[Räumer alternativ]]="","",Eingabe[[#This Row],[Räumer alternativ]]),SUM(Eingabe[[#This Row],[R1]:[R4]]))</f>
        <v/>
      </c>
      <c r="AE628" s="6" t="str">
        <f>IF(Eingabe[[#This Row],[F1]]="",IF(Eingabe[[#This Row],[Fehler alternativ]]="","",Eingabe[[#This Row],[Fehler alternativ]]),SUM(Eingabe[[#This Row],[F1]:[F4]]))</f>
        <v/>
      </c>
      <c r="AF628" s="6" t="str">
        <f>IF(Eingabe[[#This Row],[Volle]]="","",IF(Eingabe[[#This Row],[S1]]="",Eingabe[[#This Row],[Volle]]+Eingabe[[#This Row],[Räumer]],IF(Eingabe[[#This Row],[Volle]]+Eingabe[[#This Row],[Räumer]]=Eingabe[[#This Row],[S1]]+Eingabe[[#This Row],[S2]]+Eingabe[[#This Row],[S3]]+Eingabe[[#This Row],[S4]],Eingabe[[#This Row],[Volle]]+Eingabe[[#This Row],[Räumer]],"FEHLER")))</f>
        <v/>
      </c>
      <c r="AG628" s="6" t="str">
        <f>IF(Eingabe[[#This Row],[V1]]="","",Eingabe[[#This Row],[V1]]+Eingabe[[#This Row],[R1]])</f>
        <v/>
      </c>
      <c r="AH628" s="6" t="str">
        <f>IF(Eingabe[[#This Row],[V2]]="","",Eingabe[[#This Row],[V2]]+Eingabe[[#This Row],[R2]])</f>
        <v/>
      </c>
      <c r="AI628" s="6" t="str">
        <f>IF(Eingabe[[#This Row],[V3]]="","",Eingabe[[#This Row],[V3]]+Eingabe[[#This Row],[R3]])</f>
        <v/>
      </c>
      <c r="AJ628" s="6" t="str">
        <f>IF(Eingabe[[#This Row],[V4]]="","",Eingabe[[#This Row],[V4]]+Eingabe[[#This Row],[R4]])</f>
        <v/>
      </c>
      <c r="AK628" s="6" t="str">
        <f>IF(Eingabe[[#This Row],[S1P]]="","",Eingabe[[#This Row],[S1P]]+Eingabe[[#This Row],[S2P]]+Eingabe[[#This Row],[S3P]]+Eingabe[[#This Row],[S4P]])</f>
        <v/>
      </c>
      <c r="AL628" s="6" t="str">
        <f>IF(Eingabe[[#This Row],[S1P]]="","",IF(Eingabe[[#This Row],[SP]]&gt;2,1,IF(Eingabe[[#This Row],[SP]]&lt;2,0,IF(Eingabe[[#This Row],[GES]]&gt;Eingabe[[#This Row],[GEGGES]],1,IF(Eingabe[[#This Row],[GES]]=Eingabe[[#This Row],[GEGGES]],0.5,0)))))</f>
        <v/>
      </c>
      <c r="AM628" s="6" t="str">
        <f>IF(Eingabe[[#This Row],[MP]]="","",MOD(ROW(Eingabe[[#This Row],[Position]])-3,6)+1)</f>
        <v/>
      </c>
      <c r="AN628" s="6" t="e">
        <f>STANDARDIZE(Eingabe[[#This Row],[GES]],Eingabe[[#This Row],[Schnitt]],VLOOKUP(Eingabe[[#This Row],[Name]],AuswertungG[],21,FALSE))</f>
        <v>#VALUE!</v>
      </c>
      <c r="AO628" s="6" t="str">
        <f>VLOOKUP(Eingabe[[#This Row],[ID]],Chronologie[[ID]:[KW]],12,FALSE)</f>
        <v/>
      </c>
      <c r="AP628" s="95">
        <f>IF(Eingabe[[#This Row],[Wo]]="H",Eingabe[[#This Row],[Gegner]]&amp;" ["&amp;Eingabe[[#This Row],[Wo]]&amp;"]",Eingabe[[#This Row],[Ort]])</f>
        <v>0</v>
      </c>
      <c r="AQ628" s="6" t="str">
        <f>IFERROR(IF(Eingabe[[#This Row],[Wo]]="H",IF(MOD(Eingabe[[#This Row],[Position]],2)=1,Eingabe[[#This Row],[S1]],Eingabe[[#This Row],[S4]]),""),"")</f>
        <v/>
      </c>
      <c r="AR628" s="6" t="str">
        <f>IFERROR(IF(Eingabe[[#This Row],[Wo]]="H",IF(Eingabe[[#This Row],[S1]]&gt;0,IF(MOD(Eingabe[[#This Row],[Position]],2)=1,Eingabe[[#This Row],[S2]],Eingabe[[#This Row],[S3]]),""),""),"")</f>
        <v/>
      </c>
      <c r="AS628" s="6" t="str">
        <f>IFERROR(IF(Eingabe[[#This Row],[Wo]]="H",IF(Eingabe[[#This Row],[S1]]&gt;0,IF(MOD(ROW(Eingabe[[#This Row],[Heimbahn 3]]),2)=1,Eingabe[[#This Row],[S4]],Eingabe[[#This Row],[S1]]),""),""),"")</f>
        <v/>
      </c>
      <c r="AT628" s="6" t="str">
        <f>IFERROR(IF(Eingabe[[#This Row],[Wo]]="H",IF(Eingabe[[#This Row],[S1]]&gt;0,IF(MOD(ROW(Eingabe[[#This Row],[Heimbahn 4]]),2)=1,Eingabe[[#This Row],[S3]],Eingabe[[#This Row],[S2]]),""),""),"")</f>
        <v/>
      </c>
      <c r="AU628" s="22" t="str">
        <f>IF(Eingabe[[#This Row],[GES]]="","",IF(Eingabe[[#This Row],[Modus]]="L",_xlfn.RANK.EQ(Eingabe[[#This Row],[GES]],AF627:AF632),IF(Eingabe[[#This Row],[Modus]]="P",_xlfn.RANK.EQ(Eingabe[[#This Row],[GES]],AF627:AF632),"")))</f>
        <v/>
      </c>
      <c r="AV628" s="6" t="e">
        <f>VLOOKUP(Eingabe[[#This Row],[Name]],AuswertungG[],8,FALSE)</f>
        <v>#N/A</v>
      </c>
      <c r="AZ628" s="6" t="str">
        <f>IFERROR(ABS(Eingabe[[#This Row],[GES]]-Eingabe[[#This Row],[GEGGES]]),"")</f>
        <v/>
      </c>
    </row>
    <row r="629" spans="1:52" hidden="1" x14ac:dyDescent="0.3">
      <c r="A629" s="441"/>
      <c r="B629" s="21">
        <f t="shared" si="56"/>
        <v>105</v>
      </c>
      <c r="C629" s="6">
        <f>VLOOKUP($B629,Chronologie[],7,TRUE)</f>
        <v>0</v>
      </c>
      <c r="D629" s="6">
        <f>VLOOKUP($B629,Chronologie[],8,TRUE)</f>
        <v>0</v>
      </c>
      <c r="E629" s="240">
        <f>VLOOKUP($B629,Chronologie[],9,TRUE)</f>
        <v>0</v>
      </c>
      <c r="F629" s="6">
        <f>VLOOKUP($B629,Chronologie[],COLUMN(F630)-2,TRUE)</f>
        <v>0</v>
      </c>
      <c r="G629" s="6">
        <f>VLOOKUP($B629,Chronologie[],COLUMN(G630)-2,TRUE)</f>
        <v>0</v>
      </c>
      <c r="H629" s="6">
        <f>VLOOKUP($B629,Chronologie[],COLUMN(H630)-2,TRUE)</f>
        <v>0</v>
      </c>
      <c r="I629" s="10" t="str">
        <f>VLOOKUP($B629,Chronologie[],2,TRUE)</f>
        <v>--</v>
      </c>
      <c r="J629" s="243">
        <f>VLOOKUP($B629,Chronologie[],3,TRUE)</f>
        <v>0</v>
      </c>
      <c r="K629" s="237"/>
      <c r="L629" s="237"/>
      <c r="M629" s="237"/>
      <c r="N629" s="237"/>
      <c r="O629" s="237"/>
      <c r="P629" s="237"/>
      <c r="Q629" s="237"/>
      <c r="R629" s="237"/>
      <c r="S629" s="237"/>
      <c r="T629" s="237"/>
      <c r="U629" s="237"/>
      <c r="V629" s="237"/>
      <c r="W629" s="237"/>
      <c r="X629" s="38"/>
      <c r="Y629" s="38"/>
      <c r="Z629" s="38"/>
      <c r="AA629" s="38"/>
      <c r="AB629" s="91"/>
      <c r="AC629" s="94" t="str">
        <f>IF(Eingabe[[#This Row],[V1]]="",IF(Eingabe[[#This Row],[Volle alternativ]]="","",Eingabe[[#This Row],[Volle alternativ]]),SUM(Eingabe[[#This Row],[V1]:[V4]]))</f>
        <v/>
      </c>
      <c r="AD629" s="6" t="str">
        <f>IF(Eingabe[[#This Row],[R1]]="",IF(Eingabe[[#This Row],[Räumer alternativ]]="","",Eingabe[[#This Row],[Räumer alternativ]]),SUM(Eingabe[[#This Row],[R1]:[R4]]))</f>
        <v/>
      </c>
      <c r="AE629" s="6" t="str">
        <f>IF(Eingabe[[#This Row],[F1]]="",IF(Eingabe[[#This Row],[Fehler alternativ]]="","",Eingabe[[#This Row],[Fehler alternativ]]),SUM(Eingabe[[#This Row],[F1]:[F4]]))</f>
        <v/>
      </c>
      <c r="AF629" s="6" t="str">
        <f>IF(Eingabe[[#This Row],[Volle]]="","",IF(Eingabe[[#This Row],[S1]]="",Eingabe[[#This Row],[Volle]]+Eingabe[[#This Row],[Räumer]],IF(Eingabe[[#This Row],[Volle]]+Eingabe[[#This Row],[Räumer]]=Eingabe[[#This Row],[S1]]+Eingabe[[#This Row],[S2]]+Eingabe[[#This Row],[S3]]+Eingabe[[#This Row],[S4]],Eingabe[[#This Row],[Volle]]+Eingabe[[#This Row],[Räumer]],"FEHLER")))</f>
        <v/>
      </c>
      <c r="AG629" s="6" t="str">
        <f>IF(Eingabe[[#This Row],[V1]]="","",Eingabe[[#This Row],[V1]]+Eingabe[[#This Row],[R1]])</f>
        <v/>
      </c>
      <c r="AH629" s="6" t="str">
        <f>IF(Eingabe[[#This Row],[V2]]="","",Eingabe[[#This Row],[V2]]+Eingabe[[#This Row],[R2]])</f>
        <v/>
      </c>
      <c r="AI629" s="6" t="str">
        <f>IF(Eingabe[[#This Row],[V3]]="","",Eingabe[[#This Row],[V3]]+Eingabe[[#This Row],[R3]])</f>
        <v/>
      </c>
      <c r="AJ629" s="6" t="str">
        <f>IF(Eingabe[[#This Row],[V4]]="","",Eingabe[[#This Row],[V4]]+Eingabe[[#This Row],[R4]])</f>
        <v/>
      </c>
      <c r="AK629" s="6" t="str">
        <f>IF(Eingabe[[#This Row],[S1P]]="","",Eingabe[[#This Row],[S1P]]+Eingabe[[#This Row],[S2P]]+Eingabe[[#This Row],[S3P]]+Eingabe[[#This Row],[S4P]])</f>
        <v/>
      </c>
      <c r="AL629" s="6" t="str">
        <f>IF(Eingabe[[#This Row],[S1P]]="","",IF(Eingabe[[#This Row],[SP]]&gt;2,1,IF(Eingabe[[#This Row],[SP]]&lt;2,0,IF(Eingabe[[#This Row],[GES]]&gt;Eingabe[[#This Row],[GEGGES]],1,IF(Eingabe[[#This Row],[GES]]=Eingabe[[#This Row],[GEGGES]],0.5,0)))))</f>
        <v/>
      </c>
      <c r="AM629" s="6" t="str">
        <f>IF(Eingabe[[#This Row],[MP]]="","",MOD(ROW(Eingabe[[#This Row],[Position]])-3,6)+1)</f>
        <v/>
      </c>
      <c r="AN629" s="6" t="e">
        <f>STANDARDIZE(Eingabe[[#This Row],[GES]],Eingabe[[#This Row],[Schnitt]],VLOOKUP(Eingabe[[#This Row],[Name]],AuswertungG[],21,FALSE))</f>
        <v>#VALUE!</v>
      </c>
      <c r="AO629" s="6" t="str">
        <f>VLOOKUP(Eingabe[[#This Row],[ID]],Chronologie[[ID]:[KW]],12,FALSE)</f>
        <v/>
      </c>
      <c r="AP629" s="95">
        <f>IF(Eingabe[[#This Row],[Wo]]="H",Eingabe[[#This Row],[Gegner]]&amp;" ["&amp;Eingabe[[#This Row],[Wo]]&amp;"]",Eingabe[[#This Row],[Ort]])</f>
        <v>0</v>
      </c>
      <c r="AQ629" s="6" t="str">
        <f>IFERROR(IF(Eingabe[[#This Row],[Wo]]="H",IF(MOD(Eingabe[[#This Row],[Position]],2)=1,Eingabe[[#This Row],[S1]],Eingabe[[#This Row],[S4]]),""),"")</f>
        <v/>
      </c>
      <c r="AR629" s="6" t="str">
        <f>IFERROR(IF(Eingabe[[#This Row],[Wo]]="H",IF(Eingabe[[#This Row],[S1]]&gt;0,IF(MOD(Eingabe[[#This Row],[Position]],2)=1,Eingabe[[#This Row],[S2]],Eingabe[[#This Row],[S3]]),""),""),"")</f>
        <v/>
      </c>
      <c r="AS629" s="6" t="str">
        <f>IFERROR(IF(Eingabe[[#This Row],[Wo]]="H",IF(Eingabe[[#This Row],[S1]]&gt;0,IF(MOD(ROW(Eingabe[[#This Row],[Heimbahn 3]]),2)=1,Eingabe[[#This Row],[S4]],Eingabe[[#This Row],[S1]]),""),""),"")</f>
        <v/>
      </c>
      <c r="AT629" s="6" t="str">
        <f>IFERROR(IF(Eingabe[[#This Row],[Wo]]="H",IF(Eingabe[[#This Row],[S1]]&gt;0,IF(MOD(ROW(Eingabe[[#This Row],[Heimbahn 4]]),2)=1,Eingabe[[#This Row],[S3]],Eingabe[[#This Row],[S2]]),""),""),"")</f>
        <v/>
      </c>
      <c r="AU629" s="22" t="str">
        <f>IF(Eingabe[[#This Row],[GES]]="","",IF(Eingabe[[#This Row],[Modus]]="L",_xlfn.RANK.EQ(Eingabe[[#This Row],[GES]],AF627:AF632),IF(Eingabe[[#This Row],[Modus]]="P",_xlfn.RANK.EQ(Eingabe[[#This Row],[GES]],AF627:AF632),"")))</f>
        <v/>
      </c>
      <c r="AV629" s="6" t="e">
        <f>VLOOKUP(Eingabe[[#This Row],[Name]],AuswertungG[],8,FALSE)</f>
        <v>#N/A</v>
      </c>
      <c r="AZ629" s="6" t="str">
        <f>IFERROR(ABS(Eingabe[[#This Row],[GES]]-Eingabe[[#This Row],[GEGGES]]),"")</f>
        <v/>
      </c>
    </row>
    <row r="630" spans="1:52" hidden="1" x14ac:dyDescent="0.3">
      <c r="A630" s="441"/>
      <c r="B630" s="21">
        <f t="shared" si="56"/>
        <v>105</v>
      </c>
      <c r="C630" s="6">
        <f>VLOOKUP($B630,Chronologie[],7,TRUE)</f>
        <v>0</v>
      </c>
      <c r="D630" s="6">
        <f>VLOOKUP($B630,Chronologie[],8,TRUE)</f>
        <v>0</v>
      </c>
      <c r="E630" s="240">
        <f>VLOOKUP($B630,Chronologie[],9,TRUE)</f>
        <v>0</v>
      </c>
      <c r="F630" s="6">
        <f>VLOOKUP($B630,Chronologie[],COLUMN(F631)-2,TRUE)</f>
        <v>0</v>
      </c>
      <c r="G630" s="6">
        <f>VLOOKUP($B630,Chronologie[],COLUMN(G631)-2,TRUE)</f>
        <v>0</v>
      </c>
      <c r="H630" s="6">
        <f>VLOOKUP($B630,Chronologie[],COLUMN(H631)-2,TRUE)</f>
        <v>0</v>
      </c>
      <c r="I630" s="10" t="str">
        <f>VLOOKUP($B630,Chronologie[],2,TRUE)</f>
        <v>--</v>
      </c>
      <c r="J630" s="243">
        <f>VLOOKUP($B630,Chronologie[],3,TRUE)</f>
        <v>0</v>
      </c>
      <c r="K630" s="238"/>
      <c r="L630" s="238"/>
      <c r="M630" s="238"/>
      <c r="N630" s="238"/>
      <c r="O630" s="238"/>
      <c r="P630" s="238"/>
      <c r="Q630" s="238"/>
      <c r="R630" s="238"/>
      <c r="S630" s="238"/>
      <c r="T630" s="238"/>
      <c r="U630" s="238"/>
      <c r="V630" s="238"/>
      <c r="W630" s="238"/>
      <c r="X630" s="38"/>
      <c r="Y630" s="38"/>
      <c r="Z630" s="38"/>
      <c r="AA630" s="38"/>
      <c r="AB630" s="91"/>
      <c r="AC630" s="94" t="str">
        <f>IF(Eingabe[[#This Row],[V1]]="",IF(Eingabe[[#This Row],[Volle alternativ]]="","",Eingabe[[#This Row],[Volle alternativ]]),SUM(Eingabe[[#This Row],[V1]:[V4]]))</f>
        <v/>
      </c>
      <c r="AD630" s="6" t="str">
        <f>IF(Eingabe[[#This Row],[R1]]="",IF(Eingabe[[#This Row],[Räumer alternativ]]="","",Eingabe[[#This Row],[Räumer alternativ]]),SUM(Eingabe[[#This Row],[R1]:[R4]]))</f>
        <v/>
      </c>
      <c r="AE630" s="6" t="str">
        <f>IF(Eingabe[[#This Row],[F1]]="",IF(Eingabe[[#This Row],[Fehler alternativ]]="","",Eingabe[[#This Row],[Fehler alternativ]]),SUM(Eingabe[[#This Row],[F1]:[F4]]))</f>
        <v/>
      </c>
      <c r="AF630" s="6" t="str">
        <f>IF(Eingabe[[#This Row],[Volle]]="","",IF(Eingabe[[#This Row],[S1]]="",Eingabe[[#This Row],[Volle]]+Eingabe[[#This Row],[Räumer]],IF(Eingabe[[#This Row],[Volle]]+Eingabe[[#This Row],[Räumer]]=Eingabe[[#This Row],[S1]]+Eingabe[[#This Row],[S2]]+Eingabe[[#This Row],[S3]]+Eingabe[[#This Row],[S4]],Eingabe[[#This Row],[Volle]]+Eingabe[[#This Row],[Räumer]],"FEHLER")))</f>
        <v/>
      </c>
      <c r="AG630" s="6" t="str">
        <f>IF(Eingabe[[#This Row],[V1]]="","",Eingabe[[#This Row],[V1]]+Eingabe[[#This Row],[R1]])</f>
        <v/>
      </c>
      <c r="AH630" s="6" t="str">
        <f>IF(Eingabe[[#This Row],[V2]]="","",Eingabe[[#This Row],[V2]]+Eingabe[[#This Row],[R2]])</f>
        <v/>
      </c>
      <c r="AI630" s="6" t="str">
        <f>IF(Eingabe[[#This Row],[V3]]="","",Eingabe[[#This Row],[V3]]+Eingabe[[#This Row],[R3]])</f>
        <v/>
      </c>
      <c r="AJ630" s="6" t="str">
        <f>IF(Eingabe[[#This Row],[V4]]="","",Eingabe[[#This Row],[V4]]+Eingabe[[#This Row],[R4]])</f>
        <v/>
      </c>
      <c r="AK630" s="6" t="str">
        <f>IF(Eingabe[[#This Row],[S1P]]="","",Eingabe[[#This Row],[S1P]]+Eingabe[[#This Row],[S2P]]+Eingabe[[#This Row],[S3P]]+Eingabe[[#This Row],[S4P]])</f>
        <v/>
      </c>
      <c r="AL630" s="6" t="str">
        <f>IF(Eingabe[[#This Row],[S1P]]="","",IF(Eingabe[[#This Row],[SP]]&gt;2,1,IF(Eingabe[[#This Row],[SP]]&lt;2,0,IF(Eingabe[[#This Row],[GES]]&gt;Eingabe[[#This Row],[GEGGES]],1,IF(Eingabe[[#This Row],[GES]]=Eingabe[[#This Row],[GEGGES]],0.5,0)))))</f>
        <v/>
      </c>
      <c r="AM630" s="6" t="str">
        <f>IF(Eingabe[[#This Row],[MP]]="","",MOD(ROW(Eingabe[[#This Row],[Position]])-3,6)+1)</f>
        <v/>
      </c>
      <c r="AN630" s="6" t="e">
        <f>STANDARDIZE(Eingabe[[#This Row],[GES]],Eingabe[[#This Row],[Schnitt]],VLOOKUP(Eingabe[[#This Row],[Name]],AuswertungG[],21,FALSE))</f>
        <v>#VALUE!</v>
      </c>
      <c r="AO630" s="6" t="str">
        <f>VLOOKUP(Eingabe[[#This Row],[ID]],Chronologie[[ID]:[KW]],12,FALSE)</f>
        <v/>
      </c>
      <c r="AP630" s="95">
        <f>IF(Eingabe[[#This Row],[Wo]]="H",Eingabe[[#This Row],[Gegner]]&amp;" ["&amp;Eingabe[[#This Row],[Wo]]&amp;"]",Eingabe[[#This Row],[Ort]])</f>
        <v>0</v>
      </c>
      <c r="AQ630" s="6" t="str">
        <f>IFERROR(IF(Eingabe[[#This Row],[Wo]]="H",IF(MOD(Eingabe[[#This Row],[Position]],2)=1,Eingabe[[#This Row],[S1]],Eingabe[[#This Row],[S4]]),""),"")</f>
        <v/>
      </c>
      <c r="AR630" s="6" t="str">
        <f>IFERROR(IF(Eingabe[[#This Row],[Wo]]="H",IF(Eingabe[[#This Row],[S1]]&gt;0,IF(MOD(Eingabe[[#This Row],[Position]],2)=1,Eingabe[[#This Row],[S2]],Eingabe[[#This Row],[S3]]),""),""),"")</f>
        <v/>
      </c>
      <c r="AS630" s="6" t="str">
        <f>IFERROR(IF(Eingabe[[#This Row],[Wo]]="H",IF(Eingabe[[#This Row],[S1]]&gt;0,IF(MOD(ROW(Eingabe[[#This Row],[Heimbahn 3]]),2)=1,Eingabe[[#This Row],[S4]],Eingabe[[#This Row],[S1]]),""),""),"")</f>
        <v/>
      </c>
      <c r="AT630" s="6" t="str">
        <f>IFERROR(IF(Eingabe[[#This Row],[Wo]]="H",IF(Eingabe[[#This Row],[S1]]&gt;0,IF(MOD(ROW(Eingabe[[#This Row],[Heimbahn 4]]),2)=1,Eingabe[[#This Row],[S3]],Eingabe[[#This Row],[S2]]),""),""),"")</f>
        <v/>
      </c>
      <c r="AU630" s="22" t="str">
        <f>IF(Eingabe[[#This Row],[GES]]="","",IF(Eingabe[[#This Row],[Modus]]="L",_xlfn.RANK.EQ(Eingabe[[#This Row],[GES]],AF627:AF632),IF(Eingabe[[#This Row],[Modus]]="P",_xlfn.RANK.EQ(Eingabe[[#This Row],[GES]],AF627:AF632),"")))</f>
        <v/>
      </c>
      <c r="AV630" s="6" t="e">
        <f>VLOOKUP(Eingabe[[#This Row],[Name]],AuswertungG[],8,FALSE)</f>
        <v>#N/A</v>
      </c>
      <c r="AZ630" s="6" t="str">
        <f>IFERROR(ABS(Eingabe[[#This Row],[GES]]-Eingabe[[#This Row],[GEGGES]]),"")</f>
        <v/>
      </c>
    </row>
    <row r="631" spans="1:52" hidden="1" x14ac:dyDescent="0.3">
      <c r="A631" s="441"/>
      <c r="B631" s="21">
        <f t="shared" si="56"/>
        <v>105</v>
      </c>
      <c r="C631" s="6">
        <f>VLOOKUP($B631,Chronologie[],7,TRUE)</f>
        <v>0</v>
      </c>
      <c r="D631" s="6">
        <f>VLOOKUP($B631,Chronologie[],8,TRUE)</f>
        <v>0</v>
      </c>
      <c r="E631" s="240">
        <f>VLOOKUP($B631,Chronologie[],9,TRUE)</f>
        <v>0</v>
      </c>
      <c r="F631" s="6">
        <f>VLOOKUP($B631,Chronologie[],COLUMN(F632)-2,TRUE)</f>
        <v>0</v>
      </c>
      <c r="G631" s="6">
        <f>VLOOKUP($B631,Chronologie[],COLUMN(G632)-2,TRUE)</f>
        <v>0</v>
      </c>
      <c r="H631" s="6">
        <f>VLOOKUP($B631,Chronologie[],COLUMN(H632)-2,TRUE)</f>
        <v>0</v>
      </c>
      <c r="I631" s="10" t="str">
        <f>VLOOKUP($B631,Chronologie[],2,TRUE)</f>
        <v>--</v>
      </c>
      <c r="J631" s="243">
        <f>VLOOKUP($B631,Chronologie[],3,TRUE)</f>
        <v>0</v>
      </c>
      <c r="K631" s="237"/>
      <c r="L631" s="237"/>
      <c r="M631" s="237"/>
      <c r="N631" s="237"/>
      <c r="O631" s="237"/>
      <c r="P631" s="237"/>
      <c r="Q631" s="237"/>
      <c r="R631" s="237"/>
      <c r="S631" s="237"/>
      <c r="T631" s="237"/>
      <c r="U631" s="237"/>
      <c r="V631" s="237"/>
      <c r="W631" s="237"/>
      <c r="X631" s="38"/>
      <c r="Y631" s="38"/>
      <c r="Z631" s="38"/>
      <c r="AA631" s="38"/>
      <c r="AB631" s="91"/>
      <c r="AC631" s="94" t="str">
        <f>IF(Eingabe[[#This Row],[V1]]="",IF(Eingabe[[#This Row],[Volle alternativ]]="","",Eingabe[[#This Row],[Volle alternativ]]),SUM(Eingabe[[#This Row],[V1]:[V4]]))</f>
        <v/>
      </c>
      <c r="AD631" s="6" t="str">
        <f>IF(Eingabe[[#This Row],[R1]]="",IF(Eingabe[[#This Row],[Räumer alternativ]]="","",Eingabe[[#This Row],[Räumer alternativ]]),SUM(Eingabe[[#This Row],[R1]:[R4]]))</f>
        <v/>
      </c>
      <c r="AE631" s="6" t="str">
        <f>IF(Eingabe[[#This Row],[F1]]="",IF(Eingabe[[#This Row],[Fehler alternativ]]="","",Eingabe[[#This Row],[Fehler alternativ]]),SUM(Eingabe[[#This Row],[F1]:[F4]]))</f>
        <v/>
      </c>
      <c r="AF631" s="6" t="str">
        <f>IF(Eingabe[[#This Row],[Volle]]="","",IF(Eingabe[[#This Row],[S1]]="",Eingabe[[#This Row],[Volle]]+Eingabe[[#This Row],[Räumer]],IF(Eingabe[[#This Row],[Volle]]+Eingabe[[#This Row],[Räumer]]=Eingabe[[#This Row],[S1]]+Eingabe[[#This Row],[S2]]+Eingabe[[#This Row],[S3]]+Eingabe[[#This Row],[S4]],Eingabe[[#This Row],[Volle]]+Eingabe[[#This Row],[Räumer]],"FEHLER")))</f>
        <v/>
      </c>
      <c r="AG631" s="6" t="str">
        <f>IF(Eingabe[[#This Row],[V1]]="","",Eingabe[[#This Row],[V1]]+Eingabe[[#This Row],[R1]])</f>
        <v/>
      </c>
      <c r="AH631" s="6" t="str">
        <f>IF(Eingabe[[#This Row],[V2]]="","",Eingabe[[#This Row],[V2]]+Eingabe[[#This Row],[R2]])</f>
        <v/>
      </c>
      <c r="AI631" s="6" t="str">
        <f>IF(Eingabe[[#This Row],[V3]]="","",Eingabe[[#This Row],[V3]]+Eingabe[[#This Row],[R3]])</f>
        <v/>
      </c>
      <c r="AJ631" s="6" t="str">
        <f>IF(Eingabe[[#This Row],[V4]]="","",Eingabe[[#This Row],[V4]]+Eingabe[[#This Row],[R4]])</f>
        <v/>
      </c>
      <c r="AK631" s="6" t="str">
        <f>IF(Eingabe[[#This Row],[S1P]]="","",Eingabe[[#This Row],[S1P]]+Eingabe[[#This Row],[S2P]]+Eingabe[[#This Row],[S3P]]+Eingabe[[#This Row],[S4P]])</f>
        <v/>
      </c>
      <c r="AL631" s="6" t="str">
        <f>IF(Eingabe[[#This Row],[S1P]]="","",IF(Eingabe[[#This Row],[SP]]&gt;2,1,IF(Eingabe[[#This Row],[SP]]&lt;2,0,IF(Eingabe[[#This Row],[GES]]&gt;Eingabe[[#This Row],[GEGGES]],1,IF(Eingabe[[#This Row],[GES]]=Eingabe[[#This Row],[GEGGES]],0.5,0)))))</f>
        <v/>
      </c>
      <c r="AM631" s="6" t="str">
        <f>IF(Eingabe[[#This Row],[MP]]="","",MOD(ROW(Eingabe[[#This Row],[Position]])-3,6)+1)</f>
        <v/>
      </c>
      <c r="AN631" s="6" t="e">
        <f>STANDARDIZE(Eingabe[[#This Row],[GES]],Eingabe[[#This Row],[Schnitt]],VLOOKUP(Eingabe[[#This Row],[Name]],AuswertungG[],21,FALSE))</f>
        <v>#VALUE!</v>
      </c>
      <c r="AO631" s="6" t="str">
        <f>VLOOKUP(Eingabe[[#This Row],[ID]],Chronologie[[ID]:[KW]],12,FALSE)</f>
        <v/>
      </c>
      <c r="AP631" s="95">
        <f>IF(Eingabe[[#This Row],[Wo]]="H",Eingabe[[#This Row],[Gegner]]&amp;" ["&amp;Eingabe[[#This Row],[Wo]]&amp;"]",Eingabe[[#This Row],[Ort]])</f>
        <v>0</v>
      </c>
      <c r="AQ631" s="6" t="str">
        <f>IFERROR(IF(Eingabe[[#This Row],[Wo]]="H",IF(MOD(Eingabe[[#This Row],[Position]],2)=1,Eingabe[[#This Row],[S1]],Eingabe[[#This Row],[S4]]),""),"")</f>
        <v/>
      </c>
      <c r="AR631" s="6" t="str">
        <f>IFERROR(IF(Eingabe[[#This Row],[Wo]]="H",IF(Eingabe[[#This Row],[S1]]&gt;0,IF(MOD(Eingabe[[#This Row],[Position]],2)=1,Eingabe[[#This Row],[S2]],Eingabe[[#This Row],[S3]]),""),""),"")</f>
        <v/>
      </c>
      <c r="AS631" s="6" t="str">
        <f>IFERROR(IF(Eingabe[[#This Row],[Wo]]="H",IF(Eingabe[[#This Row],[S1]]&gt;0,IF(MOD(ROW(Eingabe[[#This Row],[Heimbahn 3]]),2)=1,Eingabe[[#This Row],[S4]],Eingabe[[#This Row],[S1]]),""),""),"")</f>
        <v/>
      </c>
      <c r="AT631" s="6" t="str">
        <f>IFERROR(IF(Eingabe[[#This Row],[Wo]]="H",IF(Eingabe[[#This Row],[S1]]&gt;0,IF(MOD(ROW(Eingabe[[#This Row],[Heimbahn 4]]),2)=1,Eingabe[[#This Row],[S3]],Eingabe[[#This Row],[S2]]),""),""),"")</f>
        <v/>
      </c>
      <c r="AU631" s="22" t="str">
        <f>IF(Eingabe[[#This Row],[GES]]="","",IF(Eingabe[[#This Row],[Modus]]="L",_xlfn.RANK.EQ(Eingabe[[#This Row],[GES]],AF627:AF632),IF(Eingabe[[#This Row],[Modus]]="P",_xlfn.RANK.EQ(Eingabe[[#This Row],[GES]],AF627:AF632),"")))</f>
        <v/>
      </c>
      <c r="AV631" s="6" t="e">
        <f>VLOOKUP(Eingabe[[#This Row],[Name]],AuswertungG[],8,FALSE)</f>
        <v>#N/A</v>
      </c>
      <c r="AZ631" s="6" t="str">
        <f>IFERROR(ABS(Eingabe[[#This Row],[GES]]-Eingabe[[#This Row],[GEGGES]]),"")</f>
        <v/>
      </c>
    </row>
    <row r="632" spans="1:52" ht="16.2" hidden="1" thickBot="1" x14ac:dyDescent="0.35">
      <c r="A632" s="442"/>
      <c r="B632" s="56">
        <f t="shared" si="56"/>
        <v>105</v>
      </c>
      <c r="C632" s="23">
        <f>VLOOKUP($B632,Chronologie[],7,TRUE)</f>
        <v>0</v>
      </c>
      <c r="D632" s="23">
        <f>VLOOKUP($B632,Chronologie[],8,TRUE)</f>
        <v>0</v>
      </c>
      <c r="E632" s="39">
        <f>VLOOKUP($B632,Chronologie[],9,TRUE)</f>
        <v>0</v>
      </c>
      <c r="F632" s="23">
        <f>VLOOKUP($B632,Chronologie[],COLUMN(F633)-2,TRUE)</f>
        <v>0</v>
      </c>
      <c r="G632" s="23">
        <f>VLOOKUP($B632,Chronologie[],COLUMN(G633)-2,TRUE)</f>
        <v>0</v>
      </c>
      <c r="H632" s="23">
        <f>VLOOKUP($B632,Chronologie[],COLUMN(H633)-2,TRUE)</f>
        <v>0</v>
      </c>
      <c r="I632" s="13" t="str">
        <f>VLOOKUP($B632,Chronologie[],2,TRUE)</f>
        <v>--</v>
      </c>
      <c r="J632" s="244">
        <f>VLOOKUP($B632,Chronologie[],3,TRUE)</f>
        <v>0</v>
      </c>
      <c r="K632" s="239"/>
      <c r="L632" s="239"/>
      <c r="M632" s="239"/>
      <c r="N632" s="239"/>
      <c r="O632" s="239"/>
      <c r="P632" s="239"/>
      <c r="Q632" s="239"/>
      <c r="R632" s="239"/>
      <c r="S632" s="239"/>
      <c r="T632" s="239"/>
      <c r="U632" s="239"/>
      <c r="V632" s="239"/>
      <c r="W632" s="239"/>
      <c r="X632" s="40"/>
      <c r="Y632" s="40"/>
      <c r="Z632" s="40"/>
      <c r="AA632" s="40"/>
      <c r="AB632" s="92"/>
      <c r="AC632" s="96" t="str">
        <f>IF(Eingabe[[#This Row],[V1]]="",IF(Eingabe[[#This Row],[Volle alternativ]]="","",Eingabe[[#This Row],[Volle alternativ]]),SUM(Eingabe[[#This Row],[V1]:[V4]]))</f>
        <v/>
      </c>
      <c r="AD632" s="23" t="str">
        <f>IF(Eingabe[[#This Row],[R1]]="",IF(Eingabe[[#This Row],[Räumer alternativ]]="","",Eingabe[[#This Row],[Räumer alternativ]]),SUM(Eingabe[[#This Row],[R1]:[R4]]))</f>
        <v/>
      </c>
      <c r="AE632" s="23" t="str">
        <f>IF(Eingabe[[#This Row],[F1]]="",IF(Eingabe[[#This Row],[Fehler alternativ]]="","",Eingabe[[#This Row],[Fehler alternativ]]),SUM(Eingabe[[#This Row],[F1]:[F4]]))</f>
        <v/>
      </c>
      <c r="AF632" s="23" t="str">
        <f>IF(Eingabe[[#This Row],[Volle]]="","",IF(Eingabe[[#This Row],[S1]]="",Eingabe[[#This Row],[Volle]]+Eingabe[[#This Row],[Räumer]],IF(Eingabe[[#This Row],[Volle]]+Eingabe[[#This Row],[Räumer]]=Eingabe[[#This Row],[S1]]+Eingabe[[#This Row],[S2]]+Eingabe[[#This Row],[S3]]+Eingabe[[#This Row],[S4]],Eingabe[[#This Row],[Volle]]+Eingabe[[#This Row],[Räumer]],"FEHLER")))</f>
        <v/>
      </c>
      <c r="AG632" s="23" t="str">
        <f>IF(Eingabe[[#This Row],[V1]]="","",Eingabe[[#This Row],[V1]]+Eingabe[[#This Row],[R1]])</f>
        <v/>
      </c>
      <c r="AH632" s="23" t="str">
        <f>IF(Eingabe[[#This Row],[V2]]="","",Eingabe[[#This Row],[V2]]+Eingabe[[#This Row],[R2]])</f>
        <v/>
      </c>
      <c r="AI632" s="23" t="str">
        <f>IF(Eingabe[[#This Row],[V3]]="","",Eingabe[[#This Row],[V3]]+Eingabe[[#This Row],[R3]])</f>
        <v/>
      </c>
      <c r="AJ632" s="23" t="str">
        <f>IF(Eingabe[[#This Row],[V4]]="","",Eingabe[[#This Row],[V4]]+Eingabe[[#This Row],[R4]])</f>
        <v/>
      </c>
      <c r="AK632" s="23" t="str">
        <f>IF(Eingabe[[#This Row],[S1P]]="","",Eingabe[[#This Row],[S1P]]+Eingabe[[#This Row],[S2P]]+Eingabe[[#This Row],[S3P]]+Eingabe[[#This Row],[S4P]])</f>
        <v/>
      </c>
      <c r="AL632" s="23" t="str">
        <f>IF(Eingabe[[#This Row],[S1P]]="","",IF(Eingabe[[#This Row],[SP]]&gt;2,1,IF(Eingabe[[#This Row],[SP]]&lt;2,0,IF(Eingabe[[#This Row],[GES]]&gt;Eingabe[[#This Row],[GEGGES]],1,IF(Eingabe[[#This Row],[GES]]=Eingabe[[#This Row],[GEGGES]],0.5,0)))))</f>
        <v/>
      </c>
      <c r="AM632" s="23" t="str">
        <f>IF(Eingabe[[#This Row],[MP]]="","",MOD(ROW(Eingabe[[#This Row],[Position]])-3,6)+1)</f>
        <v/>
      </c>
      <c r="AN632" s="23" t="e">
        <f>STANDARDIZE(Eingabe[[#This Row],[GES]],Eingabe[[#This Row],[Schnitt]],VLOOKUP(Eingabe[[#This Row],[Name]],AuswertungG[],21,FALSE))</f>
        <v>#VALUE!</v>
      </c>
      <c r="AO632" s="23" t="str">
        <f>VLOOKUP(Eingabe[[#This Row],[ID]],Chronologie[[ID]:[KW]],12,FALSE)</f>
        <v/>
      </c>
      <c r="AP632" s="59">
        <f>IF(Eingabe[[#This Row],[Wo]]="H",Eingabe[[#This Row],[Gegner]]&amp;" ["&amp;Eingabe[[#This Row],[Wo]]&amp;"]",Eingabe[[#This Row],[Ort]])</f>
        <v>0</v>
      </c>
      <c r="AQ632" s="23" t="str">
        <f>IFERROR(IF(Eingabe[[#This Row],[Wo]]="H",IF(MOD(Eingabe[[#This Row],[Position]],2)=1,Eingabe[[#This Row],[S1]],Eingabe[[#This Row],[S4]]),""),"")</f>
        <v/>
      </c>
      <c r="AR632" s="23" t="str">
        <f>IFERROR(IF(Eingabe[[#This Row],[Wo]]="H",IF(Eingabe[[#This Row],[S1]]&gt;0,IF(MOD(Eingabe[[#This Row],[Position]],2)=1,Eingabe[[#This Row],[S2]],Eingabe[[#This Row],[S3]]),""),""),"")</f>
        <v/>
      </c>
      <c r="AS632" s="23" t="str">
        <f>IFERROR(IF(Eingabe[[#This Row],[Wo]]="H",IF(Eingabe[[#This Row],[S1]]&gt;0,IF(MOD(ROW(Eingabe[[#This Row],[Heimbahn 3]]),2)=1,Eingabe[[#This Row],[S4]],Eingabe[[#This Row],[S1]]),""),""),"")</f>
        <v/>
      </c>
      <c r="AT632" s="23" t="str">
        <f>IFERROR(IF(Eingabe[[#This Row],[Wo]]="H",IF(Eingabe[[#This Row],[S1]]&gt;0,IF(MOD(ROW(Eingabe[[#This Row],[Heimbahn 4]]),2)=1,Eingabe[[#This Row],[S3]],Eingabe[[#This Row],[S2]]),""),""),"")</f>
        <v/>
      </c>
      <c r="AU632" s="89" t="str">
        <f>IF(Eingabe[[#This Row],[GES]]="","",IF(Eingabe[[#This Row],[Modus]]="L",_xlfn.RANK.EQ(Eingabe[[#This Row],[GES]],AF627:AF632),IF(Eingabe[[#This Row],[Modus]]="P",_xlfn.RANK.EQ(Eingabe[[#This Row],[GES]],AF627:AF632),"")))</f>
        <v/>
      </c>
      <c r="AV632" s="6" t="e">
        <f>VLOOKUP(Eingabe[[#This Row],[Name]],AuswertungG[],8,FALSE)</f>
        <v>#N/A</v>
      </c>
      <c r="AZ632" s="6" t="str">
        <f>IFERROR(ABS(Eingabe[[#This Row],[GES]]-Eingabe[[#This Row],[GEGGES]]),"")</f>
        <v/>
      </c>
    </row>
    <row r="633" spans="1:52" hidden="1" x14ac:dyDescent="0.3">
      <c r="A633" s="440">
        <f t="shared" ref="A633" si="61">B633</f>
        <v>106</v>
      </c>
      <c r="B633" s="55">
        <f t="shared" si="56"/>
        <v>106</v>
      </c>
      <c r="C633" s="35">
        <f>VLOOKUP($B633,Chronologie[],7,TRUE)</f>
        <v>0</v>
      </c>
      <c r="D633" s="35">
        <f>VLOOKUP($B633,Chronologie[],8,TRUE)</f>
        <v>0</v>
      </c>
      <c r="E633" s="36">
        <f>VLOOKUP($B633,Chronologie[],9,TRUE)</f>
        <v>0</v>
      </c>
      <c r="F633" s="35">
        <f>VLOOKUP($B633,Chronologie[],COLUMN(F634)-2,TRUE)</f>
        <v>0</v>
      </c>
      <c r="G633" s="35">
        <f>VLOOKUP($B633,Chronologie[],COLUMN(G634)-2,TRUE)</f>
        <v>0</v>
      </c>
      <c r="H633" s="35">
        <f>VLOOKUP($B633,Chronologie[],COLUMN(H634)-2,TRUE)</f>
        <v>0</v>
      </c>
      <c r="I633" s="9" t="str">
        <f>VLOOKUP($B633,Chronologie[],2,TRUE)</f>
        <v>--</v>
      </c>
      <c r="J633" s="242">
        <f>VLOOKUP($B633,Chronologie[],3,TRUE)</f>
        <v>0</v>
      </c>
      <c r="K633" s="236"/>
      <c r="L633" s="334"/>
      <c r="M633" s="334"/>
      <c r="N633" s="334"/>
      <c r="O633" s="334"/>
      <c r="P633" s="334"/>
      <c r="Q633" s="334"/>
      <c r="R633" s="334"/>
      <c r="S633" s="334"/>
      <c r="T633" s="334"/>
      <c r="U633" s="334"/>
      <c r="V633" s="334"/>
      <c r="W633" s="334"/>
      <c r="X633" s="37"/>
      <c r="Y633" s="37"/>
      <c r="Z633" s="37"/>
      <c r="AA633" s="37"/>
      <c r="AB633" s="90"/>
      <c r="AC633" s="93" t="str">
        <f>IF(Eingabe[[#This Row],[V1]]="",IF(Eingabe[[#This Row],[Volle alternativ]]="","",Eingabe[[#This Row],[Volle alternativ]]),SUM(Eingabe[[#This Row],[V1]:[V4]]))</f>
        <v/>
      </c>
      <c r="AD633" s="35" t="str">
        <f>IF(Eingabe[[#This Row],[R1]]="",IF(Eingabe[[#This Row],[Räumer alternativ]]="","",Eingabe[[#This Row],[Räumer alternativ]]),SUM(Eingabe[[#This Row],[R1]:[R4]]))</f>
        <v/>
      </c>
      <c r="AE633" s="35" t="str">
        <f>IF(Eingabe[[#This Row],[F1]]="",IF(Eingabe[[#This Row],[Fehler alternativ]]="","",Eingabe[[#This Row],[Fehler alternativ]]),SUM(Eingabe[[#This Row],[F1]:[F4]]))</f>
        <v/>
      </c>
      <c r="AF633" s="35" t="str">
        <f>IF(Eingabe[[#This Row],[Volle]]="","",IF(Eingabe[[#This Row],[S1]]="",Eingabe[[#This Row],[Volle]]+Eingabe[[#This Row],[Räumer]],IF(Eingabe[[#This Row],[Volle]]+Eingabe[[#This Row],[Räumer]]=Eingabe[[#This Row],[S1]]+Eingabe[[#This Row],[S2]]+Eingabe[[#This Row],[S3]]+Eingabe[[#This Row],[S4]],Eingabe[[#This Row],[Volle]]+Eingabe[[#This Row],[Räumer]],"FEHLER")))</f>
        <v/>
      </c>
      <c r="AG633" s="35" t="str">
        <f>IF(Eingabe[[#This Row],[V1]]="","",Eingabe[[#This Row],[V1]]+Eingabe[[#This Row],[R1]])</f>
        <v/>
      </c>
      <c r="AH633" s="35" t="str">
        <f>IF(Eingabe[[#This Row],[V2]]="","",Eingabe[[#This Row],[V2]]+Eingabe[[#This Row],[R2]])</f>
        <v/>
      </c>
      <c r="AI633" s="35" t="str">
        <f>IF(Eingabe[[#This Row],[V3]]="","",Eingabe[[#This Row],[V3]]+Eingabe[[#This Row],[R3]])</f>
        <v/>
      </c>
      <c r="AJ633" s="35" t="str">
        <f>IF(Eingabe[[#This Row],[V4]]="","",Eingabe[[#This Row],[V4]]+Eingabe[[#This Row],[R4]])</f>
        <v/>
      </c>
      <c r="AK633" s="35" t="str">
        <f>IF(Eingabe[[#This Row],[S1P]]="","",Eingabe[[#This Row],[S1P]]+Eingabe[[#This Row],[S2P]]+Eingabe[[#This Row],[S3P]]+Eingabe[[#This Row],[S4P]])</f>
        <v/>
      </c>
      <c r="AL633" s="35" t="str">
        <f>IF(Eingabe[[#This Row],[S1P]]="","",IF(Eingabe[[#This Row],[SP]]&gt;2,1,IF(Eingabe[[#This Row],[SP]]&lt;2,0,IF(Eingabe[[#This Row],[GES]]&gt;Eingabe[[#This Row],[GEGGES]],1,IF(Eingabe[[#This Row],[GES]]=Eingabe[[#This Row],[GEGGES]],0.5,0)))))</f>
        <v/>
      </c>
      <c r="AM633" s="35" t="str">
        <f>IF(Eingabe[[#This Row],[MP]]="","",MOD(ROW(Eingabe[[#This Row],[Position]])-3,6)+1)</f>
        <v/>
      </c>
      <c r="AN633" s="35" t="e">
        <f>STANDARDIZE(Eingabe[[#This Row],[GES]],Eingabe[[#This Row],[Schnitt]],VLOOKUP(Eingabe[[#This Row],[Name]],AuswertungG[],21,FALSE))</f>
        <v>#VALUE!</v>
      </c>
      <c r="AO633" s="35" t="str">
        <f>VLOOKUP(Eingabe[[#This Row],[ID]],Chronologie[[ID]:[KW]],12,FALSE)</f>
        <v/>
      </c>
      <c r="AP633" s="58">
        <f>IF(Eingabe[[#This Row],[Wo]]="H",Eingabe[[#This Row],[Gegner]]&amp;" ["&amp;Eingabe[[#This Row],[Wo]]&amp;"]",Eingabe[[#This Row],[Ort]])</f>
        <v>0</v>
      </c>
      <c r="AQ633" s="35" t="str">
        <f>IFERROR(IF(Eingabe[[#This Row],[Wo]]="H",IF(MOD(Eingabe[[#This Row],[Position]],2)=1,Eingabe[[#This Row],[S1]],Eingabe[[#This Row],[S4]]),""),"")</f>
        <v/>
      </c>
      <c r="AR633" s="35" t="str">
        <f>IFERROR(IF(Eingabe[[#This Row],[Wo]]="H",IF(Eingabe[[#This Row],[S1]]&gt;0,IF(MOD(Eingabe[[#This Row],[Position]],2)=1,Eingabe[[#This Row],[S2]],Eingabe[[#This Row],[S3]]),""),""),"")</f>
        <v/>
      </c>
      <c r="AS633" s="35" t="str">
        <f>IFERROR(IF(Eingabe[[#This Row],[Wo]]="H",IF(Eingabe[[#This Row],[S1]]&gt;0,IF(MOD(ROW(Eingabe[[#This Row],[Heimbahn 3]]),2)=1,Eingabe[[#This Row],[S4]],Eingabe[[#This Row],[S1]]),""),""),"")</f>
        <v/>
      </c>
      <c r="AT633" s="35" t="str">
        <f>IFERROR(IF(Eingabe[[#This Row],[Wo]]="H",IF(Eingabe[[#This Row],[S1]]&gt;0,IF(MOD(ROW(Eingabe[[#This Row],[Heimbahn 4]]),2)=1,Eingabe[[#This Row],[S3]],Eingabe[[#This Row],[S2]]),""),""),"")</f>
        <v/>
      </c>
      <c r="AU633" s="88" t="str">
        <f>IF(Eingabe[[#This Row],[GES]]="","",IF(Eingabe[[#This Row],[Modus]]="L",_xlfn.RANK.EQ(Eingabe[[#This Row],[GES]],AF633:AF638),IF(Eingabe[[#This Row],[Modus]]="P",_xlfn.RANK.EQ(Eingabe[[#This Row],[GES]],AF633:AF638),"")))</f>
        <v/>
      </c>
      <c r="AV633" s="6" t="e">
        <f>VLOOKUP(Eingabe[[#This Row],[Name]],AuswertungG[],8,FALSE)</f>
        <v>#N/A</v>
      </c>
      <c r="AZ633" s="6" t="str">
        <f>IFERROR(ABS(Eingabe[[#This Row],[GES]]-Eingabe[[#This Row],[GEGGES]]),"")</f>
        <v/>
      </c>
    </row>
    <row r="634" spans="1:52" hidden="1" x14ac:dyDescent="0.3">
      <c r="A634" s="441"/>
      <c r="B634" s="21">
        <f t="shared" si="56"/>
        <v>106</v>
      </c>
      <c r="C634" s="6">
        <f>VLOOKUP($B634,Chronologie[],7,TRUE)</f>
        <v>0</v>
      </c>
      <c r="D634" s="6">
        <f>VLOOKUP($B634,Chronologie[],8,TRUE)</f>
        <v>0</v>
      </c>
      <c r="E634" s="240">
        <f>VLOOKUP($B634,Chronologie[],9,TRUE)</f>
        <v>0</v>
      </c>
      <c r="F634" s="6">
        <f>VLOOKUP($B634,Chronologie[],COLUMN(F635)-2,TRUE)</f>
        <v>0</v>
      </c>
      <c r="G634" s="6">
        <f>VLOOKUP($B634,Chronologie[],COLUMN(G635)-2,TRUE)</f>
        <v>0</v>
      </c>
      <c r="H634" s="6">
        <f>VLOOKUP($B634,Chronologie[],COLUMN(H635)-2,TRUE)</f>
        <v>0</v>
      </c>
      <c r="I634" s="10" t="str">
        <f>VLOOKUP($B634,Chronologie[],2,TRUE)</f>
        <v>--</v>
      </c>
      <c r="J634" s="243">
        <f>VLOOKUP($B634,Chronologie[],3,TRUE)</f>
        <v>0</v>
      </c>
      <c r="K634" s="237"/>
      <c r="L634" s="237"/>
      <c r="M634" s="237"/>
      <c r="N634" s="237"/>
      <c r="O634" s="237"/>
      <c r="P634" s="237"/>
      <c r="Q634" s="237"/>
      <c r="R634" s="237"/>
      <c r="S634" s="237"/>
      <c r="T634" s="237"/>
      <c r="U634" s="237"/>
      <c r="V634" s="237"/>
      <c r="W634" s="237"/>
      <c r="X634" s="38"/>
      <c r="Y634" s="38"/>
      <c r="Z634" s="38"/>
      <c r="AA634" s="38"/>
      <c r="AB634" s="91"/>
      <c r="AC634" s="94" t="str">
        <f>IF(Eingabe[[#This Row],[V1]]="",IF(Eingabe[[#This Row],[Volle alternativ]]="","",Eingabe[[#This Row],[Volle alternativ]]),SUM(Eingabe[[#This Row],[V1]:[V4]]))</f>
        <v/>
      </c>
      <c r="AD634" s="6" t="str">
        <f>IF(Eingabe[[#This Row],[R1]]="",IF(Eingabe[[#This Row],[Räumer alternativ]]="","",Eingabe[[#This Row],[Räumer alternativ]]),SUM(Eingabe[[#This Row],[R1]:[R4]]))</f>
        <v/>
      </c>
      <c r="AE634" s="6" t="str">
        <f>IF(Eingabe[[#This Row],[F1]]="",IF(Eingabe[[#This Row],[Fehler alternativ]]="","",Eingabe[[#This Row],[Fehler alternativ]]),SUM(Eingabe[[#This Row],[F1]:[F4]]))</f>
        <v/>
      </c>
      <c r="AF634" s="6" t="str">
        <f>IF(Eingabe[[#This Row],[Volle]]="","",IF(Eingabe[[#This Row],[S1]]="",Eingabe[[#This Row],[Volle]]+Eingabe[[#This Row],[Räumer]],IF(Eingabe[[#This Row],[Volle]]+Eingabe[[#This Row],[Räumer]]=Eingabe[[#This Row],[S1]]+Eingabe[[#This Row],[S2]]+Eingabe[[#This Row],[S3]]+Eingabe[[#This Row],[S4]],Eingabe[[#This Row],[Volle]]+Eingabe[[#This Row],[Räumer]],"FEHLER")))</f>
        <v/>
      </c>
      <c r="AG634" s="6" t="str">
        <f>IF(Eingabe[[#This Row],[V1]]="","",Eingabe[[#This Row],[V1]]+Eingabe[[#This Row],[R1]])</f>
        <v/>
      </c>
      <c r="AH634" s="6" t="str">
        <f>IF(Eingabe[[#This Row],[V2]]="","",Eingabe[[#This Row],[V2]]+Eingabe[[#This Row],[R2]])</f>
        <v/>
      </c>
      <c r="AI634" s="6" t="str">
        <f>IF(Eingabe[[#This Row],[V3]]="","",Eingabe[[#This Row],[V3]]+Eingabe[[#This Row],[R3]])</f>
        <v/>
      </c>
      <c r="AJ634" s="6" t="str">
        <f>IF(Eingabe[[#This Row],[V4]]="","",Eingabe[[#This Row],[V4]]+Eingabe[[#This Row],[R4]])</f>
        <v/>
      </c>
      <c r="AK634" s="6" t="str">
        <f>IF(Eingabe[[#This Row],[S1P]]="","",Eingabe[[#This Row],[S1P]]+Eingabe[[#This Row],[S2P]]+Eingabe[[#This Row],[S3P]]+Eingabe[[#This Row],[S4P]])</f>
        <v/>
      </c>
      <c r="AL634" s="6" t="str">
        <f>IF(Eingabe[[#This Row],[S1P]]="","",IF(Eingabe[[#This Row],[SP]]&gt;2,1,IF(Eingabe[[#This Row],[SP]]&lt;2,0,IF(Eingabe[[#This Row],[GES]]&gt;Eingabe[[#This Row],[GEGGES]],1,IF(Eingabe[[#This Row],[GES]]=Eingabe[[#This Row],[GEGGES]],0.5,0)))))</f>
        <v/>
      </c>
      <c r="AM634" s="6" t="str">
        <f>IF(Eingabe[[#This Row],[MP]]="","",MOD(ROW(Eingabe[[#This Row],[Position]])-3,6)+1)</f>
        <v/>
      </c>
      <c r="AN634" s="6" t="e">
        <f>STANDARDIZE(Eingabe[[#This Row],[GES]],Eingabe[[#This Row],[Schnitt]],VLOOKUP(Eingabe[[#This Row],[Name]],AuswertungG[],21,FALSE))</f>
        <v>#VALUE!</v>
      </c>
      <c r="AO634" s="6" t="str">
        <f>VLOOKUP(Eingabe[[#This Row],[ID]],Chronologie[[ID]:[KW]],12,FALSE)</f>
        <v/>
      </c>
      <c r="AP634" s="95">
        <f>IF(Eingabe[[#This Row],[Wo]]="H",Eingabe[[#This Row],[Gegner]]&amp;" ["&amp;Eingabe[[#This Row],[Wo]]&amp;"]",Eingabe[[#This Row],[Ort]])</f>
        <v>0</v>
      </c>
      <c r="AQ634" s="6" t="str">
        <f>IFERROR(IF(Eingabe[[#This Row],[Wo]]="H",IF(MOD(Eingabe[[#This Row],[Position]],2)=1,Eingabe[[#This Row],[S1]],Eingabe[[#This Row],[S4]]),""),"")</f>
        <v/>
      </c>
      <c r="AR634" s="6" t="str">
        <f>IFERROR(IF(Eingabe[[#This Row],[Wo]]="H",IF(Eingabe[[#This Row],[S1]]&gt;0,IF(MOD(Eingabe[[#This Row],[Position]],2)=1,Eingabe[[#This Row],[S2]],Eingabe[[#This Row],[S3]]),""),""),"")</f>
        <v/>
      </c>
      <c r="AS634" s="6" t="str">
        <f>IFERROR(IF(Eingabe[[#This Row],[Wo]]="H",IF(Eingabe[[#This Row],[S1]]&gt;0,IF(MOD(ROW(Eingabe[[#This Row],[Heimbahn 3]]),2)=1,Eingabe[[#This Row],[S4]],Eingabe[[#This Row],[S1]]),""),""),"")</f>
        <v/>
      </c>
      <c r="AT634" s="6" t="str">
        <f>IFERROR(IF(Eingabe[[#This Row],[Wo]]="H",IF(Eingabe[[#This Row],[S1]]&gt;0,IF(MOD(ROW(Eingabe[[#This Row],[Heimbahn 4]]),2)=1,Eingabe[[#This Row],[S3]],Eingabe[[#This Row],[S2]]),""),""),"")</f>
        <v/>
      </c>
      <c r="AU634" s="22" t="str">
        <f>IF(Eingabe[[#This Row],[GES]]="","",IF(Eingabe[[#This Row],[Modus]]="L",_xlfn.RANK.EQ(Eingabe[[#This Row],[GES]],AF633:AF638),IF(Eingabe[[#This Row],[Modus]]="P",_xlfn.RANK.EQ(Eingabe[[#This Row],[GES]],AF633:AF638),"")))</f>
        <v/>
      </c>
      <c r="AV634" s="6" t="e">
        <f>VLOOKUP(Eingabe[[#This Row],[Name]],AuswertungG[],8,FALSE)</f>
        <v>#N/A</v>
      </c>
      <c r="AZ634" s="6" t="str">
        <f>IFERROR(ABS(Eingabe[[#This Row],[GES]]-Eingabe[[#This Row],[GEGGES]]),"")</f>
        <v/>
      </c>
    </row>
    <row r="635" spans="1:52" hidden="1" x14ac:dyDescent="0.3">
      <c r="A635" s="441"/>
      <c r="B635" s="21">
        <f t="shared" ref="B635:B666" si="62">ROUNDUP((ROW(B635)-2)/6,0)</f>
        <v>106</v>
      </c>
      <c r="C635" s="6">
        <f>VLOOKUP($B635,Chronologie[],7,TRUE)</f>
        <v>0</v>
      </c>
      <c r="D635" s="6">
        <f>VLOOKUP($B635,Chronologie[],8,TRUE)</f>
        <v>0</v>
      </c>
      <c r="E635" s="240">
        <f>VLOOKUP($B635,Chronologie[],9,TRUE)</f>
        <v>0</v>
      </c>
      <c r="F635" s="6">
        <f>VLOOKUP($B635,Chronologie[],COLUMN(F636)-2,TRUE)</f>
        <v>0</v>
      </c>
      <c r="G635" s="6">
        <f>VLOOKUP($B635,Chronologie[],COLUMN(G636)-2,TRUE)</f>
        <v>0</v>
      </c>
      <c r="H635" s="6">
        <f>VLOOKUP($B635,Chronologie[],COLUMN(H636)-2,TRUE)</f>
        <v>0</v>
      </c>
      <c r="I635" s="10" t="str">
        <f>VLOOKUP($B635,Chronologie[],2,TRUE)</f>
        <v>--</v>
      </c>
      <c r="J635" s="243">
        <f>VLOOKUP($B635,Chronologie[],3,TRUE)</f>
        <v>0</v>
      </c>
      <c r="K635" s="237"/>
      <c r="L635" s="237"/>
      <c r="M635" s="237"/>
      <c r="N635" s="237"/>
      <c r="O635" s="237"/>
      <c r="P635" s="237"/>
      <c r="Q635" s="237"/>
      <c r="R635" s="237"/>
      <c r="S635" s="237"/>
      <c r="T635" s="237"/>
      <c r="U635" s="237"/>
      <c r="V635" s="237"/>
      <c r="W635" s="237"/>
      <c r="X635" s="38"/>
      <c r="Y635" s="38"/>
      <c r="Z635" s="38"/>
      <c r="AA635" s="38"/>
      <c r="AB635" s="91"/>
      <c r="AC635" s="94" t="str">
        <f>IF(Eingabe[[#This Row],[V1]]="",IF(Eingabe[[#This Row],[Volle alternativ]]="","",Eingabe[[#This Row],[Volle alternativ]]),SUM(Eingabe[[#This Row],[V1]:[V4]]))</f>
        <v/>
      </c>
      <c r="AD635" s="6" t="str">
        <f>IF(Eingabe[[#This Row],[R1]]="",IF(Eingabe[[#This Row],[Räumer alternativ]]="","",Eingabe[[#This Row],[Räumer alternativ]]),SUM(Eingabe[[#This Row],[R1]:[R4]]))</f>
        <v/>
      </c>
      <c r="AE635" s="6" t="str">
        <f>IF(Eingabe[[#This Row],[F1]]="",IF(Eingabe[[#This Row],[Fehler alternativ]]="","",Eingabe[[#This Row],[Fehler alternativ]]),SUM(Eingabe[[#This Row],[F1]:[F4]]))</f>
        <v/>
      </c>
      <c r="AF635" s="6" t="str">
        <f>IF(Eingabe[[#This Row],[Volle]]="","",IF(Eingabe[[#This Row],[S1]]="",Eingabe[[#This Row],[Volle]]+Eingabe[[#This Row],[Räumer]],IF(Eingabe[[#This Row],[Volle]]+Eingabe[[#This Row],[Räumer]]=Eingabe[[#This Row],[S1]]+Eingabe[[#This Row],[S2]]+Eingabe[[#This Row],[S3]]+Eingabe[[#This Row],[S4]],Eingabe[[#This Row],[Volle]]+Eingabe[[#This Row],[Räumer]],"FEHLER")))</f>
        <v/>
      </c>
      <c r="AG635" s="6" t="str">
        <f>IF(Eingabe[[#This Row],[V1]]="","",Eingabe[[#This Row],[V1]]+Eingabe[[#This Row],[R1]])</f>
        <v/>
      </c>
      <c r="AH635" s="6" t="str">
        <f>IF(Eingabe[[#This Row],[V2]]="","",Eingabe[[#This Row],[V2]]+Eingabe[[#This Row],[R2]])</f>
        <v/>
      </c>
      <c r="AI635" s="6" t="str">
        <f>IF(Eingabe[[#This Row],[V3]]="","",Eingabe[[#This Row],[V3]]+Eingabe[[#This Row],[R3]])</f>
        <v/>
      </c>
      <c r="AJ635" s="6" t="str">
        <f>IF(Eingabe[[#This Row],[V4]]="","",Eingabe[[#This Row],[V4]]+Eingabe[[#This Row],[R4]])</f>
        <v/>
      </c>
      <c r="AK635" s="6" t="str">
        <f>IF(Eingabe[[#This Row],[S1P]]="","",Eingabe[[#This Row],[S1P]]+Eingabe[[#This Row],[S2P]]+Eingabe[[#This Row],[S3P]]+Eingabe[[#This Row],[S4P]])</f>
        <v/>
      </c>
      <c r="AL635" s="6" t="str">
        <f>IF(Eingabe[[#This Row],[S1P]]="","",IF(Eingabe[[#This Row],[SP]]&gt;2,1,IF(Eingabe[[#This Row],[SP]]&lt;2,0,IF(Eingabe[[#This Row],[GES]]&gt;Eingabe[[#This Row],[GEGGES]],1,IF(Eingabe[[#This Row],[GES]]=Eingabe[[#This Row],[GEGGES]],0.5,0)))))</f>
        <v/>
      </c>
      <c r="AM635" s="6" t="str">
        <f>IF(Eingabe[[#This Row],[MP]]="","",MOD(ROW(Eingabe[[#This Row],[Position]])-3,6)+1)</f>
        <v/>
      </c>
      <c r="AN635" s="6" t="e">
        <f>STANDARDIZE(Eingabe[[#This Row],[GES]],Eingabe[[#This Row],[Schnitt]],VLOOKUP(Eingabe[[#This Row],[Name]],AuswertungG[],21,FALSE))</f>
        <v>#VALUE!</v>
      </c>
      <c r="AO635" s="6" t="str">
        <f>VLOOKUP(Eingabe[[#This Row],[ID]],Chronologie[[ID]:[KW]],12,FALSE)</f>
        <v/>
      </c>
      <c r="AP635" s="95">
        <f>IF(Eingabe[[#This Row],[Wo]]="H",Eingabe[[#This Row],[Gegner]]&amp;" ["&amp;Eingabe[[#This Row],[Wo]]&amp;"]",Eingabe[[#This Row],[Ort]])</f>
        <v>0</v>
      </c>
      <c r="AQ635" s="6" t="str">
        <f>IFERROR(IF(Eingabe[[#This Row],[Wo]]="H",IF(MOD(Eingabe[[#This Row],[Position]],2)=1,Eingabe[[#This Row],[S1]],Eingabe[[#This Row],[S4]]),""),"")</f>
        <v/>
      </c>
      <c r="AR635" s="6" t="str">
        <f>IFERROR(IF(Eingabe[[#This Row],[Wo]]="H",IF(Eingabe[[#This Row],[S1]]&gt;0,IF(MOD(Eingabe[[#This Row],[Position]],2)=1,Eingabe[[#This Row],[S2]],Eingabe[[#This Row],[S3]]),""),""),"")</f>
        <v/>
      </c>
      <c r="AS635" s="6" t="str">
        <f>IFERROR(IF(Eingabe[[#This Row],[Wo]]="H",IF(Eingabe[[#This Row],[S1]]&gt;0,IF(MOD(ROW(Eingabe[[#This Row],[Heimbahn 3]]),2)=1,Eingabe[[#This Row],[S4]],Eingabe[[#This Row],[S1]]),""),""),"")</f>
        <v/>
      </c>
      <c r="AT635" s="6" t="str">
        <f>IFERROR(IF(Eingabe[[#This Row],[Wo]]="H",IF(Eingabe[[#This Row],[S1]]&gt;0,IF(MOD(ROW(Eingabe[[#This Row],[Heimbahn 4]]),2)=1,Eingabe[[#This Row],[S3]],Eingabe[[#This Row],[S2]]),""),""),"")</f>
        <v/>
      </c>
      <c r="AU635" s="22" t="str">
        <f>IF(Eingabe[[#This Row],[GES]]="","",IF(Eingabe[[#This Row],[Modus]]="L",_xlfn.RANK.EQ(Eingabe[[#This Row],[GES]],AF633:AF638),IF(Eingabe[[#This Row],[Modus]]="P",_xlfn.RANK.EQ(Eingabe[[#This Row],[GES]],AF633:AF638),"")))</f>
        <v/>
      </c>
      <c r="AV635" s="6" t="e">
        <f>VLOOKUP(Eingabe[[#This Row],[Name]],AuswertungG[],8,FALSE)</f>
        <v>#N/A</v>
      </c>
      <c r="AZ635" s="6" t="str">
        <f>IFERROR(ABS(Eingabe[[#This Row],[GES]]-Eingabe[[#This Row],[GEGGES]]),"")</f>
        <v/>
      </c>
    </row>
    <row r="636" spans="1:52" hidden="1" x14ac:dyDescent="0.3">
      <c r="A636" s="441"/>
      <c r="B636" s="21">
        <f t="shared" si="62"/>
        <v>106</v>
      </c>
      <c r="C636" s="6">
        <f>VLOOKUP($B636,Chronologie[],7,TRUE)</f>
        <v>0</v>
      </c>
      <c r="D636" s="6">
        <f>VLOOKUP($B636,Chronologie[],8,TRUE)</f>
        <v>0</v>
      </c>
      <c r="E636" s="240">
        <f>VLOOKUP($B636,Chronologie[],9,TRUE)</f>
        <v>0</v>
      </c>
      <c r="F636" s="6">
        <f>VLOOKUP($B636,Chronologie[],COLUMN(F637)-2,TRUE)</f>
        <v>0</v>
      </c>
      <c r="G636" s="6">
        <f>VLOOKUP($B636,Chronologie[],COLUMN(G637)-2,TRUE)</f>
        <v>0</v>
      </c>
      <c r="H636" s="6">
        <f>VLOOKUP($B636,Chronologie[],COLUMN(H637)-2,TRUE)</f>
        <v>0</v>
      </c>
      <c r="I636" s="10" t="str">
        <f>VLOOKUP($B636,Chronologie[],2,TRUE)</f>
        <v>--</v>
      </c>
      <c r="J636" s="243">
        <f>VLOOKUP($B636,Chronologie[],3,TRUE)</f>
        <v>0</v>
      </c>
      <c r="K636" s="238"/>
      <c r="L636" s="237"/>
      <c r="M636" s="237"/>
      <c r="N636" s="237"/>
      <c r="O636" s="237"/>
      <c r="P636" s="237"/>
      <c r="Q636" s="237"/>
      <c r="R636" s="237"/>
      <c r="S636" s="237"/>
      <c r="T636" s="237"/>
      <c r="U636" s="237"/>
      <c r="V636" s="237"/>
      <c r="W636" s="237"/>
      <c r="X636" s="38"/>
      <c r="Y636" s="38"/>
      <c r="Z636" s="38"/>
      <c r="AA636" s="38"/>
      <c r="AB636" s="91"/>
      <c r="AC636" s="94" t="str">
        <f>IF(Eingabe[[#This Row],[V1]]="",IF(Eingabe[[#This Row],[Volle alternativ]]="","",Eingabe[[#This Row],[Volle alternativ]]),SUM(Eingabe[[#This Row],[V1]:[V4]]))</f>
        <v/>
      </c>
      <c r="AD636" s="6" t="str">
        <f>IF(Eingabe[[#This Row],[R1]]="",IF(Eingabe[[#This Row],[Räumer alternativ]]="","",Eingabe[[#This Row],[Räumer alternativ]]),SUM(Eingabe[[#This Row],[R1]:[R4]]))</f>
        <v/>
      </c>
      <c r="AE636" s="6" t="str">
        <f>IF(Eingabe[[#This Row],[F1]]="",IF(Eingabe[[#This Row],[Fehler alternativ]]="","",Eingabe[[#This Row],[Fehler alternativ]]),SUM(Eingabe[[#This Row],[F1]:[F4]]))</f>
        <v/>
      </c>
      <c r="AF636" s="6" t="str">
        <f>IF(Eingabe[[#This Row],[Volle]]="","",IF(Eingabe[[#This Row],[S1]]="",Eingabe[[#This Row],[Volle]]+Eingabe[[#This Row],[Räumer]],IF(Eingabe[[#This Row],[Volle]]+Eingabe[[#This Row],[Räumer]]=Eingabe[[#This Row],[S1]]+Eingabe[[#This Row],[S2]]+Eingabe[[#This Row],[S3]]+Eingabe[[#This Row],[S4]],Eingabe[[#This Row],[Volle]]+Eingabe[[#This Row],[Räumer]],"FEHLER")))</f>
        <v/>
      </c>
      <c r="AG636" s="6" t="str">
        <f>IF(Eingabe[[#This Row],[V1]]="","",Eingabe[[#This Row],[V1]]+Eingabe[[#This Row],[R1]])</f>
        <v/>
      </c>
      <c r="AH636" s="6" t="str">
        <f>IF(Eingabe[[#This Row],[V2]]="","",Eingabe[[#This Row],[V2]]+Eingabe[[#This Row],[R2]])</f>
        <v/>
      </c>
      <c r="AI636" s="6" t="str">
        <f>IF(Eingabe[[#This Row],[V3]]="","",Eingabe[[#This Row],[V3]]+Eingabe[[#This Row],[R3]])</f>
        <v/>
      </c>
      <c r="AJ636" s="6" t="str">
        <f>IF(Eingabe[[#This Row],[V4]]="","",Eingabe[[#This Row],[V4]]+Eingabe[[#This Row],[R4]])</f>
        <v/>
      </c>
      <c r="AK636" s="6" t="str">
        <f>IF(Eingabe[[#This Row],[S1P]]="","",Eingabe[[#This Row],[S1P]]+Eingabe[[#This Row],[S2P]]+Eingabe[[#This Row],[S3P]]+Eingabe[[#This Row],[S4P]])</f>
        <v/>
      </c>
      <c r="AL636" s="6" t="str">
        <f>IF(Eingabe[[#This Row],[S1P]]="","",IF(Eingabe[[#This Row],[SP]]&gt;2,1,IF(Eingabe[[#This Row],[SP]]&lt;2,0,IF(Eingabe[[#This Row],[GES]]&gt;Eingabe[[#This Row],[GEGGES]],1,IF(Eingabe[[#This Row],[GES]]=Eingabe[[#This Row],[GEGGES]],0.5,0)))))</f>
        <v/>
      </c>
      <c r="AM636" s="6" t="str">
        <f>IF(Eingabe[[#This Row],[MP]]="","",MOD(ROW(Eingabe[[#This Row],[Position]])-3,6)+1)</f>
        <v/>
      </c>
      <c r="AN636" s="6" t="e">
        <f>STANDARDIZE(Eingabe[[#This Row],[GES]],Eingabe[[#This Row],[Schnitt]],VLOOKUP(Eingabe[[#This Row],[Name]],AuswertungG[],21,FALSE))</f>
        <v>#VALUE!</v>
      </c>
      <c r="AO636" s="6" t="str">
        <f>VLOOKUP(Eingabe[[#This Row],[ID]],Chronologie[[ID]:[KW]],12,FALSE)</f>
        <v/>
      </c>
      <c r="AP636" s="95">
        <f>IF(Eingabe[[#This Row],[Wo]]="H",Eingabe[[#This Row],[Gegner]]&amp;" ["&amp;Eingabe[[#This Row],[Wo]]&amp;"]",Eingabe[[#This Row],[Ort]])</f>
        <v>0</v>
      </c>
      <c r="AQ636" s="6" t="str">
        <f>IFERROR(IF(Eingabe[[#This Row],[Wo]]="H",IF(MOD(Eingabe[[#This Row],[Position]],2)=1,Eingabe[[#This Row],[S1]],Eingabe[[#This Row],[S4]]),""),"")</f>
        <v/>
      </c>
      <c r="AR636" s="6" t="str">
        <f>IFERROR(IF(Eingabe[[#This Row],[Wo]]="H",IF(Eingabe[[#This Row],[S1]]&gt;0,IF(MOD(Eingabe[[#This Row],[Position]],2)=1,Eingabe[[#This Row],[S2]],Eingabe[[#This Row],[S3]]),""),""),"")</f>
        <v/>
      </c>
      <c r="AS636" s="6" t="str">
        <f>IFERROR(IF(Eingabe[[#This Row],[Wo]]="H",IF(Eingabe[[#This Row],[S1]]&gt;0,IF(MOD(ROW(Eingabe[[#This Row],[Heimbahn 3]]),2)=1,Eingabe[[#This Row],[S4]],Eingabe[[#This Row],[S1]]),""),""),"")</f>
        <v/>
      </c>
      <c r="AT636" s="6" t="str">
        <f>IFERROR(IF(Eingabe[[#This Row],[Wo]]="H",IF(Eingabe[[#This Row],[S1]]&gt;0,IF(MOD(ROW(Eingabe[[#This Row],[Heimbahn 4]]),2)=1,Eingabe[[#This Row],[S3]],Eingabe[[#This Row],[S2]]),""),""),"")</f>
        <v/>
      </c>
      <c r="AU636" s="22" t="str">
        <f>IF(Eingabe[[#This Row],[GES]]="","",IF(Eingabe[[#This Row],[Modus]]="L",_xlfn.RANK.EQ(Eingabe[[#This Row],[GES]],AF633:AF638),IF(Eingabe[[#This Row],[Modus]]="P",_xlfn.RANK.EQ(Eingabe[[#This Row],[GES]],AF633:AF638),"")))</f>
        <v/>
      </c>
      <c r="AV636" s="6" t="e">
        <f>VLOOKUP(Eingabe[[#This Row],[Name]],AuswertungG[],8,FALSE)</f>
        <v>#N/A</v>
      </c>
      <c r="AZ636" s="6" t="str">
        <f>IFERROR(ABS(Eingabe[[#This Row],[GES]]-Eingabe[[#This Row],[GEGGES]]),"")</f>
        <v/>
      </c>
    </row>
    <row r="637" spans="1:52" hidden="1" x14ac:dyDescent="0.3">
      <c r="A637" s="441"/>
      <c r="B637" s="21">
        <f t="shared" si="62"/>
        <v>106</v>
      </c>
      <c r="C637" s="6">
        <f>VLOOKUP($B637,Chronologie[],7,TRUE)</f>
        <v>0</v>
      </c>
      <c r="D637" s="6">
        <f>VLOOKUP($B637,Chronologie[],8,TRUE)</f>
        <v>0</v>
      </c>
      <c r="E637" s="240">
        <f>VLOOKUP($B637,Chronologie[],9,TRUE)</f>
        <v>0</v>
      </c>
      <c r="F637" s="6">
        <f>VLOOKUP($B637,Chronologie[],COLUMN(F638)-2,TRUE)</f>
        <v>0</v>
      </c>
      <c r="G637" s="6">
        <f>VLOOKUP($B637,Chronologie[],COLUMN(G638)-2,TRUE)</f>
        <v>0</v>
      </c>
      <c r="H637" s="6">
        <f>VLOOKUP($B637,Chronologie[],COLUMN(H638)-2,TRUE)</f>
        <v>0</v>
      </c>
      <c r="I637" s="10" t="str">
        <f>VLOOKUP($B637,Chronologie[],2,TRUE)</f>
        <v>--</v>
      </c>
      <c r="J637" s="243">
        <f>VLOOKUP($B637,Chronologie[],3,TRUE)</f>
        <v>0</v>
      </c>
      <c r="K637" s="237"/>
      <c r="L637" s="237"/>
      <c r="M637" s="237"/>
      <c r="N637" s="237"/>
      <c r="O637" s="237"/>
      <c r="P637" s="237"/>
      <c r="Q637" s="237"/>
      <c r="R637" s="237"/>
      <c r="S637" s="237"/>
      <c r="T637" s="237"/>
      <c r="U637" s="237"/>
      <c r="V637" s="237"/>
      <c r="W637" s="237"/>
      <c r="X637" s="38"/>
      <c r="Y637" s="38"/>
      <c r="Z637" s="38"/>
      <c r="AA637" s="38"/>
      <c r="AB637" s="91"/>
      <c r="AC637" s="94" t="str">
        <f>IF(Eingabe[[#This Row],[V1]]="",IF(Eingabe[[#This Row],[Volle alternativ]]="","",Eingabe[[#This Row],[Volle alternativ]]),SUM(Eingabe[[#This Row],[V1]:[V4]]))</f>
        <v/>
      </c>
      <c r="AD637" s="6" t="str">
        <f>IF(Eingabe[[#This Row],[R1]]="",IF(Eingabe[[#This Row],[Räumer alternativ]]="","",Eingabe[[#This Row],[Räumer alternativ]]),SUM(Eingabe[[#This Row],[R1]:[R4]]))</f>
        <v/>
      </c>
      <c r="AE637" s="6" t="str">
        <f>IF(Eingabe[[#This Row],[F1]]="",IF(Eingabe[[#This Row],[Fehler alternativ]]="","",Eingabe[[#This Row],[Fehler alternativ]]),SUM(Eingabe[[#This Row],[F1]:[F4]]))</f>
        <v/>
      </c>
      <c r="AF637" s="6" t="str">
        <f>IF(Eingabe[[#This Row],[Volle]]="","",IF(Eingabe[[#This Row],[S1]]="",Eingabe[[#This Row],[Volle]]+Eingabe[[#This Row],[Räumer]],IF(Eingabe[[#This Row],[Volle]]+Eingabe[[#This Row],[Räumer]]=Eingabe[[#This Row],[S1]]+Eingabe[[#This Row],[S2]]+Eingabe[[#This Row],[S3]]+Eingabe[[#This Row],[S4]],Eingabe[[#This Row],[Volle]]+Eingabe[[#This Row],[Räumer]],"FEHLER")))</f>
        <v/>
      </c>
      <c r="AG637" s="6" t="str">
        <f>IF(Eingabe[[#This Row],[V1]]="","",Eingabe[[#This Row],[V1]]+Eingabe[[#This Row],[R1]])</f>
        <v/>
      </c>
      <c r="AH637" s="6" t="str">
        <f>IF(Eingabe[[#This Row],[V2]]="","",Eingabe[[#This Row],[V2]]+Eingabe[[#This Row],[R2]])</f>
        <v/>
      </c>
      <c r="AI637" s="6" t="str">
        <f>IF(Eingabe[[#This Row],[V3]]="","",Eingabe[[#This Row],[V3]]+Eingabe[[#This Row],[R3]])</f>
        <v/>
      </c>
      <c r="AJ637" s="6" t="str">
        <f>IF(Eingabe[[#This Row],[V4]]="","",Eingabe[[#This Row],[V4]]+Eingabe[[#This Row],[R4]])</f>
        <v/>
      </c>
      <c r="AK637" s="6" t="str">
        <f>IF(Eingabe[[#This Row],[S1P]]="","",Eingabe[[#This Row],[S1P]]+Eingabe[[#This Row],[S2P]]+Eingabe[[#This Row],[S3P]]+Eingabe[[#This Row],[S4P]])</f>
        <v/>
      </c>
      <c r="AL637" s="6" t="str">
        <f>IF(Eingabe[[#This Row],[S1P]]="","",IF(Eingabe[[#This Row],[SP]]&gt;2,1,IF(Eingabe[[#This Row],[SP]]&lt;2,0,IF(Eingabe[[#This Row],[GES]]&gt;Eingabe[[#This Row],[GEGGES]],1,IF(Eingabe[[#This Row],[GES]]=Eingabe[[#This Row],[GEGGES]],0.5,0)))))</f>
        <v/>
      </c>
      <c r="AM637" s="6" t="str">
        <f>IF(Eingabe[[#This Row],[MP]]="","",MOD(ROW(Eingabe[[#This Row],[Position]])-3,6)+1)</f>
        <v/>
      </c>
      <c r="AN637" s="6" t="e">
        <f>STANDARDIZE(Eingabe[[#This Row],[GES]],Eingabe[[#This Row],[Schnitt]],VLOOKUP(Eingabe[[#This Row],[Name]],AuswertungG[],21,FALSE))</f>
        <v>#VALUE!</v>
      </c>
      <c r="AO637" s="6" t="str">
        <f>VLOOKUP(Eingabe[[#This Row],[ID]],Chronologie[[ID]:[KW]],12,FALSE)</f>
        <v/>
      </c>
      <c r="AP637" s="95">
        <f>IF(Eingabe[[#This Row],[Wo]]="H",Eingabe[[#This Row],[Gegner]]&amp;" ["&amp;Eingabe[[#This Row],[Wo]]&amp;"]",Eingabe[[#This Row],[Ort]])</f>
        <v>0</v>
      </c>
      <c r="AQ637" s="6" t="str">
        <f>IFERROR(IF(Eingabe[[#This Row],[Wo]]="H",IF(MOD(Eingabe[[#This Row],[Position]],2)=1,Eingabe[[#This Row],[S1]],Eingabe[[#This Row],[S4]]),""),"")</f>
        <v/>
      </c>
      <c r="AR637" s="6" t="str">
        <f>IFERROR(IF(Eingabe[[#This Row],[Wo]]="H",IF(Eingabe[[#This Row],[S1]]&gt;0,IF(MOD(Eingabe[[#This Row],[Position]],2)=1,Eingabe[[#This Row],[S2]],Eingabe[[#This Row],[S3]]),""),""),"")</f>
        <v/>
      </c>
      <c r="AS637" s="6" t="str">
        <f>IFERROR(IF(Eingabe[[#This Row],[Wo]]="H",IF(Eingabe[[#This Row],[S1]]&gt;0,IF(MOD(ROW(Eingabe[[#This Row],[Heimbahn 3]]),2)=1,Eingabe[[#This Row],[S4]],Eingabe[[#This Row],[S1]]),""),""),"")</f>
        <v/>
      </c>
      <c r="AT637" s="6" t="str">
        <f>IFERROR(IF(Eingabe[[#This Row],[Wo]]="H",IF(Eingabe[[#This Row],[S1]]&gt;0,IF(MOD(ROW(Eingabe[[#This Row],[Heimbahn 4]]),2)=1,Eingabe[[#This Row],[S3]],Eingabe[[#This Row],[S2]]),""),""),"")</f>
        <v/>
      </c>
      <c r="AU637" s="22" t="str">
        <f>IF(Eingabe[[#This Row],[GES]]="","",IF(Eingabe[[#This Row],[Modus]]="L",_xlfn.RANK.EQ(Eingabe[[#This Row],[GES]],AF633:AF638),IF(Eingabe[[#This Row],[Modus]]="P",_xlfn.RANK.EQ(Eingabe[[#This Row],[GES]],AF633:AF638),"")))</f>
        <v/>
      </c>
      <c r="AV637" s="6" t="e">
        <f>VLOOKUP(Eingabe[[#This Row],[Name]],AuswertungG[],8,FALSE)</f>
        <v>#N/A</v>
      </c>
      <c r="AZ637" s="6" t="str">
        <f>IFERROR(ABS(Eingabe[[#This Row],[GES]]-Eingabe[[#This Row],[GEGGES]]),"")</f>
        <v/>
      </c>
    </row>
    <row r="638" spans="1:52" ht="16.2" hidden="1" thickBot="1" x14ac:dyDescent="0.35">
      <c r="A638" s="442"/>
      <c r="B638" s="56">
        <f t="shared" si="62"/>
        <v>106</v>
      </c>
      <c r="C638" s="23">
        <f>VLOOKUP($B638,Chronologie[],7,TRUE)</f>
        <v>0</v>
      </c>
      <c r="D638" s="23">
        <f>VLOOKUP($B638,Chronologie[],8,TRUE)</f>
        <v>0</v>
      </c>
      <c r="E638" s="39">
        <f>VLOOKUP($B638,Chronologie[],9,TRUE)</f>
        <v>0</v>
      </c>
      <c r="F638" s="23">
        <f>VLOOKUP($B638,Chronologie[],COLUMN(F639)-2,TRUE)</f>
        <v>0</v>
      </c>
      <c r="G638" s="23">
        <f>VLOOKUP($B638,Chronologie[],COLUMN(G639)-2,TRUE)</f>
        <v>0</v>
      </c>
      <c r="H638" s="23">
        <f>VLOOKUP($B638,Chronologie[],COLUMN(H639)-2,TRUE)</f>
        <v>0</v>
      </c>
      <c r="I638" s="13" t="str">
        <f>VLOOKUP($B638,Chronologie[],2,TRUE)</f>
        <v>--</v>
      </c>
      <c r="J638" s="244">
        <f>VLOOKUP($B638,Chronologie[],3,TRUE)</f>
        <v>0</v>
      </c>
      <c r="K638" s="239"/>
      <c r="L638" s="239"/>
      <c r="M638" s="239"/>
      <c r="N638" s="239"/>
      <c r="O638" s="239"/>
      <c r="P638" s="239"/>
      <c r="Q638" s="239"/>
      <c r="R638" s="239"/>
      <c r="S638" s="239"/>
      <c r="T638" s="239"/>
      <c r="U638" s="239"/>
      <c r="V638" s="239"/>
      <c r="W638" s="239"/>
      <c r="X638" s="40"/>
      <c r="Y638" s="40"/>
      <c r="Z638" s="40"/>
      <c r="AA638" s="40"/>
      <c r="AB638" s="92"/>
      <c r="AC638" s="96" t="str">
        <f>IF(Eingabe[[#This Row],[V1]]="",IF(Eingabe[[#This Row],[Volle alternativ]]="","",Eingabe[[#This Row],[Volle alternativ]]),SUM(Eingabe[[#This Row],[V1]:[V4]]))</f>
        <v/>
      </c>
      <c r="AD638" s="23" t="str">
        <f>IF(Eingabe[[#This Row],[R1]]="",IF(Eingabe[[#This Row],[Räumer alternativ]]="","",Eingabe[[#This Row],[Räumer alternativ]]),SUM(Eingabe[[#This Row],[R1]:[R4]]))</f>
        <v/>
      </c>
      <c r="AE638" s="23" t="str">
        <f>IF(Eingabe[[#This Row],[F1]]="",IF(Eingabe[[#This Row],[Fehler alternativ]]="","",Eingabe[[#This Row],[Fehler alternativ]]),SUM(Eingabe[[#This Row],[F1]:[F4]]))</f>
        <v/>
      </c>
      <c r="AF638" s="23" t="str">
        <f>IF(Eingabe[[#This Row],[Volle]]="","",IF(Eingabe[[#This Row],[S1]]="",Eingabe[[#This Row],[Volle]]+Eingabe[[#This Row],[Räumer]],IF(Eingabe[[#This Row],[Volle]]+Eingabe[[#This Row],[Räumer]]=Eingabe[[#This Row],[S1]]+Eingabe[[#This Row],[S2]]+Eingabe[[#This Row],[S3]]+Eingabe[[#This Row],[S4]],Eingabe[[#This Row],[Volle]]+Eingabe[[#This Row],[Räumer]],"FEHLER")))</f>
        <v/>
      </c>
      <c r="AG638" s="23" t="str">
        <f>IF(Eingabe[[#This Row],[V1]]="","",Eingabe[[#This Row],[V1]]+Eingabe[[#This Row],[R1]])</f>
        <v/>
      </c>
      <c r="AH638" s="23" t="str">
        <f>IF(Eingabe[[#This Row],[V2]]="","",Eingabe[[#This Row],[V2]]+Eingabe[[#This Row],[R2]])</f>
        <v/>
      </c>
      <c r="AI638" s="23" t="str">
        <f>IF(Eingabe[[#This Row],[V3]]="","",Eingabe[[#This Row],[V3]]+Eingabe[[#This Row],[R3]])</f>
        <v/>
      </c>
      <c r="AJ638" s="23" t="str">
        <f>IF(Eingabe[[#This Row],[V4]]="","",Eingabe[[#This Row],[V4]]+Eingabe[[#This Row],[R4]])</f>
        <v/>
      </c>
      <c r="AK638" s="23" t="str">
        <f>IF(Eingabe[[#This Row],[S1P]]="","",Eingabe[[#This Row],[S1P]]+Eingabe[[#This Row],[S2P]]+Eingabe[[#This Row],[S3P]]+Eingabe[[#This Row],[S4P]])</f>
        <v/>
      </c>
      <c r="AL638" s="23" t="str">
        <f>IF(Eingabe[[#This Row],[S1P]]="","",IF(Eingabe[[#This Row],[SP]]&gt;2,1,IF(Eingabe[[#This Row],[SP]]&lt;2,0,IF(Eingabe[[#This Row],[GES]]&gt;Eingabe[[#This Row],[GEGGES]],1,IF(Eingabe[[#This Row],[GES]]=Eingabe[[#This Row],[GEGGES]],0.5,0)))))</f>
        <v/>
      </c>
      <c r="AM638" s="23" t="str">
        <f>IF(Eingabe[[#This Row],[MP]]="","",MOD(ROW(Eingabe[[#This Row],[Position]])-3,6)+1)</f>
        <v/>
      </c>
      <c r="AN638" s="23" t="e">
        <f>STANDARDIZE(Eingabe[[#This Row],[GES]],Eingabe[[#This Row],[Schnitt]],VLOOKUP(Eingabe[[#This Row],[Name]],AuswertungG[],21,FALSE))</f>
        <v>#VALUE!</v>
      </c>
      <c r="AO638" s="23" t="str">
        <f>VLOOKUP(Eingabe[[#This Row],[ID]],Chronologie[[ID]:[KW]],12,FALSE)</f>
        <v/>
      </c>
      <c r="AP638" s="59">
        <f>IF(Eingabe[[#This Row],[Wo]]="H",Eingabe[[#This Row],[Gegner]]&amp;" ["&amp;Eingabe[[#This Row],[Wo]]&amp;"]",Eingabe[[#This Row],[Ort]])</f>
        <v>0</v>
      </c>
      <c r="AQ638" s="23" t="str">
        <f>IFERROR(IF(Eingabe[[#This Row],[Wo]]="H",IF(MOD(Eingabe[[#This Row],[Position]],2)=1,Eingabe[[#This Row],[S1]],Eingabe[[#This Row],[S4]]),""),"")</f>
        <v/>
      </c>
      <c r="AR638" s="23" t="str">
        <f>IFERROR(IF(Eingabe[[#This Row],[Wo]]="H",IF(Eingabe[[#This Row],[S1]]&gt;0,IF(MOD(Eingabe[[#This Row],[Position]],2)=1,Eingabe[[#This Row],[S2]],Eingabe[[#This Row],[S3]]),""),""),"")</f>
        <v/>
      </c>
      <c r="AS638" s="23" t="str">
        <f>IFERROR(IF(Eingabe[[#This Row],[Wo]]="H",IF(Eingabe[[#This Row],[S1]]&gt;0,IF(MOD(ROW(Eingabe[[#This Row],[Heimbahn 3]]),2)=1,Eingabe[[#This Row],[S4]],Eingabe[[#This Row],[S1]]),""),""),"")</f>
        <v/>
      </c>
      <c r="AT638" s="23" t="str">
        <f>IFERROR(IF(Eingabe[[#This Row],[Wo]]="H",IF(Eingabe[[#This Row],[S1]]&gt;0,IF(MOD(ROW(Eingabe[[#This Row],[Heimbahn 4]]),2)=1,Eingabe[[#This Row],[S3]],Eingabe[[#This Row],[S2]]),""),""),"")</f>
        <v/>
      </c>
      <c r="AU638" s="89" t="str">
        <f>IF(Eingabe[[#This Row],[GES]]="","",IF(Eingabe[[#This Row],[Modus]]="L",_xlfn.RANK.EQ(Eingabe[[#This Row],[GES]],AF633:AF638),IF(Eingabe[[#This Row],[Modus]]="P",_xlfn.RANK.EQ(Eingabe[[#This Row],[GES]],AF633:AF638),"")))</f>
        <v/>
      </c>
      <c r="AV638" s="6" t="e">
        <f>VLOOKUP(Eingabe[[#This Row],[Name]],AuswertungG[],8,FALSE)</f>
        <v>#N/A</v>
      </c>
      <c r="AZ638" s="6" t="str">
        <f>IFERROR(ABS(Eingabe[[#This Row],[GES]]-Eingabe[[#This Row],[GEGGES]]),"")</f>
        <v/>
      </c>
    </row>
    <row r="639" spans="1:52" hidden="1" x14ac:dyDescent="0.3">
      <c r="A639" s="440">
        <f t="shared" ref="A639" si="63">B639</f>
        <v>107</v>
      </c>
      <c r="B639" s="55">
        <f t="shared" si="62"/>
        <v>107</v>
      </c>
      <c r="C639" s="35">
        <f>VLOOKUP($B639,Chronologie[],7,TRUE)</f>
        <v>0</v>
      </c>
      <c r="D639" s="35">
        <f>VLOOKUP($B639,Chronologie[],8,TRUE)</f>
        <v>0</v>
      </c>
      <c r="E639" s="36">
        <f>VLOOKUP($B639,Chronologie[],9,TRUE)</f>
        <v>0</v>
      </c>
      <c r="F639" s="35">
        <f>VLOOKUP($B639,Chronologie[],COLUMN(F640)-2,TRUE)</f>
        <v>0</v>
      </c>
      <c r="G639" s="35">
        <f>VLOOKUP($B639,Chronologie[],COLUMN(G640)-2,TRUE)</f>
        <v>0</v>
      </c>
      <c r="H639" s="35">
        <f>VLOOKUP($B639,Chronologie[],COLUMN(H640)-2,TRUE)</f>
        <v>0</v>
      </c>
      <c r="I639" s="9" t="str">
        <f>VLOOKUP($B639,Chronologie[],2,TRUE)</f>
        <v>--</v>
      </c>
      <c r="J639" s="242">
        <f>VLOOKUP($B639,Chronologie[],3,TRUE)</f>
        <v>0</v>
      </c>
      <c r="K639" s="236"/>
      <c r="L639" s="236"/>
      <c r="M639" s="236"/>
      <c r="N639" s="236"/>
      <c r="O639" s="236"/>
      <c r="P639" s="236"/>
      <c r="Q639" s="236"/>
      <c r="R639" s="236"/>
      <c r="S639" s="236"/>
      <c r="T639" s="236"/>
      <c r="U639" s="236"/>
      <c r="V639" s="236"/>
      <c r="W639" s="236"/>
      <c r="X639" s="37"/>
      <c r="Y639" s="37"/>
      <c r="Z639" s="37"/>
      <c r="AA639" s="37"/>
      <c r="AB639" s="90"/>
      <c r="AC639" s="93" t="str">
        <f>IF(Eingabe[[#This Row],[V1]]="",IF(Eingabe[[#This Row],[Volle alternativ]]="","",Eingabe[[#This Row],[Volle alternativ]]),SUM(Eingabe[[#This Row],[V1]:[V4]]))</f>
        <v/>
      </c>
      <c r="AD639" s="35" t="str">
        <f>IF(Eingabe[[#This Row],[R1]]="",IF(Eingabe[[#This Row],[Räumer alternativ]]="","",Eingabe[[#This Row],[Räumer alternativ]]),SUM(Eingabe[[#This Row],[R1]:[R4]]))</f>
        <v/>
      </c>
      <c r="AE639" s="35" t="str">
        <f>IF(Eingabe[[#This Row],[F1]]="",IF(Eingabe[[#This Row],[Fehler alternativ]]="","",Eingabe[[#This Row],[Fehler alternativ]]),SUM(Eingabe[[#This Row],[F1]:[F4]]))</f>
        <v/>
      </c>
      <c r="AF639" s="35" t="str">
        <f>IF(Eingabe[[#This Row],[Volle]]="","",IF(Eingabe[[#This Row],[S1]]="",Eingabe[[#This Row],[Volle]]+Eingabe[[#This Row],[Räumer]],IF(Eingabe[[#This Row],[Volle]]+Eingabe[[#This Row],[Räumer]]=Eingabe[[#This Row],[S1]]+Eingabe[[#This Row],[S2]]+Eingabe[[#This Row],[S3]]+Eingabe[[#This Row],[S4]],Eingabe[[#This Row],[Volle]]+Eingabe[[#This Row],[Räumer]],"FEHLER")))</f>
        <v/>
      </c>
      <c r="AG639" s="35" t="str">
        <f>IF(Eingabe[[#This Row],[V1]]="","",Eingabe[[#This Row],[V1]]+Eingabe[[#This Row],[R1]])</f>
        <v/>
      </c>
      <c r="AH639" s="35" t="str">
        <f>IF(Eingabe[[#This Row],[V2]]="","",Eingabe[[#This Row],[V2]]+Eingabe[[#This Row],[R2]])</f>
        <v/>
      </c>
      <c r="AI639" s="35" t="str">
        <f>IF(Eingabe[[#This Row],[V3]]="","",Eingabe[[#This Row],[V3]]+Eingabe[[#This Row],[R3]])</f>
        <v/>
      </c>
      <c r="AJ639" s="35" t="str">
        <f>IF(Eingabe[[#This Row],[V4]]="","",Eingabe[[#This Row],[V4]]+Eingabe[[#This Row],[R4]])</f>
        <v/>
      </c>
      <c r="AK639" s="35" t="str">
        <f>IF(Eingabe[[#This Row],[S1P]]="","",Eingabe[[#This Row],[S1P]]+Eingabe[[#This Row],[S2P]]+Eingabe[[#This Row],[S3P]]+Eingabe[[#This Row],[S4P]])</f>
        <v/>
      </c>
      <c r="AL639" s="35" t="str">
        <f>IF(Eingabe[[#This Row],[S1P]]="","",IF(Eingabe[[#This Row],[SP]]&gt;2,1,IF(Eingabe[[#This Row],[SP]]&lt;2,0,IF(Eingabe[[#This Row],[GES]]&gt;Eingabe[[#This Row],[GEGGES]],1,IF(Eingabe[[#This Row],[GES]]=Eingabe[[#This Row],[GEGGES]],0.5,0)))))</f>
        <v/>
      </c>
      <c r="AM639" s="35" t="str">
        <f>IF(Eingabe[[#This Row],[MP]]="","",MOD(ROW(Eingabe[[#This Row],[Position]])-3,6)+1)</f>
        <v/>
      </c>
      <c r="AN639" s="35" t="e">
        <f>STANDARDIZE(Eingabe[[#This Row],[GES]],Eingabe[[#This Row],[Schnitt]],VLOOKUP(Eingabe[[#This Row],[Name]],AuswertungG[],21,FALSE))</f>
        <v>#VALUE!</v>
      </c>
      <c r="AO639" s="35" t="str">
        <f>VLOOKUP(Eingabe[[#This Row],[ID]],Chronologie[[ID]:[KW]],12,FALSE)</f>
        <v/>
      </c>
      <c r="AP639" s="58">
        <f>IF(Eingabe[[#This Row],[Wo]]="H",Eingabe[[#This Row],[Gegner]]&amp;" ["&amp;Eingabe[[#This Row],[Wo]]&amp;"]",Eingabe[[#This Row],[Ort]])</f>
        <v>0</v>
      </c>
      <c r="AQ639" s="35" t="str">
        <f>IFERROR(IF(Eingabe[[#This Row],[Wo]]="H",IF(MOD(Eingabe[[#This Row],[Position]],2)=1,Eingabe[[#This Row],[S1]],Eingabe[[#This Row],[S4]]),""),"")</f>
        <v/>
      </c>
      <c r="AR639" s="35" t="str">
        <f>IFERROR(IF(Eingabe[[#This Row],[Wo]]="H",IF(Eingabe[[#This Row],[S1]]&gt;0,IF(MOD(Eingabe[[#This Row],[Position]],2)=1,Eingabe[[#This Row],[S2]],Eingabe[[#This Row],[S3]]),""),""),"")</f>
        <v/>
      </c>
      <c r="AS639" s="35" t="str">
        <f>IFERROR(IF(Eingabe[[#This Row],[Wo]]="H",IF(Eingabe[[#This Row],[S1]]&gt;0,IF(MOD(ROW(Eingabe[[#This Row],[Heimbahn 3]]),2)=1,Eingabe[[#This Row],[S4]],Eingabe[[#This Row],[S1]]),""),""),"")</f>
        <v/>
      </c>
      <c r="AT639" s="35" t="str">
        <f>IFERROR(IF(Eingabe[[#This Row],[Wo]]="H",IF(Eingabe[[#This Row],[S1]]&gt;0,IF(MOD(ROW(Eingabe[[#This Row],[Heimbahn 4]]),2)=1,Eingabe[[#This Row],[S3]],Eingabe[[#This Row],[S2]]),""),""),"")</f>
        <v/>
      </c>
      <c r="AU639" s="88" t="str">
        <f>IF(Eingabe[[#This Row],[GES]]="","",IF(Eingabe[[#This Row],[Modus]]="L",_xlfn.RANK.EQ(Eingabe[[#This Row],[GES]],AF639:AF644),IF(Eingabe[[#This Row],[Modus]]="P",_xlfn.RANK.EQ(Eingabe[[#This Row],[GES]],AF639:AF644),"")))</f>
        <v/>
      </c>
      <c r="AV639" s="6" t="e">
        <f>VLOOKUP(Eingabe[[#This Row],[Name]],AuswertungG[],8,FALSE)</f>
        <v>#N/A</v>
      </c>
      <c r="AZ639" s="6" t="str">
        <f>IFERROR(ABS(Eingabe[[#This Row],[GES]]-Eingabe[[#This Row],[GEGGES]]),"")</f>
        <v/>
      </c>
    </row>
    <row r="640" spans="1:52" hidden="1" x14ac:dyDescent="0.3">
      <c r="A640" s="441"/>
      <c r="B640" s="21">
        <f t="shared" si="62"/>
        <v>107</v>
      </c>
      <c r="C640" s="6">
        <f>VLOOKUP($B640,Chronologie[],7,TRUE)</f>
        <v>0</v>
      </c>
      <c r="D640" s="6">
        <f>VLOOKUP($B640,Chronologie[],8,TRUE)</f>
        <v>0</v>
      </c>
      <c r="E640" s="240">
        <f>VLOOKUP($B640,Chronologie[],9,TRUE)</f>
        <v>0</v>
      </c>
      <c r="F640" s="6">
        <f>VLOOKUP($B640,Chronologie[],COLUMN(F641)-2,TRUE)</f>
        <v>0</v>
      </c>
      <c r="G640" s="6">
        <f>VLOOKUP($B640,Chronologie[],COLUMN(G641)-2,TRUE)</f>
        <v>0</v>
      </c>
      <c r="H640" s="6">
        <f>VLOOKUP($B640,Chronologie[],COLUMN(H641)-2,TRUE)</f>
        <v>0</v>
      </c>
      <c r="I640" s="10" t="str">
        <f>VLOOKUP($B640,Chronologie[],2,TRUE)</f>
        <v>--</v>
      </c>
      <c r="J640" s="243">
        <f>VLOOKUP($B640,Chronologie[],3,TRUE)</f>
        <v>0</v>
      </c>
      <c r="K640" s="237"/>
      <c r="L640" s="237"/>
      <c r="M640" s="237"/>
      <c r="N640" s="237"/>
      <c r="O640" s="237"/>
      <c r="P640" s="237"/>
      <c r="Q640" s="237"/>
      <c r="R640" s="237"/>
      <c r="S640" s="237"/>
      <c r="T640" s="237"/>
      <c r="U640" s="237"/>
      <c r="V640" s="237"/>
      <c r="W640" s="237"/>
      <c r="X640" s="38"/>
      <c r="Y640" s="38"/>
      <c r="Z640" s="38"/>
      <c r="AA640" s="38"/>
      <c r="AB640" s="91"/>
      <c r="AC640" s="94" t="str">
        <f>IF(Eingabe[[#This Row],[V1]]="",IF(Eingabe[[#This Row],[Volle alternativ]]="","",Eingabe[[#This Row],[Volle alternativ]]),SUM(Eingabe[[#This Row],[V1]:[V4]]))</f>
        <v/>
      </c>
      <c r="AD640" s="6" t="str">
        <f>IF(Eingabe[[#This Row],[R1]]="",IF(Eingabe[[#This Row],[Räumer alternativ]]="","",Eingabe[[#This Row],[Räumer alternativ]]),SUM(Eingabe[[#This Row],[R1]:[R4]]))</f>
        <v/>
      </c>
      <c r="AE640" s="6" t="str">
        <f>IF(Eingabe[[#This Row],[F1]]="",IF(Eingabe[[#This Row],[Fehler alternativ]]="","",Eingabe[[#This Row],[Fehler alternativ]]),SUM(Eingabe[[#This Row],[F1]:[F4]]))</f>
        <v/>
      </c>
      <c r="AF640" s="6" t="str">
        <f>IF(Eingabe[[#This Row],[Volle]]="","",IF(Eingabe[[#This Row],[S1]]="",Eingabe[[#This Row],[Volle]]+Eingabe[[#This Row],[Räumer]],IF(Eingabe[[#This Row],[Volle]]+Eingabe[[#This Row],[Räumer]]=Eingabe[[#This Row],[S1]]+Eingabe[[#This Row],[S2]]+Eingabe[[#This Row],[S3]]+Eingabe[[#This Row],[S4]],Eingabe[[#This Row],[Volle]]+Eingabe[[#This Row],[Räumer]],"FEHLER")))</f>
        <v/>
      </c>
      <c r="AG640" s="6" t="str">
        <f>IF(Eingabe[[#This Row],[V1]]="","",Eingabe[[#This Row],[V1]]+Eingabe[[#This Row],[R1]])</f>
        <v/>
      </c>
      <c r="AH640" s="6" t="str">
        <f>IF(Eingabe[[#This Row],[V2]]="","",Eingabe[[#This Row],[V2]]+Eingabe[[#This Row],[R2]])</f>
        <v/>
      </c>
      <c r="AI640" s="6" t="str">
        <f>IF(Eingabe[[#This Row],[V3]]="","",Eingabe[[#This Row],[V3]]+Eingabe[[#This Row],[R3]])</f>
        <v/>
      </c>
      <c r="AJ640" s="6" t="str">
        <f>IF(Eingabe[[#This Row],[V4]]="","",Eingabe[[#This Row],[V4]]+Eingabe[[#This Row],[R4]])</f>
        <v/>
      </c>
      <c r="AK640" s="6" t="str">
        <f>IF(Eingabe[[#This Row],[S1P]]="","",Eingabe[[#This Row],[S1P]]+Eingabe[[#This Row],[S2P]]+Eingabe[[#This Row],[S3P]]+Eingabe[[#This Row],[S4P]])</f>
        <v/>
      </c>
      <c r="AL640" s="6" t="str">
        <f>IF(Eingabe[[#This Row],[S1P]]="","",IF(Eingabe[[#This Row],[SP]]&gt;2,1,IF(Eingabe[[#This Row],[SP]]&lt;2,0,IF(Eingabe[[#This Row],[GES]]&gt;Eingabe[[#This Row],[GEGGES]],1,IF(Eingabe[[#This Row],[GES]]=Eingabe[[#This Row],[GEGGES]],0.5,0)))))</f>
        <v/>
      </c>
      <c r="AM640" s="6" t="str">
        <f>IF(Eingabe[[#This Row],[MP]]="","",MOD(ROW(Eingabe[[#This Row],[Position]])-3,6)+1)</f>
        <v/>
      </c>
      <c r="AN640" s="6" t="e">
        <f>STANDARDIZE(Eingabe[[#This Row],[GES]],Eingabe[[#This Row],[Schnitt]],VLOOKUP(Eingabe[[#This Row],[Name]],AuswertungG[],21,FALSE))</f>
        <v>#VALUE!</v>
      </c>
      <c r="AO640" s="6" t="str">
        <f>VLOOKUP(Eingabe[[#This Row],[ID]],Chronologie[[ID]:[KW]],12,FALSE)</f>
        <v/>
      </c>
      <c r="AP640" s="95">
        <f>IF(Eingabe[[#This Row],[Wo]]="H",Eingabe[[#This Row],[Gegner]]&amp;" ["&amp;Eingabe[[#This Row],[Wo]]&amp;"]",Eingabe[[#This Row],[Ort]])</f>
        <v>0</v>
      </c>
      <c r="AQ640" s="6" t="str">
        <f>IFERROR(IF(Eingabe[[#This Row],[Wo]]="H",IF(MOD(Eingabe[[#This Row],[Position]],2)=1,Eingabe[[#This Row],[S1]],Eingabe[[#This Row],[S4]]),""),"")</f>
        <v/>
      </c>
      <c r="AR640" s="6" t="str">
        <f>IFERROR(IF(Eingabe[[#This Row],[Wo]]="H",IF(Eingabe[[#This Row],[S1]]&gt;0,IF(MOD(Eingabe[[#This Row],[Position]],2)=1,Eingabe[[#This Row],[S2]],Eingabe[[#This Row],[S3]]),""),""),"")</f>
        <v/>
      </c>
      <c r="AS640" s="6" t="str">
        <f>IFERROR(IF(Eingabe[[#This Row],[Wo]]="H",IF(Eingabe[[#This Row],[S1]]&gt;0,IF(MOD(ROW(Eingabe[[#This Row],[Heimbahn 3]]),2)=1,Eingabe[[#This Row],[S4]],Eingabe[[#This Row],[S1]]),""),""),"")</f>
        <v/>
      </c>
      <c r="AT640" s="6" t="str">
        <f>IFERROR(IF(Eingabe[[#This Row],[Wo]]="H",IF(Eingabe[[#This Row],[S1]]&gt;0,IF(MOD(ROW(Eingabe[[#This Row],[Heimbahn 4]]),2)=1,Eingabe[[#This Row],[S3]],Eingabe[[#This Row],[S2]]),""),""),"")</f>
        <v/>
      </c>
      <c r="AU640" s="22" t="str">
        <f>IF(Eingabe[[#This Row],[GES]]="","",IF(Eingabe[[#This Row],[Modus]]="L",_xlfn.RANK.EQ(Eingabe[[#This Row],[GES]],AF639:AF644),IF(Eingabe[[#This Row],[Modus]]="P",_xlfn.RANK.EQ(Eingabe[[#This Row],[GES]],AF639:AF644),"")))</f>
        <v/>
      </c>
      <c r="AV640" s="6" t="e">
        <f>VLOOKUP(Eingabe[[#This Row],[Name]],AuswertungG[],8,FALSE)</f>
        <v>#N/A</v>
      </c>
      <c r="AZ640" s="6" t="str">
        <f>IFERROR(ABS(Eingabe[[#This Row],[GES]]-Eingabe[[#This Row],[GEGGES]]),"")</f>
        <v/>
      </c>
    </row>
    <row r="641" spans="1:52" hidden="1" x14ac:dyDescent="0.3">
      <c r="A641" s="441"/>
      <c r="B641" s="21">
        <f t="shared" si="62"/>
        <v>107</v>
      </c>
      <c r="C641" s="6">
        <f>VLOOKUP($B641,Chronologie[],7,TRUE)</f>
        <v>0</v>
      </c>
      <c r="D641" s="6">
        <f>VLOOKUP($B641,Chronologie[],8,TRUE)</f>
        <v>0</v>
      </c>
      <c r="E641" s="240">
        <f>VLOOKUP($B641,Chronologie[],9,TRUE)</f>
        <v>0</v>
      </c>
      <c r="F641" s="6">
        <f>VLOOKUP($B641,Chronologie[],COLUMN(F642)-2,TRUE)</f>
        <v>0</v>
      </c>
      <c r="G641" s="6">
        <f>VLOOKUP($B641,Chronologie[],COLUMN(G642)-2,TRUE)</f>
        <v>0</v>
      </c>
      <c r="H641" s="6">
        <f>VLOOKUP($B641,Chronologie[],COLUMN(H642)-2,TRUE)</f>
        <v>0</v>
      </c>
      <c r="I641" s="10" t="str">
        <f>VLOOKUP($B641,Chronologie[],2,TRUE)</f>
        <v>--</v>
      </c>
      <c r="J641" s="243">
        <f>VLOOKUP($B641,Chronologie[],3,TRUE)</f>
        <v>0</v>
      </c>
      <c r="K641" s="237"/>
      <c r="L641" s="237"/>
      <c r="M641" s="237"/>
      <c r="N641" s="237"/>
      <c r="O641" s="237"/>
      <c r="P641" s="237"/>
      <c r="Q641" s="237"/>
      <c r="R641" s="237"/>
      <c r="S641" s="237"/>
      <c r="T641" s="237"/>
      <c r="U641" s="237"/>
      <c r="V641" s="237"/>
      <c r="W641" s="237"/>
      <c r="X641" s="38"/>
      <c r="Y641" s="38"/>
      <c r="Z641" s="38"/>
      <c r="AA641" s="38"/>
      <c r="AB641" s="91"/>
      <c r="AC641" s="94" t="str">
        <f>IF(Eingabe[[#This Row],[V1]]="",IF(Eingabe[[#This Row],[Volle alternativ]]="","",Eingabe[[#This Row],[Volle alternativ]]),SUM(Eingabe[[#This Row],[V1]:[V4]]))</f>
        <v/>
      </c>
      <c r="AD641" s="6" t="str">
        <f>IF(Eingabe[[#This Row],[R1]]="",IF(Eingabe[[#This Row],[Räumer alternativ]]="","",Eingabe[[#This Row],[Räumer alternativ]]),SUM(Eingabe[[#This Row],[R1]:[R4]]))</f>
        <v/>
      </c>
      <c r="AE641" s="6" t="str">
        <f>IF(Eingabe[[#This Row],[F1]]="",IF(Eingabe[[#This Row],[Fehler alternativ]]="","",Eingabe[[#This Row],[Fehler alternativ]]),SUM(Eingabe[[#This Row],[F1]:[F4]]))</f>
        <v/>
      </c>
      <c r="AF641" s="6" t="str">
        <f>IF(Eingabe[[#This Row],[Volle]]="","",IF(Eingabe[[#This Row],[S1]]="",Eingabe[[#This Row],[Volle]]+Eingabe[[#This Row],[Räumer]],IF(Eingabe[[#This Row],[Volle]]+Eingabe[[#This Row],[Räumer]]=Eingabe[[#This Row],[S1]]+Eingabe[[#This Row],[S2]]+Eingabe[[#This Row],[S3]]+Eingabe[[#This Row],[S4]],Eingabe[[#This Row],[Volle]]+Eingabe[[#This Row],[Räumer]],"FEHLER")))</f>
        <v/>
      </c>
      <c r="AG641" s="6" t="str">
        <f>IF(Eingabe[[#This Row],[V1]]="","",Eingabe[[#This Row],[V1]]+Eingabe[[#This Row],[R1]])</f>
        <v/>
      </c>
      <c r="AH641" s="6" t="str">
        <f>IF(Eingabe[[#This Row],[V2]]="","",Eingabe[[#This Row],[V2]]+Eingabe[[#This Row],[R2]])</f>
        <v/>
      </c>
      <c r="AI641" s="6" t="str">
        <f>IF(Eingabe[[#This Row],[V3]]="","",Eingabe[[#This Row],[V3]]+Eingabe[[#This Row],[R3]])</f>
        <v/>
      </c>
      <c r="AJ641" s="6" t="str">
        <f>IF(Eingabe[[#This Row],[V4]]="","",Eingabe[[#This Row],[V4]]+Eingabe[[#This Row],[R4]])</f>
        <v/>
      </c>
      <c r="AK641" s="6" t="str">
        <f>IF(Eingabe[[#This Row],[S1P]]="","",Eingabe[[#This Row],[S1P]]+Eingabe[[#This Row],[S2P]]+Eingabe[[#This Row],[S3P]]+Eingabe[[#This Row],[S4P]])</f>
        <v/>
      </c>
      <c r="AL641" s="6" t="str">
        <f>IF(Eingabe[[#This Row],[S1P]]="","",IF(Eingabe[[#This Row],[SP]]&gt;2,1,IF(Eingabe[[#This Row],[SP]]&lt;2,0,IF(Eingabe[[#This Row],[GES]]&gt;Eingabe[[#This Row],[GEGGES]],1,IF(Eingabe[[#This Row],[GES]]=Eingabe[[#This Row],[GEGGES]],0.5,0)))))</f>
        <v/>
      </c>
      <c r="AM641" s="6" t="str">
        <f>IF(Eingabe[[#This Row],[MP]]="","",MOD(ROW(Eingabe[[#This Row],[Position]])-3,6)+1)</f>
        <v/>
      </c>
      <c r="AN641" s="6" t="e">
        <f>STANDARDIZE(Eingabe[[#This Row],[GES]],Eingabe[[#This Row],[Schnitt]],VLOOKUP(Eingabe[[#This Row],[Name]],AuswertungG[],21,FALSE))</f>
        <v>#VALUE!</v>
      </c>
      <c r="AO641" s="6" t="str">
        <f>VLOOKUP(Eingabe[[#This Row],[ID]],Chronologie[[ID]:[KW]],12,FALSE)</f>
        <v/>
      </c>
      <c r="AP641" s="95">
        <f>IF(Eingabe[[#This Row],[Wo]]="H",Eingabe[[#This Row],[Gegner]]&amp;" ["&amp;Eingabe[[#This Row],[Wo]]&amp;"]",Eingabe[[#This Row],[Ort]])</f>
        <v>0</v>
      </c>
      <c r="AQ641" s="6" t="str">
        <f>IFERROR(IF(Eingabe[[#This Row],[Wo]]="H",IF(MOD(Eingabe[[#This Row],[Position]],2)=1,Eingabe[[#This Row],[S1]],Eingabe[[#This Row],[S4]]),""),"")</f>
        <v/>
      </c>
      <c r="AR641" s="6" t="str">
        <f>IFERROR(IF(Eingabe[[#This Row],[Wo]]="H",IF(Eingabe[[#This Row],[S1]]&gt;0,IF(MOD(Eingabe[[#This Row],[Position]],2)=1,Eingabe[[#This Row],[S2]],Eingabe[[#This Row],[S3]]),""),""),"")</f>
        <v/>
      </c>
      <c r="AS641" s="6" t="str">
        <f>IFERROR(IF(Eingabe[[#This Row],[Wo]]="H",IF(Eingabe[[#This Row],[S1]]&gt;0,IF(MOD(ROW(Eingabe[[#This Row],[Heimbahn 3]]),2)=1,Eingabe[[#This Row],[S4]],Eingabe[[#This Row],[S1]]),""),""),"")</f>
        <v/>
      </c>
      <c r="AT641" s="6" t="str">
        <f>IFERROR(IF(Eingabe[[#This Row],[Wo]]="H",IF(Eingabe[[#This Row],[S1]]&gt;0,IF(MOD(ROW(Eingabe[[#This Row],[Heimbahn 4]]),2)=1,Eingabe[[#This Row],[S3]],Eingabe[[#This Row],[S2]]),""),""),"")</f>
        <v/>
      </c>
      <c r="AU641" s="22" t="str">
        <f>IF(Eingabe[[#This Row],[GES]]="","",IF(Eingabe[[#This Row],[Modus]]="L",_xlfn.RANK.EQ(Eingabe[[#This Row],[GES]],AF639:AF644),IF(Eingabe[[#This Row],[Modus]]="P",_xlfn.RANK.EQ(Eingabe[[#This Row],[GES]],AF639:AF644),"")))</f>
        <v/>
      </c>
      <c r="AV641" s="6" t="e">
        <f>VLOOKUP(Eingabe[[#This Row],[Name]],AuswertungG[],8,FALSE)</f>
        <v>#N/A</v>
      </c>
      <c r="AZ641" s="6" t="str">
        <f>IFERROR(ABS(Eingabe[[#This Row],[GES]]-Eingabe[[#This Row],[GEGGES]]),"")</f>
        <v/>
      </c>
    </row>
    <row r="642" spans="1:52" hidden="1" x14ac:dyDescent="0.3">
      <c r="A642" s="441"/>
      <c r="B642" s="21">
        <f t="shared" si="62"/>
        <v>107</v>
      </c>
      <c r="C642" s="6">
        <f>VLOOKUP($B642,Chronologie[],7,TRUE)</f>
        <v>0</v>
      </c>
      <c r="D642" s="6">
        <f>VLOOKUP($B642,Chronologie[],8,TRUE)</f>
        <v>0</v>
      </c>
      <c r="E642" s="240">
        <f>VLOOKUP($B642,Chronologie[],9,TRUE)</f>
        <v>0</v>
      </c>
      <c r="F642" s="6">
        <f>VLOOKUP($B642,Chronologie[],COLUMN(F643)-2,TRUE)</f>
        <v>0</v>
      </c>
      <c r="G642" s="6">
        <f>VLOOKUP($B642,Chronologie[],COLUMN(G643)-2,TRUE)</f>
        <v>0</v>
      </c>
      <c r="H642" s="6">
        <f>VLOOKUP($B642,Chronologie[],COLUMN(H643)-2,TRUE)</f>
        <v>0</v>
      </c>
      <c r="I642" s="10" t="str">
        <f>VLOOKUP($B642,Chronologie[],2,TRUE)</f>
        <v>--</v>
      </c>
      <c r="J642" s="243">
        <f>VLOOKUP($B642,Chronologie[],3,TRUE)</f>
        <v>0</v>
      </c>
      <c r="K642" s="238"/>
      <c r="L642" s="238"/>
      <c r="M642" s="238"/>
      <c r="N642" s="238"/>
      <c r="O642" s="238"/>
      <c r="P642" s="238"/>
      <c r="Q642" s="238"/>
      <c r="R642" s="238"/>
      <c r="S642" s="238"/>
      <c r="T642" s="238"/>
      <c r="U642" s="238"/>
      <c r="V642" s="238"/>
      <c r="W642" s="238"/>
      <c r="X642" s="38"/>
      <c r="Y642" s="38"/>
      <c r="Z642" s="38"/>
      <c r="AA642" s="38"/>
      <c r="AB642" s="91"/>
      <c r="AC642" s="94" t="str">
        <f>IF(Eingabe[[#This Row],[V1]]="",IF(Eingabe[[#This Row],[Volle alternativ]]="","",Eingabe[[#This Row],[Volle alternativ]]),SUM(Eingabe[[#This Row],[V1]:[V4]]))</f>
        <v/>
      </c>
      <c r="AD642" s="6" t="str">
        <f>IF(Eingabe[[#This Row],[R1]]="",IF(Eingabe[[#This Row],[Räumer alternativ]]="","",Eingabe[[#This Row],[Räumer alternativ]]),SUM(Eingabe[[#This Row],[R1]:[R4]]))</f>
        <v/>
      </c>
      <c r="AE642" s="6" t="str">
        <f>IF(Eingabe[[#This Row],[F1]]="",IF(Eingabe[[#This Row],[Fehler alternativ]]="","",Eingabe[[#This Row],[Fehler alternativ]]),SUM(Eingabe[[#This Row],[F1]:[F4]]))</f>
        <v/>
      </c>
      <c r="AF642" s="6" t="str">
        <f>IF(Eingabe[[#This Row],[Volle]]="","",IF(Eingabe[[#This Row],[S1]]="",Eingabe[[#This Row],[Volle]]+Eingabe[[#This Row],[Räumer]],IF(Eingabe[[#This Row],[Volle]]+Eingabe[[#This Row],[Räumer]]=Eingabe[[#This Row],[S1]]+Eingabe[[#This Row],[S2]]+Eingabe[[#This Row],[S3]]+Eingabe[[#This Row],[S4]],Eingabe[[#This Row],[Volle]]+Eingabe[[#This Row],[Räumer]],"FEHLER")))</f>
        <v/>
      </c>
      <c r="AG642" s="6" t="str">
        <f>IF(Eingabe[[#This Row],[V1]]="","",Eingabe[[#This Row],[V1]]+Eingabe[[#This Row],[R1]])</f>
        <v/>
      </c>
      <c r="AH642" s="6" t="str">
        <f>IF(Eingabe[[#This Row],[V2]]="","",Eingabe[[#This Row],[V2]]+Eingabe[[#This Row],[R2]])</f>
        <v/>
      </c>
      <c r="AI642" s="6" t="str">
        <f>IF(Eingabe[[#This Row],[V3]]="","",Eingabe[[#This Row],[V3]]+Eingabe[[#This Row],[R3]])</f>
        <v/>
      </c>
      <c r="AJ642" s="6" t="str">
        <f>IF(Eingabe[[#This Row],[V4]]="","",Eingabe[[#This Row],[V4]]+Eingabe[[#This Row],[R4]])</f>
        <v/>
      </c>
      <c r="AK642" s="6" t="str">
        <f>IF(Eingabe[[#This Row],[S1P]]="","",Eingabe[[#This Row],[S1P]]+Eingabe[[#This Row],[S2P]]+Eingabe[[#This Row],[S3P]]+Eingabe[[#This Row],[S4P]])</f>
        <v/>
      </c>
      <c r="AL642" s="6" t="str">
        <f>IF(Eingabe[[#This Row],[S1P]]="","",IF(Eingabe[[#This Row],[SP]]&gt;2,1,IF(Eingabe[[#This Row],[SP]]&lt;2,0,IF(Eingabe[[#This Row],[GES]]&gt;Eingabe[[#This Row],[GEGGES]],1,IF(Eingabe[[#This Row],[GES]]=Eingabe[[#This Row],[GEGGES]],0.5,0)))))</f>
        <v/>
      </c>
      <c r="AM642" s="6" t="str">
        <f>IF(Eingabe[[#This Row],[MP]]="","",MOD(ROW(Eingabe[[#This Row],[Position]])-3,6)+1)</f>
        <v/>
      </c>
      <c r="AN642" s="6" t="e">
        <f>STANDARDIZE(Eingabe[[#This Row],[GES]],Eingabe[[#This Row],[Schnitt]],VLOOKUP(Eingabe[[#This Row],[Name]],AuswertungG[],21,FALSE))</f>
        <v>#VALUE!</v>
      </c>
      <c r="AO642" s="6" t="str">
        <f>VLOOKUP(Eingabe[[#This Row],[ID]],Chronologie[[ID]:[KW]],12,FALSE)</f>
        <v/>
      </c>
      <c r="AP642" s="95">
        <f>IF(Eingabe[[#This Row],[Wo]]="H",Eingabe[[#This Row],[Gegner]]&amp;" ["&amp;Eingabe[[#This Row],[Wo]]&amp;"]",Eingabe[[#This Row],[Ort]])</f>
        <v>0</v>
      </c>
      <c r="AQ642" s="6" t="str">
        <f>IFERROR(IF(Eingabe[[#This Row],[Wo]]="H",IF(MOD(Eingabe[[#This Row],[Position]],2)=1,Eingabe[[#This Row],[S1]],Eingabe[[#This Row],[S4]]),""),"")</f>
        <v/>
      </c>
      <c r="AR642" s="6" t="str">
        <f>IFERROR(IF(Eingabe[[#This Row],[Wo]]="H",IF(Eingabe[[#This Row],[S1]]&gt;0,IF(MOD(Eingabe[[#This Row],[Position]],2)=1,Eingabe[[#This Row],[S2]],Eingabe[[#This Row],[S3]]),""),""),"")</f>
        <v/>
      </c>
      <c r="AS642" s="6" t="str">
        <f>IFERROR(IF(Eingabe[[#This Row],[Wo]]="H",IF(Eingabe[[#This Row],[S1]]&gt;0,IF(MOD(ROW(Eingabe[[#This Row],[Heimbahn 3]]),2)=1,Eingabe[[#This Row],[S4]],Eingabe[[#This Row],[S1]]),""),""),"")</f>
        <v/>
      </c>
      <c r="AT642" s="6" t="str">
        <f>IFERROR(IF(Eingabe[[#This Row],[Wo]]="H",IF(Eingabe[[#This Row],[S1]]&gt;0,IF(MOD(ROW(Eingabe[[#This Row],[Heimbahn 4]]),2)=1,Eingabe[[#This Row],[S3]],Eingabe[[#This Row],[S2]]),""),""),"")</f>
        <v/>
      </c>
      <c r="AU642" s="22" t="str">
        <f>IF(Eingabe[[#This Row],[GES]]="","",IF(Eingabe[[#This Row],[Modus]]="L",_xlfn.RANK.EQ(Eingabe[[#This Row],[GES]],AF639:AF644),IF(Eingabe[[#This Row],[Modus]]="P",_xlfn.RANK.EQ(Eingabe[[#This Row],[GES]],AF639:AF644),"")))</f>
        <v/>
      </c>
      <c r="AV642" s="6" t="e">
        <f>VLOOKUP(Eingabe[[#This Row],[Name]],AuswertungG[],8,FALSE)</f>
        <v>#N/A</v>
      </c>
      <c r="AZ642" s="6" t="str">
        <f>IFERROR(ABS(Eingabe[[#This Row],[GES]]-Eingabe[[#This Row],[GEGGES]]),"")</f>
        <v/>
      </c>
    </row>
    <row r="643" spans="1:52" hidden="1" x14ac:dyDescent="0.3">
      <c r="A643" s="441"/>
      <c r="B643" s="21">
        <f t="shared" si="62"/>
        <v>107</v>
      </c>
      <c r="C643" s="6">
        <f>VLOOKUP($B643,Chronologie[],7,TRUE)</f>
        <v>0</v>
      </c>
      <c r="D643" s="6">
        <f>VLOOKUP($B643,Chronologie[],8,TRUE)</f>
        <v>0</v>
      </c>
      <c r="E643" s="240">
        <f>VLOOKUP($B643,Chronologie[],9,TRUE)</f>
        <v>0</v>
      </c>
      <c r="F643" s="6">
        <f>VLOOKUP($B643,Chronologie[],COLUMN(F644)-2,TRUE)</f>
        <v>0</v>
      </c>
      <c r="G643" s="6">
        <f>VLOOKUP($B643,Chronologie[],COLUMN(G644)-2,TRUE)</f>
        <v>0</v>
      </c>
      <c r="H643" s="6">
        <f>VLOOKUP($B643,Chronologie[],COLUMN(H644)-2,TRUE)</f>
        <v>0</v>
      </c>
      <c r="I643" s="10" t="str">
        <f>VLOOKUP($B643,Chronologie[],2,TRUE)</f>
        <v>--</v>
      </c>
      <c r="J643" s="243">
        <f>VLOOKUP($B643,Chronologie[],3,TRUE)</f>
        <v>0</v>
      </c>
      <c r="K643" s="237"/>
      <c r="L643" s="237"/>
      <c r="M643" s="237"/>
      <c r="N643" s="237"/>
      <c r="O643" s="237"/>
      <c r="P643" s="237"/>
      <c r="Q643" s="237"/>
      <c r="R643" s="237"/>
      <c r="S643" s="237"/>
      <c r="T643" s="237"/>
      <c r="U643" s="237"/>
      <c r="V643" s="237"/>
      <c r="W643" s="237"/>
      <c r="X643" s="38"/>
      <c r="Y643" s="38"/>
      <c r="Z643" s="38"/>
      <c r="AA643" s="38"/>
      <c r="AB643" s="91"/>
      <c r="AC643" s="94" t="str">
        <f>IF(Eingabe[[#This Row],[V1]]="",IF(Eingabe[[#This Row],[Volle alternativ]]="","",Eingabe[[#This Row],[Volle alternativ]]),SUM(Eingabe[[#This Row],[V1]:[V4]]))</f>
        <v/>
      </c>
      <c r="AD643" s="6" t="str">
        <f>IF(Eingabe[[#This Row],[R1]]="",IF(Eingabe[[#This Row],[Räumer alternativ]]="","",Eingabe[[#This Row],[Räumer alternativ]]),SUM(Eingabe[[#This Row],[R1]:[R4]]))</f>
        <v/>
      </c>
      <c r="AE643" s="6" t="str">
        <f>IF(Eingabe[[#This Row],[F1]]="",IF(Eingabe[[#This Row],[Fehler alternativ]]="","",Eingabe[[#This Row],[Fehler alternativ]]),SUM(Eingabe[[#This Row],[F1]:[F4]]))</f>
        <v/>
      </c>
      <c r="AF643" s="6" t="str">
        <f>IF(Eingabe[[#This Row],[Volle]]="","",IF(Eingabe[[#This Row],[S1]]="",Eingabe[[#This Row],[Volle]]+Eingabe[[#This Row],[Räumer]],IF(Eingabe[[#This Row],[Volle]]+Eingabe[[#This Row],[Räumer]]=Eingabe[[#This Row],[S1]]+Eingabe[[#This Row],[S2]]+Eingabe[[#This Row],[S3]]+Eingabe[[#This Row],[S4]],Eingabe[[#This Row],[Volle]]+Eingabe[[#This Row],[Räumer]],"FEHLER")))</f>
        <v/>
      </c>
      <c r="AG643" s="6" t="str">
        <f>IF(Eingabe[[#This Row],[V1]]="","",Eingabe[[#This Row],[V1]]+Eingabe[[#This Row],[R1]])</f>
        <v/>
      </c>
      <c r="AH643" s="6" t="str">
        <f>IF(Eingabe[[#This Row],[V2]]="","",Eingabe[[#This Row],[V2]]+Eingabe[[#This Row],[R2]])</f>
        <v/>
      </c>
      <c r="AI643" s="6" t="str">
        <f>IF(Eingabe[[#This Row],[V3]]="","",Eingabe[[#This Row],[V3]]+Eingabe[[#This Row],[R3]])</f>
        <v/>
      </c>
      <c r="AJ643" s="6" t="str">
        <f>IF(Eingabe[[#This Row],[V4]]="","",Eingabe[[#This Row],[V4]]+Eingabe[[#This Row],[R4]])</f>
        <v/>
      </c>
      <c r="AK643" s="6" t="str">
        <f>IF(Eingabe[[#This Row],[S1P]]="","",Eingabe[[#This Row],[S1P]]+Eingabe[[#This Row],[S2P]]+Eingabe[[#This Row],[S3P]]+Eingabe[[#This Row],[S4P]])</f>
        <v/>
      </c>
      <c r="AL643" s="6" t="str">
        <f>IF(Eingabe[[#This Row],[S1P]]="","",IF(Eingabe[[#This Row],[SP]]&gt;2,1,IF(Eingabe[[#This Row],[SP]]&lt;2,0,IF(Eingabe[[#This Row],[GES]]&gt;Eingabe[[#This Row],[GEGGES]],1,IF(Eingabe[[#This Row],[GES]]=Eingabe[[#This Row],[GEGGES]],0.5,0)))))</f>
        <v/>
      </c>
      <c r="AM643" s="6" t="str">
        <f>IF(Eingabe[[#This Row],[MP]]="","",MOD(ROW(Eingabe[[#This Row],[Position]])-3,6)+1)</f>
        <v/>
      </c>
      <c r="AN643" s="6" t="e">
        <f>STANDARDIZE(Eingabe[[#This Row],[GES]],Eingabe[[#This Row],[Schnitt]],VLOOKUP(Eingabe[[#This Row],[Name]],AuswertungG[],21,FALSE))</f>
        <v>#VALUE!</v>
      </c>
      <c r="AO643" s="6" t="str">
        <f>VLOOKUP(Eingabe[[#This Row],[ID]],Chronologie[[ID]:[KW]],12,FALSE)</f>
        <v/>
      </c>
      <c r="AP643" s="95">
        <f>IF(Eingabe[[#This Row],[Wo]]="H",Eingabe[[#This Row],[Gegner]]&amp;" ["&amp;Eingabe[[#This Row],[Wo]]&amp;"]",Eingabe[[#This Row],[Ort]])</f>
        <v>0</v>
      </c>
      <c r="AQ643" s="6" t="str">
        <f>IFERROR(IF(Eingabe[[#This Row],[Wo]]="H",IF(MOD(Eingabe[[#This Row],[Position]],2)=1,Eingabe[[#This Row],[S1]],Eingabe[[#This Row],[S4]]),""),"")</f>
        <v/>
      </c>
      <c r="AR643" s="6" t="str">
        <f>IFERROR(IF(Eingabe[[#This Row],[Wo]]="H",IF(Eingabe[[#This Row],[S1]]&gt;0,IF(MOD(Eingabe[[#This Row],[Position]],2)=1,Eingabe[[#This Row],[S2]],Eingabe[[#This Row],[S3]]),""),""),"")</f>
        <v/>
      </c>
      <c r="AS643" s="6" t="str">
        <f>IFERROR(IF(Eingabe[[#This Row],[Wo]]="H",IF(Eingabe[[#This Row],[S1]]&gt;0,IF(MOD(ROW(Eingabe[[#This Row],[Heimbahn 3]]),2)=1,Eingabe[[#This Row],[S4]],Eingabe[[#This Row],[S1]]),""),""),"")</f>
        <v/>
      </c>
      <c r="AT643" s="6" t="str">
        <f>IFERROR(IF(Eingabe[[#This Row],[Wo]]="H",IF(Eingabe[[#This Row],[S1]]&gt;0,IF(MOD(ROW(Eingabe[[#This Row],[Heimbahn 4]]),2)=1,Eingabe[[#This Row],[S3]],Eingabe[[#This Row],[S2]]),""),""),"")</f>
        <v/>
      </c>
      <c r="AU643" s="22" t="str">
        <f>IF(Eingabe[[#This Row],[GES]]="","",IF(Eingabe[[#This Row],[Modus]]="L",_xlfn.RANK.EQ(Eingabe[[#This Row],[GES]],AF639:AF644),IF(Eingabe[[#This Row],[Modus]]="P",_xlfn.RANK.EQ(Eingabe[[#This Row],[GES]],AF639:AF644),"")))</f>
        <v/>
      </c>
      <c r="AV643" s="6" t="e">
        <f>VLOOKUP(Eingabe[[#This Row],[Name]],AuswertungG[],8,FALSE)</f>
        <v>#N/A</v>
      </c>
      <c r="AZ643" s="6" t="str">
        <f>IFERROR(ABS(Eingabe[[#This Row],[GES]]-Eingabe[[#This Row],[GEGGES]]),"")</f>
        <v/>
      </c>
    </row>
    <row r="644" spans="1:52" ht="16.2" hidden="1" thickBot="1" x14ac:dyDescent="0.35">
      <c r="A644" s="442"/>
      <c r="B644" s="56">
        <f t="shared" si="62"/>
        <v>107</v>
      </c>
      <c r="C644" s="23">
        <f>VLOOKUP($B644,Chronologie[],7,TRUE)</f>
        <v>0</v>
      </c>
      <c r="D644" s="23">
        <f>VLOOKUP($B644,Chronologie[],8,TRUE)</f>
        <v>0</v>
      </c>
      <c r="E644" s="39">
        <f>VLOOKUP($B644,Chronologie[],9,TRUE)</f>
        <v>0</v>
      </c>
      <c r="F644" s="23">
        <f>VLOOKUP($B644,Chronologie[],COLUMN(F645)-2,TRUE)</f>
        <v>0</v>
      </c>
      <c r="G644" s="23">
        <f>VLOOKUP($B644,Chronologie[],COLUMN(G645)-2,TRUE)</f>
        <v>0</v>
      </c>
      <c r="H644" s="23">
        <f>VLOOKUP($B644,Chronologie[],COLUMN(H645)-2,TRUE)</f>
        <v>0</v>
      </c>
      <c r="I644" s="13" t="str">
        <f>VLOOKUP($B644,Chronologie[],2,TRUE)</f>
        <v>--</v>
      </c>
      <c r="J644" s="244">
        <f>VLOOKUP($B644,Chronologie[],3,TRUE)</f>
        <v>0</v>
      </c>
      <c r="K644" s="239"/>
      <c r="L644" s="239"/>
      <c r="M644" s="239"/>
      <c r="N644" s="239"/>
      <c r="O644" s="239"/>
      <c r="P644" s="239"/>
      <c r="Q644" s="239"/>
      <c r="R644" s="239"/>
      <c r="S644" s="239"/>
      <c r="T644" s="239"/>
      <c r="U644" s="239"/>
      <c r="V644" s="239"/>
      <c r="W644" s="239"/>
      <c r="X644" s="40"/>
      <c r="Y644" s="40"/>
      <c r="Z644" s="40"/>
      <c r="AA644" s="40"/>
      <c r="AB644" s="92"/>
      <c r="AC644" s="96" t="str">
        <f>IF(Eingabe[[#This Row],[V1]]="",IF(Eingabe[[#This Row],[Volle alternativ]]="","",Eingabe[[#This Row],[Volle alternativ]]),SUM(Eingabe[[#This Row],[V1]:[V4]]))</f>
        <v/>
      </c>
      <c r="AD644" s="23" t="str">
        <f>IF(Eingabe[[#This Row],[R1]]="",IF(Eingabe[[#This Row],[Räumer alternativ]]="","",Eingabe[[#This Row],[Räumer alternativ]]),SUM(Eingabe[[#This Row],[R1]:[R4]]))</f>
        <v/>
      </c>
      <c r="AE644" s="23" t="str">
        <f>IF(Eingabe[[#This Row],[F1]]="",IF(Eingabe[[#This Row],[Fehler alternativ]]="","",Eingabe[[#This Row],[Fehler alternativ]]),SUM(Eingabe[[#This Row],[F1]:[F4]]))</f>
        <v/>
      </c>
      <c r="AF644" s="23" t="str">
        <f>IF(Eingabe[[#This Row],[Volle]]="","",IF(Eingabe[[#This Row],[S1]]="",Eingabe[[#This Row],[Volle]]+Eingabe[[#This Row],[Räumer]],IF(Eingabe[[#This Row],[Volle]]+Eingabe[[#This Row],[Räumer]]=Eingabe[[#This Row],[S1]]+Eingabe[[#This Row],[S2]]+Eingabe[[#This Row],[S3]]+Eingabe[[#This Row],[S4]],Eingabe[[#This Row],[Volle]]+Eingabe[[#This Row],[Räumer]],"FEHLER")))</f>
        <v/>
      </c>
      <c r="AG644" s="23" t="str">
        <f>IF(Eingabe[[#This Row],[V1]]="","",Eingabe[[#This Row],[V1]]+Eingabe[[#This Row],[R1]])</f>
        <v/>
      </c>
      <c r="AH644" s="23" t="str">
        <f>IF(Eingabe[[#This Row],[V2]]="","",Eingabe[[#This Row],[V2]]+Eingabe[[#This Row],[R2]])</f>
        <v/>
      </c>
      <c r="AI644" s="23" t="str">
        <f>IF(Eingabe[[#This Row],[V3]]="","",Eingabe[[#This Row],[V3]]+Eingabe[[#This Row],[R3]])</f>
        <v/>
      </c>
      <c r="AJ644" s="23" t="str">
        <f>IF(Eingabe[[#This Row],[V4]]="","",Eingabe[[#This Row],[V4]]+Eingabe[[#This Row],[R4]])</f>
        <v/>
      </c>
      <c r="AK644" s="23" t="str">
        <f>IF(Eingabe[[#This Row],[S1P]]="","",Eingabe[[#This Row],[S1P]]+Eingabe[[#This Row],[S2P]]+Eingabe[[#This Row],[S3P]]+Eingabe[[#This Row],[S4P]])</f>
        <v/>
      </c>
      <c r="AL644" s="23" t="str">
        <f>IF(Eingabe[[#This Row],[S1P]]="","",IF(Eingabe[[#This Row],[SP]]&gt;2,1,IF(Eingabe[[#This Row],[SP]]&lt;2,0,IF(Eingabe[[#This Row],[GES]]&gt;Eingabe[[#This Row],[GEGGES]],1,IF(Eingabe[[#This Row],[GES]]=Eingabe[[#This Row],[GEGGES]],0.5,0)))))</f>
        <v/>
      </c>
      <c r="AM644" s="23" t="str">
        <f>IF(Eingabe[[#This Row],[MP]]="","",MOD(ROW(Eingabe[[#This Row],[Position]])-3,6)+1)</f>
        <v/>
      </c>
      <c r="AN644" s="23" t="e">
        <f>STANDARDIZE(Eingabe[[#This Row],[GES]],Eingabe[[#This Row],[Schnitt]],VLOOKUP(Eingabe[[#This Row],[Name]],AuswertungG[],21,FALSE))</f>
        <v>#VALUE!</v>
      </c>
      <c r="AO644" s="23" t="str">
        <f>VLOOKUP(Eingabe[[#This Row],[ID]],Chronologie[[ID]:[KW]],12,FALSE)</f>
        <v/>
      </c>
      <c r="AP644" s="59">
        <f>IF(Eingabe[[#This Row],[Wo]]="H",Eingabe[[#This Row],[Gegner]]&amp;" ["&amp;Eingabe[[#This Row],[Wo]]&amp;"]",Eingabe[[#This Row],[Ort]])</f>
        <v>0</v>
      </c>
      <c r="AQ644" s="23" t="str">
        <f>IFERROR(IF(Eingabe[[#This Row],[Wo]]="H",IF(MOD(Eingabe[[#This Row],[Position]],2)=1,Eingabe[[#This Row],[S1]],Eingabe[[#This Row],[S4]]),""),"")</f>
        <v/>
      </c>
      <c r="AR644" s="23" t="str">
        <f>IFERROR(IF(Eingabe[[#This Row],[Wo]]="H",IF(Eingabe[[#This Row],[S1]]&gt;0,IF(MOD(Eingabe[[#This Row],[Position]],2)=1,Eingabe[[#This Row],[S2]],Eingabe[[#This Row],[S3]]),""),""),"")</f>
        <v/>
      </c>
      <c r="AS644" s="23" t="str">
        <f>IFERROR(IF(Eingabe[[#This Row],[Wo]]="H",IF(Eingabe[[#This Row],[S1]]&gt;0,IF(MOD(ROW(Eingabe[[#This Row],[Heimbahn 3]]),2)=1,Eingabe[[#This Row],[S4]],Eingabe[[#This Row],[S1]]),""),""),"")</f>
        <v/>
      </c>
      <c r="AT644" s="23" t="str">
        <f>IFERROR(IF(Eingabe[[#This Row],[Wo]]="H",IF(Eingabe[[#This Row],[S1]]&gt;0,IF(MOD(ROW(Eingabe[[#This Row],[Heimbahn 4]]),2)=1,Eingabe[[#This Row],[S3]],Eingabe[[#This Row],[S2]]),""),""),"")</f>
        <v/>
      </c>
      <c r="AU644" s="89" t="str">
        <f>IF(Eingabe[[#This Row],[GES]]="","",IF(Eingabe[[#This Row],[Modus]]="L",_xlfn.RANK.EQ(Eingabe[[#This Row],[GES]],AF639:AF644),IF(Eingabe[[#This Row],[Modus]]="P",_xlfn.RANK.EQ(Eingabe[[#This Row],[GES]],AF639:AF644),"")))</f>
        <v/>
      </c>
      <c r="AV644" s="6" t="e">
        <f>VLOOKUP(Eingabe[[#This Row],[Name]],AuswertungG[],8,FALSE)</f>
        <v>#N/A</v>
      </c>
      <c r="AZ644" s="6" t="str">
        <f>IFERROR(ABS(Eingabe[[#This Row],[GES]]-Eingabe[[#This Row],[GEGGES]]),"")</f>
        <v/>
      </c>
    </row>
    <row r="645" spans="1:52" hidden="1" x14ac:dyDescent="0.3">
      <c r="A645" s="440">
        <f t="shared" ref="A645" si="64">B645</f>
        <v>108</v>
      </c>
      <c r="B645" s="55">
        <f t="shared" si="62"/>
        <v>108</v>
      </c>
      <c r="C645" s="35">
        <f>VLOOKUP($B645,Chronologie[],7,TRUE)</f>
        <v>0</v>
      </c>
      <c r="D645" s="35">
        <f>VLOOKUP($B645,Chronologie[],8,TRUE)</f>
        <v>0</v>
      </c>
      <c r="E645" s="36">
        <f>VLOOKUP($B645,Chronologie[],9,TRUE)</f>
        <v>0</v>
      </c>
      <c r="F645" s="35">
        <f>VLOOKUP($B645,Chronologie[],COLUMN(F646)-2,TRUE)</f>
        <v>0</v>
      </c>
      <c r="G645" s="35">
        <f>VLOOKUP($B645,Chronologie[],COLUMN(G646)-2,TRUE)</f>
        <v>0</v>
      </c>
      <c r="H645" s="35">
        <f>VLOOKUP($B645,Chronologie[],COLUMN(H646)-2,TRUE)</f>
        <v>0</v>
      </c>
      <c r="I645" s="9" t="str">
        <f>VLOOKUP($B645,Chronologie[],2,TRUE)</f>
        <v>--</v>
      </c>
      <c r="J645" s="242">
        <f>VLOOKUP($B645,Chronologie[],3,TRUE)</f>
        <v>0</v>
      </c>
      <c r="K645" s="236"/>
      <c r="L645" s="334"/>
      <c r="M645" s="334"/>
      <c r="N645" s="334"/>
      <c r="O645" s="334"/>
      <c r="P645" s="334"/>
      <c r="Q645" s="334"/>
      <c r="R645" s="334"/>
      <c r="S645" s="334"/>
      <c r="T645" s="334"/>
      <c r="U645" s="334"/>
      <c r="V645" s="334"/>
      <c r="W645" s="334"/>
      <c r="X645" s="37"/>
      <c r="Y645" s="37"/>
      <c r="Z645" s="37"/>
      <c r="AA645" s="37"/>
      <c r="AB645" s="90"/>
      <c r="AC645" s="93" t="str">
        <f>IF(Eingabe[[#This Row],[V1]]="",IF(Eingabe[[#This Row],[Volle alternativ]]="","",Eingabe[[#This Row],[Volle alternativ]]),SUM(Eingabe[[#This Row],[V1]:[V4]]))</f>
        <v/>
      </c>
      <c r="AD645" s="35" t="str">
        <f>IF(Eingabe[[#This Row],[R1]]="",IF(Eingabe[[#This Row],[Räumer alternativ]]="","",Eingabe[[#This Row],[Räumer alternativ]]),SUM(Eingabe[[#This Row],[R1]:[R4]]))</f>
        <v/>
      </c>
      <c r="AE645" s="35" t="str">
        <f>IF(Eingabe[[#This Row],[F1]]="",IF(Eingabe[[#This Row],[Fehler alternativ]]="","",Eingabe[[#This Row],[Fehler alternativ]]),SUM(Eingabe[[#This Row],[F1]:[F4]]))</f>
        <v/>
      </c>
      <c r="AF645" s="35" t="str">
        <f>IF(Eingabe[[#This Row],[Volle]]="","",IF(Eingabe[[#This Row],[S1]]="",Eingabe[[#This Row],[Volle]]+Eingabe[[#This Row],[Räumer]],IF(Eingabe[[#This Row],[Volle]]+Eingabe[[#This Row],[Räumer]]=Eingabe[[#This Row],[S1]]+Eingabe[[#This Row],[S2]]+Eingabe[[#This Row],[S3]]+Eingabe[[#This Row],[S4]],Eingabe[[#This Row],[Volle]]+Eingabe[[#This Row],[Räumer]],"FEHLER")))</f>
        <v/>
      </c>
      <c r="AG645" s="35" t="str">
        <f>IF(Eingabe[[#This Row],[V1]]="","",Eingabe[[#This Row],[V1]]+Eingabe[[#This Row],[R1]])</f>
        <v/>
      </c>
      <c r="AH645" s="35" t="str">
        <f>IF(Eingabe[[#This Row],[V2]]="","",Eingabe[[#This Row],[V2]]+Eingabe[[#This Row],[R2]])</f>
        <v/>
      </c>
      <c r="AI645" s="35" t="str">
        <f>IF(Eingabe[[#This Row],[V3]]="","",Eingabe[[#This Row],[V3]]+Eingabe[[#This Row],[R3]])</f>
        <v/>
      </c>
      <c r="AJ645" s="35" t="str">
        <f>IF(Eingabe[[#This Row],[V4]]="","",Eingabe[[#This Row],[V4]]+Eingabe[[#This Row],[R4]])</f>
        <v/>
      </c>
      <c r="AK645" s="35" t="str">
        <f>IF(Eingabe[[#This Row],[S1P]]="","",Eingabe[[#This Row],[S1P]]+Eingabe[[#This Row],[S2P]]+Eingabe[[#This Row],[S3P]]+Eingabe[[#This Row],[S4P]])</f>
        <v/>
      </c>
      <c r="AL645" s="35" t="str">
        <f>IF(Eingabe[[#This Row],[S1P]]="","",IF(Eingabe[[#This Row],[SP]]&gt;2,1,IF(Eingabe[[#This Row],[SP]]&lt;2,0,IF(Eingabe[[#This Row],[GES]]&gt;Eingabe[[#This Row],[GEGGES]],1,IF(Eingabe[[#This Row],[GES]]=Eingabe[[#This Row],[GEGGES]],0.5,0)))))</f>
        <v/>
      </c>
      <c r="AM645" s="35" t="str">
        <f>IF(Eingabe[[#This Row],[MP]]="","",MOD(ROW(Eingabe[[#This Row],[Position]])-3,6)+1)</f>
        <v/>
      </c>
      <c r="AN645" s="35" t="e">
        <f>STANDARDIZE(Eingabe[[#This Row],[GES]],Eingabe[[#This Row],[Schnitt]],VLOOKUP(Eingabe[[#This Row],[Name]],AuswertungG[],21,FALSE))</f>
        <v>#VALUE!</v>
      </c>
      <c r="AO645" s="35" t="str">
        <f>VLOOKUP(Eingabe[[#This Row],[ID]],Chronologie[[ID]:[KW]],12,FALSE)</f>
        <v/>
      </c>
      <c r="AP645" s="58">
        <f>IF(Eingabe[[#This Row],[Wo]]="H",Eingabe[[#This Row],[Gegner]]&amp;" ["&amp;Eingabe[[#This Row],[Wo]]&amp;"]",Eingabe[[#This Row],[Ort]])</f>
        <v>0</v>
      </c>
      <c r="AQ645" s="35" t="str">
        <f>IFERROR(IF(Eingabe[[#This Row],[Wo]]="H",IF(MOD(Eingabe[[#This Row],[Position]],2)=1,Eingabe[[#This Row],[S1]],Eingabe[[#This Row],[S4]]),""),"")</f>
        <v/>
      </c>
      <c r="AR645" s="35" t="str">
        <f>IFERROR(IF(Eingabe[[#This Row],[Wo]]="H",IF(Eingabe[[#This Row],[S1]]&gt;0,IF(MOD(Eingabe[[#This Row],[Position]],2)=1,Eingabe[[#This Row],[S2]],Eingabe[[#This Row],[S3]]),""),""),"")</f>
        <v/>
      </c>
      <c r="AS645" s="35" t="str">
        <f>IFERROR(IF(Eingabe[[#This Row],[Wo]]="H",IF(Eingabe[[#This Row],[S1]]&gt;0,IF(MOD(ROW(Eingabe[[#This Row],[Heimbahn 3]]),2)=1,Eingabe[[#This Row],[S4]],Eingabe[[#This Row],[S1]]),""),""),"")</f>
        <v/>
      </c>
      <c r="AT645" s="35" t="str">
        <f>IFERROR(IF(Eingabe[[#This Row],[Wo]]="H",IF(Eingabe[[#This Row],[S1]]&gt;0,IF(MOD(ROW(Eingabe[[#This Row],[Heimbahn 4]]),2)=1,Eingabe[[#This Row],[S3]],Eingabe[[#This Row],[S2]]),""),""),"")</f>
        <v/>
      </c>
      <c r="AU645" s="88" t="str">
        <f>IF(Eingabe[[#This Row],[GES]]="","",IF(Eingabe[[#This Row],[Modus]]="L",_xlfn.RANK.EQ(Eingabe[[#This Row],[GES]],AF645:AF650),IF(Eingabe[[#This Row],[Modus]]="P",_xlfn.RANK.EQ(Eingabe[[#This Row],[GES]],AF645:AF650),"")))</f>
        <v/>
      </c>
      <c r="AV645" s="6" t="e">
        <f>VLOOKUP(Eingabe[[#This Row],[Name]],AuswertungG[],8,FALSE)</f>
        <v>#N/A</v>
      </c>
      <c r="AZ645" s="6" t="str">
        <f>IFERROR(ABS(Eingabe[[#This Row],[GES]]-Eingabe[[#This Row],[GEGGES]]),"")</f>
        <v/>
      </c>
    </row>
    <row r="646" spans="1:52" hidden="1" x14ac:dyDescent="0.3">
      <c r="A646" s="441"/>
      <c r="B646" s="21">
        <f t="shared" si="62"/>
        <v>108</v>
      </c>
      <c r="C646" s="6">
        <f>VLOOKUP($B646,Chronologie[],7,TRUE)</f>
        <v>0</v>
      </c>
      <c r="D646" s="6">
        <f>VLOOKUP($B646,Chronologie[],8,TRUE)</f>
        <v>0</v>
      </c>
      <c r="E646" s="240">
        <f>VLOOKUP($B646,Chronologie[],9,TRUE)</f>
        <v>0</v>
      </c>
      <c r="F646" s="6">
        <f>VLOOKUP($B646,Chronologie[],COLUMN(F647)-2,TRUE)</f>
        <v>0</v>
      </c>
      <c r="G646" s="6">
        <f>VLOOKUP($B646,Chronologie[],COLUMN(G647)-2,TRUE)</f>
        <v>0</v>
      </c>
      <c r="H646" s="6">
        <f>VLOOKUP($B646,Chronologie[],COLUMN(H647)-2,TRUE)</f>
        <v>0</v>
      </c>
      <c r="I646" s="10" t="str">
        <f>VLOOKUP($B646,Chronologie[],2,TRUE)</f>
        <v>--</v>
      </c>
      <c r="J646" s="243">
        <f>VLOOKUP($B646,Chronologie[],3,TRUE)</f>
        <v>0</v>
      </c>
      <c r="K646" s="237"/>
      <c r="L646" s="237"/>
      <c r="M646" s="237"/>
      <c r="N646" s="237"/>
      <c r="O646" s="237"/>
      <c r="P646" s="237"/>
      <c r="Q646" s="237"/>
      <c r="R646" s="237"/>
      <c r="S646" s="237"/>
      <c r="T646" s="237"/>
      <c r="U646" s="237"/>
      <c r="V646" s="237"/>
      <c r="W646" s="237"/>
      <c r="X646" s="38"/>
      <c r="Y646" s="38"/>
      <c r="Z646" s="38"/>
      <c r="AA646" s="38"/>
      <c r="AB646" s="91"/>
      <c r="AC646" s="94" t="str">
        <f>IF(Eingabe[[#This Row],[V1]]="",IF(Eingabe[[#This Row],[Volle alternativ]]="","",Eingabe[[#This Row],[Volle alternativ]]),SUM(Eingabe[[#This Row],[V1]:[V4]]))</f>
        <v/>
      </c>
      <c r="AD646" s="6" t="str">
        <f>IF(Eingabe[[#This Row],[R1]]="",IF(Eingabe[[#This Row],[Räumer alternativ]]="","",Eingabe[[#This Row],[Räumer alternativ]]),SUM(Eingabe[[#This Row],[R1]:[R4]]))</f>
        <v/>
      </c>
      <c r="AE646" s="6" t="str">
        <f>IF(Eingabe[[#This Row],[F1]]="",IF(Eingabe[[#This Row],[Fehler alternativ]]="","",Eingabe[[#This Row],[Fehler alternativ]]),SUM(Eingabe[[#This Row],[F1]:[F4]]))</f>
        <v/>
      </c>
      <c r="AF646" s="6" t="str">
        <f>IF(Eingabe[[#This Row],[Volle]]="","",IF(Eingabe[[#This Row],[S1]]="",Eingabe[[#This Row],[Volle]]+Eingabe[[#This Row],[Räumer]],IF(Eingabe[[#This Row],[Volle]]+Eingabe[[#This Row],[Räumer]]=Eingabe[[#This Row],[S1]]+Eingabe[[#This Row],[S2]]+Eingabe[[#This Row],[S3]]+Eingabe[[#This Row],[S4]],Eingabe[[#This Row],[Volle]]+Eingabe[[#This Row],[Räumer]],"FEHLER")))</f>
        <v/>
      </c>
      <c r="AG646" s="6" t="str">
        <f>IF(Eingabe[[#This Row],[V1]]="","",Eingabe[[#This Row],[V1]]+Eingabe[[#This Row],[R1]])</f>
        <v/>
      </c>
      <c r="AH646" s="6" t="str">
        <f>IF(Eingabe[[#This Row],[V2]]="","",Eingabe[[#This Row],[V2]]+Eingabe[[#This Row],[R2]])</f>
        <v/>
      </c>
      <c r="AI646" s="6" t="str">
        <f>IF(Eingabe[[#This Row],[V3]]="","",Eingabe[[#This Row],[V3]]+Eingabe[[#This Row],[R3]])</f>
        <v/>
      </c>
      <c r="AJ646" s="6" t="str">
        <f>IF(Eingabe[[#This Row],[V4]]="","",Eingabe[[#This Row],[V4]]+Eingabe[[#This Row],[R4]])</f>
        <v/>
      </c>
      <c r="AK646" s="6" t="str">
        <f>IF(Eingabe[[#This Row],[S1P]]="","",Eingabe[[#This Row],[S1P]]+Eingabe[[#This Row],[S2P]]+Eingabe[[#This Row],[S3P]]+Eingabe[[#This Row],[S4P]])</f>
        <v/>
      </c>
      <c r="AL646" s="6" t="str">
        <f>IF(Eingabe[[#This Row],[S1P]]="","",IF(Eingabe[[#This Row],[SP]]&gt;2,1,IF(Eingabe[[#This Row],[SP]]&lt;2,0,IF(Eingabe[[#This Row],[GES]]&gt;Eingabe[[#This Row],[GEGGES]],1,IF(Eingabe[[#This Row],[GES]]=Eingabe[[#This Row],[GEGGES]],0.5,0)))))</f>
        <v/>
      </c>
      <c r="AM646" s="6" t="str">
        <f>IF(Eingabe[[#This Row],[MP]]="","",MOD(ROW(Eingabe[[#This Row],[Position]])-3,6)+1)</f>
        <v/>
      </c>
      <c r="AN646" s="6" t="e">
        <f>STANDARDIZE(Eingabe[[#This Row],[GES]],Eingabe[[#This Row],[Schnitt]],VLOOKUP(Eingabe[[#This Row],[Name]],AuswertungG[],21,FALSE))</f>
        <v>#VALUE!</v>
      </c>
      <c r="AO646" s="6" t="str">
        <f>VLOOKUP(Eingabe[[#This Row],[ID]],Chronologie[[ID]:[KW]],12,FALSE)</f>
        <v/>
      </c>
      <c r="AP646" s="95">
        <f>IF(Eingabe[[#This Row],[Wo]]="H",Eingabe[[#This Row],[Gegner]]&amp;" ["&amp;Eingabe[[#This Row],[Wo]]&amp;"]",Eingabe[[#This Row],[Ort]])</f>
        <v>0</v>
      </c>
      <c r="AQ646" s="6" t="str">
        <f>IFERROR(IF(Eingabe[[#This Row],[Wo]]="H",IF(MOD(Eingabe[[#This Row],[Position]],2)=1,Eingabe[[#This Row],[S1]],Eingabe[[#This Row],[S4]]),""),"")</f>
        <v/>
      </c>
      <c r="AR646" s="6" t="str">
        <f>IFERROR(IF(Eingabe[[#This Row],[Wo]]="H",IF(Eingabe[[#This Row],[S1]]&gt;0,IF(MOD(Eingabe[[#This Row],[Position]],2)=1,Eingabe[[#This Row],[S2]],Eingabe[[#This Row],[S3]]),""),""),"")</f>
        <v/>
      </c>
      <c r="AS646" s="6" t="str">
        <f>IFERROR(IF(Eingabe[[#This Row],[Wo]]="H",IF(Eingabe[[#This Row],[S1]]&gt;0,IF(MOD(ROW(Eingabe[[#This Row],[Heimbahn 3]]),2)=1,Eingabe[[#This Row],[S4]],Eingabe[[#This Row],[S1]]),""),""),"")</f>
        <v/>
      </c>
      <c r="AT646" s="6" t="str">
        <f>IFERROR(IF(Eingabe[[#This Row],[Wo]]="H",IF(Eingabe[[#This Row],[S1]]&gt;0,IF(MOD(ROW(Eingabe[[#This Row],[Heimbahn 4]]),2)=1,Eingabe[[#This Row],[S3]],Eingabe[[#This Row],[S2]]),""),""),"")</f>
        <v/>
      </c>
      <c r="AU646" s="22" t="str">
        <f>IF(Eingabe[[#This Row],[GES]]="","",IF(Eingabe[[#This Row],[Modus]]="L",_xlfn.RANK.EQ(Eingabe[[#This Row],[GES]],AF645:AF650),IF(Eingabe[[#This Row],[Modus]]="P",_xlfn.RANK.EQ(Eingabe[[#This Row],[GES]],AF645:AF650),"")))</f>
        <v/>
      </c>
      <c r="AV646" s="6" t="e">
        <f>VLOOKUP(Eingabe[[#This Row],[Name]],AuswertungG[],8,FALSE)</f>
        <v>#N/A</v>
      </c>
      <c r="AZ646" s="6" t="str">
        <f>IFERROR(ABS(Eingabe[[#This Row],[GES]]-Eingabe[[#This Row],[GEGGES]]),"")</f>
        <v/>
      </c>
    </row>
    <row r="647" spans="1:52" hidden="1" x14ac:dyDescent="0.3">
      <c r="A647" s="441"/>
      <c r="B647" s="21">
        <f t="shared" si="62"/>
        <v>108</v>
      </c>
      <c r="C647" s="6">
        <f>VLOOKUP($B647,Chronologie[],7,TRUE)</f>
        <v>0</v>
      </c>
      <c r="D647" s="6">
        <f>VLOOKUP($B647,Chronologie[],8,TRUE)</f>
        <v>0</v>
      </c>
      <c r="E647" s="240">
        <f>VLOOKUP($B647,Chronologie[],9,TRUE)</f>
        <v>0</v>
      </c>
      <c r="F647" s="6">
        <f>VLOOKUP($B647,Chronologie[],COLUMN(F648)-2,TRUE)</f>
        <v>0</v>
      </c>
      <c r="G647" s="6">
        <f>VLOOKUP($B647,Chronologie[],COLUMN(G648)-2,TRUE)</f>
        <v>0</v>
      </c>
      <c r="H647" s="6">
        <f>VLOOKUP($B647,Chronologie[],COLUMN(H648)-2,TRUE)</f>
        <v>0</v>
      </c>
      <c r="I647" s="10" t="str">
        <f>VLOOKUP($B647,Chronologie[],2,TRUE)</f>
        <v>--</v>
      </c>
      <c r="J647" s="243">
        <f>VLOOKUP($B647,Chronologie[],3,TRUE)</f>
        <v>0</v>
      </c>
      <c r="K647" s="237"/>
      <c r="L647" s="237"/>
      <c r="M647" s="237"/>
      <c r="N647" s="237"/>
      <c r="O647" s="237"/>
      <c r="P647" s="237"/>
      <c r="Q647" s="237"/>
      <c r="R647" s="237"/>
      <c r="S647" s="237"/>
      <c r="T647" s="237"/>
      <c r="U647" s="237"/>
      <c r="V647" s="237"/>
      <c r="W647" s="237"/>
      <c r="X647" s="38"/>
      <c r="Y647" s="38"/>
      <c r="Z647" s="38"/>
      <c r="AA647" s="38"/>
      <c r="AB647" s="91"/>
      <c r="AC647" s="94" t="str">
        <f>IF(Eingabe[[#This Row],[V1]]="",IF(Eingabe[[#This Row],[Volle alternativ]]="","",Eingabe[[#This Row],[Volle alternativ]]),SUM(Eingabe[[#This Row],[V1]:[V4]]))</f>
        <v/>
      </c>
      <c r="AD647" s="6" t="str">
        <f>IF(Eingabe[[#This Row],[R1]]="",IF(Eingabe[[#This Row],[Räumer alternativ]]="","",Eingabe[[#This Row],[Räumer alternativ]]),SUM(Eingabe[[#This Row],[R1]:[R4]]))</f>
        <v/>
      </c>
      <c r="AE647" s="6" t="str">
        <f>IF(Eingabe[[#This Row],[F1]]="",IF(Eingabe[[#This Row],[Fehler alternativ]]="","",Eingabe[[#This Row],[Fehler alternativ]]),SUM(Eingabe[[#This Row],[F1]:[F4]]))</f>
        <v/>
      </c>
      <c r="AF647" s="6" t="str">
        <f>IF(Eingabe[[#This Row],[Volle]]="","",IF(Eingabe[[#This Row],[S1]]="",Eingabe[[#This Row],[Volle]]+Eingabe[[#This Row],[Räumer]],IF(Eingabe[[#This Row],[Volle]]+Eingabe[[#This Row],[Räumer]]=Eingabe[[#This Row],[S1]]+Eingabe[[#This Row],[S2]]+Eingabe[[#This Row],[S3]]+Eingabe[[#This Row],[S4]],Eingabe[[#This Row],[Volle]]+Eingabe[[#This Row],[Räumer]],"FEHLER")))</f>
        <v/>
      </c>
      <c r="AG647" s="6" t="str">
        <f>IF(Eingabe[[#This Row],[V1]]="","",Eingabe[[#This Row],[V1]]+Eingabe[[#This Row],[R1]])</f>
        <v/>
      </c>
      <c r="AH647" s="6" t="str">
        <f>IF(Eingabe[[#This Row],[V2]]="","",Eingabe[[#This Row],[V2]]+Eingabe[[#This Row],[R2]])</f>
        <v/>
      </c>
      <c r="AI647" s="6" t="str">
        <f>IF(Eingabe[[#This Row],[V3]]="","",Eingabe[[#This Row],[V3]]+Eingabe[[#This Row],[R3]])</f>
        <v/>
      </c>
      <c r="AJ647" s="6" t="str">
        <f>IF(Eingabe[[#This Row],[V4]]="","",Eingabe[[#This Row],[V4]]+Eingabe[[#This Row],[R4]])</f>
        <v/>
      </c>
      <c r="AK647" s="6" t="str">
        <f>IF(Eingabe[[#This Row],[S1P]]="","",Eingabe[[#This Row],[S1P]]+Eingabe[[#This Row],[S2P]]+Eingabe[[#This Row],[S3P]]+Eingabe[[#This Row],[S4P]])</f>
        <v/>
      </c>
      <c r="AL647" s="6" t="str">
        <f>IF(Eingabe[[#This Row],[S1P]]="","",IF(Eingabe[[#This Row],[SP]]&gt;2,1,IF(Eingabe[[#This Row],[SP]]&lt;2,0,IF(Eingabe[[#This Row],[GES]]&gt;Eingabe[[#This Row],[GEGGES]],1,IF(Eingabe[[#This Row],[GES]]=Eingabe[[#This Row],[GEGGES]],0.5,0)))))</f>
        <v/>
      </c>
      <c r="AM647" s="6" t="str">
        <f>IF(Eingabe[[#This Row],[MP]]="","",MOD(ROW(Eingabe[[#This Row],[Position]])-3,6)+1)</f>
        <v/>
      </c>
      <c r="AN647" s="6" t="e">
        <f>STANDARDIZE(Eingabe[[#This Row],[GES]],Eingabe[[#This Row],[Schnitt]],VLOOKUP(Eingabe[[#This Row],[Name]],AuswertungG[],21,FALSE))</f>
        <v>#VALUE!</v>
      </c>
      <c r="AO647" s="6" t="str">
        <f>VLOOKUP(Eingabe[[#This Row],[ID]],Chronologie[[ID]:[KW]],12,FALSE)</f>
        <v/>
      </c>
      <c r="AP647" s="95">
        <f>IF(Eingabe[[#This Row],[Wo]]="H",Eingabe[[#This Row],[Gegner]]&amp;" ["&amp;Eingabe[[#This Row],[Wo]]&amp;"]",Eingabe[[#This Row],[Ort]])</f>
        <v>0</v>
      </c>
      <c r="AQ647" s="6" t="str">
        <f>IFERROR(IF(Eingabe[[#This Row],[Wo]]="H",IF(MOD(Eingabe[[#This Row],[Position]],2)=1,Eingabe[[#This Row],[S1]],Eingabe[[#This Row],[S4]]),""),"")</f>
        <v/>
      </c>
      <c r="AR647" s="6" t="str">
        <f>IFERROR(IF(Eingabe[[#This Row],[Wo]]="H",IF(Eingabe[[#This Row],[S1]]&gt;0,IF(MOD(Eingabe[[#This Row],[Position]],2)=1,Eingabe[[#This Row],[S2]],Eingabe[[#This Row],[S3]]),""),""),"")</f>
        <v/>
      </c>
      <c r="AS647" s="6" t="str">
        <f>IFERROR(IF(Eingabe[[#This Row],[Wo]]="H",IF(Eingabe[[#This Row],[S1]]&gt;0,IF(MOD(ROW(Eingabe[[#This Row],[Heimbahn 3]]),2)=1,Eingabe[[#This Row],[S4]],Eingabe[[#This Row],[S1]]),""),""),"")</f>
        <v/>
      </c>
      <c r="AT647" s="6" t="str">
        <f>IFERROR(IF(Eingabe[[#This Row],[Wo]]="H",IF(Eingabe[[#This Row],[S1]]&gt;0,IF(MOD(ROW(Eingabe[[#This Row],[Heimbahn 4]]),2)=1,Eingabe[[#This Row],[S3]],Eingabe[[#This Row],[S2]]),""),""),"")</f>
        <v/>
      </c>
      <c r="AU647" s="22" t="str">
        <f>IF(Eingabe[[#This Row],[GES]]="","",IF(Eingabe[[#This Row],[Modus]]="L",_xlfn.RANK.EQ(Eingabe[[#This Row],[GES]],AF645:AF650),IF(Eingabe[[#This Row],[Modus]]="P",_xlfn.RANK.EQ(Eingabe[[#This Row],[GES]],AF645:AF650),"")))</f>
        <v/>
      </c>
      <c r="AV647" s="6" t="e">
        <f>VLOOKUP(Eingabe[[#This Row],[Name]],AuswertungG[],8,FALSE)</f>
        <v>#N/A</v>
      </c>
      <c r="AZ647" s="6" t="str">
        <f>IFERROR(ABS(Eingabe[[#This Row],[GES]]-Eingabe[[#This Row],[GEGGES]]),"")</f>
        <v/>
      </c>
    </row>
    <row r="648" spans="1:52" hidden="1" x14ac:dyDescent="0.3">
      <c r="A648" s="441"/>
      <c r="B648" s="21">
        <f t="shared" si="62"/>
        <v>108</v>
      </c>
      <c r="C648" s="6">
        <f>VLOOKUP($B648,Chronologie[],7,TRUE)</f>
        <v>0</v>
      </c>
      <c r="D648" s="6">
        <f>VLOOKUP($B648,Chronologie[],8,TRUE)</f>
        <v>0</v>
      </c>
      <c r="E648" s="240">
        <f>VLOOKUP($B648,Chronologie[],9,TRUE)</f>
        <v>0</v>
      </c>
      <c r="F648" s="6">
        <f>VLOOKUP($B648,Chronologie[],COLUMN(F649)-2,TRUE)</f>
        <v>0</v>
      </c>
      <c r="G648" s="6">
        <f>VLOOKUP($B648,Chronologie[],COLUMN(G649)-2,TRUE)</f>
        <v>0</v>
      </c>
      <c r="H648" s="6">
        <f>VLOOKUP($B648,Chronologie[],COLUMN(H649)-2,TRUE)</f>
        <v>0</v>
      </c>
      <c r="I648" s="10" t="str">
        <f>VLOOKUP($B648,Chronologie[],2,TRUE)</f>
        <v>--</v>
      </c>
      <c r="J648" s="243">
        <f>VLOOKUP($B648,Chronologie[],3,TRUE)</f>
        <v>0</v>
      </c>
      <c r="K648" s="238"/>
      <c r="L648" s="237"/>
      <c r="M648" s="237"/>
      <c r="N648" s="237"/>
      <c r="O648" s="237"/>
      <c r="P648" s="237"/>
      <c r="Q648" s="237"/>
      <c r="R648" s="237"/>
      <c r="S648" s="237"/>
      <c r="T648" s="237"/>
      <c r="U648" s="237"/>
      <c r="V648" s="237"/>
      <c r="W648" s="237"/>
      <c r="X648" s="38"/>
      <c r="Y648" s="38"/>
      <c r="Z648" s="38"/>
      <c r="AA648" s="38"/>
      <c r="AB648" s="91"/>
      <c r="AC648" s="94" t="str">
        <f>IF(Eingabe[[#This Row],[V1]]="",IF(Eingabe[[#This Row],[Volle alternativ]]="","",Eingabe[[#This Row],[Volle alternativ]]),SUM(Eingabe[[#This Row],[V1]:[V4]]))</f>
        <v/>
      </c>
      <c r="AD648" s="6" t="str">
        <f>IF(Eingabe[[#This Row],[R1]]="",IF(Eingabe[[#This Row],[Räumer alternativ]]="","",Eingabe[[#This Row],[Räumer alternativ]]),SUM(Eingabe[[#This Row],[R1]:[R4]]))</f>
        <v/>
      </c>
      <c r="AE648" s="6" t="str">
        <f>IF(Eingabe[[#This Row],[F1]]="",IF(Eingabe[[#This Row],[Fehler alternativ]]="","",Eingabe[[#This Row],[Fehler alternativ]]),SUM(Eingabe[[#This Row],[F1]:[F4]]))</f>
        <v/>
      </c>
      <c r="AF648" s="6" t="str">
        <f>IF(Eingabe[[#This Row],[Volle]]="","",IF(Eingabe[[#This Row],[S1]]="",Eingabe[[#This Row],[Volle]]+Eingabe[[#This Row],[Räumer]],IF(Eingabe[[#This Row],[Volle]]+Eingabe[[#This Row],[Räumer]]=Eingabe[[#This Row],[S1]]+Eingabe[[#This Row],[S2]]+Eingabe[[#This Row],[S3]]+Eingabe[[#This Row],[S4]],Eingabe[[#This Row],[Volle]]+Eingabe[[#This Row],[Räumer]],"FEHLER")))</f>
        <v/>
      </c>
      <c r="AG648" s="6" t="str">
        <f>IF(Eingabe[[#This Row],[V1]]="","",Eingabe[[#This Row],[V1]]+Eingabe[[#This Row],[R1]])</f>
        <v/>
      </c>
      <c r="AH648" s="6" t="str">
        <f>IF(Eingabe[[#This Row],[V2]]="","",Eingabe[[#This Row],[V2]]+Eingabe[[#This Row],[R2]])</f>
        <v/>
      </c>
      <c r="AI648" s="6" t="str">
        <f>IF(Eingabe[[#This Row],[V3]]="","",Eingabe[[#This Row],[V3]]+Eingabe[[#This Row],[R3]])</f>
        <v/>
      </c>
      <c r="AJ648" s="6" t="str">
        <f>IF(Eingabe[[#This Row],[V4]]="","",Eingabe[[#This Row],[V4]]+Eingabe[[#This Row],[R4]])</f>
        <v/>
      </c>
      <c r="AK648" s="6" t="str">
        <f>IF(Eingabe[[#This Row],[S1P]]="","",Eingabe[[#This Row],[S1P]]+Eingabe[[#This Row],[S2P]]+Eingabe[[#This Row],[S3P]]+Eingabe[[#This Row],[S4P]])</f>
        <v/>
      </c>
      <c r="AL648" s="6" t="str">
        <f>IF(Eingabe[[#This Row],[S1P]]="","",IF(Eingabe[[#This Row],[SP]]&gt;2,1,IF(Eingabe[[#This Row],[SP]]&lt;2,0,IF(Eingabe[[#This Row],[GES]]&gt;Eingabe[[#This Row],[GEGGES]],1,IF(Eingabe[[#This Row],[GES]]=Eingabe[[#This Row],[GEGGES]],0.5,0)))))</f>
        <v/>
      </c>
      <c r="AM648" s="6" t="str">
        <f>IF(Eingabe[[#This Row],[MP]]="","",MOD(ROW(Eingabe[[#This Row],[Position]])-3,6)+1)</f>
        <v/>
      </c>
      <c r="AN648" s="6" t="e">
        <f>STANDARDIZE(Eingabe[[#This Row],[GES]],Eingabe[[#This Row],[Schnitt]],VLOOKUP(Eingabe[[#This Row],[Name]],AuswertungG[],21,FALSE))</f>
        <v>#VALUE!</v>
      </c>
      <c r="AO648" s="6" t="str">
        <f>VLOOKUP(Eingabe[[#This Row],[ID]],Chronologie[[ID]:[KW]],12,FALSE)</f>
        <v/>
      </c>
      <c r="AP648" s="95">
        <f>IF(Eingabe[[#This Row],[Wo]]="H",Eingabe[[#This Row],[Gegner]]&amp;" ["&amp;Eingabe[[#This Row],[Wo]]&amp;"]",Eingabe[[#This Row],[Ort]])</f>
        <v>0</v>
      </c>
      <c r="AQ648" s="6" t="str">
        <f>IFERROR(IF(Eingabe[[#This Row],[Wo]]="H",IF(MOD(Eingabe[[#This Row],[Position]],2)=1,Eingabe[[#This Row],[S1]],Eingabe[[#This Row],[S4]]),""),"")</f>
        <v/>
      </c>
      <c r="AR648" s="6" t="str">
        <f>IFERROR(IF(Eingabe[[#This Row],[Wo]]="H",IF(Eingabe[[#This Row],[S1]]&gt;0,IF(MOD(Eingabe[[#This Row],[Position]],2)=1,Eingabe[[#This Row],[S2]],Eingabe[[#This Row],[S3]]),""),""),"")</f>
        <v/>
      </c>
      <c r="AS648" s="6" t="str">
        <f>IFERROR(IF(Eingabe[[#This Row],[Wo]]="H",IF(Eingabe[[#This Row],[S1]]&gt;0,IF(MOD(ROW(Eingabe[[#This Row],[Heimbahn 3]]),2)=1,Eingabe[[#This Row],[S4]],Eingabe[[#This Row],[S1]]),""),""),"")</f>
        <v/>
      </c>
      <c r="AT648" s="6" t="str">
        <f>IFERROR(IF(Eingabe[[#This Row],[Wo]]="H",IF(Eingabe[[#This Row],[S1]]&gt;0,IF(MOD(ROW(Eingabe[[#This Row],[Heimbahn 4]]),2)=1,Eingabe[[#This Row],[S3]],Eingabe[[#This Row],[S2]]),""),""),"")</f>
        <v/>
      </c>
      <c r="AU648" s="22" t="str">
        <f>IF(Eingabe[[#This Row],[GES]]="","",IF(Eingabe[[#This Row],[Modus]]="L",_xlfn.RANK.EQ(Eingabe[[#This Row],[GES]],AF645:AF650),IF(Eingabe[[#This Row],[Modus]]="P",_xlfn.RANK.EQ(Eingabe[[#This Row],[GES]],AF645:AF650),"")))</f>
        <v/>
      </c>
      <c r="AV648" s="6" t="e">
        <f>VLOOKUP(Eingabe[[#This Row],[Name]],AuswertungG[],8,FALSE)</f>
        <v>#N/A</v>
      </c>
      <c r="AZ648" s="6" t="str">
        <f>IFERROR(ABS(Eingabe[[#This Row],[GES]]-Eingabe[[#This Row],[GEGGES]]),"")</f>
        <v/>
      </c>
    </row>
    <row r="649" spans="1:52" hidden="1" x14ac:dyDescent="0.3">
      <c r="A649" s="441"/>
      <c r="B649" s="21">
        <f t="shared" si="62"/>
        <v>108</v>
      </c>
      <c r="C649" s="6">
        <f>VLOOKUP($B649,Chronologie[],7,TRUE)</f>
        <v>0</v>
      </c>
      <c r="D649" s="6">
        <f>VLOOKUP($B649,Chronologie[],8,TRUE)</f>
        <v>0</v>
      </c>
      <c r="E649" s="240">
        <f>VLOOKUP($B649,Chronologie[],9,TRUE)</f>
        <v>0</v>
      </c>
      <c r="F649" s="6">
        <f>VLOOKUP($B649,Chronologie[],COLUMN(F650)-2,TRUE)</f>
        <v>0</v>
      </c>
      <c r="G649" s="6">
        <f>VLOOKUP($B649,Chronologie[],COLUMN(G650)-2,TRUE)</f>
        <v>0</v>
      </c>
      <c r="H649" s="6">
        <f>VLOOKUP($B649,Chronologie[],COLUMN(H650)-2,TRUE)</f>
        <v>0</v>
      </c>
      <c r="I649" s="10" t="str">
        <f>VLOOKUP($B649,Chronologie[],2,TRUE)</f>
        <v>--</v>
      </c>
      <c r="J649" s="243">
        <f>VLOOKUP($B649,Chronologie[],3,TRUE)</f>
        <v>0</v>
      </c>
      <c r="K649" s="237"/>
      <c r="L649" s="237"/>
      <c r="M649" s="237"/>
      <c r="N649" s="237"/>
      <c r="O649" s="237"/>
      <c r="P649" s="237"/>
      <c r="Q649" s="237"/>
      <c r="R649" s="237"/>
      <c r="S649" s="237"/>
      <c r="T649" s="237"/>
      <c r="U649" s="237"/>
      <c r="V649" s="237"/>
      <c r="W649" s="237"/>
      <c r="X649" s="38"/>
      <c r="Y649" s="38"/>
      <c r="Z649" s="38"/>
      <c r="AA649" s="38"/>
      <c r="AB649" s="91"/>
      <c r="AC649" s="94" t="str">
        <f>IF(Eingabe[[#This Row],[V1]]="",IF(Eingabe[[#This Row],[Volle alternativ]]="","",Eingabe[[#This Row],[Volle alternativ]]),SUM(Eingabe[[#This Row],[V1]:[V4]]))</f>
        <v/>
      </c>
      <c r="AD649" s="6" t="str">
        <f>IF(Eingabe[[#This Row],[R1]]="",IF(Eingabe[[#This Row],[Räumer alternativ]]="","",Eingabe[[#This Row],[Räumer alternativ]]),SUM(Eingabe[[#This Row],[R1]:[R4]]))</f>
        <v/>
      </c>
      <c r="AE649" s="6" t="str">
        <f>IF(Eingabe[[#This Row],[F1]]="",IF(Eingabe[[#This Row],[Fehler alternativ]]="","",Eingabe[[#This Row],[Fehler alternativ]]),SUM(Eingabe[[#This Row],[F1]:[F4]]))</f>
        <v/>
      </c>
      <c r="AF649" s="6" t="str">
        <f>IF(Eingabe[[#This Row],[Volle]]="","",IF(Eingabe[[#This Row],[S1]]="",Eingabe[[#This Row],[Volle]]+Eingabe[[#This Row],[Räumer]],IF(Eingabe[[#This Row],[Volle]]+Eingabe[[#This Row],[Räumer]]=Eingabe[[#This Row],[S1]]+Eingabe[[#This Row],[S2]]+Eingabe[[#This Row],[S3]]+Eingabe[[#This Row],[S4]],Eingabe[[#This Row],[Volle]]+Eingabe[[#This Row],[Räumer]],"FEHLER")))</f>
        <v/>
      </c>
      <c r="AG649" s="6" t="str">
        <f>IF(Eingabe[[#This Row],[V1]]="","",Eingabe[[#This Row],[V1]]+Eingabe[[#This Row],[R1]])</f>
        <v/>
      </c>
      <c r="AH649" s="6" t="str">
        <f>IF(Eingabe[[#This Row],[V2]]="","",Eingabe[[#This Row],[V2]]+Eingabe[[#This Row],[R2]])</f>
        <v/>
      </c>
      <c r="AI649" s="6" t="str">
        <f>IF(Eingabe[[#This Row],[V3]]="","",Eingabe[[#This Row],[V3]]+Eingabe[[#This Row],[R3]])</f>
        <v/>
      </c>
      <c r="AJ649" s="6" t="str">
        <f>IF(Eingabe[[#This Row],[V4]]="","",Eingabe[[#This Row],[V4]]+Eingabe[[#This Row],[R4]])</f>
        <v/>
      </c>
      <c r="AK649" s="6" t="str">
        <f>IF(Eingabe[[#This Row],[S1P]]="","",Eingabe[[#This Row],[S1P]]+Eingabe[[#This Row],[S2P]]+Eingabe[[#This Row],[S3P]]+Eingabe[[#This Row],[S4P]])</f>
        <v/>
      </c>
      <c r="AL649" s="6" t="str">
        <f>IF(Eingabe[[#This Row],[S1P]]="","",IF(Eingabe[[#This Row],[SP]]&gt;2,1,IF(Eingabe[[#This Row],[SP]]&lt;2,0,IF(Eingabe[[#This Row],[GES]]&gt;Eingabe[[#This Row],[GEGGES]],1,IF(Eingabe[[#This Row],[GES]]=Eingabe[[#This Row],[GEGGES]],0.5,0)))))</f>
        <v/>
      </c>
      <c r="AM649" s="6" t="str">
        <f>IF(Eingabe[[#This Row],[MP]]="","",MOD(ROW(Eingabe[[#This Row],[Position]])-3,6)+1)</f>
        <v/>
      </c>
      <c r="AN649" s="6" t="e">
        <f>STANDARDIZE(Eingabe[[#This Row],[GES]],Eingabe[[#This Row],[Schnitt]],VLOOKUP(Eingabe[[#This Row],[Name]],AuswertungG[],21,FALSE))</f>
        <v>#VALUE!</v>
      </c>
      <c r="AO649" s="6" t="str">
        <f>VLOOKUP(Eingabe[[#This Row],[ID]],Chronologie[[ID]:[KW]],12,FALSE)</f>
        <v/>
      </c>
      <c r="AP649" s="95">
        <f>IF(Eingabe[[#This Row],[Wo]]="H",Eingabe[[#This Row],[Gegner]]&amp;" ["&amp;Eingabe[[#This Row],[Wo]]&amp;"]",Eingabe[[#This Row],[Ort]])</f>
        <v>0</v>
      </c>
      <c r="AQ649" s="6" t="str">
        <f>IFERROR(IF(Eingabe[[#This Row],[Wo]]="H",IF(MOD(Eingabe[[#This Row],[Position]],2)=1,Eingabe[[#This Row],[S1]],Eingabe[[#This Row],[S4]]),""),"")</f>
        <v/>
      </c>
      <c r="AR649" s="6" t="str">
        <f>IFERROR(IF(Eingabe[[#This Row],[Wo]]="H",IF(Eingabe[[#This Row],[S1]]&gt;0,IF(MOD(Eingabe[[#This Row],[Position]],2)=1,Eingabe[[#This Row],[S2]],Eingabe[[#This Row],[S3]]),""),""),"")</f>
        <v/>
      </c>
      <c r="AS649" s="6" t="str">
        <f>IFERROR(IF(Eingabe[[#This Row],[Wo]]="H",IF(Eingabe[[#This Row],[S1]]&gt;0,IF(MOD(ROW(Eingabe[[#This Row],[Heimbahn 3]]),2)=1,Eingabe[[#This Row],[S4]],Eingabe[[#This Row],[S1]]),""),""),"")</f>
        <v/>
      </c>
      <c r="AT649" s="6" t="str">
        <f>IFERROR(IF(Eingabe[[#This Row],[Wo]]="H",IF(Eingabe[[#This Row],[S1]]&gt;0,IF(MOD(ROW(Eingabe[[#This Row],[Heimbahn 4]]),2)=1,Eingabe[[#This Row],[S3]],Eingabe[[#This Row],[S2]]),""),""),"")</f>
        <v/>
      </c>
      <c r="AU649" s="22" t="str">
        <f>IF(Eingabe[[#This Row],[GES]]="","",IF(Eingabe[[#This Row],[Modus]]="L",_xlfn.RANK.EQ(Eingabe[[#This Row],[GES]],AF645:AF650),IF(Eingabe[[#This Row],[Modus]]="P",_xlfn.RANK.EQ(Eingabe[[#This Row],[GES]],AF645:AF650),"")))</f>
        <v/>
      </c>
      <c r="AV649" s="6" t="e">
        <f>VLOOKUP(Eingabe[[#This Row],[Name]],AuswertungG[],8,FALSE)</f>
        <v>#N/A</v>
      </c>
      <c r="AZ649" s="6" t="str">
        <f>IFERROR(ABS(Eingabe[[#This Row],[GES]]-Eingabe[[#This Row],[GEGGES]]),"")</f>
        <v/>
      </c>
    </row>
    <row r="650" spans="1:52" ht="16.2" hidden="1" thickBot="1" x14ac:dyDescent="0.35">
      <c r="A650" s="442"/>
      <c r="B650" s="56">
        <f t="shared" si="62"/>
        <v>108</v>
      </c>
      <c r="C650" s="23">
        <f>VLOOKUP($B650,Chronologie[],7,TRUE)</f>
        <v>0</v>
      </c>
      <c r="D650" s="23">
        <f>VLOOKUP($B650,Chronologie[],8,TRUE)</f>
        <v>0</v>
      </c>
      <c r="E650" s="39">
        <f>VLOOKUP($B650,Chronologie[],9,TRUE)</f>
        <v>0</v>
      </c>
      <c r="F650" s="23">
        <f>VLOOKUP($B650,Chronologie[],COLUMN(F651)-2,TRUE)</f>
        <v>0</v>
      </c>
      <c r="G650" s="23">
        <f>VLOOKUP($B650,Chronologie[],COLUMN(G651)-2,TRUE)</f>
        <v>0</v>
      </c>
      <c r="H650" s="23">
        <f>VLOOKUP($B650,Chronologie[],COLUMN(H651)-2,TRUE)</f>
        <v>0</v>
      </c>
      <c r="I650" s="13" t="str">
        <f>VLOOKUP($B650,Chronologie[],2,TRUE)</f>
        <v>--</v>
      </c>
      <c r="J650" s="244">
        <f>VLOOKUP($B650,Chronologie[],3,TRUE)</f>
        <v>0</v>
      </c>
      <c r="K650" s="239"/>
      <c r="L650" s="239"/>
      <c r="M650" s="239"/>
      <c r="N650" s="239"/>
      <c r="O650" s="239"/>
      <c r="P650" s="239"/>
      <c r="Q650" s="239"/>
      <c r="R650" s="239"/>
      <c r="S650" s="239"/>
      <c r="T650" s="239"/>
      <c r="U650" s="239"/>
      <c r="V650" s="239"/>
      <c r="W650" s="239"/>
      <c r="X650" s="40"/>
      <c r="Y650" s="40"/>
      <c r="Z650" s="40"/>
      <c r="AA650" s="40"/>
      <c r="AB650" s="92"/>
      <c r="AC650" s="96" t="str">
        <f>IF(Eingabe[[#This Row],[V1]]="",IF(Eingabe[[#This Row],[Volle alternativ]]="","",Eingabe[[#This Row],[Volle alternativ]]),SUM(Eingabe[[#This Row],[V1]:[V4]]))</f>
        <v/>
      </c>
      <c r="AD650" s="23" t="str">
        <f>IF(Eingabe[[#This Row],[R1]]="",IF(Eingabe[[#This Row],[Räumer alternativ]]="","",Eingabe[[#This Row],[Räumer alternativ]]),SUM(Eingabe[[#This Row],[R1]:[R4]]))</f>
        <v/>
      </c>
      <c r="AE650" s="23" t="str">
        <f>IF(Eingabe[[#This Row],[F1]]="",IF(Eingabe[[#This Row],[Fehler alternativ]]="","",Eingabe[[#This Row],[Fehler alternativ]]),SUM(Eingabe[[#This Row],[F1]:[F4]]))</f>
        <v/>
      </c>
      <c r="AF650" s="23" t="str">
        <f>IF(Eingabe[[#This Row],[Volle]]="","",IF(Eingabe[[#This Row],[S1]]="",Eingabe[[#This Row],[Volle]]+Eingabe[[#This Row],[Räumer]],IF(Eingabe[[#This Row],[Volle]]+Eingabe[[#This Row],[Räumer]]=Eingabe[[#This Row],[S1]]+Eingabe[[#This Row],[S2]]+Eingabe[[#This Row],[S3]]+Eingabe[[#This Row],[S4]],Eingabe[[#This Row],[Volle]]+Eingabe[[#This Row],[Räumer]],"FEHLER")))</f>
        <v/>
      </c>
      <c r="AG650" s="23" t="str">
        <f>IF(Eingabe[[#This Row],[V1]]="","",Eingabe[[#This Row],[V1]]+Eingabe[[#This Row],[R1]])</f>
        <v/>
      </c>
      <c r="AH650" s="23" t="str">
        <f>IF(Eingabe[[#This Row],[V2]]="","",Eingabe[[#This Row],[V2]]+Eingabe[[#This Row],[R2]])</f>
        <v/>
      </c>
      <c r="AI650" s="23" t="str">
        <f>IF(Eingabe[[#This Row],[V3]]="","",Eingabe[[#This Row],[V3]]+Eingabe[[#This Row],[R3]])</f>
        <v/>
      </c>
      <c r="AJ650" s="23" t="str">
        <f>IF(Eingabe[[#This Row],[V4]]="","",Eingabe[[#This Row],[V4]]+Eingabe[[#This Row],[R4]])</f>
        <v/>
      </c>
      <c r="AK650" s="23" t="str">
        <f>IF(Eingabe[[#This Row],[S1P]]="","",Eingabe[[#This Row],[S1P]]+Eingabe[[#This Row],[S2P]]+Eingabe[[#This Row],[S3P]]+Eingabe[[#This Row],[S4P]])</f>
        <v/>
      </c>
      <c r="AL650" s="23" t="str">
        <f>IF(Eingabe[[#This Row],[S1P]]="","",IF(Eingabe[[#This Row],[SP]]&gt;2,1,IF(Eingabe[[#This Row],[SP]]&lt;2,0,IF(Eingabe[[#This Row],[GES]]&gt;Eingabe[[#This Row],[GEGGES]],1,IF(Eingabe[[#This Row],[GES]]=Eingabe[[#This Row],[GEGGES]],0.5,0)))))</f>
        <v/>
      </c>
      <c r="AM650" s="23" t="str">
        <f>IF(Eingabe[[#This Row],[MP]]="","",MOD(ROW(Eingabe[[#This Row],[Position]])-3,6)+1)</f>
        <v/>
      </c>
      <c r="AN650" s="23" t="e">
        <f>STANDARDIZE(Eingabe[[#This Row],[GES]],Eingabe[[#This Row],[Schnitt]],VLOOKUP(Eingabe[[#This Row],[Name]],AuswertungG[],21,FALSE))</f>
        <v>#VALUE!</v>
      </c>
      <c r="AO650" s="23" t="str">
        <f>VLOOKUP(Eingabe[[#This Row],[ID]],Chronologie[[ID]:[KW]],12,FALSE)</f>
        <v/>
      </c>
      <c r="AP650" s="59">
        <f>IF(Eingabe[[#This Row],[Wo]]="H",Eingabe[[#This Row],[Gegner]]&amp;" ["&amp;Eingabe[[#This Row],[Wo]]&amp;"]",Eingabe[[#This Row],[Ort]])</f>
        <v>0</v>
      </c>
      <c r="AQ650" s="23" t="str">
        <f>IFERROR(IF(Eingabe[[#This Row],[Wo]]="H",IF(MOD(Eingabe[[#This Row],[Position]],2)=1,Eingabe[[#This Row],[S1]],Eingabe[[#This Row],[S4]]),""),"")</f>
        <v/>
      </c>
      <c r="AR650" s="23" t="str">
        <f>IFERROR(IF(Eingabe[[#This Row],[Wo]]="H",IF(Eingabe[[#This Row],[S1]]&gt;0,IF(MOD(Eingabe[[#This Row],[Position]],2)=1,Eingabe[[#This Row],[S2]],Eingabe[[#This Row],[S3]]),""),""),"")</f>
        <v/>
      </c>
      <c r="AS650" s="23" t="str">
        <f>IFERROR(IF(Eingabe[[#This Row],[Wo]]="H",IF(Eingabe[[#This Row],[S1]]&gt;0,IF(MOD(ROW(Eingabe[[#This Row],[Heimbahn 3]]),2)=1,Eingabe[[#This Row],[S4]],Eingabe[[#This Row],[S1]]),""),""),"")</f>
        <v/>
      </c>
      <c r="AT650" s="23" t="str">
        <f>IFERROR(IF(Eingabe[[#This Row],[Wo]]="H",IF(Eingabe[[#This Row],[S1]]&gt;0,IF(MOD(ROW(Eingabe[[#This Row],[Heimbahn 4]]),2)=1,Eingabe[[#This Row],[S3]],Eingabe[[#This Row],[S2]]),""),""),"")</f>
        <v/>
      </c>
      <c r="AU650" s="89" t="str">
        <f>IF(Eingabe[[#This Row],[GES]]="","",IF(Eingabe[[#This Row],[Modus]]="L",_xlfn.RANK.EQ(Eingabe[[#This Row],[GES]],AF645:AF650),IF(Eingabe[[#This Row],[Modus]]="P",_xlfn.RANK.EQ(Eingabe[[#This Row],[GES]],AF645:AF650),"")))</f>
        <v/>
      </c>
      <c r="AV650" s="6" t="e">
        <f>VLOOKUP(Eingabe[[#This Row],[Name]],AuswertungG[],8,FALSE)</f>
        <v>#N/A</v>
      </c>
      <c r="AZ650" s="6" t="str">
        <f>IFERROR(ABS(Eingabe[[#This Row],[GES]]-Eingabe[[#This Row],[GEGGES]]),"")</f>
        <v/>
      </c>
    </row>
    <row r="651" spans="1:52" hidden="1" x14ac:dyDescent="0.3">
      <c r="A651" s="440">
        <f t="shared" ref="A651" si="65">B651</f>
        <v>109</v>
      </c>
      <c r="B651" s="55">
        <f t="shared" si="62"/>
        <v>109</v>
      </c>
      <c r="C651" s="35">
        <f>VLOOKUP($B651,Chronologie[],7,TRUE)</f>
        <v>0</v>
      </c>
      <c r="D651" s="35">
        <f>VLOOKUP($B651,Chronologie[],8,TRUE)</f>
        <v>0</v>
      </c>
      <c r="E651" s="36">
        <f>VLOOKUP($B651,Chronologie[],9,TRUE)</f>
        <v>0</v>
      </c>
      <c r="F651" s="35">
        <f>VLOOKUP($B651,Chronologie[],COLUMN(F652)-2,TRUE)</f>
        <v>0</v>
      </c>
      <c r="G651" s="35">
        <f>VLOOKUP($B651,Chronologie[],COLUMN(G652)-2,TRUE)</f>
        <v>0</v>
      </c>
      <c r="H651" s="35">
        <f>VLOOKUP($B651,Chronologie[],COLUMN(H652)-2,TRUE)</f>
        <v>0</v>
      </c>
      <c r="I651" s="9" t="str">
        <f>VLOOKUP($B651,Chronologie[],2,TRUE)</f>
        <v>--</v>
      </c>
      <c r="J651" s="242">
        <f>VLOOKUP($B651,Chronologie[],3,TRUE)</f>
        <v>0</v>
      </c>
      <c r="K651" s="236"/>
      <c r="L651" s="334"/>
      <c r="M651" s="334"/>
      <c r="N651" s="334"/>
      <c r="O651" s="334"/>
      <c r="P651" s="334"/>
      <c r="Q651" s="334"/>
      <c r="R651" s="334"/>
      <c r="S651" s="334"/>
      <c r="T651" s="334"/>
      <c r="U651" s="334"/>
      <c r="V651" s="334"/>
      <c r="W651" s="334"/>
      <c r="X651" s="37"/>
      <c r="Y651" s="37"/>
      <c r="Z651" s="37"/>
      <c r="AA651" s="37"/>
      <c r="AB651" s="90"/>
      <c r="AC651" s="93" t="str">
        <f>IF(Eingabe[[#This Row],[V1]]="",IF(Eingabe[[#This Row],[Volle alternativ]]="","",Eingabe[[#This Row],[Volle alternativ]]),SUM(Eingabe[[#This Row],[V1]:[V4]]))</f>
        <v/>
      </c>
      <c r="AD651" s="35" t="str">
        <f>IF(Eingabe[[#This Row],[R1]]="",IF(Eingabe[[#This Row],[Räumer alternativ]]="","",Eingabe[[#This Row],[Räumer alternativ]]),SUM(Eingabe[[#This Row],[R1]:[R4]]))</f>
        <v/>
      </c>
      <c r="AE651" s="35" t="str">
        <f>IF(Eingabe[[#This Row],[F1]]="",IF(Eingabe[[#This Row],[Fehler alternativ]]="","",Eingabe[[#This Row],[Fehler alternativ]]),SUM(Eingabe[[#This Row],[F1]:[F4]]))</f>
        <v/>
      </c>
      <c r="AF651" s="35" t="str">
        <f>IF(Eingabe[[#This Row],[Volle]]="","",IF(Eingabe[[#This Row],[S1]]="",Eingabe[[#This Row],[Volle]]+Eingabe[[#This Row],[Räumer]],IF(Eingabe[[#This Row],[Volle]]+Eingabe[[#This Row],[Räumer]]=Eingabe[[#This Row],[S1]]+Eingabe[[#This Row],[S2]]+Eingabe[[#This Row],[S3]]+Eingabe[[#This Row],[S4]],Eingabe[[#This Row],[Volle]]+Eingabe[[#This Row],[Räumer]],"FEHLER")))</f>
        <v/>
      </c>
      <c r="AG651" s="35" t="str">
        <f>IF(Eingabe[[#This Row],[V1]]="","",Eingabe[[#This Row],[V1]]+Eingabe[[#This Row],[R1]])</f>
        <v/>
      </c>
      <c r="AH651" s="35" t="str">
        <f>IF(Eingabe[[#This Row],[V2]]="","",Eingabe[[#This Row],[V2]]+Eingabe[[#This Row],[R2]])</f>
        <v/>
      </c>
      <c r="AI651" s="35" t="str">
        <f>IF(Eingabe[[#This Row],[V3]]="","",Eingabe[[#This Row],[V3]]+Eingabe[[#This Row],[R3]])</f>
        <v/>
      </c>
      <c r="AJ651" s="35" t="str">
        <f>IF(Eingabe[[#This Row],[V4]]="","",Eingabe[[#This Row],[V4]]+Eingabe[[#This Row],[R4]])</f>
        <v/>
      </c>
      <c r="AK651" s="35" t="str">
        <f>IF(Eingabe[[#This Row],[S1P]]="","",Eingabe[[#This Row],[S1P]]+Eingabe[[#This Row],[S2P]]+Eingabe[[#This Row],[S3P]]+Eingabe[[#This Row],[S4P]])</f>
        <v/>
      </c>
      <c r="AL651" s="35" t="str">
        <f>IF(Eingabe[[#This Row],[S1P]]="","",IF(Eingabe[[#This Row],[SP]]&gt;2,1,IF(Eingabe[[#This Row],[SP]]&lt;2,0,IF(Eingabe[[#This Row],[GES]]&gt;Eingabe[[#This Row],[GEGGES]],1,IF(Eingabe[[#This Row],[GES]]=Eingabe[[#This Row],[GEGGES]],0.5,0)))))</f>
        <v/>
      </c>
      <c r="AM651" s="35" t="str">
        <f>IF(Eingabe[[#This Row],[MP]]="","",MOD(ROW(Eingabe[[#This Row],[Position]])-3,6)+1)</f>
        <v/>
      </c>
      <c r="AN651" s="35" t="e">
        <f>STANDARDIZE(Eingabe[[#This Row],[GES]],Eingabe[[#This Row],[Schnitt]],VLOOKUP(Eingabe[[#This Row],[Name]],AuswertungG[],21,FALSE))</f>
        <v>#VALUE!</v>
      </c>
      <c r="AO651" s="35" t="str">
        <f>VLOOKUP(Eingabe[[#This Row],[ID]],Chronologie[[ID]:[KW]],12,FALSE)</f>
        <v/>
      </c>
      <c r="AP651" s="58">
        <f>IF(Eingabe[[#This Row],[Wo]]="H",Eingabe[[#This Row],[Gegner]]&amp;" ["&amp;Eingabe[[#This Row],[Wo]]&amp;"]",Eingabe[[#This Row],[Ort]])</f>
        <v>0</v>
      </c>
      <c r="AQ651" s="35" t="str">
        <f>IFERROR(IF(Eingabe[[#This Row],[Wo]]="H",IF(MOD(Eingabe[[#This Row],[Position]],2)=1,Eingabe[[#This Row],[S1]],Eingabe[[#This Row],[S4]]),""),"")</f>
        <v/>
      </c>
      <c r="AR651" s="35" t="str">
        <f>IFERROR(IF(Eingabe[[#This Row],[Wo]]="H",IF(Eingabe[[#This Row],[S1]]&gt;0,IF(MOD(Eingabe[[#This Row],[Position]],2)=1,Eingabe[[#This Row],[S2]],Eingabe[[#This Row],[S3]]),""),""),"")</f>
        <v/>
      </c>
      <c r="AS651" s="35" t="str">
        <f>IFERROR(IF(Eingabe[[#This Row],[Wo]]="H",IF(Eingabe[[#This Row],[S1]]&gt;0,IF(MOD(ROW(Eingabe[[#This Row],[Heimbahn 3]]),2)=1,Eingabe[[#This Row],[S4]],Eingabe[[#This Row],[S1]]),""),""),"")</f>
        <v/>
      </c>
      <c r="AT651" s="35" t="str">
        <f>IFERROR(IF(Eingabe[[#This Row],[Wo]]="H",IF(Eingabe[[#This Row],[S1]]&gt;0,IF(MOD(ROW(Eingabe[[#This Row],[Heimbahn 4]]),2)=1,Eingabe[[#This Row],[S3]],Eingabe[[#This Row],[S2]]),""),""),"")</f>
        <v/>
      </c>
      <c r="AU651" s="88" t="str">
        <f>IF(Eingabe[[#This Row],[GES]]="","",IF(Eingabe[[#This Row],[Modus]]="L",_xlfn.RANK.EQ(Eingabe[[#This Row],[GES]],AF651:AF656),IF(Eingabe[[#This Row],[Modus]]="P",_xlfn.RANK.EQ(Eingabe[[#This Row],[GES]],AF651:AF656),"")))</f>
        <v/>
      </c>
      <c r="AV651" s="6" t="e">
        <f>VLOOKUP(Eingabe[[#This Row],[Name]],AuswertungG[],8,FALSE)</f>
        <v>#N/A</v>
      </c>
      <c r="AZ651" s="6" t="str">
        <f>IFERROR(ABS(Eingabe[[#This Row],[GES]]-Eingabe[[#This Row],[GEGGES]]),"")</f>
        <v/>
      </c>
    </row>
    <row r="652" spans="1:52" hidden="1" x14ac:dyDescent="0.3">
      <c r="A652" s="441"/>
      <c r="B652" s="21">
        <f t="shared" si="62"/>
        <v>109</v>
      </c>
      <c r="C652" s="6">
        <f>VLOOKUP($B652,Chronologie[],7,TRUE)</f>
        <v>0</v>
      </c>
      <c r="D652" s="6">
        <f>VLOOKUP($B652,Chronologie[],8,TRUE)</f>
        <v>0</v>
      </c>
      <c r="E652" s="240">
        <f>VLOOKUP($B652,Chronologie[],9,TRUE)</f>
        <v>0</v>
      </c>
      <c r="F652" s="6">
        <f>VLOOKUP($B652,Chronologie[],COLUMN(F653)-2,TRUE)</f>
        <v>0</v>
      </c>
      <c r="G652" s="6">
        <f>VLOOKUP($B652,Chronologie[],COLUMN(G653)-2,TRUE)</f>
        <v>0</v>
      </c>
      <c r="H652" s="6">
        <f>VLOOKUP($B652,Chronologie[],COLUMN(H653)-2,TRUE)</f>
        <v>0</v>
      </c>
      <c r="I652" s="10" t="str">
        <f>VLOOKUP($B652,Chronologie[],2,TRUE)</f>
        <v>--</v>
      </c>
      <c r="J652" s="243">
        <f>VLOOKUP($B652,Chronologie[],3,TRUE)</f>
        <v>0</v>
      </c>
      <c r="K652" s="237"/>
      <c r="L652" s="237"/>
      <c r="M652" s="237"/>
      <c r="N652" s="237"/>
      <c r="O652" s="237"/>
      <c r="P652" s="237"/>
      <c r="Q652" s="237"/>
      <c r="R652" s="237"/>
      <c r="S652" s="237"/>
      <c r="T652" s="237"/>
      <c r="U652" s="237"/>
      <c r="V652" s="237"/>
      <c r="W652" s="237"/>
      <c r="X652" s="38"/>
      <c r="Y652" s="38"/>
      <c r="Z652" s="38"/>
      <c r="AA652" s="38"/>
      <c r="AB652" s="91"/>
      <c r="AC652" s="94" t="str">
        <f>IF(Eingabe[[#This Row],[V1]]="",IF(Eingabe[[#This Row],[Volle alternativ]]="","",Eingabe[[#This Row],[Volle alternativ]]),SUM(Eingabe[[#This Row],[V1]:[V4]]))</f>
        <v/>
      </c>
      <c r="AD652" s="6" t="str">
        <f>IF(Eingabe[[#This Row],[R1]]="",IF(Eingabe[[#This Row],[Räumer alternativ]]="","",Eingabe[[#This Row],[Räumer alternativ]]),SUM(Eingabe[[#This Row],[R1]:[R4]]))</f>
        <v/>
      </c>
      <c r="AE652" s="6" t="str">
        <f>IF(Eingabe[[#This Row],[F1]]="",IF(Eingabe[[#This Row],[Fehler alternativ]]="","",Eingabe[[#This Row],[Fehler alternativ]]),SUM(Eingabe[[#This Row],[F1]:[F4]]))</f>
        <v/>
      </c>
      <c r="AF652" s="6" t="str">
        <f>IF(Eingabe[[#This Row],[Volle]]="","",IF(Eingabe[[#This Row],[S1]]="",Eingabe[[#This Row],[Volle]]+Eingabe[[#This Row],[Räumer]],IF(Eingabe[[#This Row],[Volle]]+Eingabe[[#This Row],[Räumer]]=Eingabe[[#This Row],[S1]]+Eingabe[[#This Row],[S2]]+Eingabe[[#This Row],[S3]]+Eingabe[[#This Row],[S4]],Eingabe[[#This Row],[Volle]]+Eingabe[[#This Row],[Räumer]],"FEHLER")))</f>
        <v/>
      </c>
      <c r="AG652" s="6" t="str">
        <f>IF(Eingabe[[#This Row],[V1]]="","",Eingabe[[#This Row],[V1]]+Eingabe[[#This Row],[R1]])</f>
        <v/>
      </c>
      <c r="AH652" s="6" t="str">
        <f>IF(Eingabe[[#This Row],[V2]]="","",Eingabe[[#This Row],[V2]]+Eingabe[[#This Row],[R2]])</f>
        <v/>
      </c>
      <c r="AI652" s="6" t="str">
        <f>IF(Eingabe[[#This Row],[V3]]="","",Eingabe[[#This Row],[V3]]+Eingabe[[#This Row],[R3]])</f>
        <v/>
      </c>
      <c r="AJ652" s="6" t="str">
        <f>IF(Eingabe[[#This Row],[V4]]="","",Eingabe[[#This Row],[V4]]+Eingabe[[#This Row],[R4]])</f>
        <v/>
      </c>
      <c r="AK652" s="6" t="str">
        <f>IF(Eingabe[[#This Row],[S1P]]="","",Eingabe[[#This Row],[S1P]]+Eingabe[[#This Row],[S2P]]+Eingabe[[#This Row],[S3P]]+Eingabe[[#This Row],[S4P]])</f>
        <v/>
      </c>
      <c r="AL652" s="6" t="str">
        <f>IF(Eingabe[[#This Row],[S1P]]="","",IF(Eingabe[[#This Row],[SP]]&gt;2,1,IF(Eingabe[[#This Row],[SP]]&lt;2,0,IF(Eingabe[[#This Row],[GES]]&gt;Eingabe[[#This Row],[GEGGES]],1,IF(Eingabe[[#This Row],[GES]]=Eingabe[[#This Row],[GEGGES]],0.5,0)))))</f>
        <v/>
      </c>
      <c r="AM652" s="6" t="str">
        <f>IF(Eingabe[[#This Row],[MP]]="","",MOD(ROW(Eingabe[[#This Row],[Position]])-3,6)+1)</f>
        <v/>
      </c>
      <c r="AN652" s="6" t="e">
        <f>STANDARDIZE(Eingabe[[#This Row],[GES]],Eingabe[[#This Row],[Schnitt]],VLOOKUP(Eingabe[[#This Row],[Name]],AuswertungG[],21,FALSE))</f>
        <v>#VALUE!</v>
      </c>
      <c r="AO652" s="6" t="str">
        <f>VLOOKUP(Eingabe[[#This Row],[ID]],Chronologie[[ID]:[KW]],12,FALSE)</f>
        <v/>
      </c>
      <c r="AP652" s="95">
        <f>IF(Eingabe[[#This Row],[Wo]]="H",Eingabe[[#This Row],[Gegner]]&amp;" ["&amp;Eingabe[[#This Row],[Wo]]&amp;"]",Eingabe[[#This Row],[Ort]])</f>
        <v>0</v>
      </c>
      <c r="AQ652" s="6" t="str">
        <f>IFERROR(IF(Eingabe[[#This Row],[Wo]]="H",IF(MOD(Eingabe[[#This Row],[Position]],2)=1,Eingabe[[#This Row],[S1]],Eingabe[[#This Row],[S4]]),""),"")</f>
        <v/>
      </c>
      <c r="AR652" s="6" t="str">
        <f>IFERROR(IF(Eingabe[[#This Row],[Wo]]="H",IF(Eingabe[[#This Row],[S1]]&gt;0,IF(MOD(Eingabe[[#This Row],[Position]],2)=1,Eingabe[[#This Row],[S2]],Eingabe[[#This Row],[S3]]),""),""),"")</f>
        <v/>
      </c>
      <c r="AS652" s="6" t="str">
        <f>IFERROR(IF(Eingabe[[#This Row],[Wo]]="H",IF(Eingabe[[#This Row],[S1]]&gt;0,IF(MOD(ROW(Eingabe[[#This Row],[Heimbahn 3]]),2)=1,Eingabe[[#This Row],[S4]],Eingabe[[#This Row],[S1]]),""),""),"")</f>
        <v/>
      </c>
      <c r="AT652" s="6" t="str">
        <f>IFERROR(IF(Eingabe[[#This Row],[Wo]]="H",IF(Eingabe[[#This Row],[S1]]&gt;0,IF(MOD(ROW(Eingabe[[#This Row],[Heimbahn 4]]),2)=1,Eingabe[[#This Row],[S3]],Eingabe[[#This Row],[S2]]),""),""),"")</f>
        <v/>
      </c>
      <c r="AU652" s="22" t="str">
        <f>IF(Eingabe[[#This Row],[GES]]="","",IF(Eingabe[[#This Row],[Modus]]="L",_xlfn.RANK.EQ(Eingabe[[#This Row],[GES]],AF651:AF656),IF(Eingabe[[#This Row],[Modus]]="P",_xlfn.RANK.EQ(Eingabe[[#This Row],[GES]],AF651:AF656),"")))</f>
        <v/>
      </c>
      <c r="AV652" s="6" t="e">
        <f>VLOOKUP(Eingabe[[#This Row],[Name]],AuswertungG[],8,FALSE)</f>
        <v>#N/A</v>
      </c>
      <c r="AZ652" s="6" t="str">
        <f>IFERROR(ABS(Eingabe[[#This Row],[GES]]-Eingabe[[#This Row],[GEGGES]]),"")</f>
        <v/>
      </c>
    </row>
    <row r="653" spans="1:52" hidden="1" x14ac:dyDescent="0.3">
      <c r="A653" s="441"/>
      <c r="B653" s="21">
        <f t="shared" si="62"/>
        <v>109</v>
      </c>
      <c r="C653" s="6">
        <f>VLOOKUP($B653,Chronologie[],7,TRUE)</f>
        <v>0</v>
      </c>
      <c r="D653" s="6">
        <f>VLOOKUP($B653,Chronologie[],8,TRUE)</f>
        <v>0</v>
      </c>
      <c r="E653" s="240">
        <f>VLOOKUP($B653,Chronologie[],9,TRUE)</f>
        <v>0</v>
      </c>
      <c r="F653" s="6">
        <f>VLOOKUP($B653,Chronologie[],COLUMN(F654)-2,TRUE)</f>
        <v>0</v>
      </c>
      <c r="G653" s="6">
        <f>VLOOKUP($B653,Chronologie[],COLUMN(G654)-2,TRUE)</f>
        <v>0</v>
      </c>
      <c r="H653" s="6">
        <f>VLOOKUP($B653,Chronologie[],COLUMN(H654)-2,TRUE)</f>
        <v>0</v>
      </c>
      <c r="I653" s="10" t="str">
        <f>VLOOKUP($B653,Chronologie[],2,TRUE)</f>
        <v>--</v>
      </c>
      <c r="J653" s="243">
        <f>VLOOKUP($B653,Chronologie[],3,TRUE)</f>
        <v>0</v>
      </c>
      <c r="K653" s="237"/>
      <c r="L653" s="237"/>
      <c r="M653" s="237"/>
      <c r="N653" s="237"/>
      <c r="O653" s="237"/>
      <c r="P653" s="237"/>
      <c r="Q653" s="237"/>
      <c r="R653" s="237"/>
      <c r="S653" s="237"/>
      <c r="T653" s="237"/>
      <c r="U653" s="237"/>
      <c r="V653" s="237"/>
      <c r="W653" s="237"/>
      <c r="X653" s="38"/>
      <c r="Y653" s="38"/>
      <c r="Z653" s="38"/>
      <c r="AA653" s="38"/>
      <c r="AB653" s="91"/>
      <c r="AC653" s="94" t="str">
        <f>IF(Eingabe[[#This Row],[V1]]="",IF(Eingabe[[#This Row],[Volle alternativ]]="","",Eingabe[[#This Row],[Volle alternativ]]),SUM(Eingabe[[#This Row],[V1]:[V4]]))</f>
        <v/>
      </c>
      <c r="AD653" s="6" t="str">
        <f>IF(Eingabe[[#This Row],[R1]]="",IF(Eingabe[[#This Row],[Räumer alternativ]]="","",Eingabe[[#This Row],[Räumer alternativ]]),SUM(Eingabe[[#This Row],[R1]:[R4]]))</f>
        <v/>
      </c>
      <c r="AE653" s="6" t="str">
        <f>IF(Eingabe[[#This Row],[F1]]="",IF(Eingabe[[#This Row],[Fehler alternativ]]="","",Eingabe[[#This Row],[Fehler alternativ]]),SUM(Eingabe[[#This Row],[F1]:[F4]]))</f>
        <v/>
      </c>
      <c r="AF653" s="6" t="str">
        <f>IF(Eingabe[[#This Row],[Volle]]="","",IF(Eingabe[[#This Row],[S1]]="",Eingabe[[#This Row],[Volle]]+Eingabe[[#This Row],[Räumer]],IF(Eingabe[[#This Row],[Volle]]+Eingabe[[#This Row],[Räumer]]=Eingabe[[#This Row],[S1]]+Eingabe[[#This Row],[S2]]+Eingabe[[#This Row],[S3]]+Eingabe[[#This Row],[S4]],Eingabe[[#This Row],[Volle]]+Eingabe[[#This Row],[Räumer]],"FEHLER")))</f>
        <v/>
      </c>
      <c r="AG653" s="6" t="str">
        <f>IF(Eingabe[[#This Row],[V1]]="","",Eingabe[[#This Row],[V1]]+Eingabe[[#This Row],[R1]])</f>
        <v/>
      </c>
      <c r="AH653" s="6" t="str">
        <f>IF(Eingabe[[#This Row],[V2]]="","",Eingabe[[#This Row],[V2]]+Eingabe[[#This Row],[R2]])</f>
        <v/>
      </c>
      <c r="AI653" s="6" t="str">
        <f>IF(Eingabe[[#This Row],[V3]]="","",Eingabe[[#This Row],[V3]]+Eingabe[[#This Row],[R3]])</f>
        <v/>
      </c>
      <c r="AJ653" s="6" t="str">
        <f>IF(Eingabe[[#This Row],[V4]]="","",Eingabe[[#This Row],[V4]]+Eingabe[[#This Row],[R4]])</f>
        <v/>
      </c>
      <c r="AK653" s="6" t="str">
        <f>IF(Eingabe[[#This Row],[S1P]]="","",Eingabe[[#This Row],[S1P]]+Eingabe[[#This Row],[S2P]]+Eingabe[[#This Row],[S3P]]+Eingabe[[#This Row],[S4P]])</f>
        <v/>
      </c>
      <c r="AL653" s="6" t="str">
        <f>IF(Eingabe[[#This Row],[S1P]]="","",IF(Eingabe[[#This Row],[SP]]&gt;2,1,IF(Eingabe[[#This Row],[SP]]&lt;2,0,IF(Eingabe[[#This Row],[GES]]&gt;Eingabe[[#This Row],[GEGGES]],1,IF(Eingabe[[#This Row],[GES]]=Eingabe[[#This Row],[GEGGES]],0.5,0)))))</f>
        <v/>
      </c>
      <c r="AM653" s="6" t="str">
        <f>IF(Eingabe[[#This Row],[MP]]="","",MOD(ROW(Eingabe[[#This Row],[Position]])-3,6)+1)</f>
        <v/>
      </c>
      <c r="AN653" s="6" t="e">
        <f>STANDARDIZE(Eingabe[[#This Row],[GES]],Eingabe[[#This Row],[Schnitt]],VLOOKUP(Eingabe[[#This Row],[Name]],AuswertungG[],21,FALSE))</f>
        <v>#VALUE!</v>
      </c>
      <c r="AO653" s="6" t="str">
        <f>VLOOKUP(Eingabe[[#This Row],[ID]],Chronologie[[ID]:[KW]],12,FALSE)</f>
        <v/>
      </c>
      <c r="AP653" s="95">
        <f>IF(Eingabe[[#This Row],[Wo]]="H",Eingabe[[#This Row],[Gegner]]&amp;" ["&amp;Eingabe[[#This Row],[Wo]]&amp;"]",Eingabe[[#This Row],[Ort]])</f>
        <v>0</v>
      </c>
      <c r="AQ653" s="6" t="str">
        <f>IFERROR(IF(Eingabe[[#This Row],[Wo]]="H",IF(MOD(Eingabe[[#This Row],[Position]],2)=1,Eingabe[[#This Row],[S1]],Eingabe[[#This Row],[S4]]),""),"")</f>
        <v/>
      </c>
      <c r="AR653" s="6" t="str">
        <f>IFERROR(IF(Eingabe[[#This Row],[Wo]]="H",IF(Eingabe[[#This Row],[S1]]&gt;0,IF(MOD(Eingabe[[#This Row],[Position]],2)=1,Eingabe[[#This Row],[S2]],Eingabe[[#This Row],[S3]]),""),""),"")</f>
        <v/>
      </c>
      <c r="AS653" s="6" t="str">
        <f>IFERROR(IF(Eingabe[[#This Row],[Wo]]="H",IF(Eingabe[[#This Row],[S1]]&gt;0,IF(MOD(ROW(Eingabe[[#This Row],[Heimbahn 3]]),2)=1,Eingabe[[#This Row],[S4]],Eingabe[[#This Row],[S1]]),""),""),"")</f>
        <v/>
      </c>
      <c r="AT653" s="6" t="str">
        <f>IFERROR(IF(Eingabe[[#This Row],[Wo]]="H",IF(Eingabe[[#This Row],[S1]]&gt;0,IF(MOD(ROW(Eingabe[[#This Row],[Heimbahn 4]]),2)=1,Eingabe[[#This Row],[S3]],Eingabe[[#This Row],[S2]]),""),""),"")</f>
        <v/>
      </c>
      <c r="AU653" s="22" t="str">
        <f>IF(Eingabe[[#This Row],[GES]]="","",IF(Eingabe[[#This Row],[Modus]]="L",_xlfn.RANK.EQ(Eingabe[[#This Row],[GES]],AF651:AF656),IF(Eingabe[[#This Row],[Modus]]="P",_xlfn.RANK.EQ(Eingabe[[#This Row],[GES]],AF651:AF656),"")))</f>
        <v/>
      </c>
      <c r="AV653" s="6" t="e">
        <f>VLOOKUP(Eingabe[[#This Row],[Name]],AuswertungG[],8,FALSE)</f>
        <v>#N/A</v>
      </c>
      <c r="AZ653" s="6" t="str">
        <f>IFERROR(ABS(Eingabe[[#This Row],[GES]]-Eingabe[[#This Row],[GEGGES]]),"")</f>
        <v/>
      </c>
    </row>
    <row r="654" spans="1:52" hidden="1" x14ac:dyDescent="0.3">
      <c r="A654" s="441"/>
      <c r="B654" s="21">
        <f t="shared" si="62"/>
        <v>109</v>
      </c>
      <c r="C654" s="6">
        <f>VLOOKUP($B654,Chronologie[],7,TRUE)</f>
        <v>0</v>
      </c>
      <c r="D654" s="6">
        <f>VLOOKUP($B654,Chronologie[],8,TRUE)</f>
        <v>0</v>
      </c>
      <c r="E654" s="240">
        <f>VLOOKUP($B654,Chronologie[],9,TRUE)</f>
        <v>0</v>
      </c>
      <c r="F654" s="6">
        <f>VLOOKUP($B654,Chronologie[],COLUMN(F655)-2,TRUE)</f>
        <v>0</v>
      </c>
      <c r="G654" s="6">
        <f>VLOOKUP($B654,Chronologie[],COLUMN(G655)-2,TRUE)</f>
        <v>0</v>
      </c>
      <c r="H654" s="6">
        <f>VLOOKUP($B654,Chronologie[],COLUMN(H655)-2,TRUE)</f>
        <v>0</v>
      </c>
      <c r="I654" s="10" t="str">
        <f>VLOOKUP($B654,Chronologie[],2,TRUE)</f>
        <v>--</v>
      </c>
      <c r="J654" s="243">
        <f>VLOOKUP($B654,Chronologie[],3,TRUE)</f>
        <v>0</v>
      </c>
      <c r="K654" s="238"/>
      <c r="L654" s="237"/>
      <c r="M654" s="237"/>
      <c r="N654" s="237"/>
      <c r="O654" s="237"/>
      <c r="P654" s="237"/>
      <c r="Q654" s="237"/>
      <c r="R654" s="237"/>
      <c r="S654" s="237"/>
      <c r="T654" s="237"/>
      <c r="U654" s="237"/>
      <c r="V654" s="237"/>
      <c r="W654" s="237"/>
      <c r="X654" s="38"/>
      <c r="Y654" s="38"/>
      <c r="Z654" s="38"/>
      <c r="AA654" s="38"/>
      <c r="AB654" s="91"/>
      <c r="AC654" s="94" t="str">
        <f>IF(Eingabe[[#This Row],[V1]]="",IF(Eingabe[[#This Row],[Volle alternativ]]="","",Eingabe[[#This Row],[Volle alternativ]]),SUM(Eingabe[[#This Row],[V1]:[V4]]))</f>
        <v/>
      </c>
      <c r="AD654" s="6" t="str">
        <f>IF(Eingabe[[#This Row],[R1]]="",IF(Eingabe[[#This Row],[Räumer alternativ]]="","",Eingabe[[#This Row],[Räumer alternativ]]),SUM(Eingabe[[#This Row],[R1]:[R4]]))</f>
        <v/>
      </c>
      <c r="AE654" s="6" t="str">
        <f>IF(Eingabe[[#This Row],[F1]]="",IF(Eingabe[[#This Row],[Fehler alternativ]]="","",Eingabe[[#This Row],[Fehler alternativ]]),SUM(Eingabe[[#This Row],[F1]:[F4]]))</f>
        <v/>
      </c>
      <c r="AF654" s="6" t="str">
        <f>IF(Eingabe[[#This Row],[Volle]]="","",IF(Eingabe[[#This Row],[S1]]="",Eingabe[[#This Row],[Volle]]+Eingabe[[#This Row],[Räumer]],IF(Eingabe[[#This Row],[Volle]]+Eingabe[[#This Row],[Räumer]]=Eingabe[[#This Row],[S1]]+Eingabe[[#This Row],[S2]]+Eingabe[[#This Row],[S3]]+Eingabe[[#This Row],[S4]],Eingabe[[#This Row],[Volle]]+Eingabe[[#This Row],[Räumer]],"FEHLER")))</f>
        <v/>
      </c>
      <c r="AG654" s="6" t="str">
        <f>IF(Eingabe[[#This Row],[V1]]="","",Eingabe[[#This Row],[V1]]+Eingabe[[#This Row],[R1]])</f>
        <v/>
      </c>
      <c r="AH654" s="6" t="str">
        <f>IF(Eingabe[[#This Row],[V2]]="","",Eingabe[[#This Row],[V2]]+Eingabe[[#This Row],[R2]])</f>
        <v/>
      </c>
      <c r="AI654" s="6" t="str">
        <f>IF(Eingabe[[#This Row],[V3]]="","",Eingabe[[#This Row],[V3]]+Eingabe[[#This Row],[R3]])</f>
        <v/>
      </c>
      <c r="AJ654" s="6" t="str">
        <f>IF(Eingabe[[#This Row],[V4]]="","",Eingabe[[#This Row],[V4]]+Eingabe[[#This Row],[R4]])</f>
        <v/>
      </c>
      <c r="AK654" s="6" t="str">
        <f>IF(Eingabe[[#This Row],[S1P]]="","",Eingabe[[#This Row],[S1P]]+Eingabe[[#This Row],[S2P]]+Eingabe[[#This Row],[S3P]]+Eingabe[[#This Row],[S4P]])</f>
        <v/>
      </c>
      <c r="AL654" s="6" t="str">
        <f>IF(Eingabe[[#This Row],[S1P]]="","",IF(Eingabe[[#This Row],[SP]]&gt;2,1,IF(Eingabe[[#This Row],[SP]]&lt;2,0,IF(Eingabe[[#This Row],[GES]]&gt;Eingabe[[#This Row],[GEGGES]],1,IF(Eingabe[[#This Row],[GES]]=Eingabe[[#This Row],[GEGGES]],0.5,0)))))</f>
        <v/>
      </c>
      <c r="AM654" s="6" t="str">
        <f>IF(Eingabe[[#This Row],[MP]]="","",MOD(ROW(Eingabe[[#This Row],[Position]])-3,6)+1)</f>
        <v/>
      </c>
      <c r="AN654" s="6" t="e">
        <f>STANDARDIZE(Eingabe[[#This Row],[GES]],Eingabe[[#This Row],[Schnitt]],VLOOKUP(Eingabe[[#This Row],[Name]],AuswertungG[],21,FALSE))</f>
        <v>#VALUE!</v>
      </c>
      <c r="AO654" s="6" t="str">
        <f>VLOOKUP(Eingabe[[#This Row],[ID]],Chronologie[[ID]:[KW]],12,FALSE)</f>
        <v/>
      </c>
      <c r="AP654" s="95">
        <f>IF(Eingabe[[#This Row],[Wo]]="H",Eingabe[[#This Row],[Gegner]]&amp;" ["&amp;Eingabe[[#This Row],[Wo]]&amp;"]",Eingabe[[#This Row],[Ort]])</f>
        <v>0</v>
      </c>
      <c r="AQ654" s="6" t="str">
        <f>IFERROR(IF(Eingabe[[#This Row],[Wo]]="H",IF(MOD(Eingabe[[#This Row],[Position]],2)=1,Eingabe[[#This Row],[S1]],Eingabe[[#This Row],[S4]]),""),"")</f>
        <v/>
      </c>
      <c r="AR654" s="6" t="str">
        <f>IFERROR(IF(Eingabe[[#This Row],[Wo]]="H",IF(Eingabe[[#This Row],[S1]]&gt;0,IF(MOD(Eingabe[[#This Row],[Position]],2)=1,Eingabe[[#This Row],[S2]],Eingabe[[#This Row],[S3]]),""),""),"")</f>
        <v/>
      </c>
      <c r="AS654" s="6" t="str">
        <f>IFERROR(IF(Eingabe[[#This Row],[Wo]]="H",IF(Eingabe[[#This Row],[S1]]&gt;0,IF(MOD(ROW(Eingabe[[#This Row],[Heimbahn 3]]),2)=1,Eingabe[[#This Row],[S4]],Eingabe[[#This Row],[S1]]),""),""),"")</f>
        <v/>
      </c>
      <c r="AT654" s="6" t="str">
        <f>IFERROR(IF(Eingabe[[#This Row],[Wo]]="H",IF(Eingabe[[#This Row],[S1]]&gt;0,IF(MOD(ROW(Eingabe[[#This Row],[Heimbahn 4]]),2)=1,Eingabe[[#This Row],[S3]],Eingabe[[#This Row],[S2]]),""),""),"")</f>
        <v/>
      </c>
      <c r="AU654" s="22" t="str">
        <f>IF(Eingabe[[#This Row],[GES]]="","",IF(Eingabe[[#This Row],[Modus]]="L",_xlfn.RANK.EQ(Eingabe[[#This Row],[GES]],AF651:AF656),IF(Eingabe[[#This Row],[Modus]]="P",_xlfn.RANK.EQ(Eingabe[[#This Row],[GES]],AF651:AF656),"")))</f>
        <v/>
      </c>
      <c r="AV654" s="6" t="e">
        <f>VLOOKUP(Eingabe[[#This Row],[Name]],AuswertungG[],8,FALSE)</f>
        <v>#N/A</v>
      </c>
      <c r="AZ654" s="6" t="str">
        <f>IFERROR(ABS(Eingabe[[#This Row],[GES]]-Eingabe[[#This Row],[GEGGES]]),"")</f>
        <v/>
      </c>
    </row>
    <row r="655" spans="1:52" hidden="1" x14ac:dyDescent="0.3">
      <c r="A655" s="441"/>
      <c r="B655" s="21">
        <f t="shared" si="62"/>
        <v>109</v>
      </c>
      <c r="C655" s="6">
        <f>VLOOKUP($B655,Chronologie[],7,TRUE)</f>
        <v>0</v>
      </c>
      <c r="D655" s="6">
        <f>VLOOKUP($B655,Chronologie[],8,TRUE)</f>
        <v>0</v>
      </c>
      <c r="E655" s="240">
        <f>VLOOKUP($B655,Chronologie[],9,TRUE)</f>
        <v>0</v>
      </c>
      <c r="F655" s="6">
        <f>VLOOKUP($B655,Chronologie[],COLUMN(F656)-2,TRUE)</f>
        <v>0</v>
      </c>
      <c r="G655" s="6">
        <f>VLOOKUP($B655,Chronologie[],COLUMN(G656)-2,TRUE)</f>
        <v>0</v>
      </c>
      <c r="H655" s="6">
        <f>VLOOKUP($B655,Chronologie[],COLUMN(H656)-2,TRUE)</f>
        <v>0</v>
      </c>
      <c r="I655" s="10" t="str">
        <f>VLOOKUP($B655,Chronologie[],2,TRUE)</f>
        <v>--</v>
      </c>
      <c r="J655" s="243">
        <f>VLOOKUP($B655,Chronologie[],3,TRUE)</f>
        <v>0</v>
      </c>
      <c r="K655" s="237"/>
      <c r="L655" s="237"/>
      <c r="M655" s="237"/>
      <c r="N655" s="237"/>
      <c r="O655" s="237"/>
      <c r="P655" s="237"/>
      <c r="Q655" s="237"/>
      <c r="R655" s="237"/>
      <c r="S655" s="237"/>
      <c r="T655" s="237"/>
      <c r="U655" s="237"/>
      <c r="V655" s="237"/>
      <c r="W655" s="237"/>
      <c r="X655" s="38"/>
      <c r="Y655" s="38"/>
      <c r="Z655" s="38"/>
      <c r="AA655" s="38"/>
      <c r="AB655" s="91"/>
      <c r="AC655" s="94" t="str">
        <f>IF(Eingabe[[#This Row],[V1]]="",IF(Eingabe[[#This Row],[Volle alternativ]]="","",Eingabe[[#This Row],[Volle alternativ]]),SUM(Eingabe[[#This Row],[V1]:[V4]]))</f>
        <v/>
      </c>
      <c r="AD655" s="6" t="str">
        <f>IF(Eingabe[[#This Row],[R1]]="",IF(Eingabe[[#This Row],[Räumer alternativ]]="","",Eingabe[[#This Row],[Räumer alternativ]]),SUM(Eingabe[[#This Row],[R1]:[R4]]))</f>
        <v/>
      </c>
      <c r="AE655" s="6" t="str">
        <f>IF(Eingabe[[#This Row],[F1]]="",IF(Eingabe[[#This Row],[Fehler alternativ]]="","",Eingabe[[#This Row],[Fehler alternativ]]),SUM(Eingabe[[#This Row],[F1]:[F4]]))</f>
        <v/>
      </c>
      <c r="AF655" s="6" t="str">
        <f>IF(Eingabe[[#This Row],[Volle]]="","",IF(Eingabe[[#This Row],[S1]]="",Eingabe[[#This Row],[Volle]]+Eingabe[[#This Row],[Räumer]],IF(Eingabe[[#This Row],[Volle]]+Eingabe[[#This Row],[Räumer]]=Eingabe[[#This Row],[S1]]+Eingabe[[#This Row],[S2]]+Eingabe[[#This Row],[S3]]+Eingabe[[#This Row],[S4]],Eingabe[[#This Row],[Volle]]+Eingabe[[#This Row],[Räumer]],"FEHLER")))</f>
        <v/>
      </c>
      <c r="AG655" s="6" t="str">
        <f>IF(Eingabe[[#This Row],[V1]]="","",Eingabe[[#This Row],[V1]]+Eingabe[[#This Row],[R1]])</f>
        <v/>
      </c>
      <c r="AH655" s="6" t="str">
        <f>IF(Eingabe[[#This Row],[V2]]="","",Eingabe[[#This Row],[V2]]+Eingabe[[#This Row],[R2]])</f>
        <v/>
      </c>
      <c r="AI655" s="6" t="str">
        <f>IF(Eingabe[[#This Row],[V3]]="","",Eingabe[[#This Row],[V3]]+Eingabe[[#This Row],[R3]])</f>
        <v/>
      </c>
      <c r="AJ655" s="6" t="str">
        <f>IF(Eingabe[[#This Row],[V4]]="","",Eingabe[[#This Row],[V4]]+Eingabe[[#This Row],[R4]])</f>
        <v/>
      </c>
      <c r="AK655" s="6" t="str">
        <f>IF(Eingabe[[#This Row],[S1P]]="","",Eingabe[[#This Row],[S1P]]+Eingabe[[#This Row],[S2P]]+Eingabe[[#This Row],[S3P]]+Eingabe[[#This Row],[S4P]])</f>
        <v/>
      </c>
      <c r="AL655" s="6" t="str">
        <f>IF(Eingabe[[#This Row],[S1P]]="","",IF(Eingabe[[#This Row],[SP]]&gt;2,1,IF(Eingabe[[#This Row],[SP]]&lt;2,0,IF(Eingabe[[#This Row],[GES]]&gt;Eingabe[[#This Row],[GEGGES]],1,IF(Eingabe[[#This Row],[GES]]=Eingabe[[#This Row],[GEGGES]],0.5,0)))))</f>
        <v/>
      </c>
      <c r="AM655" s="6" t="str">
        <f>IF(Eingabe[[#This Row],[MP]]="","",MOD(ROW(Eingabe[[#This Row],[Position]])-3,6)+1)</f>
        <v/>
      </c>
      <c r="AN655" s="6" t="e">
        <f>STANDARDIZE(Eingabe[[#This Row],[GES]],Eingabe[[#This Row],[Schnitt]],VLOOKUP(Eingabe[[#This Row],[Name]],AuswertungG[],21,FALSE))</f>
        <v>#VALUE!</v>
      </c>
      <c r="AO655" s="6" t="str">
        <f>VLOOKUP(Eingabe[[#This Row],[ID]],Chronologie[[ID]:[KW]],12,FALSE)</f>
        <v/>
      </c>
      <c r="AP655" s="95">
        <f>IF(Eingabe[[#This Row],[Wo]]="H",Eingabe[[#This Row],[Gegner]]&amp;" ["&amp;Eingabe[[#This Row],[Wo]]&amp;"]",Eingabe[[#This Row],[Ort]])</f>
        <v>0</v>
      </c>
      <c r="AQ655" s="6" t="str">
        <f>IFERROR(IF(Eingabe[[#This Row],[Wo]]="H",IF(MOD(Eingabe[[#This Row],[Position]],2)=1,Eingabe[[#This Row],[S1]],Eingabe[[#This Row],[S4]]),""),"")</f>
        <v/>
      </c>
      <c r="AR655" s="6" t="str">
        <f>IFERROR(IF(Eingabe[[#This Row],[Wo]]="H",IF(Eingabe[[#This Row],[S1]]&gt;0,IF(MOD(Eingabe[[#This Row],[Position]],2)=1,Eingabe[[#This Row],[S2]],Eingabe[[#This Row],[S3]]),""),""),"")</f>
        <v/>
      </c>
      <c r="AS655" s="6" t="str">
        <f>IFERROR(IF(Eingabe[[#This Row],[Wo]]="H",IF(Eingabe[[#This Row],[S1]]&gt;0,IF(MOD(ROW(Eingabe[[#This Row],[Heimbahn 3]]),2)=1,Eingabe[[#This Row],[S4]],Eingabe[[#This Row],[S1]]),""),""),"")</f>
        <v/>
      </c>
      <c r="AT655" s="6" t="str">
        <f>IFERROR(IF(Eingabe[[#This Row],[Wo]]="H",IF(Eingabe[[#This Row],[S1]]&gt;0,IF(MOD(ROW(Eingabe[[#This Row],[Heimbahn 4]]),2)=1,Eingabe[[#This Row],[S3]],Eingabe[[#This Row],[S2]]),""),""),"")</f>
        <v/>
      </c>
      <c r="AU655" s="22" t="str">
        <f>IF(Eingabe[[#This Row],[GES]]="","",IF(Eingabe[[#This Row],[Modus]]="L",_xlfn.RANK.EQ(Eingabe[[#This Row],[GES]],AF651:AF656),IF(Eingabe[[#This Row],[Modus]]="P",_xlfn.RANK.EQ(Eingabe[[#This Row],[GES]],AF651:AF656),"")))</f>
        <v/>
      </c>
      <c r="AV655" s="6" t="e">
        <f>VLOOKUP(Eingabe[[#This Row],[Name]],AuswertungG[],8,FALSE)</f>
        <v>#N/A</v>
      </c>
      <c r="AZ655" s="6" t="str">
        <f>IFERROR(ABS(Eingabe[[#This Row],[GES]]-Eingabe[[#This Row],[GEGGES]]),"")</f>
        <v/>
      </c>
    </row>
    <row r="656" spans="1:52" ht="16.2" hidden="1" thickBot="1" x14ac:dyDescent="0.35">
      <c r="A656" s="442"/>
      <c r="B656" s="56">
        <f t="shared" si="62"/>
        <v>109</v>
      </c>
      <c r="C656" s="23">
        <f>VLOOKUP($B656,Chronologie[],7,TRUE)</f>
        <v>0</v>
      </c>
      <c r="D656" s="23">
        <f>VLOOKUP($B656,Chronologie[],8,TRUE)</f>
        <v>0</v>
      </c>
      <c r="E656" s="39">
        <f>VLOOKUP($B656,Chronologie[],9,TRUE)</f>
        <v>0</v>
      </c>
      <c r="F656" s="23">
        <f>VLOOKUP($B656,Chronologie[],COLUMN(F657)-2,TRUE)</f>
        <v>0</v>
      </c>
      <c r="G656" s="23">
        <f>VLOOKUP($B656,Chronologie[],COLUMN(G657)-2,TRUE)</f>
        <v>0</v>
      </c>
      <c r="H656" s="23">
        <f>VLOOKUP($B656,Chronologie[],COLUMN(H657)-2,TRUE)</f>
        <v>0</v>
      </c>
      <c r="I656" s="13" t="str">
        <f>VLOOKUP($B656,Chronologie[],2,TRUE)</f>
        <v>--</v>
      </c>
      <c r="J656" s="244">
        <f>VLOOKUP($B656,Chronologie[],3,TRUE)</f>
        <v>0</v>
      </c>
      <c r="K656" s="239"/>
      <c r="L656" s="239"/>
      <c r="M656" s="239"/>
      <c r="N656" s="239"/>
      <c r="O656" s="239"/>
      <c r="P656" s="239"/>
      <c r="Q656" s="239"/>
      <c r="R656" s="239"/>
      <c r="S656" s="239"/>
      <c r="T656" s="239"/>
      <c r="U656" s="239"/>
      <c r="V656" s="239"/>
      <c r="W656" s="239"/>
      <c r="X656" s="40"/>
      <c r="Y656" s="40"/>
      <c r="Z656" s="40"/>
      <c r="AA656" s="40"/>
      <c r="AB656" s="92"/>
      <c r="AC656" s="96" t="str">
        <f>IF(Eingabe[[#This Row],[V1]]="",IF(Eingabe[[#This Row],[Volle alternativ]]="","",Eingabe[[#This Row],[Volle alternativ]]),SUM(Eingabe[[#This Row],[V1]:[V4]]))</f>
        <v/>
      </c>
      <c r="AD656" s="23" t="str">
        <f>IF(Eingabe[[#This Row],[R1]]="",IF(Eingabe[[#This Row],[Räumer alternativ]]="","",Eingabe[[#This Row],[Räumer alternativ]]),SUM(Eingabe[[#This Row],[R1]:[R4]]))</f>
        <v/>
      </c>
      <c r="AE656" s="23" t="str">
        <f>IF(Eingabe[[#This Row],[F1]]="",IF(Eingabe[[#This Row],[Fehler alternativ]]="","",Eingabe[[#This Row],[Fehler alternativ]]),SUM(Eingabe[[#This Row],[F1]:[F4]]))</f>
        <v/>
      </c>
      <c r="AF656" s="23" t="str">
        <f>IF(Eingabe[[#This Row],[Volle]]="","",IF(Eingabe[[#This Row],[S1]]="",Eingabe[[#This Row],[Volle]]+Eingabe[[#This Row],[Räumer]],IF(Eingabe[[#This Row],[Volle]]+Eingabe[[#This Row],[Räumer]]=Eingabe[[#This Row],[S1]]+Eingabe[[#This Row],[S2]]+Eingabe[[#This Row],[S3]]+Eingabe[[#This Row],[S4]],Eingabe[[#This Row],[Volle]]+Eingabe[[#This Row],[Räumer]],"FEHLER")))</f>
        <v/>
      </c>
      <c r="AG656" s="23" t="str">
        <f>IF(Eingabe[[#This Row],[V1]]="","",Eingabe[[#This Row],[V1]]+Eingabe[[#This Row],[R1]])</f>
        <v/>
      </c>
      <c r="AH656" s="23" t="str">
        <f>IF(Eingabe[[#This Row],[V2]]="","",Eingabe[[#This Row],[V2]]+Eingabe[[#This Row],[R2]])</f>
        <v/>
      </c>
      <c r="AI656" s="23" t="str">
        <f>IF(Eingabe[[#This Row],[V3]]="","",Eingabe[[#This Row],[V3]]+Eingabe[[#This Row],[R3]])</f>
        <v/>
      </c>
      <c r="AJ656" s="23" t="str">
        <f>IF(Eingabe[[#This Row],[V4]]="","",Eingabe[[#This Row],[V4]]+Eingabe[[#This Row],[R4]])</f>
        <v/>
      </c>
      <c r="AK656" s="23" t="str">
        <f>IF(Eingabe[[#This Row],[S1P]]="","",Eingabe[[#This Row],[S1P]]+Eingabe[[#This Row],[S2P]]+Eingabe[[#This Row],[S3P]]+Eingabe[[#This Row],[S4P]])</f>
        <v/>
      </c>
      <c r="AL656" s="23" t="str">
        <f>IF(Eingabe[[#This Row],[S1P]]="","",IF(Eingabe[[#This Row],[SP]]&gt;2,1,IF(Eingabe[[#This Row],[SP]]&lt;2,0,IF(Eingabe[[#This Row],[GES]]&gt;Eingabe[[#This Row],[GEGGES]],1,IF(Eingabe[[#This Row],[GES]]=Eingabe[[#This Row],[GEGGES]],0.5,0)))))</f>
        <v/>
      </c>
      <c r="AM656" s="23" t="str">
        <f>IF(Eingabe[[#This Row],[MP]]="","",MOD(ROW(Eingabe[[#This Row],[Position]])-3,6)+1)</f>
        <v/>
      </c>
      <c r="AN656" s="23" t="e">
        <f>STANDARDIZE(Eingabe[[#This Row],[GES]],Eingabe[[#This Row],[Schnitt]],VLOOKUP(Eingabe[[#This Row],[Name]],AuswertungG[],21,FALSE))</f>
        <v>#VALUE!</v>
      </c>
      <c r="AO656" s="23" t="str">
        <f>VLOOKUP(Eingabe[[#This Row],[ID]],Chronologie[[ID]:[KW]],12,FALSE)</f>
        <v/>
      </c>
      <c r="AP656" s="59">
        <f>IF(Eingabe[[#This Row],[Wo]]="H",Eingabe[[#This Row],[Gegner]]&amp;" ["&amp;Eingabe[[#This Row],[Wo]]&amp;"]",Eingabe[[#This Row],[Ort]])</f>
        <v>0</v>
      </c>
      <c r="AQ656" s="23" t="str">
        <f>IFERROR(IF(Eingabe[[#This Row],[Wo]]="H",IF(MOD(Eingabe[[#This Row],[Position]],2)=1,Eingabe[[#This Row],[S1]],Eingabe[[#This Row],[S4]]),""),"")</f>
        <v/>
      </c>
      <c r="AR656" s="23" t="str">
        <f>IFERROR(IF(Eingabe[[#This Row],[Wo]]="H",IF(Eingabe[[#This Row],[S1]]&gt;0,IF(MOD(Eingabe[[#This Row],[Position]],2)=1,Eingabe[[#This Row],[S2]],Eingabe[[#This Row],[S3]]),""),""),"")</f>
        <v/>
      </c>
      <c r="AS656" s="23" t="str">
        <f>IFERROR(IF(Eingabe[[#This Row],[Wo]]="H",IF(Eingabe[[#This Row],[S1]]&gt;0,IF(MOD(ROW(Eingabe[[#This Row],[Heimbahn 3]]),2)=1,Eingabe[[#This Row],[S4]],Eingabe[[#This Row],[S1]]),""),""),"")</f>
        <v/>
      </c>
      <c r="AT656" s="23" t="str">
        <f>IFERROR(IF(Eingabe[[#This Row],[Wo]]="H",IF(Eingabe[[#This Row],[S1]]&gt;0,IF(MOD(ROW(Eingabe[[#This Row],[Heimbahn 4]]),2)=1,Eingabe[[#This Row],[S3]],Eingabe[[#This Row],[S2]]),""),""),"")</f>
        <v/>
      </c>
      <c r="AU656" s="89" t="str">
        <f>IF(Eingabe[[#This Row],[GES]]="","",IF(Eingabe[[#This Row],[Modus]]="L",_xlfn.RANK.EQ(Eingabe[[#This Row],[GES]],AF651:AF656),IF(Eingabe[[#This Row],[Modus]]="P",_xlfn.RANK.EQ(Eingabe[[#This Row],[GES]],AF651:AF656),"")))</f>
        <v/>
      </c>
      <c r="AV656" s="6" t="e">
        <f>VLOOKUP(Eingabe[[#This Row],[Name]],AuswertungG[],8,FALSE)</f>
        <v>#N/A</v>
      </c>
      <c r="AZ656" s="6" t="str">
        <f>IFERROR(ABS(Eingabe[[#This Row],[GES]]-Eingabe[[#This Row],[GEGGES]]),"")</f>
        <v/>
      </c>
    </row>
    <row r="657" spans="1:52" hidden="1" x14ac:dyDescent="0.3">
      <c r="A657" s="440">
        <f t="shared" ref="A657" si="66">B657</f>
        <v>110</v>
      </c>
      <c r="B657" s="55">
        <f t="shared" si="62"/>
        <v>110</v>
      </c>
      <c r="C657" s="35">
        <f>VLOOKUP($B657,Chronologie[],7,TRUE)</f>
        <v>0</v>
      </c>
      <c r="D657" s="35">
        <f>VLOOKUP($B657,Chronologie[],8,TRUE)</f>
        <v>0</v>
      </c>
      <c r="E657" s="36">
        <f>VLOOKUP($B657,Chronologie[],9,TRUE)</f>
        <v>0</v>
      </c>
      <c r="F657" s="35">
        <f>VLOOKUP($B657,Chronologie[],COLUMN(F658)-2,TRUE)</f>
        <v>0</v>
      </c>
      <c r="G657" s="35">
        <f>VLOOKUP($B657,Chronologie[],COLUMN(G658)-2,TRUE)</f>
        <v>0</v>
      </c>
      <c r="H657" s="35">
        <f>VLOOKUP($B657,Chronologie[],COLUMN(H658)-2,TRUE)</f>
        <v>0</v>
      </c>
      <c r="I657" s="9" t="str">
        <f>VLOOKUP($B657,Chronologie[],2,TRUE)</f>
        <v>--</v>
      </c>
      <c r="J657" s="242">
        <f>VLOOKUP($B657,Chronologie[],3,TRUE)</f>
        <v>0</v>
      </c>
      <c r="K657" s="236"/>
      <c r="L657" s="236"/>
      <c r="M657" s="236"/>
      <c r="N657" s="236"/>
      <c r="O657" s="236"/>
      <c r="P657" s="236"/>
      <c r="Q657" s="236"/>
      <c r="R657" s="236"/>
      <c r="S657" s="236"/>
      <c r="T657" s="236"/>
      <c r="U657" s="236"/>
      <c r="V657" s="236"/>
      <c r="W657" s="236"/>
      <c r="X657" s="37"/>
      <c r="Y657" s="37"/>
      <c r="Z657" s="37"/>
      <c r="AA657" s="37"/>
      <c r="AB657" s="90"/>
      <c r="AC657" s="93" t="str">
        <f>IF(Eingabe[[#This Row],[V1]]="",IF(Eingabe[[#This Row],[Volle alternativ]]="","",Eingabe[[#This Row],[Volle alternativ]]),SUM(Eingabe[[#This Row],[V1]:[V4]]))</f>
        <v/>
      </c>
      <c r="AD657" s="35" t="str">
        <f>IF(Eingabe[[#This Row],[R1]]="",IF(Eingabe[[#This Row],[Räumer alternativ]]="","",Eingabe[[#This Row],[Räumer alternativ]]),SUM(Eingabe[[#This Row],[R1]:[R4]]))</f>
        <v/>
      </c>
      <c r="AE657" s="35" t="str">
        <f>IF(Eingabe[[#This Row],[F1]]="",IF(Eingabe[[#This Row],[Fehler alternativ]]="","",Eingabe[[#This Row],[Fehler alternativ]]),SUM(Eingabe[[#This Row],[F1]:[F4]]))</f>
        <v/>
      </c>
      <c r="AF657" s="35" t="str">
        <f>IF(Eingabe[[#This Row],[Volle]]="","",IF(Eingabe[[#This Row],[S1]]="",Eingabe[[#This Row],[Volle]]+Eingabe[[#This Row],[Räumer]],IF(Eingabe[[#This Row],[Volle]]+Eingabe[[#This Row],[Räumer]]=Eingabe[[#This Row],[S1]]+Eingabe[[#This Row],[S2]]+Eingabe[[#This Row],[S3]]+Eingabe[[#This Row],[S4]],Eingabe[[#This Row],[Volle]]+Eingabe[[#This Row],[Räumer]],"FEHLER")))</f>
        <v/>
      </c>
      <c r="AG657" s="35" t="str">
        <f>IF(Eingabe[[#This Row],[V1]]="","",Eingabe[[#This Row],[V1]]+Eingabe[[#This Row],[R1]])</f>
        <v/>
      </c>
      <c r="AH657" s="35" t="str">
        <f>IF(Eingabe[[#This Row],[V2]]="","",Eingabe[[#This Row],[V2]]+Eingabe[[#This Row],[R2]])</f>
        <v/>
      </c>
      <c r="AI657" s="35" t="str">
        <f>IF(Eingabe[[#This Row],[V3]]="","",Eingabe[[#This Row],[V3]]+Eingabe[[#This Row],[R3]])</f>
        <v/>
      </c>
      <c r="AJ657" s="35" t="str">
        <f>IF(Eingabe[[#This Row],[V4]]="","",Eingabe[[#This Row],[V4]]+Eingabe[[#This Row],[R4]])</f>
        <v/>
      </c>
      <c r="AK657" s="35" t="str">
        <f>IF(Eingabe[[#This Row],[S1P]]="","",Eingabe[[#This Row],[S1P]]+Eingabe[[#This Row],[S2P]]+Eingabe[[#This Row],[S3P]]+Eingabe[[#This Row],[S4P]])</f>
        <v/>
      </c>
      <c r="AL657" s="35" t="str">
        <f>IF(Eingabe[[#This Row],[S1P]]="","",IF(Eingabe[[#This Row],[SP]]&gt;2,1,IF(Eingabe[[#This Row],[SP]]&lt;2,0,IF(Eingabe[[#This Row],[GES]]&gt;Eingabe[[#This Row],[GEGGES]],1,IF(Eingabe[[#This Row],[GES]]=Eingabe[[#This Row],[GEGGES]],0.5,0)))))</f>
        <v/>
      </c>
      <c r="AM657" s="35" t="str">
        <f>IF(Eingabe[[#This Row],[MP]]="","",MOD(ROW(Eingabe[[#This Row],[Position]])-3,6)+1)</f>
        <v/>
      </c>
      <c r="AN657" s="35" t="e">
        <f>STANDARDIZE(Eingabe[[#This Row],[GES]],Eingabe[[#This Row],[Schnitt]],VLOOKUP(Eingabe[[#This Row],[Name]],AuswertungG[],21,FALSE))</f>
        <v>#VALUE!</v>
      </c>
      <c r="AO657" s="35" t="str">
        <f>VLOOKUP(Eingabe[[#This Row],[ID]],Chronologie[[ID]:[KW]],12,FALSE)</f>
        <v/>
      </c>
      <c r="AP657" s="58">
        <f>IF(Eingabe[[#This Row],[Wo]]="H",Eingabe[[#This Row],[Gegner]]&amp;" ["&amp;Eingabe[[#This Row],[Wo]]&amp;"]",Eingabe[[#This Row],[Ort]])</f>
        <v>0</v>
      </c>
      <c r="AQ657" s="35" t="str">
        <f>IFERROR(IF(Eingabe[[#This Row],[Wo]]="H",IF(MOD(Eingabe[[#This Row],[Position]],2)=1,Eingabe[[#This Row],[S1]],Eingabe[[#This Row],[S4]]),""),"")</f>
        <v/>
      </c>
      <c r="AR657" s="35" t="str">
        <f>IFERROR(IF(Eingabe[[#This Row],[Wo]]="H",IF(Eingabe[[#This Row],[S1]]&gt;0,IF(MOD(Eingabe[[#This Row],[Position]],2)=1,Eingabe[[#This Row],[S2]],Eingabe[[#This Row],[S3]]),""),""),"")</f>
        <v/>
      </c>
      <c r="AS657" s="35" t="str">
        <f>IFERROR(IF(Eingabe[[#This Row],[Wo]]="H",IF(Eingabe[[#This Row],[S1]]&gt;0,IF(MOD(ROW(Eingabe[[#This Row],[Heimbahn 3]]),2)=1,Eingabe[[#This Row],[S4]],Eingabe[[#This Row],[S1]]),""),""),"")</f>
        <v/>
      </c>
      <c r="AT657" s="35" t="str">
        <f>IFERROR(IF(Eingabe[[#This Row],[Wo]]="H",IF(Eingabe[[#This Row],[S1]]&gt;0,IF(MOD(ROW(Eingabe[[#This Row],[Heimbahn 4]]),2)=1,Eingabe[[#This Row],[S3]],Eingabe[[#This Row],[S2]]),""),""),"")</f>
        <v/>
      </c>
      <c r="AU657" s="88" t="str">
        <f>IF(Eingabe[[#This Row],[GES]]="","",IF(Eingabe[[#This Row],[Modus]]="L",_xlfn.RANK.EQ(Eingabe[[#This Row],[GES]],AF657:AF662),IF(Eingabe[[#This Row],[Modus]]="P",_xlfn.RANK.EQ(Eingabe[[#This Row],[GES]],AF657:AF662),"")))</f>
        <v/>
      </c>
      <c r="AV657" s="6" t="e">
        <f>VLOOKUP(Eingabe[[#This Row],[Name]],AuswertungG[],8,FALSE)</f>
        <v>#N/A</v>
      </c>
      <c r="AZ657" s="6" t="str">
        <f>IFERROR(ABS(Eingabe[[#This Row],[GES]]-Eingabe[[#This Row],[GEGGES]]),"")</f>
        <v/>
      </c>
    </row>
    <row r="658" spans="1:52" hidden="1" x14ac:dyDescent="0.3">
      <c r="A658" s="441"/>
      <c r="B658" s="21">
        <f t="shared" si="62"/>
        <v>110</v>
      </c>
      <c r="C658" s="6">
        <f>VLOOKUP($B658,Chronologie[],7,TRUE)</f>
        <v>0</v>
      </c>
      <c r="D658" s="6">
        <f>VLOOKUP($B658,Chronologie[],8,TRUE)</f>
        <v>0</v>
      </c>
      <c r="E658" s="240">
        <f>VLOOKUP($B658,Chronologie[],9,TRUE)</f>
        <v>0</v>
      </c>
      <c r="F658" s="6">
        <f>VLOOKUP($B658,Chronologie[],COLUMN(F659)-2,TRUE)</f>
        <v>0</v>
      </c>
      <c r="G658" s="6">
        <f>VLOOKUP($B658,Chronologie[],COLUMN(G659)-2,TRUE)</f>
        <v>0</v>
      </c>
      <c r="H658" s="6">
        <f>VLOOKUP($B658,Chronologie[],COLUMN(H659)-2,TRUE)</f>
        <v>0</v>
      </c>
      <c r="I658" s="10" t="str">
        <f>VLOOKUP($B658,Chronologie[],2,TRUE)</f>
        <v>--</v>
      </c>
      <c r="J658" s="243">
        <f>VLOOKUP($B658,Chronologie[],3,TRUE)</f>
        <v>0</v>
      </c>
      <c r="K658" s="237"/>
      <c r="L658" s="237"/>
      <c r="M658" s="237"/>
      <c r="N658" s="237"/>
      <c r="O658" s="237"/>
      <c r="P658" s="237"/>
      <c r="Q658" s="237"/>
      <c r="R658" s="237"/>
      <c r="S658" s="237"/>
      <c r="T658" s="237"/>
      <c r="U658" s="237"/>
      <c r="V658" s="237"/>
      <c r="W658" s="237"/>
      <c r="X658" s="38"/>
      <c r="Y658" s="38"/>
      <c r="Z658" s="38"/>
      <c r="AA658" s="38"/>
      <c r="AB658" s="91"/>
      <c r="AC658" s="94" t="str">
        <f>IF(Eingabe[[#This Row],[V1]]="",IF(Eingabe[[#This Row],[Volle alternativ]]="","",Eingabe[[#This Row],[Volle alternativ]]),SUM(Eingabe[[#This Row],[V1]:[V4]]))</f>
        <v/>
      </c>
      <c r="AD658" s="6" t="str">
        <f>IF(Eingabe[[#This Row],[R1]]="",IF(Eingabe[[#This Row],[Räumer alternativ]]="","",Eingabe[[#This Row],[Räumer alternativ]]),SUM(Eingabe[[#This Row],[R1]:[R4]]))</f>
        <v/>
      </c>
      <c r="AE658" s="6" t="str">
        <f>IF(Eingabe[[#This Row],[F1]]="",IF(Eingabe[[#This Row],[Fehler alternativ]]="","",Eingabe[[#This Row],[Fehler alternativ]]),SUM(Eingabe[[#This Row],[F1]:[F4]]))</f>
        <v/>
      </c>
      <c r="AF658" s="6" t="str">
        <f>IF(Eingabe[[#This Row],[Volle]]="","",IF(Eingabe[[#This Row],[S1]]="",Eingabe[[#This Row],[Volle]]+Eingabe[[#This Row],[Räumer]],IF(Eingabe[[#This Row],[Volle]]+Eingabe[[#This Row],[Räumer]]=Eingabe[[#This Row],[S1]]+Eingabe[[#This Row],[S2]]+Eingabe[[#This Row],[S3]]+Eingabe[[#This Row],[S4]],Eingabe[[#This Row],[Volle]]+Eingabe[[#This Row],[Räumer]],"FEHLER")))</f>
        <v/>
      </c>
      <c r="AG658" s="6" t="str">
        <f>IF(Eingabe[[#This Row],[V1]]="","",Eingabe[[#This Row],[V1]]+Eingabe[[#This Row],[R1]])</f>
        <v/>
      </c>
      <c r="AH658" s="6" t="str">
        <f>IF(Eingabe[[#This Row],[V2]]="","",Eingabe[[#This Row],[V2]]+Eingabe[[#This Row],[R2]])</f>
        <v/>
      </c>
      <c r="AI658" s="6" t="str">
        <f>IF(Eingabe[[#This Row],[V3]]="","",Eingabe[[#This Row],[V3]]+Eingabe[[#This Row],[R3]])</f>
        <v/>
      </c>
      <c r="AJ658" s="6" t="str">
        <f>IF(Eingabe[[#This Row],[V4]]="","",Eingabe[[#This Row],[V4]]+Eingabe[[#This Row],[R4]])</f>
        <v/>
      </c>
      <c r="AK658" s="6" t="str">
        <f>IF(Eingabe[[#This Row],[S1P]]="","",Eingabe[[#This Row],[S1P]]+Eingabe[[#This Row],[S2P]]+Eingabe[[#This Row],[S3P]]+Eingabe[[#This Row],[S4P]])</f>
        <v/>
      </c>
      <c r="AL658" s="6" t="str">
        <f>IF(Eingabe[[#This Row],[S1P]]="","",IF(Eingabe[[#This Row],[SP]]&gt;2,1,IF(Eingabe[[#This Row],[SP]]&lt;2,0,IF(Eingabe[[#This Row],[GES]]&gt;Eingabe[[#This Row],[GEGGES]],1,IF(Eingabe[[#This Row],[GES]]=Eingabe[[#This Row],[GEGGES]],0.5,0)))))</f>
        <v/>
      </c>
      <c r="AM658" s="6" t="str">
        <f>IF(Eingabe[[#This Row],[MP]]="","",MOD(ROW(Eingabe[[#This Row],[Position]])-3,6)+1)</f>
        <v/>
      </c>
      <c r="AN658" s="6" t="e">
        <f>STANDARDIZE(Eingabe[[#This Row],[GES]],Eingabe[[#This Row],[Schnitt]],VLOOKUP(Eingabe[[#This Row],[Name]],AuswertungG[],21,FALSE))</f>
        <v>#VALUE!</v>
      </c>
      <c r="AO658" s="6" t="str">
        <f>VLOOKUP(Eingabe[[#This Row],[ID]],Chronologie[[ID]:[KW]],12,FALSE)</f>
        <v/>
      </c>
      <c r="AP658" s="95">
        <f>IF(Eingabe[[#This Row],[Wo]]="H",Eingabe[[#This Row],[Gegner]]&amp;" ["&amp;Eingabe[[#This Row],[Wo]]&amp;"]",Eingabe[[#This Row],[Ort]])</f>
        <v>0</v>
      </c>
      <c r="AQ658" s="6" t="str">
        <f>IFERROR(IF(Eingabe[[#This Row],[Wo]]="H",IF(MOD(Eingabe[[#This Row],[Position]],2)=1,Eingabe[[#This Row],[S1]],Eingabe[[#This Row],[S4]]),""),"")</f>
        <v/>
      </c>
      <c r="AR658" s="6" t="str">
        <f>IFERROR(IF(Eingabe[[#This Row],[Wo]]="H",IF(Eingabe[[#This Row],[S1]]&gt;0,IF(MOD(Eingabe[[#This Row],[Position]],2)=1,Eingabe[[#This Row],[S2]],Eingabe[[#This Row],[S3]]),""),""),"")</f>
        <v/>
      </c>
      <c r="AS658" s="6" t="str">
        <f>IFERROR(IF(Eingabe[[#This Row],[Wo]]="H",IF(Eingabe[[#This Row],[S1]]&gt;0,IF(MOD(ROW(Eingabe[[#This Row],[Heimbahn 3]]),2)=1,Eingabe[[#This Row],[S4]],Eingabe[[#This Row],[S1]]),""),""),"")</f>
        <v/>
      </c>
      <c r="AT658" s="6" t="str">
        <f>IFERROR(IF(Eingabe[[#This Row],[Wo]]="H",IF(Eingabe[[#This Row],[S1]]&gt;0,IF(MOD(ROW(Eingabe[[#This Row],[Heimbahn 4]]),2)=1,Eingabe[[#This Row],[S3]],Eingabe[[#This Row],[S2]]),""),""),"")</f>
        <v/>
      </c>
      <c r="AU658" s="22" t="str">
        <f>IF(Eingabe[[#This Row],[GES]]="","",IF(Eingabe[[#This Row],[Modus]]="L",_xlfn.RANK.EQ(Eingabe[[#This Row],[GES]],AF657:AF662),IF(Eingabe[[#This Row],[Modus]]="P",_xlfn.RANK.EQ(Eingabe[[#This Row],[GES]],AF657:AF662),"")))</f>
        <v/>
      </c>
      <c r="AV658" s="6" t="e">
        <f>VLOOKUP(Eingabe[[#This Row],[Name]],AuswertungG[],8,FALSE)</f>
        <v>#N/A</v>
      </c>
      <c r="AZ658" s="6" t="str">
        <f>IFERROR(ABS(Eingabe[[#This Row],[GES]]-Eingabe[[#This Row],[GEGGES]]),"")</f>
        <v/>
      </c>
    </row>
    <row r="659" spans="1:52" hidden="1" x14ac:dyDescent="0.3">
      <c r="A659" s="441"/>
      <c r="B659" s="21">
        <f t="shared" si="62"/>
        <v>110</v>
      </c>
      <c r="C659" s="6">
        <f>VLOOKUP($B659,Chronologie[],7,TRUE)</f>
        <v>0</v>
      </c>
      <c r="D659" s="6">
        <f>VLOOKUP($B659,Chronologie[],8,TRUE)</f>
        <v>0</v>
      </c>
      <c r="E659" s="240">
        <f>VLOOKUP($B659,Chronologie[],9,TRUE)</f>
        <v>0</v>
      </c>
      <c r="F659" s="6">
        <f>VLOOKUP($B659,Chronologie[],COLUMN(F660)-2,TRUE)</f>
        <v>0</v>
      </c>
      <c r="G659" s="6">
        <f>VLOOKUP($B659,Chronologie[],COLUMN(G660)-2,TRUE)</f>
        <v>0</v>
      </c>
      <c r="H659" s="6">
        <f>VLOOKUP($B659,Chronologie[],COLUMN(H660)-2,TRUE)</f>
        <v>0</v>
      </c>
      <c r="I659" s="10" t="str">
        <f>VLOOKUP($B659,Chronologie[],2,TRUE)</f>
        <v>--</v>
      </c>
      <c r="J659" s="243">
        <f>VLOOKUP($B659,Chronologie[],3,TRUE)</f>
        <v>0</v>
      </c>
      <c r="K659" s="237"/>
      <c r="L659" s="237"/>
      <c r="M659" s="237"/>
      <c r="N659" s="237"/>
      <c r="O659" s="237"/>
      <c r="P659" s="237"/>
      <c r="Q659" s="237"/>
      <c r="R659" s="237"/>
      <c r="S659" s="237"/>
      <c r="T659" s="237"/>
      <c r="U659" s="237"/>
      <c r="V659" s="237"/>
      <c r="W659" s="237"/>
      <c r="X659" s="38"/>
      <c r="Y659" s="38"/>
      <c r="Z659" s="38"/>
      <c r="AA659" s="38"/>
      <c r="AB659" s="91"/>
      <c r="AC659" s="94" t="str">
        <f>IF(Eingabe[[#This Row],[V1]]="",IF(Eingabe[[#This Row],[Volle alternativ]]="","",Eingabe[[#This Row],[Volle alternativ]]),SUM(Eingabe[[#This Row],[V1]:[V4]]))</f>
        <v/>
      </c>
      <c r="AD659" s="6" t="str">
        <f>IF(Eingabe[[#This Row],[R1]]="",IF(Eingabe[[#This Row],[Räumer alternativ]]="","",Eingabe[[#This Row],[Räumer alternativ]]),SUM(Eingabe[[#This Row],[R1]:[R4]]))</f>
        <v/>
      </c>
      <c r="AE659" s="6" t="str">
        <f>IF(Eingabe[[#This Row],[F1]]="",IF(Eingabe[[#This Row],[Fehler alternativ]]="","",Eingabe[[#This Row],[Fehler alternativ]]),SUM(Eingabe[[#This Row],[F1]:[F4]]))</f>
        <v/>
      </c>
      <c r="AF659" s="6" t="str">
        <f>IF(Eingabe[[#This Row],[Volle]]="","",IF(Eingabe[[#This Row],[S1]]="",Eingabe[[#This Row],[Volle]]+Eingabe[[#This Row],[Räumer]],IF(Eingabe[[#This Row],[Volle]]+Eingabe[[#This Row],[Räumer]]=Eingabe[[#This Row],[S1]]+Eingabe[[#This Row],[S2]]+Eingabe[[#This Row],[S3]]+Eingabe[[#This Row],[S4]],Eingabe[[#This Row],[Volle]]+Eingabe[[#This Row],[Räumer]],"FEHLER")))</f>
        <v/>
      </c>
      <c r="AG659" s="6" t="str">
        <f>IF(Eingabe[[#This Row],[V1]]="","",Eingabe[[#This Row],[V1]]+Eingabe[[#This Row],[R1]])</f>
        <v/>
      </c>
      <c r="AH659" s="6" t="str">
        <f>IF(Eingabe[[#This Row],[V2]]="","",Eingabe[[#This Row],[V2]]+Eingabe[[#This Row],[R2]])</f>
        <v/>
      </c>
      <c r="AI659" s="6" t="str">
        <f>IF(Eingabe[[#This Row],[V3]]="","",Eingabe[[#This Row],[V3]]+Eingabe[[#This Row],[R3]])</f>
        <v/>
      </c>
      <c r="AJ659" s="6" t="str">
        <f>IF(Eingabe[[#This Row],[V4]]="","",Eingabe[[#This Row],[V4]]+Eingabe[[#This Row],[R4]])</f>
        <v/>
      </c>
      <c r="AK659" s="6" t="str">
        <f>IF(Eingabe[[#This Row],[S1P]]="","",Eingabe[[#This Row],[S1P]]+Eingabe[[#This Row],[S2P]]+Eingabe[[#This Row],[S3P]]+Eingabe[[#This Row],[S4P]])</f>
        <v/>
      </c>
      <c r="AL659" s="6" t="str">
        <f>IF(Eingabe[[#This Row],[S1P]]="","",IF(Eingabe[[#This Row],[SP]]&gt;2,1,IF(Eingabe[[#This Row],[SP]]&lt;2,0,IF(Eingabe[[#This Row],[GES]]&gt;Eingabe[[#This Row],[GEGGES]],1,IF(Eingabe[[#This Row],[GES]]=Eingabe[[#This Row],[GEGGES]],0.5,0)))))</f>
        <v/>
      </c>
      <c r="AM659" s="6" t="str">
        <f>IF(Eingabe[[#This Row],[MP]]="","",MOD(ROW(Eingabe[[#This Row],[Position]])-3,6)+1)</f>
        <v/>
      </c>
      <c r="AN659" s="6" t="e">
        <f>STANDARDIZE(Eingabe[[#This Row],[GES]],Eingabe[[#This Row],[Schnitt]],VLOOKUP(Eingabe[[#This Row],[Name]],AuswertungG[],21,FALSE))</f>
        <v>#VALUE!</v>
      </c>
      <c r="AO659" s="6" t="str">
        <f>VLOOKUP(Eingabe[[#This Row],[ID]],Chronologie[[ID]:[KW]],12,FALSE)</f>
        <v/>
      </c>
      <c r="AP659" s="95">
        <f>IF(Eingabe[[#This Row],[Wo]]="H",Eingabe[[#This Row],[Gegner]]&amp;" ["&amp;Eingabe[[#This Row],[Wo]]&amp;"]",Eingabe[[#This Row],[Ort]])</f>
        <v>0</v>
      </c>
      <c r="AQ659" s="6" t="str">
        <f>IFERROR(IF(Eingabe[[#This Row],[Wo]]="H",IF(MOD(Eingabe[[#This Row],[Position]],2)=1,Eingabe[[#This Row],[S1]],Eingabe[[#This Row],[S4]]),""),"")</f>
        <v/>
      </c>
      <c r="AR659" s="6" t="str">
        <f>IFERROR(IF(Eingabe[[#This Row],[Wo]]="H",IF(Eingabe[[#This Row],[S1]]&gt;0,IF(MOD(Eingabe[[#This Row],[Position]],2)=1,Eingabe[[#This Row],[S2]],Eingabe[[#This Row],[S3]]),""),""),"")</f>
        <v/>
      </c>
      <c r="AS659" s="6" t="str">
        <f>IFERROR(IF(Eingabe[[#This Row],[Wo]]="H",IF(Eingabe[[#This Row],[S1]]&gt;0,IF(MOD(ROW(Eingabe[[#This Row],[Heimbahn 3]]),2)=1,Eingabe[[#This Row],[S4]],Eingabe[[#This Row],[S1]]),""),""),"")</f>
        <v/>
      </c>
      <c r="AT659" s="6" t="str">
        <f>IFERROR(IF(Eingabe[[#This Row],[Wo]]="H",IF(Eingabe[[#This Row],[S1]]&gt;0,IF(MOD(ROW(Eingabe[[#This Row],[Heimbahn 4]]),2)=1,Eingabe[[#This Row],[S3]],Eingabe[[#This Row],[S2]]),""),""),"")</f>
        <v/>
      </c>
      <c r="AU659" s="22" t="str">
        <f>IF(Eingabe[[#This Row],[GES]]="","",IF(Eingabe[[#This Row],[Modus]]="L",_xlfn.RANK.EQ(Eingabe[[#This Row],[GES]],AF657:AF662),IF(Eingabe[[#This Row],[Modus]]="P",_xlfn.RANK.EQ(Eingabe[[#This Row],[GES]],AF657:AF662),"")))</f>
        <v/>
      </c>
      <c r="AV659" s="6" t="e">
        <f>VLOOKUP(Eingabe[[#This Row],[Name]],AuswertungG[],8,FALSE)</f>
        <v>#N/A</v>
      </c>
      <c r="AZ659" s="6" t="str">
        <f>IFERROR(ABS(Eingabe[[#This Row],[GES]]-Eingabe[[#This Row],[GEGGES]]),"")</f>
        <v/>
      </c>
    </row>
    <row r="660" spans="1:52" hidden="1" x14ac:dyDescent="0.3">
      <c r="A660" s="441"/>
      <c r="B660" s="21">
        <f t="shared" si="62"/>
        <v>110</v>
      </c>
      <c r="C660" s="6">
        <f>VLOOKUP($B660,Chronologie[],7,TRUE)</f>
        <v>0</v>
      </c>
      <c r="D660" s="6">
        <f>VLOOKUP($B660,Chronologie[],8,TRUE)</f>
        <v>0</v>
      </c>
      <c r="E660" s="240">
        <f>VLOOKUP($B660,Chronologie[],9,TRUE)</f>
        <v>0</v>
      </c>
      <c r="F660" s="6">
        <f>VLOOKUP($B660,Chronologie[],COLUMN(F661)-2,TRUE)</f>
        <v>0</v>
      </c>
      <c r="G660" s="6">
        <f>VLOOKUP($B660,Chronologie[],COLUMN(G661)-2,TRUE)</f>
        <v>0</v>
      </c>
      <c r="H660" s="6">
        <f>VLOOKUP($B660,Chronologie[],COLUMN(H661)-2,TRUE)</f>
        <v>0</v>
      </c>
      <c r="I660" s="10" t="str">
        <f>VLOOKUP($B660,Chronologie[],2,TRUE)</f>
        <v>--</v>
      </c>
      <c r="J660" s="243">
        <f>VLOOKUP($B660,Chronologie[],3,TRUE)</f>
        <v>0</v>
      </c>
      <c r="K660" s="238"/>
      <c r="L660" s="238"/>
      <c r="M660" s="238"/>
      <c r="N660" s="238"/>
      <c r="O660" s="238"/>
      <c r="P660" s="238"/>
      <c r="Q660" s="238"/>
      <c r="R660" s="238"/>
      <c r="S660" s="238"/>
      <c r="T660" s="238"/>
      <c r="U660" s="238"/>
      <c r="V660" s="238"/>
      <c r="W660" s="238"/>
      <c r="X660" s="38"/>
      <c r="Y660" s="38"/>
      <c r="Z660" s="38"/>
      <c r="AA660" s="38"/>
      <c r="AB660" s="91"/>
      <c r="AC660" s="94" t="str">
        <f>IF(Eingabe[[#This Row],[V1]]="",IF(Eingabe[[#This Row],[Volle alternativ]]="","",Eingabe[[#This Row],[Volle alternativ]]),SUM(Eingabe[[#This Row],[V1]:[V4]]))</f>
        <v/>
      </c>
      <c r="AD660" s="6" t="str">
        <f>IF(Eingabe[[#This Row],[R1]]="",IF(Eingabe[[#This Row],[Räumer alternativ]]="","",Eingabe[[#This Row],[Räumer alternativ]]),SUM(Eingabe[[#This Row],[R1]:[R4]]))</f>
        <v/>
      </c>
      <c r="AE660" s="6" t="str">
        <f>IF(Eingabe[[#This Row],[F1]]="",IF(Eingabe[[#This Row],[Fehler alternativ]]="","",Eingabe[[#This Row],[Fehler alternativ]]),SUM(Eingabe[[#This Row],[F1]:[F4]]))</f>
        <v/>
      </c>
      <c r="AF660" s="6" t="str">
        <f>IF(Eingabe[[#This Row],[Volle]]="","",IF(Eingabe[[#This Row],[S1]]="",Eingabe[[#This Row],[Volle]]+Eingabe[[#This Row],[Räumer]],IF(Eingabe[[#This Row],[Volle]]+Eingabe[[#This Row],[Räumer]]=Eingabe[[#This Row],[S1]]+Eingabe[[#This Row],[S2]]+Eingabe[[#This Row],[S3]]+Eingabe[[#This Row],[S4]],Eingabe[[#This Row],[Volle]]+Eingabe[[#This Row],[Räumer]],"FEHLER")))</f>
        <v/>
      </c>
      <c r="AG660" s="6" t="str">
        <f>IF(Eingabe[[#This Row],[V1]]="","",Eingabe[[#This Row],[V1]]+Eingabe[[#This Row],[R1]])</f>
        <v/>
      </c>
      <c r="AH660" s="6" t="str">
        <f>IF(Eingabe[[#This Row],[V2]]="","",Eingabe[[#This Row],[V2]]+Eingabe[[#This Row],[R2]])</f>
        <v/>
      </c>
      <c r="AI660" s="6" t="str">
        <f>IF(Eingabe[[#This Row],[V3]]="","",Eingabe[[#This Row],[V3]]+Eingabe[[#This Row],[R3]])</f>
        <v/>
      </c>
      <c r="AJ660" s="6" t="str">
        <f>IF(Eingabe[[#This Row],[V4]]="","",Eingabe[[#This Row],[V4]]+Eingabe[[#This Row],[R4]])</f>
        <v/>
      </c>
      <c r="AK660" s="6" t="str">
        <f>IF(Eingabe[[#This Row],[S1P]]="","",Eingabe[[#This Row],[S1P]]+Eingabe[[#This Row],[S2P]]+Eingabe[[#This Row],[S3P]]+Eingabe[[#This Row],[S4P]])</f>
        <v/>
      </c>
      <c r="AL660" s="6" t="str">
        <f>IF(Eingabe[[#This Row],[S1P]]="","",IF(Eingabe[[#This Row],[SP]]&gt;2,1,IF(Eingabe[[#This Row],[SP]]&lt;2,0,IF(Eingabe[[#This Row],[GES]]&gt;Eingabe[[#This Row],[GEGGES]],1,IF(Eingabe[[#This Row],[GES]]=Eingabe[[#This Row],[GEGGES]],0.5,0)))))</f>
        <v/>
      </c>
      <c r="AM660" s="6" t="str">
        <f>IF(Eingabe[[#This Row],[MP]]="","",MOD(ROW(Eingabe[[#This Row],[Position]])-3,6)+1)</f>
        <v/>
      </c>
      <c r="AN660" s="6" t="e">
        <f>STANDARDIZE(Eingabe[[#This Row],[GES]],Eingabe[[#This Row],[Schnitt]],VLOOKUP(Eingabe[[#This Row],[Name]],AuswertungG[],21,FALSE))</f>
        <v>#VALUE!</v>
      </c>
      <c r="AO660" s="6" t="str">
        <f>VLOOKUP(Eingabe[[#This Row],[ID]],Chronologie[[ID]:[KW]],12,FALSE)</f>
        <v/>
      </c>
      <c r="AP660" s="95">
        <f>IF(Eingabe[[#This Row],[Wo]]="H",Eingabe[[#This Row],[Gegner]]&amp;" ["&amp;Eingabe[[#This Row],[Wo]]&amp;"]",Eingabe[[#This Row],[Ort]])</f>
        <v>0</v>
      </c>
      <c r="AQ660" s="6" t="str">
        <f>IFERROR(IF(Eingabe[[#This Row],[Wo]]="H",IF(MOD(Eingabe[[#This Row],[Position]],2)=1,Eingabe[[#This Row],[S1]],Eingabe[[#This Row],[S4]]),""),"")</f>
        <v/>
      </c>
      <c r="AR660" s="6" t="str">
        <f>IFERROR(IF(Eingabe[[#This Row],[Wo]]="H",IF(Eingabe[[#This Row],[S1]]&gt;0,IF(MOD(Eingabe[[#This Row],[Position]],2)=1,Eingabe[[#This Row],[S2]],Eingabe[[#This Row],[S3]]),""),""),"")</f>
        <v/>
      </c>
      <c r="AS660" s="6" t="str">
        <f>IFERROR(IF(Eingabe[[#This Row],[Wo]]="H",IF(Eingabe[[#This Row],[S1]]&gt;0,IF(MOD(ROW(Eingabe[[#This Row],[Heimbahn 3]]),2)=1,Eingabe[[#This Row],[S4]],Eingabe[[#This Row],[S1]]),""),""),"")</f>
        <v/>
      </c>
      <c r="AT660" s="6" t="str">
        <f>IFERROR(IF(Eingabe[[#This Row],[Wo]]="H",IF(Eingabe[[#This Row],[S1]]&gt;0,IF(MOD(ROW(Eingabe[[#This Row],[Heimbahn 4]]),2)=1,Eingabe[[#This Row],[S3]],Eingabe[[#This Row],[S2]]),""),""),"")</f>
        <v/>
      </c>
      <c r="AU660" s="22" t="str">
        <f>IF(Eingabe[[#This Row],[GES]]="","",IF(Eingabe[[#This Row],[Modus]]="L",_xlfn.RANK.EQ(Eingabe[[#This Row],[GES]],AF657:AF662),IF(Eingabe[[#This Row],[Modus]]="P",_xlfn.RANK.EQ(Eingabe[[#This Row],[GES]],AF657:AF662),"")))</f>
        <v/>
      </c>
      <c r="AV660" s="6" t="e">
        <f>VLOOKUP(Eingabe[[#This Row],[Name]],AuswertungG[],8,FALSE)</f>
        <v>#N/A</v>
      </c>
      <c r="AZ660" s="6" t="str">
        <f>IFERROR(ABS(Eingabe[[#This Row],[GES]]-Eingabe[[#This Row],[GEGGES]]),"")</f>
        <v/>
      </c>
    </row>
    <row r="661" spans="1:52" hidden="1" x14ac:dyDescent="0.3">
      <c r="A661" s="441"/>
      <c r="B661" s="21">
        <f t="shared" si="62"/>
        <v>110</v>
      </c>
      <c r="C661" s="6">
        <f>VLOOKUP($B661,Chronologie[],7,TRUE)</f>
        <v>0</v>
      </c>
      <c r="D661" s="6">
        <f>VLOOKUP($B661,Chronologie[],8,TRUE)</f>
        <v>0</v>
      </c>
      <c r="E661" s="240">
        <f>VLOOKUP($B661,Chronologie[],9,TRUE)</f>
        <v>0</v>
      </c>
      <c r="F661" s="6">
        <f>VLOOKUP($B661,Chronologie[],COLUMN(F662)-2,TRUE)</f>
        <v>0</v>
      </c>
      <c r="G661" s="6">
        <f>VLOOKUP($B661,Chronologie[],COLUMN(G662)-2,TRUE)</f>
        <v>0</v>
      </c>
      <c r="H661" s="6">
        <f>VLOOKUP($B661,Chronologie[],COLUMN(H662)-2,TRUE)</f>
        <v>0</v>
      </c>
      <c r="I661" s="10" t="str">
        <f>VLOOKUP($B661,Chronologie[],2,TRUE)</f>
        <v>--</v>
      </c>
      <c r="J661" s="243">
        <f>VLOOKUP($B661,Chronologie[],3,TRUE)</f>
        <v>0</v>
      </c>
      <c r="K661" s="237"/>
      <c r="L661" s="237"/>
      <c r="M661" s="237"/>
      <c r="N661" s="237"/>
      <c r="O661" s="237"/>
      <c r="P661" s="237"/>
      <c r="Q661" s="237"/>
      <c r="R661" s="237"/>
      <c r="S661" s="237"/>
      <c r="T661" s="237"/>
      <c r="U661" s="237"/>
      <c r="V661" s="237"/>
      <c r="W661" s="237"/>
      <c r="X661" s="38"/>
      <c r="Y661" s="38"/>
      <c r="Z661" s="38"/>
      <c r="AA661" s="38"/>
      <c r="AB661" s="91"/>
      <c r="AC661" s="94" t="str">
        <f>IF(Eingabe[[#This Row],[V1]]="",IF(Eingabe[[#This Row],[Volle alternativ]]="","",Eingabe[[#This Row],[Volle alternativ]]),SUM(Eingabe[[#This Row],[V1]:[V4]]))</f>
        <v/>
      </c>
      <c r="AD661" s="6" t="str">
        <f>IF(Eingabe[[#This Row],[R1]]="",IF(Eingabe[[#This Row],[Räumer alternativ]]="","",Eingabe[[#This Row],[Räumer alternativ]]),SUM(Eingabe[[#This Row],[R1]:[R4]]))</f>
        <v/>
      </c>
      <c r="AE661" s="6" t="str">
        <f>IF(Eingabe[[#This Row],[F1]]="",IF(Eingabe[[#This Row],[Fehler alternativ]]="","",Eingabe[[#This Row],[Fehler alternativ]]),SUM(Eingabe[[#This Row],[F1]:[F4]]))</f>
        <v/>
      </c>
      <c r="AF661" s="6" t="str">
        <f>IF(Eingabe[[#This Row],[Volle]]="","",IF(Eingabe[[#This Row],[S1]]="",Eingabe[[#This Row],[Volle]]+Eingabe[[#This Row],[Räumer]],IF(Eingabe[[#This Row],[Volle]]+Eingabe[[#This Row],[Räumer]]=Eingabe[[#This Row],[S1]]+Eingabe[[#This Row],[S2]]+Eingabe[[#This Row],[S3]]+Eingabe[[#This Row],[S4]],Eingabe[[#This Row],[Volle]]+Eingabe[[#This Row],[Räumer]],"FEHLER")))</f>
        <v/>
      </c>
      <c r="AG661" s="6" t="str">
        <f>IF(Eingabe[[#This Row],[V1]]="","",Eingabe[[#This Row],[V1]]+Eingabe[[#This Row],[R1]])</f>
        <v/>
      </c>
      <c r="AH661" s="6" t="str">
        <f>IF(Eingabe[[#This Row],[V2]]="","",Eingabe[[#This Row],[V2]]+Eingabe[[#This Row],[R2]])</f>
        <v/>
      </c>
      <c r="AI661" s="6" t="str">
        <f>IF(Eingabe[[#This Row],[V3]]="","",Eingabe[[#This Row],[V3]]+Eingabe[[#This Row],[R3]])</f>
        <v/>
      </c>
      <c r="AJ661" s="6" t="str">
        <f>IF(Eingabe[[#This Row],[V4]]="","",Eingabe[[#This Row],[V4]]+Eingabe[[#This Row],[R4]])</f>
        <v/>
      </c>
      <c r="AK661" s="6" t="str">
        <f>IF(Eingabe[[#This Row],[S1P]]="","",Eingabe[[#This Row],[S1P]]+Eingabe[[#This Row],[S2P]]+Eingabe[[#This Row],[S3P]]+Eingabe[[#This Row],[S4P]])</f>
        <v/>
      </c>
      <c r="AL661" s="6" t="str">
        <f>IF(Eingabe[[#This Row],[S1P]]="","",IF(Eingabe[[#This Row],[SP]]&gt;2,1,IF(Eingabe[[#This Row],[SP]]&lt;2,0,IF(Eingabe[[#This Row],[GES]]&gt;Eingabe[[#This Row],[GEGGES]],1,IF(Eingabe[[#This Row],[GES]]=Eingabe[[#This Row],[GEGGES]],0.5,0)))))</f>
        <v/>
      </c>
      <c r="AM661" s="6" t="str">
        <f>IF(Eingabe[[#This Row],[MP]]="","",MOD(ROW(Eingabe[[#This Row],[Position]])-3,6)+1)</f>
        <v/>
      </c>
      <c r="AN661" s="6" t="e">
        <f>STANDARDIZE(Eingabe[[#This Row],[GES]],Eingabe[[#This Row],[Schnitt]],VLOOKUP(Eingabe[[#This Row],[Name]],AuswertungG[],21,FALSE))</f>
        <v>#VALUE!</v>
      </c>
      <c r="AO661" s="6" t="str">
        <f>VLOOKUP(Eingabe[[#This Row],[ID]],Chronologie[[ID]:[KW]],12,FALSE)</f>
        <v/>
      </c>
      <c r="AP661" s="95">
        <f>IF(Eingabe[[#This Row],[Wo]]="H",Eingabe[[#This Row],[Gegner]]&amp;" ["&amp;Eingabe[[#This Row],[Wo]]&amp;"]",Eingabe[[#This Row],[Ort]])</f>
        <v>0</v>
      </c>
      <c r="AQ661" s="6" t="str">
        <f>IFERROR(IF(Eingabe[[#This Row],[Wo]]="H",IF(MOD(Eingabe[[#This Row],[Position]],2)=1,Eingabe[[#This Row],[S1]],Eingabe[[#This Row],[S4]]),""),"")</f>
        <v/>
      </c>
      <c r="AR661" s="6" t="str">
        <f>IFERROR(IF(Eingabe[[#This Row],[Wo]]="H",IF(Eingabe[[#This Row],[S1]]&gt;0,IF(MOD(Eingabe[[#This Row],[Position]],2)=1,Eingabe[[#This Row],[S2]],Eingabe[[#This Row],[S3]]),""),""),"")</f>
        <v/>
      </c>
      <c r="AS661" s="6" t="str">
        <f>IFERROR(IF(Eingabe[[#This Row],[Wo]]="H",IF(Eingabe[[#This Row],[S1]]&gt;0,IF(MOD(ROW(Eingabe[[#This Row],[Heimbahn 3]]),2)=1,Eingabe[[#This Row],[S4]],Eingabe[[#This Row],[S1]]),""),""),"")</f>
        <v/>
      </c>
      <c r="AT661" s="6" t="str">
        <f>IFERROR(IF(Eingabe[[#This Row],[Wo]]="H",IF(Eingabe[[#This Row],[S1]]&gt;0,IF(MOD(ROW(Eingabe[[#This Row],[Heimbahn 4]]),2)=1,Eingabe[[#This Row],[S3]],Eingabe[[#This Row],[S2]]),""),""),"")</f>
        <v/>
      </c>
      <c r="AU661" s="22" t="str">
        <f>IF(Eingabe[[#This Row],[GES]]="","",IF(Eingabe[[#This Row],[Modus]]="L",_xlfn.RANK.EQ(Eingabe[[#This Row],[GES]],AF657:AF662),IF(Eingabe[[#This Row],[Modus]]="P",_xlfn.RANK.EQ(Eingabe[[#This Row],[GES]],AF657:AF662),"")))</f>
        <v/>
      </c>
      <c r="AV661" s="6" t="e">
        <f>VLOOKUP(Eingabe[[#This Row],[Name]],AuswertungG[],8,FALSE)</f>
        <v>#N/A</v>
      </c>
      <c r="AZ661" s="6" t="str">
        <f>IFERROR(ABS(Eingabe[[#This Row],[GES]]-Eingabe[[#This Row],[GEGGES]]),"")</f>
        <v/>
      </c>
    </row>
    <row r="662" spans="1:52" ht="16.2" hidden="1" thickBot="1" x14ac:dyDescent="0.35">
      <c r="A662" s="442"/>
      <c r="B662" s="56">
        <f t="shared" si="62"/>
        <v>110</v>
      </c>
      <c r="C662" s="23">
        <f>VLOOKUP($B662,Chronologie[],7,TRUE)</f>
        <v>0</v>
      </c>
      <c r="D662" s="23">
        <f>VLOOKUP($B662,Chronologie[],8,TRUE)</f>
        <v>0</v>
      </c>
      <c r="E662" s="39">
        <f>VLOOKUP($B662,Chronologie[],9,TRUE)</f>
        <v>0</v>
      </c>
      <c r="F662" s="23">
        <f>VLOOKUP($B662,Chronologie[],COLUMN(F663)-2,TRUE)</f>
        <v>0</v>
      </c>
      <c r="G662" s="23">
        <f>VLOOKUP($B662,Chronologie[],COLUMN(G663)-2,TRUE)</f>
        <v>0</v>
      </c>
      <c r="H662" s="23">
        <f>VLOOKUP($B662,Chronologie[],COLUMN(H663)-2,TRUE)</f>
        <v>0</v>
      </c>
      <c r="I662" s="13" t="str">
        <f>VLOOKUP($B662,Chronologie[],2,TRUE)</f>
        <v>--</v>
      </c>
      <c r="J662" s="244">
        <f>VLOOKUP($B662,Chronologie[],3,TRUE)</f>
        <v>0</v>
      </c>
      <c r="K662" s="239"/>
      <c r="L662" s="239"/>
      <c r="M662" s="239"/>
      <c r="N662" s="239"/>
      <c r="O662" s="239"/>
      <c r="P662" s="239"/>
      <c r="Q662" s="239"/>
      <c r="R662" s="239"/>
      <c r="S662" s="239"/>
      <c r="T662" s="239"/>
      <c r="U662" s="239"/>
      <c r="V662" s="239"/>
      <c r="W662" s="239"/>
      <c r="X662" s="40"/>
      <c r="Y662" s="40"/>
      <c r="Z662" s="40"/>
      <c r="AA662" s="40"/>
      <c r="AB662" s="92"/>
      <c r="AC662" s="96" t="str">
        <f>IF(Eingabe[[#This Row],[V1]]="",IF(Eingabe[[#This Row],[Volle alternativ]]="","",Eingabe[[#This Row],[Volle alternativ]]),SUM(Eingabe[[#This Row],[V1]:[V4]]))</f>
        <v/>
      </c>
      <c r="AD662" s="23" t="str">
        <f>IF(Eingabe[[#This Row],[R1]]="",IF(Eingabe[[#This Row],[Räumer alternativ]]="","",Eingabe[[#This Row],[Räumer alternativ]]),SUM(Eingabe[[#This Row],[R1]:[R4]]))</f>
        <v/>
      </c>
      <c r="AE662" s="23" t="str">
        <f>IF(Eingabe[[#This Row],[F1]]="",IF(Eingabe[[#This Row],[Fehler alternativ]]="","",Eingabe[[#This Row],[Fehler alternativ]]),SUM(Eingabe[[#This Row],[F1]:[F4]]))</f>
        <v/>
      </c>
      <c r="AF662" s="23" t="str">
        <f>IF(Eingabe[[#This Row],[Volle]]="","",IF(Eingabe[[#This Row],[S1]]="",Eingabe[[#This Row],[Volle]]+Eingabe[[#This Row],[Räumer]],IF(Eingabe[[#This Row],[Volle]]+Eingabe[[#This Row],[Räumer]]=Eingabe[[#This Row],[S1]]+Eingabe[[#This Row],[S2]]+Eingabe[[#This Row],[S3]]+Eingabe[[#This Row],[S4]],Eingabe[[#This Row],[Volle]]+Eingabe[[#This Row],[Räumer]],"FEHLER")))</f>
        <v/>
      </c>
      <c r="AG662" s="23" t="str">
        <f>IF(Eingabe[[#This Row],[V1]]="","",Eingabe[[#This Row],[V1]]+Eingabe[[#This Row],[R1]])</f>
        <v/>
      </c>
      <c r="AH662" s="23" t="str">
        <f>IF(Eingabe[[#This Row],[V2]]="","",Eingabe[[#This Row],[V2]]+Eingabe[[#This Row],[R2]])</f>
        <v/>
      </c>
      <c r="AI662" s="23" t="str">
        <f>IF(Eingabe[[#This Row],[V3]]="","",Eingabe[[#This Row],[V3]]+Eingabe[[#This Row],[R3]])</f>
        <v/>
      </c>
      <c r="AJ662" s="23" t="str">
        <f>IF(Eingabe[[#This Row],[V4]]="","",Eingabe[[#This Row],[V4]]+Eingabe[[#This Row],[R4]])</f>
        <v/>
      </c>
      <c r="AK662" s="23" t="str">
        <f>IF(Eingabe[[#This Row],[S1P]]="","",Eingabe[[#This Row],[S1P]]+Eingabe[[#This Row],[S2P]]+Eingabe[[#This Row],[S3P]]+Eingabe[[#This Row],[S4P]])</f>
        <v/>
      </c>
      <c r="AL662" s="23" t="str">
        <f>IF(Eingabe[[#This Row],[S1P]]="","",IF(Eingabe[[#This Row],[SP]]&gt;2,1,IF(Eingabe[[#This Row],[SP]]&lt;2,0,IF(Eingabe[[#This Row],[GES]]&gt;Eingabe[[#This Row],[GEGGES]],1,IF(Eingabe[[#This Row],[GES]]=Eingabe[[#This Row],[GEGGES]],0.5,0)))))</f>
        <v/>
      </c>
      <c r="AM662" s="23" t="str">
        <f>IF(Eingabe[[#This Row],[MP]]="","",MOD(ROW(Eingabe[[#This Row],[Position]])-3,6)+1)</f>
        <v/>
      </c>
      <c r="AN662" s="23" t="e">
        <f>STANDARDIZE(Eingabe[[#This Row],[GES]],Eingabe[[#This Row],[Schnitt]],VLOOKUP(Eingabe[[#This Row],[Name]],AuswertungG[],21,FALSE))</f>
        <v>#VALUE!</v>
      </c>
      <c r="AO662" s="23" t="str">
        <f>VLOOKUP(Eingabe[[#This Row],[ID]],Chronologie[[ID]:[KW]],12,FALSE)</f>
        <v/>
      </c>
      <c r="AP662" s="59">
        <f>IF(Eingabe[[#This Row],[Wo]]="H",Eingabe[[#This Row],[Gegner]]&amp;" ["&amp;Eingabe[[#This Row],[Wo]]&amp;"]",Eingabe[[#This Row],[Ort]])</f>
        <v>0</v>
      </c>
      <c r="AQ662" s="23" t="str">
        <f>IFERROR(IF(Eingabe[[#This Row],[Wo]]="H",IF(MOD(Eingabe[[#This Row],[Position]],2)=1,Eingabe[[#This Row],[S1]],Eingabe[[#This Row],[S4]]),""),"")</f>
        <v/>
      </c>
      <c r="AR662" s="23" t="str">
        <f>IFERROR(IF(Eingabe[[#This Row],[Wo]]="H",IF(Eingabe[[#This Row],[S1]]&gt;0,IF(MOD(Eingabe[[#This Row],[Position]],2)=1,Eingabe[[#This Row],[S2]],Eingabe[[#This Row],[S3]]),""),""),"")</f>
        <v/>
      </c>
      <c r="AS662" s="23" t="str">
        <f>IFERROR(IF(Eingabe[[#This Row],[Wo]]="H",IF(Eingabe[[#This Row],[S1]]&gt;0,IF(MOD(ROW(Eingabe[[#This Row],[Heimbahn 3]]),2)=1,Eingabe[[#This Row],[S4]],Eingabe[[#This Row],[S1]]),""),""),"")</f>
        <v/>
      </c>
      <c r="AT662" s="23" t="str">
        <f>IFERROR(IF(Eingabe[[#This Row],[Wo]]="H",IF(Eingabe[[#This Row],[S1]]&gt;0,IF(MOD(ROW(Eingabe[[#This Row],[Heimbahn 4]]),2)=1,Eingabe[[#This Row],[S3]],Eingabe[[#This Row],[S2]]),""),""),"")</f>
        <v/>
      </c>
      <c r="AU662" s="89" t="str">
        <f>IF(Eingabe[[#This Row],[GES]]="","",IF(Eingabe[[#This Row],[Modus]]="L",_xlfn.RANK.EQ(Eingabe[[#This Row],[GES]],AF657:AF662),IF(Eingabe[[#This Row],[Modus]]="P",_xlfn.RANK.EQ(Eingabe[[#This Row],[GES]],AF657:AF662),"")))</f>
        <v/>
      </c>
      <c r="AV662" s="6" t="e">
        <f>VLOOKUP(Eingabe[[#This Row],[Name]],AuswertungG[],8,FALSE)</f>
        <v>#N/A</v>
      </c>
      <c r="AZ662" s="6" t="str">
        <f>IFERROR(ABS(Eingabe[[#This Row],[GES]]-Eingabe[[#This Row],[GEGGES]]),"")</f>
        <v/>
      </c>
    </row>
    <row r="663" spans="1:52" hidden="1" x14ac:dyDescent="0.3">
      <c r="A663" s="440">
        <f t="shared" ref="A663" si="67">B663</f>
        <v>111</v>
      </c>
      <c r="B663" s="55">
        <f t="shared" si="62"/>
        <v>111</v>
      </c>
      <c r="C663" s="35">
        <f>VLOOKUP($B663,Chronologie[],7,TRUE)</f>
        <v>0</v>
      </c>
      <c r="D663" s="35">
        <f>VLOOKUP($B663,Chronologie[],8,TRUE)</f>
        <v>0</v>
      </c>
      <c r="E663" s="36">
        <f>VLOOKUP($B663,Chronologie[],9,TRUE)</f>
        <v>0</v>
      </c>
      <c r="F663" s="35">
        <f>VLOOKUP($B663,Chronologie[],COLUMN(F664)-2,TRUE)</f>
        <v>0</v>
      </c>
      <c r="G663" s="35">
        <f>VLOOKUP($B663,Chronologie[],COLUMN(G664)-2,TRUE)</f>
        <v>0</v>
      </c>
      <c r="H663" s="35">
        <f>VLOOKUP($B663,Chronologie[],COLUMN(H664)-2,TRUE)</f>
        <v>0</v>
      </c>
      <c r="I663" s="9" t="str">
        <f>VLOOKUP($B663,Chronologie[],2,TRUE)</f>
        <v>--</v>
      </c>
      <c r="J663" s="242">
        <f>VLOOKUP($B663,Chronologie[],3,TRUE)</f>
        <v>0</v>
      </c>
      <c r="K663" s="236"/>
      <c r="L663" s="334"/>
      <c r="M663" s="334"/>
      <c r="N663" s="334"/>
      <c r="O663" s="334"/>
      <c r="P663" s="334"/>
      <c r="Q663" s="334"/>
      <c r="R663" s="334"/>
      <c r="S663" s="334"/>
      <c r="T663" s="334"/>
      <c r="U663" s="334"/>
      <c r="V663" s="334"/>
      <c r="W663" s="334"/>
      <c r="X663" s="37"/>
      <c r="Y663" s="37"/>
      <c r="Z663" s="37"/>
      <c r="AA663" s="37"/>
      <c r="AB663" s="90"/>
      <c r="AC663" s="93" t="str">
        <f>IF(Eingabe[[#This Row],[V1]]="",IF(Eingabe[[#This Row],[Volle alternativ]]="","",Eingabe[[#This Row],[Volle alternativ]]),SUM(Eingabe[[#This Row],[V1]:[V4]]))</f>
        <v/>
      </c>
      <c r="AD663" s="35" t="str">
        <f>IF(Eingabe[[#This Row],[R1]]="",IF(Eingabe[[#This Row],[Räumer alternativ]]="","",Eingabe[[#This Row],[Räumer alternativ]]),SUM(Eingabe[[#This Row],[R1]:[R4]]))</f>
        <v/>
      </c>
      <c r="AE663" s="35" t="str">
        <f>IF(Eingabe[[#This Row],[F1]]="",IF(Eingabe[[#This Row],[Fehler alternativ]]="","",Eingabe[[#This Row],[Fehler alternativ]]),SUM(Eingabe[[#This Row],[F1]:[F4]]))</f>
        <v/>
      </c>
      <c r="AF663" s="35" t="str">
        <f>IF(Eingabe[[#This Row],[Volle]]="","",IF(Eingabe[[#This Row],[S1]]="",Eingabe[[#This Row],[Volle]]+Eingabe[[#This Row],[Räumer]],IF(Eingabe[[#This Row],[Volle]]+Eingabe[[#This Row],[Räumer]]=Eingabe[[#This Row],[S1]]+Eingabe[[#This Row],[S2]]+Eingabe[[#This Row],[S3]]+Eingabe[[#This Row],[S4]],Eingabe[[#This Row],[Volle]]+Eingabe[[#This Row],[Räumer]],"FEHLER")))</f>
        <v/>
      </c>
      <c r="AG663" s="35" t="str">
        <f>IF(Eingabe[[#This Row],[V1]]="","",Eingabe[[#This Row],[V1]]+Eingabe[[#This Row],[R1]])</f>
        <v/>
      </c>
      <c r="AH663" s="35" t="str">
        <f>IF(Eingabe[[#This Row],[V2]]="","",Eingabe[[#This Row],[V2]]+Eingabe[[#This Row],[R2]])</f>
        <v/>
      </c>
      <c r="AI663" s="35" t="str">
        <f>IF(Eingabe[[#This Row],[V3]]="","",Eingabe[[#This Row],[V3]]+Eingabe[[#This Row],[R3]])</f>
        <v/>
      </c>
      <c r="AJ663" s="35" t="str">
        <f>IF(Eingabe[[#This Row],[V4]]="","",Eingabe[[#This Row],[V4]]+Eingabe[[#This Row],[R4]])</f>
        <v/>
      </c>
      <c r="AK663" s="35" t="str">
        <f>IF(Eingabe[[#This Row],[S1P]]="","",Eingabe[[#This Row],[S1P]]+Eingabe[[#This Row],[S2P]]+Eingabe[[#This Row],[S3P]]+Eingabe[[#This Row],[S4P]])</f>
        <v/>
      </c>
      <c r="AL663" s="35" t="str">
        <f>IF(Eingabe[[#This Row],[S1P]]="","",IF(Eingabe[[#This Row],[SP]]&gt;2,1,IF(Eingabe[[#This Row],[SP]]&lt;2,0,IF(Eingabe[[#This Row],[GES]]&gt;Eingabe[[#This Row],[GEGGES]],1,IF(Eingabe[[#This Row],[GES]]=Eingabe[[#This Row],[GEGGES]],0.5,0)))))</f>
        <v/>
      </c>
      <c r="AM663" s="35" t="str">
        <f>IF(Eingabe[[#This Row],[MP]]="","",MOD(ROW(Eingabe[[#This Row],[Position]])-3,6)+1)</f>
        <v/>
      </c>
      <c r="AN663" s="35" t="e">
        <f>STANDARDIZE(Eingabe[[#This Row],[GES]],Eingabe[[#This Row],[Schnitt]],VLOOKUP(Eingabe[[#This Row],[Name]],AuswertungG[],21,FALSE))</f>
        <v>#VALUE!</v>
      </c>
      <c r="AO663" s="35" t="str">
        <f>VLOOKUP(Eingabe[[#This Row],[ID]],Chronologie[[ID]:[KW]],12,FALSE)</f>
        <v/>
      </c>
      <c r="AP663" s="58">
        <f>IF(Eingabe[[#This Row],[Wo]]="H",Eingabe[[#This Row],[Gegner]]&amp;" ["&amp;Eingabe[[#This Row],[Wo]]&amp;"]",Eingabe[[#This Row],[Ort]])</f>
        <v>0</v>
      </c>
      <c r="AQ663" s="35" t="str">
        <f>IFERROR(IF(Eingabe[[#This Row],[Wo]]="H",IF(MOD(Eingabe[[#This Row],[Position]],2)=1,Eingabe[[#This Row],[S1]],Eingabe[[#This Row],[S4]]),""),"")</f>
        <v/>
      </c>
      <c r="AR663" s="35" t="str">
        <f>IFERROR(IF(Eingabe[[#This Row],[Wo]]="H",IF(Eingabe[[#This Row],[S1]]&gt;0,IF(MOD(Eingabe[[#This Row],[Position]],2)=1,Eingabe[[#This Row],[S2]],Eingabe[[#This Row],[S3]]),""),""),"")</f>
        <v/>
      </c>
      <c r="AS663" s="35" t="str">
        <f>IFERROR(IF(Eingabe[[#This Row],[Wo]]="H",IF(Eingabe[[#This Row],[S1]]&gt;0,IF(MOD(ROW(Eingabe[[#This Row],[Heimbahn 3]]),2)=1,Eingabe[[#This Row],[S4]],Eingabe[[#This Row],[S1]]),""),""),"")</f>
        <v/>
      </c>
      <c r="AT663" s="35" t="str">
        <f>IFERROR(IF(Eingabe[[#This Row],[Wo]]="H",IF(Eingabe[[#This Row],[S1]]&gt;0,IF(MOD(ROW(Eingabe[[#This Row],[Heimbahn 4]]),2)=1,Eingabe[[#This Row],[S3]],Eingabe[[#This Row],[S2]]),""),""),"")</f>
        <v/>
      </c>
      <c r="AU663" s="88" t="str">
        <f>IF(Eingabe[[#This Row],[GES]]="","",IF(Eingabe[[#This Row],[Modus]]="L",_xlfn.RANK.EQ(Eingabe[[#This Row],[GES]],AF663:AF668),IF(Eingabe[[#This Row],[Modus]]="P",_xlfn.RANK.EQ(Eingabe[[#This Row],[GES]],AF663:AF668),"")))</f>
        <v/>
      </c>
      <c r="AV663" s="6" t="e">
        <f>VLOOKUP(Eingabe[[#This Row],[Name]],AuswertungG[],8,FALSE)</f>
        <v>#N/A</v>
      </c>
      <c r="AZ663" s="6" t="str">
        <f>IFERROR(ABS(Eingabe[[#This Row],[GES]]-Eingabe[[#This Row],[GEGGES]]),"")</f>
        <v/>
      </c>
    </row>
    <row r="664" spans="1:52" hidden="1" x14ac:dyDescent="0.3">
      <c r="A664" s="441"/>
      <c r="B664" s="21">
        <f t="shared" si="62"/>
        <v>111</v>
      </c>
      <c r="C664" s="6">
        <f>VLOOKUP($B664,Chronologie[],7,TRUE)</f>
        <v>0</v>
      </c>
      <c r="D664" s="6">
        <f>VLOOKUP($B664,Chronologie[],8,TRUE)</f>
        <v>0</v>
      </c>
      <c r="E664" s="240">
        <f>VLOOKUP($B664,Chronologie[],9,TRUE)</f>
        <v>0</v>
      </c>
      <c r="F664" s="6">
        <f>VLOOKUP($B664,Chronologie[],COLUMN(F665)-2,TRUE)</f>
        <v>0</v>
      </c>
      <c r="G664" s="6">
        <f>VLOOKUP($B664,Chronologie[],COLUMN(G665)-2,TRUE)</f>
        <v>0</v>
      </c>
      <c r="H664" s="6">
        <f>VLOOKUP($B664,Chronologie[],COLUMN(H665)-2,TRUE)</f>
        <v>0</v>
      </c>
      <c r="I664" s="10" t="str">
        <f>VLOOKUP($B664,Chronologie[],2,TRUE)</f>
        <v>--</v>
      </c>
      <c r="J664" s="243">
        <f>VLOOKUP($B664,Chronologie[],3,TRUE)</f>
        <v>0</v>
      </c>
      <c r="K664" s="237"/>
      <c r="L664" s="237"/>
      <c r="M664" s="237"/>
      <c r="N664" s="237"/>
      <c r="O664" s="237"/>
      <c r="P664" s="237"/>
      <c r="Q664" s="237"/>
      <c r="R664" s="237"/>
      <c r="S664" s="237"/>
      <c r="T664" s="237"/>
      <c r="U664" s="237"/>
      <c r="V664" s="237"/>
      <c r="W664" s="237"/>
      <c r="X664" s="38"/>
      <c r="Y664" s="38"/>
      <c r="Z664" s="38"/>
      <c r="AA664" s="38"/>
      <c r="AB664" s="91"/>
      <c r="AC664" s="94" t="str">
        <f>IF(Eingabe[[#This Row],[V1]]="",IF(Eingabe[[#This Row],[Volle alternativ]]="","",Eingabe[[#This Row],[Volle alternativ]]),SUM(Eingabe[[#This Row],[V1]:[V4]]))</f>
        <v/>
      </c>
      <c r="AD664" s="6" t="str">
        <f>IF(Eingabe[[#This Row],[R1]]="",IF(Eingabe[[#This Row],[Räumer alternativ]]="","",Eingabe[[#This Row],[Räumer alternativ]]),SUM(Eingabe[[#This Row],[R1]:[R4]]))</f>
        <v/>
      </c>
      <c r="AE664" s="6" t="str">
        <f>IF(Eingabe[[#This Row],[F1]]="",IF(Eingabe[[#This Row],[Fehler alternativ]]="","",Eingabe[[#This Row],[Fehler alternativ]]),SUM(Eingabe[[#This Row],[F1]:[F4]]))</f>
        <v/>
      </c>
      <c r="AF664" s="6" t="str">
        <f>IF(Eingabe[[#This Row],[Volle]]="","",IF(Eingabe[[#This Row],[S1]]="",Eingabe[[#This Row],[Volle]]+Eingabe[[#This Row],[Räumer]],IF(Eingabe[[#This Row],[Volle]]+Eingabe[[#This Row],[Räumer]]=Eingabe[[#This Row],[S1]]+Eingabe[[#This Row],[S2]]+Eingabe[[#This Row],[S3]]+Eingabe[[#This Row],[S4]],Eingabe[[#This Row],[Volle]]+Eingabe[[#This Row],[Räumer]],"FEHLER")))</f>
        <v/>
      </c>
      <c r="AG664" s="6" t="str">
        <f>IF(Eingabe[[#This Row],[V1]]="","",Eingabe[[#This Row],[V1]]+Eingabe[[#This Row],[R1]])</f>
        <v/>
      </c>
      <c r="AH664" s="6" t="str">
        <f>IF(Eingabe[[#This Row],[V2]]="","",Eingabe[[#This Row],[V2]]+Eingabe[[#This Row],[R2]])</f>
        <v/>
      </c>
      <c r="AI664" s="6" t="str">
        <f>IF(Eingabe[[#This Row],[V3]]="","",Eingabe[[#This Row],[V3]]+Eingabe[[#This Row],[R3]])</f>
        <v/>
      </c>
      <c r="AJ664" s="6" t="str">
        <f>IF(Eingabe[[#This Row],[V4]]="","",Eingabe[[#This Row],[V4]]+Eingabe[[#This Row],[R4]])</f>
        <v/>
      </c>
      <c r="AK664" s="6" t="str">
        <f>IF(Eingabe[[#This Row],[S1P]]="","",Eingabe[[#This Row],[S1P]]+Eingabe[[#This Row],[S2P]]+Eingabe[[#This Row],[S3P]]+Eingabe[[#This Row],[S4P]])</f>
        <v/>
      </c>
      <c r="AL664" s="6" t="str">
        <f>IF(Eingabe[[#This Row],[S1P]]="","",IF(Eingabe[[#This Row],[SP]]&gt;2,1,IF(Eingabe[[#This Row],[SP]]&lt;2,0,IF(Eingabe[[#This Row],[GES]]&gt;Eingabe[[#This Row],[GEGGES]],1,IF(Eingabe[[#This Row],[GES]]=Eingabe[[#This Row],[GEGGES]],0.5,0)))))</f>
        <v/>
      </c>
      <c r="AM664" s="6" t="str">
        <f>IF(Eingabe[[#This Row],[MP]]="","",MOD(ROW(Eingabe[[#This Row],[Position]])-3,6)+1)</f>
        <v/>
      </c>
      <c r="AN664" s="6" t="e">
        <f>STANDARDIZE(Eingabe[[#This Row],[GES]],Eingabe[[#This Row],[Schnitt]],VLOOKUP(Eingabe[[#This Row],[Name]],AuswertungG[],21,FALSE))</f>
        <v>#VALUE!</v>
      </c>
      <c r="AO664" s="6" t="str">
        <f>VLOOKUP(Eingabe[[#This Row],[ID]],Chronologie[[ID]:[KW]],12,FALSE)</f>
        <v/>
      </c>
      <c r="AP664" s="95">
        <f>IF(Eingabe[[#This Row],[Wo]]="H",Eingabe[[#This Row],[Gegner]]&amp;" ["&amp;Eingabe[[#This Row],[Wo]]&amp;"]",Eingabe[[#This Row],[Ort]])</f>
        <v>0</v>
      </c>
      <c r="AQ664" s="6" t="str">
        <f>IFERROR(IF(Eingabe[[#This Row],[Wo]]="H",IF(MOD(Eingabe[[#This Row],[Position]],2)=1,Eingabe[[#This Row],[S1]],Eingabe[[#This Row],[S4]]),""),"")</f>
        <v/>
      </c>
      <c r="AR664" s="6" t="str">
        <f>IFERROR(IF(Eingabe[[#This Row],[Wo]]="H",IF(Eingabe[[#This Row],[S1]]&gt;0,IF(MOD(Eingabe[[#This Row],[Position]],2)=1,Eingabe[[#This Row],[S2]],Eingabe[[#This Row],[S3]]),""),""),"")</f>
        <v/>
      </c>
      <c r="AS664" s="6" t="str">
        <f>IFERROR(IF(Eingabe[[#This Row],[Wo]]="H",IF(Eingabe[[#This Row],[S1]]&gt;0,IF(MOD(ROW(Eingabe[[#This Row],[Heimbahn 3]]),2)=1,Eingabe[[#This Row],[S4]],Eingabe[[#This Row],[S1]]),""),""),"")</f>
        <v/>
      </c>
      <c r="AT664" s="6" t="str">
        <f>IFERROR(IF(Eingabe[[#This Row],[Wo]]="H",IF(Eingabe[[#This Row],[S1]]&gt;0,IF(MOD(ROW(Eingabe[[#This Row],[Heimbahn 4]]),2)=1,Eingabe[[#This Row],[S3]],Eingabe[[#This Row],[S2]]),""),""),"")</f>
        <v/>
      </c>
      <c r="AU664" s="22" t="str">
        <f>IF(Eingabe[[#This Row],[GES]]="","",IF(Eingabe[[#This Row],[Modus]]="L",_xlfn.RANK.EQ(Eingabe[[#This Row],[GES]],AF663:AF668),IF(Eingabe[[#This Row],[Modus]]="P",_xlfn.RANK.EQ(Eingabe[[#This Row],[GES]],AF663:AF668),"")))</f>
        <v/>
      </c>
      <c r="AV664" s="6" t="e">
        <f>VLOOKUP(Eingabe[[#This Row],[Name]],AuswertungG[],8,FALSE)</f>
        <v>#N/A</v>
      </c>
      <c r="AZ664" s="6" t="str">
        <f>IFERROR(ABS(Eingabe[[#This Row],[GES]]-Eingabe[[#This Row],[GEGGES]]),"")</f>
        <v/>
      </c>
    </row>
    <row r="665" spans="1:52" hidden="1" x14ac:dyDescent="0.3">
      <c r="A665" s="441"/>
      <c r="B665" s="21">
        <f t="shared" si="62"/>
        <v>111</v>
      </c>
      <c r="C665" s="6">
        <f>VLOOKUP($B665,Chronologie[],7,TRUE)</f>
        <v>0</v>
      </c>
      <c r="D665" s="6">
        <f>VLOOKUP($B665,Chronologie[],8,TRUE)</f>
        <v>0</v>
      </c>
      <c r="E665" s="240">
        <f>VLOOKUP($B665,Chronologie[],9,TRUE)</f>
        <v>0</v>
      </c>
      <c r="F665" s="6">
        <f>VLOOKUP($B665,Chronologie[],COLUMN(F666)-2,TRUE)</f>
        <v>0</v>
      </c>
      <c r="G665" s="6">
        <f>VLOOKUP($B665,Chronologie[],COLUMN(G666)-2,TRUE)</f>
        <v>0</v>
      </c>
      <c r="H665" s="6">
        <f>VLOOKUP($B665,Chronologie[],COLUMN(H666)-2,TRUE)</f>
        <v>0</v>
      </c>
      <c r="I665" s="10" t="str">
        <f>VLOOKUP($B665,Chronologie[],2,TRUE)</f>
        <v>--</v>
      </c>
      <c r="J665" s="243">
        <f>VLOOKUP($B665,Chronologie[],3,TRUE)</f>
        <v>0</v>
      </c>
      <c r="K665" s="237"/>
      <c r="L665" s="237"/>
      <c r="M665" s="237"/>
      <c r="N665" s="237"/>
      <c r="O665" s="237"/>
      <c r="P665" s="237"/>
      <c r="Q665" s="237"/>
      <c r="R665" s="237"/>
      <c r="S665" s="237"/>
      <c r="T665" s="237"/>
      <c r="U665" s="237"/>
      <c r="V665" s="237"/>
      <c r="W665" s="237"/>
      <c r="X665" s="38"/>
      <c r="Y665" s="38"/>
      <c r="Z665" s="38"/>
      <c r="AA665" s="38"/>
      <c r="AB665" s="91"/>
      <c r="AC665" s="94" t="str">
        <f>IF(Eingabe[[#This Row],[V1]]="",IF(Eingabe[[#This Row],[Volle alternativ]]="","",Eingabe[[#This Row],[Volle alternativ]]),SUM(Eingabe[[#This Row],[V1]:[V4]]))</f>
        <v/>
      </c>
      <c r="AD665" s="6" t="str">
        <f>IF(Eingabe[[#This Row],[R1]]="",IF(Eingabe[[#This Row],[Räumer alternativ]]="","",Eingabe[[#This Row],[Räumer alternativ]]),SUM(Eingabe[[#This Row],[R1]:[R4]]))</f>
        <v/>
      </c>
      <c r="AE665" s="6" t="str">
        <f>IF(Eingabe[[#This Row],[F1]]="",IF(Eingabe[[#This Row],[Fehler alternativ]]="","",Eingabe[[#This Row],[Fehler alternativ]]),SUM(Eingabe[[#This Row],[F1]:[F4]]))</f>
        <v/>
      </c>
      <c r="AF665" s="6" t="str">
        <f>IF(Eingabe[[#This Row],[Volle]]="","",IF(Eingabe[[#This Row],[S1]]="",Eingabe[[#This Row],[Volle]]+Eingabe[[#This Row],[Räumer]],IF(Eingabe[[#This Row],[Volle]]+Eingabe[[#This Row],[Räumer]]=Eingabe[[#This Row],[S1]]+Eingabe[[#This Row],[S2]]+Eingabe[[#This Row],[S3]]+Eingabe[[#This Row],[S4]],Eingabe[[#This Row],[Volle]]+Eingabe[[#This Row],[Räumer]],"FEHLER")))</f>
        <v/>
      </c>
      <c r="AG665" s="6" t="str">
        <f>IF(Eingabe[[#This Row],[V1]]="","",Eingabe[[#This Row],[V1]]+Eingabe[[#This Row],[R1]])</f>
        <v/>
      </c>
      <c r="AH665" s="6" t="str">
        <f>IF(Eingabe[[#This Row],[V2]]="","",Eingabe[[#This Row],[V2]]+Eingabe[[#This Row],[R2]])</f>
        <v/>
      </c>
      <c r="AI665" s="6" t="str">
        <f>IF(Eingabe[[#This Row],[V3]]="","",Eingabe[[#This Row],[V3]]+Eingabe[[#This Row],[R3]])</f>
        <v/>
      </c>
      <c r="AJ665" s="6" t="str">
        <f>IF(Eingabe[[#This Row],[V4]]="","",Eingabe[[#This Row],[V4]]+Eingabe[[#This Row],[R4]])</f>
        <v/>
      </c>
      <c r="AK665" s="6" t="str">
        <f>IF(Eingabe[[#This Row],[S1P]]="","",Eingabe[[#This Row],[S1P]]+Eingabe[[#This Row],[S2P]]+Eingabe[[#This Row],[S3P]]+Eingabe[[#This Row],[S4P]])</f>
        <v/>
      </c>
      <c r="AL665" s="6" t="str">
        <f>IF(Eingabe[[#This Row],[S1P]]="","",IF(Eingabe[[#This Row],[SP]]&gt;2,1,IF(Eingabe[[#This Row],[SP]]&lt;2,0,IF(Eingabe[[#This Row],[GES]]&gt;Eingabe[[#This Row],[GEGGES]],1,IF(Eingabe[[#This Row],[GES]]=Eingabe[[#This Row],[GEGGES]],0.5,0)))))</f>
        <v/>
      </c>
      <c r="AM665" s="6" t="str">
        <f>IF(Eingabe[[#This Row],[MP]]="","",MOD(ROW(Eingabe[[#This Row],[Position]])-3,6)+1)</f>
        <v/>
      </c>
      <c r="AN665" s="6" t="e">
        <f>STANDARDIZE(Eingabe[[#This Row],[GES]],Eingabe[[#This Row],[Schnitt]],VLOOKUP(Eingabe[[#This Row],[Name]],AuswertungG[],21,FALSE))</f>
        <v>#VALUE!</v>
      </c>
      <c r="AO665" s="6" t="str">
        <f>VLOOKUP(Eingabe[[#This Row],[ID]],Chronologie[[ID]:[KW]],12,FALSE)</f>
        <v/>
      </c>
      <c r="AP665" s="95">
        <f>IF(Eingabe[[#This Row],[Wo]]="H",Eingabe[[#This Row],[Gegner]]&amp;" ["&amp;Eingabe[[#This Row],[Wo]]&amp;"]",Eingabe[[#This Row],[Ort]])</f>
        <v>0</v>
      </c>
      <c r="AQ665" s="6" t="str">
        <f>IFERROR(IF(Eingabe[[#This Row],[Wo]]="H",IF(MOD(Eingabe[[#This Row],[Position]],2)=1,Eingabe[[#This Row],[S1]],Eingabe[[#This Row],[S4]]),""),"")</f>
        <v/>
      </c>
      <c r="AR665" s="6" t="str">
        <f>IFERROR(IF(Eingabe[[#This Row],[Wo]]="H",IF(Eingabe[[#This Row],[S1]]&gt;0,IF(MOD(Eingabe[[#This Row],[Position]],2)=1,Eingabe[[#This Row],[S2]],Eingabe[[#This Row],[S3]]),""),""),"")</f>
        <v/>
      </c>
      <c r="AS665" s="6" t="str">
        <f>IFERROR(IF(Eingabe[[#This Row],[Wo]]="H",IF(Eingabe[[#This Row],[S1]]&gt;0,IF(MOD(ROW(Eingabe[[#This Row],[Heimbahn 3]]),2)=1,Eingabe[[#This Row],[S4]],Eingabe[[#This Row],[S1]]),""),""),"")</f>
        <v/>
      </c>
      <c r="AT665" s="6" t="str">
        <f>IFERROR(IF(Eingabe[[#This Row],[Wo]]="H",IF(Eingabe[[#This Row],[S1]]&gt;0,IF(MOD(ROW(Eingabe[[#This Row],[Heimbahn 4]]),2)=1,Eingabe[[#This Row],[S3]],Eingabe[[#This Row],[S2]]),""),""),"")</f>
        <v/>
      </c>
      <c r="AU665" s="22" t="str">
        <f>IF(Eingabe[[#This Row],[GES]]="","",IF(Eingabe[[#This Row],[Modus]]="L",_xlfn.RANK.EQ(Eingabe[[#This Row],[GES]],AF663:AF668),IF(Eingabe[[#This Row],[Modus]]="P",_xlfn.RANK.EQ(Eingabe[[#This Row],[GES]],AF663:AF668),"")))</f>
        <v/>
      </c>
      <c r="AV665" s="6" t="e">
        <f>VLOOKUP(Eingabe[[#This Row],[Name]],AuswertungG[],8,FALSE)</f>
        <v>#N/A</v>
      </c>
      <c r="AZ665" s="6" t="str">
        <f>IFERROR(ABS(Eingabe[[#This Row],[GES]]-Eingabe[[#This Row],[GEGGES]]),"")</f>
        <v/>
      </c>
    </row>
    <row r="666" spans="1:52" hidden="1" x14ac:dyDescent="0.3">
      <c r="A666" s="441"/>
      <c r="B666" s="21">
        <f t="shared" si="62"/>
        <v>111</v>
      </c>
      <c r="C666" s="6">
        <f>VLOOKUP($B666,Chronologie[],7,TRUE)</f>
        <v>0</v>
      </c>
      <c r="D666" s="6">
        <f>VLOOKUP($B666,Chronologie[],8,TRUE)</f>
        <v>0</v>
      </c>
      <c r="E666" s="240">
        <f>VLOOKUP($B666,Chronologie[],9,TRUE)</f>
        <v>0</v>
      </c>
      <c r="F666" s="6">
        <f>VLOOKUP($B666,Chronologie[],COLUMN(F667)-2,TRUE)</f>
        <v>0</v>
      </c>
      <c r="G666" s="6">
        <f>VLOOKUP($B666,Chronologie[],COLUMN(G667)-2,TRUE)</f>
        <v>0</v>
      </c>
      <c r="H666" s="6">
        <f>VLOOKUP($B666,Chronologie[],COLUMN(H667)-2,TRUE)</f>
        <v>0</v>
      </c>
      <c r="I666" s="10" t="str">
        <f>VLOOKUP($B666,Chronologie[],2,TRUE)</f>
        <v>--</v>
      </c>
      <c r="J666" s="243">
        <f>VLOOKUP($B666,Chronologie[],3,TRUE)</f>
        <v>0</v>
      </c>
      <c r="K666" s="238"/>
      <c r="L666" s="237"/>
      <c r="M666" s="237"/>
      <c r="N666" s="237"/>
      <c r="O666" s="237"/>
      <c r="P666" s="237"/>
      <c r="Q666" s="237"/>
      <c r="R666" s="237"/>
      <c r="S666" s="237"/>
      <c r="T666" s="237"/>
      <c r="U666" s="237"/>
      <c r="V666" s="237"/>
      <c r="W666" s="237"/>
      <c r="X666" s="38"/>
      <c r="Y666" s="38"/>
      <c r="Z666" s="38"/>
      <c r="AA666" s="38"/>
      <c r="AB666" s="91"/>
      <c r="AC666" s="94" t="str">
        <f>IF(Eingabe[[#This Row],[V1]]="",IF(Eingabe[[#This Row],[Volle alternativ]]="","",Eingabe[[#This Row],[Volle alternativ]]),SUM(Eingabe[[#This Row],[V1]:[V4]]))</f>
        <v/>
      </c>
      <c r="AD666" s="6" t="str">
        <f>IF(Eingabe[[#This Row],[R1]]="",IF(Eingabe[[#This Row],[Räumer alternativ]]="","",Eingabe[[#This Row],[Räumer alternativ]]),SUM(Eingabe[[#This Row],[R1]:[R4]]))</f>
        <v/>
      </c>
      <c r="AE666" s="6" t="str">
        <f>IF(Eingabe[[#This Row],[F1]]="",IF(Eingabe[[#This Row],[Fehler alternativ]]="","",Eingabe[[#This Row],[Fehler alternativ]]),SUM(Eingabe[[#This Row],[F1]:[F4]]))</f>
        <v/>
      </c>
      <c r="AF666" s="6" t="str">
        <f>IF(Eingabe[[#This Row],[Volle]]="","",IF(Eingabe[[#This Row],[S1]]="",Eingabe[[#This Row],[Volle]]+Eingabe[[#This Row],[Räumer]],IF(Eingabe[[#This Row],[Volle]]+Eingabe[[#This Row],[Räumer]]=Eingabe[[#This Row],[S1]]+Eingabe[[#This Row],[S2]]+Eingabe[[#This Row],[S3]]+Eingabe[[#This Row],[S4]],Eingabe[[#This Row],[Volle]]+Eingabe[[#This Row],[Räumer]],"FEHLER")))</f>
        <v/>
      </c>
      <c r="AG666" s="6" t="str">
        <f>IF(Eingabe[[#This Row],[V1]]="","",Eingabe[[#This Row],[V1]]+Eingabe[[#This Row],[R1]])</f>
        <v/>
      </c>
      <c r="AH666" s="6" t="str">
        <f>IF(Eingabe[[#This Row],[V2]]="","",Eingabe[[#This Row],[V2]]+Eingabe[[#This Row],[R2]])</f>
        <v/>
      </c>
      <c r="AI666" s="6" t="str">
        <f>IF(Eingabe[[#This Row],[V3]]="","",Eingabe[[#This Row],[V3]]+Eingabe[[#This Row],[R3]])</f>
        <v/>
      </c>
      <c r="AJ666" s="6" t="str">
        <f>IF(Eingabe[[#This Row],[V4]]="","",Eingabe[[#This Row],[V4]]+Eingabe[[#This Row],[R4]])</f>
        <v/>
      </c>
      <c r="AK666" s="6" t="str">
        <f>IF(Eingabe[[#This Row],[S1P]]="","",Eingabe[[#This Row],[S1P]]+Eingabe[[#This Row],[S2P]]+Eingabe[[#This Row],[S3P]]+Eingabe[[#This Row],[S4P]])</f>
        <v/>
      </c>
      <c r="AL666" s="6" t="str">
        <f>IF(Eingabe[[#This Row],[S1P]]="","",IF(Eingabe[[#This Row],[SP]]&gt;2,1,IF(Eingabe[[#This Row],[SP]]&lt;2,0,IF(Eingabe[[#This Row],[GES]]&gt;Eingabe[[#This Row],[GEGGES]],1,IF(Eingabe[[#This Row],[GES]]=Eingabe[[#This Row],[GEGGES]],0.5,0)))))</f>
        <v/>
      </c>
      <c r="AM666" s="6" t="str">
        <f>IF(Eingabe[[#This Row],[MP]]="","",MOD(ROW(Eingabe[[#This Row],[Position]])-3,6)+1)</f>
        <v/>
      </c>
      <c r="AN666" s="6" t="e">
        <f>STANDARDIZE(Eingabe[[#This Row],[GES]],Eingabe[[#This Row],[Schnitt]],VLOOKUP(Eingabe[[#This Row],[Name]],AuswertungG[],21,FALSE))</f>
        <v>#VALUE!</v>
      </c>
      <c r="AO666" s="6" t="str">
        <f>VLOOKUP(Eingabe[[#This Row],[ID]],Chronologie[[ID]:[KW]],12,FALSE)</f>
        <v/>
      </c>
      <c r="AP666" s="95">
        <f>IF(Eingabe[[#This Row],[Wo]]="H",Eingabe[[#This Row],[Gegner]]&amp;" ["&amp;Eingabe[[#This Row],[Wo]]&amp;"]",Eingabe[[#This Row],[Ort]])</f>
        <v>0</v>
      </c>
      <c r="AQ666" s="6" t="str">
        <f>IFERROR(IF(Eingabe[[#This Row],[Wo]]="H",IF(MOD(Eingabe[[#This Row],[Position]],2)=1,Eingabe[[#This Row],[S1]],Eingabe[[#This Row],[S4]]),""),"")</f>
        <v/>
      </c>
      <c r="AR666" s="6" t="str">
        <f>IFERROR(IF(Eingabe[[#This Row],[Wo]]="H",IF(Eingabe[[#This Row],[S1]]&gt;0,IF(MOD(Eingabe[[#This Row],[Position]],2)=1,Eingabe[[#This Row],[S2]],Eingabe[[#This Row],[S3]]),""),""),"")</f>
        <v/>
      </c>
      <c r="AS666" s="6" t="str">
        <f>IFERROR(IF(Eingabe[[#This Row],[Wo]]="H",IF(Eingabe[[#This Row],[S1]]&gt;0,IF(MOD(ROW(Eingabe[[#This Row],[Heimbahn 3]]),2)=1,Eingabe[[#This Row],[S4]],Eingabe[[#This Row],[S1]]),""),""),"")</f>
        <v/>
      </c>
      <c r="AT666" s="6" t="str">
        <f>IFERROR(IF(Eingabe[[#This Row],[Wo]]="H",IF(Eingabe[[#This Row],[S1]]&gt;0,IF(MOD(ROW(Eingabe[[#This Row],[Heimbahn 4]]),2)=1,Eingabe[[#This Row],[S3]],Eingabe[[#This Row],[S2]]),""),""),"")</f>
        <v/>
      </c>
      <c r="AU666" s="22" t="str">
        <f>IF(Eingabe[[#This Row],[GES]]="","",IF(Eingabe[[#This Row],[Modus]]="L",_xlfn.RANK.EQ(Eingabe[[#This Row],[GES]],AF663:AF668),IF(Eingabe[[#This Row],[Modus]]="P",_xlfn.RANK.EQ(Eingabe[[#This Row],[GES]],AF663:AF668),"")))</f>
        <v/>
      </c>
      <c r="AV666" s="6" t="e">
        <f>VLOOKUP(Eingabe[[#This Row],[Name]],AuswertungG[],8,FALSE)</f>
        <v>#N/A</v>
      </c>
      <c r="AZ666" s="6" t="str">
        <f>IFERROR(ABS(Eingabe[[#This Row],[GES]]-Eingabe[[#This Row],[GEGGES]]),"")</f>
        <v/>
      </c>
    </row>
    <row r="667" spans="1:52" hidden="1" x14ac:dyDescent="0.3">
      <c r="A667" s="441"/>
      <c r="B667" s="21">
        <f t="shared" ref="B667:B698" si="68">ROUNDUP((ROW(B667)-2)/6,0)</f>
        <v>111</v>
      </c>
      <c r="C667" s="6">
        <f>VLOOKUP($B667,Chronologie[],7,TRUE)</f>
        <v>0</v>
      </c>
      <c r="D667" s="6">
        <f>VLOOKUP($B667,Chronologie[],8,TRUE)</f>
        <v>0</v>
      </c>
      <c r="E667" s="240">
        <f>VLOOKUP($B667,Chronologie[],9,TRUE)</f>
        <v>0</v>
      </c>
      <c r="F667" s="6">
        <f>VLOOKUP($B667,Chronologie[],COLUMN(F668)-2,TRUE)</f>
        <v>0</v>
      </c>
      <c r="G667" s="6">
        <f>VLOOKUP($B667,Chronologie[],COLUMN(G668)-2,TRUE)</f>
        <v>0</v>
      </c>
      <c r="H667" s="6">
        <f>VLOOKUP($B667,Chronologie[],COLUMN(H668)-2,TRUE)</f>
        <v>0</v>
      </c>
      <c r="I667" s="10" t="str">
        <f>VLOOKUP($B667,Chronologie[],2,TRUE)</f>
        <v>--</v>
      </c>
      <c r="J667" s="243">
        <f>VLOOKUP($B667,Chronologie[],3,TRUE)</f>
        <v>0</v>
      </c>
      <c r="K667" s="237"/>
      <c r="L667" s="237"/>
      <c r="M667" s="237"/>
      <c r="N667" s="237"/>
      <c r="O667" s="237"/>
      <c r="P667" s="237"/>
      <c r="Q667" s="237"/>
      <c r="R667" s="237"/>
      <c r="S667" s="237"/>
      <c r="T667" s="237"/>
      <c r="U667" s="237"/>
      <c r="V667" s="237"/>
      <c r="W667" s="237"/>
      <c r="X667" s="38"/>
      <c r="Y667" s="38"/>
      <c r="Z667" s="38"/>
      <c r="AA667" s="38"/>
      <c r="AB667" s="91"/>
      <c r="AC667" s="94" t="str">
        <f>IF(Eingabe[[#This Row],[V1]]="",IF(Eingabe[[#This Row],[Volle alternativ]]="","",Eingabe[[#This Row],[Volle alternativ]]),SUM(Eingabe[[#This Row],[V1]:[V4]]))</f>
        <v/>
      </c>
      <c r="AD667" s="6" t="str">
        <f>IF(Eingabe[[#This Row],[R1]]="",IF(Eingabe[[#This Row],[Räumer alternativ]]="","",Eingabe[[#This Row],[Räumer alternativ]]),SUM(Eingabe[[#This Row],[R1]:[R4]]))</f>
        <v/>
      </c>
      <c r="AE667" s="6" t="str">
        <f>IF(Eingabe[[#This Row],[F1]]="",IF(Eingabe[[#This Row],[Fehler alternativ]]="","",Eingabe[[#This Row],[Fehler alternativ]]),SUM(Eingabe[[#This Row],[F1]:[F4]]))</f>
        <v/>
      </c>
      <c r="AF667" s="6" t="str">
        <f>IF(Eingabe[[#This Row],[Volle]]="","",IF(Eingabe[[#This Row],[S1]]="",Eingabe[[#This Row],[Volle]]+Eingabe[[#This Row],[Räumer]],IF(Eingabe[[#This Row],[Volle]]+Eingabe[[#This Row],[Räumer]]=Eingabe[[#This Row],[S1]]+Eingabe[[#This Row],[S2]]+Eingabe[[#This Row],[S3]]+Eingabe[[#This Row],[S4]],Eingabe[[#This Row],[Volle]]+Eingabe[[#This Row],[Räumer]],"FEHLER")))</f>
        <v/>
      </c>
      <c r="AG667" s="6" t="str">
        <f>IF(Eingabe[[#This Row],[V1]]="","",Eingabe[[#This Row],[V1]]+Eingabe[[#This Row],[R1]])</f>
        <v/>
      </c>
      <c r="AH667" s="6" t="str">
        <f>IF(Eingabe[[#This Row],[V2]]="","",Eingabe[[#This Row],[V2]]+Eingabe[[#This Row],[R2]])</f>
        <v/>
      </c>
      <c r="AI667" s="6" t="str">
        <f>IF(Eingabe[[#This Row],[V3]]="","",Eingabe[[#This Row],[V3]]+Eingabe[[#This Row],[R3]])</f>
        <v/>
      </c>
      <c r="AJ667" s="6" t="str">
        <f>IF(Eingabe[[#This Row],[V4]]="","",Eingabe[[#This Row],[V4]]+Eingabe[[#This Row],[R4]])</f>
        <v/>
      </c>
      <c r="AK667" s="6" t="str">
        <f>IF(Eingabe[[#This Row],[S1P]]="","",Eingabe[[#This Row],[S1P]]+Eingabe[[#This Row],[S2P]]+Eingabe[[#This Row],[S3P]]+Eingabe[[#This Row],[S4P]])</f>
        <v/>
      </c>
      <c r="AL667" s="6" t="str">
        <f>IF(Eingabe[[#This Row],[S1P]]="","",IF(Eingabe[[#This Row],[SP]]&gt;2,1,IF(Eingabe[[#This Row],[SP]]&lt;2,0,IF(Eingabe[[#This Row],[GES]]&gt;Eingabe[[#This Row],[GEGGES]],1,IF(Eingabe[[#This Row],[GES]]=Eingabe[[#This Row],[GEGGES]],0.5,0)))))</f>
        <v/>
      </c>
      <c r="AM667" s="6" t="str">
        <f>IF(Eingabe[[#This Row],[MP]]="","",MOD(ROW(Eingabe[[#This Row],[Position]])-3,6)+1)</f>
        <v/>
      </c>
      <c r="AN667" s="6" t="e">
        <f>STANDARDIZE(Eingabe[[#This Row],[GES]],Eingabe[[#This Row],[Schnitt]],VLOOKUP(Eingabe[[#This Row],[Name]],AuswertungG[],21,FALSE))</f>
        <v>#VALUE!</v>
      </c>
      <c r="AO667" s="6" t="str">
        <f>VLOOKUP(Eingabe[[#This Row],[ID]],Chronologie[[ID]:[KW]],12,FALSE)</f>
        <v/>
      </c>
      <c r="AP667" s="95">
        <f>IF(Eingabe[[#This Row],[Wo]]="H",Eingabe[[#This Row],[Gegner]]&amp;" ["&amp;Eingabe[[#This Row],[Wo]]&amp;"]",Eingabe[[#This Row],[Ort]])</f>
        <v>0</v>
      </c>
      <c r="AQ667" s="6" t="str">
        <f>IFERROR(IF(Eingabe[[#This Row],[Wo]]="H",IF(MOD(Eingabe[[#This Row],[Position]],2)=1,Eingabe[[#This Row],[S1]],Eingabe[[#This Row],[S4]]),""),"")</f>
        <v/>
      </c>
      <c r="AR667" s="6" t="str">
        <f>IFERROR(IF(Eingabe[[#This Row],[Wo]]="H",IF(Eingabe[[#This Row],[S1]]&gt;0,IF(MOD(Eingabe[[#This Row],[Position]],2)=1,Eingabe[[#This Row],[S2]],Eingabe[[#This Row],[S3]]),""),""),"")</f>
        <v/>
      </c>
      <c r="AS667" s="6" t="str">
        <f>IFERROR(IF(Eingabe[[#This Row],[Wo]]="H",IF(Eingabe[[#This Row],[S1]]&gt;0,IF(MOD(ROW(Eingabe[[#This Row],[Heimbahn 3]]),2)=1,Eingabe[[#This Row],[S4]],Eingabe[[#This Row],[S1]]),""),""),"")</f>
        <v/>
      </c>
      <c r="AT667" s="6" t="str">
        <f>IFERROR(IF(Eingabe[[#This Row],[Wo]]="H",IF(Eingabe[[#This Row],[S1]]&gt;0,IF(MOD(ROW(Eingabe[[#This Row],[Heimbahn 4]]),2)=1,Eingabe[[#This Row],[S3]],Eingabe[[#This Row],[S2]]),""),""),"")</f>
        <v/>
      </c>
      <c r="AU667" s="22" t="str">
        <f>IF(Eingabe[[#This Row],[GES]]="","",IF(Eingabe[[#This Row],[Modus]]="L",_xlfn.RANK.EQ(Eingabe[[#This Row],[GES]],AF663:AF668),IF(Eingabe[[#This Row],[Modus]]="P",_xlfn.RANK.EQ(Eingabe[[#This Row],[GES]],AF663:AF668),"")))</f>
        <v/>
      </c>
      <c r="AV667" s="6" t="e">
        <f>VLOOKUP(Eingabe[[#This Row],[Name]],AuswertungG[],8,FALSE)</f>
        <v>#N/A</v>
      </c>
      <c r="AZ667" s="6" t="str">
        <f>IFERROR(ABS(Eingabe[[#This Row],[GES]]-Eingabe[[#This Row],[GEGGES]]),"")</f>
        <v/>
      </c>
    </row>
    <row r="668" spans="1:52" ht="16.2" hidden="1" thickBot="1" x14ac:dyDescent="0.35">
      <c r="A668" s="442"/>
      <c r="B668" s="56">
        <f t="shared" si="68"/>
        <v>111</v>
      </c>
      <c r="C668" s="23">
        <f>VLOOKUP($B668,Chronologie[],7,TRUE)</f>
        <v>0</v>
      </c>
      <c r="D668" s="23">
        <f>VLOOKUP($B668,Chronologie[],8,TRUE)</f>
        <v>0</v>
      </c>
      <c r="E668" s="39">
        <f>VLOOKUP($B668,Chronologie[],9,TRUE)</f>
        <v>0</v>
      </c>
      <c r="F668" s="23">
        <f>VLOOKUP($B668,Chronologie[],COLUMN(F669)-2,TRUE)</f>
        <v>0</v>
      </c>
      <c r="G668" s="23">
        <f>VLOOKUP($B668,Chronologie[],COLUMN(G669)-2,TRUE)</f>
        <v>0</v>
      </c>
      <c r="H668" s="23">
        <f>VLOOKUP($B668,Chronologie[],COLUMN(H669)-2,TRUE)</f>
        <v>0</v>
      </c>
      <c r="I668" s="13" t="str">
        <f>VLOOKUP($B668,Chronologie[],2,TRUE)</f>
        <v>--</v>
      </c>
      <c r="J668" s="244">
        <f>VLOOKUP($B668,Chronologie[],3,TRUE)</f>
        <v>0</v>
      </c>
      <c r="K668" s="239"/>
      <c r="L668" s="239"/>
      <c r="M668" s="239"/>
      <c r="N668" s="239"/>
      <c r="O668" s="239"/>
      <c r="P668" s="239"/>
      <c r="Q668" s="239"/>
      <c r="R668" s="239"/>
      <c r="S668" s="239"/>
      <c r="T668" s="239"/>
      <c r="U668" s="239"/>
      <c r="V668" s="239"/>
      <c r="W668" s="239"/>
      <c r="X668" s="40"/>
      <c r="Y668" s="40"/>
      <c r="Z668" s="40"/>
      <c r="AA668" s="40"/>
      <c r="AB668" s="92"/>
      <c r="AC668" s="96" t="str">
        <f>IF(Eingabe[[#This Row],[V1]]="",IF(Eingabe[[#This Row],[Volle alternativ]]="","",Eingabe[[#This Row],[Volle alternativ]]),SUM(Eingabe[[#This Row],[V1]:[V4]]))</f>
        <v/>
      </c>
      <c r="AD668" s="23" t="str">
        <f>IF(Eingabe[[#This Row],[R1]]="",IF(Eingabe[[#This Row],[Räumer alternativ]]="","",Eingabe[[#This Row],[Räumer alternativ]]),SUM(Eingabe[[#This Row],[R1]:[R4]]))</f>
        <v/>
      </c>
      <c r="AE668" s="23" t="str">
        <f>IF(Eingabe[[#This Row],[F1]]="",IF(Eingabe[[#This Row],[Fehler alternativ]]="","",Eingabe[[#This Row],[Fehler alternativ]]),SUM(Eingabe[[#This Row],[F1]:[F4]]))</f>
        <v/>
      </c>
      <c r="AF668" s="23" t="str">
        <f>IF(Eingabe[[#This Row],[Volle]]="","",IF(Eingabe[[#This Row],[S1]]="",Eingabe[[#This Row],[Volle]]+Eingabe[[#This Row],[Räumer]],IF(Eingabe[[#This Row],[Volle]]+Eingabe[[#This Row],[Räumer]]=Eingabe[[#This Row],[S1]]+Eingabe[[#This Row],[S2]]+Eingabe[[#This Row],[S3]]+Eingabe[[#This Row],[S4]],Eingabe[[#This Row],[Volle]]+Eingabe[[#This Row],[Räumer]],"FEHLER")))</f>
        <v/>
      </c>
      <c r="AG668" s="23" t="str">
        <f>IF(Eingabe[[#This Row],[V1]]="","",Eingabe[[#This Row],[V1]]+Eingabe[[#This Row],[R1]])</f>
        <v/>
      </c>
      <c r="AH668" s="23" t="str">
        <f>IF(Eingabe[[#This Row],[V2]]="","",Eingabe[[#This Row],[V2]]+Eingabe[[#This Row],[R2]])</f>
        <v/>
      </c>
      <c r="AI668" s="23" t="str">
        <f>IF(Eingabe[[#This Row],[V3]]="","",Eingabe[[#This Row],[V3]]+Eingabe[[#This Row],[R3]])</f>
        <v/>
      </c>
      <c r="AJ668" s="23" t="str">
        <f>IF(Eingabe[[#This Row],[V4]]="","",Eingabe[[#This Row],[V4]]+Eingabe[[#This Row],[R4]])</f>
        <v/>
      </c>
      <c r="AK668" s="23" t="str">
        <f>IF(Eingabe[[#This Row],[S1P]]="","",Eingabe[[#This Row],[S1P]]+Eingabe[[#This Row],[S2P]]+Eingabe[[#This Row],[S3P]]+Eingabe[[#This Row],[S4P]])</f>
        <v/>
      </c>
      <c r="AL668" s="23" t="str">
        <f>IF(Eingabe[[#This Row],[S1P]]="","",IF(Eingabe[[#This Row],[SP]]&gt;2,1,IF(Eingabe[[#This Row],[SP]]&lt;2,0,IF(Eingabe[[#This Row],[GES]]&gt;Eingabe[[#This Row],[GEGGES]],1,IF(Eingabe[[#This Row],[GES]]=Eingabe[[#This Row],[GEGGES]],0.5,0)))))</f>
        <v/>
      </c>
      <c r="AM668" s="23" t="str">
        <f>IF(Eingabe[[#This Row],[MP]]="","",MOD(ROW(Eingabe[[#This Row],[Position]])-3,6)+1)</f>
        <v/>
      </c>
      <c r="AN668" s="23" t="e">
        <f>STANDARDIZE(Eingabe[[#This Row],[GES]],Eingabe[[#This Row],[Schnitt]],VLOOKUP(Eingabe[[#This Row],[Name]],AuswertungG[],21,FALSE))</f>
        <v>#VALUE!</v>
      </c>
      <c r="AO668" s="23" t="str">
        <f>VLOOKUP(Eingabe[[#This Row],[ID]],Chronologie[[ID]:[KW]],12,FALSE)</f>
        <v/>
      </c>
      <c r="AP668" s="59">
        <f>IF(Eingabe[[#This Row],[Wo]]="H",Eingabe[[#This Row],[Gegner]]&amp;" ["&amp;Eingabe[[#This Row],[Wo]]&amp;"]",Eingabe[[#This Row],[Ort]])</f>
        <v>0</v>
      </c>
      <c r="AQ668" s="23" t="str">
        <f>IFERROR(IF(Eingabe[[#This Row],[Wo]]="H",IF(MOD(Eingabe[[#This Row],[Position]],2)=1,Eingabe[[#This Row],[S1]],Eingabe[[#This Row],[S4]]),""),"")</f>
        <v/>
      </c>
      <c r="AR668" s="23" t="str">
        <f>IFERROR(IF(Eingabe[[#This Row],[Wo]]="H",IF(Eingabe[[#This Row],[S1]]&gt;0,IF(MOD(Eingabe[[#This Row],[Position]],2)=1,Eingabe[[#This Row],[S2]],Eingabe[[#This Row],[S3]]),""),""),"")</f>
        <v/>
      </c>
      <c r="AS668" s="23" t="str">
        <f>IFERROR(IF(Eingabe[[#This Row],[Wo]]="H",IF(Eingabe[[#This Row],[S1]]&gt;0,IF(MOD(ROW(Eingabe[[#This Row],[Heimbahn 3]]),2)=1,Eingabe[[#This Row],[S4]],Eingabe[[#This Row],[S1]]),""),""),"")</f>
        <v/>
      </c>
      <c r="AT668" s="23" t="str">
        <f>IFERROR(IF(Eingabe[[#This Row],[Wo]]="H",IF(Eingabe[[#This Row],[S1]]&gt;0,IF(MOD(ROW(Eingabe[[#This Row],[Heimbahn 4]]),2)=1,Eingabe[[#This Row],[S3]],Eingabe[[#This Row],[S2]]),""),""),"")</f>
        <v/>
      </c>
      <c r="AU668" s="89" t="str">
        <f>IF(Eingabe[[#This Row],[GES]]="","",IF(Eingabe[[#This Row],[Modus]]="L",_xlfn.RANK.EQ(Eingabe[[#This Row],[GES]],AF663:AF668),IF(Eingabe[[#This Row],[Modus]]="P",_xlfn.RANK.EQ(Eingabe[[#This Row],[GES]],AF663:AF668),"")))</f>
        <v/>
      </c>
      <c r="AV668" s="6" t="e">
        <f>VLOOKUP(Eingabe[[#This Row],[Name]],AuswertungG[],8,FALSE)</f>
        <v>#N/A</v>
      </c>
      <c r="AZ668" s="6" t="str">
        <f>IFERROR(ABS(Eingabe[[#This Row],[GES]]-Eingabe[[#This Row],[GEGGES]]),"")</f>
        <v/>
      </c>
    </row>
    <row r="669" spans="1:52" hidden="1" x14ac:dyDescent="0.3">
      <c r="A669" s="440">
        <f t="shared" ref="A669" si="69">B669</f>
        <v>112</v>
      </c>
      <c r="B669" s="55">
        <f t="shared" si="68"/>
        <v>112</v>
      </c>
      <c r="C669" s="35">
        <f>VLOOKUP($B669,Chronologie[],7,TRUE)</f>
        <v>0</v>
      </c>
      <c r="D669" s="35">
        <f>VLOOKUP($B669,Chronologie[],8,TRUE)</f>
        <v>0</v>
      </c>
      <c r="E669" s="36">
        <f>VLOOKUP($B669,Chronologie[],9,TRUE)</f>
        <v>0</v>
      </c>
      <c r="F669" s="35">
        <f>VLOOKUP($B669,Chronologie[],COLUMN(F670)-2,TRUE)</f>
        <v>0</v>
      </c>
      <c r="G669" s="35">
        <f>VLOOKUP($B669,Chronologie[],COLUMN(G670)-2,TRUE)</f>
        <v>0</v>
      </c>
      <c r="H669" s="35">
        <f>VLOOKUP($B669,Chronologie[],COLUMN(H670)-2,TRUE)</f>
        <v>0</v>
      </c>
      <c r="I669" s="9" t="str">
        <f>VLOOKUP($B669,Chronologie[],2,TRUE)</f>
        <v>--</v>
      </c>
      <c r="J669" s="242">
        <f>VLOOKUP($B669,Chronologie[],3,TRUE)</f>
        <v>0</v>
      </c>
      <c r="K669" s="236"/>
      <c r="L669" s="334"/>
      <c r="M669" s="334"/>
      <c r="N669" s="334"/>
      <c r="O669" s="334"/>
      <c r="P669" s="334"/>
      <c r="Q669" s="334"/>
      <c r="R669" s="334"/>
      <c r="S669" s="334"/>
      <c r="T669" s="334"/>
      <c r="U669" s="334"/>
      <c r="V669" s="334"/>
      <c r="W669" s="334"/>
      <c r="X669" s="37"/>
      <c r="Y669" s="37"/>
      <c r="Z669" s="37"/>
      <c r="AA669" s="37"/>
      <c r="AB669" s="90"/>
      <c r="AC669" s="93" t="str">
        <f>IF(Eingabe[[#This Row],[V1]]="",IF(Eingabe[[#This Row],[Volle alternativ]]="","",Eingabe[[#This Row],[Volle alternativ]]),SUM(Eingabe[[#This Row],[V1]:[V4]]))</f>
        <v/>
      </c>
      <c r="AD669" s="35" t="str">
        <f>IF(Eingabe[[#This Row],[R1]]="",IF(Eingabe[[#This Row],[Räumer alternativ]]="","",Eingabe[[#This Row],[Räumer alternativ]]),SUM(Eingabe[[#This Row],[R1]:[R4]]))</f>
        <v/>
      </c>
      <c r="AE669" s="35" t="str">
        <f>IF(Eingabe[[#This Row],[F1]]="",IF(Eingabe[[#This Row],[Fehler alternativ]]="","",Eingabe[[#This Row],[Fehler alternativ]]),SUM(Eingabe[[#This Row],[F1]:[F4]]))</f>
        <v/>
      </c>
      <c r="AF669" s="35" t="str">
        <f>IF(Eingabe[[#This Row],[Volle]]="","",IF(Eingabe[[#This Row],[S1]]="",Eingabe[[#This Row],[Volle]]+Eingabe[[#This Row],[Räumer]],IF(Eingabe[[#This Row],[Volle]]+Eingabe[[#This Row],[Räumer]]=Eingabe[[#This Row],[S1]]+Eingabe[[#This Row],[S2]]+Eingabe[[#This Row],[S3]]+Eingabe[[#This Row],[S4]],Eingabe[[#This Row],[Volle]]+Eingabe[[#This Row],[Räumer]],"FEHLER")))</f>
        <v/>
      </c>
      <c r="AG669" s="35" t="str">
        <f>IF(Eingabe[[#This Row],[V1]]="","",Eingabe[[#This Row],[V1]]+Eingabe[[#This Row],[R1]])</f>
        <v/>
      </c>
      <c r="AH669" s="35" t="str">
        <f>IF(Eingabe[[#This Row],[V2]]="","",Eingabe[[#This Row],[V2]]+Eingabe[[#This Row],[R2]])</f>
        <v/>
      </c>
      <c r="AI669" s="35" t="str">
        <f>IF(Eingabe[[#This Row],[V3]]="","",Eingabe[[#This Row],[V3]]+Eingabe[[#This Row],[R3]])</f>
        <v/>
      </c>
      <c r="AJ669" s="35" t="str">
        <f>IF(Eingabe[[#This Row],[V4]]="","",Eingabe[[#This Row],[V4]]+Eingabe[[#This Row],[R4]])</f>
        <v/>
      </c>
      <c r="AK669" s="35" t="str">
        <f>IF(Eingabe[[#This Row],[S1P]]="","",Eingabe[[#This Row],[S1P]]+Eingabe[[#This Row],[S2P]]+Eingabe[[#This Row],[S3P]]+Eingabe[[#This Row],[S4P]])</f>
        <v/>
      </c>
      <c r="AL669" s="35" t="str">
        <f>IF(Eingabe[[#This Row],[S1P]]="","",IF(Eingabe[[#This Row],[SP]]&gt;2,1,IF(Eingabe[[#This Row],[SP]]&lt;2,0,IF(Eingabe[[#This Row],[GES]]&gt;Eingabe[[#This Row],[GEGGES]],1,IF(Eingabe[[#This Row],[GES]]=Eingabe[[#This Row],[GEGGES]],0.5,0)))))</f>
        <v/>
      </c>
      <c r="AM669" s="35" t="str">
        <f>IF(Eingabe[[#This Row],[MP]]="","",MOD(ROW(Eingabe[[#This Row],[Position]])-3,6)+1)</f>
        <v/>
      </c>
      <c r="AN669" s="35" t="e">
        <f>STANDARDIZE(Eingabe[[#This Row],[GES]],Eingabe[[#This Row],[Schnitt]],VLOOKUP(Eingabe[[#This Row],[Name]],AuswertungG[],21,FALSE))</f>
        <v>#VALUE!</v>
      </c>
      <c r="AO669" s="35" t="str">
        <f>VLOOKUP(Eingabe[[#This Row],[ID]],Chronologie[[ID]:[KW]],12,FALSE)</f>
        <v/>
      </c>
      <c r="AP669" s="58">
        <f>IF(Eingabe[[#This Row],[Wo]]="H",Eingabe[[#This Row],[Gegner]]&amp;" ["&amp;Eingabe[[#This Row],[Wo]]&amp;"]",Eingabe[[#This Row],[Ort]])</f>
        <v>0</v>
      </c>
      <c r="AQ669" s="35" t="str">
        <f>IFERROR(IF(Eingabe[[#This Row],[Wo]]="H",IF(MOD(Eingabe[[#This Row],[Position]],2)=1,Eingabe[[#This Row],[S1]],Eingabe[[#This Row],[S4]]),""),"")</f>
        <v/>
      </c>
      <c r="AR669" s="35" t="str">
        <f>IFERROR(IF(Eingabe[[#This Row],[Wo]]="H",IF(Eingabe[[#This Row],[S1]]&gt;0,IF(MOD(Eingabe[[#This Row],[Position]],2)=1,Eingabe[[#This Row],[S2]],Eingabe[[#This Row],[S3]]),""),""),"")</f>
        <v/>
      </c>
      <c r="AS669" s="35" t="str">
        <f>IFERROR(IF(Eingabe[[#This Row],[Wo]]="H",IF(Eingabe[[#This Row],[S1]]&gt;0,IF(MOD(ROW(Eingabe[[#This Row],[Heimbahn 3]]),2)=1,Eingabe[[#This Row],[S4]],Eingabe[[#This Row],[S1]]),""),""),"")</f>
        <v/>
      </c>
      <c r="AT669" s="35" t="str">
        <f>IFERROR(IF(Eingabe[[#This Row],[Wo]]="H",IF(Eingabe[[#This Row],[S1]]&gt;0,IF(MOD(ROW(Eingabe[[#This Row],[Heimbahn 4]]),2)=1,Eingabe[[#This Row],[S3]],Eingabe[[#This Row],[S2]]),""),""),"")</f>
        <v/>
      </c>
      <c r="AU669" s="88" t="str">
        <f>IF(Eingabe[[#This Row],[GES]]="","",IF(Eingabe[[#This Row],[Modus]]="L",_xlfn.RANK.EQ(Eingabe[[#This Row],[GES]],AF669:AF674),IF(Eingabe[[#This Row],[Modus]]="P",_xlfn.RANK.EQ(Eingabe[[#This Row],[GES]],AF669:AF674),"")))</f>
        <v/>
      </c>
      <c r="AV669" s="6" t="e">
        <f>VLOOKUP(Eingabe[[#This Row],[Name]],AuswertungG[],8,FALSE)</f>
        <v>#N/A</v>
      </c>
      <c r="AZ669" s="6" t="str">
        <f>IFERROR(ABS(Eingabe[[#This Row],[GES]]-Eingabe[[#This Row],[GEGGES]]),"")</f>
        <v/>
      </c>
    </row>
    <row r="670" spans="1:52" hidden="1" x14ac:dyDescent="0.3">
      <c r="A670" s="441"/>
      <c r="B670" s="21">
        <f t="shared" si="68"/>
        <v>112</v>
      </c>
      <c r="C670" s="6">
        <f>VLOOKUP($B670,Chronologie[],7,TRUE)</f>
        <v>0</v>
      </c>
      <c r="D670" s="6">
        <f>VLOOKUP($B670,Chronologie[],8,TRUE)</f>
        <v>0</v>
      </c>
      <c r="E670" s="240">
        <f>VLOOKUP($B670,Chronologie[],9,TRUE)</f>
        <v>0</v>
      </c>
      <c r="F670" s="6">
        <f>VLOOKUP($B670,Chronologie[],COLUMN(F671)-2,TRUE)</f>
        <v>0</v>
      </c>
      <c r="G670" s="6">
        <f>VLOOKUP($B670,Chronologie[],COLUMN(G671)-2,TRUE)</f>
        <v>0</v>
      </c>
      <c r="H670" s="6">
        <f>VLOOKUP($B670,Chronologie[],COLUMN(H671)-2,TRUE)</f>
        <v>0</v>
      </c>
      <c r="I670" s="10" t="str">
        <f>VLOOKUP($B670,Chronologie[],2,TRUE)</f>
        <v>--</v>
      </c>
      <c r="J670" s="243">
        <f>VLOOKUP($B670,Chronologie[],3,TRUE)</f>
        <v>0</v>
      </c>
      <c r="K670" s="237"/>
      <c r="L670" s="237"/>
      <c r="M670" s="237"/>
      <c r="N670" s="237"/>
      <c r="O670" s="237"/>
      <c r="P670" s="237"/>
      <c r="Q670" s="237"/>
      <c r="R670" s="237"/>
      <c r="S670" s="237"/>
      <c r="T670" s="237"/>
      <c r="U670" s="237"/>
      <c r="V670" s="237"/>
      <c r="W670" s="237"/>
      <c r="X670" s="38"/>
      <c r="Y670" s="38"/>
      <c r="Z670" s="38"/>
      <c r="AA670" s="38"/>
      <c r="AB670" s="91"/>
      <c r="AC670" s="94" t="str">
        <f>IF(Eingabe[[#This Row],[V1]]="",IF(Eingabe[[#This Row],[Volle alternativ]]="","",Eingabe[[#This Row],[Volle alternativ]]),SUM(Eingabe[[#This Row],[V1]:[V4]]))</f>
        <v/>
      </c>
      <c r="AD670" s="6" t="str">
        <f>IF(Eingabe[[#This Row],[R1]]="",IF(Eingabe[[#This Row],[Räumer alternativ]]="","",Eingabe[[#This Row],[Räumer alternativ]]),SUM(Eingabe[[#This Row],[R1]:[R4]]))</f>
        <v/>
      </c>
      <c r="AE670" s="6" t="str">
        <f>IF(Eingabe[[#This Row],[F1]]="",IF(Eingabe[[#This Row],[Fehler alternativ]]="","",Eingabe[[#This Row],[Fehler alternativ]]),SUM(Eingabe[[#This Row],[F1]:[F4]]))</f>
        <v/>
      </c>
      <c r="AF670" s="6" t="str">
        <f>IF(Eingabe[[#This Row],[Volle]]="","",IF(Eingabe[[#This Row],[S1]]="",Eingabe[[#This Row],[Volle]]+Eingabe[[#This Row],[Räumer]],IF(Eingabe[[#This Row],[Volle]]+Eingabe[[#This Row],[Räumer]]=Eingabe[[#This Row],[S1]]+Eingabe[[#This Row],[S2]]+Eingabe[[#This Row],[S3]]+Eingabe[[#This Row],[S4]],Eingabe[[#This Row],[Volle]]+Eingabe[[#This Row],[Räumer]],"FEHLER")))</f>
        <v/>
      </c>
      <c r="AG670" s="6" t="str">
        <f>IF(Eingabe[[#This Row],[V1]]="","",Eingabe[[#This Row],[V1]]+Eingabe[[#This Row],[R1]])</f>
        <v/>
      </c>
      <c r="AH670" s="6" t="str">
        <f>IF(Eingabe[[#This Row],[V2]]="","",Eingabe[[#This Row],[V2]]+Eingabe[[#This Row],[R2]])</f>
        <v/>
      </c>
      <c r="AI670" s="6" t="str">
        <f>IF(Eingabe[[#This Row],[V3]]="","",Eingabe[[#This Row],[V3]]+Eingabe[[#This Row],[R3]])</f>
        <v/>
      </c>
      <c r="AJ670" s="6" t="str">
        <f>IF(Eingabe[[#This Row],[V4]]="","",Eingabe[[#This Row],[V4]]+Eingabe[[#This Row],[R4]])</f>
        <v/>
      </c>
      <c r="AK670" s="6" t="str">
        <f>IF(Eingabe[[#This Row],[S1P]]="","",Eingabe[[#This Row],[S1P]]+Eingabe[[#This Row],[S2P]]+Eingabe[[#This Row],[S3P]]+Eingabe[[#This Row],[S4P]])</f>
        <v/>
      </c>
      <c r="AL670" s="6" t="str">
        <f>IF(Eingabe[[#This Row],[S1P]]="","",IF(Eingabe[[#This Row],[SP]]&gt;2,1,IF(Eingabe[[#This Row],[SP]]&lt;2,0,IF(Eingabe[[#This Row],[GES]]&gt;Eingabe[[#This Row],[GEGGES]],1,IF(Eingabe[[#This Row],[GES]]=Eingabe[[#This Row],[GEGGES]],0.5,0)))))</f>
        <v/>
      </c>
      <c r="AM670" s="6" t="str">
        <f>IF(Eingabe[[#This Row],[MP]]="","",MOD(ROW(Eingabe[[#This Row],[Position]])-3,6)+1)</f>
        <v/>
      </c>
      <c r="AN670" s="6" t="e">
        <f>STANDARDIZE(Eingabe[[#This Row],[GES]],Eingabe[[#This Row],[Schnitt]],VLOOKUP(Eingabe[[#This Row],[Name]],AuswertungG[],21,FALSE))</f>
        <v>#VALUE!</v>
      </c>
      <c r="AO670" s="6" t="str">
        <f>VLOOKUP(Eingabe[[#This Row],[ID]],Chronologie[[ID]:[KW]],12,FALSE)</f>
        <v/>
      </c>
      <c r="AP670" s="95">
        <f>IF(Eingabe[[#This Row],[Wo]]="H",Eingabe[[#This Row],[Gegner]]&amp;" ["&amp;Eingabe[[#This Row],[Wo]]&amp;"]",Eingabe[[#This Row],[Ort]])</f>
        <v>0</v>
      </c>
      <c r="AQ670" s="6" t="str">
        <f>IFERROR(IF(Eingabe[[#This Row],[Wo]]="H",IF(MOD(Eingabe[[#This Row],[Position]],2)=1,Eingabe[[#This Row],[S1]],Eingabe[[#This Row],[S4]]),""),"")</f>
        <v/>
      </c>
      <c r="AR670" s="6" t="str">
        <f>IFERROR(IF(Eingabe[[#This Row],[Wo]]="H",IF(Eingabe[[#This Row],[S1]]&gt;0,IF(MOD(Eingabe[[#This Row],[Position]],2)=1,Eingabe[[#This Row],[S2]],Eingabe[[#This Row],[S3]]),""),""),"")</f>
        <v/>
      </c>
      <c r="AS670" s="6" t="str">
        <f>IFERROR(IF(Eingabe[[#This Row],[Wo]]="H",IF(Eingabe[[#This Row],[S1]]&gt;0,IF(MOD(ROW(Eingabe[[#This Row],[Heimbahn 3]]),2)=1,Eingabe[[#This Row],[S4]],Eingabe[[#This Row],[S1]]),""),""),"")</f>
        <v/>
      </c>
      <c r="AT670" s="6" t="str">
        <f>IFERROR(IF(Eingabe[[#This Row],[Wo]]="H",IF(Eingabe[[#This Row],[S1]]&gt;0,IF(MOD(ROW(Eingabe[[#This Row],[Heimbahn 4]]),2)=1,Eingabe[[#This Row],[S3]],Eingabe[[#This Row],[S2]]),""),""),"")</f>
        <v/>
      </c>
      <c r="AU670" s="22" t="str">
        <f>IF(Eingabe[[#This Row],[GES]]="","",IF(Eingabe[[#This Row],[Modus]]="L",_xlfn.RANK.EQ(Eingabe[[#This Row],[GES]],AF669:AF674),IF(Eingabe[[#This Row],[Modus]]="P",_xlfn.RANK.EQ(Eingabe[[#This Row],[GES]],AF669:AF674),"")))</f>
        <v/>
      </c>
      <c r="AV670" s="6" t="e">
        <f>VLOOKUP(Eingabe[[#This Row],[Name]],AuswertungG[],8,FALSE)</f>
        <v>#N/A</v>
      </c>
      <c r="AZ670" s="6" t="str">
        <f>IFERROR(ABS(Eingabe[[#This Row],[GES]]-Eingabe[[#This Row],[GEGGES]]),"")</f>
        <v/>
      </c>
    </row>
    <row r="671" spans="1:52" hidden="1" x14ac:dyDescent="0.3">
      <c r="A671" s="441"/>
      <c r="B671" s="21">
        <f t="shared" si="68"/>
        <v>112</v>
      </c>
      <c r="C671" s="6">
        <f>VLOOKUP($B671,Chronologie[],7,TRUE)</f>
        <v>0</v>
      </c>
      <c r="D671" s="6">
        <f>VLOOKUP($B671,Chronologie[],8,TRUE)</f>
        <v>0</v>
      </c>
      <c r="E671" s="240">
        <f>VLOOKUP($B671,Chronologie[],9,TRUE)</f>
        <v>0</v>
      </c>
      <c r="F671" s="6">
        <f>VLOOKUP($B671,Chronologie[],COLUMN(F672)-2,TRUE)</f>
        <v>0</v>
      </c>
      <c r="G671" s="6">
        <f>VLOOKUP($B671,Chronologie[],COLUMN(G672)-2,TRUE)</f>
        <v>0</v>
      </c>
      <c r="H671" s="6">
        <f>VLOOKUP($B671,Chronologie[],COLUMN(H672)-2,TRUE)</f>
        <v>0</v>
      </c>
      <c r="I671" s="10" t="str">
        <f>VLOOKUP($B671,Chronologie[],2,TRUE)</f>
        <v>--</v>
      </c>
      <c r="J671" s="243">
        <f>VLOOKUP($B671,Chronologie[],3,TRUE)</f>
        <v>0</v>
      </c>
      <c r="K671" s="237"/>
      <c r="L671" s="237"/>
      <c r="M671" s="237"/>
      <c r="N671" s="237"/>
      <c r="O671" s="237"/>
      <c r="P671" s="237"/>
      <c r="Q671" s="237"/>
      <c r="R671" s="237"/>
      <c r="S671" s="237"/>
      <c r="T671" s="237"/>
      <c r="U671" s="237"/>
      <c r="V671" s="237"/>
      <c r="W671" s="237"/>
      <c r="X671" s="38"/>
      <c r="Y671" s="38"/>
      <c r="Z671" s="38"/>
      <c r="AA671" s="38"/>
      <c r="AB671" s="91"/>
      <c r="AC671" s="94" t="str">
        <f>IF(Eingabe[[#This Row],[V1]]="",IF(Eingabe[[#This Row],[Volle alternativ]]="","",Eingabe[[#This Row],[Volle alternativ]]),SUM(Eingabe[[#This Row],[V1]:[V4]]))</f>
        <v/>
      </c>
      <c r="AD671" s="6" t="str">
        <f>IF(Eingabe[[#This Row],[R1]]="",IF(Eingabe[[#This Row],[Räumer alternativ]]="","",Eingabe[[#This Row],[Räumer alternativ]]),SUM(Eingabe[[#This Row],[R1]:[R4]]))</f>
        <v/>
      </c>
      <c r="AE671" s="6" t="str">
        <f>IF(Eingabe[[#This Row],[F1]]="",IF(Eingabe[[#This Row],[Fehler alternativ]]="","",Eingabe[[#This Row],[Fehler alternativ]]),SUM(Eingabe[[#This Row],[F1]:[F4]]))</f>
        <v/>
      </c>
      <c r="AF671" s="6" t="str">
        <f>IF(Eingabe[[#This Row],[Volle]]="","",IF(Eingabe[[#This Row],[S1]]="",Eingabe[[#This Row],[Volle]]+Eingabe[[#This Row],[Räumer]],IF(Eingabe[[#This Row],[Volle]]+Eingabe[[#This Row],[Räumer]]=Eingabe[[#This Row],[S1]]+Eingabe[[#This Row],[S2]]+Eingabe[[#This Row],[S3]]+Eingabe[[#This Row],[S4]],Eingabe[[#This Row],[Volle]]+Eingabe[[#This Row],[Räumer]],"FEHLER")))</f>
        <v/>
      </c>
      <c r="AG671" s="6" t="str">
        <f>IF(Eingabe[[#This Row],[V1]]="","",Eingabe[[#This Row],[V1]]+Eingabe[[#This Row],[R1]])</f>
        <v/>
      </c>
      <c r="AH671" s="6" t="str">
        <f>IF(Eingabe[[#This Row],[V2]]="","",Eingabe[[#This Row],[V2]]+Eingabe[[#This Row],[R2]])</f>
        <v/>
      </c>
      <c r="AI671" s="6" t="str">
        <f>IF(Eingabe[[#This Row],[V3]]="","",Eingabe[[#This Row],[V3]]+Eingabe[[#This Row],[R3]])</f>
        <v/>
      </c>
      <c r="AJ671" s="6" t="str">
        <f>IF(Eingabe[[#This Row],[V4]]="","",Eingabe[[#This Row],[V4]]+Eingabe[[#This Row],[R4]])</f>
        <v/>
      </c>
      <c r="AK671" s="6" t="str">
        <f>IF(Eingabe[[#This Row],[S1P]]="","",Eingabe[[#This Row],[S1P]]+Eingabe[[#This Row],[S2P]]+Eingabe[[#This Row],[S3P]]+Eingabe[[#This Row],[S4P]])</f>
        <v/>
      </c>
      <c r="AL671" s="6" t="str">
        <f>IF(Eingabe[[#This Row],[S1P]]="","",IF(Eingabe[[#This Row],[SP]]&gt;2,1,IF(Eingabe[[#This Row],[SP]]&lt;2,0,IF(Eingabe[[#This Row],[GES]]&gt;Eingabe[[#This Row],[GEGGES]],1,IF(Eingabe[[#This Row],[GES]]=Eingabe[[#This Row],[GEGGES]],0.5,0)))))</f>
        <v/>
      </c>
      <c r="AM671" s="6" t="str">
        <f>IF(Eingabe[[#This Row],[MP]]="","",MOD(ROW(Eingabe[[#This Row],[Position]])-3,6)+1)</f>
        <v/>
      </c>
      <c r="AN671" s="6" t="e">
        <f>STANDARDIZE(Eingabe[[#This Row],[GES]],Eingabe[[#This Row],[Schnitt]],VLOOKUP(Eingabe[[#This Row],[Name]],AuswertungG[],21,FALSE))</f>
        <v>#VALUE!</v>
      </c>
      <c r="AO671" s="6" t="str">
        <f>VLOOKUP(Eingabe[[#This Row],[ID]],Chronologie[[ID]:[KW]],12,FALSE)</f>
        <v/>
      </c>
      <c r="AP671" s="95">
        <f>IF(Eingabe[[#This Row],[Wo]]="H",Eingabe[[#This Row],[Gegner]]&amp;" ["&amp;Eingabe[[#This Row],[Wo]]&amp;"]",Eingabe[[#This Row],[Ort]])</f>
        <v>0</v>
      </c>
      <c r="AQ671" s="6" t="str">
        <f>IFERROR(IF(Eingabe[[#This Row],[Wo]]="H",IF(MOD(Eingabe[[#This Row],[Position]],2)=1,Eingabe[[#This Row],[S1]],Eingabe[[#This Row],[S4]]),""),"")</f>
        <v/>
      </c>
      <c r="AR671" s="6" t="str">
        <f>IFERROR(IF(Eingabe[[#This Row],[Wo]]="H",IF(Eingabe[[#This Row],[S1]]&gt;0,IF(MOD(Eingabe[[#This Row],[Position]],2)=1,Eingabe[[#This Row],[S2]],Eingabe[[#This Row],[S3]]),""),""),"")</f>
        <v/>
      </c>
      <c r="AS671" s="6" t="str">
        <f>IFERROR(IF(Eingabe[[#This Row],[Wo]]="H",IF(Eingabe[[#This Row],[S1]]&gt;0,IF(MOD(ROW(Eingabe[[#This Row],[Heimbahn 3]]),2)=1,Eingabe[[#This Row],[S4]],Eingabe[[#This Row],[S1]]),""),""),"")</f>
        <v/>
      </c>
      <c r="AT671" s="6" t="str">
        <f>IFERROR(IF(Eingabe[[#This Row],[Wo]]="H",IF(Eingabe[[#This Row],[S1]]&gt;0,IF(MOD(ROW(Eingabe[[#This Row],[Heimbahn 4]]),2)=1,Eingabe[[#This Row],[S3]],Eingabe[[#This Row],[S2]]),""),""),"")</f>
        <v/>
      </c>
      <c r="AU671" s="22" t="str">
        <f>IF(Eingabe[[#This Row],[GES]]="","",IF(Eingabe[[#This Row],[Modus]]="L",_xlfn.RANK.EQ(Eingabe[[#This Row],[GES]],AF669:AF674),IF(Eingabe[[#This Row],[Modus]]="P",_xlfn.RANK.EQ(Eingabe[[#This Row],[GES]],AF669:AF674),"")))</f>
        <v/>
      </c>
      <c r="AV671" s="6" t="e">
        <f>VLOOKUP(Eingabe[[#This Row],[Name]],AuswertungG[],8,FALSE)</f>
        <v>#N/A</v>
      </c>
      <c r="AZ671" s="6" t="str">
        <f>IFERROR(ABS(Eingabe[[#This Row],[GES]]-Eingabe[[#This Row],[GEGGES]]),"")</f>
        <v/>
      </c>
    </row>
    <row r="672" spans="1:52" hidden="1" x14ac:dyDescent="0.3">
      <c r="A672" s="441"/>
      <c r="B672" s="21">
        <f t="shared" si="68"/>
        <v>112</v>
      </c>
      <c r="C672" s="6">
        <f>VLOOKUP($B672,Chronologie[],7,TRUE)</f>
        <v>0</v>
      </c>
      <c r="D672" s="6">
        <f>VLOOKUP($B672,Chronologie[],8,TRUE)</f>
        <v>0</v>
      </c>
      <c r="E672" s="240">
        <f>VLOOKUP($B672,Chronologie[],9,TRUE)</f>
        <v>0</v>
      </c>
      <c r="F672" s="6">
        <f>VLOOKUP($B672,Chronologie[],COLUMN(F673)-2,TRUE)</f>
        <v>0</v>
      </c>
      <c r="G672" s="6">
        <f>VLOOKUP($B672,Chronologie[],COLUMN(G673)-2,TRUE)</f>
        <v>0</v>
      </c>
      <c r="H672" s="6">
        <f>VLOOKUP($B672,Chronologie[],COLUMN(H673)-2,TRUE)</f>
        <v>0</v>
      </c>
      <c r="I672" s="10" t="str">
        <f>VLOOKUP($B672,Chronologie[],2,TRUE)</f>
        <v>--</v>
      </c>
      <c r="J672" s="243">
        <f>VLOOKUP($B672,Chronologie[],3,TRUE)</f>
        <v>0</v>
      </c>
      <c r="K672" s="238"/>
      <c r="L672" s="237"/>
      <c r="M672" s="237"/>
      <c r="N672" s="237"/>
      <c r="O672" s="237"/>
      <c r="P672" s="237"/>
      <c r="Q672" s="237"/>
      <c r="R672" s="237"/>
      <c r="S672" s="237"/>
      <c r="T672" s="237"/>
      <c r="U672" s="237"/>
      <c r="V672" s="237"/>
      <c r="W672" s="237"/>
      <c r="X672" s="38"/>
      <c r="Y672" s="38"/>
      <c r="Z672" s="38"/>
      <c r="AA672" s="38"/>
      <c r="AB672" s="91"/>
      <c r="AC672" s="94" t="str">
        <f>IF(Eingabe[[#This Row],[V1]]="",IF(Eingabe[[#This Row],[Volle alternativ]]="","",Eingabe[[#This Row],[Volle alternativ]]),SUM(Eingabe[[#This Row],[V1]:[V4]]))</f>
        <v/>
      </c>
      <c r="AD672" s="6" t="str">
        <f>IF(Eingabe[[#This Row],[R1]]="",IF(Eingabe[[#This Row],[Räumer alternativ]]="","",Eingabe[[#This Row],[Räumer alternativ]]),SUM(Eingabe[[#This Row],[R1]:[R4]]))</f>
        <v/>
      </c>
      <c r="AE672" s="6" t="str">
        <f>IF(Eingabe[[#This Row],[F1]]="",IF(Eingabe[[#This Row],[Fehler alternativ]]="","",Eingabe[[#This Row],[Fehler alternativ]]),SUM(Eingabe[[#This Row],[F1]:[F4]]))</f>
        <v/>
      </c>
      <c r="AF672" s="6" t="str">
        <f>IF(Eingabe[[#This Row],[Volle]]="","",IF(Eingabe[[#This Row],[S1]]="",Eingabe[[#This Row],[Volle]]+Eingabe[[#This Row],[Räumer]],IF(Eingabe[[#This Row],[Volle]]+Eingabe[[#This Row],[Räumer]]=Eingabe[[#This Row],[S1]]+Eingabe[[#This Row],[S2]]+Eingabe[[#This Row],[S3]]+Eingabe[[#This Row],[S4]],Eingabe[[#This Row],[Volle]]+Eingabe[[#This Row],[Räumer]],"FEHLER")))</f>
        <v/>
      </c>
      <c r="AG672" s="6" t="str">
        <f>IF(Eingabe[[#This Row],[V1]]="","",Eingabe[[#This Row],[V1]]+Eingabe[[#This Row],[R1]])</f>
        <v/>
      </c>
      <c r="AH672" s="6" t="str">
        <f>IF(Eingabe[[#This Row],[V2]]="","",Eingabe[[#This Row],[V2]]+Eingabe[[#This Row],[R2]])</f>
        <v/>
      </c>
      <c r="AI672" s="6" t="str">
        <f>IF(Eingabe[[#This Row],[V3]]="","",Eingabe[[#This Row],[V3]]+Eingabe[[#This Row],[R3]])</f>
        <v/>
      </c>
      <c r="AJ672" s="6" t="str">
        <f>IF(Eingabe[[#This Row],[V4]]="","",Eingabe[[#This Row],[V4]]+Eingabe[[#This Row],[R4]])</f>
        <v/>
      </c>
      <c r="AK672" s="6" t="str">
        <f>IF(Eingabe[[#This Row],[S1P]]="","",Eingabe[[#This Row],[S1P]]+Eingabe[[#This Row],[S2P]]+Eingabe[[#This Row],[S3P]]+Eingabe[[#This Row],[S4P]])</f>
        <v/>
      </c>
      <c r="AL672" s="6" t="str">
        <f>IF(Eingabe[[#This Row],[S1P]]="","",IF(Eingabe[[#This Row],[SP]]&gt;2,1,IF(Eingabe[[#This Row],[SP]]&lt;2,0,IF(Eingabe[[#This Row],[GES]]&gt;Eingabe[[#This Row],[GEGGES]],1,IF(Eingabe[[#This Row],[GES]]=Eingabe[[#This Row],[GEGGES]],0.5,0)))))</f>
        <v/>
      </c>
      <c r="AM672" s="6" t="str">
        <f>IF(Eingabe[[#This Row],[MP]]="","",MOD(ROW(Eingabe[[#This Row],[Position]])-3,6)+1)</f>
        <v/>
      </c>
      <c r="AN672" s="6" t="e">
        <f>STANDARDIZE(Eingabe[[#This Row],[GES]],Eingabe[[#This Row],[Schnitt]],VLOOKUP(Eingabe[[#This Row],[Name]],AuswertungG[],21,FALSE))</f>
        <v>#VALUE!</v>
      </c>
      <c r="AO672" s="6" t="str">
        <f>VLOOKUP(Eingabe[[#This Row],[ID]],Chronologie[[ID]:[KW]],12,FALSE)</f>
        <v/>
      </c>
      <c r="AP672" s="95">
        <f>IF(Eingabe[[#This Row],[Wo]]="H",Eingabe[[#This Row],[Gegner]]&amp;" ["&amp;Eingabe[[#This Row],[Wo]]&amp;"]",Eingabe[[#This Row],[Ort]])</f>
        <v>0</v>
      </c>
      <c r="AQ672" s="6" t="str">
        <f>IFERROR(IF(Eingabe[[#This Row],[Wo]]="H",IF(MOD(Eingabe[[#This Row],[Position]],2)=1,Eingabe[[#This Row],[S1]],Eingabe[[#This Row],[S4]]),""),"")</f>
        <v/>
      </c>
      <c r="AR672" s="6" t="str">
        <f>IFERROR(IF(Eingabe[[#This Row],[Wo]]="H",IF(Eingabe[[#This Row],[S1]]&gt;0,IF(MOD(Eingabe[[#This Row],[Position]],2)=1,Eingabe[[#This Row],[S2]],Eingabe[[#This Row],[S3]]),""),""),"")</f>
        <v/>
      </c>
      <c r="AS672" s="6" t="str">
        <f>IFERROR(IF(Eingabe[[#This Row],[Wo]]="H",IF(Eingabe[[#This Row],[S1]]&gt;0,IF(MOD(ROW(Eingabe[[#This Row],[Heimbahn 3]]),2)=1,Eingabe[[#This Row],[S4]],Eingabe[[#This Row],[S1]]),""),""),"")</f>
        <v/>
      </c>
      <c r="AT672" s="6" t="str">
        <f>IFERROR(IF(Eingabe[[#This Row],[Wo]]="H",IF(Eingabe[[#This Row],[S1]]&gt;0,IF(MOD(ROW(Eingabe[[#This Row],[Heimbahn 4]]),2)=1,Eingabe[[#This Row],[S3]],Eingabe[[#This Row],[S2]]),""),""),"")</f>
        <v/>
      </c>
      <c r="AU672" s="22" t="str">
        <f>IF(Eingabe[[#This Row],[GES]]="","",IF(Eingabe[[#This Row],[Modus]]="L",_xlfn.RANK.EQ(Eingabe[[#This Row],[GES]],AF669:AF674),IF(Eingabe[[#This Row],[Modus]]="P",_xlfn.RANK.EQ(Eingabe[[#This Row],[GES]],AF669:AF674),"")))</f>
        <v/>
      </c>
      <c r="AV672" s="6" t="e">
        <f>VLOOKUP(Eingabe[[#This Row],[Name]],AuswertungG[],8,FALSE)</f>
        <v>#N/A</v>
      </c>
      <c r="AZ672" s="6" t="str">
        <f>IFERROR(ABS(Eingabe[[#This Row],[GES]]-Eingabe[[#This Row],[GEGGES]]),"")</f>
        <v/>
      </c>
    </row>
    <row r="673" spans="1:52" hidden="1" x14ac:dyDescent="0.3">
      <c r="A673" s="441"/>
      <c r="B673" s="21">
        <f t="shared" si="68"/>
        <v>112</v>
      </c>
      <c r="C673" s="6">
        <f>VLOOKUP($B673,Chronologie[],7,TRUE)</f>
        <v>0</v>
      </c>
      <c r="D673" s="6">
        <f>VLOOKUP($B673,Chronologie[],8,TRUE)</f>
        <v>0</v>
      </c>
      <c r="E673" s="240">
        <f>VLOOKUP($B673,Chronologie[],9,TRUE)</f>
        <v>0</v>
      </c>
      <c r="F673" s="6">
        <f>VLOOKUP($B673,Chronologie[],COLUMN(F674)-2,TRUE)</f>
        <v>0</v>
      </c>
      <c r="G673" s="6">
        <f>VLOOKUP($B673,Chronologie[],COLUMN(G674)-2,TRUE)</f>
        <v>0</v>
      </c>
      <c r="H673" s="6">
        <f>VLOOKUP($B673,Chronologie[],COLUMN(H674)-2,TRUE)</f>
        <v>0</v>
      </c>
      <c r="I673" s="10" t="str">
        <f>VLOOKUP($B673,Chronologie[],2,TRUE)</f>
        <v>--</v>
      </c>
      <c r="J673" s="243">
        <f>VLOOKUP($B673,Chronologie[],3,TRUE)</f>
        <v>0</v>
      </c>
      <c r="K673" s="237"/>
      <c r="L673" s="237"/>
      <c r="M673" s="237"/>
      <c r="N673" s="237"/>
      <c r="O673" s="237"/>
      <c r="P673" s="237"/>
      <c r="Q673" s="237"/>
      <c r="R673" s="237"/>
      <c r="S673" s="237"/>
      <c r="T673" s="237"/>
      <c r="U673" s="237"/>
      <c r="V673" s="237"/>
      <c r="W673" s="237"/>
      <c r="X673" s="38"/>
      <c r="Y673" s="38"/>
      <c r="Z673" s="38"/>
      <c r="AA673" s="38"/>
      <c r="AB673" s="91"/>
      <c r="AC673" s="94" t="str">
        <f>IF(Eingabe[[#This Row],[V1]]="",IF(Eingabe[[#This Row],[Volle alternativ]]="","",Eingabe[[#This Row],[Volle alternativ]]),SUM(Eingabe[[#This Row],[V1]:[V4]]))</f>
        <v/>
      </c>
      <c r="AD673" s="6" t="str">
        <f>IF(Eingabe[[#This Row],[R1]]="",IF(Eingabe[[#This Row],[Räumer alternativ]]="","",Eingabe[[#This Row],[Räumer alternativ]]),SUM(Eingabe[[#This Row],[R1]:[R4]]))</f>
        <v/>
      </c>
      <c r="AE673" s="6" t="str">
        <f>IF(Eingabe[[#This Row],[F1]]="",IF(Eingabe[[#This Row],[Fehler alternativ]]="","",Eingabe[[#This Row],[Fehler alternativ]]),SUM(Eingabe[[#This Row],[F1]:[F4]]))</f>
        <v/>
      </c>
      <c r="AF673" s="6" t="str">
        <f>IF(Eingabe[[#This Row],[Volle]]="","",IF(Eingabe[[#This Row],[S1]]="",Eingabe[[#This Row],[Volle]]+Eingabe[[#This Row],[Räumer]],IF(Eingabe[[#This Row],[Volle]]+Eingabe[[#This Row],[Räumer]]=Eingabe[[#This Row],[S1]]+Eingabe[[#This Row],[S2]]+Eingabe[[#This Row],[S3]]+Eingabe[[#This Row],[S4]],Eingabe[[#This Row],[Volle]]+Eingabe[[#This Row],[Räumer]],"FEHLER")))</f>
        <v/>
      </c>
      <c r="AG673" s="6" t="str">
        <f>IF(Eingabe[[#This Row],[V1]]="","",Eingabe[[#This Row],[V1]]+Eingabe[[#This Row],[R1]])</f>
        <v/>
      </c>
      <c r="AH673" s="6" t="str">
        <f>IF(Eingabe[[#This Row],[V2]]="","",Eingabe[[#This Row],[V2]]+Eingabe[[#This Row],[R2]])</f>
        <v/>
      </c>
      <c r="AI673" s="6" t="str">
        <f>IF(Eingabe[[#This Row],[V3]]="","",Eingabe[[#This Row],[V3]]+Eingabe[[#This Row],[R3]])</f>
        <v/>
      </c>
      <c r="AJ673" s="6" t="str">
        <f>IF(Eingabe[[#This Row],[V4]]="","",Eingabe[[#This Row],[V4]]+Eingabe[[#This Row],[R4]])</f>
        <v/>
      </c>
      <c r="AK673" s="6" t="str">
        <f>IF(Eingabe[[#This Row],[S1P]]="","",Eingabe[[#This Row],[S1P]]+Eingabe[[#This Row],[S2P]]+Eingabe[[#This Row],[S3P]]+Eingabe[[#This Row],[S4P]])</f>
        <v/>
      </c>
      <c r="AL673" s="6" t="str">
        <f>IF(Eingabe[[#This Row],[S1P]]="","",IF(Eingabe[[#This Row],[SP]]&gt;2,1,IF(Eingabe[[#This Row],[SP]]&lt;2,0,IF(Eingabe[[#This Row],[GES]]&gt;Eingabe[[#This Row],[GEGGES]],1,IF(Eingabe[[#This Row],[GES]]=Eingabe[[#This Row],[GEGGES]],0.5,0)))))</f>
        <v/>
      </c>
      <c r="AM673" s="6" t="str">
        <f>IF(Eingabe[[#This Row],[MP]]="","",MOD(ROW(Eingabe[[#This Row],[Position]])-3,6)+1)</f>
        <v/>
      </c>
      <c r="AN673" s="6" t="e">
        <f>STANDARDIZE(Eingabe[[#This Row],[GES]],Eingabe[[#This Row],[Schnitt]],VLOOKUP(Eingabe[[#This Row],[Name]],AuswertungG[],21,FALSE))</f>
        <v>#VALUE!</v>
      </c>
      <c r="AO673" s="6" t="str">
        <f>VLOOKUP(Eingabe[[#This Row],[ID]],Chronologie[[ID]:[KW]],12,FALSE)</f>
        <v/>
      </c>
      <c r="AP673" s="95">
        <f>IF(Eingabe[[#This Row],[Wo]]="H",Eingabe[[#This Row],[Gegner]]&amp;" ["&amp;Eingabe[[#This Row],[Wo]]&amp;"]",Eingabe[[#This Row],[Ort]])</f>
        <v>0</v>
      </c>
      <c r="AQ673" s="6" t="str">
        <f>IFERROR(IF(Eingabe[[#This Row],[Wo]]="H",IF(MOD(Eingabe[[#This Row],[Position]],2)=1,Eingabe[[#This Row],[S1]],Eingabe[[#This Row],[S4]]),""),"")</f>
        <v/>
      </c>
      <c r="AR673" s="6" t="str">
        <f>IFERROR(IF(Eingabe[[#This Row],[Wo]]="H",IF(Eingabe[[#This Row],[S1]]&gt;0,IF(MOD(Eingabe[[#This Row],[Position]],2)=1,Eingabe[[#This Row],[S2]],Eingabe[[#This Row],[S3]]),""),""),"")</f>
        <v/>
      </c>
      <c r="AS673" s="6" t="str">
        <f>IFERROR(IF(Eingabe[[#This Row],[Wo]]="H",IF(Eingabe[[#This Row],[S1]]&gt;0,IF(MOD(ROW(Eingabe[[#This Row],[Heimbahn 3]]),2)=1,Eingabe[[#This Row],[S4]],Eingabe[[#This Row],[S1]]),""),""),"")</f>
        <v/>
      </c>
      <c r="AT673" s="6" t="str">
        <f>IFERROR(IF(Eingabe[[#This Row],[Wo]]="H",IF(Eingabe[[#This Row],[S1]]&gt;0,IF(MOD(ROW(Eingabe[[#This Row],[Heimbahn 4]]),2)=1,Eingabe[[#This Row],[S3]],Eingabe[[#This Row],[S2]]),""),""),"")</f>
        <v/>
      </c>
      <c r="AU673" s="22" t="str">
        <f>IF(Eingabe[[#This Row],[GES]]="","",IF(Eingabe[[#This Row],[Modus]]="L",_xlfn.RANK.EQ(Eingabe[[#This Row],[GES]],AF669:AF674),IF(Eingabe[[#This Row],[Modus]]="P",_xlfn.RANK.EQ(Eingabe[[#This Row],[GES]],AF669:AF674),"")))</f>
        <v/>
      </c>
      <c r="AV673" s="6" t="e">
        <f>VLOOKUP(Eingabe[[#This Row],[Name]],AuswertungG[],8,FALSE)</f>
        <v>#N/A</v>
      </c>
      <c r="AZ673" s="6" t="str">
        <f>IFERROR(ABS(Eingabe[[#This Row],[GES]]-Eingabe[[#This Row],[GEGGES]]),"")</f>
        <v/>
      </c>
    </row>
    <row r="674" spans="1:52" ht="16.2" hidden="1" thickBot="1" x14ac:dyDescent="0.35">
      <c r="A674" s="442"/>
      <c r="B674" s="56">
        <f t="shared" si="68"/>
        <v>112</v>
      </c>
      <c r="C674" s="23">
        <f>VLOOKUP($B674,Chronologie[],7,TRUE)</f>
        <v>0</v>
      </c>
      <c r="D674" s="23">
        <f>VLOOKUP($B674,Chronologie[],8,TRUE)</f>
        <v>0</v>
      </c>
      <c r="E674" s="39">
        <f>VLOOKUP($B674,Chronologie[],9,TRUE)</f>
        <v>0</v>
      </c>
      <c r="F674" s="23">
        <f>VLOOKUP($B674,Chronologie[],COLUMN(F675)-2,TRUE)</f>
        <v>0</v>
      </c>
      <c r="G674" s="23">
        <f>VLOOKUP($B674,Chronologie[],COLUMN(G675)-2,TRUE)</f>
        <v>0</v>
      </c>
      <c r="H674" s="23">
        <f>VLOOKUP($B674,Chronologie[],COLUMN(H675)-2,TRUE)</f>
        <v>0</v>
      </c>
      <c r="I674" s="13" t="str">
        <f>VLOOKUP($B674,Chronologie[],2,TRUE)</f>
        <v>--</v>
      </c>
      <c r="J674" s="244">
        <f>VLOOKUP($B674,Chronologie[],3,TRUE)</f>
        <v>0</v>
      </c>
      <c r="K674" s="239"/>
      <c r="L674" s="239"/>
      <c r="M674" s="239"/>
      <c r="N674" s="239"/>
      <c r="O674" s="239"/>
      <c r="P674" s="239"/>
      <c r="Q674" s="239"/>
      <c r="R674" s="239"/>
      <c r="S674" s="239"/>
      <c r="T674" s="239"/>
      <c r="U674" s="239"/>
      <c r="V674" s="239"/>
      <c r="W674" s="239"/>
      <c r="X674" s="40"/>
      <c r="Y674" s="40"/>
      <c r="Z674" s="40"/>
      <c r="AA674" s="40"/>
      <c r="AB674" s="92"/>
      <c r="AC674" s="96" t="str">
        <f>IF(Eingabe[[#This Row],[V1]]="",IF(Eingabe[[#This Row],[Volle alternativ]]="","",Eingabe[[#This Row],[Volle alternativ]]),SUM(Eingabe[[#This Row],[V1]:[V4]]))</f>
        <v/>
      </c>
      <c r="AD674" s="23" t="str">
        <f>IF(Eingabe[[#This Row],[R1]]="",IF(Eingabe[[#This Row],[Räumer alternativ]]="","",Eingabe[[#This Row],[Räumer alternativ]]),SUM(Eingabe[[#This Row],[R1]:[R4]]))</f>
        <v/>
      </c>
      <c r="AE674" s="23" t="str">
        <f>IF(Eingabe[[#This Row],[F1]]="",IF(Eingabe[[#This Row],[Fehler alternativ]]="","",Eingabe[[#This Row],[Fehler alternativ]]),SUM(Eingabe[[#This Row],[F1]:[F4]]))</f>
        <v/>
      </c>
      <c r="AF674" s="23" t="str">
        <f>IF(Eingabe[[#This Row],[Volle]]="","",IF(Eingabe[[#This Row],[S1]]="",Eingabe[[#This Row],[Volle]]+Eingabe[[#This Row],[Räumer]],IF(Eingabe[[#This Row],[Volle]]+Eingabe[[#This Row],[Räumer]]=Eingabe[[#This Row],[S1]]+Eingabe[[#This Row],[S2]]+Eingabe[[#This Row],[S3]]+Eingabe[[#This Row],[S4]],Eingabe[[#This Row],[Volle]]+Eingabe[[#This Row],[Räumer]],"FEHLER")))</f>
        <v/>
      </c>
      <c r="AG674" s="23" t="str">
        <f>IF(Eingabe[[#This Row],[V1]]="","",Eingabe[[#This Row],[V1]]+Eingabe[[#This Row],[R1]])</f>
        <v/>
      </c>
      <c r="AH674" s="23" t="str">
        <f>IF(Eingabe[[#This Row],[V2]]="","",Eingabe[[#This Row],[V2]]+Eingabe[[#This Row],[R2]])</f>
        <v/>
      </c>
      <c r="AI674" s="23" t="str">
        <f>IF(Eingabe[[#This Row],[V3]]="","",Eingabe[[#This Row],[V3]]+Eingabe[[#This Row],[R3]])</f>
        <v/>
      </c>
      <c r="AJ674" s="23" t="str">
        <f>IF(Eingabe[[#This Row],[V4]]="","",Eingabe[[#This Row],[V4]]+Eingabe[[#This Row],[R4]])</f>
        <v/>
      </c>
      <c r="AK674" s="23" t="str">
        <f>IF(Eingabe[[#This Row],[S1P]]="","",Eingabe[[#This Row],[S1P]]+Eingabe[[#This Row],[S2P]]+Eingabe[[#This Row],[S3P]]+Eingabe[[#This Row],[S4P]])</f>
        <v/>
      </c>
      <c r="AL674" s="23" t="str">
        <f>IF(Eingabe[[#This Row],[S1P]]="","",IF(Eingabe[[#This Row],[SP]]&gt;2,1,IF(Eingabe[[#This Row],[SP]]&lt;2,0,IF(Eingabe[[#This Row],[GES]]&gt;Eingabe[[#This Row],[GEGGES]],1,IF(Eingabe[[#This Row],[GES]]=Eingabe[[#This Row],[GEGGES]],0.5,0)))))</f>
        <v/>
      </c>
      <c r="AM674" s="23" t="str">
        <f>IF(Eingabe[[#This Row],[MP]]="","",MOD(ROW(Eingabe[[#This Row],[Position]])-3,6)+1)</f>
        <v/>
      </c>
      <c r="AN674" s="23" t="e">
        <f>STANDARDIZE(Eingabe[[#This Row],[GES]],Eingabe[[#This Row],[Schnitt]],VLOOKUP(Eingabe[[#This Row],[Name]],AuswertungG[],21,FALSE))</f>
        <v>#VALUE!</v>
      </c>
      <c r="AO674" s="23" t="str">
        <f>VLOOKUP(Eingabe[[#This Row],[ID]],Chronologie[[ID]:[KW]],12,FALSE)</f>
        <v/>
      </c>
      <c r="AP674" s="59">
        <f>IF(Eingabe[[#This Row],[Wo]]="H",Eingabe[[#This Row],[Gegner]]&amp;" ["&amp;Eingabe[[#This Row],[Wo]]&amp;"]",Eingabe[[#This Row],[Ort]])</f>
        <v>0</v>
      </c>
      <c r="AQ674" s="23" t="str">
        <f>IFERROR(IF(Eingabe[[#This Row],[Wo]]="H",IF(MOD(Eingabe[[#This Row],[Position]],2)=1,Eingabe[[#This Row],[S1]],Eingabe[[#This Row],[S4]]),""),"")</f>
        <v/>
      </c>
      <c r="AR674" s="23" t="str">
        <f>IFERROR(IF(Eingabe[[#This Row],[Wo]]="H",IF(Eingabe[[#This Row],[S1]]&gt;0,IF(MOD(Eingabe[[#This Row],[Position]],2)=1,Eingabe[[#This Row],[S2]],Eingabe[[#This Row],[S3]]),""),""),"")</f>
        <v/>
      </c>
      <c r="AS674" s="23" t="str">
        <f>IFERROR(IF(Eingabe[[#This Row],[Wo]]="H",IF(Eingabe[[#This Row],[S1]]&gt;0,IF(MOD(ROW(Eingabe[[#This Row],[Heimbahn 3]]),2)=1,Eingabe[[#This Row],[S4]],Eingabe[[#This Row],[S1]]),""),""),"")</f>
        <v/>
      </c>
      <c r="AT674" s="23" t="str">
        <f>IFERROR(IF(Eingabe[[#This Row],[Wo]]="H",IF(Eingabe[[#This Row],[S1]]&gt;0,IF(MOD(ROW(Eingabe[[#This Row],[Heimbahn 4]]),2)=1,Eingabe[[#This Row],[S3]],Eingabe[[#This Row],[S2]]),""),""),"")</f>
        <v/>
      </c>
      <c r="AU674" s="89" t="str">
        <f>IF(Eingabe[[#This Row],[GES]]="","",IF(Eingabe[[#This Row],[Modus]]="L",_xlfn.RANK.EQ(Eingabe[[#This Row],[GES]],AF669:AF674),IF(Eingabe[[#This Row],[Modus]]="P",_xlfn.RANK.EQ(Eingabe[[#This Row],[GES]],AF669:AF674),"")))</f>
        <v/>
      </c>
      <c r="AV674" s="6" t="e">
        <f>VLOOKUP(Eingabe[[#This Row],[Name]],AuswertungG[],8,FALSE)</f>
        <v>#N/A</v>
      </c>
      <c r="AZ674" s="6" t="str">
        <f>IFERROR(ABS(Eingabe[[#This Row],[GES]]-Eingabe[[#This Row],[GEGGES]]),"")</f>
        <v/>
      </c>
    </row>
    <row r="675" spans="1:52" hidden="1" x14ac:dyDescent="0.3">
      <c r="A675" s="440">
        <f t="shared" ref="A675" si="70">B675</f>
        <v>113</v>
      </c>
      <c r="B675" s="55">
        <f t="shared" si="68"/>
        <v>113</v>
      </c>
      <c r="C675" s="35">
        <f>VLOOKUP($B675,Chronologie[],7,TRUE)</f>
        <v>0</v>
      </c>
      <c r="D675" s="35">
        <f>VLOOKUP($B675,Chronologie[],8,TRUE)</f>
        <v>0</v>
      </c>
      <c r="E675" s="36">
        <f>VLOOKUP($B675,Chronologie[],9,TRUE)</f>
        <v>0</v>
      </c>
      <c r="F675" s="35">
        <f>VLOOKUP($B675,Chronologie[],COLUMN(F676)-2,TRUE)</f>
        <v>0</v>
      </c>
      <c r="G675" s="35">
        <f>VLOOKUP($B675,Chronologie[],COLUMN(G676)-2,TRUE)</f>
        <v>0</v>
      </c>
      <c r="H675" s="35">
        <f>VLOOKUP($B675,Chronologie[],COLUMN(H676)-2,TRUE)</f>
        <v>0</v>
      </c>
      <c r="I675" s="9" t="str">
        <f>VLOOKUP($B675,Chronologie[],2,TRUE)</f>
        <v>--</v>
      </c>
      <c r="J675" s="242">
        <f>VLOOKUP($B675,Chronologie[],3,TRUE)</f>
        <v>0</v>
      </c>
      <c r="K675" s="236"/>
      <c r="L675" s="334"/>
      <c r="M675" s="334"/>
      <c r="N675" s="334"/>
      <c r="O675" s="334"/>
      <c r="P675" s="334"/>
      <c r="Q675" s="334"/>
      <c r="R675" s="334"/>
      <c r="S675" s="334"/>
      <c r="T675" s="334"/>
      <c r="U675" s="334"/>
      <c r="V675" s="334"/>
      <c r="W675" s="334"/>
      <c r="X675" s="37"/>
      <c r="Y675" s="37"/>
      <c r="Z675" s="37"/>
      <c r="AA675" s="37"/>
      <c r="AB675" s="90"/>
      <c r="AC675" s="93" t="str">
        <f>IF(Eingabe[[#This Row],[V1]]="",IF(Eingabe[[#This Row],[Volle alternativ]]="","",Eingabe[[#This Row],[Volle alternativ]]),SUM(Eingabe[[#This Row],[V1]:[V4]]))</f>
        <v/>
      </c>
      <c r="AD675" s="35" t="str">
        <f>IF(Eingabe[[#This Row],[R1]]="",IF(Eingabe[[#This Row],[Räumer alternativ]]="","",Eingabe[[#This Row],[Räumer alternativ]]),SUM(Eingabe[[#This Row],[R1]:[R4]]))</f>
        <v/>
      </c>
      <c r="AE675" s="35" t="str">
        <f>IF(Eingabe[[#This Row],[F1]]="",IF(Eingabe[[#This Row],[Fehler alternativ]]="","",Eingabe[[#This Row],[Fehler alternativ]]),SUM(Eingabe[[#This Row],[F1]:[F4]]))</f>
        <v/>
      </c>
      <c r="AF675" s="35" t="str">
        <f>IF(Eingabe[[#This Row],[Volle]]="","",IF(Eingabe[[#This Row],[S1]]="",Eingabe[[#This Row],[Volle]]+Eingabe[[#This Row],[Räumer]],IF(Eingabe[[#This Row],[Volle]]+Eingabe[[#This Row],[Räumer]]=Eingabe[[#This Row],[S1]]+Eingabe[[#This Row],[S2]]+Eingabe[[#This Row],[S3]]+Eingabe[[#This Row],[S4]],Eingabe[[#This Row],[Volle]]+Eingabe[[#This Row],[Räumer]],"FEHLER")))</f>
        <v/>
      </c>
      <c r="AG675" s="35" t="str">
        <f>IF(Eingabe[[#This Row],[V1]]="","",Eingabe[[#This Row],[V1]]+Eingabe[[#This Row],[R1]])</f>
        <v/>
      </c>
      <c r="AH675" s="35" t="str">
        <f>IF(Eingabe[[#This Row],[V2]]="","",Eingabe[[#This Row],[V2]]+Eingabe[[#This Row],[R2]])</f>
        <v/>
      </c>
      <c r="AI675" s="35" t="str">
        <f>IF(Eingabe[[#This Row],[V3]]="","",Eingabe[[#This Row],[V3]]+Eingabe[[#This Row],[R3]])</f>
        <v/>
      </c>
      <c r="AJ675" s="35" t="str">
        <f>IF(Eingabe[[#This Row],[V4]]="","",Eingabe[[#This Row],[V4]]+Eingabe[[#This Row],[R4]])</f>
        <v/>
      </c>
      <c r="AK675" s="35" t="str">
        <f>IF(Eingabe[[#This Row],[S1P]]="","",Eingabe[[#This Row],[S1P]]+Eingabe[[#This Row],[S2P]]+Eingabe[[#This Row],[S3P]]+Eingabe[[#This Row],[S4P]])</f>
        <v/>
      </c>
      <c r="AL675" s="35" t="str">
        <f>IF(Eingabe[[#This Row],[S1P]]="","",IF(Eingabe[[#This Row],[SP]]&gt;2,1,IF(Eingabe[[#This Row],[SP]]&lt;2,0,IF(Eingabe[[#This Row],[GES]]&gt;Eingabe[[#This Row],[GEGGES]],1,IF(Eingabe[[#This Row],[GES]]=Eingabe[[#This Row],[GEGGES]],0.5,0)))))</f>
        <v/>
      </c>
      <c r="AM675" s="35" t="str">
        <f>IF(Eingabe[[#This Row],[MP]]="","",MOD(ROW(Eingabe[[#This Row],[Position]])-3,6)+1)</f>
        <v/>
      </c>
      <c r="AN675" s="35" t="e">
        <f>STANDARDIZE(Eingabe[[#This Row],[GES]],Eingabe[[#This Row],[Schnitt]],VLOOKUP(Eingabe[[#This Row],[Name]],AuswertungG[],21,FALSE))</f>
        <v>#VALUE!</v>
      </c>
      <c r="AO675" s="35" t="str">
        <f>VLOOKUP(Eingabe[[#This Row],[ID]],Chronologie[[ID]:[KW]],12,FALSE)</f>
        <v/>
      </c>
      <c r="AP675" s="58">
        <f>IF(Eingabe[[#This Row],[Wo]]="H",Eingabe[[#This Row],[Gegner]]&amp;" ["&amp;Eingabe[[#This Row],[Wo]]&amp;"]",Eingabe[[#This Row],[Ort]])</f>
        <v>0</v>
      </c>
      <c r="AQ675" s="35" t="str">
        <f>IFERROR(IF(Eingabe[[#This Row],[Wo]]="H",IF(MOD(Eingabe[[#This Row],[Position]],2)=1,Eingabe[[#This Row],[S1]],Eingabe[[#This Row],[S4]]),""),"")</f>
        <v/>
      </c>
      <c r="AR675" s="35" t="str">
        <f>IFERROR(IF(Eingabe[[#This Row],[Wo]]="H",IF(Eingabe[[#This Row],[S1]]&gt;0,IF(MOD(Eingabe[[#This Row],[Position]],2)=1,Eingabe[[#This Row],[S2]],Eingabe[[#This Row],[S3]]),""),""),"")</f>
        <v/>
      </c>
      <c r="AS675" s="35" t="str">
        <f>IFERROR(IF(Eingabe[[#This Row],[Wo]]="H",IF(Eingabe[[#This Row],[S1]]&gt;0,IF(MOD(ROW(Eingabe[[#This Row],[Heimbahn 3]]),2)=1,Eingabe[[#This Row],[S4]],Eingabe[[#This Row],[S1]]),""),""),"")</f>
        <v/>
      </c>
      <c r="AT675" s="35" t="str">
        <f>IFERROR(IF(Eingabe[[#This Row],[Wo]]="H",IF(Eingabe[[#This Row],[S1]]&gt;0,IF(MOD(ROW(Eingabe[[#This Row],[Heimbahn 4]]),2)=1,Eingabe[[#This Row],[S3]],Eingabe[[#This Row],[S2]]),""),""),"")</f>
        <v/>
      </c>
      <c r="AU675" s="88" t="str">
        <f>IF(Eingabe[[#This Row],[GES]]="","",IF(Eingabe[[#This Row],[Modus]]="L",_xlfn.RANK.EQ(Eingabe[[#This Row],[GES]],AF675:AF680),IF(Eingabe[[#This Row],[Modus]]="P",_xlfn.RANK.EQ(Eingabe[[#This Row],[GES]],AF675:AF680),"")))</f>
        <v/>
      </c>
      <c r="AV675" s="6" t="e">
        <f>VLOOKUP(Eingabe[[#This Row],[Name]],AuswertungG[],8,FALSE)</f>
        <v>#N/A</v>
      </c>
      <c r="AZ675" s="6" t="str">
        <f>IFERROR(ABS(Eingabe[[#This Row],[GES]]-Eingabe[[#This Row],[GEGGES]]),"")</f>
        <v/>
      </c>
    </row>
    <row r="676" spans="1:52" hidden="1" x14ac:dyDescent="0.3">
      <c r="A676" s="441"/>
      <c r="B676" s="21">
        <f t="shared" si="68"/>
        <v>113</v>
      </c>
      <c r="C676" s="6">
        <f>VLOOKUP($B676,Chronologie[],7,TRUE)</f>
        <v>0</v>
      </c>
      <c r="D676" s="6">
        <f>VLOOKUP($B676,Chronologie[],8,TRUE)</f>
        <v>0</v>
      </c>
      <c r="E676" s="240">
        <f>VLOOKUP($B676,Chronologie[],9,TRUE)</f>
        <v>0</v>
      </c>
      <c r="F676" s="6">
        <f>VLOOKUP($B676,Chronologie[],COLUMN(F677)-2,TRUE)</f>
        <v>0</v>
      </c>
      <c r="G676" s="6">
        <f>VLOOKUP($B676,Chronologie[],COLUMN(G677)-2,TRUE)</f>
        <v>0</v>
      </c>
      <c r="H676" s="6">
        <f>VLOOKUP($B676,Chronologie[],COLUMN(H677)-2,TRUE)</f>
        <v>0</v>
      </c>
      <c r="I676" s="10" t="str">
        <f>VLOOKUP($B676,Chronologie[],2,TRUE)</f>
        <v>--</v>
      </c>
      <c r="J676" s="243">
        <f>VLOOKUP($B676,Chronologie[],3,TRUE)</f>
        <v>0</v>
      </c>
      <c r="K676" s="237"/>
      <c r="L676" s="237"/>
      <c r="M676" s="237"/>
      <c r="N676" s="237"/>
      <c r="O676" s="237"/>
      <c r="P676" s="237"/>
      <c r="Q676" s="237"/>
      <c r="R676" s="237"/>
      <c r="S676" s="237"/>
      <c r="T676" s="237"/>
      <c r="U676" s="237"/>
      <c r="V676" s="237"/>
      <c r="W676" s="237"/>
      <c r="X676" s="38"/>
      <c r="Y676" s="38"/>
      <c r="Z676" s="38"/>
      <c r="AA676" s="38"/>
      <c r="AB676" s="91"/>
      <c r="AC676" s="94" t="str">
        <f>IF(Eingabe[[#This Row],[V1]]="",IF(Eingabe[[#This Row],[Volle alternativ]]="","",Eingabe[[#This Row],[Volle alternativ]]),SUM(Eingabe[[#This Row],[V1]:[V4]]))</f>
        <v/>
      </c>
      <c r="AD676" s="6" t="str">
        <f>IF(Eingabe[[#This Row],[R1]]="",IF(Eingabe[[#This Row],[Räumer alternativ]]="","",Eingabe[[#This Row],[Räumer alternativ]]),SUM(Eingabe[[#This Row],[R1]:[R4]]))</f>
        <v/>
      </c>
      <c r="AE676" s="6" t="str">
        <f>IF(Eingabe[[#This Row],[F1]]="",IF(Eingabe[[#This Row],[Fehler alternativ]]="","",Eingabe[[#This Row],[Fehler alternativ]]),SUM(Eingabe[[#This Row],[F1]:[F4]]))</f>
        <v/>
      </c>
      <c r="AF676" s="6" t="str">
        <f>IF(Eingabe[[#This Row],[Volle]]="","",IF(Eingabe[[#This Row],[S1]]="",Eingabe[[#This Row],[Volle]]+Eingabe[[#This Row],[Räumer]],IF(Eingabe[[#This Row],[Volle]]+Eingabe[[#This Row],[Räumer]]=Eingabe[[#This Row],[S1]]+Eingabe[[#This Row],[S2]]+Eingabe[[#This Row],[S3]]+Eingabe[[#This Row],[S4]],Eingabe[[#This Row],[Volle]]+Eingabe[[#This Row],[Räumer]],"FEHLER")))</f>
        <v/>
      </c>
      <c r="AG676" s="6" t="str">
        <f>IF(Eingabe[[#This Row],[V1]]="","",Eingabe[[#This Row],[V1]]+Eingabe[[#This Row],[R1]])</f>
        <v/>
      </c>
      <c r="AH676" s="6" t="str">
        <f>IF(Eingabe[[#This Row],[V2]]="","",Eingabe[[#This Row],[V2]]+Eingabe[[#This Row],[R2]])</f>
        <v/>
      </c>
      <c r="AI676" s="6" t="str">
        <f>IF(Eingabe[[#This Row],[V3]]="","",Eingabe[[#This Row],[V3]]+Eingabe[[#This Row],[R3]])</f>
        <v/>
      </c>
      <c r="AJ676" s="6" t="str">
        <f>IF(Eingabe[[#This Row],[V4]]="","",Eingabe[[#This Row],[V4]]+Eingabe[[#This Row],[R4]])</f>
        <v/>
      </c>
      <c r="AK676" s="6" t="str">
        <f>IF(Eingabe[[#This Row],[S1P]]="","",Eingabe[[#This Row],[S1P]]+Eingabe[[#This Row],[S2P]]+Eingabe[[#This Row],[S3P]]+Eingabe[[#This Row],[S4P]])</f>
        <v/>
      </c>
      <c r="AL676" s="6" t="str">
        <f>IF(Eingabe[[#This Row],[S1P]]="","",IF(Eingabe[[#This Row],[SP]]&gt;2,1,IF(Eingabe[[#This Row],[SP]]&lt;2,0,IF(Eingabe[[#This Row],[GES]]&gt;Eingabe[[#This Row],[GEGGES]],1,IF(Eingabe[[#This Row],[GES]]=Eingabe[[#This Row],[GEGGES]],0.5,0)))))</f>
        <v/>
      </c>
      <c r="AM676" s="6" t="str">
        <f>IF(Eingabe[[#This Row],[MP]]="","",MOD(ROW(Eingabe[[#This Row],[Position]])-3,6)+1)</f>
        <v/>
      </c>
      <c r="AN676" s="6" t="e">
        <f>STANDARDIZE(Eingabe[[#This Row],[GES]],Eingabe[[#This Row],[Schnitt]],VLOOKUP(Eingabe[[#This Row],[Name]],AuswertungG[],21,FALSE))</f>
        <v>#VALUE!</v>
      </c>
      <c r="AO676" s="6" t="str">
        <f>VLOOKUP(Eingabe[[#This Row],[ID]],Chronologie[[ID]:[KW]],12,FALSE)</f>
        <v/>
      </c>
      <c r="AP676" s="95">
        <f>IF(Eingabe[[#This Row],[Wo]]="H",Eingabe[[#This Row],[Gegner]]&amp;" ["&amp;Eingabe[[#This Row],[Wo]]&amp;"]",Eingabe[[#This Row],[Ort]])</f>
        <v>0</v>
      </c>
      <c r="AQ676" s="6" t="str">
        <f>IFERROR(IF(Eingabe[[#This Row],[Wo]]="H",IF(MOD(Eingabe[[#This Row],[Position]],2)=1,Eingabe[[#This Row],[S1]],Eingabe[[#This Row],[S4]]),""),"")</f>
        <v/>
      </c>
      <c r="AR676" s="6" t="str">
        <f>IFERROR(IF(Eingabe[[#This Row],[Wo]]="H",IF(Eingabe[[#This Row],[S1]]&gt;0,IF(MOD(Eingabe[[#This Row],[Position]],2)=1,Eingabe[[#This Row],[S2]],Eingabe[[#This Row],[S3]]),""),""),"")</f>
        <v/>
      </c>
      <c r="AS676" s="6" t="str">
        <f>IFERROR(IF(Eingabe[[#This Row],[Wo]]="H",IF(Eingabe[[#This Row],[S1]]&gt;0,IF(MOD(ROW(Eingabe[[#This Row],[Heimbahn 3]]),2)=1,Eingabe[[#This Row],[S4]],Eingabe[[#This Row],[S1]]),""),""),"")</f>
        <v/>
      </c>
      <c r="AT676" s="6" t="str">
        <f>IFERROR(IF(Eingabe[[#This Row],[Wo]]="H",IF(Eingabe[[#This Row],[S1]]&gt;0,IF(MOD(ROW(Eingabe[[#This Row],[Heimbahn 4]]),2)=1,Eingabe[[#This Row],[S3]],Eingabe[[#This Row],[S2]]),""),""),"")</f>
        <v/>
      </c>
      <c r="AU676" s="22" t="str">
        <f>IF(Eingabe[[#This Row],[GES]]="","",IF(Eingabe[[#This Row],[Modus]]="L",_xlfn.RANK.EQ(Eingabe[[#This Row],[GES]],AF675:AF680),IF(Eingabe[[#This Row],[Modus]]="P",_xlfn.RANK.EQ(Eingabe[[#This Row],[GES]],AF675:AF680),"")))</f>
        <v/>
      </c>
      <c r="AV676" s="6" t="e">
        <f>VLOOKUP(Eingabe[[#This Row],[Name]],AuswertungG[],8,FALSE)</f>
        <v>#N/A</v>
      </c>
      <c r="AZ676" s="6" t="str">
        <f>IFERROR(ABS(Eingabe[[#This Row],[GES]]-Eingabe[[#This Row],[GEGGES]]),"")</f>
        <v/>
      </c>
    </row>
    <row r="677" spans="1:52" hidden="1" x14ac:dyDescent="0.3">
      <c r="A677" s="441"/>
      <c r="B677" s="21">
        <f t="shared" si="68"/>
        <v>113</v>
      </c>
      <c r="C677" s="6">
        <f>VLOOKUP($B677,Chronologie[],7,TRUE)</f>
        <v>0</v>
      </c>
      <c r="D677" s="6">
        <f>VLOOKUP($B677,Chronologie[],8,TRUE)</f>
        <v>0</v>
      </c>
      <c r="E677" s="240">
        <f>VLOOKUP($B677,Chronologie[],9,TRUE)</f>
        <v>0</v>
      </c>
      <c r="F677" s="6">
        <f>VLOOKUP($B677,Chronologie[],COLUMN(F678)-2,TRUE)</f>
        <v>0</v>
      </c>
      <c r="G677" s="6">
        <f>VLOOKUP($B677,Chronologie[],COLUMN(G678)-2,TRUE)</f>
        <v>0</v>
      </c>
      <c r="H677" s="6">
        <f>VLOOKUP($B677,Chronologie[],COLUMN(H678)-2,TRUE)</f>
        <v>0</v>
      </c>
      <c r="I677" s="10" t="str">
        <f>VLOOKUP($B677,Chronologie[],2,TRUE)</f>
        <v>--</v>
      </c>
      <c r="J677" s="243">
        <f>VLOOKUP($B677,Chronologie[],3,TRUE)</f>
        <v>0</v>
      </c>
      <c r="K677" s="237"/>
      <c r="L677" s="237"/>
      <c r="M677" s="237"/>
      <c r="N677" s="237"/>
      <c r="O677" s="237"/>
      <c r="P677" s="237"/>
      <c r="Q677" s="237"/>
      <c r="R677" s="237"/>
      <c r="S677" s="237"/>
      <c r="T677" s="237"/>
      <c r="U677" s="237"/>
      <c r="V677" s="237"/>
      <c r="W677" s="237"/>
      <c r="X677" s="38"/>
      <c r="Y677" s="38"/>
      <c r="Z677" s="38"/>
      <c r="AA677" s="38"/>
      <c r="AB677" s="91"/>
      <c r="AC677" s="94" t="str">
        <f>IF(Eingabe[[#This Row],[V1]]="",IF(Eingabe[[#This Row],[Volle alternativ]]="","",Eingabe[[#This Row],[Volle alternativ]]),SUM(Eingabe[[#This Row],[V1]:[V4]]))</f>
        <v/>
      </c>
      <c r="AD677" s="6" t="str">
        <f>IF(Eingabe[[#This Row],[R1]]="",IF(Eingabe[[#This Row],[Räumer alternativ]]="","",Eingabe[[#This Row],[Räumer alternativ]]),SUM(Eingabe[[#This Row],[R1]:[R4]]))</f>
        <v/>
      </c>
      <c r="AE677" s="6" t="str">
        <f>IF(Eingabe[[#This Row],[F1]]="",IF(Eingabe[[#This Row],[Fehler alternativ]]="","",Eingabe[[#This Row],[Fehler alternativ]]),SUM(Eingabe[[#This Row],[F1]:[F4]]))</f>
        <v/>
      </c>
      <c r="AF677" s="6" t="str">
        <f>IF(Eingabe[[#This Row],[Volle]]="","",IF(Eingabe[[#This Row],[S1]]="",Eingabe[[#This Row],[Volle]]+Eingabe[[#This Row],[Räumer]],IF(Eingabe[[#This Row],[Volle]]+Eingabe[[#This Row],[Räumer]]=Eingabe[[#This Row],[S1]]+Eingabe[[#This Row],[S2]]+Eingabe[[#This Row],[S3]]+Eingabe[[#This Row],[S4]],Eingabe[[#This Row],[Volle]]+Eingabe[[#This Row],[Räumer]],"FEHLER")))</f>
        <v/>
      </c>
      <c r="AG677" s="6" t="str">
        <f>IF(Eingabe[[#This Row],[V1]]="","",Eingabe[[#This Row],[V1]]+Eingabe[[#This Row],[R1]])</f>
        <v/>
      </c>
      <c r="AH677" s="6" t="str">
        <f>IF(Eingabe[[#This Row],[V2]]="","",Eingabe[[#This Row],[V2]]+Eingabe[[#This Row],[R2]])</f>
        <v/>
      </c>
      <c r="AI677" s="6" t="str">
        <f>IF(Eingabe[[#This Row],[V3]]="","",Eingabe[[#This Row],[V3]]+Eingabe[[#This Row],[R3]])</f>
        <v/>
      </c>
      <c r="AJ677" s="6" t="str">
        <f>IF(Eingabe[[#This Row],[V4]]="","",Eingabe[[#This Row],[V4]]+Eingabe[[#This Row],[R4]])</f>
        <v/>
      </c>
      <c r="AK677" s="6" t="str">
        <f>IF(Eingabe[[#This Row],[S1P]]="","",Eingabe[[#This Row],[S1P]]+Eingabe[[#This Row],[S2P]]+Eingabe[[#This Row],[S3P]]+Eingabe[[#This Row],[S4P]])</f>
        <v/>
      </c>
      <c r="AL677" s="6" t="str">
        <f>IF(Eingabe[[#This Row],[S1P]]="","",IF(Eingabe[[#This Row],[SP]]&gt;2,1,IF(Eingabe[[#This Row],[SP]]&lt;2,0,IF(Eingabe[[#This Row],[GES]]&gt;Eingabe[[#This Row],[GEGGES]],1,IF(Eingabe[[#This Row],[GES]]=Eingabe[[#This Row],[GEGGES]],0.5,0)))))</f>
        <v/>
      </c>
      <c r="AM677" s="6" t="str">
        <f>IF(Eingabe[[#This Row],[MP]]="","",MOD(ROW(Eingabe[[#This Row],[Position]])-3,6)+1)</f>
        <v/>
      </c>
      <c r="AN677" s="6" t="e">
        <f>STANDARDIZE(Eingabe[[#This Row],[GES]],Eingabe[[#This Row],[Schnitt]],VLOOKUP(Eingabe[[#This Row],[Name]],AuswertungG[],21,FALSE))</f>
        <v>#VALUE!</v>
      </c>
      <c r="AO677" s="6" t="str">
        <f>VLOOKUP(Eingabe[[#This Row],[ID]],Chronologie[[ID]:[KW]],12,FALSE)</f>
        <v/>
      </c>
      <c r="AP677" s="95">
        <f>IF(Eingabe[[#This Row],[Wo]]="H",Eingabe[[#This Row],[Gegner]]&amp;" ["&amp;Eingabe[[#This Row],[Wo]]&amp;"]",Eingabe[[#This Row],[Ort]])</f>
        <v>0</v>
      </c>
      <c r="AQ677" s="6" t="str">
        <f>IFERROR(IF(Eingabe[[#This Row],[Wo]]="H",IF(MOD(Eingabe[[#This Row],[Position]],2)=1,Eingabe[[#This Row],[S1]],Eingabe[[#This Row],[S4]]),""),"")</f>
        <v/>
      </c>
      <c r="AR677" s="6" t="str">
        <f>IFERROR(IF(Eingabe[[#This Row],[Wo]]="H",IF(Eingabe[[#This Row],[S1]]&gt;0,IF(MOD(Eingabe[[#This Row],[Position]],2)=1,Eingabe[[#This Row],[S2]],Eingabe[[#This Row],[S3]]),""),""),"")</f>
        <v/>
      </c>
      <c r="AS677" s="6" t="str">
        <f>IFERROR(IF(Eingabe[[#This Row],[Wo]]="H",IF(Eingabe[[#This Row],[S1]]&gt;0,IF(MOD(ROW(Eingabe[[#This Row],[Heimbahn 3]]),2)=1,Eingabe[[#This Row],[S4]],Eingabe[[#This Row],[S1]]),""),""),"")</f>
        <v/>
      </c>
      <c r="AT677" s="6" t="str">
        <f>IFERROR(IF(Eingabe[[#This Row],[Wo]]="H",IF(Eingabe[[#This Row],[S1]]&gt;0,IF(MOD(ROW(Eingabe[[#This Row],[Heimbahn 4]]),2)=1,Eingabe[[#This Row],[S3]],Eingabe[[#This Row],[S2]]),""),""),"")</f>
        <v/>
      </c>
      <c r="AU677" s="22" t="str">
        <f>IF(Eingabe[[#This Row],[GES]]="","",IF(Eingabe[[#This Row],[Modus]]="L",_xlfn.RANK.EQ(Eingabe[[#This Row],[GES]],AF675:AF680),IF(Eingabe[[#This Row],[Modus]]="P",_xlfn.RANK.EQ(Eingabe[[#This Row],[GES]],AF675:AF680),"")))</f>
        <v/>
      </c>
      <c r="AV677" s="6" t="e">
        <f>VLOOKUP(Eingabe[[#This Row],[Name]],AuswertungG[],8,FALSE)</f>
        <v>#N/A</v>
      </c>
      <c r="AZ677" s="6" t="str">
        <f>IFERROR(ABS(Eingabe[[#This Row],[GES]]-Eingabe[[#This Row],[GEGGES]]),"")</f>
        <v/>
      </c>
    </row>
    <row r="678" spans="1:52" hidden="1" x14ac:dyDescent="0.3">
      <c r="A678" s="441"/>
      <c r="B678" s="21">
        <f t="shared" si="68"/>
        <v>113</v>
      </c>
      <c r="C678" s="6">
        <f>VLOOKUP($B678,Chronologie[],7,TRUE)</f>
        <v>0</v>
      </c>
      <c r="D678" s="6">
        <f>VLOOKUP($B678,Chronologie[],8,TRUE)</f>
        <v>0</v>
      </c>
      <c r="E678" s="240">
        <f>VLOOKUP($B678,Chronologie[],9,TRUE)</f>
        <v>0</v>
      </c>
      <c r="F678" s="6">
        <f>VLOOKUP($B678,Chronologie[],COLUMN(F679)-2,TRUE)</f>
        <v>0</v>
      </c>
      <c r="G678" s="6">
        <f>VLOOKUP($B678,Chronologie[],COLUMN(G679)-2,TRUE)</f>
        <v>0</v>
      </c>
      <c r="H678" s="6">
        <f>VLOOKUP($B678,Chronologie[],COLUMN(H679)-2,TRUE)</f>
        <v>0</v>
      </c>
      <c r="I678" s="10" t="str">
        <f>VLOOKUP($B678,Chronologie[],2,TRUE)</f>
        <v>--</v>
      </c>
      <c r="J678" s="243">
        <f>VLOOKUP($B678,Chronologie[],3,TRUE)</f>
        <v>0</v>
      </c>
      <c r="K678" s="238"/>
      <c r="L678" s="237"/>
      <c r="M678" s="237"/>
      <c r="N678" s="237"/>
      <c r="O678" s="237"/>
      <c r="P678" s="237"/>
      <c r="Q678" s="237"/>
      <c r="R678" s="237"/>
      <c r="S678" s="237"/>
      <c r="T678" s="237"/>
      <c r="U678" s="237"/>
      <c r="V678" s="237"/>
      <c r="W678" s="237"/>
      <c r="X678" s="38"/>
      <c r="Y678" s="38"/>
      <c r="Z678" s="38"/>
      <c r="AA678" s="38"/>
      <c r="AB678" s="91"/>
      <c r="AC678" s="94" t="str">
        <f>IF(Eingabe[[#This Row],[V1]]="",IF(Eingabe[[#This Row],[Volle alternativ]]="","",Eingabe[[#This Row],[Volle alternativ]]),SUM(Eingabe[[#This Row],[V1]:[V4]]))</f>
        <v/>
      </c>
      <c r="AD678" s="6" t="str">
        <f>IF(Eingabe[[#This Row],[R1]]="",IF(Eingabe[[#This Row],[Räumer alternativ]]="","",Eingabe[[#This Row],[Räumer alternativ]]),SUM(Eingabe[[#This Row],[R1]:[R4]]))</f>
        <v/>
      </c>
      <c r="AE678" s="6" t="str">
        <f>IF(Eingabe[[#This Row],[F1]]="",IF(Eingabe[[#This Row],[Fehler alternativ]]="","",Eingabe[[#This Row],[Fehler alternativ]]),SUM(Eingabe[[#This Row],[F1]:[F4]]))</f>
        <v/>
      </c>
      <c r="AF678" s="6" t="str">
        <f>IF(Eingabe[[#This Row],[Volle]]="","",IF(Eingabe[[#This Row],[S1]]="",Eingabe[[#This Row],[Volle]]+Eingabe[[#This Row],[Räumer]],IF(Eingabe[[#This Row],[Volle]]+Eingabe[[#This Row],[Räumer]]=Eingabe[[#This Row],[S1]]+Eingabe[[#This Row],[S2]]+Eingabe[[#This Row],[S3]]+Eingabe[[#This Row],[S4]],Eingabe[[#This Row],[Volle]]+Eingabe[[#This Row],[Räumer]],"FEHLER")))</f>
        <v/>
      </c>
      <c r="AG678" s="6" t="str">
        <f>IF(Eingabe[[#This Row],[V1]]="","",Eingabe[[#This Row],[V1]]+Eingabe[[#This Row],[R1]])</f>
        <v/>
      </c>
      <c r="AH678" s="6" t="str">
        <f>IF(Eingabe[[#This Row],[V2]]="","",Eingabe[[#This Row],[V2]]+Eingabe[[#This Row],[R2]])</f>
        <v/>
      </c>
      <c r="AI678" s="6" t="str">
        <f>IF(Eingabe[[#This Row],[V3]]="","",Eingabe[[#This Row],[V3]]+Eingabe[[#This Row],[R3]])</f>
        <v/>
      </c>
      <c r="AJ678" s="6" t="str">
        <f>IF(Eingabe[[#This Row],[V4]]="","",Eingabe[[#This Row],[V4]]+Eingabe[[#This Row],[R4]])</f>
        <v/>
      </c>
      <c r="AK678" s="6" t="str">
        <f>IF(Eingabe[[#This Row],[S1P]]="","",Eingabe[[#This Row],[S1P]]+Eingabe[[#This Row],[S2P]]+Eingabe[[#This Row],[S3P]]+Eingabe[[#This Row],[S4P]])</f>
        <v/>
      </c>
      <c r="AL678" s="6" t="str">
        <f>IF(Eingabe[[#This Row],[S1P]]="","",IF(Eingabe[[#This Row],[SP]]&gt;2,1,IF(Eingabe[[#This Row],[SP]]&lt;2,0,IF(Eingabe[[#This Row],[GES]]&gt;Eingabe[[#This Row],[GEGGES]],1,IF(Eingabe[[#This Row],[GES]]=Eingabe[[#This Row],[GEGGES]],0.5,0)))))</f>
        <v/>
      </c>
      <c r="AM678" s="6" t="str">
        <f>IF(Eingabe[[#This Row],[MP]]="","",MOD(ROW(Eingabe[[#This Row],[Position]])-3,6)+1)</f>
        <v/>
      </c>
      <c r="AN678" s="6" t="e">
        <f>STANDARDIZE(Eingabe[[#This Row],[GES]],Eingabe[[#This Row],[Schnitt]],VLOOKUP(Eingabe[[#This Row],[Name]],AuswertungG[],21,FALSE))</f>
        <v>#VALUE!</v>
      </c>
      <c r="AO678" s="6" t="str">
        <f>VLOOKUP(Eingabe[[#This Row],[ID]],Chronologie[[ID]:[KW]],12,FALSE)</f>
        <v/>
      </c>
      <c r="AP678" s="95">
        <f>IF(Eingabe[[#This Row],[Wo]]="H",Eingabe[[#This Row],[Gegner]]&amp;" ["&amp;Eingabe[[#This Row],[Wo]]&amp;"]",Eingabe[[#This Row],[Ort]])</f>
        <v>0</v>
      </c>
      <c r="AQ678" s="6" t="str">
        <f>IFERROR(IF(Eingabe[[#This Row],[Wo]]="H",IF(MOD(Eingabe[[#This Row],[Position]],2)=1,Eingabe[[#This Row],[S1]],Eingabe[[#This Row],[S4]]),""),"")</f>
        <v/>
      </c>
      <c r="AR678" s="6" t="str">
        <f>IFERROR(IF(Eingabe[[#This Row],[Wo]]="H",IF(Eingabe[[#This Row],[S1]]&gt;0,IF(MOD(Eingabe[[#This Row],[Position]],2)=1,Eingabe[[#This Row],[S2]],Eingabe[[#This Row],[S3]]),""),""),"")</f>
        <v/>
      </c>
      <c r="AS678" s="6" t="str">
        <f>IFERROR(IF(Eingabe[[#This Row],[Wo]]="H",IF(Eingabe[[#This Row],[S1]]&gt;0,IF(MOD(ROW(Eingabe[[#This Row],[Heimbahn 3]]),2)=1,Eingabe[[#This Row],[S4]],Eingabe[[#This Row],[S1]]),""),""),"")</f>
        <v/>
      </c>
      <c r="AT678" s="6" t="str">
        <f>IFERROR(IF(Eingabe[[#This Row],[Wo]]="H",IF(Eingabe[[#This Row],[S1]]&gt;0,IF(MOD(ROW(Eingabe[[#This Row],[Heimbahn 4]]),2)=1,Eingabe[[#This Row],[S3]],Eingabe[[#This Row],[S2]]),""),""),"")</f>
        <v/>
      </c>
      <c r="AU678" s="22" t="str">
        <f>IF(Eingabe[[#This Row],[GES]]="","",IF(Eingabe[[#This Row],[Modus]]="L",_xlfn.RANK.EQ(Eingabe[[#This Row],[GES]],AF675:AF680),IF(Eingabe[[#This Row],[Modus]]="P",_xlfn.RANK.EQ(Eingabe[[#This Row],[GES]],AF675:AF680),"")))</f>
        <v/>
      </c>
      <c r="AV678" s="6" t="e">
        <f>VLOOKUP(Eingabe[[#This Row],[Name]],AuswertungG[],8,FALSE)</f>
        <v>#N/A</v>
      </c>
      <c r="AZ678" s="6" t="str">
        <f>IFERROR(ABS(Eingabe[[#This Row],[GES]]-Eingabe[[#This Row],[GEGGES]]),"")</f>
        <v/>
      </c>
    </row>
    <row r="679" spans="1:52" hidden="1" x14ac:dyDescent="0.3">
      <c r="A679" s="441"/>
      <c r="B679" s="21">
        <f t="shared" si="68"/>
        <v>113</v>
      </c>
      <c r="C679" s="6">
        <f>VLOOKUP($B679,Chronologie[],7,TRUE)</f>
        <v>0</v>
      </c>
      <c r="D679" s="6">
        <f>VLOOKUP($B679,Chronologie[],8,TRUE)</f>
        <v>0</v>
      </c>
      <c r="E679" s="240">
        <f>VLOOKUP($B679,Chronologie[],9,TRUE)</f>
        <v>0</v>
      </c>
      <c r="F679" s="6">
        <f>VLOOKUP($B679,Chronologie[],COLUMN(F680)-2,TRUE)</f>
        <v>0</v>
      </c>
      <c r="G679" s="6">
        <f>VLOOKUP($B679,Chronologie[],COLUMN(G680)-2,TRUE)</f>
        <v>0</v>
      </c>
      <c r="H679" s="6">
        <f>VLOOKUP($B679,Chronologie[],COLUMN(H680)-2,TRUE)</f>
        <v>0</v>
      </c>
      <c r="I679" s="10" t="str">
        <f>VLOOKUP($B679,Chronologie[],2,TRUE)</f>
        <v>--</v>
      </c>
      <c r="J679" s="243">
        <f>VLOOKUP($B679,Chronologie[],3,TRUE)</f>
        <v>0</v>
      </c>
      <c r="K679" s="237"/>
      <c r="L679" s="237"/>
      <c r="M679" s="237"/>
      <c r="N679" s="237"/>
      <c r="O679" s="237"/>
      <c r="P679" s="237"/>
      <c r="Q679" s="237"/>
      <c r="R679" s="237"/>
      <c r="S679" s="237"/>
      <c r="T679" s="237"/>
      <c r="U679" s="237"/>
      <c r="V679" s="237"/>
      <c r="W679" s="237"/>
      <c r="X679" s="38"/>
      <c r="Y679" s="38"/>
      <c r="Z679" s="38"/>
      <c r="AA679" s="38"/>
      <c r="AB679" s="91"/>
      <c r="AC679" s="94" t="str">
        <f>IF(Eingabe[[#This Row],[V1]]="",IF(Eingabe[[#This Row],[Volle alternativ]]="","",Eingabe[[#This Row],[Volle alternativ]]),SUM(Eingabe[[#This Row],[V1]:[V4]]))</f>
        <v/>
      </c>
      <c r="AD679" s="6" t="str">
        <f>IF(Eingabe[[#This Row],[R1]]="",IF(Eingabe[[#This Row],[Räumer alternativ]]="","",Eingabe[[#This Row],[Räumer alternativ]]),SUM(Eingabe[[#This Row],[R1]:[R4]]))</f>
        <v/>
      </c>
      <c r="AE679" s="6" t="str">
        <f>IF(Eingabe[[#This Row],[F1]]="",IF(Eingabe[[#This Row],[Fehler alternativ]]="","",Eingabe[[#This Row],[Fehler alternativ]]),SUM(Eingabe[[#This Row],[F1]:[F4]]))</f>
        <v/>
      </c>
      <c r="AF679" s="6" t="str">
        <f>IF(Eingabe[[#This Row],[Volle]]="","",IF(Eingabe[[#This Row],[S1]]="",Eingabe[[#This Row],[Volle]]+Eingabe[[#This Row],[Räumer]],IF(Eingabe[[#This Row],[Volle]]+Eingabe[[#This Row],[Räumer]]=Eingabe[[#This Row],[S1]]+Eingabe[[#This Row],[S2]]+Eingabe[[#This Row],[S3]]+Eingabe[[#This Row],[S4]],Eingabe[[#This Row],[Volle]]+Eingabe[[#This Row],[Räumer]],"FEHLER")))</f>
        <v/>
      </c>
      <c r="AG679" s="6" t="str">
        <f>IF(Eingabe[[#This Row],[V1]]="","",Eingabe[[#This Row],[V1]]+Eingabe[[#This Row],[R1]])</f>
        <v/>
      </c>
      <c r="AH679" s="6" t="str">
        <f>IF(Eingabe[[#This Row],[V2]]="","",Eingabe[[#This Row],[V2]]+Eingabe[[#This Row],[R2]])</f>
        <v/>
      </c>
      <c r="AI679" s="6" t="str">
        <f>IF(Eingabe[[#This Row],[V3]]="","",Eingabe[[#This Row],[V3]]+Eingabe[[#This Row],[R3]])</f>
        <v/>
      </c>
      <c r="AJ679" s="6" t="str">
        <f>IF(Eingabe[[#This Row],[V4]]="","",Eingabe[[#This Row],[V4]]+Eingabe[[#This Row],[R4]])</f>
        <v/>
      </c>
      <c r="AK679" s="6" t="str">
        <f>IF(Eingabe[[#This Row],[S1P]]="","",Eingabe[[#This Row],[S1P]]+Eingabe[[#This Row],[S2P]]+Eingabe[[#This Row],[S3P]]+Eingabe[[#This Row],[S4P]])</f>
        <v/>
      </c>
      <c r="AL679" s="6" t="str">
        <f>IF(Eingabe[[#This Row],[S1P]]="","",IF(Eingabe[[#This Row],[SP]]&gt;2,1,IF(Eingabe[[#This Row],[SP]]&lt;2,0,IF(Eingabe[[#This Row],[GES]]&gt;Eingabe[[#This Row],[GEGGES]],1,IF(Eingabe[[#This Row],[GES]]=Eingabe[[#This Row],[GEGGES]],0.5,0)))))</f>
        <v/>
      </c>
      <c r="AM679" s="6" t="str">
        <f>IF(Eingabe[[#This Row],[MP]]="","",MOD(ROW(Eingabe[[#This Row],[Position]])-3,6)+1)</f>
        <v/>
      </c>
      <c r="AN679" s="6" t="e">
        <f>STANDARDIZE(Eingabe[[#This Row],[GES]],Eingabe[[#This Row],[Schnitt]],VLOOKUP(Eingabe[[#This Row],[Name]],AuswertungG[],21,FALSE))</f>
        <v>#VALUE!</v>
      </c>
      <c r="AO679" s="6" t="str">
        <f>VLOOKUP(Eingabe[[#This Row],[ID]],Chronologie[[ID]:[KW]],12,FALSE)</f>
        <v/>
      </c>
      <c r="AP679" s="95">
        <f>IF(Eingabe[[#This Row],[Wo]]="H",Eingabe[[#This Row],[Gegner]]&amp;" ["&amp;Eingabe[[#This Row],[Wo]]&amp;"]",Eingabe[[#This Row],[Ort]])</f>
        <v>0</v>
      </c>
      <c r="AQ679" s="6" t="str">
        <f>IFERROR(IF(Eingabe[[#This Row],[Wo]]="H",IF(MOD(Eingabe[[#This Row],[Position]],2)=1,Eingabe[[#This Row],[S1]],Eingabe[[#This Row],[S4]]),""),"")</f>
        <v/>
      </c>
      <c r="AR679" s="6" t="str">
        <f>IFERROR(IF(Eingabe[[#This Row],[Wo]]="H",IF(Eingabe[[#This Row],[S1]]&gt;0,IF(MOD(Eingabe[[#This Row],[Position]],2)=1,Eingabe[[#This Row],[S2]],Eingabe[[#This Row],[S3]]),""),""),"")</f>
        <v/>
      </c>
      <c r="AS679" s="6" t="str">
        <f>IFERROR(IF(Eingabe[[#This Row],[Wo]]="H",IF(Eingabe[[#This Row],[S1]]&gt;0,IF(MOD(ROW(Eingabe[[#This Row],[Heimbahn 3]]),2)=1,Eingabe[[#This Row],[S4]],Eingabe[[#This Row],[S1]]),""),""),"")</f>
        <v/>
      </c>
      <c r="AT679" s="6" t="str">
        <f>IFERROR(IF(Eingabe[[#This Row],[Wo]]="H",IF(Eingabe[[#This Row],[S1]]&gt;0,IF(MOD(ROW(Eingabe[[#This Row],[Heimbahn 4]]),2)=1,Eingabe[[#This Row],[S3]],Eingabe[[#This Row],[S2]]),""),""),"")</f>
        <v/>
      </c>
      <c r="AU679" s="22" t="str">
        <f>IF(Eingabe[[#This Row],[GES]]="","",IF(Eingabe[[#This Row],[Modus]]="L",_xlfn.RANK.EQ(Eingabe[[#This Row],[GES]],AF675:AF680),IF(Eingabe[[#This Row],[Modus]]="P",_xlfn.RANK.EQ(Eingabe[[#This Row],[GES]],AF675:AF680),"")))</f>
        <v/>
      </c>
      <c r="AV679" s="6" t="e">
        <f>VLOOKUP(Eingabe[[#This Row],[Name]],AuswertungG[],8,FALSE)</f>
        <v>#N/A</v>
      </c>
      <c r="AZ679" s="6" t="str">
        <f>IFERROR(ABS(Eingabe[[#This Row],[GES]]-Eingabe[[#This Row],[GEGGES]]),"")</f>
        <v/>
      </c>
    </row>
    <row r="680" spans="1:52" ht="16.2" hidden="1" thickBot="1" x14ac:dyDescent="0.35">
      <c r="A680" s="442"/>
      <c r="B680" s="56">
        <f t="shared" si="68"/>
        <v>113</v>
      </c>
      <c r="C680" s="23">
        <f>VLOOKUP($B680,Chronologie[],7,TRUE)</f>
        <v>0</v>
      </c>
      <c r="D680" s="23">
        <f>VLOOKUP($B680,Chronologie[],8,TRUE)</f>
        <v>0</v>
      </c>
      <c r="E680" s="39">
        <f>VLOOKUP($B680,Chronologie[],9,TRUE)</f>
        <v>0</v>
      </c>
      <c r="F680" s="23">
        <f>VLOOKUP($B680,Chronologie[],COLUMN(F681)-2,TRUE)</f>
        <v>0</v>
      </c>
      <c r="G680" s="23">
        <f>VLOOKUP($B680,Chronologie[],COLUMN(G681)-2,TRUE)</f>
        <v>0</v>
      </c>
      <c r="H680" s="23">
        <f>VLOOKUP($B680,Chronologie[],COLUMN(H681)-2,TRUE)</f>
        <v>0</v>
      </c>
      <c r="I680" s="13" t="str">
        <f>VLOOKUP($B680,Chronologie[],2,TRUE)</f>
        <v>--</v>
      </c>
      <c r="J680" s="244">
        <f>VLOOKUP($B680,Chronologie[],3,TRUE)</f>
        <v>0</v>
      </c>
      <c r="K680" s="239"/>
      <c r="L680" s="239"/>
      <c r="M680" s="239"/>
      <c r="N680" s="239"/>
      <c r="O680" s="239"/>
      <c r="P680" s="239"/>
      <c r="Q680" s="239"/>
      <c r="R680" s="239"/>
      <c r="S680" s="239"/>
      <c r="T680" s="239"/>
      <c r="U680" s="239"/>
      <c r="V680" s="239"/>
      <c r="W680" s="239"/>
      <c r="X680" s="40"/>
      <c r="Y680" s="40"/>
      <c r="Z680" s="40"/>
      <c r="AA680" s="40"/>
      <c r="AB680" s="92"/>
      <c r="AC680" s="96" t="str">
        <f>IF(Eingabe[[#This Row],[V1]]="",IF(Eingabe[[#This Row],[Volle alternativ]]="","",Eingabe[[#This Row],[Volle alternativ]]),SUM(Eingabe[[#This Row],[V1]:[V4]]))</f>
        <v/>
      </c>
      <c r="AD680" s="23" t="str">
        <f>IF(Eingabe[[#This Row],[R1]]="",IF(Eingabe[[#This Row],[Räumer alternativ]]="","",Eingabe[[#This Row],[Räumer alternativ]]),SUM(Eingabe[[#This Row],[R1]:[R4]]))</f>
        <v/>
      </c>
      <c r="AE680" s="23" t="str">
        <f>IF(Eingabe[[#This Row],[F1]]="",IF(Eingabe[[#This Row],[Fehler alternativ]]="","",Eingabe[[#This Row],[Fehler alternativ]]),SUM(Eingabe[[#This Row],[F1]:[F4]]))</f>
        <v/>
      </c>
      <c r="AF680" s="23" t="str">
        <f>IF(Eingabe[[#This Row],[Volle]]="","",IF(Eingabe[[#This Row],[S1]]="",Eingabe[[#This Row],[Volle]]+Eingabe[[#This Row],[Räumer]],IF(Eingabe[[#This Row],[Volle]]+Eingabe[[#This Row],[Räumer]]=Eingabe[[#This Row],[S1]]+Eingabe[[#This Row],[S2]]+Eingabe[[#This Row],[S3]]+Eingabe[[#This Row],[S4]],Eingabe[[#This Row],[Volle]]+Eingabe[[#This Row],[Räumer]],"FEHLER")))</f>
        <v/>
      </c>
      <c r="AG680" s="23" t="str">
        <f>IF(Eingabe[[#This Row],[V1]]="","",Eingabe[[#This Row],[V1]]+Eingabe[[#This Row],[R1]])</f>
        <v/>
      </c>
      <c r="AH680" s="23" t="str">
        <f>IF(Eingabe[[#This Row],[V2]]="","",Eingabe[[#This Row],[V2]]+Eingabe[[#This Row],[R2]])</f>
        <v/>
      </c>
      <c r="AI680" s="23" t="str">
        <f>IF(Eingabe[[#This Row],[V3]]="","",Eingabe[[#This Row],[V3]]+Eingabe[[#This Row],[R3]])</f>
        <v/>
      </c>
      <c r="AJ680" s="23" t="str">
        <f>IF(Eingabe[[#This Row],[V4]]="","",Eingabe[[#This Row],[V4]]+Eingabe[[#This Row],[R4]])</f>
        <v/>
      </c>
      <c r="AK680" s="23" t="str">
        <f>IF(Eingabe[[#This Row],[S1P]]="","",Eingabe[[#This Row],[S1P]]+Eingabe[[#This Row],[S2P]]+Eingabe[[#This Row],[S3P]]+Eingabe[[#This Row],[S4P]])</f>
        <v/>
      </c>
      <c r="AL680" s="23" t="str">
        <f>IF(Eingabe[[#This Row],[S1P]]="","",IF(Eingabe[[#This Row],[SP]]&gt;2,1,IF(Eingabe[[#This Row],[SP]]&lt;2,0,IF(Eingabe[[#This Row],[GES]]&gt;Eingabe[[#This Row],[GEGGES]],1,IF(Eingabe[[#This Row],[GES]]=Eingabe[[#This Row],[GEGGES]],0.5,0)))))</f>
        <v/>
      </c>
      <c r="AM680" s="23" t="str">
        <f>IF(Eingabe[[#This Row],[MP]]="","",MOD(ROW(Eingabe[[#This Row],[Position]])-3,6)+1)</f>
        <v/>
      </c>
      <c r="AN680" s="23" t="e">
        <f>STANDARDIZE(Eingabe[[#This Row],[GES]],Eingabe[[#This Row],[Schnitt]],VLOOKUP(Eingabe[[#This Row],[Name]],AuswertungG[],21,FALSE))</f>
        <v>#VALUE!</v>
      </c>
      <c r="AO680" s="23" t="str">
        <f>VLOOKUP(Eingabe[[#This Row],[ID]],Chronologie[[ID]:[KW]],12,FALSE)</f>
        <v/>
      </c>
      <c r="AP680" s="59">
        <f>IF(Eingabe[[#This Row],[Wo]]="H",Eingabe[[#This Row],[Gegner]]&amp;" ["&amp;Eingabe[[#This Row],[Wo]]&amp;"]",Eingabe[[#This Row],[Ort]])</f>
        <v>0</v>
      </c>
      <c r="AQ680" s="23" t="str">
        <f>IFERROR(IF(Eingabe[[#This Row],[Wo]]="H",IF(MOD(Eingabe[[#This Row],[Position]],2)=1,Eingabe[[#This Row],[S1]],Eingabe[[#This Row],[S4]]),""),"")</f>
        <v/>
      </c>
      <c r="AR680" s="23" t="str">
        <f>IFERROR(IF(Eingabe[[#This Row],[Wo]]="H",IF(Eingabe[[#This Row],[S1]]&gt;0,IF(MOD(Eingabe[[#This Row],[Position]],2)=1,Eingabe[[#This Row],[S2]],Eingabe[[#This Row],[S3]]),""),""),"")</f>
        <v/>
      </c>
      <c r="AS680" s="23" t="str">
        <f>IFERROR(IF(Eingabe[[#This Row],[Wo]]="H",IF(Eingabe[[#This Row],[S1]]&gt;0,IF(MOD(ROW(Eingabe[[#This Row],[Heimbahn 3]]),2)=1,Eingabe[[#This Row],[S4]],Eingabe[[#This Row],[S1]]),""),""),"")</f>
        <v/>
      </c>
      <c r="AT680" s="23" t="str">
        <f>IFERROR(IF(Eingabe[[#This Row],[Wo]]="H",IF(Eingabe[[#This Row],[S1]]&gt;0,IF(MOD(ROW(Eingabe[[#This Row],[Heimbahn 4]]),2)=1,Eingabe[[#This Row],[S3]],Eingabe[[#This Row],[S2]]),""),""),"")</f>
        <v/>
      </c>
      <c r="AU680" s="89" t="str">
        <f>IF(Eingabe[[#This Row],[GES]]="","",IF(Eingabe[[#This Row],[Modus]]="L",_xlfn.RANK.EQ(Eingabe[[#This Row],[GES]],AF675:AF680),IF(Eingabe[[#This Row],[Modus]]="P",_xlfn.RANK.EQ(Eingabe[[#This Row],[GES]],AF675:AF680),"")))</f>
        <v/>
      </c>
      <c r="AV680" s="6" t="e">
        <f>VLOOKUP(Eingabe[[#This Row],[Name]],AuswertungG[],8,FALSE)</f>
        <v>#N/A</v>
      </c>
      <c r="AZ680" s="6" t="str">
        <f>IFERROR(ABS(Eingabe[[#This Row],[GES]]-Eingabe[[#This Row],[GEGGES]]),"")</f>
        <v/>
      </c>
    </row>
    <row r="681" spans="1:52" hidden="1" x14ac:dyDescent="0.3">
      <c r="A681" s="440">
        <f t="shared" ref="A681" si="71">B681</f>
        <v>114</v>
      </c>
      <c r="B681" s="55">
        <f t="shared" si="68"/>
        <v>114</v>
      </c>
      <c r="C681" s="35">
        <f>VLOOKUP($B681,Chronologie[],7,TRUE)</f>
        <v>0</v>
      </c>
      <c r="D681" s="35">
        <f>VLOOKUP($B681,Chronologie[],8,TRUE)</f>
        <v>0</v>
      </c>
      <c r="E681" s="36">
        <f>VLOOKUP($B681,Chronologie[],9,TRUE)</f>
        <v>0</v>
      </c>
      <c r="F681" s="35">
        <f>VLOOKUP($B681,Chronologie[],COLUMN(F682)-2,TRUE)</f>
        <v>0</v>
      </c>
      <c r="G681" s="35">
        <f>VLOOKUP($B681,Chronologie[],COLUMN(G682)-2,TRUE)</f>
        <v>0</v>
      </c>
      <c r="H681" s="35">
        <f>VLOOKUP($B681,Chronologie[],COLUMN(H682)-2,TRUE)</f>
        <v>0</v>
      </c>
      <c r="I681" s="9" t="str">
        <f>VLOOKUP($B681,Chronologie[],2,TRUE)</f>
        <v>--</v>
      </c>
      <c r="J681" s="242">
        <f>VLOOKUP($B681,Chronologie[],3,TRUE)</f>
        <v>0</v>
      </c>
      <c r="K681" s="236"/>
      <c r="L681" s="334"/>
      <c r="M681" s="334"/>
      <c r="N681" s="334"/>
      <c r="O681" s="334"/>
      <c r="P681" s="334"/>
      <c r="Q681" s="334"/>
      <c r="R681" s="334"/>
      <c r="S681" s="334"/>
      <c r="T681" s="334"/>
      <c r="U681" s="334"/>
      <c r="V681" s="334"/>
      <c r="W681" s="334"/>
      <c r="X681" s="37"/>
      <c r="Y681" s="37"/>
      <c r="Z681" s="37"/>
      <c r="AA681" s="37"/>
      <c r="AB681" s="90"/>
      <c r="AC681" s="93" t="str">
        <f>IF(Eingabe[[#This Row],[V1]]="",IF(Eingabe[[#This Row],[Volle alternativ]]="","",Eingabe[[#This Row],[Volle alternativ]]),SUM(Eingabe[[#This Row],[V1]:[V4]]))</f>
        <v/>
      </c>
      <c r="AD681" s="35" t="str">
        <f>IF(Eingabe[[#This Row],[R1]]="",IF(Eingabe[[#This Row],[Räumer alternativ]]="","",Eingabe[[#This Row],[Räumer alternativ]]),SUM(Eingabe[[#This Row],[R1]:[R4]]))</f>
        <v/>
      </c>
      <c r="AE681" s="35" t="str">
        <f>IF(Eingabe[[#This Row],[F1]]="",IF(Eingabe[[#This Row],[Fehler alternativ]]="","",Eingabe[[#This Row],[Fehler alternativ]]),SUM(Eingabe[[#This Row],[F1]:[F4]]))</f>
        <v/>
      </c>
      <c r="AF681" s="35" t="str">
        <f>IF(Eingabe[[#This Row],[Volle]]="","",IF(Eingabe[[#This Row],[S1]]="",Eingabe[[#This Row],[Volle]]+Eingabe[[#This Row],[Räumer]],IF(Eingabe[[#This Row],[Volle]]+Eingabe[[#This Row],[Räumer]]=Eingabe[[#This Row],[S1]]+Eingabe[[#This Row],[S2]]+Eingabe[[#This Row],[S3]]+Eingabe[[#This Row],[S4]],Eingabe[[#This Row],[Volle]]+Eingabe[[#This Row],[Räumer]],"FEHLER")))</f>
        <v/>
      </c>
      <c r="AG681" s="35" t="str">
        <f>IF(Eingabe[[#This Row],[V1]]="","",Eingabe[[#This Row],[V1]]+Eingabe[[#This Row],[R1]])</f>
        <v/>
      </c>
      <c r="AH681" s="35" t="str">
        <f>IF(Eingabe[[#This Row],[V2]]="","",Eingabe[[#This Row],[V2]]+Eingabe[[#This Row],[R2]])</f>
        <v/>
      </c>
      <c r="AI681" s="35" t="str">
        <f>IF(Eingabe[[#This Row],[V3]]="","",Eingabe[[#This Row],[V3]]+Eingabe[[#This Row],[R3]])</f>
        <v/>
      </c>
      <c r="AJ681" s="35" t="str">
        <f>IF(Eingabe[[#This Row],[V4]]="","",Eingabe[[#This Row],[V4]]+Eingabe[[#This Row],[R4]])</f>
        <v/>
      </c>
      <c r="AK681" s="35" t="str">
        <f>IF(Eingabe[[#This Row],[S1P]]="","",Eingabe[[#This Row],[S1P]]+Eingabe[[#This Row],[S2P]]+Eingabe[[#This Row],[S3P]]+Eingabe[[#This Row],[S4P]])</f>
        <v/>
      </c>
      <c r="AL681" s="35" t="str">
        <f>IF(Eingabe[[#This Row],[S1P]]="","",IF(Eingabe[[#This Row],[SP]]&gt;2,1,IF(Eingabe[[#This Row],[SP]]&lt;2,0,IF(Eingabe[[#This Row],[GES]]&gt;Eingabe[[#This Row],[GEGGES]],1,IF(Eingabe[[#This Row],[GES]]=Eingabe[[#This Row],[GEGGES]],0.5,0)))))</f>
        <v/>
      </c>
      <c r="AM681" s="35" t="str">
        <f>IF(Eingabe[[#This Row],[MP]]="","",MOD(ROW(Eingabe[[#This Row],[Position]])-3,6)+1)</f>
        <v/>
      </c>
      <c r="AN681" s="35" t="e">
        <f>STANDARDIZE(Eingabe[[#This Row],[GES]],Eingabe[[#This Row],[Schnitt]],VLOOKUP(Eingabe[[#This Row],[Name]],AuswertungG[],21,FALSE))</f>
        <v>#VALUE!</v>
      </c>
      <c r="AO681" s="35" t="str">
        <f>VLOOKUP(Eingabe[[#This Row],[ID]],Chronologie[[ID]:[KW]],12,FALSE)</f>
        <v/>
      </c>
      <c r="AP681" s="58">
        <f>IF(Eingabe[[#This Row],[Wo]]="H",Eingabe[[#This Row],[Gegner]]&amp;" ["&amp;Eingabe[[#This Row],[Wo]]&amp;"]",Eingabe[[#This Row],[Ort]])</f>
        <v>0</v>
      </c>
      <c r="AQ681" s="35" t="str">
        <f>IFERROR(IF(Eingabe[[#This Row],[Wo]]="H",IF(MOD(Eingabe[[#This Row],[Position]],2)=1,Eingabe[[#This Row],[S1]],Eingabe[[#This Row],[S4]]),""),"")</f>
        <v/>
      </c>
      <c r="AR681" s="35" t="str">
        <f>IFERROR(IF(Eingabe[[#This Row],[Wo]]="H",IF(Eingabe[[#This Row],[S1]]&gt;0,IF(MOD(Eingabe[[#This Row],[Position]],2)=1,Eingabe[[#This Row],[S2]],Eingabe[[#This Row],[S3]]),""),""),"")</f>
        <v/>
      </c>
      <c r="AS681" s="35" t="str">
        <f>IFERROR(IF(Eingabe[[#This Row],[Wo]]="H",IF(Eingabe[[#This Row],[S1]]&gt;0,IF(MOD(ROW(Eingabe[[#This Row],[Heimbahn 3]]),2)=1,Eingabe[[#This Row],[S4]],Eingabe[[#This Row],[S1]]),""),""),"")</f>
        <v/>
      </c>
      <c r="AT681" s="35" t="str">
        <f>IFERROR(IF(Eingabe[[#This Row],[Wo]]="H",IF(Eingabe[[#This Row],[S1]]&gt;0,IF(MOD(ROW(Eingabe[[#This Row],[Heimbahn 4]]),2)=1,Eingabe[[#This Row],[S3]],Eingabe[[#This Row],[S2]]),""),""),"")</f>
        <v/>
      </c>
      <c r="AU681" s="88" t="str">
        <f>IF(Eingabe[[#This Row],[GES]]="","",IF(Eingabe[[#This Row],[Modus]]="L",_xlfn.RANK.EQ(Eingabe[[#This Row],[GES]],AF681:AF686),IF(Eingabe[[#This Row],[Modus]]="P",_xlfn.RANK.EQ(Eingabe[[#This Row],[GES]],AF681:AF686),"")))</f>
        <v/>
      </c>
      <c r="AV681" s="6" t="e">
        <f>VLOOKUP(Eingabe[[#This Row],[Name]],AuswertungG[],8,FALSE)</f>
        <v>#N/A</v>
      </c>
      <c r="AZ681" s="6" t="str">
        <f>IFERROR(ABS(Eingabe[[#This Row],[GES]]-Eingabe[[#This Row],[GEGGES]]),"")</f>
        <v/>
      </c>
    </row>
    <row r="682" spans="1:52" hidden="1" x14ac:dyDescent="0.3">
      <c r="A682" s="441"/>
      <c r="B682" s="21">
        <f t="shared" si="68"/>
        <v>114</v>
      </c>
      <c r="C682" s="6">
        <f>VLOOKUP($B682,Chronologie[],7,TRUE)</f>
        <v>0</v>
      </c>
      <c r="D682" s="6">
        <f>VLOOKUP($B682,Chronologie[],8,TRUE)</f>
        <v>0</v>
      </c>
      <c r="E682" s="240">
        <f>VLOOKUP($B682,Chronologie[],9,TRUE)</f>
        <v>0</v>
      </c>
      <c r="F682" s="6">
        <f>VLOOKUP($B682,Chronologie[],COLUMN(F683)-2,TRUE)</f>
        <v>0</v>
      </c>
      <c r="G682" s="6">
        <f>VLOOKUP($B682,Chronologie[],COLUMN(G683)-2,TRUE)</f>
        <v>0</v>
      </c>
      <c r="H682" s="6">
        <f>VLOOKUP($B682,Chronologie[],COLUMN(H683)-2,TRUE)</f>
        <v>0</v>
      </c>
      <c r="I682" s="10" t="str">
        <f>VLOOKUP($B682,Chronologie[],2,TRUE)</f>
        <v>--</v>
      </c>
      <c r="J682" s="243">
        <f>VLOOKUP($B682,Chronologie[],3,TRUE)</f>
        <v>0</v>
      </c>
      <c r="K682" s="237"/>
      <c r="L682" s="237"/>
      <c r="M682" s="237"/>
      <c r="N682" s="237"/>
      <c r="O682" s="237"/>
      <c r="P682" s="237"/>
      <c r="Q682" s="237"/>
      <c r="R682" s="237"/>
      <c r="S682" s="237"/>
      <c r="T682" s="237"/>
      <c r="U682" s="237"/>
      <c r="V682" s="237"/>
      <c r="W682" s="237"/>
      <c r="X682" s="38"/>
      <c r="Y682" s="38"/>
      <c r="Z682" s="38"/>
      <c r="AA682" s="38"/>
      <c r="AB682" s="91"/>
      <c r="AC682" s="94" t="str">
        <f>IF(Eingabe[[#This Row],[V1]]="",IF(Eingabe[[#This Row],[Volle alternativ]]="","",Eingabe[[#This Row],[Volle alternativ]]),SUM(Eingabe[[#This Row],[V1]:[V4]]))</f>
        <v/>
      </c>
      <c r="AD682" s="6" t="str">
        <f>IF(Eingabe[[#This Row],[R1]]="",IF(Eingabe[[#This Row],[Räumer alternativ]]="","",Eingabe[[#This Row],[Räumer alternativ]]),SUM(Eingabe[[#This Row],[R1]:[R4]]))</f>
        <v/>
      </c>
      <c r="AE682" s="6" t="str">
        <f>IF(Eingabe[[#This Row],[F1]]="",IF(Eingabe[[#This Row],[Fehler alternativ]]="","",Eingabe[[#This Row],[Fehler alternativ]]),SUM(Eingabe[[#This Row],[F1]:[F4]]))</f>
        <v/>
      </c>
      <c r="AF682" s="6" t="str">
        <f>IF(Eingabe[[#This Row],[Volle]]="","",IF(Eingabe[[#This Row],[S1]]="",Eingabe[[#This Row],[Volle]]+Eingabe[[#This Row],[Räumer]],IF(Eingabe[[#This Row],[Volle]]+Eingabe[[#This Row],[Räumer]]=Eingabe[[#This Row],[S1]]+Eingabe[[#This Row],[S2]]+Eingabe[[#This Row],[S3]]+Eingabe[[#This Row],[S4]],Eingabe[[#This Row],[Volle]]+Eingabe[[#This Row],[Räumer]],"FEHLER")))</f>
        <v/>
      </c>
      <c r="AG682" s="6" t="str">
        <f>IF(Eingabe[[#This Row],[V1]]="","",Eingabe[[#This Row],[V1]]+Eingabe[[#This Row],[R1]])</f>
        <v/>
      </c>
      <c r="AH682" s="6" t="str">
        <f>IF(Eingabe[[#This Row],[V2]]="","",Eingabe[[#This Row],[V2]]+Eingabe[[#This Row],[R2]])</f>
        <v/>
      </c>
      <c r="AI682" s="6" t="str">
        <f>IF(Eingabe[[#This Row],[V3]]="","",Eingabe[[#This Row],[V3]]+Eingabe[[#This Row],[R3]])</f>
        <v/>
      </c>
      <c r="AJ682" s="6" t="str">
        <f>IF(Eingabe[[#This Row],[V4]]="","",Eingabe[[#This Row],[V4]]+Eingabe[[#This Row],[R4]])</f>
        <v/>
      </c>
      <c r="AK682" s="6" t="str">
        <f>IF(Eingabe[[#This Row],[S1P]]="","",Eingabe[[#This Row],[S1P]]+Eingabe[[#This Row],[S2P]]+Eingabe[[#This Row],[S3P]]+Eingabe[[#This Row],[S4P]])</f>
        <v/>
      </c>
      <c r="AL682" s="6" t="str">
        <f>IF(Eingabe[[#This Row],[S1P]]="","",IF(Eingabe[[#This Row],[SP]]&gt;2,1,IF(Eingabe[[#This Row],[SP]]&lt;2,0,IF(Eingabe[[#This Row],[GES]]&gt;Eingabe[[#This Row],[GEGGES]],1,IF(Eingabe[[#This Row],[GES]]=Eingabe[[#This Row],[GEGGES]],0.5,0)))))</f>
        <v/>
      </c>
      <c r="AM682" s="6" t="str">
        <f>IF(Eingabe[[#This Row],[MP]]="","",MOD(ROW(Eingabe[[#This Row],[Position]])-3,6)+1)</f>
        <v/>
      </c>
      <c r="AN682" s="6" t="e">
        <f>STANDARDIZE(Eingabe[[#This Row],[GES]],Eingabe[[#This Row],[Schnitt]],VLOOKUP(Eingabe[[#This Row],[Name]],AuswertungG[],21,FALSE))</f>
        <v>#VALUE!</v>
      </c>
      <c r="AO682" s="6" t="str">
        <f>VLOOKUP(Eingabe[[#This Row],[ID]],Chronologie[[ID]:[KW]],12,FALSE)</f>
        <v/>
      </c>
      <c r="AP682" s="95">
        <f>IF(Eingabe[[#This Row],[Wo]]="H",Eingabe[[#This Row],[Gegner]]&amp;" ["&amp;Eingabe[[#This Row],[Wo]]&amp;"]",Eingabe[[#This Row],[Ort]])</f>
        <v>0</v>
      </c>
      <c r="AQ682" s="6" t="str">
        <f>IFERROR(IF(Eingabe[[#This Row],[Wo]]="H",IF(MOD(Eingabe[[#This Row],[Position]],2)=1,Eingabe[[#This Row],[S1]],Eingabe[[#This Row],[S4]]),""),"")</f>
        <v/>
      </c>
      <c r="AR682" s="6" t="str">
        <f>IFERROR(IF(Eingabe[[#This Row],[Wo]]="H",IF(Eingabe[[#This Row],[S1]]&gt;0,IF(MOD(Eingabe[[#This Row],[Position]],2)=1,Eingabe[[#This Row],[S2]],Eingabe[[#This Row],[S3]]),""),""),"")</f>
        <v/>
      </c>
      <c r="AS682" s="6" t="str">
        <f>IFERROR(IF(Eingabe[[#This Row],[Wo]]="H",IF(Eingabe[[#This Row],[S1]]&gt;0,IF(MOD(ROW(Eingabe[[#This Row],[Heimbahn 3]]),2)=1,Eingabe[[#This Row],[S4]],Eingabe[[#This Row],[S1]]),""),""),"")</f>
        <v/>
      </c>
      <c r="AT682" s="6" t="str">
        <f>IFERROR(IF(Eingabe[[#This Row],[Wo]]="H",IF(Eingabe[[#This Row],[S1]]&gt;0,IF(MOD(ROW(Eingabe[[#This Row],[Heimbahn 4]]),2)=1,Eingabe[[#This Row],[S3]],Eingabe[[#This Row],[S2]]),""),""),"")</f>
        <v/>
      </c>
      <c r="AU682" s="22" t="str">
        <f>IF(Eingabe[[#This Row],[GES]]="","",IF(Eingabe[[#This Row],[Modus]]="L",_xlfn.RANK.EQ(Eingabe[[#This Row],[GES]],AF681:AF686),IF(Eingabe[[#This Row],[Modus]]="P",_xlfn.RANK.EQ(Eingabe[[#This Row],[GES]],AF681:AF686),"")))</f>
        <v/>
      </c>
      <c r="AV682" s="6" t="e">
        <f>VLOOKUP(Eingabe[[#This Row],[Name]],AuswertungG[],8,FALSE)</f>
        <v>#N/A</v>
      </c>
      <c r="AZ682" s="6" t="str">
        <f>IFERROR(ABS(Eingabe[[#This Row],[GES]]-Eingabe[[#This Row],[GEGGES]]),"")</f>
        <v/>
      </c>
    </row>
    <row r="683" spans="1:52" hidden="1" x14ac:dyDescent="0.3">
      <c r="A683" s="441"/>
      <c r="B683" s="21">
        <f t="shared" si="68"/>
        <v>114</v>
      </c>
      <c r="C683" s="6">
        <f>VLOOKUP($B683,Chronologie[],7,TRUE)</f>
        <v>0</v>
      </c>
      <c r="D683" s="6">
        <f>VLOOKUP($B683,Chronologie[],8,TRUE)</f>
        <v>0</v>
      </c>
      <c r="E683" s="240">
        <f>VLOOKUP($B683,Chronologie[],9,TRUE)</f>
        <v>0</v>
      </c>
      <c r="F683" s="6">
        <f>VLOOKUP($B683,Chronologie[],COLUMN(F684)-2,TRUE)</f>
        <v>0</v>
      </c>
      <c r="G683" s="6">
        <f>VLOOKUP($B683,Chronologie[],COLUMN(G684)-2,TRUE)</f>
        <v>0</v>
      </c>
      <c r="H683" s="6">
        <f>VLOOKUP($B683,Chronologie[],COLUMN(H684)-2,TRUE)</f>
        <v>0</v>
      </c>
      <c r="I683" s="10" t="str">
        <f>VLOOKUP($B683,Chronologie[],2,TRUE)</f>
        <v>--</v>
      </c>
      <c r="J683" s="243">
        <f>VLOOKUP($B683,Chronologie[],3,TRUE)</f>
        <v>0</v>
      </c>
      <c r="K683" s="237"/>
      <c r="L683" s="237"/>
      <c r="M683" s="237"/>
      <c r="N683" s="237"/>
      <c r="O683" s="237"/>
      <c r="P683" s="237"/>
      <c r="Q683" s="237"/>
      <c r="R683" s="237"/>
      <c r="S683" s="237"/>
      <c r="T683" s="237"/>
      <c r="U683" s="237"/>
      <c r="V683" s="237"/>
      <c r="W683" s="237"/>
      <c r="X683" s="38"/>
      <c r="Y683" s="38"/>
      <c r="Z683" s="38"/>
      <c r="AA683" s="38"/>
      <c r="AB683" s="91"/>
      <c r="AC683" s="94" t="str">
        <f>IF(Eingabe[[#This Row],[V1]]="",IF(Eingabe[[#This Row],[Volle alternativ]]="","",Eingabe[[#This Row],[Volle alternativ]]),SUM(Eingabe[[#This Row],[V1]:[V4]]))</f>
        <v/>
      </c>
      <c r="AD683" s="6" t="str">
        <f>IF(Eingabe[[#This Row],[R1]]="",IF(Eingabe[[#This Row],[Räumer alternativ]]="","",Eingabe[[#This Row],[Räumer alternativ]]),SUM(Eingabe[[#This Row],[R1]:[R4]]))</f>
        <v/>
      </c>
      <c r="AE683" s="6" t="str">
        <f>IF(Eingabe[[#This Row],[F1]]="",IF(Eingabe[[#This Row],[Fehler alternativ]]="","",Eingabe[[#This Row],[Fehler alternativ]]),SUM(Eingabe[[#This Row],[F1]:[F4]]))</f>
        <v/>
      </c>
      <c r="AF683" s="6" t="str">
        <f>IF(Eingabe[[#This Row],[Volle]]="","",IF(Eingabe[[#This Row],[S1]]="",Eingabe[[#This Row],[Volle]]+Eingabe[[#This Row],[Räumer]],IF(Eingabe[[#This Row],[Volle]]+Eingabe[[#This Row],[Räumer]]=Eingabe[[#This Row],[S1]]+Eingabe[[#This Row],[S2]]+Eingabe[[#This Row],[S3]]+Eingabe[[#This Row],[S4]],Eingabe[[#This Row],[Volle]]+Eingabe[[#This Row],[Räumer]],"FEHLER")))</f>
        <v/>
      </c>
      <c r="AG683" s="6" t="str">
        <f>IF(Eingabe[[#This Row],[V1]]="","",Eingabe[[#This Row],[V1]]+Eingabe[[#This Row],[R1]])</f>
        <v/>
      </c>
      <c r="AH683" s="6" t="str">
        <f>IF(Eingabe[[#This Row],[V2]]="","",Eingabe[[#This Row],[V2]]+Eingabe[[#This Row],[R2]])</f>
        <v/>
      </c>
      <c r="AI683" s="6" t="str">
        <f>IF(Eingabe[[#This Row],[V3]]="","",Eingabe[[#This Row],[V3]]+Eingabe[[#This Row],[R3]])</f>
        <v/>
      </c>
      <c r="AJ683" s="6" t="str">
        <f>IF(Eingabe[[#This Row],[V4]]="","",Eingabe[[#This Row],[V4]]+Eingabe[[#This Row],[R4]])</f>
        <v/>
      </c>
      <c r="AK683" s="6" t="str">
        <f>IF(Eingabe[[#This Row],[S1P]]="","",Eingabe[[#This Row],[S1P]]+Eingabe[[#This Row],[S2P]]+Eingabe[[#This Row],[S3P]]+Eingabe[[#This Row],[S4P]])</f>
        <v/>
      </c>
      <c r="AL683" s="6" t="str">
        <f>IF(Eingabe[[#This Row],[S1P]]="","",IF(Eingabe[[#This Row],[SP]]&gt;2,1,IF(Eingabe[[#This Row],[SP]]&lt;2,0,IF(Eingabe[[#This Row],[GES]]&gt;Eingabe[[#This Row],[GEGGES]],1,IF(Eingabe[[#This Row],[GES]]=Eingabe[[#This Row],[GEGGES]],0.5,0)))))</f>
        <v/>
      </c>
      <c r="AM683" s="6" t="str">
        <f>IF(Eingabe[[#This Row],[MP]]="","",MOD(ROW(Eingabe[[#This Row],[Position]])-3,6)+1)</f>
        <v/>
      </c>
      <c r="AN683" s="6" t="e">
        <f>STANDARDIZE(Eingabe[[#This Row],[GES]],Eingabe[[#This Row],[Schnitt]],VLOOKUP(Eingabe[[#This Row],[Name]],AuswertungG[],21,FALSE))</f>
        <v>#VALUE!</v>
      </c>
      <c r="AO683" s="6" t="str">
        <f>VLOOKUP(Eingabe[[#This Row],[ID]],Chronologie[[ID]:[KW]],12,FALSE)</f>
        <v/>
      </c>
      <c r="AP683" s="95">
        <f>IF(Eingabe[[#This Row],[Wo]]="H",Eingabe[[#This Row],[Gegner]]&amp;" ["&amp;Eingabe[[#This Row],[Wo]]&amp;"]",Eingabe[[#This Row],[Ort]])</f>
        <v>0</v>
      </c>
      <c r="AQ683" s="6" t="str">
        <f>IFERROR(IF(Eingabe[[#This Row],[Wo]]="H",IF(MOD(Eingabe[[#This Row],[Position]],2)=1,Eingabe[[#This Row],[S1]],Eingabe[[#This Row],[S4]]),""),"")</f>
        <v/>
      </c>
      <c r="AR683" s="6" t="str">
        <f>IFERROR(IF(Eingabe[[#This Row],[Wo]]="H",IF(Eingabe[[#This Row],[S1]]&gt;0,IF(MOD(Eingabe[[#This Row],[Position]],2)=1,Eingabe[[#This Row],[S2]],Eingabe[[#This Row],[S3]]),""),""),"")</f>
        <v/>
      </c>
      <c r="AS683" s="6" t="str">
        <f>IFERROR(IF(Eingabe[[#This Row],[Wo]]="H",IF(Eingabe[[#This Row],[S1]]&gt;0,IF(MOD(ROW(Eingabe[[#This Row],[Heimbahn 3]]),2)=1,Eingabe[[#This Row],[S4]],Eingabe[[#This Row],[S1]]),""),""),"")</f>
        <v/>
      </c>
      <c r="AT683" s="6" t="str">
        <f>IFERROR(IF(Eingabe[[#This Row],[Wo]]="H",IF(Eingabe[[#This Row],[S1]]&gt;0,IF(MOD(ROW(Eingabe[[#This Row],[Heimbahn 4]]),2)=1,Eingabe[[#This Row],[S3]],Eingabe[[#This Row],[S2]]),""),""),"")</f>
        <v/>
      </c>
      <c r="AU683" s="22" t="str">
        <f>IF(Eingabe[[#This Row],[GES]]="","",IF(Eingabe[[#This Row],[Modus]]="L",_xlfn.RANK.EQ(Eingabe[[#This Row],[GES]],AF681:AF686),IF(Eingabe[[#This Row],[Modus]]="P",_xlfn.RANK.EQ(Eingabe[[#This Row],[GES]],AF681:AF686),"")))</f>
        <v/>
      </c>
      <c r="AV683" s="6" t="e">
        <f>VLOOKUP(Eingabe[[#This Row],[Name]],AuswertungG[],8,FALSE)</f>
        <v>#N/A</v>
      </c>
      <c r="AZ683" s="6" t="str">
        <f>IFERROR(ABS(Eingabe[[#This Row],[GES]]-Eingabe[[#This Row],[GEGGES]]),"")</f>
        <v/>
      </c>
    </row>
    <row r="684" spans="1:52" hidden="1" x14ac:dyDescent="0.3">
      <c r="A684" s="441"/>
      <c r="B684" s="21">
        <f t="shared" si="68"/>
        <v>114</v>
      </c>
      <c r="C684" s="6">
        <f>VLOOKUP($B684,Chronologie[],7,TRUE)</f>
        <v>0</v>
      </c>
      <c r="D684" s="6">
        <f>VLOOKUP($B684,Chronologie[],8,TRUE)</f>
        <v>0</v>
      </c>
      <c r="E684" s="240">
        <f>VLOOKUP($B684,Chronologie[],9,TRUE)</f>
        <v>0</v>
      </c>
      <c r="F684" s="6">
        <f>VLOOKUP($B684,Chronologie[],COLUMN(F685)-2,TRUE)</f>
        <v>0</v>
      </c>
      <c r="G684" s="6">
        <f>VLOOKUP($B684,Chronologie[],COLUMN(G685)-2,TRUE)</f>
        <v>0</v>
      </c>
      <c r="H684" s="6">
        <f>VLOOKUP($B684,Chronologie[],COLUMN(H685)-2,TRUE)</f>
        <v>0</v>
      </c>
      <c r="I684" s="10" t="str">
        <f>VLOOKUP($B684,Chronologie[],2,TRUE)</f>
        <v>--</v>
      </c>
      <c r="J684" s="243">
        <f>VLOOKUP($B684,Chronologie[],3,TRUE)</f>
        <v>0</v>
      </c>
      <c r="K684" s="238"/>
      <c r="L684" s="237"/>
      <c r="M684" s="237"/>
      <c r="N684" s="237"/>
      <c r="O684" s="237"/>
      <c r="P684" s="237"/>
      <c r="Q684" s="237"/>
      <c r="R684" s="237"/>
      <c r="S684" s="237"/>
      <c r="T684" s="237"/>
      <c r="U684" s="237"/>
      <c r="V684" s="237"/>
      <c r="W684" s="237"/>
      <c r="X684" s="38"/>
      <c r="Y684" s="38"/>
      <c r="Z684" s="38"/>
      <c r="AA684" s="38"/>
      <c r="AB684" s="91"/>
      <c r="AC684" s="94" t="str">
        <f>IF(Eingabe[[#This Row],[V1]]="",IF(Eingabe[[#This Row],[Volle alternativ]]="","",Eingabe[[#This Row],[Volle alternativ]]),SUM(Eingabe[[#This Row],[V1]:[V4]]))</f>
        <v/>
      </c>
      <c r="AD684" s="6" t="str">
        <f>IF(Eingabe[[#This Row],[R1]]="",IF(Eingabe[[#This Row],[Räumer alternativ]]="","",Eingabe[[#This Row],[Räumer alternativ]]),SUM(Eingabe[[#This Row],[R1]:[R4]]))</f>
        <v/>
      </c>
      <c r="AE684" s="6" t="str">
        <f>IF(Eingabe[[#This Row],[F1]]="",IF(Eingabe[[#This Row],[Fehler alternativ]]="","",Eingabe[[#This Row],[Fehler alternativ]]),SUM(Eingabe[[#This Row],[F1]:[F4]]))</f>
        <v/>
      </c>
      <c r="AF684" s="6" t="str">
        <f>IF(Eingabe[[#This Row],[Volle]]="","",IF(Eingabe[[#This Row],[S1]]="",Eingabe[[#This Row],[Volle]]+Eingabe[[#This Row],[Räumer]],IF(Eingabe[[#This Row],[Volle]]+Eingabe[[#This Row],[Räumer]]=Eingabe[[#This Row],[S1]]+Eingabe[[#This Row],[S2]]+Eingabe[[#This Row],[S3]]+Eingabe[[#This Row],[S4]],Eingabe[[#This Row],[Volle]]+Eingabe[[#This Row],[Räumer]],"FEHLER")))</f>
        <v/>
      </c>
      <c r="AG684" s="6" t="str">
        <f>IF(Eingabe[[#This Row],[V1]]="","",Eingabe[[#This Row],[V1]]+Eingabe[[#This Row],[R1]])</f>
        <v/>
      </c>
      <c r="AH684" s="6" t="str">
        <f>IF(Eingabe[[#This Row],[V2]]="","",Eingabe[[#This Row],[V2]]+Eingabe[[#This Row],[R2]])</f>
        <v/>
      </c>
      <c r="AI684" s="6" t="str">
        <f>IF(Eingabe[[#This Row],[V3]]="","",Eingabe[[#This Row],[V3]]+Eingabe[[#This Row],[R3]])</f>
        <v/>
      </c>
      <c r="AJ684" s="6" t="str">
        <f>IF(Eingabe[[#This Row],[V4]]="","",Eingabe[[#This Row],[V4]]+Eingabe[[#This Row],[R4]])</f>
        <v/>
      </c>
      <c r="AK684" s="6" t="str">
        <f>IF(Eingabe[[#This Row],[S1P]]="","",Eingabe[[#This Row],[S1P]]+Eingabe[[#This Row],[S2P]]+Eingabe[[#This Row],[S3P]]+Eingabe[[#This Row],[S4P]])</f>
        <v/>
      </c>
      <c r="AL684" s="6" t="str">
        <f>IF(Eingabe[[#This Row],[S1P]]="","",IF(Eingabe[[#This Row],[SP]]&gt;2,1,IF(Eingabe[[#This Row],[SP]]&lt;2,0,IF(Eingabe[[#This Row],[GES]]&gt;Eingabe[[#This Row],[GEGGES]],1,IF(Eingabe[[#This Row],[GES]]=Eingabe[[#This Row],[GEGGES]],0.5,0)))))</f>
        <v/>
      </c>
      <c r="AM684" s="6" t="str">
        <f>IF(Eingabe[[#This Row],[MP]]="","",MOD(ROW(Eingabe[[#This Row],[Position]])-3,6)+1)</f>
        <v/>
      </c>
      <c r="AN684" s="6" t="e">
        <f>STANDARDIZE(Eingabe[[#This Row],[GES]],Eingabe[[#This Row],[Schnitt]],VLOOKUP(Eingabe[[#This Row],[Name]],AuswertungG[],21,FALSE))</f>
        <v>#VALUE!</v>
      </c>
      <c r="AO684" s="6" t="str">
        <f>VLOOKUP(Eingabe[[#This Row],[ID]],Chronologie[[ID]:[KW]],12,FALSE)</f>
        <v/>
      </c>
      <c r="AP684" s="95">
        <f>IF(Eingabe[[#This Row],[Wo]]="H",Eingabe[[#This Row],[Gegner]]&amp;" ["&amp;Eingabe[[#This Row],[Wo]]&amp;"]",Eingabe[[#This Row],[Ort]])</f>
        <v>0</v>
      </c>
      <c r="AQ684" s="6" t="str">
        <f>IFERROR(IF(Eingabe[[#This Row],[Wo]]="H",IF(MOD(Eingabe[[#This Row],[Position]],2)=1,Eingabe[[#This Row],[S1]],Eingabe[[#This Row],[S4]]),""),"")</f>
        <v/>
      </c>
      <c r="AR684" s="6" t="str">
        <f>IFERROR(IF(Eingabe[[#This Row],[Wo]]="H",IF(Eingabe[[#This Row],[S1]]&gt;0,IF(MOD(Eingabe[[#This Row],[Position]],2)=1,Eingabe[[#This Row],[S2]],Eingabe[[#This Row],[S3]]),""),""),"")</f>
        <v/>
      </c>
      <c r="AS684" s="6" t="str">
        <f>IFERROR(IF(Eingabe[[#This Row],[Wo]]="H",IF(Eingabe[[#This Row],[S1]]&gt;0,IF(MOD(ROW(Eingabe[[#This Row],[Heimbahn 3]]),2)=1,Eingabe[[#This Row],[S4]],Eingabe[[#This Row],[S1]]),""),""),"")</f>
        <v/>
      </c>
      <c r="AT684" s="6" t="str">
        <f>IFERROR(IF(Eingabe[[#This Row],[Wo]]="H",IF(Eingabe[[#This Row],[S1]]&gt;0,IF(MOD(ROW(Eingabe[[#This Row],[Heimbahn 4]]),2)=1,Eingabe[[#This Row],[S3]],Eingabe[[#This Row],[S2]]),""),""),"")</f>
        <v/>
      </c>
      <c r="AU684" s="22" t="str">
        <f>IF(Eingabe[[#This Row],[GES]]="","",IF(Eingabe[[#This Row],[Modus]]="L",_xlfn.RANK.EQ(Eingabe[[#This Row],[GES]],AF681:AF686),IF(Eingabe[[#This Row],[Modus]]="P",_xlfn.RANK.EQ(Eingabe[[#This Row],[GES]],AF681:AF686),"")))</f>
        <v/>
      </c>
      <c r="AV684" s="6" t="e">
        <f>VLOOKUP(Eingabe[[#This Row],[Name]],AuswertungG[],8,FALSE)</f>
        <v>#N/A</v>
      </c>
      <c r="AZ684" s="6" t="str">
        <f>IFERROR(ABS(Eingabe[[#This Row],[GES]]-Eingabe[[#This Row],[GEGGES]]),"")</f>
        <v/>
      </c>
    </row>
    <row r="685" spans="1:52" hidden="1" x14ac:dyDescent="0.3">
      <c r="A685" s="441"/>
      <c r="B685" s="21">
        <f t="shared" si="68"/>
        <v>114</v>
      </c>
      <c r="C685" s="6">
        <f>VLOOKUP($B685,Chronologie[],7,TRUE)</f>
        <v>0</v>
      </c>
      <c r="D685" s="6">
        <f>VLOOKUP($B685,Chronologie[],8,TRUE)</f>
        <v>0</v>
      </c>
      <c r="E685" s="240">
        <f>VLOOKUP($B685,Chronologie[],9,TRUE)</f>
        <v>0</v>
      </c>
      <c r="F685" s="6">
        <f>VLOOKUP($B685,Chronologie[],COLUMN(F686)-2,TRUE)</f>
        <v>0</v>
      </c>
      <c r="G685" s="6">
        <f>VLOOKUP($B685,Chronologie[],COLUMN(G686)-2,TRUE)</f>
        <v>0</v>
      </c>
      <c r="H685" s="6">
        <f>VLOOKUP($B685,Chronologie[],COLUMN(H686)-2,TRUE)</f>
        <v>0</v>
      </c>
      <c r="I685" s="10" t="str">
        <f>VLOOKUP($B685,Chronologie[],2,TRUE)</f>
        <v>--</v>
      </c>
      <c r="J685" s="243">
        <f>VLOOKUP($B685,Chronologie[],3,TRUE)</f>
        <v>0</v>
      </c>
      <c r="K685" s="237"/>
      <c r="L685" s="237"/>
      <c r="M685" s="237"/>
      <c r="N685" s="237"/>
      <c r="O685" s="237"/>
      <c r="P685" s="237"/>
      <c r="Q685" s="237"/>
      <c r="R685" s="237"/>
      <c r="S685" s="237"/>
      <c r="T685" s="237"/>
      <c r="U685" s="237"/>
      <c r="V685" s="237"/>
      <c r="W685" s="237"/>
      <c r="X685" s="38"/>
      <c r="Y685" s="38"/>
      <c r="Z685" s="38"/>
      <c r="AA685" s="38"/>
      <c r="AB685" s="91"/>
      <c r="AC685" s="94" t="str">
        <f>IF(Eingabe[[#This Row],[V1]]="",IF(Eingabe[[#This Row],[Volle alternativ]]="","",Eingabe[[#This Row],[Volle alternativ]]),SUM(Eingabe[[#This Row],[V1]:[V4]]))</f>
        <v/>
      </c>
      <c r="AD685" s="6" t="str">
        <f>IF(Eingabe[[#This Row],[R1]]="",IF(Eingabe[[#This Row],[Räumer alternativ]]="","",Eingabe[[#This Row],[Räumer alternativ]]),SUM(Eingabe[[#This Row],[R1]:[R4]]))</f>
        <v/>
      </c>
      <c r="AE685" s="6" t="str">
        <f>IF(Eingabe[[#This Row],[F1]]="",IF(Eingabe[[#This Row],[Fehler alternativ]]="","",Eingabe[[#This Row],[Fehler alternativ]]),SUM(Eingabe[[#This Row],[F1]:[F4]]))</f>
        <v/>
      </c>
      <c r="AF685" s="6" t="str">
        <f>IF(Eingabe[[#This Row],[Volle]]="","",IF(Eingabe[[#This Row],[S1]]="",Eingabe[[#This Row],[Volle]]+Eingabe[[#This Row],[Räumer]],IF(Eingabe[[#This Row],[Volle]]+Eingabe[[#This Row],[Räumer]]=Eingabe[[#This Row],[S1]]+Eingabe[[#This Row],[S2]]+Eingabe[[#This Row],[S3]]+Eingabe[[#This Row],[S4]],Eingabe[[#This Row],[Volle]]+Eingabe[[#This Row],[Räumer]],"FEHLER")))</f>
        <v/>
      </c>
      <c r="AG685" s="6" t="str">
        <f>IF(Eingabe[[#This Row],[V1]]="","",Eingabe[[#This Row],[V1]]+Eingabe[[#This Row],[R1]])</f>
        <v/>
      </c>
      <c r="AH685" s="6" t="str">
        <f>IF(Eingabe[[#This Row],[V2]]="","",Eingabe[[#This Row],[V2]]+Eingabe[[#This Row],[R2]])</f>
        <v/>
      </c>
      <c r="AI685" s="6" t="str">
        <f>IF(Eingabe[[#This Row],[V3]]="","",Eingabe[[#This Row],[V3]]+Eingabe[[#This Row],[R3]])</f>
        <v/>
      </c>
      <c r="AJ685" s="6" t="str">
        <f>IF(Eingabe[[#This Row],[V4]]="","",Eingabe[[#This Row],[V4]]+Eingabe[[#This Row],[R4]])</f>
        <v/>
      </c>
      <c r="AK685" s="6" t="str">
        <f>IF(Eingabe[[#This Row],[S1P]]="","",Eingabe[[#This Row],[S1P]]+Eingabe[[#This Row],[S2P]]+Eingabe[[#This Row],[S3P]]+Eingabe[[#This Row],[S4P]])</f>
        <v/>
      </c>
      <c r="AL685" s="6" t="str">
        <f>IF(Eingabe[[#This Row],[S1P]]="","",IF(Eingabe[[#This Row],[SP]]&gt;2,1,IF(Eingabe[[#This Row],[SP]]&lt;2,0,IF(Eingabe[[#This Row],[GES]]&gt;Eingabe[[#This Row],[GEGGES]],1,IF(Eingabe[[#This Row],[GES]]=Eingabe[[#This Row],[GEGGES]],0.5,0)))))</f>
        <v/>
      </c>
      <c r="AM685" s="6" t="str">
        <f>IF(Eingabe[[#This Row],[MP]]="","",MOD(ROW(Eingabe[[#This Row],[Position]])-3,6)+1)</f>
        <v/>
      </c>
      <c r="AN685" s="6" t="e">
        <f>STANDARDIZE(Eingabe[[#This Row],[GES]],Eingabe[[#This Row],[Schnitt]],VLOOKUP(Eingabe[[#This Row],[Name]],AuswertungG[],21,FALSE))</f>
        <v>#VALUE!</v>
      </c>
      <c r="AO685" s="6" t="str">
        <f>VLOOKUP(Eingabe[[#This Row],[ID]],Chronologie[[ID]:[KW]],12,FALSE)</f>
        <v/>
      </c>
      <c r="AP685" s="95">
        <f>IF(Eingabe[[#This Row],[Wo]]="H",Eingabe[[#This Row],[Gegner]]&amp;" ["&amp;Eingabe[[#This Row],[Wo]]&amp;"]",Eingabe[[#This Row],[Ort]])</f>
        <v>0</v>
      </c>
      <c r="AQ685" s="6" t="str">
        <f>IFERROR(IF(Eingabe[[#This Row],[Wo]]="H",IF(MOD(Eingabe[[#This Row],[Position]],2)=1,Eingabe[[#This Row],[S1]],Eingabe[[#This Row],[S4]]),""),"")</f>
        <v/>
      </c>
      <c r="AR685" s="6" t="str">
        <f>IFERROR(IF(Eingabe[[#This Row],[Wo]]="H",IF(Eingabe[[#This Row],[S1]]&gt;0,IF(MOD(Eingabe[[#This Row],[Position]],2)=1,Eingabe[[#This Row],[S2]],Eingabe[[#This Row],[S3]]),""),""),"")</f>
        <v/>
      </c>
      <c r="AS685" s="6" t="str">
        <f>IFERROR(IF(Eingabe[[#This Row],[Wo]]="H",IF(Eingabe[[#This Row],[S1]]&gt;0,IF(MOD(ROW(Eingabe[[#This Row],[Heimbahn 3]]),2)=1,Eingabe[[#This Row],[S4]],Eingabe[[#This Row],[S1]]),""),""),"")</f>
        <v/>
      </c>
      <c r="AT685" s="6" t="str">
        <f>IFERROR(IF(Eingabe[[#This Row],[Wo]]="H",IF(Eingabe[[#This Row],[S1]]&gt;0,IF(MOD(ROW(Eingabe[[#This Row],[Heimbahn 4]]),2)=1,Eingabe[[#This Row],[S3]],Eingabe[[#This Row],[S2]]),""),""),"")</f>
        <v/>
      </c>
      <c r="AU685" s="22" t="str">
        <f>IF(Eingabe[[#This Row],[GES]]="","",IF(Eingabe[[#This Row],[Modus]]="L",_xlfn.RANK.EQ(Eingabe[[#This Row],[GES]],AF681:AF686),IF(Eingabe[[#This Row],[Modus]]="P",_xlfn.RANK.EQ(Eingabe[[#This Row],[GES]],AF681:AF686),"")))</f>
        <v/>
      </c>
      <c r="AV685" s="6" t="e">
        <f>VLOOKUP(Eingabe[[#This Row],[Name]],AuswertungG[],8,FALSE)</f>
        <v>#N/A</v>
      </c>
      <c r="AZ685" s="6" t="str">
        <f>IFERROR(ABS(Eingabe[[#This Row],[GES]]-Eingabe[[#This Row],[GEGGES]]),"")</f>
        <v/>
      </c>
    </row>
    <row r="686" spans="1:52" ht="16.2" hidden="1" thickBot="1" x14ac:dyDescent="0.35">
      <c r="A686" s="442"/>
      <c r="B686" s="56">
        <f t="shared" si="68"/>
        <v>114</v>
      </c>
      <c r="C686" s="23">
        <f>VLOOKUP($B686,Chronologie[],7,TRUE)</f>
        <v>0</v>
      </c>
      <c r="D686" s="23">
        <f>VLOOKUP($B686,Chronologie[],8,TRUE)</f>
        <v>0</v>
      </c>
      <c r="E686" s="39">
        <f>VLOOKUP($B686,Chronologie[],9,TRUE)</f>
        <v>0</v>
      </c>
      <c r="F686" s="23">
        <f>VLOOKUP($B686,Chronologie[],COLUMN(F687)-2,TRUE)</f>
        <v>0</v>
      </c>
      <c r="G686" s="23">
        <f>VLOOKUP($B686,Chronologie[],COLUMN(G687)-2,TRUE)</f>
        <v>0</v>
      </c>
      <c r="H686" s="23">
        <f>VLOOKUP($B686,Chronologie[],COLUMN(H687)-2,TRUE)</f>
        <v>0</v>
      </c>
      <c r="I686" s="13" t="str">
        <f>VLOOKUP($B686,Chronologie[],2,TRUE)</f>
        <v>--</v>
      </c>
      <c r="J686" s="244">
        <f>VLOOKUP($B686,Chronologie[],3,TRUE)</f>
        <v>0</v>
      </c>
      <c r="K686" s="239"/>
      <c r="L686" s="239"/>
      <c r="M686" s="239"/>
      <c r="N686" s="239"/>
      <c r="O686" s="239"/>
      <c r="P686" s="239"/>
      <c r="Q686" s="239"/>
      <c r="R686" s="239"/>
      <c r="S686" s="239"/>
      <c r="T686" s="239"/>
      <c r="U686" s="239"/>
      <c r="V686" s="239"/>
      <c r="W686" s="239"/>
      <c r="X686" s="40"/>
      <c r="Y686" s="40"/>
      <c r="Z686" s="40"/>
      <c r="AA686" s="40"/>
      <c r="AB686" s="92"/>
      <c r="AC686" s="96" t="str">
        <f>IF(Eingabe[[#This Row],[V1]]="",IF(Eingabe[[#This Row],[Volle alternativ]]="","",Eingabe[[#This Row],[Volle alternativ]]),SUM(Eingabe[[#This Row],[V1]:[V4]]))</f>
        <v/>
      </c>
      <c r="AD686" s="23" t="str">
        <f>IF(Eingabe[[#This Row],[R1]]="",IF(Eingabe[[#This Row],[Räumer alternativ]]="","",Eingabe[[#This Row],[Räumer alternativ]]),SUM(Eingabe[[#This Row],[R1]:[R4]]))</f>
        <v/>
      </c>
      <c r="AE686" s="23" t="str">
        <f>IF(Eingabe[[#This Row],[F1]]="",IF(Eingabe[[#This Row],[Fehler alternativ]]="","",Eingabe[[#This Row],[Fehler alternativ]]),SUM(Eingabe[[#This Row],[F1]:[F4]]))</f>
        <v/>
      </c>
      <c r="AF686" s="23" t="str">
        <f>IF(Eingabe[[#This Row],[Volle]]="","",IF(Eingabe[[#This Row],[S1]]="",Eingabe[[#This Row],[Volle]]+Eingabe[[#This Row],[Räumer]],IF(Eingabe[[#This Row],[Volle]]+Eingabe[[#This Row],[Räumer]]=Eingabe[[#This Row],[S1]]+Eingabe[[#This Row],[S2]]+Eingabe[[#This Row],[S3]]+Eingabe[[#This Row],[S4]],Eingabe[[#This Row],[Volle]]+Eingabe[[#This Row],[Räumer]],"FEHLER")))</f>
        <v/>
      </c>
      <c r="AG686" s="23" t="str">
        <f>IF(Eingabe[[#This Row],[V1]]="","",Eingabe[[#This Row],[V1]]+Eingabe[[#This Row],[R1]])</f>
        <v/>
      </c>
      <c r="AH686" s="23" t="str">
        <f>IF(Eingabe[[#This Row],[V2]]="","",Eingabe[[#This Row],[V2]]+Eingabe[[#This Row],[R2]])</f>
        <v/>
      </c>
      <c r="AI686" s="23" t="str">
        <f>IF(Eingabe[[#This Row],[V3]]="","",Eingabe[[#This Row],[V3]]+Eingabe[[#This Row],[R3]])</f>
        <v/>
      </c>
      <c r="AJ686" s="23" t="str">
        <f>IF(Eingabe[[#This Row],[V4]]="","",Eingabe[[#This Row],[V4]]+Eingabe[[#This Row],[R4]])</f>
        <v/>
      </c>
      <c r="AK686" s="23" t="str">
        <f>IF(Eingabe[[#This Row],[S1P]]="","",Eingabe[[#This Row],[S1P]]+Eingabe[[#This Row],[S2P]]+Eingabe[[#This Row],[S3P]]+Eingabe[[#This Row],[S4P]])</f>
        <v/>
      </c>
      <c r="AL686" s="23" t="str">
        <f>IF(Eingabe[[#This Row],[S1P]]="","",IF(Eingabe[[#This Row],[SP]]&gt;2,1,IF(Eingabe[[#This Row],[SP]]&lt;2,0,IF(Eingabe[[#This Row],[GES]]&gt;Eingabe[[#This Row],[GEGGES]],1,IF(Eingabe[[#This Row],[GES]]=Eingabe[[#This Row],[GEGGES]],0.5,0)))))</f>
        <v/>
      </c>
      <c r="AM686" s="23" t="str">
        <f>IF(Eingabe[[#This Row],[MP]]="","",MOD(ROW(Eingabe[[#This Row],[Position]])-3,6)+1)</f>
        <v/>
      </c>
      <c r="AN686" s="23" t="e">
        <f>STANDARDIZE(Eingabe[[#This Row],[GES]],Eingabe[[#This Row],[Schnitt]],VLOOKUP(Eingabe[[#This Row],[Name]],AuswertungG[],21,FALSE))</f>
        <v>#VALUE!</v>
      </c>
      <c r="AO686" s="23" t="str">
        <f>VLOOKUP(Eingabe[[#This Row],[ID]],Chronologie[[ID]:[KW]],12,FALSE)</f>
        <v/>
      </c>
      <c r="AP686" s="59">
        <f>IF(Eingabe[[#This Row],[Wo]]="H",Eingabe[[#This Row],[Gegner]]&amp;" ["&amp;Eingabe[[#This Row],[Wo]]&amp;"]",Eingabe[[#This Row],[Ort]])</f>
        <v>0</v>
      </c>
      <c r="AQ686" s="23" t="str">
        <f>IFERROR(IF(Eingabe[[#This Row],[Wo]]="H",IF(MOD(Eingabe[[#This Row],[Position]],2)=1,Eingabe[[#This Row],[S1]],Eingabe[[#This Row],[S4]]),""),"")</f>
        <v/>
      </c>
      <c r="AR686" s="23" t="str">
        <f>IFERROR(IF(Eingabe[[#This Row],[Wo]]="H",IF(Eingabe[[#This Row],[S1]]&gt;0,IF(MOD(Eingabe[[#This Row],[Position]],2)=1,Eingabe[[#This Row],[S2]],Eingabe[[#This Row],[S3]]),""),""),"")</f>
        <v/>
      </c>
      <c r="AS686" s="23" t="str">
        <f>IFERROR(IF(Eingabe[[#This Row],[Wo]]="H",IF(Eingabe[[#This Row],[S1]]&gt;0,IF(MOD(ROW(Eingabe[[#This Row],[Heimbahn 3]]),2)=1,Eingabe[[#This Row],[S4]],Eingabe[[#This Row],[S1]]),""),""),"")</f>
        <v/>
      </c>
      <c r="AT686" s="23" t="str">
        <f>IFERROR(IF(Eingabe[[#This Row],[Wo]]="H",IF(Eingabe[[#This Row],[S1]]&gt;0,IF(MOD(ROW(Eingabe[[#This Row],[Heimbahn 4]]),2)=1,Eingabe[[#This Row],[S3]],Eingabe[[#This Row],[S2]]),""),""),"")</f>
        <v/>
      </c>
      <c r="AU686" s="89" t="str">
        <f>IF(Eingabe[[#This Row],[GES]]="","",IF(Eingabe[[#This Row],[Modus]]="L",_xlfn.RANK.EQ(Eingabe[[#This Row],[GES]],AF681:AF686),IF(Eingabe[[#This Row],[Modus]]="P",_xlfn.RANK.EQ(Eingabe[[#This Row],[GES]],AF681:AF686),"")))</f>
        <v/>
      </c>
      <c r="AV686" s="6" t="e">
        <f>VLOOKUP(Eingabe[[#This Row],[Name]],AuswertungG[],8,FALSE)</f>
        <v>#N/A</v>
      </c>
      <c r="AZ686" s="6" t="str">
        <f>IFERROR(ABS(Eingabe[[#This Row],[GES]]-Eingabe[[#This Row],[GEGGES]]),"")</f>
        <v/>
      </c>
    </row>
    <row r="687" spans="1:52" hidden="1" x14ac:dyDescent="0.3">
      <c r="A687" s="440">
        <f t="shared" ref="A687" si="72">B687</f>
        <v>115</v>
      </c>
      <c r="B687" s="55">
        <f t="shared" si="68"/>
        <v>115</v>
      </c>
      <c r="C687" s="35">
        <f>VLOOKUP($B687,Chronologie[],7,TRUE)</f>
        <v>0</v>
      </c>
      <c r="D687" s="35">
        <f>VLOOKUP($B687,Chronologie[],8,TRUE)</f>
        <v>0</v>
      </c>
      <c r="E687" s="36">
        <f>VLOOKUP($B687,Chronologie[],9,TRUE)</f>
        <v>0</v>
      </c>
      <c r="F687" s="35">
        <f>VLOOKUP($B687,Chronologie[],COLUMN(F688)-2,TRUE)</f>
        <v>0</v>
      </c>
      <c r="G687" s="35">
        <f>VLOOKUP($B687,Chronologie[],COLUMN(G688)-2,TRUE)</f>
        <v>0</v>
      </c>
      <c r="H687" s="35">
        <f>VLOOKUP($B687,Chronologie[],COLUMN(H688)-2,TRUE)</f>
        <v>0</v>
      </c>
      <c r="I687" s="9" t="str">
        <f>VLOOKUP($B687,Chronologie[],2,TRUE)</f>
        <v>--</v>
      </c>
      <c r="J687" s="242">
        <f>VLOOKUP($B687,Chronologie[],3,TRUE)</f>
        <v>0</v>
      </c>
      <c r="K687" s="236"/>
      <c r="L687" s="334"/>
      <c r="M687" s="334"/>
      <c r="N687" s="334"/>
      <c r="O687" s="334"/>
      <c r="P687" s="334"/>
      <c r="Q687" s="334"/>
      <c r="R687" s="334"/>
      <c r="S687" s="334"/>
      <c r="T687" s="334"/>
      <c r="U687" s="334"/>
      <c r="V687" s="334"/>
      <c r="W687" s="334"/>
      <c r="X687" s="37"/>
      <c r="Y687" s="37"/>
      <c r="Z687" s="37"/>
      <c r="AA687" s="37"/>
      <c r="AB687" s="90"/>
      <c r="AC687" s="93" t="str">
        <f>IF(Eingabe[[#This Row],[V1]]="",IF(Eingabe[[#This Row],[Volle alternativ]]="","",Eingabe[[#This Row],[Volle alternativ]]),SUM(Eingabe[[#This Row],[V1]:[V4]]))</f>
        <v/>
      </c>
      <c r="AD687" s="35" t="str">
        <f>IF(Eingabe[[#This Row],[R1]]="",IF(Eingabe[[#This Row],[Räumer alternativ]]="","",Eingabe[[#This Row],[Räumer alternativ]]),SUM(Eingabe[[#This Row],[R1]:[R4]]))</f>
        <v/>
      </c>
      <c r="AE687" s="35" t="str">
        <f>IF(Eingabe[[#This Row],[F1]]="",IF(Eingabe[[#This Row],[Fehler alternativ]]="","",Eingabe[[#This Row],[Fehler alternativ]]),SUM(Eingabe[[#This Row],[F1]:[F4]]))</f>
        <v/>
      </c>
      <c r="AF687" s="35" t="str">
        <f>IF(Eingabe[[#This Row],[Volle]]="","",IF(Eingabe[[#This Row],[S1]]="",Eingabe[[#This Row],[Volle]]+Eingabe[[#This Row],[Räumer]],IF(Eingabe[[#This Row],[Volle]]+Eingabe[[#This Row],[Räumer]]=Eingabe[[#This Row],[S1]]+Eingabe[[#This Row],[S2]]+Eingabe[[#This Row],[S3]]+Eingabe[[#This Row],[S4]],Eingabe[[#This Row],[Volle]]+Eingabe[[#This Row],[Räumer]],"FEHLER")))</f>
        <v/>
      </c>
      <c r="AG687" s="35" t="str">
        <f>IF(Eingabe[[#This Row],[V1]]="","",Eingabe[[#This Row],[V1]]+Eingabe[[#This Row],[R1]])</f>
        <v/>
      </c>
      <c r="AH687" s="35" t="str">
        <f>IF(Eingabe[[#This Row],[V2]]="","",Eingabe[[#This Row],[V2]]+Eingabe[[#This Row],[R2]])</f>
        <v/>
      </c>
      <c r="AI687" s="35" t="str">
        <f>IF(Eingabe[[#This Row],[V3]]="","",Eingabe[[#This Row],[V3]]+Eingabe[[#This Row],[R3]])</f>
        <v/>
      </c>
      <c r="AJ687" s="35" t="str">
        <f>IF(Eingabe[[#This Row],[V4]]="","",Eingabe[[#This Row],[V4]]+Eingabe[[#This Row],[R4]])</f>
        <v/>
      </c>
      <c r="AK687" s="35" t="str">
        <f>IF(Eingabe[[#This Row],[S1P]]="","",Eingabe[[#This Row],[S1P]]+Eingabe[[#This Row],[S2P]]+Eingabe[[#This Row],[S3P]]+Eingabe[[#This Row],[S4P]])</f>
        <v/>
      </c>
      <c r="AL687" s="35" t="str">
        <f>IF(Eingabe[[#This Row],[S1P]]="","",IF(Eingabe[[#This Row],[SP]]&gt;2,1,IF(Eingabe[[#This Row],[SP]]&lt;2,0,IF(Eingabe[[#This Row],[GES]]&gt;Eingabe[[#This Row],[GEGGES]],1,IF(Eingabe[[#This Row],[GES]]=Eingabe[[#This Row],[GEGGES]],0.5,0)))))</f>
        <v/>
      </c>
      <c r="AM687" s="35" t="str">
        <f>IF(Eingabe[[#This Row],[MP]]="","",MOD(ROW(Eingabe[[#This Row],[Position]])-3,6)+1)</f>
        <v/>
      </c>
      <c r="AN687" s="35" t="e">
        <f>STANDARDIZE(Eingabe[[#This Row],[GES]],Eingabe[[#This Row],[Schnitt]],VLOOKUP(Eingabe[[#This Row],[Name]],AuswertungG[],21,FALSE))</f>
        <v>#VALUE!</v>
      </c>
      <c r="AO687" s="35" t="str">
        <f>VLOOKUP(Eingabe[[#This Row],[ID]],Chronologie[[ID]:[KW]],12,FALSE)</f>
        <v/>
      </c>
      <c r="AP687" s="58">
        <f>IF(Eingabe[[#This Row],[Wo]]="H",Eingabe[[#This Row],[Gegner]]&amp;" ["&amp;Eingabe[[#This Row],[Wo]]&amp;"]",Eingabe[[#This Row],[Ort]])</f>
        <v>0</v>
      </c>
      <c r="AQ687" s="35" t="str">
        <f>IFERROR(IF(Eingabe[[#This Row],[Wo]]="H",IF(MOD(Eingabe[[#This Row],[Position]],2)=1,Eingabe[[#This Row],[S1]],Eingabe[[#This Row],[S4]]),""),"")</f>
        <v/>
      </c>
      <c r="AR687" s="35" t="str">
        <f>IFERROR(IF(Eingabe[[#This Row],[Wo]]="H",IF(Eingabe[[#This Row],[S1]]&gt;0,IF(MOD(Eingabe[[#This Row],[Position]],2)=1,Eingabe[[#This Row],[S2]],Eingabe[[#This Row],[S3]]),""),""),"")</f>
        <v/>
      </c>
      <c r="AS687" s="35" t="str">
        <f>IFERROR(IF(Eingabe[[#This Row],[Wo]]="H",IF(Eingabe[[#This Row],[S1]]&gt;0,IF(MOD(ROW(Eingabe[[#This Row],[Heimbahn 3]]),2)=1,Eingabe[[#This Row],[S4]],Eingabe[[#This Row],[S1]]),""),""),"")</f>
        <v/>
      </c>
      <c r="AT687" s="35" t="str">
        <f>IFERROR(IF(Eingabe[[#This Row],[Wo]]="H",IF(Eingabe[[#This Row],[S1]]&gt;0,IF(MOD(ROW(Eingabe[[#This Row],[Heimbahn 4]]),2)=1,Eingabe[[#This Row],[S3]],Eingabe[[#This Row],[S2]]),""),""),"")</f>
        <v/>
      </c>
      <c r="AU687" s="88" t="str">
        <f>IF(Eingabe[[#This Row],[GES]]="","",IF(Eingabe[[#This Row],[Modus]]="L",_xlfn.RANK.EQ(Eingabe[[#This Row],[GES]],AF687:AF692),IF(Eingabe[[#This Row],[Modus]]="P",_xlfn.RANK.EQ(Eingabe[[#This Row],[GES]],AF687:AF692),"")))</f>
        <v/>
      </c>
      <c r="AV687" s="6" t="e">
        <f>VLOOKUP(Eingabe[[#This Row],[Name]],AuswertungG[],8,FALSE)</f>
        <v>#N/A</v>
      </c>
      <c r="AZ687" s="6" t="str">
        <f>IFERROR(ABS(Eingabe[[#This Row],[GES]]-Eingabe[[#This Row],[GEGGES]]),"")</f>
        <v/>
      </c>
    </row>
    <row r="688" spans="1:52" hidden="1" x14ac:dyDescent="0.3">
      <c r="A688" s="441"/>
      <c r="B688" s="21">
        <f t="shared" si="68"/>
        <v>115</v>
      </c>
      <c r="C688" s="6">
        <f>VLOOKUP($B688,Chronologie[],7,TRUE)</f>
        <v>0</v>
      </c>
      <c r="D688" s="6">
        <f>VLOOKUP($B688,Chronologie[],8,TRUE)</f>
        <v>0</v>
      </c>
      <c r="E688" s="240">
        <f>VLOOKUP($B688,Chronologie[],9,TRUE)</f>
        <v>0</v>
      </c>
      <c r="F688" s="6">
        <f>VLOOKUP($B688,Chronologie[],COLUMN(F689)-2,TRUE)</f>
        <v>0</v>
      </c>
      <c r="G688" s="6">
        <f>VLOOKUP($B688,Chronologie[],COLUMN(G689)-2,TRUE)</f>
        <v>0</v>
      </c>
      <c r="H688" s="6">
        <f>VLOOKUP($B688,Chronologie[],COLUMN(H689)-2,TRUE)</f>
        <v>0</v>
      </c>
      <c r="I688" s="10" t="str">
        <f>VLOOKUP($B688,Chronologie[],2,TRUE)</f>
        <v>--</v>
      </c>
      <c r="J688" s="243">
        <f>VLOOKUP($B688,Chronologie[],3,TRUE)</f>
        <v>0</v>
      </c>
      <c r="K688" s="237"/>
      <c r="L688" s="237"/>
      <c r="M688" s="237"/>
      <c r="N688" s="237"/>
      <c r="O688" s="237"/>
      <c r="P688" s="237"/>
      <c r="Q688" s="237"/>
      <c r="R688" s="237"/>
      <c r="S688" s="237"/>
      <c r="T688" s="237"/>
      <c r="U688" s="237"/>
      <c r="V688" s="237"/>
      <c r="W688" s="237"/>
      <c r="X688" s="38"/>
      <c r="Y688" s="38"/>
      <c r="Z688" s="38"/>
      <c r="AA688" s="38"/>
      <c r="AB688" s="91"/>
      <c r="AC688" s="94" t="str">
        <f>IF(Eingabe[[#This Row],[V1]]="",IF(Eingabe[[#This Row],[Volle alternativ]]="","",Eingabe[[#This Row],[Volle alternativ]]),SUM(Eingabe[[#This Row],[V1]:[V4]]))</f>
        <v/>
      </c>
      <c r="AD688" s="6" t="str">
        <f>IF(Eingabe[[#This Row],[R1]]="",IF(Eingabe[[#This Row],[Räumer alternativ]]="","",Eingabe[[#This Row],[Räumer alternativ]]),SUM(Eingabe[[#This Row],[R1]:[R4]]))</f>
        <v/>
      </c>
      <c r="AE688" s="6" t="str">
        <f>IF(Eingabe[[#This Row],[F1]]="",IF(Eingabe[[#This Row],[Fehler alternativ]]="","",Eingabe[[#This Row],[Fehler alternativ]]),SUM(Eingabe[[#This Row],[F1]:[F4]]))</f>
        <v/>
      </c>
      <c r="AF688" s="6" t="str">
        <f>IF(Eingabe[[#This Row],[Volle]]="","",IF(Eingabe[[#This Row],[S1]]="",Eingabe[[#This Row],[Volle]]+Eingabe[[#This Row],[Räumer]],IF(Eingabe[[#This Row],[Volle]]+Eingabe[[#This Row],[Räumer]]=Eingabe[[#This Row],[S1]]+Eingabe[[#This Row],[S2]]+Eingabe[[#This Row],[S3]]+Eingabe[[#This Row],[S4]],Eingabe[[#This Row],[Volle]]+Eingabe[[#This Row],[Räumer]],"FEHLER")))</f>
        <v/>
      </c>
      <c r="AG688" s="6" t="str">
        <f>IF(Eingabe[[#This Row],[V1]]="","",Eingabe[[#This Row],[V1]]+Eingabe[[#This Row],[R1]])</f>
        <v/>
      </c>
      <c r="AH688" s="6" t="str">
        <f>IF(Eingabe[[#This Row],[V2]]="","",Eingabe[[#This Row],[V2]]+Eingabe[[#This Row],[R2]])</f>
        <v/>
      </c>
      <c r="AI688" s="6" t="str">
        <f>IF(Eingabe[[#This Row],[V3]]="","",Eingabe[[#This Row],[V3]]+Eingabe[[#This Row],[R3]])</f>
        <v/>
      </c>
      <c r="AJ688" s="6" t="str">
        <f>IF(Eingabe[[#This Row],[V4]]="","",Eingabe[[#This Row],[V4]]+Eingabe[[#This Row],[R4]])</f>
        <v/>
      </c>
      <c r="AK688" s="6" t="str">
        <f>IF(Eingabe[[#This Row],[S1P]]="","",Eingabe[[#This Row],[S1P]]+Eingabe[[#This Row],[S2P]]+Eingabe[[#This Row],[S3P]]+Eingabe[[#This Row],[S4P]])</f>
        <v/>
      </c>
      <c r="AL688" s="6" t="str">
        <f>IF(Eingabe[[#This Row],[S1P]]="","",IF(Eingabe[[#This Row],[SP]]&gt;2,1,IF(Eingabe[[#This Row],[SP]]&lt;2,0,IF(Eingabe[[#This Row],[GES]]&gt;Eingabe[[#This Row],[GEGGES]],1,IF(Eingabe[[#This Row],[GES]]=Eingabe[[#This Row],[GEGGES]],0.5,0)))))</f>
        <v/>
      </c>
      <c r="AM688" s="6" t="str">
        <f>IF(Eingabe[[#This Row],[MP]]="","",MOD(ROW(Eingabe[[#This Row],[Position]])-3,6)+1)</f>
        <v/>
      </c>
      <c r="AN688" s="6" t="e">
        <f>STANDARDIZE(Eingabe[[#This Row],[GES]],Eingabe[[#This Row],[Schnitt]],VLOOKUP(Eingabe[[#This Row],[Name]],AuswertungG[],21,FALSE))</f>
        <v>#VALUE!</v>
      </c>
      <c r="AO688" s="6" t="str">
        <f>VLOOKUP(Eingabe[[#This Row],[ID]],Chronologie[[ID]:[KW]],12,FALSE)</f>
        <v/>
      </c>
      <c r="AP688" s="95">
        <f>IF(Eingabe[[#This Row],[Wo]]="H",Eingabe[[#This Row],[Gegner]]&amp;" ["&amp;Eingabe[[#This Row],[Wo]]&amp;"]",Eingabe[[#This Row],[Ort]])</f>
        <v>0</v>
      </c>
      <c r="AQ688" s="6" t="str">
        <f>IFERROR(IF(Eingabe[[#This Row],[Wo]]="H",IF(MOD(Eingabe[[#This Row],[Position]],2)=1,Eingabe[[#This Row],[S1]],Eingabe[[#This Row],[S4]]),""),"")</f>
        <v/>
      </c>
      <c r="AR688" s="6" t="str">
        <f>IFERROR(IF(Eingabe[[#This Row],[Wo]]="H",IF(Eingabe[[#This Row],[S1]]&gt;0,IF(MOD(Eingabe[[#This Row],[Position]],2)=1,Eingabe[[#This Row],[S2]],Eingabe[[#This Row],[S3]]),""),""),"")</f>
        <v/>
      </c>
      <c r="AS688" s="6" t="str">
        <f>IFERROR(IF(Eingabe[[#This Row],[Wo]]="H",IF(Eingabe[[#This Row],[S1]]&gt;0,IF(MOD(ROW(Eingabe[[#This Row],[Heimbahn 3]]),2)=1,Eingabe[[#This Row],[S4]],Eingabe[[#This Row],[S1]]),""),""),"")</f>
        <v/>
      </c>
      <c r="AT688" s="6" t="str">
        <f>IFERROR(IF(Eingabe[[#This Row],[Wo]]="H",IF(Eingabe[[#This Row],[S1]]&gt;0,IF(MOD(ROW(Eingabe[[#This Row],[Heimbahn 4]]),2)=1,Eingabe[[#This Row],[S3]],Eingabe[[#This Row],[S2]]),""),""),"")</f>
        <v/>
      </c>
      <c r="AU688" s="22" t="str">
        <f>IF(Eingabe[[#This Row],[GES]]="","",IF(Eingabe[[#This Row],[Modus]]="L",_xlfn.RANK.EQ(Eingabe[[#This Row],[GES]],AF687:AF692),IF(Eingabe[[#This Row],[Modus]]="P",_xlfn.RANK.EQ(Eingabe[[#This Row],[GES]],AF687:AF692),"")))</f>
        <v/>
      </c>
      <c r="AV688" s="6" t="e">
        <f>VLOOKUP(Eingabe[[#This Row],[Name]],AuswertungG[],8,FALSE)</f>
        <v>#N/A</v>
      </c>
      <c r="AZ688" s="6" t="str">
        <f>IFERROR(ABS(Eingabe[[#This Row],[GES]]-Eingabe[[#This Row],[GEGGES]]),"")</f>
        <v/>
      </c>
    </row>
    <row r="689" spans="1:52" hidden="1" x14ac:dyDescent="0.3">
      <c r="A689" s="441"/>
      <c r="B689" s="21">
        <f t="shared" si="68"/>
        <v>115</v>
      </c>
      <c r="C689" s="6">
        <f>VLOOKUP($B689,Chronologie[],7,TRUE)</f>
        <v>0</v>
      </c>
      <c r="D689" s="6">
        <f>VLOOKUP($B689,Chronologie[],8,TRUE)</f>
        <v>0</v>
      </c>
      <c r="E689" s="240">
        <f>VLOOKUP($B689,Chronologie[],9,TRUE)</f>
        <v>0</v>
      </c>
      <c r="F689" s="6">
        <f>VLOOKUP($B689,Chronologie[],COLUMN(F690)-2,TRUE)</f>
        <v>0</v>
      </c>
      <c r="G689" s="6">
        <f>VLOOKUP($B689,Chronologie[],COLUMN(G690)-2,TRUE)</f>
        <v>0</v>
      </c>
      <c r="H689" s="6">
        <f>VLOOKUP($B689,Chronologie[],COLUMN(H690)-2,TRUE)</f>
        <v>0</v>
      </c>
      <c r="I689" s="10" t="str">
        <f>VLOOKUP($B689,Chronologie[],2,TRUE)</f>
        <v>--</v>
      </c>
      <c r="J689" s="243">
        <f>VLOOKUP($B689,Chronologie[],3,TRUE)</f>
        <v>0</v>
      </c>
      <c r="K689" s="237"/>
      <c r="L689" s="237"/>
      <c r="M689" s="237"/>
      <c r="N689" s="237"/>
      <c r="O689" s="237"/>
      <c r="P689" s="237"/>
      <c r="Q689" s="237"/>
      <c r="R689" s="237"/>
      <c r="S689" s="237"/>
      <c r="T689" s="237"/>
      <c r="U689" s="237"/>
      <c r="V689" s="237"/>
      <c r="W689" s="237"/>
      <c r="X689" s="38"/>
      <c r="Y689" s="38"/>
      <c r="Z689" s="38"/>
      <c r="AA689" s="38"/>
      <c r="AB689" s="91"/>
      <c r="AC689" s="94" t="str">
        <f>IF(Eingabe[[#This Row],[V1]]="",IF(Eingabe[[#This Row],[Volle alternativ]]="","",Eingabe[[#This Row],[Volle alternativ]]),SUM(Eingabe[[#This Row],[V1]:[V4]]))</f>
        <v/>
      </c>
      <c r="AD689" s="6" t="str">
        <f>IF(Eingabe[[#This Row],[R1]]="",IF(Eingabe[[#This Row],[Räumer alternativ]]="","",Eingabe[[#This Row],[Räumer alternativ]]),SUM(Eingabe[[#This Row],[R1]:[R4]]))</f>
        <v/>
      </c>
      <c r="AE689" s="6" t="str">
        <f>IF(Eingabe[[#This Row],[F1]]="",IF(Eingabe[[#This Row],[Fehler alternativ]]="","",Eingabe[[#This Row],[Fehler alternativ]]),SUM(Eingabe[[#This Row],[F1]:[F4]]))</f>
        <v/>
      </c>
      <c r="AF689" s="6" t="str">
        <f>IF(Eingabe[[#This Row],[Volle]]="","",IF(Eingabe[[#This Row],[S1]]="",Eingabe[[#This Row],[Volle]]+Eingabe[[#This Row],[Räumer]],IF(Eingabe[[#This Row],[Volle]]+Eingabe[[#This Row],[Räumer]]=Eingabe[[#This Row],[S1]]+Eingabe[[#This Row],[S2]]+Eingabe[[#This Row],[S3]]+Eingabe[[#This Row],[S4]],Eingabe[[#This Row],[Volle]]+Eingabe[[#This Row],[Räumer]],"FEHLER")))</f>
        <v/>
      </c>
      <c r="AG689" s="6" t="str">
        <f>IF(Eingabe[[#This Row],[V1]]="","",Eingabe[[#This Row],[V1]]+Eingabe[[#This Row],[R1]])</f>
        <v/>
      </c>
      <c r="AH689" s="6" t="str">
        <f>IF(Eingabe[[#This Row],[V2]]="","",Eingabe[[#This Row],[V2]]+Eingabe[[#This Row],[R2]])</f>
        <v/>
      </c>
      <c r="AI689" s="6" t="str">
        <f>IF(Eingabe[[#This Row],[V3]]="","",Eingabe[[#This Row],[V3]]+Eingabe[[#This Row],[R3]])</f>
        <v/>
      </c>
      <c r="AJ689" s="6" t="str">
        <f>IF(Eingabe[[#This Row],[V4]]="","",Eingabe[[#This Row],[V4]]+Eingabe[[#This Row],[R4]])</f>
        <v/>
      </c>
      <c r="AK689" s="6" t="str">
        <f>IF(Eingabe[[#This Row],[S1P]]="","",Eingabe[[#This Row],[S1P]]+Eingabe[[#This Row],[S2P]]+Eingabe[[#This Row],[S3P]]+Eingabe[[#This Row],[S4P]])</f>
        <v/>
      </c>
      <c r="AL689" s="6" t="str">
        <f>IF(Eingabe[[#This Row],[S1P]]="","",IF(Eingabe[[#This Row],[SP]]&gt;2,1,IF(Eingabe[[#This Row],[SP]]&lt;2,0,IF(Eingabe[[#This Row],[GES]]&gt;Eingabe[[#This Row],[GEGGES]],1,IF(Eingabe[[#This Row],[GES]]=Eingabe[[#This Row],[GEGGES]],0.5,0)))))</f>
        <v/>
      </c>
      <c r="AM689" s="6" t="str">
        <f>IF(Eingabe[[#This Row],[MP]]="","",MOD(ROW(Eingabe[[#This Row],[Position]])-3,6)+1)</f>
        <v/>
      </c>
      <c r="AN689" s="6" t="e">
        <f>STANDARDIZE(Eingabe[[#This Row],[GES]],Eingabe[[#This Row],[Schnitt]],VLOOKUP(Eingabe[[#This Row],[Name]],AuswertungG[],21,FALSE))</f>
        <v>#VALUE!</v>
      </c>
      <c r="AO689" s="6" t="str">
        <f>VLOOKUP(Eingabe[[#This Row],[ID]],Chronologie[[ID]:[KW]],12,FALSE)</f>
        <v/>
      </c>
      <c r="AP689" s="95">
        <f>IF(Eingabe[[#This Row],[Wo]]="H",Eingabe[[#This Row],[Gegner]]&amp;" ["&amp;Eingabe[[#This Row],[Wo]]&amp;"]",Eingabe[[#This Row],[Ort]])</f>
        <v>0</v>
      </c>
      <c r="AQ689" s="6" t="str">
        <f>IFERROR(IF(Eingabe[[#This Row],[Wo]]="H",IF(MOD(Eingabe[[#This Row],[Position]],2)=1,Eingabe[[#This Row],[S1]],Eingabe[[#This Row],[S4]]),""),"")</f>
        <v/>
      </c>
      <c r="AR689" s="6" t="str">
        <f>IFERROR(IF(Eingabe[[#This Row],[Wo]]="H",IF(Eingabe[[#This Row],[S1]]&gt;0,IF(MOD(Eingabe[[#This Row],[Position]],2)=1,Eingabe[[#This Row],[S2]],Eingabe[[#This Row],[S3]]),""),""),"")</f>
        <v/>
      </c>
      <c r="AS689" s="6" t="str">
        <f>IFERROR(IF(Eingabe[[#This Row],[Wo]]="H",IF(Eingabe[[#This Row],[S1]]&gt;0,IF(MOD(ROW(Eingabe[[#This Row],[Heimbahn 3]]),2)=1,Eingabe[[#This Row],[S4]],Eingabe[[#This Row],[S1]]),""),""),"")</f>
        <v/>
      </c>
      <c r="AT689" s="6" t="str">
        <f>IFERROR(IF(Eingabe[[#This Row],[Wo]]="H",IF(Eingabe[[#This Row],[S1]]&gt;0,IF(MOD(ROW(Eingabe[[#This Row],[Heimbahn 4]]),2)=1,Eingabe[[#This Row],[S3]],Eingabe[[#This Row],[S2]]),""),""),"")</f>
        <v/>
      </c>
      <c r="AU689" s="22" t="str">
        <f>IF(Eingabe[[#This Row],[GES]]="","",IF(Eingabe[[#This Row],[Modus]]="L",_xlfn.RANK.EQ(Eingabe[[#This Row],[GES]],AF687:AF692),IF(Eingabe[[#This Row],[Modus]]="P",_xlfn.RANK.EQ(Eingabe[[#This Row],[GES]],AF687:AF692),"")))</f>
        <v/>
      </c>
      <c r="AV689" s="6" t="e">
        <f>VLOOKUP(Eingabe[[#This Row],[Name]],AuswertungG[],8,FALSE)</f>
        <v>#N/A</v>
      </c>
      <c r="AZ689" s="6" t="str">
        <f>IFERROR(ABS(Eingabe[[#This Row],[GES]]-Eingabe[[#This Row],[GEGGES]]),"")</f>
        <v/>
      </c>
    </row>
    <row r="690" spans="1:52" hidden="1" x14ac:dyDescent="0.3">
      <c r="A690" s="441"/>
      <c r="B690" s="21">
        <f t="shared" si="68"/>
        <v>115</v>
      </c>
      <c r="C690" s="6">
        <f>VLOOKUP($B690,Chronologie[],7,TRUE)</f>
        <v>0</v>
      </c>
      <c r="D690" s="6">
        <f>VLOOKUP($B690,Chronologie[],8,TRUE)</f>
        <v>0</v>
      </c>
      <c r="E690" s="240">
        <f>VLOOKUP($B690,Chronologie[],9,TRUE)</f>
        <v>0</v>
      </c>
      <c r="F690" s="6">
        <f>VLOOKUP($B690,Chronologie[],COLUMN(F691)-2,TRUE)</f>
        <v>0</v>
      </c>
      <c r="G690" s="6">
        <f>VLOOKUP($B690,Chronologie[],COLUMN(G691)-2,TRUE)</f>
        <v>0</v>
      </c>
      <c r="H690" s="6">
        <f>VLOOKUP($B690,Chronologie[],COLUMN(H691)-2,TRUE)</f>
        <v>0</v>
      </c>
      <c r="I690" s="10" t="str">
        <f>VLOOKUP($B690,Chronologie[],2,TRUE)</f>
        <v>--</v>
      </c>
      <c r="J690" s="243">
        <f>VLOOKUP($B690,Chronologie[],3,TRUE)</f>
        <v>0</v>
      </c>
      <c r="K690" s="238"/>
      <c r="L690" s="237"/>
      <c r="M690" s="237"/>
      <c r="N690" s="237"/>
      <c r="O690" s="237"/>
      <c r="P690" s="237"/>
      <c r="Q690" s="237"/>
      <c r="R690" s="237"/>
      <c r="S690" s="237"/>
      <c r="T690" s="237"/>
      <c r="U690" s="237"/>
      <c r="V690" s="237"/>
      <c r="W690" s="237"/>
      <c r="X690" s="38"/>
      <c r="Y690" s="38"/>
      <c r="Z690" s="38"/>
      <c r="AA690" s="38"/>
      <c r="AB690" s="91"/>
      <c r="AC690" s="94" t="str">
        <f>IF(Eingabe[[#This Row],[V1]]="",IF(Eingabe[[#This Row],[Volle alternativ]]="","",Eingabe[[#This Row],[Volle alternativ]]),SUM(Eingabe[[#This Row],[V1]:[V4]]))</f>
        <v/>
      </c>
      <c r="AD690" s="6" t="str">
        <f>IF(Eingabe[[#This Row],[R1]]="",IF(Eingabe[[#This Row],[Räumer alternativ]]="","",Eingabe[[#This Row],[Räumer alternativ]]),SUM(Eingabe[[#This Row],[R1]:[R4]]))</f>
        <v/>
      </c>
      <c r="AE690" s="6" t="str">
        <f>IF(Eingabe[[#This Row],[F1]]="",IF(Eingabe[[#This Row],[Fehler alternativ]]="","",Eingabe[[#This Row],[Fehler alternativ]]),SUM(Eingabe[[#This Row],[F1]:[F4]]))</f>
        <v/>
      </c>
      <c r="AF690" s="6" t="str">
        <f>IF(Eingabe[[#This Row],[Volle]]="","",IF(Eingabe[[#This Row],[S1]]="",Eingabe[[#This Row],[Volle]]+Eingabe[[#This Row],[Räumer]],IF(Eingabe[[#This Row],[Volle]]+Eingabe[[#This Row],[Räumer]]=Eingabe[[#This Row],[S1]]+Eingabe[[#This Row],[S2]]+Eingabe[[#This Row],[S3]]+Eingabe[[#This Row],[S4]],Eingabe[[#This Row],[Volle]]+Eingabe[[#This Row],[Räumer]],"FEHLER")))</f>
        <v/>
      </c>
      <c r="AG690" s="6" t="str">
        <f>IF(Eingabe[[#This Row],[V1]]="","",Eingabe[[#This Row],[V1]]+Eingabe[[#This Row],[R1]])</f>
        <v/>
      </c>
      <c r="AH690" s="6" t="str">
        <f>IF(Eingabe[[#This Row],[V2]]="","",Eingabe[[#This Row],[V2]]+Eingabe[[#This Row],[R2]])</f>
        <v/>
      </c>
      <c r="AI690" s="6" t="str">
        <f>IF(Eingabe[[#This Row],[V3]]="","",Eingabe[[#This Row],[V3]]+Eingabe[[#This Row],[R3]])</f>
        <v/>
      </c>
      <c r="AJ690" s="6" t="str">
        <f>IF(Eingabe[[#This Row],[V4]]="","",Eingabe[[#This Row],[V4]]+Eingabe[[#This Row],[R4]])</f>
        <v/>
      </c>
      <c r="AK690" s="6" t="str">
        <f>IF(Eingabe[[#This Row],[S1P]]="","",Eingabe[[#This Row],[S1P]]+Eingabe[[#This Row],[S2P]]+Eingabe[[#This Row],[S3P]]+Eingabe[[#This Row],[S4P]])</f>
        <v/>
      </c>
      <c r="AL690" s="6" t="str">
        <f>IF(Eingabe[[#This Row],[S1P]]="","",IF(Eingabe[[#This Row],[SP]]&gt;2,1,IF(Eingabe[[#This Row],[SP]]&lt;2,0,IF(Eingabe[[#This Row],[GES]]&gt;Eingabe[[#This Row],[GEGGES]],1,IF(Eingabe[[#This Row],[GES]]=Eingabe[[#This Row],[GEGGES]],0.5,0)))))</f>
        <v/>
      </c>
      <c r="AM690" s="6" t="str">
        <f>IF(Eingabe[[#This Row],[MP]]="","",MOD(ROW(Eingabe[[#This Row],[Position]])-3,6)+1)</f>
        <v/>
      </c>
      <c r="AN690" s="6" t="e">
        <f>STANDARDIZE(Eingabe[[#This Row],[GES]],Eingabe[[#This Row],[Schnitt]],VLOOKUP(Eingabe[[#This Row],[Name]],AuswertungG[],21,FALSE))</f>
        <v>#VALUE!</v>
      </c>
      <c r="AO690" s="6" t="str">
        <f>VLOOKUP(Eingabe[[#This Row],[ID]],Chronologie[[ID]:[KW]],12,FALSE)</f>
        <v/>
      </c>
      <c r="AP690" s="95">
        <f>IF(Eingabe[[#This Row],[Wo]]="H",Eingabe[[#This Row],[Gegner]]&amp;" ["&amp;Eingabe[[#This Row],[Wo]]&amp;"]",Eingabe[[#This Row],[Ort]])</f>
        <v>0</v>
      </c>
      <c r="AQ690" s="6" t="str">
        <f>IFERROR(IF(Eingabe[[#This Row],[Wo]]="H",IF(MOD(Eingabe[[#This Row],[Position]],2)=1,Eingabe[[#This Row],[S1]],Eingabe[[#This Row],[S4]]),""),"")</f>
        <v/>
      </c>
      <c r="AR690" s="6" t="str">
        <f>IFERROR(IF(Eingabe[[#This Row],[Wo]]="H",IF(Eingabe[[#This Row],[S1]]&gt;0,IF(MOD(Eingabe[[#This Row],[Position]],2)=1,Eingabe[[#This Row],[S2]],Eingabe[[#This Row],[S3]]),""),""),"")</f>
        <v/>
      </c>
      <c r="AS690" s="6" t="str">
        <f>IFERROR(IF(Eingabe[[#This Row],[Wo]]="H",IF(Eingabe[[#This Row],[S1]]&gt;0,IF(MOD(ROW(Eingabe[[#This Row],[Heimbahn 3]]),2)=1,Eingabe[[#This Row],[S4]],Eingabe[[#This Row],[S1]]),""),""),"")</f>
        <v/>
      </c>
      <c r="AT690" s="6" t="str">
        <f>IFERROR(IF(Eingabe[[#This Row],[Wo]]="H",IF(Eingabe[[#This Row],[S1]]&gt;0,IF(MOD(ROW(Eingabe[[#This Row],[Heimbahn 4]]),2)=1,Eingabe[[#This Row],[S3]],Eingabe[[#This Row],[S2]]),""),""),"")</f>
        <v/>
      </c>
      <c r="AU690" s="22" t="str">
        <f>IF(Eingabe[[#This Row],[GES]]="","",IF(Eingabe[[#This Row],[Modus]]="L",_xlfn.RANK.EQ(Eingabe[[#This Row],[GES]],AF687:AF692),IF(Eingabe[[#This Row],[Modus]]="P",_xlfn.RANK.EQ(Eingabe[[#This Row],[GES]],AF687:AF692),"")))</f>
        <v/>
      </c>
      <c r="AV690" s="6" t="e">
        <f>VLOOKUP(Eingabe[[#This Row],[Name]],AuswertungG[],8,FALSE)</f>
        <v>#N/A</v>
      </c>
      <c r="AZ690" s="6" t="str">
        <f>IFERROR(ABS(Eingabe[[#This Row],[GES]]-Eingabe[[#This Row],[GEGGES]]),"")</f>
        <v/>
      </c>
    </row>
    <row r="691" spans="1:52" hidden="1" x14ac:dyDescent="0.3">
      <c r="A691" s="441"/>
      <c r="B691" s="21">
        <f t="shared" si="68"/>
        <v>115</v>
      </c>
      <c r="C691" s="6">
        <f>VLOOKUP($B691,Chronologie[],7,TRUE)</f>
        <v>0</v>
      </c>
      <c r="D691" s="6">
        <f>VLOOKUP($B691,Chronologie[],8,TRUE)</f>
        <v>0</v>
      </c>
      <c r="E691" s="240">
        <f>VLOOKUP($B691,Chronologie[],9,TRUE)</f>
        <v>0</v>
      </c>
      <c r="F691" s="6">
        <f>VLOOKUP($B691,Chronologie[],COLUMN(F692)-2,TRUE)</f>
        <v>0</v>
      </c>
      <c r="G691" s="6">
        <f>VLOOKUP($B691,Chronologie[],COLUMN(G692)-2,TRUE)</f>
        <v>0</v>
      </c>
      <c r="H691" s="6">
        <f>VLOOKUP($B691,Chronologie[],COLUMN(H692)-2,TRUE)</f>
        <v>0</v>
      </c>
      <c r="I691" s="10" t="str">
        <f>VLOOKUP($B691,Chronologie[],2,TRUE)</f>
        <v>--</v>
      </c>
      <c r="J691" s="243">
        <f>VLOOKUP($B691,Chronologie[],3,TRUE)</f>
        <v>0</v>
      </c>
      <c r="K691" s="237"/>
      <c r="L691" s="237"/>
      <c r="M691" s="237"/>
      <c r="N691" s="237"/>
      <c r="O691" s="237"/>
      <c r="P691" s="237"/>
      <c r="Q691" s="237"/>
      <c r="R691" s="237"/>
      <c r="S691" s="237"/>
      <c r="T691" s="237"/>
      <c r="U691" s="237"/>
      <c r="V691" s="237"/>
      <c r="W691" s="237"/>
      <c r="X691" s="38"/>
      <c r="Y691" s="38"/>
      <c r="Z691" s="38"/>
      <c r="AA691" s="38"/>
      <c r="AB691" s="91"/>
      <c r="AC691" s="94" t="str">
        <f>IF(Eingabe[[#This Row],[V1]]="",IF(Eingabe[[#This Row],[Volle alternativ]]="","",Eingabe[[#This Row],[Volle alternativ]]),SUM(Eingabe[[#This Row],[V1]:[V4]]))</f>
        <v/>
      </c>
      <c r="AD691" s="6" t="str">
        <f>IF(Eingabe[[#This Row],[R1]]="",IF(Eingabe[[#This Row],[Räumer alternativ]]="","",Eingabe[[#This Row],[Räumer alternativ]]),SUM(Eingabe[[#This Row],[R1]:[R4]]))</f>
        <v/>
      </c>
      <c r="AE691" s="6" t="str">
        <f>IF(Eingabe[[#This Row],[F1]]="",IF(Eingabe[[#This Row],[Fehler alternativ]]="","",Eingabe[[#This Row],[Fehler alternativ]]),SUM(Eingabe[[#This Row],[F1]:[F4]]))</f>
        <v/>
      </c>
      <c r="AF691" s="6" t="str">
        <f>IF(Eingabe[[#This Row],[Volle]]="","",IF(Eingabe[[#This Row],[S1]]="",Eingabe[[#This Row],[Volle]]+Eingabe[[#This Row],[Räumer]],IF(Eingabe[[#This Row],[Volle]]+Eingabe[[#This Row],[Räumer]]=Eingabe[[#This Row],[S1]]+Eingabe[[#This Row],[S2]]+Eingabe[[#This Row],[S3]]+Eingabe[[#This Row],[S4]],Eingabe[[#This Row],[Volle]]+Eingabe[[#This Row],[Räumer]],"FEHLER")))</f>
        <v/>
      </c>
      <c r="AG691" s="6" t="str">
        <f>IF(Eingabe[[#This Row],[V1]]="","",Eingabe[[#This Row],[V1]]+Eingabe[[#This Row],[R1]])</f>
        <v/>
      </c>
      <c r="AH691" s="6" t="str">
        <f>IF(Eingabe[[#This Row],[V2]]="","",Eingabe[[#This Row],[V2]]+Eingabe[[#This Row],[R2]])</f>
        <v/>
      </c>
      <c r="AI691" s="6" t="str">
        <f>IF(Eingabe[[#This Row],[V3]]="","",Eingabe[[#This Row],[V3]]+Eingabe[[#This Row],[R3]])</f>
        <v/>
      </c>
      <c r="AJ691" s="6" t="str">
        <f>IF(Eingabe[[#This Row],[V4]]="","",Eingabe[[#This Row],[V4]]+Eingabe[[#This Row],[R4]])</f>
        <v/>
      </c>
      <c r="AK691" s="6" t="str">
        <f>IF(Eingabe[[#This Row],[S1P]]="","",Eingabe[[#This Row],[S1P]]+Eingabe[[#This Row],[S2P]]+Eingabe[[#This Row],[S3P]]+Eingabe[[#This Row],[S4P]])</f>
        <v/>
      </c>
      <c r="AL691" s="6" t="str">
        <f>IF(Eingabe[[#This Row],[S1P]]="","",IF(Eingabe[[#This Row],[SP]]&gt;2,1,IF(Eingabe[[#This Row],[SP]]&lt;2,0,IF(Eingabe[[#This Row],[GES]]&gt;Eingabe[[#This Row],[GEGGES]],1,IF(Eingabe[[#This Row],[GES]]=Eingabe[[#This Row],[GEGGES]],0.5,0)))))</f>
        <v/>
      </c>
      <c r="AM691" s="6" t="str">
        <f>IF(Eingabe[[#This Row],[MP]]="","",MOD(ROW(Eingabe[[#This Row],[Position]])-3,6)+1)</f>
        <v/>
      </c>
      <c r="AN691" s="6" t="e">
        <f>STANDARDIZE(Eingabe[[#This Row],[GES]],Eingabe[[#This Row],[Schnitt]],VLOOKUP(Eingabe[[#This Row],[Name]],AuswertungG[],21,FALSE))</f>
        <v>#VALUE!</v>
      </c>
      <c r="AO691" s="6" t="str">
        <f>VLOOKUP(Eingabe[[#This Row],[ID]],Chronologie[[ID]:[KW]],12,FALSE)</f>
        <v/>
      </c>
      <c r="AP691" s="95">
        <f>IF(Eingabe[[#This Row],[Wo]]="H",Eingabe[[#This Row],[Gegner]]&amp;" ["&amp;Eingabe[[#This Row],[Wo]]&amp;"]",Eingabe[[#This Row],[Ort]])</f>
        <v>0</v>
      </c>
      <c r="AQ691" s="6" t="str">
        <f>IFERROR(IF(Eingabe[[#This Row],[Wo]]="H",IF(MOD(Eingabe[[#This Row],[Position]],2)=1,Eingabe[[#This Row],[S1]],Eingabe[[#This Row],[S4]]),""),"")</f>
        <v/>
      </c>
      <c r="AR691" s="6" t="str">
        <f>IFERROR(IF(Eingabe[[#This Row],[Wo]]="H",IF(Eingabe[[#This Row],[S1]]&gt;0,IF(MOD(Eingabe[[#This Row],[Position]],2)=1,Eingabe[[#This Row],[S2]],Eingabe[[#This Row],[S3]]),""),""),"")</f>
        <v/>
      </c>
      <c r="AS691" s="6" t="str">
        <f>IFERROR(IF(Eingabe[[#This Row],[Wo]]="H",IF(Eingabe[[#This Row],[S1]]&gt;0,IF(MOD(ROW(Eingabe[[#This Row],[Heimbahn 3]]),2)=1,Eingabe[[#This Row],[S4]],Eingabe[[#This Row],[S1]]),""),""),"")</f>
        <v/>
      </c>
      <c r="AT691" s="6" t="str">
        <f>IFERROR(IF(Eingabe[[#This Row],[Wo]]="H",IF(Eingabe[[#This Row],[S1]]&gt;0,IF(MOD(ROW(Eingabe[[#This Row],[Heimbahn 4]]),2)=1,Eingabe[[#This Row],[S3]],Eingabe[[#This Row],[S2]]),""),""),"")</f>
        <v/>
      </c>
      <c r="AU691" s="22" t="str">
        <f>IF(Eingabe[[#This Row],[GES]]="","",IF(Eingabe[[#This Row],[Modus]]="L",_xlfn.RANK.EQ(Eingabe[[#This Row],[GES]],AF687:AF692),IF(Eingabe[[#This Row],[Modus]]="P",_xlfn.RANK.EQ(Eingabe[[#This Row],[GES]],AF687:AF692),"")))</f>
        <v/>
      </c>
      <c r="AV691" s="6" t="e">
        <f>VLOOKUP(Eingabe[[#This Row],[Name]],AuswertungG[],8,FALSE)</f>
        <v>#N/A</v>
      </c>
      <c r="AZ691" s="6" t="str">
        <f>IFERROR(ABS(Eingabe[[#This Row],[GES]]-Eingabe[[#This Row],[GEGGES]]),"")</f>
        <v/>
      </c>
    </row>
    <row r="692" spans="1:52" ht="16.2" hidden="1" thickBot="1" x14ac:dyDescent="0.35">
      <c r="A692" s="442"/>
      <c r="B692" s="56">
        <f t="shared" si="68"/>
        <v>115</v>
      </c>
      <c r="C692" s="23">
        <f>VLOOKUP($B692,Chronologie[],7,TRUE)</f>
        <v>0</v>
      </c>
      <c r="D692" s="23">
        <f>VLOOKUP($B692,Chronologie[],8,TRUE)</f>
        <v>0</v>
      </c>
      <c r="E692" s="39">
        <f>VLOOKUP($B692,Chronologie[],9,TRUE)</f>
        <v>0</v>
      </c>
      <c r="F692" s="23">
        <f>VLOOKUP($B692,Chronologie[],COLUMN(F693)-2,TRUE)</f>
        <v>0</v>
      </c>
      <c r="G692" s="23">
        <f>VLOOKUP($B692,Chronologie[],COLUMN(G693)-2,TRUE)</f>
        <v>0</v>
      </c>
      <c r="H692" s="23">
        <f>VLOOKUP($B692,Chronologie[],COLUMN(H693)-2,TRUE)</f>
        <v>0</v>
      </c>
      <c r="I692" s="13" t="str">
        <f>VLOOKUP($B692,Chronologie[],2,TRUE)</f>
        <v>--</v>
      </c>
      <c r="J692" s="244">
        <f>VLOOKUP($B692,Chronologie[],3,TRUE)</f>
        <v>0</v>
      </c>
      <c r="K692" s="239"/>
      <c r="L692" s="239"/>
      <c r="M692" s="239"/>
      <c r="N692" s="239"/>
      <c r="O692" s="239"/>
      <c r="P692" s="239"/>
      <c r="Q692" s="239"/>
      <c r="R692" s="239"/>
      <c r="S692" s="239"/>
      <c r="T692" s="239"/>
      <c r="U692" s="239"/>
      <c r="V692" s="239"/>
      <c r="W692" s="239"/>
      <c r="X692" s="40"/>
      <c r="Y692" s="40"/>
      <c r="Z692" s="40"/>
      <c r="AA692" s="40"/>
      <c r="AB692" s="92"/>
      <c r="AC692" s="96" t="str">
        <f>IF(Eingabe[[#This Row],[V1]]="",IF(Eingabe[[#This Row],[Volle alternativ]]="","",Eingabe[[#This Row],[Volle alternativ]]),SUM(Eingabe[[#This Row],[V1]:[V4]]))</f>
        <v/>
      </c>
      <c r="AD692" s="23" t="str">
        <f>IF(Eingabe[[#This Row],[R1]]="",IF(Eingabe[[#This Row],[Räumer alternativ]]="","",Eingabe[[#This Row],[Räumer alternativ]]),SUM(Eingabe[[#This Row],[R1]:[R4]]))</f>
        <v/>
      </c>
      <c r="AE692" s="23" t="str">
        <f>IF(Eingabe[[#This Row],[F1]]="",IF(Eingabe[[#This Row],[Fehler alternativ]]="","",Eingabe[[#This Row],[Fehler alternativ]]),SUM(Eingabe[[#This Row],[F1]:[F4]]))</f>
        <v/>
      </c>
      <c r="AF692" s="23" t="str">
        <f>IF(Eingabe[[#This Row],[Volle]]="","",IF(Eingabe[[#This Row],[S1]]="",Eingabe[[#This Row],[Volle]]+Eingabe[[#This Row],[Räumer]],IF(Eingabe[[#This Row],[Volle]]+Eingabe[[#This Row],[Räumer]]=Eingabe[[#This Row],[S1]]+Eingabe[[#This Row],[S2]]+Eingabe[[#This Row],[S3]]+Eingabe[[#This Row],[S4]],Eingabe[[#This Row],[Volle]]+Eingabe[[#This Row],[Räumer]],"FEHLER")))</f>
        <v/>
      </c>
      <c r="AG692" s="23" t="str">
        <f>IF(Eingabe[[#This Row],[V1]]="","",Eingabe[[#This Row],[V1]]+Eingabe[[#This Row],[R1]])</f>
        <v/>
      </c>
      <c r="AH692" s="23" t="str">
        <f>IF(Eingabe[[#This Row],[V2]]="","",Eingabe[[#This Row],[V2]]+Eingabe[[#This Row],[R2]])</f>
        <v/>
      </c>
      <c r="AI692" s="23" t="str">
        <f>IF(Eingabe[[#This Row],[V3]]="","",Eingabe[[#This Row],[V3]]+Eingabe[[#This Row],[R3]])</f>
        <v/>
      </c>
      <c r="AJ692" s="23" t="str">
        <f>IF(Eingabe[[#This Row],[V4]]="","",Eingabe[[#This Row],[V4]]+Eingabe[[#This Row],[R4]])</f>
        <v/>
      </c>
      <c r="AK692" s="23" t="str">
        <f>IF(Eingabe[[#This Row],[S1P]]="","",Eingabe[[#This Row],[S1P]]+Eingabe[[#This Row],[S2P]]+Eingabe[[#This Row],[S3P]]+Eingabe[[#This Row],[S4P]])</f>
        <v/>
      </c>
      <c r="AL692" s="23" t="str">
        <f>IF(Eingabe[[#This Row],[S1P]]="","",IF(Eingabe[[#This Row],[SP]]&gt;2,1,IF(Eingabe[[#This Row],[SP]]&lt;2,0,IF(Eingabe[[#This Row],[GES]]&gt;Eingabe[[#This Row],[GEGGES]],1,IF(Eingabe[[#This Row],[GES]]=Eingabe[[#This Row],[GEGGES]],0.5,0)))))</f>
        <v/>
      </c>
      <c r="AM692" s="23" t="str">
        <f>IF(Eingabe[[#This Row],[MP]]="","",MOD(ROW(Eingabe[[#This Row],[Position]])-3,6)+1)</f>
        <v/>
      </c>
      <c r="AN692" s="23" t="e">
        <f>STANDARDIZE(Eingabe[[#This Row],[GES]],Eingabe[[#This Row],[Schnitt]],VLOOKUP(Eingabe[[#This Row],[Name]],AuswertungG[],21,FALSE))</f>
        <v>#VALUE!</v>
      </c>
      <c r="AO692" s="23" t="str">
        <f>VLOOKUP(Eingabe[[#This Row],[ID]],Chronologie[[ID]:[KW]],12,FALSE)</f>
        <v/>
      </c>
      <c r="AP692" s="59">
        <f>IF(Eingabe[[#This Row],[Wo]]="H",Eingabe[[#This Row],[Gegner]]&amp;" ["&amp;Eingabe[[#This Row],[Wo]]&amp;"]",Eingabe[[#This Row],[Ort]])</f>
        <v>0</v>
      </c>
      <c r="AQ692" s="23" t="str">
        <f>IFERROR(IF(Eingabe[[#This Row],[Wo]]="H",IF(MOD(Eingabe[[#This Row],[Position]],2)=1,Eingabe[[#This Row],[S1]],Eingabe[[#This Row],[S4]]),""),"")</f>
        <v/>
      </c>
      <c r="AR692" s="23" t="str">
        <f>IFERROR(IF(Eingabe[[#This Row],[Wo]]="H",IF(Eingabe[[#This Row],[S1]]&gt;0,IF(MOD(Eingabe[[#This Row],[Position]],2)=1,Eingabe[[#This Row],[S2]],Eingabe[[#This Row],[S3]]),""),""),"")</f>
        <v/>
      </c>
      <c r="AS692" s="23" t="str">
        <f>IFERROR(IF(Eingabe[[#This Row],[Wo]]="H",IF(Eingabe[[#This Row],[S1]]&gt;0,IF(MOD(ROW(Eingabe[[#This Row],[Heimbahn 3]]),2)=1,Eingabe[[#This Row],[S4]],Eingabe[[#This Row],[S1]]),""),""),"")</f>
        <v/>
      </c>
      <c r="AT692" s="23" t="str">
        <f>IFERROR(IF(Eingabe[[#This Row],[Wo]]="H",IF(Eingabe[[#This Row],[S1]]&gt;0,IF(MOD(ROW(Eingabe[[#This Row],[Heimbahn 4]]),2)=1,Eingabe[[#This Row],[S3]],Eingabe[[#This Row],[S2]]),""),""),"")</f>
        <v/>
      </c>
      <c r="AU692" s="89" t="str">
        <f>IF(Eingabe[[#This Row],[GES]]="","",IF(Eingabe[[#This Row],[Modus]]="L",_xlfn.RANK.EQ(Eingabe[[#This Row],[GES]],AF687:AF692),IF(Eingabe[[#This Row],[Modus]]="P",_xlfn.RANK.EQ(Eingabe[[#This Row],[GES]],AF687:AF692),"")))</f>
        <v/>
      </c>
      <c r="AV692" s="6" t="e">
        <f>VLOOKUP(Eingabe[[#This Row],[Name]],AuswertungG[],8,FALSE)</f>
        <v>#N/A</v>
      </c>
      <c r="AZ692" s="6" t="str">
        <f>IFERROR(ABS(Eingabe[[#This Row],[GES]]-Eingabe[[#This Row],[GEGGES]]),"")</f>
        <v/>
      </c>
    </row>
    <row r="693" spans="1:52" hidden="1" x14ac:dyDescent="0.3">
      <c r="A693" s="440">
        <f t="shared" ref="A693" si="73">B693</f>
        <v>116</v>
      </c>
      <c r="B693" s="55">
        <f t="shared" si="68"/>
        <v>116</v>
      </c>
      <c r="C693" s="35">
        <f>VLOOKUP($B693,Chronologie[],7,TRUE)</f>
        <v>0</v>
      </c>
      <c r="D693" s="35">
        <f>VLOOKUP($B693,Chronologie[],8,TRUE)</f>
        <v>0</v>
      </c>
      <c r="E693" s="36">
        <f>VLOOKUP($B693,Chronologie[],9,TRUE)</f>
        <v>0</v>
      </c>
      <c r="F693" s="35">
        <f>VLOOKUP($B693,Chronologie[],COLUMN(F694)-2,TRUE)</f>
        <v>0</v>
      </c>
      <c r="G693" s="35">
        <f>VLOOKUP($B693,Chronologie[],COLUMN(G694)-2,TRUE)</f>
        <v>0</v>
      </c>
      <c r="H693" s="35">
        <f>VLOOKUP($B693,Chronologie[],COLUMN(H694)-2,TRUE)</f>
        <v>0</v>
      </c>
      <c r="I693" s="9" t="str">
        <f>VLOOKUP($B693,Chronologie[],2,TRUE)</f>
        <v>--</v>
      </c>
      <c r="J693" s="242">
        <f>VLOOKUP($B693,Chronologie[],3,TRUE)</f>
        <v>0</v>
      </c>
      <c r="K693" s="236"/>
      <c r="L693" s="334"/>
      <c r="M693" s="334"/>
      <c r="N693" s="334"/>
      <c r="O693" s="334"/>
      <c r="P693" s="334"/>
      <c r="Q693" s="334"/>
      <c r="R693" s="334"/>
      <c r="S693" s="334"/>
      <c r="T693" s="334"/>
      <c r="U693" s="334"/>
      <c r="V693" s="334"/>
      <c r="W693" s="334"/>
      <c r="X693" s="37"/>
      <c r="Y693" s="37"/>
      <c r="Z693" s="37"/>
      <c r="AA693" s="37"/>
      <c r="AB693" s="90"/>
      <c r="AC693" s="93" t="str">
        <f>IF(Eingabe[[#This Row],[V1]]="",IF(Eingabe[[#This Row],[Volle alternativ]]="","",Eingabe[[#This Row],[Volle alternativ]]),SUM(Eingabe[[#This Row],[V1]:[V4]]))</f>
        <v/>
      </c>
      <c r="AD693" s="35" t="str">
        <f>IF(Eingabe[[#This Row],[R1]]="",IF(Eingabe[[#This Row],[Räumer alternativ]]="","",Eingabe[[#This Row],[Räumer alternativ]]),SUM(Eingabe[[#This Row],[R1]:[R4]]))</f>
        <v/>
      </c>
      <c r="AE693" s="35" t="str">
        <f>IF(Eingabe[[#This Row],[F1]]="",IF(Eingabe[[#This Row],[Fehler alternativ]]="","",Eingabe[[#This Row],[Fehler alternativ]]),SUM(Eingabe[[#This Row],[F1]:[F4]]))</f>
        <v/>
      </c>
      <c r="AF693" s="35" t="str">
        <f>IF(Eingabe[[#This Row],[Volle]]="","",IF(Eingabe[[#This Row],[S1]]="",Eingabe[[#This Row],[Volle]]+Eingabe[[#This Row],[Räumer]],IF(Eingabe[[#This Row],[Volle]]+Eingabe[[#This Row],[Räumer]]=Eingabe[[#This Row],[S1]]+Eingabe[[#This Row],[S2]]+Eingabe[[#This Row],[S3]]+Eingabe[[#This Row],[S4]],Eingabe[[#This Row],[Volle]]+Eingabe[[#This Row],[Räumer]],"FEHLER")))</f>
        <v/>
      </c>
      <c r="AG693" s="35" t="str">
        <f>IF(Eingabe[[#This Row],[V1]]="","",Eingabe[[#This Row],[V1]]+Eingabe[[#This Row],[R1]])</f>
        <v/>
      </c>
      <c r="AH693" s="35" t="str">
        <f>IF(Eingabe[[#This Row],[V2]]="","",Eingabe[[#This Row],[V2]]+Eingabe[[#This Row],[R2]])</f>
        <v/>
      </c>
      <c r="AI693" s="35" t="str">
        <f>IF(Eingabe[[#This Row],[V3]]="","",Eingabe[[#This Row],[V3]]+Eingabe[[#This Row],[R3]])</f>
        <v/>
      </c>
      <c r="AJ693" s="35" t="str">
        <f>IF(Eingabe[[#This Row],[V4]]="","",Eingabe[[#This Row],[V4]]+Eingabe[[#This Row],[R4]])</f>
        <v/>
      </c>
      <c r="AK693" s="35" t="str">
        <f>IF(Eingabe[[#This Row],[S1P]]="","",Eingabe[[#This Row],[S1P]]+Eingabe[[#This Row],[S2P]]+Eingabe[[#This Row],[S3P]]+Eingabe[[#This Row],[S4P]])</f>
        <v/>
      </c>
      <c r="AL693" s="35" t="str">
        <f>IF(Eingabe[[#This Row],[S1P]]="","",IF(Eingabe[[#This Row],[SP]]&gt;2,1,IF(Eingabe[[#This Row],[SP]]&lt;2,0,IF(Eingabe[[#This Row],[GES]]&gt;Eingabe[[#This Row],[GEGGES]],1,IF(Eingabe[[#This Row],[GES]]=Eingabe[[#This Row],[GEGGES]],0.5,0)))))</f>
        <v/>
      </c>
      <c r="AM693" s="35" t="str">
        <f>IF(Eingabe[[#This Row],[MP]]="","",MOD(ROW(Eingabe[[#This Row],[Position]])-3,6)+1)</f>
        <v/>
      </c>
      <c r="AN693" s="35" t="e">
        <f>STANDARDIZE(Eingabe[[#This Row],[GES]],Eingabe[[#This Row],[Schnitt]],VLOOKUP(Eingabe[[#This Row],[Name]],AuswertungG[],21,FALSE))</f>
        <v>#VALUE!</v>
      </c>
      <c r="AO693" s="35" t="str">
        <f>VLOOKUP(Eingabe[[#This Row],[ID]],Chronologie[[ID]:[KW]],12,FALSE)</f>
        <v/>
      </c>
      <c r="AP693" s="58">
        <f>IF(Eingabe[[#This Row],[Wo]]="H",Eingabe[[#This Row],[Gegner]]&amp;" ["&amp;Eingabe[[#This Row],[Wo]]&amp;"]",Eingabe[[#This Row],[Ort]])</f>
        <v>0</v>
      </c>
      <c r="AQ693" s="35" t="str">
        <f>IFERROR(IF(Eingabe[[#This Row],[Wo]]="H",IF(MOD(Eingabe[[#This Row],[Position]],2)=1,Eingabe[[#This Row],[S1]],Eingabe[[#This Row],[S4]]),""),"")</f>
        <v/>
      </c>
      <c r="AR693" s="35" t="str">
        <f>IFERROR(IF(Eingabe[[#This Row],[Wo]]="H",IF(Eingabe[[#This Row],[S1]]&gt;0,IF(MOD(Eingabe[[#This Row],[Position]],2)=1,Eingabe[[#This Row],[S2]],Eingabe[[#This Row],[S3]]),""),""),"")</f>
        <v/>
      </c>
      <c r="AS693" s="35" t="str">
        <f>IFERROR(IF(Eingabe[[#This Row],[Wo]]="H",IF(Eingabe[[#This Row],[S1]]&gt;0,IF(MOD(ROW(Eingabe[[#This Row],[Heimbahn 3]]),2)=1,Eingabe[[#This Row],[S4]],Eingabe[[#This Row],[S1]]),""),""),"")</f>
        <v/>
      </c>
      <c r="AT693" s="35" t="str">
        <f>IFERROR(IF(Eingabe[[#This Row],[Wo]]="H",IF(Eingabe[[#This Row],[S1]]&gt;0,IF(MOD(ROW(Eingabe[[#This Row],[Heimbahn 4]]),2)=1,Eingabe[[#This Row],[S3]],Eingabe[[#This Row],[S2]]),""),""),"")</f>
        <v/>
      </c>
      <c r="AU693" s="88" t="str">
        <f>IF(Eingabe[[#This Row],[GES]]="","",IF(Eingabe[[#This Row],[Modus]]="L",_xlfn.RANK.EQ(Eingabe[[#This Row],[GES]],AF693:AF698),IF(Eingabe[[#This Row],[Modus]]="P",_xlfn.RANK.EQ(Eingabe[[#This Row],[GES]],AF693:AF698),"")))</f>
        <v/>
      </c>
      <c r="AV693" s="6" t="e">
        <f>VLOOKUP(Eingabe[[#This Row],[Name]],AuswertungG[],8,FALSE)</f>
        <v>#N/A</v>
      </c>
      <c r="AZ693" s="6" t="str">
        <f>IFERROR(ABS(Eingabe[[#This Row],[GES]]-Eingabe[[#This Row],[GEGGES]]),"")</f>
        <v/>
      </c>
    </row>
    <row r="694" spans="1:52" hidden="1" x14ac:dyDescent="0.3">
      <c r="A694" s="441"/>
      <c r="B694" s="21">
        <f t="shared" si="68"/>
        <v>116</v>
      </c>
      <c r="C694" s="6">
        <f>VLOOKUP($B694,Chronologie[],7,TRUE)</f>
        <v>0</v>
      </c>
      <c r="D694" s="6">
        <f>VLOOKUP($B694,Chronologie[],8,TRUE)</f>
        <v>0</v>
      </c>
      <c r="E694" s="240">
        <f>VLOOKUP($B694,Chronologie[],9,TRUE)</f>
        <v>0</v>
      </c>
      <c r="F694" s="6">
        <f>VLOOKUP($B694,Chronologie[],COLUMN(F695)-2,TRUE)</f>
        <v>0</v>
      </c>
      <c r="G694" s="6">
        <f>VLOOKUP($B694,Chronologie[],COLUMN(G695)-2,TRUE)</f>
        <v>0</v>
      </c>
      <c r="H694" s="6">
        <f>VLOOKUP($B694,Chronologie[],COLUMN(H695)-2,TRUE)</f>
        <v>0</v>
      </c>
      <c r="I694" s="10" t="str">
        <f>VLOOKUP($B694,Chronologie[],2,TRUE)</f>
        <v>--</v>
      </c>
      <c r="J694" s="243">
        <f>VLOOKUP($B694,Chronologie[],3,TRUE)</f>
        <v>0</v>
      </c>
      <c r="K694" s="237"/>
      <c r="L694" s="237"/>
      <c r="M694" s="237"/>
      <c r="N694" s="237"/>
      <c r="O694" s="237"/>
      <c r="P694" s="237"/>
      <c r="Q694" s="237"/>
      <c r="R694" s="237"/>
      <c r="S694" s="237"/>
      <c r="T694" s="237"/>
      <c r="U694" s="237"/>
      <c r="V694" s="237"/>
      <c r="W694" s="237"/>
      <c r="X694" s="38"/>
      <c r="Y694" s="38"/>
      <c r="Z694" s="38"/>
      <c r="AA694" s="38"/>
      <c r="AB694" s="91"/>
      <c r="AC694" s="94" t="str">
        <f>IF(Eingabe[[#This Row],[V1]]="",IF(Eingabe[[#This Row],[Volle alternativ]]="","",Eingabe[[#This Row],[Volle alternativ]]),SUM(Eingabe[[#This Row],[V1]:[V4]]))</f>
        <v/>
      </c>
      <c r="AD694" s="6" t="str">
        <f>IF(Eingabe[[#This Row],[R1]]="",IF(Eingabe[[#This Row],[Räumer alternativ]]="","",Eingabe[[#This Row],[Räumer alternativ]]),SUM(Eingabe[[#This Row],[R1]:[R4]]))</f>
        <v/>
      </c>
      <c r="AE694" s="6" t="str">
        <f>IF(Eingabe[[#This Row],[F1]]="",IF(Eingabe[[#This Row],[Fehler alternativ]]="","",Eingabe[[#This Row],[Fehler alternativ]]),SUM(Eingabe[[#This Row],[F1]:[F4]]))</f>
        <v/>
      </c>
      <c r="AF694" s="6" t="str">
        <f>IF(Eingabe[[#This Row],[Volle]]="","",IF(Eingabe[[#This Row],[S1]]="",Eingabe[[#This Row],[Volle]]+Eingabe[[#This Row],[Räumer]],IF(Eingabe[[#This Row],[Volle]]+Eingabe[[#This Row],[Räumer]]=Eingabe[[#This Row],[S1]]+Eingabe[[#This Row],[S2]]+Eingabe[[#This Row],[S3]]+Eingabe[[#This Row],[S4]],Eingabe[[#This Row],[Volle]]+Eingabe[[#This Row],[Räumer]],"FEHLER")))</f>
        <v/>
      </c>
      <c r="AG694" s="6" t="str">
        <f>IF(Eingabe[[#This Row],[V1]]="","",Eingabe[[#This Row],[V1]]+Eingabe[[#This Row],[R1]])</f>
        <v/>
      </c>
      <c r="AH694" s="6" t="str">
        <f>IF(Eingabe[[#This Row],[V2]]="","",Eingabe[[#This Row],[V2]]+Eingabe[[#This Row],[R2]])</f>
        <v/>
      </c>
      <c r="AI694" s="6" t="str">
        <f>IF(Eingabe[[#This Row],[V3]]="","",Eingabe[[#This Row],[V3]]+Eingabe[[#This Row],[R3]])</f>
        <v/>
      </c>
      <c r="AJ694" s="6" t="str">
        <f>IF(Eingabe[[#This Row],[V4]]="","",Eingabe[[#This Row],[V4]]+Eingabe[[#This Row],[R4]])</f>
        <v/>
      </c>
      <c r="AK694" s="6" t="str">
        <f>IF(Eingabe[[#This Row],[S1P]]="","",Eingabe[[#This Row],[S1P]]+Eingabe[[#This Row],[S2P]]+Eingabe[[#This Row],[S3P]]+Eingabe[[#This Row],[S4P]])</f>
        <v/>
      </c>
      <c r="AL694" s="6" t="str">
        <f>IF(Eingabe[[#This Row],[S1P]]="","",IF(Eingabe[[#This Row],[SP]]&gt;2,1,IF(Eingabe[[#This Row],[SP]]&lt;2,0,IF(Eingabe[[#This Row],[GES]]&gt;Eingabe[[#This Row],[GEGGES]],1,IF(Eingabe[[#This Row],[GES]]=Eingabe[[#This Row],[GEGGES]],0.5,0)))))</f>
        <v/>
      </c>
      <c r="AM694" s="6" t="str">
        <f>IF(Eingabe[[#This Row],[MP]]="","",MOD(ROW(Eingabe[[#This Row],[Position]])-3,6)+1)</f>
        <v/>
      </c>
      <c r="AN694" s="6" t="e">
        <f>STANDARDIZE(Eingabe[[#This Row],[GES]],Eingabe[[#This Row],[Schnitt]],VLOOKUP(Eingabe[[#This Row],[Name]],AuswertungG[],21,FALSE))</f>
        <v>#VALUE!</v>
      </c>
      <c r="AO694" s="6" t="str">
        <f>VLOOKUP(Eingabe[[#This Row],[ID]],Chronologie[[ID]:[KW]],12,FALSE)</f>
        <v/>
      </c>
      <c r="AP694" s="95">
        <f>IF(Eingabe[[#This Row],[Wo]]="H",Eingabe[[#This Row],[Gegner]]&amp;" ["&amp;Eingabe[[#This Row],[Wo]]&amp;"]",Eingabe[[#This Row],[Ort]])</f>
        <v>0</v>
      </c>
      <c r="AQ694" s="6" t="str">
        <f>IFERROR(IF(Eingabe[[#This Row],[Wo]]="H",IF(MOD(Eingabe[[#This Row],[Position]],2)=1,Eingabe[[#This Row],[S1]],Eingabe[[#This Row],[S4]]),""),"")</f>
        <v/>
      </c>
      <c r="AR694" s="6" t="str">
        <f>IFERROR(IF(Eingabe[[#This Row],[Wo]]="H",IF(Eingabe[[#This Row],[S1]]&gt;0,IF(MOD(Eingabe[[#This Row],[Position]],2)=1,Eingabe[[#This Row],[S2]],Eingabe[[#This Row],[S3]]),""),""),"")</f>
        <v/>
      </c>
      <c r="AS694" s="6" t="str">
        <f>IFERROR(IF(Eingabe[[#This Row],[Wo]]="H",IF(Eingabe[[#This Row],[S1]]&gt;0,IF(MOD(ROW(Eingabe[[#This Row],[Heimbahn 3]]),2)=1,Eingabe[[#This Row],[S4]],Eingabe[[#This Row],[S1]]),""),""),"")</f>
        <v/>
      </c>
      <c r="AT694" s="6" t="str">
        <f>IFERROR(IF(Eingabe[[#This Row],[Wo]]="H",IF(Eingabe[[#This Row],[S1]]&gt;0,IF(MOD(ROW(Eingabe[[#This Row],[Heimbahn 4]]),2)=1,Eingabe[[#This Row],[S3]],Eingabe[[#This Row],[S2]]),""),""),"")</f>
        <v/>
      </c>
      <c r="AU694" s="22" t="str">
        <f>IF(Eingabe[[#This Row],[GES]]="","",IF(Eingabe[[#This Row],[Modus]]="L",_xlfn.RANK.EQ(Eingabe[[#This Row],[GES]],AF693:AF698),IF(Eingabe[[#This Row],[Modus]]="P",_xlfn.RANK.EQ(Eingabe[[#This Row],[GES]],AF693:AF698),"")))</f>
        <v/>
      </c>
      <c r="AV694" s="6" t="e">
        <f>VLOOKUP(Eingabe[[#This Row],[Name]],AuswertungG[],8,FALSE)</f>
        <v>#N/A</v>
      </c>
      <c r="AZ694" s="6" t="str">
        <f>IFERROR(ABS(Eingabe[[#This Row],[GES]]-Eingabe[[#This Row],[GEGGES]]),"")</f>
        <v/>
      </c>
    </row>
    <row r="695" spans="1:52" hidden="1" x14ac:dyDescent="0.3">
      <c r="A695" s="441"/>
      <c r="B695" s="21">
        <f t="shared" si="68"/>
        <v>116</v>
      </c>
      <c r="C695" s="6">
        <f>VLOOKUP($B695,Chronologie[],7,TRUE)</f>
        <v>0</v>
      </c>
      <c r="D695" s="6">
        <f>VLOOKUP($B695,Chronologie[],8,TRUE)</f>
        <v>0</v>
      </c>
      <c r="E695" s="240">
        <f>VLOOKUP($B695,Chronologie[],9,TRUE)</f>
        <v>0</v>
      </c>
      <c r="F695" s="6">
        <f>VLOOKUP($B695,Chronologie[],COLUMN(F696)-2,TRUE)</f>
        <v>0</v>
      </c>
      <c r="G695" s="6">
        <f>VLOOKUP($B695,Chronologie[],COLUMN(G696)-2,TRUE)</f>
        <v>0</v>
      </c>
      <c r="H695" s="6">
        <f>VLOOKUP($B695,Chronologie[],COLUMN(H696)-2,TRUE)</f>
        <v>0</v>
      </c>
      <c r="I695" s="10" t="str">
        <f>VLOOKUP($B695,Chronologie[],2,TRUE)</f>
        <v>--</v>
      </c>
      <c r="J695" s="243">
        <f>VLOOKUP($B695,Chronologie[],3,TRUE)</f>
        <v>0</v>
      </c>
      <c r="K695" s="237"/>
      <c r="L695" s="237"/>
      <c r="M695" s="237"/>
      <c r="N695" s="237"/>
      <c r="O695" s="237"/>
      <c r="P695" s="237"/>
      <c r="Q695" s="237"/>
      <c r="R695" s="237"/>
      <c r="S695" s="237"/>
      <c r="T695" s="237"/>
      <c r="U695" s="237"/>
      <c r="V695" s="237"/>
      <c r="W695" s="237"/>
      <c r="X695" s="38"/>
      <c r="Y695" s="38"/>
      <c r="Z695" s="38"/>
      <c r="AA695" s="38"/>
      <c r="AB695" s="91"/>
      <c r="AC695" s="94" t="str">
        <f>IF(Eingabe[[#This Row],[V1]]="",IF(Eingabe[[#This Row],[Volle alternativ]]="","",Eingabe[[#This Row],[Volle alternativ]]),SUM(Eingabe[[#This Row],[V1]:[V4]]))</f>
        <v/>
      </c>
      <c r="AD695" s="6" t="str">
        <f>IF(Eingabe[[#This Row],[R1]]="",IF(Eingabe[[#This Row],[Räumer alternativ]]="","",Eingabe[[#This Row],[Räumer alternativ]]),SUM(Eingabe[[#This Row],[R1]:[R4]]))</f>
        <v/>
      </c>
      <c r="AE695" s="6" t="str">
        <f>IF(Eingabe[[#This Row],[F1]]="",IF(Eingabe[[#This Row],[Fehler alternativ]]="","",Eingabe[[#This Row],[Fehler alternativ]]),SUM(Eingabe[[#This Row],[F1]:[F4]]))</f>
        <v/>
      </c>
      <c r="AF695" s="6" t="str">
        <f>IF(Eingabe[[#This Row],[Volle]]="","",IF(Eingabe[[#This Row],[S1]]="",Eingabe[[#This Row],[Volle]]+Eingabe[[#This Row],[Räumer]],IF(Eingabe[[#This Row],[Volle]]+Eingabe[[#This Row],[Räumer]]=Eingabe[[#This Row],[S1]]+Eingabe[[#This Row],[S2]]+Eingabe[[#This Row],[S3]]+Eingabe[[#This Row],[S4]],Eingabe[[#This Row],[Volle]]+Eingabe[[#This Row],[Räumer]],"FEHLER")))</f>
        <v/>
      </c>
      <c r="AG695" s="6" t="str">
        <f>IF(Eingabe[[#This Row],[V1]]="","",Eingabe[[#This Row],[V1]]+Eingabe[[#This Row],[R1]])</f>
        <v/>
      </c>
      <c r="AH695" s="6" t="str">
        <f>IF(Eingabe[[#This Row],[V2]]="","",Eingabe[[#This Row],[V2]]+Eingabe[[#This Row],[R2]])</f>
        <v/>
      </c>
      <c r="AI695" s="6" t="str">
        <f>IF(Eingabe[[#This Row],[V3]]="","",Eingabe[[#This Row],[V3]]+Eingabe[[#This Row],[R3]])</f>
        <v/>
      </c>
      <c r="AJ695" s="6" t="str">
        <f>IF(Eingabe[[#This Row],[V4]]="","",Eingabe[[#This Row],[V4]]+Eingabe[[#This Row],[R4]])</f>
        <v/>
      </c>
      <c r="AK695" s="6" t="str">
        <f>IF(Eingabe[[#This Row],[S1P]]="","",Eingabe[[#This Row],[S1P]]+Eingabe[[#This Row],[S2P]]+Eingabe[[#This Row],[S3P]]+Eingabe[[#This Row],[S4P]])</f>
        <v/>
      </c>
      <c r="AL695" s="6" t="str">
        <f>IF(Eingabe[[#This Row],[S1P]]="","",IF(Eingabe[[#This Row],[SP]]&gt;2,1,IF(Eingabe[[#This Row],[SP]]&lt;2,0,IF(Eingabe[[#This Row],[GES]]&gt;Eingabe[[#This Row],[GEGGES]],1,IF(Eingabe[[#This Row],[GES]]=Eingabe[[#This Row],[GEGGES]],0.5,0)))))</f>
        <v/>
      </c>
      <c r="AM695" s="6" t="str">
        <f>IF(Eingabe[[#This Row],[MP]]="","",MOD(ROW(Eingabe[[#This Row],[Position]])-3,6)+1)</f>
        <v/>
      </c>
      <c r="AN695" s="6" t="e">
        <f>STANDARDIZE(Eingabe[[#This Row],[GES]],Eingabe[[#This Row],[Schnitt]],VLOOKUP(Eingabe[[#This Row],[Name]],AuswertungG[],21,FALSE))</f>
        <v>#VALUE!</v>
      </c>
      <c r="AO695" s="6" t="str">
        <f>VLOOKUP(Eingabe[[#This Row],[ID]],Chronologie[[ID]:[KW]],12,FALSE)</f>
        <v/>
      </c>
      <c r="AP695" s="95">
        <f>IF(Eingabe[[#This Row],[Wo]]="H",Eingabe[[#This Row],[Gegner]]&amp;" ["&amp;Eingabe[[#This Row],[Wo]]&amp;"]",Eingabe[[#This Row],[Ort]])</f>
        <v>0</v>
      </c>
      <c r="AQ695" s="6" t="str">
        <f>IFERROR(IF(Eingabe[[#This Row],[Wo]]="H",IF(MOD(Eingabe[[#This Row],[Position]],2)=1,Eingabe[[#This Row],[S1]],Eingabe[[#This Row],[S4]]),""),"")</f>
        <v/>
      </c>
      <c r="AR695" s="6" t="str">
        <f>IFERROR(IF(Eingabe[[#This Row],[Wo]]="H",IF(Eingabe[[#This Row],[S1]]&gt;0,IF(MOD(Eingabe[[#This Row],[Position]],2)=1,Eingabe[[#This Row],[S2]],Eingabe[[#This Row],[S3]]),""),""),"")</f>
        <v/>
      </c>
      <c r="AS695" s="6" t="str">
        <f>IFERROR(IF(Eingabe[[#This Row],[Wo]]="H",IF(Eingabe[[#This Row],[S1]]&gt;0,IF(MOD(ROW(Eingabe[[#This Row],[Heimbahn 3]]),2)=1,Eingabe[[#This Row],[S4]],Eingabe[[#This Row],[S1]]),""),""),"")</f>
        <v/>
      </c>
      <c r="AT695" s="6" t="str">
        <f>IFERROR(IF(Eingabe[[#This Row],[Wo]]="H",IF(Eingabe[[#This Row],[S1]]&gt;0,IF(MOD(ROW(Eingabe[[#This Row],[Heimbahn 4]]),2)=1,Eingabe[[#This Row],[S3]],Eingabe[[#This Row],[S2]]),""),""),"")</f>
        <v/>
      </c>
      <c r="AU695" s="22" t="str">
        <f>IF(Eingabe[[#This Row],[GES]]="","",IF(Eingabe[[#This Row],[Modus]]="L",_xlfn.RANK.EQ(Eingabe[[#This Row],[GES]],AF693:AF698),IF(Eingabe[[#This Row],[Modus]]="P",_xlfn.RANK.EQ(Eingabe[[#This Row],[GES]],AF693:AF698),"")))</f>
        <v/>
      </c>
      <c r="AV695" s="6" t="e">
        <f>VLOOKUP(Eingabe[[#This Row],[Name]],AuswertungG[],8,FALSE)</f>
        <v>#N/A</v>
      </c>
      <c r="AZ695" s="6" t="str">
        <f>IFERROR(ABS(Eingabe[[#This Row],[GES]]-Eingabe[[#This Row],[GEGGES]]),"")</f>
        <v/>
      </c>
    </row>
    <row r="696" spans="1:52" hidden="1" x14ac:dyDescent="0.3">
      <c r="A696" s="441"/>
      <c r="B696" s="21">
        <f t="shared" si="68"/>
        <v>116</v>
      </c>
      <c r="C696" s="6">
        <f>VLOOKUP($B696,Chronologie[],7,TRUE)</f>
        <v>0</v>
      </c>
      <c r="D696" s="6">
        <f>VLOOKUP($B696,Chronologie[],8,TRUE)</f>
        <v>0</v>
      </c>
      <c r="E696" s="240">
        <f>VLOOKUP($B696,Chronologie[],9,TRUE)</f>
        <v>0</v>
      </c>
      <c r="F696" s="6">
        <f>VLOOKUP($B696,Chronologie[],COLUMN(F697)-2,TRUE)</f>
        <v>0</v>
      </c>
      <c r="G696" s="6">
        <f>VLOOKUP($B696,Chronologie[],COLUMN(G697)-2,TRUE)</f>
        <v>0</v>
      </c>
      <c r="H696" s="6">
        <f>VLOOKUP($B696,Chronologie[],COLUMN(H697)-2,TRUE)</f>
        <v>0</v>
      </c>
      <c r="I696" s="10" t="str">
        <f>VLOOKUP($B696,Chronologie[],2,TRUE)</f>
        <v>--</v>
      </c>
      <c r="J696" s="243">
        <f>VLOOKUP($B696,Chronologie[],3,TRUE)</f>
        <v>0</v>
      </c>
      <c r="K696" s="238"/>
      <c r="L696" s="237"/>
      <c r="M696" s="237"/>
      <c r="N696" s="237"/>
      <c r="O696" s="237"/>
      <c r="P696" s="237"/>
      <c r="Q696" s="237"/>
      <c r="R696" s="237"/>
      <c r="S696" s="237"/>
      <c r="T696" s="237"/>
      <c r="U696" s="237"/>
      <c r="V696" s="237"/>
      <c r="W696" s="237"/>
      <c r="X696" s="38"/>
      <c r="Y696" s="38"/>
      <c r="Z696" s="38"/>
      <c r="AA696" s="38"/>
      <c r="AB696" s="91"/>
      <c r="AC696" s="94" t="str">
        <f>IF(Eingabe[[#This Row],[V1]]="",IF(Eingabe[[#This Row],[Volle alternativ]]="","",Eingabe[[#This Row],[Volle alternativ]]),SUM(Eingabe[[#This Row],[V1]:[V4]]))</f>
        <v/>
      </c>
      <c r="AD696" s="6" t="str">
        <f>IF(Eingabe[[#This Row],[R1]]="",IF(Eingabe[[#This Row],[Räumer alternativ]]="","",Eingabe[[#This Row],[Räumer alternativ]]),SUM(Eingabe[[#This Row],[R1]:[R4]]))</f>
        <v/>
      </c>
      <c r="AE696" s="6" t="str">
        <f>IF(Eingabe[[#This Row],[F1]]="",IF(Eingabe[[#This Row],[Fehler alternativ]]="","",Eingabe[[#This Row],[Fehler alternativ]]),SUM(Eingabe[[#This Row],[F1]:[F4]]))</f>
        <v/>
      </c>
      <c r="AF696" s="6" t="str">
        <f>IF(Eingabe[[#This Row],[Volle]]="","",IF(Eingabe[[#This Row],[S1]]="",Eingabe[[#This Row],[Volle]]+Eingabe[[#This Row],[Räumer]],IF(Eingabe[[#This Row],[Volle]]+Eingabe[[#This Row],[Räumer]]=Eingabe[[#This Row],[S1]]+Eingabe[[#This Row],[S2]]+Eingabe[[#This Row],[S3]]+Eingabe[[#This Row],[S4]],Eingabe[[#This Row],[Volle]]+Eingabe[[#This Row],[Räumer]],"FEHLER")))</f>
        <v/>
      </c>
      <c r="AG696" s="6" t="str">
        <f>IF(Eingabe[[#This Row],[V1]]="","",Eingabe[[#This Row],[V1]]+Eingabe[[#This Row],[R1]])</f>
        <v/>
      </c>
      <c r="AH696" s="6" t="str">
        <f>IF(Eingabe[[#This Row],[V2]]="","",Eingabe[[#This Row],[V2]]+Eingabe[[#This Row],[R2]])</f>
        <v/>
      </c>
      <c r="AI696" s="6" t="str">
        <f>IF(Eingabe[[#This Row],[V3]]="","",Eingabe[[#This Row],[V3]]+Eingabe[[#This Row],[R3]])</f>
        <v/>
      </c>
      <c r="AJ696" s="6" t="str">
        <f>IF(Eingabe[[#This Row],[V4]]="","",Eingabe[[#This Row],[V4]]+Eingabe[[#This Row],[R4]])</f>
        <v/>
      </c>
      <c r="AK696" s="6" t="str">
        <f>IF(Eingabe[[#This Row],[S1P]]="","",Eingabe[[#This Row],[S1P]]+Eingabe[[#This Row],[S2P]]+Eingabe[[#This Row],[S3P]]+Eingabe[[#This Row],[S4P]])</f>
        <v/>
      </c>
      <c r="AL696" s="6" t="str">
        <f>IF(Eingabe[[#This Row],[S1P]]="","",IF(Eingabe[[#This Row],[SP]]&gt;2,1,IF(Eingabe[[#This Row],[SP]]&lt;2,0,IF(Eingabe[[#This Row],[GES]]&gt;Eingabe[[#This Row],[GEGGES]],1,IF(Eingabe[[#This Row],[GES]]=Eingabe[[#This Row],[GEGGES]],0.5,0)))))</f>
        <v/>
      </c>
      <c r="AM696" s="6" t="str">
        <f>IF(Eingabe[[#This Row],[MP]]="","",MOD(ROW(Eingabe[[#This Row],[Position]])-3,6)+1)</f>
        <v/>
      </c>
      <c r="AN696" s="6" t="e">
        <f>STANDARDIZE(Eingabe[[#This Row],[GES]],Eingabe[[#This Row],[Schnitt]],VLOOKUP(Eingabe[[#This Row],[Name]],AuswertungG[],21,FALSE))</f>
        <v>#VALUE!</v>
      </c>
      <c r="AO696" s="6" t="str">
        <f>VLOOKUP(Eingabe[[#This Row],[ID]],Chronologie[[ID]:[KW]],12,FALSE)</f>
        <v/>
      </c>
      <c r="AP696" s="95">
        <f>IF(Eingabe[[#This Row],[Wo]]="H",Eingabe[[#This Row],[Gegner]]&amp;" ["&amp;Eingabe[[#This Row],[Wo]]&amp;"]",Eingabe[[#This Row],[Ort]])</f>
        <v>0</v>
      </c>
      <c r="AQ696" s="6" t="str">
        <f>IFERROR(IF(Eingabe[[#This Row],[Wo]]="H",IF(MOD(Eingabe[[#This Row],[Position]],2)=1,Eingabe[[#This Row],[S1]],Eingabe[[#This Row],[S4]]),""),"")</f>
        <v/>
      </c>
      <c r="AR696" s="6" t="str">
        <f>IFERROR(IF(Eingabe[[#This Row],[Wo]]="H",IF(Eingabe[[#This Row],[S1]]&gt;0,IF(MOD(Eingabe[[#This Row],[Position]],2)=1,Eingabe[[#This Row],[S2]],Eingabe[[#This Row],[S3]]),""),""),"")</f>
        <v/>
      </c>
      <c r="AS696" s="6" t="str">
        <f>IFERROR(IF(Eingabe[[#This Row],[Wo]]="H",IF(Eingabe[[#This Row],[S1]]&gt;0,IF(MOD(ROW(Eingabe[[#This Row],[Heimbahn 3]]),2)=1,Eingabe[[#This Row],[S4]],Eingabe[[#This Row],[S1]]),""),""),"")</f>
        <v/>
      </c>
      <c r="AT696" s="6" t="str">
        <f>IFERROR(IF(Eingabe[[#This Row],[Wo]]="H",IF(Eingabe[[#This Row],[S1]]&gt;0,IF(MOD(ROW(Eingabe[[#This Row],[Heimbahn 4]]),2)=1,Eingabe[[#This Row],[S3]],Eingabe[[#This Row],[S2]]),""),""),"")</f>
        <v/>
      </c>
      <c r="AU696" s="22" t="str">
        <f>IF(Eingabe[[#This Row],[GES]]="","",IF(Eingabe[[#This Row],[Modus]]="L",_xlfn.RANK.EQ(Eingabe[[#This Row],[GES]],AF693:AF698),IF(Eingabe[[#This Row],[Modus]]="P",_xlfn.RANK.EQ(Eingabe[[#This Row],[GES]],AF693:AF698),"")))</f>
        <v/>
      </c>
      <c r="AV696" s="6" t="e">
        <f>VLOOKUP(Eingabe[[#This Row],[Name]],AuswertungG[],8,FALSE)</f>
        <v>#N/A</v>
      </c>
      <c r="AZ696" s="6" t="str">
        <f>IFERROR(ABS(Eingabe[[#This Row],[GES]]-Eingabe[[#This Row],[GEGGES]]),"")</f>
        <v/>
      </c>
    </row>
    <row r="697" spans="1:52" hidden="1" x14ac:dyDescent="0.3">
      <c r="A697" s="441"/>
      <c r="B697" s="21">
        <f t="shared" si="68"/>
        <v>116</v>
      </c>
      <c r="C697" s="6">
        <f>VLOOKUP($B697,Chronologie[],7,TRUE)</f>
        <v>0</v>
      </c>
      <c r="D697" s="6">
        <f>VLOOKUP($B697,Chronologie[],8,TRUE)</f>
        <v>0</v>
      </c>
      <c r="E697" s="240">
        <f>VLOOKUP($B697,Chronologie[],9,TRUE)</f>
        <v>0</v>
      </c>
      <c r="F697" s="6">
        <f>VLOOKUP($B697,Chronologie[],COLUMN(F698)-2,TRUE)</f>
        <v>0</v>
      </c>
      <c r="G697" s="6">
        <f>VLOOKUP($B697,Chronologie[],COLUMN(G698)-2,TRUE)</f>
        <v>0</v>
      </c>
      <c r="H697" s="6">
        <f>VLOOKUP($B697,Chronologie[],COLUMN(H698)-2,TRUE)</f>
        <v>0</v>
      </c>
      <c r="I697" s="10" t="str">
        <f>VLOOKUP($B697,Chronologie[],2,TRUE)</f>
        <v>--</v>
      </c>
      <c r="J697" s="243">
        <f>VLOOKUP($B697,Chronologie[],3,TRUE)</f>
        <v>0</v>
      </c>
      <c r="K697" s="237"/>
      <c r="L697" s="237"/>
      <c r="M697" s="237"/>
      <c r="N697" s="237"/>
      <c r="O697" s="237"/>
      <c r="P697" s="237"/>
      <c r="Q697" s="237"/>
      <c r="R697" s="237"/>
      <c r="S697" s="237"/>
      <c r="T697" s="237"/>
      <c r="U697" s="237"/>
      <c r="V697" s="237"/>
      <c r="W697" s="237"/>
      <c r="X697" s="38"/>
      <c r="Y697" s="38"/>
      <c r="Z697" s="38"/>
      <c r="AA697" s="38"/>
      <c r="AB697" s="91"/>
      <c r="AC697" s="94" t="str">
        <f>IF(Eingabe[[#This Row],[V1]]="",IF(Eingabe[[#This Row],[Volle alternativ]]="","",Eingabe[[#This Row],[Volle alternativ]]),SUM(Eingabe[[#This Row],[V1]:[V4]]))</f>
        <v/>
      </c>
      <c r="AD697" s="6" t="str">
        <f>IF(Eingabe[[#This Row],[R1]]="",IF(Eingabe[[#This Row],[Räumer alternativ]]="","",Eingabe[[#This Row],[Räumer alternativ]]),SUM(Eingabe[[#This Row],[R1]:[R4]]))</f>
        <v/>
      </c>
      <c r="AE697" s="6" t="str">
        <f>IF(Eingabe[[#This Row],[F1]]="",IF(Eingabe[[#This Row],[Fehler alternativ]]="","",Eingabe[[#This Row],[Fehler alternativ]]),SUM(Eingabe[[#This Row],[F1]:[F4]]))</f>
        <v/>
      </c>
      <c r="AF697" s="6" t="str">
        <f>IF(Eingabe[[#This Row],[Volle]]="","",IF(Eingabe[[#This Row],[S1]]="",Eingabe[[#This Row],[Volle]]+Eingabe[[#This Row],[Räumer]],IF(Eingabe[[#This Row],[Volle]]+Eingabe[[#This Row],[Räumer]]=Eingabe[[#This Row],[S1]]+Eingabe[[#This Row],[S2]]+Eingabe[[#This Row],[S3]]+Eingabe[[#This Row],[S4]],Eingabe[[#This Row],[Volle]]+Eingabe[[#This Row],[Räumer]],"FEHLER")))</f>
        <v/>
      </c>
      <c r="AG697" s="6" t="str">
        <f>IF(Eingabe[[#This Row],[V1]]="","",Eingabe[[#This Row],[V1]]+Eingabe[[#This Row],[R1]])</f>
        <v/>
      </c>
      <c r="AH697" s="6" t="str">
        <f>IF(Eingabe[[#This Row],[V2]]="","",Eingabe[[#This Row],[V2]]+Eingabe[[#This Row],[R2]])</f>
        <v/>
      </c>
      <c r="AI697" s="6" t="str">
        <f>IF(Eingabe[[#This Row],[V3]]="","",Eingabe[[#This Row],[V3]]+Eingabe[[#This Row],[R3]])</f>
        <v/>
      </c>
      <c r="AJ697" s="6" t="str">
        <f>IF(Eingabe[[#This Row],[V4]]="","",Eingabe[[#This Row],[V4]]+Eingabe[[#This Row],[R4]])</f>
        <v/>
      </c>
      <c r="AK697" s="6" t="str">
        <f>IF(Eingabe[[#This Row],[S1P]]="","",Eingabe[[#This Row],[S1P]]+Eingabe[[#This Row],[S2P]]+Eingabe[[#This Row],[S3P]]+Eingabe[[#This Row],[S4P]])</f>
        <v/>
      </c>
      <c r="AL697" s="6" t="str">
        <f>IF(Eingabe[[#This Row],[S1P]]="","",IF(Eingabe[[#This Row],[SP]]&gt;2,1,IF(Eingabe[[#This Row],[SP]]&lt;2,0,IF(Eingabe[[#This Row],[GES]]&gt;Eingabe[[#This Row],[GEGGES]],1,IF(Eingabe[[#This Row],[GES]]=Eingabe[[#This Row],[GEGGES]],0.5,0)))))</f>
        <v/>
      </c>
      <c r="AM697" s="6" t="str">
        <f>IF(Eingabe[[#This Row],[MP]]="","",MOD(ROW(Eingabe[[#This Row],[Position]])-3,6)+1)</f>
        <v/>
      </c>
      <c r="AN697" s="6" t="e">
        <f>STANDARDIZE(Eingabe[[#This Row],[GES]],Eingabe[[#This Row],[Schnitt]],VLOOKUP(Eingabe[[#This Row],[Name]],AuswertungG[],21,FALSE))</f>
        <v>#VALUE!</v>
      </c>
      <c r="AO697" s="6" t="str">
        <f>VLOOKUP(Eingabe[[#This Row],[ID]],Chronologie[[ID]:[KW]],12,FALSE)</f>
        <v/>
      </c>
      <c r="AP697" s="95">
        <f>IF(Eingabe[[#This Row],[Wo]]="H",Eingabe[[#This Row],[Gegner]]&amp;" ["&amp;Eingabe[[#This Row],[Wo]]&amp;"]",Eingabe[[#This Row],[Ort]])</f>
        <v>0</v>
      </c>
      <c r="AQ697" s="6" t="str">
        <f>IFERROR(IF(Eingabe[[#This Row],[Wo]]="H",IF(MOD(Eingabe[[#This Row],[Position]],2)=1,Eingabe[[#This Row],[S1]],Eingabe[[#This Row],[S4]]),""),"")</f>
        <v/>
      </c>
      <c r="AR697" s="6" t="str">
        <f>IFERROR(IF(Eingabe[[#This Row],[Wo]]="H",IF(Eingabe[[#This Row],[S1]]&gt;0,IF(MOD(Eingabe[[#This Row],[Position]],2)=1,Eingabe[[#This Row],[S2]],Eingabe[[#This Row],[S3]]),""),""),"")</f>
        <v/>
      </c>
      <c r="AS697" s="6" t="str">
        <f>IFERROR(IF(Eingabe[[#This Row],[Wo]]="H",IF(Eingabe[[#This Row],[S1]]&gt;0,IF(MOD(ROW(Eingabe[[#This Row],[Heimbahn 3]]),2)=1,Eingabe[[#This Row],[S4]],Eingabe[[#This Row],[S1]]),""),""),"")</f>
        <v/>
      </c>
      <c r="AT697" s="6" t="str">
        <f>IFERROR(IF(Eingabe[[#This Row],[Wo]]="H",IF(Eingabe[[#This Row],[S1]]&gt;0,IF(MOD(ROW(Eingabe[[#This Row],[Heimbahn 4]]),2)=1,Eingabe[[#This Row],[S3]],Eingabe[[#This Row],[S2]]),""),""),"")</f>
        <v/>
      </c>
      <c r="AU697" s="22" t="str">
        <f>IF(Eingabe[[#This Row],[GES]]="","",IF(Eingabe[[#This Row],[Modus]]="L",_xlfn.RANK.EQ(Eingabe[[#This Row],[GES]],AF693:AF698),IF(Eingabe[[#This Row],[Modus]]="P",_xlfn.RANK.EQ(Eingabe[[#This Row],[GES]],AF693:AF698),"")))</f>
        <v/>
      </c>
      <c r="AV697" s="6" t="e">
        <f>VLOOKUP(Eingabe[[#This Row],[Name]],AuswertungG[],8,FALSE)</f>
        <v>#N/A</v>
      </c>
      <c r="AZ697" s="6" t="str">
        <f>IFERROR(ABS(Eingabe[[#This Row],[GES]]-Eingabe[[#This Row],[GEGGES]]),"")</f>
        <v/>
      </c>
    </row>
    <row r="698" spans="1:52" ht="16.2" hidden="1" thickBot="1" x14ac:dyDescent="0.35">
      <c r="A698" s="442"/>
      <c r="B698" s="56">
        <f t="shared" si="68"/>
        <v>116</v>
      </c>
      <c r="C698" s="23">
        <f>VLOOKUP($B698,Chronologie[],7,TRUE)</f>
        <v>0</v>
      </c>
      <c r="D698" s="23">
        <f>VLOOKUP($B698,Chronologie[],8,TRUE)</f>
        <v>0</v>
      </c>
      <c r="E698" s="39">
        <f>VLOOKUP($B698,Chronologie[],9,TRUE)</f>
        <v>0</v>
      </c>
      <c r="F698" s="23">
        <f>VLOOKUP($B698,Chronologie[],COLUMN(F699)-2,TRUE)</f>
        <v>0</v>
      </c>
      <c r="G698" s="23">
        <f>VLOOKUP($B698,Chronologie[],COLUMN(G699)-2,TRUE)</f>
        <v>0</v>
      </c>
      <c r="H698" s="23">
        <f>VLOOKUP($B698,Chronologie[],COLUMN(H699)-2,TRUE)</f>
        <v>0</v>
      </c>
      <c r="I698" s="13" t="str">
        <f>VLOOKUP($B698,Chronologie[],2,TRUE)</f>
        <v>--</v>
      </c>
      <c r="J698" s="244">
        <f>VLOOKUP($B698,Chronologie[],3,TRUE)</f>
        <v>0</v>
      </c>
      <c r="K698" s="239"/>
      <c r="L698" s="239"/>
      <c r="M698" s="239"/>
      <c r="N698" s="239"/>
      <c r="O698" s="239"/>
      <c r="P698" s="239"/>
      <c r="Q698" s="239"/>
      <c r="R698" s="239"/>
      <c r="S698" s="239"/>
      <c r="T698" s="239"/>
      <c r="U698" s="239"/>
      <c r="V698" s="239"/>
      <c r="W698" s="239"/>
      <c r="X698" s="40"/>
      <c r="Y698" s="40"/>
      <c r="Z698" s="40"/>
      <c r="AA698" s="40"/>
      <c r="AB698" s="92"/>
      <c r="AC698" s="96" t="str">
        <f>IF(Eingabe[[#This Row],[V1]]="",IF(Eingabe[[#This Row],[Volle alternativ]]="","",Eingabe[[#This Row],[Volle alternativ]]),SUM(Eingabe[[#This Row],[V1]:[V4]]))</f>
        <v/>
      </c>
      <c r="AD698" s="23" t="str">
        <f>IF(Eingabe[[#This Row],[R1]]="",IF(Eingabe[[#This Row],[Räumer alternativ]]="","",Eingabe[[#This Row],[Räumer alternativ]]),SUM(Eingabe[[#This Row],[R1]:[R4]]))</f>
        <v/>
      </c>
      <c r="AE698" s="23" t="str">
        <f>IF(Eingabe[[#This Row],[F1]]="",IF(Eingabe[[#This Row],[Fehler alternativ]]="","",Eingabe[[#This Row],[Fehler alternativ]]),SUM(Eingabe[[#This Row],[F1]:[F4]]))</f>
        <v/>
      </c>
      <c r="AF698" s="23" t="str">
        <f>IF(Eingabe[[#This Row],[Volle]]="","",IF(Eingabe[[#This Row],[S1]]="",Eingabe[[#This Row],[Volle]]+Eingabe[[#This Row],[Räumer]],IF(Eingabe[[#This Row],[Volle]]+Eingabe[[#This Row],[Räumer]]=Eingabe[[#This Row],[S1]]+Eingabe[[#This Row],[S2]]+Eingabe[[#This Row],[S3]]+Eingabe[[#This Row],[S4]],Eingabe[[#This Row],[Volle]]+Eingabe[[#This Row],[Räumer]],"FEHLER")))</f>
        <v/>
      </c>
      <c r="AG698" s="23" t="str">
        <f>IF(Eingabe[[#This Row],[V1]]="","",Eingabe[[#This Row],[V1]]+Eingabe[[#This Row],[R1]])</f>
        <v/>
      </c>
      <c r="AH698" s="23" t="str">
        <f>IF(Eingabe[[#This Row],[V2]]="","",Eingabe[[#This Row],[V2]]+Eingabe[[#This Row],[R2]])</f>
        <v/>
      </c>
      <c r="AI698" s="23" t="str">
        <f>IF(Eingabe[[#This Row],[V3]]="","",Eingabe[[#This Row],[V3]]+Eingabe[[#This Row],[R3]])</f>
        <v/>
      </c>
      <c r="AJ698" s="23" t="str">
        <f>IF(Eingabe[[#This Row],[V4]]="","",Eingabe[[#This Row],[V4]]+Eingabe[[#This Row],[R4]])</f>
        <v/>
      </c>
      <c r="AK698" s="23" t="str">
        <f>IF(Eingabe[[#This Row],[S1P]]="","",Eingabe[[#This Row],[S1P]]+Eingabe[[#This Row],[S2P]]+Eingabe[[#This Row],[S3P]]+Eingabe[[#This Row],[S4P]])</f>
        <v/>
      </c>
      <c r="AL698" s="23" t="str">
        <f>IF(Eingabe[[#This Row],[S1P]]="","",IF(Eingabe[[#This Row],[SP]]&gt;2,1,IF(Eingabe[[#This Row],[SP]]&lt;2,0,IF(Eingabe[[#This Row],[GES]]&gt;Eingabe[[#This Row],[GEGGES]],1,IF(Eingabe[[#This Row],[GES]]=Eingabe[[#This Row],[GEGGES]],0.5,0)))))</f>
        <v/>
      </c>
      <c r="AM698" s="23" t="str">
        <f>IF(Eingabe[[#This Row],[MP]]="","",MOD(ROW(Eingabe[[#This Row],[Position]])-3,6)+1)</f>
        <v/>
      </c>
      <c r="AN698" s="23" t="e">
        <f>STANDARDIZE(Eingabe[[#This Row],[GES]],Eingabe[[#This Row],[Schnitt]],VLOOKUP(Eingabe[[#This Row],[Name]],AuswertungG[],21,FALSE))</f>
        <v>#VALUE!</v>
      </c>
      <c r="AO698" s="23" t="str">
        <f>VLOOKUP(Eingabe[[#This Row],[ID]],Chronologie[[ID]:[KW]],12,FALSE)</f>
        <v/>
      </c>
      <c r="AP698" s="59">
        <f>IF(Eingabe[[#This Row],[Wo]]="H",Eingabe[[#This Row],[Gegner]]&amp;" ["&amp;Eingabe[[#This Row],[Wo]]&amp;"]",Eingabe[[#This Row],[Ort]])</f>
        <v>0</v>
      </c>
      <c r="AQ698" s="23" t="str">
        <f>IFERROR(IF(Eingabe[[#This Row],[Wo]]="H",IF(MOD(Eingabe[[#This Row],[Position]],2)=1,Eingabe[[#This Row],[S1]],Eingabe[[#This Row],[S4]]),""),"")</f>
        <v/>
      </c>
      <c r="AR698" s="23" t="str">
        <f>IFERROR(IF(Eingabe[[#This Row],[Wo]]="H",IF(Eingabe[[#This Row],[S1]]&gt;0,IF(MOD(Eingabe[[#This Row],[Position]],2)=1,Eingabe[[#This Row],[S2]],Eingabe[[#This Row],[S3]]),""),""),"")</f>
        <v/>
      </c>
      <c r="AS698" s="23" t="str">
        <f>IFERROR(IF(Eingabe[[#This Row],[Wo]]="H",IF(Eingabe[[#This Row],[S1]]&gt;0,IF(MOD(ROW(Eingabe[[#This Row],[Heimbahn 3]]),2)=1,Eingabe[[#This Row],[S4]],Eingabe[[#This Row],[S1]]),""),""),"")</f>
        <v/>
      </c>
      <c r="AT698" s="23" t="str">
        <f>IFERROR(IF(Eingabe[[#This Row],[Wo]]="H",IF(Eingabe[[#This Row],[S1]]&gt;0,IF(MOD(ROW(Eingabe[[#This Row],[Heimbahn 4]]),2)=1,Eingabe[[#This Row],[S3]],Eingabe[[#This Row],[S2]]),""),""),"")</f>
        <v/>
      </c>
      <c r="AU698" s="89" t="str">
        <f>IF(Eingabe[[#This Row],[GES]]="","",IF(Eingabe[[#This Row],[Modus]]="L",_xlfn.RANK.EQ(Eingabe[[#This Row],[GES]],AF693:AF698),IF(Eingabe[[#This Row],[Modus]]="P",_xlfn.RANK.EQ(Eingabe[[#This Row],[GES]],AF693:AF698),"")))</f>
        <v/>
      </c>
      <c r="AV698" s="6" t="e">
        <f>VLOOKUP(Eingabe[[#This Row],[Name]],AuswertungG[],8,FALSE)</f>
        <v>#N/A</v>
      </c>
      <c r="AZ698" s="6" t="str">
        <f>IFERROR(ABS(Eingabe[[#This Row],[GES]]-Eingabe[[#This Row],[GEGGES]]),"")</f>
        <v/>
      </c>
    </row>
    <row r="699" spans="1:52" hidden="1" x14ac:dyDescent="0.3">
      <c r="A699" s="440">
        <f t="shared" ref="A699" si="74">B699</f>
        <v>117</v>
      </c>
      <c r="B699" s="55">
        <f t="shared" ref="B699:B730" si="75">ROUNDUP((ROW(B699)-2)/6,0)</f>
        <v>117</v>
      </c>
      <c r="C699" s="35">
        <f>VLOOKUP($B699,Chronologie[],7,TRUE)</f>
        <v>0</v>
      </c>
      <c r="D699" s="35">
        <f>VLOOKUP($B699,Chronologie[],8,TRUE)</f>
        <v>0</v>
      </c>
      <c r="E699" s="36">
        <f>VLOOKUP($B699,Chronologie[],9,TRUE)</f>
        <v>0</v>
      </c>
      <c r="F699" s="35">
        <f>VLOOKUP($B699,Chronologie[],COLUMN(F700)-2,TRUE)</f>
        <v>0</v>
      </c>
      <c r="G699" s="35">
        <f>VLOOKUP($B699,Chronologie[],COLUMN(G700)-2,TRUE)</f>
        <v>0</v>
      </c>
      <c r="H699" s="35">
        <f>VLOOKUP($B699,Chronologie[],COLUMN(H700)-2,TRUE)</f>
        <v>0</v>
      </c>
      <c r="I699" s="9" t="str">
        <f>VLOOKUP($B699,Chronologie[],2,TRUE)</f>
        <v>--</v>
      </c>
      <c r="J699" s="242">
        <f>VLOOKUP($B699,Chronologie[],3,TRUE)</f>
        <v>0</v>
      </c>
      <c r="K699" s="236"/>
      <c r="L699" s="334"/>
      <c r="M699" s="334"/>
      <c r="N699" s="334"/>
      <c r="O699" s="334"/>
      <c r="P699" s="334"/>
      <c r="Q699" s="334"/>
      <c r="R699" s="334"/>
      <c r="S699" s="334"/>
      <c r="T699" s="334"/>
      <c r="U699" s="334"/>
      <c r="V699" s="334"/>
      <c r="W699" s="334"/>
      <c r="X699" s="37"/>
      <c r="Y699" s="37"/>
      <c r="Z699" s="37"/>
      <c r="AA699" s="37"/>
      <c r="AB699" s="90"/>
      <c r="AC699" s="93" t="str">
        <f>IF(Eingabe[[#This Row],[V1]]="",IF(Eingabe[[#This Row],[Volle alternativ]]="","",Eingabe[[#This Row],[Volle alternativ]]),SUM(Eingabe[[#This Row],[V1]:[V4]]))</f>
        <v/>
      </c>
      <c r="AD699" s="35" t="str">
        <f>IF(Eingabe[[#This Row],[R1]]="",IF(Eingabe[[#This Row],[Räumer alternativ]]="","",Eingabe[[#This Row],[Räumer alternativ]]),SUM(Eingabe[[#This Row],[R1]:[R4]]))</f>
        <v/>
      </c>
      <c r="AE699" s="35" t="str">
        <f>IF(Eingabe[[#This Row],[F1]]="",IF(Eingabe[[#This Row],[Fehler alternativ]]="","",Eingabe[[#This Row],[Fehler alternativ]]),SUM(Eingabe[[#This Row],[F1]:[F4]]))</f>
        <v/>
      </c>
      <c r="AF699" s="35" t="str">
        <f>IF(Eingabe[[#This Row],[Volle]]="","",IF(Eingabe[[#This Row],[S1]]="",Eingabe[[#This Row],[Volle]]+Eingabe[[#This Row],[Räumer]],IF(Eingabe[[#This Row],[Volle]]+Eingabe[[#This Row],[Räumer]]=Eingabe[[#This Row],[S1]]+Eingabe[[#This Row],[S2]]+Eingabe[[#This Row],[S3]]+Eingabe[[#This Row],[S4]],Eingabe[[#This Row],[Volle]]+Eingabe[[#This Row],[Räumer]],"FEHLER")))</f>
        <v/>
      </c>
      <c r="AG699" s="35" t="str">
        <f>IF(Eingabe[[#This Row],[V1]]="","",Eingabe[[#This Row],[V1]]+Eingabe[[#This Row],[R1]])</f>
        <v/>
      </c>
      <c r="AH699" s="35" t="str">
        <f>IF(Eingabe[[#This Row],[V2]]="","",Eingabe[[#This Row],[V2]]+Eingabe[[#This Row],[R2]])</f>
        <v/>
      </c>
      <c r="AI699" s="35" t="str">
        <f>IF(Eingabe[[#This Row],[V3]]="","",Eingabe[[#This Row],[V3]]+Eingabe[[#This Row],[R3]])</f>
        <v/>
      </c>
      <c r="AJ699" s="35" t="str">
        <f>IF(Eingabe[[#This Row],[V4]]="","",Eingabe[[#This Row],[V4]]+Eingabe[[#This Row],[R4]])</f>
        <v/>
      </c>
      <c r="AK699" s="35" t="str">
        <f>IF(Eingabe[[#This Row],[S1P]]="","",Eingabe[[#This Row],[S1P]]+Eingabe[[#This Row],[S2P]]+Eingabe[[#This Row],[S3P]]+Eingabe[[#This Row],[S4P]])</f>
        <v/>
      </c>
      <c r="AL699" s="35" t="str">
        <f>IF(Eingabe[[#This Row],[S1P]]="","",IF(Eingabe[[#This Row],[SP]]&gt;2,1,IF(Eingabe[[#This Row],[SP]]&lt;2,0,IF(Eingabe[[#This Row],[GES]]&gt;Eingabe[[#This Row],[GEGGES]],1,IF(Eingabe[[#This Row],[GES]]=Eingabe[[#This Row],[GEGGES]],0.5,0)))))</f>
        <v/>
      </c>
      <c r="AM699" s="35" t="str">
        <f>IF(Eingabe[[#This Row],[MP]]="","",MOD(ROW(Eingabe[[#This Row],[Position]])-3,6)+1)</f>
        <v/>
      </c>
      <c r="AN699" s="35" t="e">
        <f>STANDARDIZE(Eingabe[[#This Row],[GES]],Eingabe[[#This Row],[Schnitt]],VLOOKUP(Eingabe[[#This Row],[Name]],AuswertungG[],21,FALSE))</f>
        <v>#VALUE!</v>
      </c>
      <c r="AO699" s="35" t="str">
        <f>VLOOKUP(Eingabe[[#This Row],[ID]],Chronologie[[ID]:[KW]],12,FALSE)</f>
        <v/>
      </c>
      <c r="AP699" s="58">
        <f>IF(Eingabe[[#This Row],[Wo]]="H",Eingabe[[#This Row],[Gegner]]&amp;" ["&amp;Eingabe[[#This Row],[Wo]]&amp;"]",Eingabe[[#This Row],[Ort]])</f>
        <v>0</v>
      </c>
      <c r="AQ699" s="35" t="str">
        <f>IFERROR(IF(Eingabe[[#This Row],[Wo]]="H",IF(MOD(Eingabe[[#This Row],[Position]],2)=1,Eingabe[[#This Row],[S1]],Eingabe[[#This Row],[S4]]),""),"")</f>
        <v/>
      </c>
      <c r="AR699" s="35" t="str">
        <f>IFERROR(IF(Eingabe[[#This Row],[Wo]]="H",IF(Eingabe[[#This Row],[S1]]&gt;0,IF(MOD(Eingabe[[#This Row],[Position]],2)=1,Eingabe[[#This Row],[S2]],Eingabe[[#This Row],[S3]]),""),""),"")</f>
        <v/>
      </c>
      <c r="AS699" s="35" t="str">
        <f>IFERROR(IF(Eingabe[[#This Row],[Wo]]="H",IF(Eingabe[[#This Row],[S1]]&gt;0,IF(MOD(ROW(Eingabe[[#This Row],[Heimbahn 3]]),2)=1,Eingabe[[#This Row],[S4]],Eingabe[[#This Row],[S1]]),""),""),"")</f>
        <v/>
      </c>
      <c r="AT699" s="35" t="str">
        <f>IFERROR(IF(Eingabe[[#This Row],[Wo]]="H",IF(Eingabe[[#This Row],[S1]]&gt;0,IF(MOD(ROW(Eingabe[[#This Row],[Heimbahn 4]]),2)=1,Eingabe[[#This Row],[S3]],Eingabe[[#This Row],[S2]]),""),""),"")</f>
        <v/>
      </c>
      <c r="AU699" s="88" t="str">
        <f>IF(Eingabe[[#This Row],[GES]]="","",IF(Eingabe[[#This Row],[Modus]]="L",_xlfn.RANK.EQ(Eingabe[[#This Row],[GES]],AF699:AF704),IF(Eingabe[[#This Row],[Modus]]="P",_xlfn.RANK.EQ(Eingabe[[#This Row],[GES]],AF699:AF704),"")))</f>
        <v/>
      </c>
      <c r="AV699" s="6" t="e">
        <f>VLOOKUP(Eingabe[[#This Row],[Name]],AuswertungG[],8,FALSE)</f>
        <v>#N/A</v>
      </c>
      <c r="AZ699" s="6" t="str">
        <f>IFERROR(ABS(Eingabe[[#This Row],[GES]]-Eingabe[[#This Row],[GEGGES]]),"")</f>
        <v/>
      </c>
    </row>
    <row r="700" spans="1:52" hidden="1" x14ac:dyDescent="0.3">
      <c r="A700" s="441"/>
      <c r="B700" s="21">
        <f t="shared" si="75"/>
        <v>117</v>
      </c>
      <c r="C700" s="6">
        <f>VLOOKUP($B700,Chronologie[],7,TRUE)</f>
        <v>0</v>
      </c>
      <c r="D700" s="6">
        <f>VLOOKUP($B700,Chronologie[],8,TRUE)</f>
        <v>0</v>
      </c>
      <c r="E700" s="240">
        <f>VLOOKUP($B700,Chronologie[],9,TRUE)</f>
        <v>0</v>
      </c>
      <c r="F700" s="6">
        <f>VLOOKUP($B700,Chronologie[],COLUMN(F701)-2,TRUE)</f>
        <v>0</v>
      </c>
      <c r="G700" s="6">
        <f>VLOOKUP($B700,Chronologie[],COLUMN(G701)-2,TRUE)</f>
        <v>0</v>
      </c>
      <c r="H700" s="6">
        <f>VLOOKUP($B700,Chronologie[],COLUMN(H701)-2,TRUE)</f>
        <v>0</v>
      </c>
      <c r="I700" s="10" t="str">
        <f>VLOOKUP($B700,Chronologie[],2,TRUE)</f>
        <v>--</v>
      </c>
      <c r="J700" s="243">
        <f>VLOOKUP($B700,Chronologie[],3,TRUE)</f>
        <v>0</v>
      </c>
      <c r="K700" s="237"/>
      <c r="L700" s="237"/>
      <c r="M700" s="237"/>
      <c r="N700" s="237"/>
      <c r="O700" s="237"/>
      <c r="P700" s="237"/>
      <c r="Q700" s="237"/>
      <c r="R700" s="237"/>
      <c r="S700" s="237"/>
      <c r="T700" s="237"/>
      <c r="U700" s="237"/>
      <c r="V700" s="237"/>
      <c r="W700" s="237"/>
      <c r="X700" s="38"/>
      <c r="Y700" s="38"/>
      <c r="Z700" s="38"/>
      <c r="AA700" s="38"/>
      <c r="AB700" s="91"/>
      <c r="AC700" s="94" t="str">
        <f>IF(Eingabe[[#This Row],[V1]]="",IF(Eingabe[[#This Row],[Volle alternativ]]="","",Eingabe[[#This Row],[Volle alternativ]]),SUM(Eingabe[[#This Row],[V1]:[V4]]))</f>
        <v/>
      </c>
      <c r="AD700" s="6" t="str">
        <f>IF(Eingabe[[#This Row],[R1]]="",IF(Eingabe[[#This Row],[Räumer alternativ]]="","",Eingabe[[#This Row],[Räumer alternativ]]),SUM(Eingabe[[#This Row],[R1]:[R4]]))</f>
        <v/>
      </c>
      <c r="AE700" s="6" t="str">
        <f>IF(Eingabe[[#This Row],[F1]]="",IF(Eingabe[[#This Row],[Fehler alternativ]]="","",Eingabe[[#This Row],[Fehler alternativ]]),SUM(Eingabe[[#This Row],[F1]:[F4]]))</f>
        <v/>
      </c>
      <c r="AF700" s="6" t="str">
        <f>IF(Eingabe[[#This Row],[Volle]]="","",IF(Eingabe[[#This Row],[S1]]="",Eingabe[[#This Row],[Volle]]+Eingabe[[#This Row],[Räumer]],IF(Eingabe[[#This Row],[Volle]]+Eingabe[[#This Row],[Räumer]]=Eingabe[[#This Row],[S1]]+Eingabe[[#This Row],[S2]]+Eingabe[[#This Row],[S3]]+Eingabe[[#This Row],[S4]],Eingabe[[#This Row],[Volle]]+Eingabe[[#This Row],[Räumer]],"FEHLER")))</f>
        <v/>
      </c>
      <c r="AG700" s="6" t="str">
        <f>IF(Eingabe[[#This Row],[V1]]="","",Eingabe[[#This Row],[V1]]+Eingabe[[#This Row],[R1]])</f>
        <v/>
      </c>
      <c r="AH700" s="6" t="str">
        <f>IF(Eingabe[[#This Row],[V2]]="","",Eingabe[[#This Row],[V2]]+Eingabe[[#This Row],[R2]])</f>
        <v/>
      </c>
      <c r="AI700" s="6" t="str">
        <f>IF(Eingabe[[#This Row],[V3]]="","",Eingabe[[#This Row],[V3]]+Eingabe[[#This Row],[R3]])</f>
        <v/>
      </c>
      <c r="AJ700" s="6" t="str">
        <f>IF(Eingabe[[#This Row],[V4]]="","",Eingabe[[#This Row],[V4]]+Eingabe[[#This Row],[R4]])</f>
        <v/>
      </c>
      <c r="AK700" s="6" t="str">
        <f>IF(Eingabe[[#This Row],[S1P]]="","",Eingabe[[#This Row],[S1P]]+Eingabe[[#This Row],[S2P]]+Eingabe[[#This Row],[S3P]]+Eingabe[[#This Row],[S4P]])</f>
        <v/>
      </c>
      <c r="AL700" s="6" t="str">
        <f>IF(Eingabe[[#This Row],[S1P]]="","",IF(Eingabe[[#This Row],[SP]]&gt;2,1,IF(Eingabe[[#This Row],[SP]]&lt;2,0,IF(Eingabe[[#This Row],[GES]]&gt;Eingabe[[#This Row],[GEGGES]],1,IF(Eingabe[[#This Row],[GES]]=Eingabe[[#This Row],[GEGGES]],0.5,0)))))</f>
        <v/>
      </c>
      <c r="AM700" s="6" t="str">
        <f>IF(Eingabe[[#This Row],[MP]]="","",MOD(ROW(Eingabe[[#This Row],[Position]])-3,6)+1)</f>
        <v/>
      </c>
      <c r="AN700" s="6" t="e">
        <f>STANDARDIZE(Eingabe[[#This Row],[GES]],Eingabe[[#This Row],[Schnitt]],VLOOKUP(Eingabe[[#This Row],[Name]],AuswertungG[],21,FALSE))</f>
        <v>#VALUE!</v>
      </c>
      <c r="AO700" s="6" t="str">
        <f>VLOOKUP(Eingabe[[#This Row],[ID]],Chronologie[[ID]:[KW]],12,FALSE)</f>
        <v/>
      </c>
      <c r="AP700" s="95">
        <f>IF(Eingabe[[#This Row],[Wo]]="H",Eingabe[[#This Row],[Gegner]]&amp;" ["&amp;Eingabe[[#This Row],[Wo]]&amp;"]",Eingabe[[#This Row],[Ort]])</f>
        <v>0</v>
      </c>
      <c r="AQ700" s="6" t="str">
        <f>IFERROR(IF(Eingabe[[#This Row],[Wo]]="H",IF(MOD(Eingabe[[#This Row],[Position]],2)=1,Eingabe[[#This Row],[S1]],Eingabe[[#This Row],[S4]]),""),"")</f>
        <v/>
      </c>
      <c r="AR700" s="6" t="str">
        <f>IFERROR(IF(Eingabe[[#This Row],[Wo]]="H",IF(Eingabe[[#This Row],[S1]]&gt;0,IF(MOD(Eingabe[[#This Row],[Position]],2)=1,Eingabe[[#This Row],[S2]],Eingabe[[#This Row],[S3]]),""),""),"")</f>
        <v/>
      </c>
      <c r="AS700" s="6" t="str">
        <f>IFERROR(IF(Eingabe[[#This Row],[Wo]]="H",IF(Eingabe[[#This Row],[S1]]&gt;0,IF(MOD(ROW(Eingabe[[#This Row],[Heimbahn 3]]),2)=1,Eingabe[[#This Row],[S4]],Eingabe[[#This Row],[S1]]),""),""),"")</f>
        <v/>
      </c>
      <c r="AT700" s="6" t="str">
        <f>IFERROR(IF(Eingabe[[#This Row],[Wo]]="H",IF(Eingabe[[#This Row],[S1]]&gt;0,IF(MOD(ROW(Eingabe[[#This Row],[Heimbahn 4]]),2)=1,Eingabe[[#This Row],[S3]],Eingabe[[#This Row],[S2]]),""),""),"")</f>
        <v/>
      </c>
      <c r="AU700" s="22" t="str">
        <f>IF(Eingabe[[#This Row],[GES]]="","",IF(Eingabe[[#This Row],[Modus]]="L",_xlfn.RANK.EQ(Eingabe[[#This Row],[GES]],AF699:AF704),IF(Eingabe[[#This Row],[Modus]]="P",_xlfn.RANK.EQ(Eingabe[[#This Row],[GES]],AF699:AF704),"")))</f>
        <v/>
      </c>
      <c r="AV700" s="6" t="e">
        <f>VLOOKUP(Eingabe[[#This Row],[Name]],AuswertungG[],8,FALSE)</f>
        <v>#N/A</v>
      </c>
      <c r="AZ700" s="6" t="str">
        <f>IFERROR(ABS(Eingabe[[#This Row],[GES]]-Eingabe[[#This Row],[GEGGES]]),"")</f>
        <v/>
      </c>
    </row>
    <row r="701" spans="1:52" hidden="1" x14ac:dyDescent="0.3">
      <c r="A701" s="441"/>
      <c r="B701" s="21">
        <f t="shared" si="75"/>
        <v>117</v>
      </c>
      <c r="C701" s="6">
        <f>VLOOKUP($B701,Chronologie[],7,TRUE)</f>
        <v>0</v>
      </c>
      <c r="D701" s="6">
        <f>VLOOKUP($B701,Chronologie[],8,TRUE)</f>
        <v>0</v>
      </c>
      <c r="E701" s="240">
        <f>VLOOKUP($B701,Chronologie[],9,TRUE)</f>
        <v>0</v>
      </c>
      <c r="F701" s="6">
        <f>VLOOKUP($B701,Chronologie[],COLUMN(F702)-2,TRUE)</f>
        <v>0</v>
      </c>
      <c r="G701" s="6">
        <f>VLOOKUP($B701,Chronologie[],COLUMN(G702)-2,TRUE)</f>
        <v>0</v>
      </c>
      <c r="H701" s="6">
        <f>VLOOKUP($B701,Chronologie[],COLUMN(H702)-2,TRUE)</f>
        <v>0</v>
      </c>
      <c r="I701" s="10" t="str">
        <f>VLOOKUP($B701,Chronologie[],2,TRUE)</f>
        <v>--</v>
      </c>
      <c r="J701" s="243">
        <f>VLOOKUP($B701,Chronologie[],3,TRUE)</f>
        <v>0</v>
      </c>
      <c r="K701" s="237"/>
      <c r="L701" s="237"/>
      <c r="M701" s="237"/>
      <c r="N701" s="237"/>
      <c r="O701" s="237"/>
      <c r="P701" s="237"/>
      <c r="Q701" s="237"/>
      <c r="R701" s="237"/>
      <c r="S701" s="237"/>
      <c r="T701" s="237"/>
      <c r="U701" s="237"/>
      <c r="V701" s="237"/>
      <c r="W701" s="237"/>
      <c r="X701" s="38"/>
      <c r="Y701" s="38"/>
      <c r="Z701" s="38"/>
      <c r="AA701" s="38"/>
      <c r="AB701" s="91"/>
      <c r="AC701" s="94" t="str">
        <f>IF(Eingabe[[#This Row],[V1]]="",IF(Eingabe[[#This Row],[Volle alternativ]]="","",Eingabe[[#This Row],[Volle alternativ]]),SUM(Eingabe[[#This Row],[V1]:[V4]]))</f>
        <v/>
      </c>
      <c r="AD701" s="6" t="str">
        <f>IF(Eingabe[[#This Row],[R1]]="",IF(Eingabe[[#This Row],[Räumer alternativ]]="","",Eingabe[[#This Row],[Räumer alternativ]]),SUM(Eingabe[[#This Row],[R1]:[R4]]))</f>
        <v/>
      </c>
      <c r="AE701" s="6" t="str">
        <f>IF(Eingabe[[#This Row],[F1]]="",IF(Eingabe[[#This Row],[Fehler alternativ]]="","",Eingabe[[#This Row],[Fehler alternativ]]),SUM(Eingabe[[#This Row],[F1]:[F4]]))</f>
        <v/>
      </c>
      <c r="AF701" s="6" t="str">
        <f>IF(Eingabe[[#This Row],[Volle]]="","",IF(Eingabe[[#This Row],[S1]]="",Eingabe[[#This Row],[Volle]]+Eingabe[[#This Row],[Räumer]],IF(Eingabe[[#This Row],[Volle]]+Eingabe[[#This Row],[Räumer]]=Eingabe[[#This Row],[S1]]+Eingabe[[#This Row],[S2]]+Eingabe[[#This Row],[S3]]+Eingabe[[#This Row],[S4]],Eingabe[[#This Row],[Volle]]+Eingabe[[#This Row],[Räumer]],"FEHLER")))</f>
        <v/>
      </c>
      <c r="AG701" s="6" t="str">
        <f>IF(Eingabe[[#This Row],[V1]]="","",Eingabe[[#This Row],[V1]]+Eingabe[[#This Row],[R1]])</f>
        <v/>
      </c>
      <c r="AH701" s="6" t="str">
        <f>IF(Eingabe[[#This Row],[V2]]="","",Eingabe[[#This Row],[V2]]+Eingabe[[#This Row],[R2]])</f>
        <v/>
      </c>
      <c r="AI701" s="6" t="str">
        <f>IF(Eingabe[[#This Row],[V3]]="","",Eingabe[[#This Row],[V3]]+Eingabe[[#This Row],[R3]])</f>
        <v/>
      </c>
      <c r="AJ701" s="6" t="str">
        <f>IF(Eingabe[[#This Row],[V4]]="","",Eingabe[[#This Row],[V4]]+Eingabe[[#This Row],[R4]])</f>
        <v/>
      </c>
      <c r="AK701" s="6" t="str">
        <f>IF(Eingabe[[#This Row],[S1P]]="","",Eingabe[[#This Row],[S1P]]+Eingabe[[#This Row],[S2P]]+Eingabe[[#This Row],[S3P]]+Eingabe[[#This Row],[S4P]])</f>
        <v/>
      </c>
      <c r="AL701" s="6" t="str">
        <f>IF(Eingabe[[#This Row],[S1P]]="","",IF(Eingabe[[#This Row],[SP]]&gt;2,1,IF(Eingabe[[#This Row],[SP]]&lt;2,0,IF(Eingabe[[#This Row],[GES]]&gt;Eingabe[[#This Row],[GEGGES]],1,IF(Eingabe[[#This Row],[GES]]=Eingabe[[#This Row],[GEGGES]],0.5,0)))))</f>
        <v/>
      </c>
      <c r="AM701" s="6" t="str">
        <f>IF(Eingabe[[#This Row],[MP]]="","",MOD(ROW(Eingabe[[#This Row],[Position]])-3,6)+1)</f>
        <v/>
      </c>
      <c r="AN701" s="6" t="e">
        <f>STANDARDIZE(Eingabe[[#This Row],[GES]],Eingabe[[#This Row],[Schnitt]],VLOOKUP(Eingabe[[#This Row],[Name]],AuswertungG[],21,FALSE))</f>
        <v>#VALUE!</v>
      </c>
      <c r="AO701" s="6" t="str">
        <f>VLOOKUP(Eingabe[[#This Row],[ID]],Chronologie[[ID]:[KW]],12,FALSE)</f>
        <v/>
      </c>
      <c r="AP701" s="95">
        <f>IF(Eingabe[[#This Row],[Wo]]="H",Eingabe[[#This Row],[Gegner]]&amp;" ["&amp;Eingabe[[#This Row],[Wo]]&amp;"]",Eingabe[[#This Row],[Ort]])</f>
        <v>0</v>
      </c>
      <c r="AQ701" s="6" t="str">
        <f>IFERROR(IF(Eingabe[[#This Row],[Wo]]="H",IF(MOD(Eingabe[[#This Row],[Position]],2)=1,Eingabe[[#This Row],[S1]],Eingabe[[#This Row],[S4]]),""),"")</f>
        <v/>
      </c>
      <c r="AR701" s="6" t="str">
        <f>IFERROR(IF(Eingabe[[#This Row],[Wo]]="H",IF(Eingabe[[#This Row],[S1]]&gt;0,IF(MOD(Eingabe[[#This Row],[Position]],2)=1,Eingabe[[#This Row],[S2]],Eingabe[[#This Row],[S3]]),""),""),"")</f>
        <v/>
      </c>
      <c r="AS701" s="6" t="str">
        <f>IFERROR(IF(Eingabe[[#This Row],[Wo]]="H",IF(Eingabe[[#This Row],[S1]]&gt;0,IF(MOD(ROW(Eingabe[[#This Row],[Heimbahn 3]]),2)=1,Eingabe[[#This Row],[S4]],Eingabe[[#This Row],[S1]]),""),""),"")</f>
        <v/>
      </c>
      <c r="AT701" s="6" t="str">
        <f>IFERROR(IF(Eingabe[[#This Row],[Wo]]="H",IF(Eingabe[[#This Row],[S1]]&gt;0,IF(MOD(ROW(Eingabe[[#This Row],[Heimbahn 4]]),2)=1,Eingabe[[#This Row],[S3]],Eingabe[[#This Row],[S2]]),""),""),"")</f>
        <v/>
      </c>
      <c r="AU701" s="22" t="str">
        <f>IF(Eingabe[[#This Row],[GES]]="","",IF(Eingabe[[#This Row],[Modus]]="L",_xlfn.RANK.EQ(Eingabe[[#This Row],[GES]],AF699:AF704),IF(Eingabe[[#This Row],[Modus]]="P",_xlfn.RANK.EQ(Eingabe[[#This Row],[GES]],AF699:AF704),"")))</f>
        <v/>
      </c>
      <c r="AV701" s="6" t="e">
        <f>VLOOKUP(Eingabe[[#This Row],[Name]],AuswertungG[],8,FALSE)</f>
        <v>#N/A</v>
      </c>
      <c r="AZ701" s="6" t="str">
        <f>IFERROR(ABS(Eingabe[[#This Row],[GES]]-Eingabe[[#This Row],[GEGGES]]),"")</f>
        <v/>
      </c>
    </row>
    <row r="702" spans="1:52" hidden="1" x14ac:dyDescent="0.3">
      <c r="A702" s="441"/>
      <c r="B702" s="21">
        <f t="shared" si="75"/>
        <v>117</v>
      </c>
      <c r="C702" s="6">
        <f>VLOOKUP($B702,Chronologie[],7,TRUE)</f>
        <v>0</v>
      </c>
      <c r="D702" s="6">
        <f>VLOOKUP($B702,Chronologie[],8,TRUE)</f>
        <v>0</v>
      </c>
      <c r="E702" s="240">
        <f>VLOOKUP($B702,Chronologie[],9,TRUE)</f>
        <v>0</v>
      </c>
      <c r="F702" s="6">
        <f>VLOOKUP($B702,Chronologie[],COLUMN(F703)-2,TRUE)</f>
        <v>0</v>
      </c>
      <c r="G702" s="6">
        <f>VLOOKUP($B702,Chronologie[],COLUMN(G703)-2,TRUE)</f>
        <v>0</v>
      </c>
      <c r="H702" s="6">
        <f>VLOOKUP($B702,Chronologie[],COLUMN(H703)-2,TRUE)</f>
        <v>0</v>
      </c>
      <c r="I702" s="10" t="str">
        <f>VLOOKUP($B702,Chronologie[],2,TRUE)</f>
        <v>--</v>
      </c>
      <c r="J702" s="243">
        <f>VLOOKUP($B702,Chronologie[],3,TRUE)</f>
        <v>0</v>
      </c>
      <c r="K702" s="238"/>
      <c r="L702" s="237"/>
      <c r="M702" s="237"/>
      <c r="N702" s="237"/>
      <c r="O702" s="237"/>
      <c r="P702" s="237"/>
      <c r="Q702" s="237"/>
      <c r="R702" s="237"/>
      <c r="S702" s="237"/>
      <c r="T702" s="237"/>
      <c r="U702" s="237"/>
      <c r="V702" s="237"/>
      <c r="W702" s="237"/>
      <c r="X702" s="38"/>
      <c r="Y702" s="38"/>
      <c r="Z702" s="38"/>
      <c r="AA702" s="38"/>
      <c r="AB702" s="91"/>
      <c r="AC702" s="94" t="str">
        <f>IF(Eingabe[[#This Row],[V1]]="",IF(Eingabe[[#This Row],[Volle alternativ]]="","",Eingabe[[#This Row],[Volle alternativ]]),SUM(Eingabe[[#This Row],[V1]:[V4]]))</f>
        <v/>
      </c>
      <c r="AD702" s="6" t="str">
        <f>IF(Eingabe[[#This Row],[R1]]="",IF(Eingabe[[#This Row],[Räumer alternativ]]="","",Eingabe[[#This Row],[Räumer alternativ]]),SUM(Eingabe[[#This Row],[R1]:[R4]]))</f>
        <v/>
      </c>
      <c r="AE702" s="6" t="str">
        <f>IF(Eingabe[[#This Row],[F1]]="",IF(Eingabe[[#This Row],[Fehler alternativ]]="","",Eingabe[[#This Row],[Fehler alternativ]]),SUM(Eingabe[[#This Row],[F1]:[F4]]))</f>
        <v/>
      </c>
      <c r="AF702" s="6" t="str">
        <f>IF(Eingabe[[#This Row],[Volle]]="","",IF(Eingabe[[#This Row],[S1]]="",Eingabe[[#This Row],[Volle]]+Eingabe[[#This Row],[Räumer]],IF(Eingabe[[#This Row],[Volle]]+Eingabe[[#This Row],[Räumer]]=Eingabe[[#This Row],[S1]]+Eingabe[[#This Row],[S2]]+Eingabe[[#This Row],[S3]]+Eingabe[[#This Row],[S4]],Eingabe[[#This Row],[Volle]]+Eingabe[[#This Row],[Räumer]],"FEHLER")))</f>
        <v/>
      </c>
      <c r="AG702" s="6" t="str">
        <f>IF(Eingabe[[#This Row],[V1]]="","",Eingabe[[#This Row],[V1]]+Eingabe[[#This Row],[R1]])</f>
        <v/>
      </c>
      <c r="AH702" s="6" t="str">
        <f>IF(Eingabe[[#This Row],[V2]]="","",Eingabe[[#This Row],[V2]]+Eingabe[[#This Row],[R2]])</f>
        <v/>
      </c>
      <c r="AI702" s="6" t="str">
        <f>IF(Eingabe[[#This Row],[V3]]="","",Eingabe[[#This Row],[V3]]+Eingabe[[#This Row],[R3]])</f>
        <v/>
      </c>
      <c r="AJ702" s="6" t="str">
        <f>IF(Eingabe[[#This Row],[V4]]="","",Eingabe[[#This Row],[V4]]+Eingabe[[#This Row],[R4]])</f>
        <v/>
      </c>
      <c r="AK702" s="6" t="str">
        <f>IF(Eingabe[[#This Row],[S1P]]="","",Eingabe[[#This Row],[S1P]]+Eingabe[[#This Row],[S2P]]+Eingabe[[#This Row],[S3P]]+Eingabe[[#This Row],[S4P]])</f>
        <v/>
      </c>
      <c r="AL702" s="6" t="str">
        <f>IF(Eingabe[[#This Row],[S1P]]="","",IF(Eingabe[[#This Row],[SP]]&gt;2,1,IF(Eingabe[[#This Row],[SP]]&lt;2,0,IF(Eingabe[[#This Row],[GES]]&gt;Eingabe[[#This Row],[GEGGES]],1,IF(Eingabe[[#This Row],[GES]]=Eingabe[[#This Row],[GEGGES]],0.5,0)))))</f>
        <v/>
      </c>
      <c r="AM702" s="6" t="str">
        <f>IF(Eingabe[[#This Row],[MP]]="","",MOD(ROW(Eingabe[[#This Row],[Position]])-3,6)+1)</f>
        <v/>
      </c>
      <c r="AN702" s="6" t="e">
        <f>STANDARDIZE(Eingabe[[#This Row],[GES]],Eingabe[[#This Row],[Schnitt]],VLOOKUP(Eingabe[[#This Row],[Name]],AuswertungG[],21,FALSE))</f>
        <v>#VALUE!</v>
      </c>
      <c r="AO702" s="6" t="str">
        <f>VLOOKUP(Eingabe[[#This Row],[ID]],Chronologie[[ID]:[KW]],12,FALSE)</f>
        <v/>
      </c>
      <c r="AP702" s="95">
        <f>IF(Eingabe[[#This Row],[Wo]]="H",Eingabe[[#This Row],[Gegner]]&amp;" ["&amp;Eingabe[[#This Row],[Wo]]&amp;"]",Eingabe[[#This Row],[Ort]])</f>
        <v>0</v>
      </c>
      <c r="AQ702" s="6" t="str">
        <f>IFERROR(IF(Eingabe[[#This Row],[Wo]]="H",IF(MOD(Eingabe[[#This Row],[Position]],2)=1,Eingabe[[#This Row],[S1]],Eingabe[[#This Row],[S4]]),""),"")</f>
        <v/>
      </c>
      <c r="AR702" s="6" t="str">
        <f>IFERROR(IF(Eingabe[[#This Row],[Wo]]="H",IF(Eingabe[[#This Row],[S1]]&gt;0,IF(MOD(Eingabe[[#This Row],[Position]],2)=1,Eingabe[[#This Row],[S2]],Eingabe[[#This Row],[S3]]),""),""),"")</f>
        <v/>
      </c>
      <c r="AS702" s="6" t="str">
        <f>IFERROR(IF(Eingabe[[#This Row],[Wo]]="H",IF(Eingabe[[#This Row],[S1]]&gt;0,IF(MOD(ROW(Eingabe[[#This Row],[Heimbahn 3]]),2)=1,Eingabe[[#This Row],[S4]],Eingabe[[#This Row],[S1]]),""),""),"")</f>
        <v/>
      </c>
      <c r="AT702" s="6" t="str">
        <f>IFERROR(IF(Eingabe[[#This Row],[Wo]]="H",IF(Eingabe[[#This Row],[S1]]&gt;0,IF(MOD(ROW(Eingabe[[#This Row],[Heimbahn 4]]),2)=1,Eingabe[[#This Row],[S3]],Eingabe[[#This Row],[S2]]),""),""),"")</f>
        <v/>
      </c>
      <c r="AU702" s="22" t="str">
        <f>IF(Eingabe[[#This Row],[GES]]="","",IF(Eingabe[[#This Row],[Modus]]="L",_xlfn.RANK.EQ(Eingabe[[#This Row],[GES]],AF699:AF704),IF(Eingabe[[#This Row],[Modus]]="P",_xlfn.RANK.EQ(Eingabe[[#This Row],[GES]],AF699:AF704),"")))</f>
        <v/>
      </c>
      <c r="AV702" s="6" t="e">
        <f>VLOOKUP(Eingabe[[#This Row],[Name]],AuswertungG[],8,FALSE)</f>
        <v>#N/A</v>
      </c>
      <c r="AZ702" s="6" t="str">
        <f>IFERROR(ABS(Eingabe[[#This Row],[GES]]-Eingabe[[#This Row],[GEGGES]]),"")</f>
        <v/>
      </c>
    </row>
    <row r="703" spans="1:52" hidden="1" x14ac:dyDescent="0.3">
      <c r="A703" s="441"/>
      <c r="B703" s="21">
        <f t="shared" si="75"/>
        <v>117</v>
      </c>
      <c r="C703" s="6">
        <f>VLOOKUP($B703,Chronologie[],7,TRUE)</f>
        <v>0</v>
      </c>
      <c r="D703" s="6">
        <f>VLOOKUP($B703,Chronologie[],8,TRUE)</f>
        <v>0</v>
      </c>
      <c r="E703" s="240">
        <f>VLOOKUP($B703,Chronologie[],9,TRUE)</f>
        <v>0</v>
      </c>
      <c r="F703" s="6">
        <f>VLOOKUP($B703,Chronologie[],COLUMN(F704)-2,TRUE)</f>
        <v>0</v>
      </c>
      <c r="G703" s="6">
        <f>VLOOKUP($B703,Chronologie[],COLUMN(G704)-2,TRUE)</f>
        <v>0</v>
      </c>
      <c r="H703" s="6">
        <f>VLOOKUP($B703,Chronologie[],COLUMN(H704)-2,TRUE)</f>
        <v>0</v>
      </c>
      <c r="I703" s="10" t="str">
        <f>VLOOKUP($B703,Chronologie[],2,TRUE)</f>
        <v>--</v>
      </c>
      <c r="J703" s="243">
        <f>VLOOKUP($B703,Chronologie[],3,TRUE)</f>
        <v>0</v>
      </c>
      <c r="K703" s="237"/>
      <c r="L703" s="237"/>
      <c r="M703" s="237"/>
      <c r="N703" s="237"/>
      <c r="O703" s="237"/>
      <c r="P703" s="237"/>
      <c r="Q703" s="237"/>
      <c r="R703" s="237"/>
      <c r="S703" s="237"/>
      <c r="T703" s="237"/>
      <c r="U703" s="237"/>
      <c r="V703" s="237"/>
      <c r="W703" s="237"/>
      <c r="X703" s="38"/>
      <c r="Y703" s="38"/>
      <c r="Z703" s="38"/>
      <c r="AA703" s="38"/>
      <c r="AB703" s="91"/>
      <c r="AC703" s="94" t="str">
        <f>IF(Eingabe[[#This Row],[V1]]="",IF(Eingabe[[#This Row],[Volle alternativ]]="","",Eingabe[[#This Row],[Volle alternativ]]),SUM(Eingabe[[#This Row],[V1]:[V4]]))</f>
        <v/>
      </c>
      <c r="AD703" s="6" t="str">
        <f>IF(Eingabe[[#This Row],[R1]]="",IF(Eingabe[[#This Row],[Räumer alternativ]]="","",Eingabe[[#This Row],[Räumer alternativ]]),SUM(Eingabe[[#This Row],[R1]:[R4]]))</f>
        <v/>
      </c>
      <c r="AE703" s="6" t="str">
        <f>IF(Eingabe[[#This Row],[F1]]="",IF(Eingabe[[#This Row],[Fehler alternativ]]="","",Eingabe[[#This Row],[Fehler alternativ]]),SUM(Eingabe[[#This Row],[F1]:[F4]]))</f>
        <v/>
      </c>
      <c r="AF703" s="6" t="str">
        <f>IF(Eingabe[[#This Row],[Volle]]="","",IF(Eingabe[[#This Row],[S1]]="",Eingabe[[#This Row],[Volle]]+Eingabe[[#This Row],[Räumer]],IF(Eingabe[[#This Row],[Volle]]+Eingabe[[#This Row],[Räumer]]=Eingabe[[#This Row],[S1]]+Eingabe[[#This Row],[S2]]+Eingabe[[#This Row],[S3]]+Eingabe[[#This Row],[S4]],Eingabe[[#This Row],[Volle]]+Eingabe[[#This Row],[Räumer]],"FEHLER")))</f>
        <v/>
      </c>
      <c r="AG703" s="6" t="str">
        <f>IF(Eingabe[[#This Row],[V1]]="","",Eingabe[[#This Row],[V1]]+Eingabe[[#This Row],[R1]])</f>
        <v/>
      </c>
      <c r="AH703" s="6" t="str">
        <f>IF(Eingabe[[#This Row],[V2]]="","",Eingabe[[#This Row],[V2]]+Eingabe[[#This Row],[R2]])</f>
        <v/>
      </c>
      <c r="AI703" s="6" t="str">
        <f>IF(Eingabe[[#This Row],[V3]]="","",Eingabe[[#This Row],[V3]]+Eingabe[[#This Row],[R3]])</f>
        <v/>
      </c>
      <c r="AJ703" s="6" t="str">
        <f>IF(Eingabe[[#This Row],[V4]]="","",Eingabe[[#This Row],[V4]]+Eingabe[[#This Row],[R4]])</f>
        <v/>
      </c>
      <c r="AK703" s="6" t="str">
        <f>IF(Eingabe[[#This Row],[S1P]]="","",Eingabe[[#This Row],[S1P]]+Eingabe[[#This Row],[S2P]]+Eingabe[[#This Row],[S3P]]+Eingabe[[#This Row],[S4P]])</f>
        <v/>
      </c>
      <c r="AL703" s="6" t="str">
        <f>IF(Eingabe[[#This Row],[S1P]]="","",IF(Eingabe[[#This Row],[SP]]&gt;2,1,IF(Eingabe[[#This Row],[SP]]&lt;2,0,IF(Eingabe[[#This Row],[GES]]&gt;Eingabe[[#This Row],[GEGGES]],1,IF(Eingabe[[#This Row],[GES]]=Eingabe[[#This Row],[GEGGES]],0.5,0)))))</f>
        <v/>
      </c>
      <c r="AM703" s="6" t="str">
        <f>IF(Eingabe[[#This Row],[MP]]="","",MOD(ROW(Eingabe[[#This Row],[Position]])-3,6)+1)</f>
        <v/>
      </c>
      <c r="AN703" s="6" t="e">
        <f>STANDARDIZE(Eingabe[[#This Row],[GES]],Eingabe[[#This Row],[Schnitt]],VLOOKUP(Eingabe[[#This Row],[Name]],AuswertungG[],21,FALSE))</f>
        <v>#VALUE!</v>
      </c>
      <c r="AO703" s="6" t="str">
        <f>VLOOKUP(Eingabe[[#This Row],[ID]],Chronologie[[ID]:[KW]],12,FALSE)</f>
        <v/>
      </c>
      <c r="AP703" s="95">
        <f>IF(Eingabe[[#This Row],[Wo]]="H",Eingabe[[#This Row],[Gegner]]&amp;" ["&amp;Eingabe[[#This Row],[Wo]]&amp;"]",Eingabe[[#This Row],[Ort]])</f>
        <v>0</v>
      </c>
      <c r="AQ703" s="6" t="str">
        <f>IFERROR(IF(Eingabe[[#This Row],[Wo]]="H",IF(MOD(Eingabe[[#This Row],[Position]],2)=1,Eingabe[[#This Row],[S1]],Eingabe[[#This Row],[S4]]),""),"")</f>
        <v/>
      </c>
      <c r="AR703" s="6" t="str">
        <f>IFERROR(IF(Eingabe[[#This Row],[Wo]]="H",IF(Eingabe[[#This Row],[S1]]&gt;0,IF(MOD(Eingabe[[#This Row],[Position]],2)=1,Eingabe[[#This Row],[S2]],Eingabe[[#This Row],[S3]]),""),""),"")</f>
        <v/>
      </c>
      <c r="AS703" s="6" t="str">
        <f>IFERROR(IF(Eingabe[[#This Row],[Wo]]="H",IF(Eingabe[[#This Row],[S1]]&gt;0,IF(MOD(ROW(Eingabe[[#This Row],[Heimbahn 3]]),2)=1,Eingabe[[#This Row],[S4]],Eingabe[[#This Row],[S1]]),""),""),"")</f>
        <v/>
      </c>
      <c r="AT703" s="6" t="str">
        <f>IFERROR(IF(Eingabe[[#This Row],[Wo]]="H",IF(Eingabe[[#This Row],[S1]]&gt;0,IF(MOD(ROW(Eingabe[[#This Row],[Heimbahn 4]]),2)=1,Eingabe[[#This Row],[S3]],Eingabe[[#This Row],[S2]]),""),""),"")</f>
        <v/>
      </c>
      <c r="AU703" s="22" t="str">
        <f>IF(Eingabe[[#This Row],[GES]]="","",IF(Eingabe[[#This Row],[Modus]]="L",_xlfn.RANK.EQ(Eingabe[[#This Row],[GES]],AF699:AF704),IF(Eingabe[[#This Row],[Modus]]="P",_xlfn.RANK.EQ(Eingabe[[#This Row],[GES]],AF699:AF704),"")))</f>
        <v/>
      </c>
      <c r="AV703" s="6" t="e">
        <f>VLOOKUP(Eingabe[[#This Row],[Name]],AuswertungG[],8,FALSE)</f>
        <v>#N/A</v>
      </c>
      <c r="AZ703" s="6" t="str">
        <f>IFERROR(ABS(Eingabe[[#This Row],[GES]]-Eingabe[[#This Row],[GEGGES]]),"")</f>
        <v/>
      </c>
    </row>
    <row r="704" spans="1:52" ht="16.2" hidden="1" thickBot="1" x14ac:dyDescent="0.35">
      <c r="A704" s="442"/>
      <c r="B704" s="56">
        <f t="shared" si="75"/>
        <v>117</v>
      </c>
      <c r="C704" s="23">
        <f>VLOOKUP($B704,Chronologie[],7,TRUE)</f>
        <v>0</v>
      </c>
      <c r="D704" s="23">
        <f>VLOOKUP($B704,Chronologie[],8,TRUE)</f>
        <v>0</v>
      </c>
      <c r="E704" s="39">
        <f>VLOOKUP($B704,Chronologie[],9,TRUE)</f>
        <v>0</v>
      </c>
      <c r="F704" s="23">
        <f>VLOOKUP($B704,Chronologie[],COLUMN(F705)-2,TRUE)</f>
        <v>0</v>
      </c>
      <c r="G704" s="23">
        <f>VLOOKUP($B704,Chronologie[],COLUMN(G705)-2,TRUE)</f>
        <v>0</v>
      </c>
      <c r="H704" s="23">
        <f>VLOOKUP($B704,Chronologie[],COLUMN(H705)-2,TRUE)</f>
        <v>0</v>
      </c>
      <c r="I704" s="13" t="str">
        <f>VLOOKUP($B704,Chronologie[],2,TRUE)</f>
        <v>--</v>
      </c>
      <c r="J704" s="244">
        <f>VLOOKUP($B704,Chronologie[],3,TRUE)</f>
        <v>0</v>
      </c>
      <c r="K704" s="239"/>
      <c r="L704" s="239"/>
      <c r="M704" s="239"/>
      <c r="N704" s="239"/>
      <c r="O704" s="239"/>
      <c r="P704" s="239"/>
      <c r="Q704" s="239"/>
      <c r="R704" s="239"/>
      <c r="S704" s="239"/>
      <c r="T704" s="239"/>
      <c r="U704" s="239"/>
      <c r="V704" s="239"/>
      <c r="W704" s="239"/>
      <c r="X704" s="40"/>
      <c r="Y704" s="40"/>
      <c r="Z704" s="40"/>
      <c r="AA704" s="40"/>
      <c r="AB704" s="92"/>
      <c r="AC704" s="96" t="str">
        <f>IF(Eingabe[[#This Row],[V1]]="",IF(Eingabe[[#This Row],[Volle alternativ]]="","",Eingabe[[#This Row],[Volle alternativ]]),SUM(Eingabe[[#This Row],[V1]:[V4]]))</f>
        <v/>
      </c>
      <c r="AD704" s="23" t="str">
        <f>IF(Eingabe[[#This Row],[R1]]="",IF(Eingabe[[#This Row],[Räumer alternativ]]="","",Eingabe[[#This Row],[Räumer alternativ]]),SUM(Eingabe[[#This Row],[R1]:[R4]]))</f>
        <v/>
      </c>
      <c r="AE704" s="23" t="str">
        <f>IF(Eingabe[[#This Row],[F1]]="",IF(Eingabe[[#This Row],[Fehler alternativ]]="","",Eingabe[[#This Row],[Fehler alternativ]]),SUM(Eingabe[[#This Row],[F1]:[F4]]))</f>
        <v/>
      </c>
      <c r="AF704" s="23" t="str">
        <f>IF(Eingabe[[#This Row],[Volle]]="","",IF(Eingabe[[#This Row],[S1]]="",Eingabe[[#This Row],[Volle]]+Eingabe[[#This Row],[Räumer]],IF(Eingabe[[#This Row],[Volle]]+Eingabe[[#This Row],[Räumer]]=Eingabe[[#This Row],[S1]]+Eingabe[[#This Row],[S2]]+Eingabe[[#This Row],[S3]]+Eingabe[[#This Row],[S4]],Eingabe[[#This Row],[Volle]]+Eingabe[[#This Row],[Räumer]],"FEHLER")))</f>
        <v/>
      </c>
      <c r="AG704" s="23" t="str">
        <f>IF(Eingabe[[#This Row],[V1]]="","",Eingabe[[#This Row],[V1]]+Eingabe[[#This Row],[R1]])</f>
        <v/>
      </c>
      <c r="AH704" s="23" t="str">
        <f>IF(Eingabe[[#This Row],[V2]]="","",Eingabe[[#This Row],[V2]]+Eingabe[[#This Row],[R2]])</f>
        <v/>
      </c>
      <c r="AI704" s="23" t="str">
        <f>IF(Eingabe[[#This Row],[V3]]="","",Eingabe[[#This Row],[V3]]+Eingabe[[#This Row],[R3]])</f>
        <v/>
      </c>
      <c r="AJ704" s="23" t="str">
        <f>IF(Eingabe[[#This Row],[V4]]="","",Eingabe[[#This Row],[V4]]+Eingabe[[#This Row],[R4]])</f>
        <v/>
      </c>
      <c r="AK704" s="23" t="str">
        <f>IF(Eingabe[[#This Row],[S1P]]="","",Eingabe[[#This Row],[S1P]]+Eingabe[[#This Row],[S2P]]+Eingabe[[#This Row],[S3P]]+Eingabe[[#This Row],[S4P]])</f>
        <v/>
      </c>
      <c r="AL704" s="23" t="str">
        <f>IF(Eingabe[[#This Row],[S1P]]="","",IF(Eingabe[[#This Row],[SP]]&gt;2,1,IF(Eingabe[[#This Row],[SP]]&lt;2,0,IF(Eingabe[[#This Row],[GES]]&gt;Eingabe[[#This Row],[GEGGES]],1,IF(Eingabe[[#This Row],[GES]]=Eingabe[[#This Row],[GEGGES]],0.5,0)))))</f>
        <v/>
      </c>
      <c r="AM704" s="23" t="str">
        <f>IF(Eingabe[[#This Row],[MP]]="","",MOD(ROW(Eingabe[[#This Row],[Position]])-3,6)+1)</f>
        <v/>
      </c>
      <c r="AN704" s="23" t="e">
        <f>STANDARDIZE(Eingabe[[#This Row],[GES]],Eingabe[[#This Row],[Schnitt]],VLOOKUP(Eingabe[[#This Row],[Name]],AuswertungG[],21,FALSE))</f>
        <v>#VALUE!</v>
      </c>
      <c r="AO704" s="23" t="str">
        <f>VLOOKUP(Eingabe[[#This Row],[ID]],Chronologie[[ID]:[KW]],12,FALSE)</f>
        <v/>
      </c>
      <c r="AP704" s="59">
        <f>IF(Eingabe[[#This Row],[Wo]]="H",Eingabe[[#This Row],[Gegner]]&amp;" ["&amp;Eingabe[[#This Row],[Wo]]&amp;"]",Eingabe[[#This Row],[Ort]])</f>
        <v>0</v>
      </c>
      <c r="AQ704" s="23" t="str">
        <f>IFERROR(IF(Eingabe[[#This Row],[Wo]]="H",IF(MOD(Eingabe[[#This Row],[Position]],2)=1,Eingabe[[#This Row],[S1]],Eingabe[[#This Row],[S4]]),""),"")</f>
        <v/>
      </c>
      <c r="AR704" s="23" t="str">
        <f>IFERROR(IF(Eingabe[[#This Row],[Wo]]="H",IF(Eingabe[[#This Row],[S1]]&gt;0,IF(MOD(Eingabe[[#This Row],[Position]],2)=1,Eingabe[[#This Row],[S2]],Eingabe[[#This Row],[S3]]),""),""),"")</f>
        <v/>
      </c>
      <c r="AS704" s="23" t="str">
        <f>IFERROR(IF(Eingabe[[#This Row],[Wo]]="H",IF(Eingabe[[#This Row],[S1]]&gt;0,IF(MOD(ROW(Eingabe[[#This Row],[Heimbahn 3]]),2)=1,Eingabe[[#This Row],[S4]],Eingabe[[#This Row],[S1]]),""),""),"")</f>
        <v/>
      </c>
      <c r="AT704" s="23" t="str">
        <f>IFERROR(IF(Eingabe[[#This Row],[Wo]]="H",IF(Eingabe[[#This Row],[S1]]&gt;0,IF(MOD(ROW(Eingabe[[#This Row],[Heimbahn 4]]),2)=1,Eingabe[[#This Row],[S3]],Eingabe[[#This Row],[S2]]),""),""),"")</f>
        <v/>
      </c>
      <c r="AU704" s="89" t="str">
        <f>IF(Eingabe[[#This Row],[GES]]="","",IF(Eingabe[[#This Row],[Modus]]="L",_xlfn.RANK.EQ(Eingabe[[#This Row],[GES]],AF699:AF704),IF(Eingabe[[#This Row],[Modus]]="P",_xlfn.RANK.EQ(Eingabe[[#This Row],[GES]],AF699:AF704),"")))</f>
        <v/>
      </c>
      <c r="AV704" s="6" t="e">
        <f>VLOOKUP(Eingabe[[#This Row],[Name]],AuswertungG[],8,FALSE)</f>
        <v>#N/A</v>
      </c>
      <c r="AZ704" s="6" t="str">
        <f>IFERROR(ABS(Eingabe[[#This Row],[GES]]-Eingabe[[#This Row],[GEGGES]]),"")</f>
        <v/>
      </c>
    </row>
    <row r="705" spans="1:52" hidden="1" x14ac:dyDescent="0.3">
      <c r="A705" s="440">
        <f t="shared" ref="A705" si="76">B705</f>
        <v>118</v>
      </c>
      <c r="B705" s="55">
        <f t="shared" si="75"/>
        <v>118</v>
      </c>
      <c r="C705" s="35">
        <f>VLOOKUP($B705,Chronologie[],7,TRUE)</f>
        <v>0</v>
      </c>
      <c r="D705" s="35">
        <f>VLOOKUP($B705,Chronologie[],8,TRUE)</f>
        <v>0</v>
      </c>
      <c r="E705" s="36">
        <f>VLOOKUP($B705,Chronologie[],9,TRUE)</f>
        <v>0</v>
      </c>
      <c r="F705" s="35">
        <f>VLOOKUP($B705,Chronologie[],COLUMN(F706)-2,TRUE)</f>
        <v>0</v>
      </c>
      <c r="G705" s="35">
        <f>VLOOKUP($B705,Chronologie[],COLUMN(G706)-2,TRUE)</f>
        <v>0</v>
      </c>
      <c r="H705" s="35">
        <f>VLOOKUP($B705,Chronologie[],COLUMN(H706)-2,TRUE)</f>
        <v>0</v>
      </c>
      <c r="I705" s="9" t="str">
        <f>VLOOKUP($B705,Chronologie[],2,TRUE)</f>
        <v>--</v>
      </c>
      <c r="J705" s="242">
        <f>VLOOKUP($B705,Chronologie[],3,TRUE)</f>
        <v>0</v>
      </c>
      <c r="K705" s="236"/>
      <c r="L705" s="334"/>
      <c r="M705" s="334"/>
      <c r="N705" s="334"/>
      <c r="O705" s="334"/>
      <c r="P705" s="334"/>
      <c r="Q705" s="334"/>
      <c r="R705" s="334"/>
      <c r="S705" s="334"/>
      <c r="T705" s="334"/>
      <c r="U705" s="334"/>
      <c r="V705" s="334"/>
      <c r="W705" s="334"/>
      <c r="X705" s="37"/>
      <c r="Y705" s="37"/>
      <c r="Z705" s="37"/>
      <c r="AA705" s="37"/>
      <c r="AB705" s="90"/>
      <c r="AC705" s="93" t="str">
        <f>IF(Eingabe[[#This Row],[V1]]="",IF(Eingabe[[#This Row],[Volle alternativ]]="","",Eingabe[[#This Row],[Volle alternativ]]),SUM(Eingabe[[#This Row],[V1]:[V4]]))</f>
        <v/>
      </c>
      <c r="AD705" s="35" t="str">
        <f>IF(Eingabe[[#This Row],[R1]]="",IF(Eingabe[[#This Row],[Räumer alternativ]]="","",Eingabe[[#This Row],[Räumer alternativ]]),SUM(Eingabe[[#This Row],[R1]:[R4]]))</f>
        <v/>
      </c>
      <c r="AE705" s="35" t="str">
        <f>IF(Eingabe[[#This Row],[F1]]="",IF(Eingabe[[#This Row],[Fehler alternativ]]="","",Eingabe[[#This Row],[Fehler alternativ]]),SUM(Eingabe[[#This Row],[F1]:[F4]]))</f>
        <v/>
      </c>
      <c r="AF705" s="35" t="str">
        <f>IF(Eingabe[[#This Row],[Volle]]="","",IF(Eingabe[[#This Row],[S1]]="",Eingabe[[#This Row],[Volle]]+Eingabe[[#This Row],[Räumer]],IF(Eingabe[[#This Row],[Volle]]+Eingabe[[#This Row],[Räumer]]=Eingabe[[#This Row],[S1]]+Eingabe[[#This Row],[S2]]+Eingabe[[#This Row],[S3]]+Eingabe[[#This Row],[S4]],Eingabe[[#This Row],[Volle]]+Eingabe[[#This Row],[Räumer]],"FEHLER")))</f>
        <v/>
      </c>
      <c r="AG705" s="35" t="str">
        <f>IF(Eingabe[[#This Row],[V1]]="","",Eingabe[[#This Row],[V1]]+Eingabe[[#This Row],[R1]])</f>
        <v/>
      </c>
      <c r="AH705" s="35" t="str">
        <f>IF(Eingabe[[#This Row],[V2]]="","",Eingabe[[#This Row],[V2]]+Eingabe[[#This Row],[R2]])</f>
        <v/>
      </c>
      <c r="AI705" s="35" t="str">
        <f>IF(Eingabe[[#This Row],[V3]]="","",Eingabe[[#This Row],[V3]]+Eingabe[[#This Row],[R3]])</f>
        <v/>
      </c>
      <c r="AJ705" s="35" t="str">
        <f>IF(Eingabe[[#This Row],[V4]]="","",Eingabe[[#This Row],[V4]]+Eingabe[[#This Row],[R4]])</f>
        <v/>
      </c>
      <c r="AK705" s="35" t="str">
        <f>IF(Eingabe[[#This Row],[S1P]]="","",Eingabe[[#This Row],[S1P]]+Eingabe[[#This Row],[S2P]]+Eingabe[[#This Row],[S3P]]+Eingabe[[#This Row],[S4P]])</f>
        <v/>
      </c>
      <c r="AL705" s="35" t="str">
        <f>IF(Eingabe[[#This Row],[S1P]]="","",IF(Eingabe[[#This Row],[SP]]&gt;2,1,IF(Eingabe[[#This Row],[SP]]&lt;2,0,IF(Eingabe[[#This Row],[GES]]&gt;Eingabe[[#This Row],[GEGGES]],1,IF(Eingabe[[#This Row],[GES]]=Eingabe[[#This Row],[GEGGES]],0.5,0)))))</f>
        <v/>
      </c>
      <c r="AM705" s="35" t="str">
        <f>IF(Eingabe[[#This Row],[MP]]="","",MOD(ROW(Eingabe[[#This Row],[Position]])-3,6)+1)</f>
        <v/>
      </c>
      <c r="AN705" s="35" t="e">
        <f>STANDARDIZE(Eingabe[[#This Row],[GES]],Eingabe[[#This Row],[Schnitt]],VLOOKUP(Eingabe[[#This Row],[Name]],AuswertungG[],21,FALSE))</f>
        <v>#VALUE!</v>
      </c>
      <c r="AO705" s="35" t="str">
        <f>VLOOKUP(Eingabe[[#This Row],[ID]],Chronologie[[ID]:[KW]],12,FALSE)</f>
        <v/>
      </c>
      <c r="AP705" s="58">
        <f>IF(Eingabe[[#This Row],[Wo]]="H",Eingabe[[#This Row],[Gegner]]&amp;" ["&amp;Eingabe[[#This Row],[Wo]]&amp;"]",Eingabe[[#This Row],[Ort]])</f>
        <v>0</v>
      </c>
      <c r="AQ705" s="35" t="str">
        <f>IFERROR(IF(Eingabe[[#This Row],[Wo]]="H",IF(MOD(Eingabe[[#This Row],[Position]],2)=1,Eingabe[[#This Row],[S1]],Eingabe[[#This Row],[S4]]),""),"")</f>
        <v/>
      </c>
      <c r="AR705" s="35" t="str">
        <f>IFERROR(IF(Eingabe[[#This Row],[Wo]]="H",IF(Eingabe[[#This Row],[S1]]&gt;0,IF(MOD(Eingabe[[#This Row],[Position]],2)=1,Eingabe[[#This Row],[S2]],Eingabe[[#This Row],[S3]]),""),""),"")</f>
        <v/>
      </c>
      <c r="AS705" s="35" t="str">
        <f>IFERROR(IF(Eingabe[[#This Row],[Wo]]="H",IF(Eingabe[[#This Row],[S1]]&gt;0,IF(MOD(ROW(Eingabe[[#This Row],[Heimbahn 3]]),2)=1,Eingabe[[#This Row],[S4]],Eingabe[[#This Row],[S1]]),""),""),"")</f>
        <v/>
      </c>
      <c r="AT705" s="35" t="str">
        <f>IFERROR(IF(Eingabe[[#This Row],[Wo]]="H",IF(Eingabe[[#This Row],[S1]]&gt;0,IF(MOD(ROW(Eingabe[[#This Row],[Heimbahn 4]]),2)=1,Eingabe[[#This Row],[S3]],Eingabe[[#This Row],[S2]]),""),""),"")</f>
        <v/>
      </c>
      <c r="AU705" s="88" t="str">
        <f>IF(Eingabe[[#This Row],[GES]]="","",IF(Eingabe[[#This Row],[Modus]]="L",_xlfn.RANK.EQ(Eingabe[[#This Row],[GES]],AF705:AF710),IF(Eingabe[[#This Row],[Modus]]="P",_xlfn.RANK.EQ(Eingabe[[#This Row],[GES]],AF705:AF710),"")))</f>
        <v/>
      </c>
      <c r="AV705" s="6" t="e">
        <f>VLOOKUP(Eingabe[[#This Row],[Name]],AuswertungG[],8,FALSE)</f>
        <v>#N/A</v>
      </c>
      <c r="AZ705" s="6" t="str">
        <f>IFERROR(ABS(Eingabe[[#This Row],[GES]]-Eingabe[[#This Row],[GEGGES]]),"")</f>
        <v/>
      </c>
    </row>
    <row r="706" spans="1:52" hidden="1" x14ac:dyDescent="0.3">
      <c r="A706" s="441"/>
      <c r="B706" s="21">
        <f t="shared" si="75"/>
        <v>118</v>
      </c>
      <c r="C706" s="6">
        <f>VLOOKUP($B706,Chronologie[],7,TRUE)</f>
        <v>0</v>
      </c>
      <c r="D706" s="6">
        <f>VLOOKUP($B706,Chronologie[],8,TRUE)</f>
        <v>0</v>
      </c>
      <c r="E706" s="240">
        <f>VLOOKUP($B706,Chronologie[],9,TRUE)</f>
        <v>0</v>
      </c>
      <c r="F706" s="6">
        <f>VLOOKUP($B706,Chronologie[],COLUMN(F707)-2,TRUE)</f>
        <v>0</v>
      </c>
      <c r="G706" s="6">
        <f>VLOOKUP($B706,Chronologie[],COLUMN(G707)-2,TRUE)</f>
        <v>0</v>
      </c>
      <c r="H706" s="6">
        <f>VLOOKUP($B706,Chronologie[],COLUMN(H707)-2,TRUE)</f>
        <v>0</v>
      </c>
      <c r="I706" s="10" t="str">
        <f>VLOOKUP($B706,Chronologie[],2,TRUE)</f>
        <v>--</v>
      </c>
      <c r="J706" s="243">
        <f>VLOOKUP($B706,Chronologie[],3,TRUE)</f>
        <v>0</v>
      </c>
      <c r="K706" s="237"/>
      <c r="L706" s="237"/>
      <c r="M706" s="237"/>
      <c r="N706" s="237"/>
      <c r="O706" s="237"/>
      <c r="P706" s="237"/>
      <c r="Q706" s="237"/>
      <c r="R706" s="237"/>
      <c r="S706" s="237"/>
      <c r="T706" s="237"/>
      <c r="U706" s="237"/>
      <c r="V706" s="237"/>
      <c r="W706" s="237"/>
      <c r="X706" s="38"/>
      <c r="Y706" s="38"/>
      <c r="Z706" s="38"/>
      <c r="AA706" s="38"/>
      <c r="AB706" s="91"/>
      <c r="AC706" s="94" t="str">
        <f>IF(Eingabe[[#This Row],[V1]]="",IF(Eingabe[[#This Row],[Volle alternativ]]="","",Eingabe[[#This Row],[Volle alternativ]]),SUM(Eingabe[[#This Row],[V1]:[V4]]))</f>
        <v/>
      </c>
      <c r="AD706" s="6" t="str">
        <f>IF(Eingabe[[#This Row],[R1]]="",IF(Eingabe[[#This Row],[Räumer alternativ]]="","",Eingabe[[#This Row],[Räumer alternativ]]),SUM(Eingabe[[#This Row],[R1]:[R4]]))</f>
        <v/>
      </c>
      <c r="AE706" s="6" t="str">
        <f>IF(Eingabe[[#This Row],[F1]]="",IF(Eingabe[[#This Row],[Fehler alternativ]]="","",Eingabe[[#This Row],[Fehler alternativ]]),SUM(Eingabe[[#This Row],[F1]:[F4]]))</f>
        <v/>
      </c>
      <c r="AF706" s="6" t="str">
        <f>IF(Eingabe[[#This Row],[Volle]]="","",IF(Eingabe[[#This Row],[S1]]="",Eingabe[[#This Row],[Volle]]+Eingabe[[#This Row],[Räumer]],IF(Eingabe[[#This Row],[Volle]]+Eingabe[[#This Row],[Räumer]]=Eingabe[[#This Row],[S1]]+Eingabe[[#This Row],[S2]]+Eingabe[[#This Row],[S3]]+Eingabe[[#This Row],[S4]],Eingabe[[#This Row],[Volle]]+Eingabe[[#This Row],[Räumer]],"FEHLER")))</f>
        <v/>
      </c>
      <c r="AG706" s="6" t="str">
        <f>IF(Eingabe[[#This Row],[V1]]="","",Eingabe[[#This Row],[V1]]+Eingabe[[#This Row],[R1]])</f>
        <v/>
      </c>
      <c r="AH706" s="6" t="str">
        <f>IF(Eingabe[[#This Row],[V2]]="","",Eingabe[[#This Row],[V2]]+Eingabe[[#This Row],[R2]])</f>
        <v/>
      </c>
      <c r="AI706" s="6" t="str">
        <f>IF(Eingabe[[#This Row],[V3]]="","",Eingabe[[#This Row],[V3]]+Eingabe[[#This Row],[R3]])</f>
        <v/>
      </c>
      <c r="AJ706" s="6" t="str">
        <f>IF(Eingabe[[#This Row],[V4]]="","",Eingabe[[#This Row],[V4]]+Eingabe[[#This Row],[R4]])</f>
        <v/>
      </c>
      <c r="AK706" s="6" t="str">
        <f>IF(Eingabe[[#This Row],[S1P]]="","",Eingabe[[#This Row],[S1P]]+Eingabe[[#This Row],[S2P]]+Eingabe[[#This Row],[S3P]]+Eingabe[[#This Row],[S4P]])</f>
        <v/>
      </c>
      <c r="AL706" s="6" t="str">
        <f>IF(Eingabe[[#This Row],[S1P]]="","",IF(Eingabe[[#This Row],[SP]]&gt;2,1,IF(Eingabe[[#This Row],[SP]]&lt;2,0,IF(Eingabe[[#This Row],[GES]]&gt;Eingabe[[#This Row],[GEGGES]],1,IF(Eingabe[[#This Row],[GES]]=Eingabe[[#This Row],[GEGGES]],0.5,0)))))</f>
        <v/>
      </c>
      <c r="AM706" s="6" t="str">
        <f>IF(Eingabe[[#This Row],[MP]]="","",MOD(ROW(Eingabe[[#This Row],[Position]])-3,6)+1)</f>
        <v/>
      </c>
      <c r="AN706" s="6" t="e">
        <f>STANDARDIZE(Eingabe[[#This Row],[GES]],Eingabe[[#This Row],[Schnitt]],VLOOKUP(Eingabe[[#This Row],[Name]],AuswertungG[],21,FALSE))</f>
        <v>#VALUE!</v>
      </c>
      <c r="AO706" s="6" t="str">
        <f>VLOOKUP(Eingabe[[#This Row],[ID]],Chronologie[[ID]:[KW]],12,FALSE)</f>
        <v/>
      </c>
      <c r="AP706" s="95">
        <f>IF(Eingabe[[#This Row],[Wo]]="H",Eingabe[[#This Row],[Gegner]]&amp;" ["&amp;Eingabe[[#This Row],[Wo]]&amp;"]",Eingabe[[#This Row],[Ort]])</f>
        <v>0</v>
      </c>
      <c r="AQ706" s="6" t="str">
        <f>IFERROR(IF(Eingabe[[#This Row],[Wo]]="H",IF(MOD(Eingabe[[#This Row],[Position]],2)=1,Eingabe[[#This Row],[S1]],Eingabe[[#This Row],[S4]]),""),"")</f>
        <v/>
      </c>
      <c r="AR706" s="6" t="str">
        <f>IFERROR(IF(Eingabe[[#This Row],[Wo]]="H",IF(Eingabe[[#This Row],[S1]]&gt;0,IF(MOD(Eingabe[[#This Row],[Position]],2)=1,Eingabe[[#This Row],[S2]],Eingabe[[#This Row],[S3]]),""),""),"")</f>
        <v/>
      </c>
      <c r="AS706" s="6" t="str">
        <f>IFERROR(IF(Eingabe[[#This Row],[Wo]]="H",IF(Eingabe[[#This Row],[S1]]&gt;0,IF(MOD(ROW(Eingabe[[#This Row],[Heimbahn 3]]),2)=1,Eingabe[[#This Row],[S4]],Eingabe[[#This Row],[S1]]),""),""),"")</f>
        <v/>
      </c>
      <c r="AT706" s="6" t="str">
        <f>IFERROR(IF(Eingabe[[#This Row],[Wo]]="H",IF(Eingabe[[#This Row],[S1]]&gt;0,IF(MOD(ROW(Eingabe[[#This Row],[Heimbahn 4]]),2)=1,Eingabe[[#This Row],[S3]],Eingabe[[#This Row],[S2]]),""),""),"")</f>
        <v/>
      </c>
      <c r="AU706" s="22" t="str">
        <f>IF(Eingabe[[#This Row],[GES]]="","",IF(Eingabe[[#This Row],[Modus]]="L",_xlfn.RANK.EQ(Eingabe[[#This Row],[GES]],AF705:AF710),IF(Eingabe[[#This Row],[Modus]]="P",_xlfn.RANK.EQ(Eingabe[[#This Row],[GES]],AF705:AF710),"")))</f>
        <v/>
      </c>
      <c r="AV706" s="6" t="e">
        <f>VLOOKUP(Eingabe[[#This Row],[Name]],AuswertungG[],8,FALSE)</f>
        <v>#N/A</v>
      </c>
      <c r="AZ706" s="6" t="str">
        <f>IFERROR(ABS(Eingabe[[#This Row],[GES]]-Eingabe[[#This Row],[GEGGES]]),"")</f>
        <v/>
      </c>
    </row>
    <row r="707" spans="1:52" hidden="1" x14ac:dyDescent="0.3">
      <c r="A707" s="441"/>
      <c r="B707" s="21">
        <f t="shared" si="75"/>
        <v>118</v>
      </c>
      <c r="C707" s="6">
        <f>VLOOKUP($B707,Chronologie[],7,TRUE)</f>
        <v>0</v>
      </c>
      <c r="D707" s="6">
        <f>VLOOKUP($B707,Chronologie[],8,TRUE)</f>
        <v>0</v>
      </c>
      <c r="E707" s="240">
        <f>VLOOKUP($B707,Chronologie[],9,TRUE)</f>
        <v>0</v>
      </c>
      <c r="F707" s="6">
        <f>VLOOKUP($B707,Chronologie[],COLUMN(F708)-2,TRUE)</f>
        <v>0</v>
      </c>
      <c r="G707" s="6">
        <f>VLOOKUP($B707,Chronologie[],COLUMN(G708)-2,TRUE)</f>
        <v>0</v>
      </c>
      <c r="H707" s="6">
        <f>VLOOKUP($B707,Chronologie[],COLUMN(H708)-2,TRUE)</f>
        <v>0</v>
      </c>
      <c r="I707" s="10" t="str">
        <f>VLOOKUP($B707,Chronologie[],2,TRUE)</f>
        <v>--</v>
      </c>
      <c r="J707" s="243">
        <f>VLOOKUP($B707,Chronologie[],3,TRUE)</f>
        <v>0</v>
      </c>
      <c r="K707" s="237"/>
      <c r="L707" s="237"/>
      <c r="M707" s="237"/>
      <c r="N707" s="237"/>
      <c r="O707" s="237"/>
      <c r="P707" s="237"/>
      <c r="Q707" s="237"/>
      <c r="R707" s="237"/>
      <c r="S707" s="237"/>
      <c r="T707" s="237"/>
      <c r="U707" s="237"/>
      <c r="V707" s="237"/>
      <c r="W707" s="237"/>
      <c r="X707" s="38"/>
      <c r="Y707" s="38"/>
      <c r="Z707" s="38"/>
      <c r="AA707" s="38"/>
      <c r="AB707" s="91"/>
      <c r="AC707" s="94" t="str">
        <f>IF(Eingabe[[#This Row],[V1]]="",IF(Eingabe[[#This Row],[Volle alternativ]]="","",Eingabe[[#This Row],[Volle alternativ]]),SUM(Eingabe[[#This Row],[V1]:[V4]]))</f>
        <v/>
      </c>
      <c r="AD707" s="6" t="str">
        <f>IF(Eingabe[[#This Row],[R1]]="",IF(Eingabe[[#This Row],[Räumer alternativ]]="","",Eingabe[[#This Row],[Räumer alternativ]]),SUM(Eingabe[[#This Row],[R1]:[R4]]))</f>
        <v/>
      </c>
      <c r="AE707" s="6" t="str">
        <f>IF(Eingabe[[#This Row],[F1]]="",IF(Eingabe[[#This Row],[Fehler alternativ]]="","",Eingabe[[#This Row],[Fehler alternativ]]),SUM(Eingabe[[#This Row],[F1]:[F4]]))</f>
        <v/>
      </c>
      <c r="AF707" s="6" t="str">
        <f>IF(Eingabe[[#This Row],[Volle]]="","",IF(Eingabe[[#This Row],[S1]]="",Eingabe[[#This Row],[Volle]]+Eingabe[[#This Row],[Räumer]],IF(Eingabe[[#This Row],[Volle]]+Eingabe[[#This Row],[Räumer]]=Eingabe[[#This Row],[S1]]+Eingabe[[#This Row],[S2]]+Eingabe[[#This Row],[S3]]+Eingabe[[#This Row],[S4]],Eingabe[[#This Row],[Volle]]+Eingabe[[#This Row],[Räumer]],"FEHLER")))</f>
        <v/>
      </c>
      <c r="AG707" s="6" t="str">
        <f>IF(Eingabe[[#This Row],[V1]]="","",Eingabe[[#This Row],[V1]]+Eingabe[[#This Row],[R1]])</f>
        <v/>
      </c>
      <c r="AH707" s="6" t="str">
        <f>IF(Eingabe[[#This Row],[V2]]="","",Eingabe[[#This Row],[V2]]+Eingabe[[#This Row],[R2]])</f>
        <v/>
      </c>
      <c r="AI707" s="6" t="str">
        <f>IF(Eingabe[[#This Row],[V3]]="","",Eingabe[[#This Row],[V3]]+Eingabe[[#This Row],[R3]])</f>
        <v/>
      </c>
      <c r="AJ707" s="6" t="str">
        <f>IF(Eingabe[[#This Row],[V4]]="","",Eingabe[[#This Row],[V4]]+Eingabe[[#This Row],[R4]])</f>
        <v/>
      </c>
      <c r="AK707" s="6" t="str">
        <f>IF(Eingabe[[#This Row],[S1P]]="","",Eingabe[[#This Row],[S1P]]+Eingabe[[#This Row],[S2P]]+Eingabe[[#This Row],[S3P]]+Eingabe[[#This Row],[S4P]])</f>
        <v/>
      </c>
      <c r="AL707" s="6" t="str">
        <f>IF(Eingabe[[#This Row],[S1P]]="","",IF(Eingabe[[#This Row],[SP]]&gt;2,1,IF(Eingabe[[#This Row],[SP]]&lt;2,0,IF(Eingabe[[#This Row],[GES]]&gt;Eingabe[[#This Row],[GEGGES]],1,IF(Eingabe[[#This Row],[GES]]=Eingabe[[#This Row],[GEGGES]],0.5,0)))))</f>
        <v/>
      </c>
      <c r="AM707" s="6" t="str">
        <f>IF(Eingabe[[#This Row],[MP]]="","",MOD(ROW(Eingabe[[#This Row],[Position]])-3,6)+1)</f>
        <v/>
      </c>
      <c r="AN707" s="6" t="e">
        <f>STANDARDIZE(Eingabe[[#This Row],[GES]],Eingabe[[#This Row],[Schnitt]],VLOOKUP(Eingabe[[#This Row],[Name]],AuswertungG[],21,FALSE))</f>
        <v>#VALUE!</v>
      </c>
      <c r="AO707" s="6" t="str">
        <f>VLOOKUP(Eingabe[[#This Row],[ID]],Chronologie[[ID]:[KW]],12,FALSE)</f>
        <v/>
      </c>
      <c r="AP707" s="95">
        <f>IF(Eingabe[[#This Row],[Wo]]="H",Eingabe[[#This Row],[Gegner]]&amp;" ["&amp;Eingabe[[#This Row],[Wo]]&amp;"]",Eingabe[[#This Row],[Ort]])</f>
        <v>0</v>
      </c>
      <c r="AQ707" s="6" t="str">
        <f>IFERROR(IF(Eingabe[[#This Row],[Wo]]="H",IF(MOD(Eingabe[[#This Row],[Position]],2)=1,Eingabe[[#This Row],[S1]],Eingabe[[#This Row],[S4]]),""),"")</f>
        <v/>
      </c>
      <c r="AR707" s="6" t="str">
        <f>IFERROR(IF(Eingabe[[#This Row],[Wo]]="H",IF(Eingabe[[#This Row],[S1]]&gt;0,IF(MOD(Eingabe[[#This Row],[Position]],2)=1,Eingabe[[#This Row],[S2]],Eingabe[[#This Row],[S3]]),""),""),"")</f>
        <v/>
      </c>
      <c r="AS707" s="6" t="str">
        <f>IFERROR(IF(Eingabe[[#This Row],[Wo]]="H",IF(Eingabe[[#This Row],[S1]]&gt;0,IF(MOD(ROW(Eingabe[[#This Row],[Heimbahn 3]]),2)=1,Eingabe[[#This Row],[S4]],Eingabe[[#This Row],[S1]]),""),""),"")</f>
        <v/>
      </c>
      <c r="AT707" s="6" t="str">
        <f>IFERROR(IF(Eingabe[[#This Row],[Wo]]="H",IF(Eingabe[[#This Row],[S1]]&gt;0,IF(MOD(ROW(Eingabe[[#This Row],[Heimbahn 4]]),2)=1,Eingabe[[#This Row],[S3]],Eingabe[[#This Row],[S2]]),""),""),"")</f>
        <v/>
      </c>
      <c r="AU707" s="22" t="str">
        <f>IF(Eingabe[[#This Row],[GES]]="","",IF(Eingabe[[#This Row],[Modus]]="L",_xlfn.RANK.EQ(Eingabe[[#This Row],[GES]],AF705:AF710),IF(Eingabe[[#This Row],[Modus]]="P",_xlfn.RANK.EQ(Eingabe[[#This Row],[GES]],AF705:AF710),"")))</f>
        <v/>
      </c>
      <c r="AV707" s="6" t="e">
        <f>VLOOKUP(Eingabe[[#This Row],[Name]],AuswertungG[],8,FALSE)</f>
        <v>#N/A</v>
      </c>
      <c r="AZ707" s="6" t="str">
        <f>IFERROR(ABS(Eingabe[[#This Row],[GES]]-Eingabe[[#This Row],[GEGGES]]),"")</f>
        <v/>
      </c>
    </row>
    <row r="708" spans="1:52" hidden="1" x14ac:dyDescent="0.3">
      <c r="A708" s="441"/>
      <c r="B708" s="21">
        <f t="shared" si="75"/>
        <v>118</v>
      </c>
      <c r="C708" s="6">
        <f>VLOOKUP($B708,Chronologie[],7,TRUE)</f>
        <v>0</v>
      </c>
      <c r="D708" s="6">
        <f>VLOOKUP($B708,Chronologie[],8,TRUE)</f>
        <v>0</v>
      </c>
      <c r="E708" s="240">
        <f>VLOOKUP($B708,Chronologie[],9,TRUE)</f>
        <v>0</v>
      </c>
      <c r="F708" s="6">
        <f>VLOOKUP($B708,Chronologie[],COLUMN(F709)-2,TRUE)</f>
        <v>0</v>
      </c>
      <c r="G708" s="6">
        <f>VLOOKUP($B708,Chronologie[],COLUMN(G709)-2,TRUE)</f>
        <v>0</v>
      </c>
      <c r="H708" s="6">
        <f>VLOOKUP($B708,Chronologie[],COLUMN(H709)-2,TRUE)</f>
        <v>0</v>
      </c>
      <c r="I708" s="10" t="str">
        <f>VLOOKUP($B708,Chronologie[],2,TRUE)</f>
        <v>--</v>
      </c>
      <c r="J708" s="243">
        <f>VLOOKUP($B708,Chronologie[],3,TRUE)</f>
        <v>0</v>
      </c>
      <c r="K708" s="238"/>
      <c r="L708" s="237"/>
      <c r="M708" s="237"/>
      <c r="N708" s="237"/>
      <c r="O708" s="237"/>
      <c r="P708" s="237"/>
      <c r="Q708" s="237"/>
      <c r="R708" s="237"/>
      <c r="S708" s="237"/>
      <c r="T708" s="237"/>
      <c r="U708" s="237"/>
      <c r="V708" s="237"/>
      <c r="W708" s="237"/>
      <c r="X708" s="38"/>
      <c r="Y708" s="38"/>
      <c r="Z708" s="38"/>
      <c r="AA708" s="38"/>
      <c r="AB708" s="91"/>
      <c r="AC708" s="94" t="str">
        <f>IF(Eingabe[[#This Row],[V1]]="",IF(Eingabe[[#This Row],[Volle alternativ]]="","",Eingabe[[#This Row],[Volle alternativ]]),SUM(Eingabe[[#This Row],[V1]:[V4]]))</f>
        <v/>
      </c>
      <c r="AD708" s="6" t="str">
        <f>IF(Eingabe[[#This Row],[R1]]="",IF(Eingabe[[#This Row],[Räumer alternativ]]="","",Eingabe[[#This Row],[Räumer alternativ]]),SUM(Eingabe[[#This Row],[R1]:[R4]]))</f>
        <v/>
      </c>
      <c r="AE708" s="6" t="str">
        <f>IF(Eingabe[[#This Row],[F1]]="",IF(Eingabe[[#This Row],[Fehler alternativ]]="","",Eingabe[[#This Row],[Fehler alternativ]]),SUM(Eingabe[[#This Row],[F1]:[F4]]))</f>
        <v/>
      </c>
      <c r="AF708" s="6" t="str">
        <f>IF(Eingabe[[#This Row],[Volle]]="","",IF(Eingabe[[#This Row],[S1]]="",Eingabe[[#This Row],[Volle]]+Eingabe[[#This Row],[Räumer]],IF(Eingabe[[#This Row],[Volle]]+Eingabe[[#This Row],[Räumer]]=Eingabe[[#This Row],[S1]]+Eingabe[[#This Row],[S2]]+Eingabe[[#This Row],[S3]]+Eingabe[[#This Row],[S4]],Eingabe[[#This Row],[Volle]]+Eingabe[[#This Row],[Räumer]],"FEHLER")))</f>
        <v/>
      </c>
      <c r="AG708" s="6" t="str">
        <f>IF(Eingabe[[#This Row],[V1]]="","",Eingabe[[#This Row],[V1]]+Eingabe[[#This Row],[R1]])</f>
        <v/>
      </c>
      <c r="AH708" s="6" t="str">
        <f>IF(Eingabe[[#This Row],[V2]]="","",Eingabe[[#This Row],[V2]]+Eingabe[[#This Row],[R2]])</f>
        <v/>
      </c>
      <c r="AI708" s="6" t="str">
        <f>IF(Eingabe[[#This Row],[V3]]="","",Eingabe[[#This Row],[V3]]+Eingabe[[#This Row],[R3]])</f>
        <v/>
      </c>
      <c r="AJ708" s="6" t="str">
        <f>IF(Eingabe[[#This Row],[V4]]="","",Eingabe[[#This Row],[V4]]+Eingabe[[#This Row],[R4]])</f>
        <v/>
      </c>
      <c r="AK708" s="6" t="str">
        <f>IF(Eingabe[[#This Row],[S1P]]="","",Eingabe[[#This Row],[S1P]]+Eingabe[[#This Row],[S2P]]+Eingabe[[#This Row],[S3P]]+Eingabe[[#This Row],[S4P]])</f>
        <v/>
      </c>
      <c r="AL708" s="6" t="str">
        <f>IF(Eingabe[[#This Row],[S1P]]="","",IF(Eingabe[[#This Row],[SP]]&gt;2,1,IF(Eingabe[[#This Row],[SP]]&lt;2,0,IF(Eingabe[[#This Row],[GES]]&gt;Eingabe[[#This Row],[GEGGES]],1,IF(Eingabe[[#This Row],[GES]]=Eingabe[[#This Row],[GEGGES]],0.5,0)))))</f>
        <v/>
      </c>
      <c r="AM708" s="6" t="str">
        <f>IF(Eingabe[[#This Row],[MP]]="","",MOD(ROW(Eingabe[[#This Row],[Position]])-3,6)+1)</f>
        <v/>
      </c>
      <c r="AN708" s="6" t="e">
        <f>STANDARDIZE(Eingabe[[#This Row],[GES]],Eingabe[[#This Row],[Schnitt]],VLOOKUP(Eingabe[[#This Row],[Name]],AuswertungG[],21,FALSE))</f>
        <v>#VALUE!</v>
      </c>
      <c r="AO708" s="6" t="str">
        <f>VLOOKUP(Eingabe[[#This Row],[ID]],Chronologie[[ID]:[KW]],12,FALSE)</f>
        <v/>
      </c>
      <c r="AP708" s="95">
        <f>IF(Eingabe[[#This Row],[Wo]]="H",Eingabe[[#This Row],[Gegner]]&amp;" ["&amp;Eingabe[[#This Row],[Wo]]&amp;"]",Eingabe[[#This Row],[Ort]])</f>
        <v>0</v>
      </c>
      <c r="AQ708" s="6" t="str">
        <f>IFERROR(IF(Eingabe[[#This Row],[Wo]]="H",IF(MOD(Eingabe[[#This Row],[Position]],2)=1,Eingabe[[#This Row],[S1]],Eingabe[[#This Row],[S4]]),""),"")</f>
        <v/>
      </c>
      <c r="AR708" s="6" t="str">
        <f>IFERROR(IF(Eingabe[[#This Row],[Wo]]="H",IF(Eingabe[[#This Row],[S1]]&gt;0,IF(MOD(Eingabe[[#This Row],[Position]],2)=1,Eingabe[[#This Row],[S2]],Eingabe[[#This Row],[S3]]),""),""),"")</f>
        <v/>
      </c>
      <c r="AS708" s="6" t="str">
        <f>IFERROR(IF(Eingabe[[#This Row],[Wo]]="H",IF(Eingabe[[#This Row],[S1]]&gt;0,IF(MOD(ROW(Eingabe[[#This Row],[Heimbahn 3]]),2)=1,Eingabe[[#This Row],[S4]],Eingabe[[#This Row],[S1]]),""),""),"")</f>
        <v/>
      </c>
      <c r="AT708" s="6" t="str">
        <f>IFERROR(IF(Eingabe[[#This Row],[Wo]]="H",IF(Eingabe[[#This Row],[S1]]&gt;0,IF(MOD(ROW(Eingabe[[#This Row],[Heimbahn 4]]),2)=1,Eingabe[[#This Row],[S3]],Eingabe[[#This Row],[S2]]),""),""),"")</f>
        <v/>
      </c>
      <c r="AU708" s="22" t="str">
        <f>IF(Eingabe[[#This Row],[GES]]="","",IF(Eingabe[[#This Row],[Modus]]="L",_xlfn.RANK.EQ(Eingabe[[#This Row],[GES]],AF705:AF710),IF(Eingabe[[#This Row],[Modus]]="P",_xlfn.RANK.EQ(Eingabe[[#This Row],[GES]],AF705:AF710),"")))</f>
        <v/>
      </c>
      <c r="AV708" s="6" t="e">
        <f>VLOOKUP(Eingabe[[#This Row],[Name]],AuswertungG[],8,FALSE)</f>
        <v>#N/A</v>
      </c>
      <c r="AZ708" s="6" t="str">
        <f>IFERROR(ABS(Eingabe[[#This Row],[GES]]-Eingabe[[#This Row],[GEGGES]]),"")</f>
        <v/>
      </c>
    </row>
    <row r="709" spans="1:52" hidden="1" x14ac:dyDescent="0.3">
      <c r="A709" s="441"/>
      <c r="B709" s="21">
        <f t="shared" si="75"/>
        <v>118</v>
      </c>
      <c r="C709" s="6">
        <f>VLOOKUP($B709,Chronologie[],7,TRUE)</f>
        <v>0</v>
      </c>
      <c r="D709" s="6">
        <f>VLOOKUP($B709,Chronologie[],8,TRUE)</f>
        <v>0</v>
      </c>
      <c r="E709" s="240">
        <f>VLOOKUP($B709,Chronologie[],9,TRUE)</f>
        <v>0</v>
      </c>
      <c r="F709" s="6">
        <f>VLOOKUP($B709,Chronologie[],COLUMN(F710)-2,TRUE)</f>
        <v>0</v>
      </c>
      <c r="G709" s="6">
        <f>VLOOKUP($B709,Chronologie[],COLUMN(G710)-2,TRUE)</f>
        <v>0</v>
      </c>
      <c r="H709" s="6">
        <f>VLOOKUP($B709,Chronologie[],COLUMN(H710)-2,TRUE)</f>
        <v>0</v>
      </c>
      <c r="I709" s="10" t="str">
        <f>VLOOKUP($B709,Chronologie[],2,TRUE)</f>
        <v>--</v>
      </c>
      <c r="J709" s="243">
        <f>VLOOKUP($B709,Chronologie[],3,TRUE)</f>
        <v>0</v>
      </c>
      <c r="K709" s="237"/>
      <c r="L709" s="237"/>
      <c r="M709" s="237"/>
      <c r="N709" s="237"/>
      <c r="O709" s="237"/>
      <c r="P709" s="237"/>
      <c r="Q709" s="237"/>
      <c r="R709" s="237"/>
      <c r="S709" s="237"/>
      <c r="T709" s="237"/>
      <c r="U709" s="237"/>
      <c r="V709" s="237"/>
      <c r="W709" s="237"/>
      <c r="X709" s="38"/>
      <c r="Y709" s="38"/>
      <c r="Z709" s="38"/>
      <c r="AA709" s="38"/>
      <c r="AB709" s="91"/>
      <c r="AC709" s="94" t="str">
        <f>IF(Eingabe[[#This Row],[V1]]="",IF(Eingabe[[#This Row],[Volle alternativ]]="","",Eingabe[[#This Row],[Volle alternativ]]),SUM(Eingabe[[#This Row],[V1]:[V4]]))</f>
        <v/>
      </c>
      <c r="AD709" s="6" t="str">
        <f>IF(Eingabe[[#This Row],[R1]]="",IF(Eingabe[[#This Row],[Räumer alternativ]]="","",Eingabe[[#This Row],[Räumer alternativ]]),SUM(Eingabe[[#This Row],[R1]:[R4]]))</f>
        <v/>
      </c>
      <c r="AE709" s="6" t="str">
        <f>IF(Eingabe[[#This Row],[F1]]="",IF(Eingabe[[#This Row],[Fehler alternativ]]="","",Eingabe[[#This Row],[Fehler alternativ]]),SUM(Eingabe[[#This Row],[F1]:[F4]]))</f>
        <v/>
      </c>
      <c r="AF709" s="6" t="str">
        <f>IF(Eingabe[[#This Row],[Volle]]="","",IF(Eingabe[[#This Row],[S1]]="",Eingabe[[#This Row],[Volle]]+Eingabe[[#This Row],[Räumer]],IF(Eingabe[[#This Row],[Volle]]+Eingabe[[#This Row],[Räumer]]=Eingabe[[#This Row],[S1]]+Eingabe[[#This Row],[S2]]+Eingabe[[#This Row],[S3]]+Eingabe[[#This Row],[S4]],Eingabe[[#This Row],[Volle]]+Eingabe[[#This Row],[Räumer]],"FEHLER")))</f>
        <v/>
      </c>
      <c r="AG709" s="6" t="str">
        <f>IF(Eingabe[[#This Row],[V1]]="","",Eingabe[[#This Row],[V1]]+Eingabe[[#This Row],[R1]])</f>
        <v/>
      </c>
      <c r="AH709" s="6" t="str">
        <f>IF(Eingabe[[#This Row],[V2]]="","",Eingabe[[#This Row],[V2]]+Eingabe[[#This Row],[R2]])</f>
        <v/>
      </c>
      <c r="AI709" s="6" t="str">
        <f>IF(Eingabe[[#This Row],[V3]]="","",Eingabe[[#This Row],[V3]]+Eingabe[[#This Row],[R3]])</f>
        <v/>
      </c>
      <c r="AJ709" s="6" t="str">
        <f>IF(Eingabe[[#This Row],[V4]]="","",Eingabe[[#This Row],[V4]]+Eingabe[[#This Row],[R4]])</f>
        <v/>
      </c>
      <c r="AK709" s="6" t="str">
        <f>IF(Eingabe[[#This Row],[S1P]]="","",Eingabe[[#This Row],[S1P]]+Eingabe[[#This Row],[S2P]]+Eingabe[[#This Row],[S3P]]+Eingabe[[#This Row],[S4P]])</f>
        <v/>
      </c>
      <c r="AL709" s="6" t="str">
        <f>IF(Eingabe[[#This Row],[S1P]]="","",IF(Eingabe[[#This Row],[SP]]&gt;2,1,IF(Eingabe[[#This Row],[SP]]&lt;2,0,IF(Eingabe[[#This Row],[GES]]&gt;Eingabe[[#This Row],[GEGGES]],1,IF(Eingabe[[#This Row],[GES]]=Eingabe[[#This Row],[GEGGES]],0.5,0)))))</f>
        <v/>
      </c>
      <c r="AM709" s="6" t="str">
        <f>IF(Eingabe[[#This Row],[MP]]="","",MOD(ROW(Eingabe[[#This Row],[Position]])-3,6)+1)</f>
        <v/>
      </c>
      <c r="AN709" s="6" t="e">
        <f>STANDARDIZE(Eingabe[[#This Row],[GES]],Eingabe[[#This Row],[Schnitt]],VLOOKUP(Eingabe[[#This Row],[Name]],AuswertungG[],21,FALSE))</f>
        <v>#VALUE!</v>
      </c>
      <c r="AO709" s="6" t="str">
        <f>VLOOKUP(Eingabe[[#This Row],[ID]],Chronologie[[ID]:[KW]],12,FALSE)</f>
        <v/>
      </c>
      <c r="AP709" s="95">
        <f>IF(Eingabe[[#This Row],[Wo]]="H",Eingabe[[#This Row],[Gegner]]&amp;" ["&amp;Eingabe[[#This Row],[Wo]]&amp;"]",Eingabe[[#This Row],[Ort]])</f>
        <v>0</v>
      </c>
      <c r="AQ709" s="6" t="str">
        <f>IFERROR(IF(Eingabe[[#This Row],[Wo]]="H",IF(MOD(Eingabe[[#This Row],[Position]],2)=1,Eingabe[[#This Row],[S1]],Eingabe[[#This Row],[S4]]),""),"")</f>
        <v/>
      </c>
      <c r="AR709" s="6" t="str">
        <f>IFERROR(IF(Eingabe[[#This Row],[Wo]]="H",IF(Eingabe[[#This Row],[S1]]&gt;0,IF(MOD(Eingabe[[#This Row],[Position]],2)=1,Eingabe[[#This Row],[S2]],Eingabe[[#This Row],[S3]]),""),""),"")</f>
        <v/>
      </c>
      <c r="AS709" s="6" t="str">
        <f>IFERROR(IF(Eingabe[[#This Row],[Wo]]="H",IF(Eingabe[[#This Row],[S1]]&gt;0,IF(MOD(ROW(Eingabe[[#This Row],[Heimbahn 3]]),2)=1,Eingabe[[#This Row],[S4]],Eingabe[[#This Row],[S1]]),""),""),"")</f>
        <v/>
      </c>
      <c r="AT709" s="6" t="str">
        <f>IFERROR(IF(Eingabe[[#This Row],[Wo]]="H",IF(Eingabe[[#This Row],[S1]]&gt;0,IF(MOD(ROW(Eingabe[[#This Row],[Heimbahn 4]]),2)=1,Eingabe[[#This Row],[S3]],Eingabe[[#This Row],[S2]]),""),""),"")</f>
        <v/>
      </c>
      <c r="AU709" s="22" t="str">
        <f>IF(Eingabe[[#This Row],[GES]]="","",IF(Eingabe[[#This Row],[Modus]]="L",_xlfn.RANK.EQ(Eingabe[[#This Row],[GES]],AF705:AF710),IF(Eingabe[[#This Row],[Modus]]="P",_xlfn.RANK.EQ(Eingabe[[#This Row],[GES]],AF705:AF710),"")))</f>
        <v/>
      </c>
      <c r="AV709" s="6" t="e">
        <f>VLOOKUP(Eingabe[[#This Row],[Name]],AuswertungG[],8,FALSE)</f>
        <v>#N/A</v>
      </c>
      <c r="AZ709" s="6" t="str">
        <f>IFERROR(ABS(Eingabe[[#This Row],[GES]]-Eingabe[[#This Row],[GEGGES]]),"")</f>
        <v/>
      </c>
    </row>
    <row r="710" spans="1:52" ht="16.2" hidden="1" thickBot="1" x14ac:dyDescent="0.35">
      <c r="A710" s="442"/>
      <c r="B710" s="56">
        <f t="shared" si="75"/>
        <v>118</v>
      </c>
      <c r="C710" s="23">
        <f>VLOOKUP($B710,Chronologie[],7,TRUE)</f>
        <v>0</v>
      </c>
      <c r="D710" s="23">
        <f>VLOOKUP($B710,Chronologie[],8,TRUE)</f>
        <v>0</v>
      </c>
      <c r="E710" s="39">
        <f>VLOOKUP($B710,Chronologie[],9,TRUE)</f>
        <v>0</v>
      </c>
      <c r="F710" s="23">
        <f>VLOOKUP($B710,Chronologie[],COLUMN(F711)-2,TRUE)</f>
        <v>0</v>
      </c>
      <c r="G710" s="23">
        <f>VLOOKUP($B710,Chronologie[],COLUMN(G711)-2,TRUE)</f>
        <v>0</v>
      </c>
      <c r="H710" s="23">
        <f>VLOOKUP($B710,Chronologie[],COLUMN(H711)-2,TRUE)</f>
        <v>0</v>
      </c>
      <c r="I710" s="13" t="str">
        <f>VLOOKUP($B710,Chronologie[],2,TRUE)</f>
        <v>--</v>
      </c>
      <c r="J710" s="244">
        <f>VLOOKUP($B710,Chronologie[],3,TRUE)</f>
        <v>0</v>
      </c>
      <c r="K710" s="239"/>
      <c r="L710" s="239"/>
      <c r="M710" s="239"/>
      <c r="N710" s="239"/>
      <c r="O710" s="239"/>
      <c r="P710" s="239"/>
      <c r="Q710" s="239"/>
      <c r="R710" s="239"/>
      <c r="S710" s="239"/>
      <c r="T710" s="239"/>
      <c r="U710" s="239"/>
      <c r="V710" s="239"/>
      <c r="W710" s="239"/>
      <c r="X710" s="40"/>
      <c r="Y710" s="40"/>
      <c r="Z710" s="40"/>
      <c r="AA710" s="40"/>
      <c r="AB710" s="92"/>
      <c r="AC710" s="96" t="str">
        <f>IF(Eingabe[[#This Row],[V1]]="",IF(Eingabe[[#This Row],[Volle alternativ]]="","",Eingabe[[#This Row],[Volle alternativ]]),SUM(Eingabe[[#This Row],[V1]:[V4]]))</f>
        <v/>
      </c>
      <c r="AD710" s="23" t="str">
        <f>IF(Eingabe[[#This Row],[R1]]="",IF(Eingabe[[#This Row],[Räumer alternativ]]="","",Eingabe[[#This Row],[Räumer alternativ]]),SUM(Eingabe[[#This Row],[R1]:[R4]]))</f>
        <v/>
      </c>
      <c r="AE710" s="23" t="str">
        <f>IF(Eingabe[[#This Row],[F1]]="",IF(Eingabe[[#This Row],[Fehler alternativ]]="","",Eingabe[[#This Row],[Fehler alternativ]]),SUM(Eingabe[[#This Row],[F1]:[F4]]))</f>
        <v/>
      </c>
      <c r="AF710" s="23" t="str">
        <f>IF(Eingabe[[#This Row],[Volle]]="","",IF(Eingabe[[#This Row],[S1]]="",Eingabe[[#This Row],[Volle]]+Eingabe[[#This Row],[Räumer]],IF(Eingabe[[#This Row],[Volle]]+Eingabe[[#This Row],[Räumer]]=Eingabe[[#This Row],[S1]]+Eingabe[[#This Row],[S2]]+Eingabe[[#This Row],[S3]]+Eingabe[[#This Row],[S4]],Eingabe[[#This Row],[Volle]]+Eingabe[[#This Row],[Räumer]],"FEHLER")))</f>
        <v/>
      </c>
      <c r="AG710" s="23" t="str">
        <f>IF(Eingabe[[#This Row],[V1]]="","",Eingabe[[#This Row],[V1]]+Eingabe[[#This Row],[R1]])</f>
        <v/>
      </c>
      <c r="AH710" s="23" t="str">
        <f>IF(Eingabe[[#This Row],[V2]]="","",Eingabe[[#This Row],[V2]]+Eingabe[[#This Row],[R2]])</f>
        <v/>
      </c>
      <c r="AI710" s="23" t="str">
        <f>IF(Eingabe[[#This Row],[V3]]="","",Eingabe[[#This Row],[V3]]+Eingabe[[#This Row],[R3]])</f>
        <v/>
      </c>
      <c r="AJ710" s="23" t="str">
        <f>IF(Eingabe[[#This Row],[V4]]="","",Eingabe[[#This Row],[V4]]+Eingabe[[#This Row],[R4]])</f>
        <v/>
      </c>
      <c r="AK710" s="23" t="str">
        <f>IF(Eingabe[[#This Row],[S1P]]="","",Eingabe[[#This Row],[S1P]]+Eingabe[[#This Row],[S2P]]+Eingabe[[#This Row],[S3P]]+Eingabe[[#This Row],[S4P]])</f>
        <v/>
      </c>
      <c r="AL710" s="23" t="str">
        <f>IF(Eingabe[[#This Row],[S1P]]="","",IF(Eingabe[[#This Row],[SP]]&gt;2,1,IF(Eingabe[[#This Row],[SP]]&lt;2,0,IF(Eingabe[[#This Row],[GES]]&gt;Eingabe[[#This Row],[GEGGES]],1,IF(Eingabe[[#This Row],[GES]]=Eingabe[[#This Row],[GEGGES]],0.5,0)))))</f>
        <v/>
      </c>
      <c r="AM710" s="23" t="str">
        <f>IF(Eingabe[[#This Row],[MP]]="","",MOD(ROW(Eingabe[[#This Row],[Position]])-3,6)+1)</f>
        <v/>
      </c>
      <c r="AN710" s="23" t="e">
        <f>STANDARDIZE(Eingabe[[#This Row],[GES]],Eingabe[[#This Row],[Schnitt]],VLOOKUP(Eingabe[[#This Row],[Name]],AuswertungG[],21,FALSE))</f>
        <v>#VALUE!</v>
      </c>
      <c r="AO710" s="23" t="str">
        <f>VLOOKUP(Eingabe[[#This Row],[ID]],Chronologie[[ID]:[KW]],12,FALSE)</f>
        <v/>
      </c>
      <c r="AP710" s="59">
        <f>IF(Eingabe[[#This Row],[Wo]]="H",Eingabe[[#This Row],[Gegner]]&amp;" ["&amp;Eingabe[[#This Row],[Wo]]&amp;"]",Eingabe[[#This Row],[Ort]])</f>
        <v>0</v>
      </c>
      <c r="AQ710" s="23" t="str">
        <f>IFERROR(IF(Eingabe[[#This Row],[Wo]]="H",IF(MOD(Eingabe[[#This Row],[Position]],2)=1,Eingabe[[#This Row],[S1]],Eingabe[[#This Row],[S4]]),""),"")</f>
        <v/>
      </c>
      <c r="AR710" s="23" t="str">
        <f>IFERROR(IF(Eingabe[[#This Row],[Wo]]="H",IF(Eingabe[[#This Row],[S1]]&gt;0,IF(MOD(Eingabe[[#This Row],[Position]],2)=1,Eingabe[[#This Row],[S2]],Eingabe[[#This Row],[S3]]),""),""),"")</f>
        <v/>
      </c>
      <c r="AS710" s="23" t="str">
        <f>IFERROR(IF(Eingabe[[#This Row],[Wo]]="H",IF(Eingabe[[#This Row],[S1]]&gt;0,IF(MOD(ROW(Eingabe[[#This Row],[Heimbahn 3]]),2)=1,Eingabe[[#This Row],[S4]],Eingabe[[#This Row],[S1]]),""),""),"")</f>
        <v/>
      </c>
      <c r="AT710" s="23" t="str">
        <f>IFERROR(IF(Eingabe[[#This Row],[Wo]]="H",IF(Eingabe[[#This Row],[S1]]&gt;0,IF(MOD(ROW(Eingabe[[#This Row],[Heimbahn 4]]),2)=1,Eingabe[[#This Row],[S3]],Eingabe[[#This Row],[S2]]),""),""),"")</f>
        <v/>
      </c>
      <c r="AU710" s="89" t="str">
        <f>IF(Eingabe[[#This Row],[GES]]="","",IF(Eingabe[[#This Row],[Modus]]="L",_xlfn.RANK.EQ(Eingabe[[#This Row],[GES]],AF705:AF710),IF(Eingabe[[#This Row],[Modus]]="P",_xlfn.RANK.EQ(Eingabe[[#This Row],[GES]],AF705:AF710),"")))</f>
        <v/>
      </c>
      <c r="AV710" s="6" t="e">
        <f>VLOOKUP(Eingabe[[#This Row],[Name]],AuswertungG[],8,FALSE)</f>
        <v>#N/A</v>
      </c>
      <c r="AZ710" s="6" t="str">
        <f>IFERROR(ABS(Eingabe[[#This Row],[GES]]-Eingabe[[#This Row],[GEGGES]]),"")</f>
        <v/>
      </c>
    </row>
    <row r="711" spans="1:52" hidden="1" x14ac:dyDescent="0.3">
      <c r="A711" s="440">
        <f t="shared" ref="A711" si="77">B711</f>
        <v>119</v>
      </c>
      <c r="B711" s="55">
        <f t="shared" si="75"/>
        <v>119</v>
      </c>
      <c r="C711" s="35">
        <f>VLOOKUP($B711,Chronologie[],7,TRUE)</f>
        <v>0</v>
      </c>
      <c r="D711" s="35">
        <f>VLOOKUP($B711,Chronologie[],8,TRUE)</f>
        <v>0</v>
      </c>
      <c r="E711" s="36">
        <f>VLOOKUP($B711,Chronologie[],9,TRUE)</f>
        <v>0</v>
      </c>
      <c r="F711" s="35">
        <f>VLOOKUP($B711,Chronologie[],COLUMN(F712)-2,TRUE)</f>
        <v>0</v>
      </c>
      <c r="G711" s="35">
        <f>VLOOKUP($B711,Chronologie[],COLUMN(G712)-2,TRUE)</f>
        <v>0</v>
      </c>
      <c r="H711" s="35">
        <f>VLOOKUP($B711,Chronologie[],COLUMN(H712)-2,TRUE)</f>
        <v>0</v>
      </c>
      <c r="I711" s="9" t="str">
        <f>VLOOKUP($B711,Chronologie[],2,TRUE)</f>
        <v>--</v>
      </c>
      <c r="J711" s="242">
        <f>VLOOKUP($B711,Chronologie[],3,TRUE)</f>
        <v>0</v>
      </c>
      <c r="K711" s="236"/>
      <c r="L711" s="334"/>
      <c r="M711" s="334"/>
      <c r="N711" s="334"/>
      <c r="O711" s="334"/>
      <c r="P711" s="334"/>
      <c r="Q711" s="334"/>
      <c r="R711" s="334"/>
      <c r="S711" s="334"/>
      <c r="T711" s="334"/>
      <c r="U711" s="334"/>
      <c r="V711" s="334"/>
      <c r="W711" s="334"/>
      <c r="X711" s="37"/>
      <c r="Y711" s="37"/>
      <c r="Z711" s="37"/>
      <c r="AA711" s="37"/>
      <c r="AB711" s="90"/>
      <c r="AC711" s="93" t="str">
        <f>IF(Eingabe[[#This Row],[V1]]="",IF(Eingabe[[#This Row],[Volle alternativ]]="","",Eingabe[[#This Row],[Volle alternativ]]),SUM(Eingabe[[#This Row],[V1]:[V4]]))</f>
        <v/>
      </c>
      <c r="AD711" s="35" t="str">
        <f>IF(Eingabe[[#This Row],[R1]]="",IF(Eingabe[[#This Row],[Räumer alternativ]]="","",Eingabe[[#This Row],[Räumer alternativ]]),SUM(Eingabe[[#This Row],[R1]:[R4]]))</f>
        <v/>
      </c>
      <c r="AE711" s="35" t="str">
        <f>IF(Eingabe[[#This Row],[F1]]="",IF(Eingabe[[#This Row],[Fehler alternativ]]="","",Eingabe[[#This Row],[Fehler alternativ]]),SUM(Eingabe[[#This Row],[F1]:[F4]]))</f>
        <v/>
      </c>
      <c r="AF711" s="35" t="str">
        <f>IF(Eingabe[[#This Row],[Volle]]="","",IF(Eingabe[[#This Row],[S1]]="",Eingabe[[#This Row],[Volle]]+Eingabe[[#This Row],[Räumer]],IF(Eingabe[[#This Row],[Volle]]+Eingabe[[#This Row],[Räumer]]=Eingabe[[#This Row],[S1]]+Eingabe[[#This Row],[S2]]+Eingabe[[#This Row],[S3]]+Eingabe[[#This Row],[S4]],Eingabe[[#This Row],[Volle]]+Eingabe[[#This Row],[Räumer]],"FEHLER")))</f>
        <v/>
      </c>
      <c r="AG711" s="35" t="str">
        <f>IF(Eingabe[[#This Row],[V1]]="","",Eingabe[[#This Row],[V1]]+Eingabe[[#This Row],[R1]])</f>
        <v/>
      </c>
      <c r="AH711" s="35" t="str">
        <f>IF(Eingabe[[#This Row],[V2]]="","",Eingabe[[#This Row],[V2]]+Eingabe[[#This Row],[R2]])</f>
        <v/>
      </c>
      <c r="AI711" s="35" t="str">
        <f>IF(Eingabe[[#This Row],[V3]]="","",Eingabe[[#This Row],[V3]]+Eingabe[[#This Row],[R3]])</f>
        <v/>
      </c>
      <c r="AJ711" s="35" t="str">
        <f>IF(Eingabe[[#This Row],[V4]]="","",Eingabe[[#This Row],[V4]]+Eingabe[[#This Row],[R4]])</f>
        <v/>
      </c>
      <c r="AK711" s="35" t="str">
        <f>IF(Eingabe[[#This Row],[S1P]]="","",Eingabe[[#This Row],[S1P]]+Eingabe[[#This Row],[S2P]]+Eingabe[[#This Row],[S3P]]+Eingabe[[#This Row],[S4P]])</f>
        <v/>
      </c>
      <c r="AL711" s="35" t="str">
        <f>IF(Eingabe[[#This Row],[S1P]]="","",IF(Eingabe[[#This Row],[SP]]&gt;2,1,IF(Eingabe[[#This Row],[SP]]&lt;2,0,IF(Eingabe[[#This Row],[GES]]&gt;Eingabe[[#This Row],[GEGGES]],1,IF(Eingabe[[#This Row],[GES]]=Eingabe[[#This Row],[GEGGES]],0.5,0)))))</f>
        <v/>
      </c>
      <c r="AM711" s="35" t="str">
        <f>IF(Eingabe[[#This Row],[MP]]="","",MOD(ROW(Eingabe[[#This Row],[Position]])-3,6)+1)</f>
        <v/>
      </c>
      <c r="AN711" s="35" t="e">
        <f>STANDARDIZE(Eingabe[[#This Row],[GES]],Eingabe[[#This Row],[Schnitt]],VLOOKUP(Eingabe[[#This Row],[Name]],AuswertungG[],21,FALSE))</f>
        <v>#VALUE!</v>
      </c>
      <c r="AO711" s="35" t="str">
        <f>VLOOKUP(Eingabe[[#This Row],[ID]],Chronologie[[ID]:[KW]],12,FALSE)</f>
        <v/>
      </c>
      <c r="AP711" s="58">
        <f>IF(Eingabe[[#This Row],[Wo]]="H",Eingabe[[#This Row],[Gegner]]&amp;" ["&amp;Eingabe[[#This Row],[Wo]]&amp;"]",Eingabe[[#This Row],[Ort]])</f>
        <v>0</v>
      </c>
      <c r="AQ711" s="35" t="str">
        <f>IFERROR(IF(Eingabe[[#This Row],[Wo]]="H",IF(MOD(Eingabe[[#This Row],[Position]],2)=1,Eingabe[[#This Row],[S1]],Eingabe[[#This Row],[S4]]),""),"")</f>
        <v/>
      </c>
      <c r="AR711" s="35" t="str">
        <f>IFERROR(IF(Eingabe[[#This Row],[Wo]]="H",IF(Eingabe[[#This Row],[S1]]&gt;0,IF(MOD(Eingabe[[#This Row],[Position]],2)=1,Eingabe[[#This Row],[S2]],Eingabe[[#This Row],[S3]]),""),""),"")</f>
        <v/>
      </c>
      <c r="AS711" s="35" t="str">
        <f>IFERROR(IF(Eingabe[[#This Row],[Wo]]="H",IF(Eingabe[[#This Row],[S1]]&gt;0,IF(MOD(ROW(Eingabe[[#This Row],[Heimbahn 3]]),2)=1,Eingabe[[#This Row],[S4]],Eingabe[[#This Row],[S1]]),""),""),"")</f>
        <v/>
      </c>
      <c r="AT711" s="35" t="str">
        <f>IFERROR(IF(Eingabe[[#This Row],[Wo]]="H",IF(Eingabe[[#This Row],[S1]]&gt;0,IF(MOD(ROW(Eingabe[[#This Row],[Heimbahn 4]]),2)=1,Eingabe[[#This Row],[S3]],Eingabe[[#This Row],[S2]]),""),""),"")</f>
        <v/>
      </c>
      <c r="AU711" s="88" t="str">
        <f>IF(Eingabe[[#This Row],[GES]]="","",IF(Eingabe[[#This Row],[Modus]]="L",_xlfn.RANK.EQ(Eingabe[[#This Row],[GES]],AF711:AF716),IF(Eingabe[[#This Row],[Modus]]="P",_xlfn.RANK.EQ(Eingabe[[#This Row],[GES]],AF711:AF716),"")))</f>
        <v/>
      </c>
      <c r="AV711" s="6" t="e">
        <f>VLOOKUP(Eingabe[[#This Row],[Name]],AuswertungG[],8,FALSE)</f>
        <v>#N/A</v>
      </c>
      <c r="AZ711" s="6" t="str">
        <f>IFERROR(ABS(Eingabe[[#This Row],[GES]]-Eingabe[[#This Row],[GEGGES]]),"")</f>
        <v/>
      </c>
    </row>
    <row r="712" spans="1:52" hidden="1" x14ac:dyDescent="0.3">
      <c r="A712" s="441"/>
      <c r="B712" s="21">
        <f t="shared" si="75"/>
        <v>119</v>
      </c>
      <c r="C712" s="6">
        <f>VLOOKUP($B712,Chronologie[],7,TRUE)</f>
        <v>0</v>
      </c>
      <c r="D712" s="6">
        <f>VLOOKUP($B712,Chronologie[],8,TRUE)</f>
        <v>0</v>
      </c>
      <c r="E712" s="240">
        <f>VLOOKUP($B712,Chronologie[],9,TRUE)</f>
        <v>0</v>
      </c>
      <c r="F712" s="6">
        <f>VLOOKUP($B712,Chronologie[],COLUMN(F713)-2,TRUE)</f>
        <v>0</v>
      </c>
      <c r="G712" s="6">
        <f>VLOOKUP($B712,Chronologie[],COLUMN(G713)-2,TRUE)</f>
        <v>0</v>
      </c>
      <c r="H712" s="6">
        <f>VLOOKUP($B712,Chronologie[],COLUMN(H713)-2,TRUE)</f>
        <v>0</v>
      </c>
      <c r="I712" s="10" t="str">
        <f>VLOOKUP($B712,Chronologie[],2,TRUE)</f>
        <v>--</v>
      </c>
      <c r="J712" s="243">
        <f>VLOOKUP($B712,Chronologie[],3,TRUE)</f>
        <v>0</v>
      </c>
      <c r="K712" s="237"/>
      <c r="L712" s="237"/>
      <c r="M712" s="237"/>
      <c r="N712" s="237"/>
      <c r="O712" s="237"/>
      <c r="P712" s="237"/>
      <c r="Q712" s="237"/>
      <c r="R712" s="237"/>
      <c r="S712" s="237"/>
      <c r="T712" s="237"/>
      <c r="U712" s="237"/>
      <c r="V712" s="237"/>
      <c r="W712" s="237"/>
      <c r="X712" s="38"/>
      <c r="Y712" s="38"/>
      <c r="Z712" s="38"/>
      <c r="AA712" s="38"/>
      <c r="AB712" s="91"/>
      <c r="AC712" s="94" t="str">
        <f>IF(Eingabe[[#This Row],[V1]]="",IF(Eingabe[[#This Row],[Volle alternativ]]="","",Eingabe[[#This Row],[Volle alternativ]]),SUM(Eingabe[[#This Row],[V1]:[V4]]))</f>
        <v/>
      </c>
      <c r="AD712" s="6" t="str">
        <f>IF(Eingabe[[#This Row],[R1]]="",IF(Eingabe[[#This Row],[Räumer alternativ]]="","",Eingabe[[#This Row],[Räumer alternativ]]),SUM(Eingabe[[#This Row],[R1]:[R4]]))</f>
        <v/>
      </c>
      <c r="AE712" s="6" t="str">
        <f>IF(Eingabe[[#This Row],[F1]]="",IF(Eingabe[[#This Row],[Fehler alternativ]]="","",Eingabe[[#This Row],[Fehler alternativ]]),SUM(Eingabe[[#This Row],[F1]:[F4]]))</f>
        <v/>
      </c>
      <c r="AF712" s="6" t="str">
        <f>IF(Eingabe[[#This Row],[Volle]]="","",IF(Eingabe[[#This Row],[S1]]="",Eingabe[[#This Row],[Volle]]+Eingabe[[#This Row],[Räumer]],IF(Eingabe[[#This Row],[Volle]]+Eingabe[[#This Row],[Räumer]]=Eingabe[[#This Row],[S1]]+Eingabe[[#This Row],[S2]]+Eingabe[[#This Row],[S3]]+Eingabe[[#This Row],[S4]],Eingabe[[#This Row],[Volle]]+Eingabe[[#This Row],[Räumer]],"FEHLER")))</f>
        <v/>
      </c>
      <c r="AG712" s="6" t="str">
        <f>IF(Eingabe[[#This Row],[V1]]="","",Eingabe[[#This Row],[V1]]+Eingabe[[#This Row],[R1]])</f>
        <v/>
      </c>
      <c r="AH712" s="6" t="str">
        <f>IF(Eingabe[[#This Row],[V2]]="","",Eingabe[[#This Row],[V2]]+Eingabe[[#This Row],[R2]])</f>
        <v/>
      </c>
      <c r="AI712" s="6" t="str">
        <f>IF(Eingabe[[#This Row],[V3]]="","",Eingabe[[#This Row],[V3]]+Eingabe[[#This Row],[R3]])</f>
        <v/>
      </c>
      <c r="AJ712" s="6" t="str">
        <f>IF(Eingabe[[#This Row],[V4]]="","",Eingabe[[#This Row],[V4]]+Eingabe[[#This Row],[R4]])</f>
        <v/>
      </c>
      <c r="AK712" s="6" t="str">
        <f>IF(Eingabe[[#This Row],[S1P]]="","",Eingabe[[#This Row],[S1P]]+Eingabe[[#This Row],[S2P]]+Eingabe[[#This Row],[S3P]]+Eingabe[[#This Row],[S4P]])</f>
        <v/>
      </c>
      <c r="AL712" s="6" t="str">
        <f>IF(Eingabe[[#This Row],[S1P]]="","",IF(Eingabe[[#This Row],[SP]]&gt;2,1,IF(Eingabe[[#This Row],[SP]]&lt;2,0,IF(Eingabe[[#This Row],[GES]]&gt;Eingabe[[#This Row],[GEGGES]],1,IF(Eingabe[[#This Row],[GES]]=Eingabe[[#This Row],[GEGGES]],0.5,0)))))</f>
        <v/>
      </c>
      <c r="AM712" s="6" t="str">
        <f>IF(Eingabe[[#This Row],[MP]]="","",MOD(ROW(Eingabe[[#This Row],[Position]])-3,6)+1)</f>
        <v/>
      </c>
      <c r="AN712" s="6" t="e">
        <f>STANDARDIZE(Eingabe[[#This Row],[GES]],Eingabe[[#This Row],[Schnitt]],VLOOKUP(Eingabe[[#This Row],[Name]],AuswertungG[],21,FALSE))</f>
        <v>#VALUE!</v>
      </c>
      <c r="AO712" s="6" t="str">
        <f>VLOOKUP(Eingabe[[#This Row],[ID]],Chronologie[[ID]:[KW]],12,FALSE)</f>
        <v/>
      </c>
      <c r="AP712" s="95">
        <f>IF(Eingabe[[#This Row],[Wo]]="H",Eingabe[[#This Row],[Gegner]]&amp;" ["&amp;Eingabe[[#This Row],[Wo]]&amp;"]",Eingabe[[#This Row],[Ort]])</f>
        <v>0</v>
      </c>
      <c r="AQ712" s="6" t="str">
        <f>IFERROR(IF(Eingabe[[#This Row],[Wo]]="H",IF(MOD(Eingabe[[#This Row],[Position]],2)=1,Eingabe[[#This Row],[S1]],Eingabe[[#This Row],[S4]]),""),"")</f>
        <v/>
      </c>
      <c r="AR712" s="6" t="str">
        <f>IFERROR(IF(Eingabe[[#This Row],[Wo]]="H",IF(Eingabe[[#This Row],[S1]]&gt;0,IF(MOD(Eingabe[[#This Row],[Position]],2)=1,Eingabe[[#This Row],[S2]],Eingabe[[#This Row],[S3]]),""),""),"")</f>
        <v/>
      </c>
      <c r="AS712" s="6" t="str">
        <f>IFERROR(IF(Eingabe[[#This Row],[Wo]]="H",IF(Eingabe[[#This Row],[S1]]&gt;0,IF(MOD(ROW(Eingabe[[#This Row],[Heimbahn 3]]),2)=1,Eingabe[[#This Row],[S4]],Eingabe[[#This Row],[S1]]),""),""),"")</f>
        <v/>
      </c>
      <c r="AT712" s="6" t="str">
        <f>IFERROR(IF(Eingabe[[#This Row],[Wo]]="H",IF(Eingabe[[#This Row],[S1]]&gt;0,IF(MOD(ROW(Eingabe[[#This Row],[Heimbahn 4]]),2)=1,Eingabe[[#This Row],[S3]],Eingabe[[#This Row],[S2]]),""),""),"")</f>
        <v/>
      </c>
      <c r="AU712" s="22" t="str">
        <f>IF(Eingabe[[#This Row],[GES]]="","",IF(Eingabe[[#This Row],[Modus]]="L",_xlfn.RANK.EQ(Eingabe[[#This Row],[GES]],AF711:AF716),IF(Eingabe[[#This Row],[Modus]]="P",_xlfn.RANK.EQ(Eingabe[[#This Row],[GES]],AF711:AF716),"")))</f>
        <v/>
      </c>
      <c r="AV712" s="6" t="e">
        <f>VLOOKUP(Eingabe[[#This Row],[Name]],AuswertungG[],8,FALSE)</f>
        <v>#N/A</v>
      </c>
      <c r="AZ712" s="6" t="str">
        <f>IFERROR(ABS(Eingabe[[#This Row],[GES]]-Eingabe[[#This Row],[GEGGES]]),"")</f>
        <v/>
      </c>
    </row>
    <row r="713" spans="1:52" hidden="1" x14ac:dyDescent="0.3">
      <c r="A713" s="441"/>
      <c r="B713" s="21">
        <f t="shared" si="75"/>
        <v>119</v>
      </c>
      <c r="C713" s="6">
        <f>VLOOKUP($B713,Chronologie[],7,TRUE)</f>
        <v>0</v>
      </c>
      <c r="D713" s="6">
        <f>VLOOKUP($B713,Chronologie[],8,TRUE)</f>
        <v>0</v>
      </c>
      <c r="E713" s="240">
        <f>VLOOKUP($B713,Chronologie[],9,TRUE)</f>
        <v>0</v>
      </c>
      <c r="F713" s="6">
        <f>VLOOKUP($B713,Chronologie[],COLUMN(F714)-2,TRUE)</f>
        <v>0</v>
      </c>
      <c r="G713" s="6">
        <f>VLOOKUP($B713,Chronologie[],COLUMN(G714)-2,TRUE)</f>
        <v>0</v>
      </c>
      <c r="H713" s="6">
        <f>VLOOKUP($B713,Chronologie[],COLUMN(H714)-2,TRUE)</f>
        <v>0</v>
      </c>
      <c r="I713" s="10" t="str">
        <f>VLOOKUP($B713,Chronologie[],2,TRUE)</f>
        <v>--</v>
      </c>
      <c r="J713" s="243">
        <f>VLOOKUP($B713,Chronologie[],3,TRUE)</f>
        <v>0</v>
      </c>
      <c r="K713" s="237"/>
      <c r="L713" s="237"/>
      <c r="M713" s="237"/>
      <c r="N713" s="237"/>
      <c r="O713" s="237"/>
      <c r="P713" s="237"/>
      <c r="Q713" s="237"/>
      <c r="R713" s="237"/>
      <c r="S713" s="237"/>
      <c r="T713" s="237"/>
      <c r="U713" s="237"/>
      <c r="V713" s="237"/>
      <c r="W713" s="237"/>
      <c r="X713" s="38"/>
      <c r="Y713" s="38"/>
      <c r="Z713" s="38"/>
      <c r="AA713" s="38"/>
      <c r="AB713" s="91"/>
      <c r="AC713" s="94" t="str">
        <f>IF(Eingabe[[#This Row],[V1]]="",IF(Eingabe[[#This Row],[Volle alternativ]]="","",Eingabe[[#This Row],[Volle alternativ]]),SUM(Eingabe[[#This Row],[V1]:[V4]]))</f>
        <v/>
      </c>
      <c r="AD713" s="6" t="str">
        <f>IF(Eingabe[[#This Row],[R1]]="",IF(Eingabe[[#This Row],[Räumer alternativ]]="","",Eingabe[[#This Row],[Räumer alternativ]]),SUM(Eingabe[[#This Row],[R1]:[R4]]))</f>
        <v/>
      </c>
      <c r="AE713" s="6" t="str">
        <f>IF(Eingabe[[#This Row],[F1]]="",IF(Eingabe[[#This Row],[Fehler alternativ]]="","",Eingabe[[#This Row],[Fehler alternativ]]),SUM(Eingabe[[#This Row],[F1]:[F4]]))</f>
        <v/>
      </c>
      <c r="AF713" s="6" t="str">
        <f>IF(Eingabe[[#This Row],[Volle]]="","",IF(Eingabe[[#This Row],[S1]]="",Eingabe[[#This Row],[Volle]]+Eingabe[[#This Row],[Räumer]],IF(Eingabe[[#This Row],[Volle]]+Eingabe[[#This Row],[Räumer]]=Eingabe[[#This Row],[S1]]+Eingabe[[#This Row],[S2]]+Eingabe[[#This Row],[S3]]+Eingabe[[#This Row],[S4]],Eingabe[[#This Row],[Volle]]+Eingabe[[#This Row],[Räumer]],"FEHLER")))</f>
        <v/>
      </c>
      <c r="AG713" s="6" t="str">
        <f>IF(Eingabe[[#This Row],[V1]]="","",Eingabe[[#This Row],[V1]]+Eingabe[[#This Row],[R1]])</f>
        <v/>
      </c>
      <c r="AH713" s="6" t="str">
        <f>IF(Eingabe[[#This Row],[V2]]="","",Eingabe[[#This Row],[V2]]+Eingabe[[#This Row],[R2]])</f>
        <v/>
      </c>
      <c r="AI713" s="6" t="str">
        <f>IF(Eingabe[[#This Row],[V3]]="","",Eingabe[[#This Row],[V3]]+Eingabe[[#This Row],[R3]])</f>
        <v/>
      </c>
      <c r="AJ713" s="6" t="str">
        <f>IF(Eingabe[[#This Row],[V4]]="","",Eingabe[[#This Row],[V4]]+Eingabe[[#This Row],[R4]])</f>
        <v/>
      </c>
      <c r="AK713" s="6" t="str">
        <f>IF(Eingabe[[#This Row],[S1P]]="","",Eingabe[[#This Row],[S1P]]+Eingabe[[#This Row],[S2P]]+Eingabe[[#This Row],[S3P]]+Eingabe[[#This Row],[S4P]])</f>
        <v/>
      </c>
      <c r="AL713" s="6" t="str">
        <f>IF(Eingabe[[#This Row],[S1P]]="","",IF(Eingabe[[#This Row],[SP]]&gt;2,1,IF(Eingabe[[#This Row],[SP]]&lt;2,0,IF(Eingabe[[#This Row],[GES]]&gt;Eingabe[[#This Row],[GEGGES]],1,IF(Eingabe[[#This Row],[GES]]=Eingabe[[#This Row],[GEGGES]],0.5,0)))))</f>
        <v/>
      </c>
      <c r="AM713" s="6" t="str">
        <f>IF(Eingabe[[#This Row],[MP]]="","",MOD(ROW(Eingabe[[#This Row],[Position]])-3,6)+1)</f>
        <v/>
      </c>
      <c r="AN713" s="6" t="e">
        <f>STANDARDIZE(Eingabe[[#This Row],[GES]],Eingabe[[#This Row],[Schnitt]],VLOOKUP(Eingabe[[#This Row],[Name]],AuswertungG[],21,FALSE))</f>
        <v>#VALUE!</v>
      </c>
      <c r="AO713" s="6" t="str">
        <f>VLOOKUP(Eingabe[[#This Row],[ID]],Chronologie[[ID]:[KW]],12,FALSE)</f>
        <v/>
      </c>
      <c r="AP713" s="95">
        <f>IF(Eingabe[[#This Row],[Wo]]="H",Eingabe[[#This Row],[Gegner]]&amp;" ["&amp;Eingabe[[#This Row],[Wo]]&amp;"]",Eingabe[[#This Row],[Ort]])</f>
        <v>0</v>
      </c>
      <c r="AQ713" s="6" t="str">
        <f>IFERROR(IF(Eingabe[[#This Row],[Wo]]="H",IF(MOD(Eingabe[[#This Row],[Position]],2)=1,Eingabe[[#This Row],[S1]],Eingabe[[#This Row],[S4]]),""),"")</f>
        <v/>
      </c>
      <c r="AR713" s="6" t="str">
        <f>IFERROR(IF(Eingabe[[#This Row],[Wo]]="H",IF(Eingabe[[#This Row],[S1]]&gt;0,IF(MOD(Eingabe[[#This Row],[Position]],2)=1,Eingabe[[#This Row],[S2]],Eingabe[[#This Row],[S3]]),""),""),"")</f>
        <v/>
      </c>
      <c r="AS713" s="6" t="str">
        <f>IFERROR(IF(Eingabe[[#This Row],[Wo]]="H",IF(Eingabe[[#This Row],[S1]]&gt;0,IF(MOD(ROW(Eingabe[[#This Row],[Heimbahn 3]]),2)=1,Eingabe[[#This Row],[S4]],Eingabe[[#This Row],[S1]]),""),""),"")</f>
        <v/>
      </c>
      <c r="AT713" s="6" t="str">
        <f>IFERROR(IF(Eingabe[[#This Row],[Wo]]="H",IF(Eingabe[[#This Row],[S1]]&gt;0,IF(MOD(ROW(Eingabe[[#This Row],[Heimbahn 4]]),2)=1,Eingabe[[#This Row],[S3]],Eingabe[[#This Row],[S2]]),""),""),"")</f>
        <v/>
      </c>
      <c r="AU713" s="22" t="str">
        <f>IF(Eingabe[[#This Row],[GES]]="","",IF(Eingabe[[#This Row],[Modus]]="L",_xlfn.RANK.EQ(Eingabe[[#This Row],[GES]],AF711:AF716),IF(Eingabe[[#This Row],[Modus]]="P",_xlfn.RANK.EQ(Eingabe[[#This Row],[GES]],AF711:AF716),"")))</f>
        <v/>
      </c>
      <c r="AV713" s="6" t="e">
        <f>VLOOKUP(Eingabe[[#This Row],[Name]],AuswertungG[],8,FALSE)</f>
        <v>#N/A</v>
      </c>
      <c r="AZ713" s="6" t="str">
        <f>IFERROR(ABS(Eingabe[[#This Row],[GES]]-Eingabe[[#This Row],[GEGGES]]),"")</f>
        <v/>
      </c>
    </row>
    <row r="714" spans="1:52" hidden="1" x14ac:dyDescent="0.3">
      <c r="A714" s="441"/>
      <c r="B714" s="21">
        <f t="shared" si="75"/>
        <v>119</v>
      </c>
      <c r="C714" s="6">
        <f>VLOOKUP($B714,Chronologie[],7,TRUE)</f>
        <v>0</v>
      </c>
      <c r="D714" s="6">
        <f>VLOOKUP($B714,Chronologie[],8,TRUE)</f>
        <v>0</v>
      </c>
      <c r="E714" s="240">
        <f>VLOOKUP($B714,Chronologie[],9,TRUE)</f>
        <v>0</v>
      </c>
      <c r="F714" s="6">
        <f>VLOOKUP($B714,Chronologie[],COLUMN(F715)-2,TRUE)</f>
        <v>0</v>
      </c>
      <c r="G714" s="6">
        <f>VLOOKUP($B714,Chronologie[],COLUMN(G715)-2,TRUE)</f>
        <v>0</v>
      </c>
      <c r="H714" s="6">
        <f>VLOOKUP($B714,Chronologie[],COLUMN(H715)-2,TRUE)</f>
        <v>0</v>
      </c>
      <c r="I714" s="10" t="str">
        <f>VLOOKUP($B714,Chronologie[],2,TRUE)</f>
        <v>--</v>
      </c>
      <c r="J714" s="243">
        <f>VLOOKUP($B714,Chronologie[],3,TRUE)</f>
        <v>0</v>
      </c>
      <c r="K714" s="238"/>
      <c r="L714" s="237"/>
      <c r="M714" s="237"/>
      <c r="N714" s="237"/>
      <c r="O714" s="237"/>
      <c r="P714" s="237"/>
      <c r="Q714" s="237"/>
      <c r="R714" s="237"/>
      <c r="S714" s="237"/>
      <c r="T714" s="237"/>
      <c r="U714" s="237"/>
      <c r="V714" s="237"/>
      <c r="W714" s="237"/>
      <c r="X714" s="38"/>
      <c r="Y714" s="38"/>
      <c r="Z714" s="38"/>
      <c r="AA714" s="38"/>
      <c r="AB714" s="91"/>
      <c r="AC714" s="94" t="str">
        <f>IF(Eingabe[[#This Row],[V1]]="",IF(Eingabe[[#This Row],[Volle alternativ]]="","",Eingabe[[#This Row],[Volle alternativ]]),SUM(Eingabe[[#This Row],[V1]:[V4]]))</f>
        <v/>
      </c>
      <c r="AD714" s="6" t="str">
        <f>IF(Eingabe[[#This Row],[R1]]="",IF(Eingabe[[#This Row],[Räumer alternativ]]="","",Eingabe[[#This Row],[Räumer alternativ]]),SUM(Eingabe[[#This Row],[R1]:[R4]]))</f>
        <v/>
      </c>
      <c r="AE714" s="6" t="str">
        <f>IF(Eingabe[[#This Row],[F1]]="",IF(Eingabe[[#This Row],[Fehler alternativ]]="","",Eingabe[[#This Row],[Fehler alternativ]]),SUM(Eingabe[[#This Row],[F1]:[F4]]))</f>
        <v/>
      </c>
      <c r="AF714" s="6" t="str">
        <f>IF(Eingabe[[#This Row],[Volle]]="","",IF(Eingabe[[#This Row],[S1]]="",Eingabe[[#This Row],[Volle]]+Eingabe[[#This Row],[Räumer]],IF(Eingabe[[#This Row],[Volle]]+Eingabe[[#This Row],[Räumer]]=Eingabe[[#This Row],[S1]]+Eingabe[[#This Row],[S2]]+Eingabe[[#This Row],[S3]]+Eingabe[[#This Row],[S4]],Eingabe[[#This Row],[Volle]]+Eingabe[[#This Row],[Räumer]],"FEHLER")))</f>
        <v/>
      </c>
      <c r="AG714" s="6" t="str">
        <f>IF(Eingabe[[#This Row],[V1]]="","",Eingabe[[#This Row],[V1]]+Eingabe[[#This Row],[R1]])</f>
        <v/>
      </c>
      <c r="AH714" s="6" t="str">
        <f>IF(Eingabe[[#This Row],[V2]]="","",Eingabe[[#This Row],[V2]]+Eingabe[[#This Row],[R2]])</f>
        <v/>
      </c>
      <c r="AI714" s="6" t="str">
        <f>IF(Eingabe[[#This Row],[V3]]="","",Eingabe[[#This Row],[V3]]+Eingabe[[#This Row],[R3]])</f>
        <v/>
      </c>
      <c r="AJ714" s="6" t="str">
        <f>IF(Eingabe[[#This Row],[V4]]="","",Eingabe[[#This Row],[V4]]+Eingabe[[#This Row],[R4]])</f>
        <v/>
      </c>
      <c r="AK714" s="6" t="str">
        <f>IF(Eingabe[[#This Row],[S1P]]="","",Eingabe[[#This Row],[S1P]]+Eingabe[[#This Row],[S2P]]+Eingabe[[#This Row],[S3P]]+Eingabe[[#This Row],[S4P]])</f>
        <v/>
      </c>
      <c r="AL714" s="6" t="str">
        <f>IF(Eingabe[[#This Row],[S1P]]="","",IF(Eingabe[[#This Row],[SP]]&gt;2,1,IF(Eingabe[[#This Row],[SP]]&lt;2,0,IF(Eingabe[[#This Row],[GES]]&gt;Eingabe[[#This Row],[GEGGES]],1,IF(Eingabe[[#This Row],[GES]]=Eingabe[[#This Row],[GEGGES]],0.5,0)))))</f>
        <v/>
      </c>
      <c r="AM714" s="6" t="str">
        <f>IF(Eingabe[[#This Row],[MP]]="","",MOD(ROW(Eingabe[[#This Row],[Position]])-3,6)+1)</f>
        <v/>
      </c>
      <c r="AN714" s="6" t="e">
        <f>STANDARDIZE(Eingabe[[#This Row],[GES]],Eingabe[[#This Row],[Schnitt]],VLOOKUP(Eingabe[[#This Row],[Name]],AuswertungG[],21,FALSE))</f>
        <v>#VALUE!</v>
      </c>
      <c r="AO714" s="6" t="str">
        <f>VLOOKUP(Eingabe[[#This Row],[ID]],Chronologie[[ID]:[KW]],12,FALSE)</f>
        <v/>
      </c>
      <c r="AP714" s="95">
        <f>IF(Eingabe[[#This Row],[Wo]]="H",Eingabe[[#This Row],[Gegner]]&amp;" ["&amp;Eingabe[[#This Row],[Wo]]&amp;"]",Eingabe[[#This Row],[Ort]])</f>
        <v>0</v>
      </c>
      <c r="AQ714" s="6" t="str">
        <f>IFERROR(IF(Eingabe[[#This Row],[Wo]]="H",IF(MOD(Eingabe[[#This Row],[Position]],2)=1,Eingabe[[#This Row],[S1]],Eingabe[[#This Row],[S4]]),""),"")</f>
        <v/>
      </c>
      <c r="AR714" s="6" t="str">
        <f>IFERROR(IF(Eingabe[[#This Row],[Wo]]="H",IF(Eingabe[[#This Row],[S1]]&gt;0,IF(MOD(Eingabe[[#This Row],[Position]],2)=1,Eingabe[[#This Row],[S2]],Eingabe[[#This Row],[S3]]),""),""),"")</f>
        <v/>
      </c>
      <c r="AS714" s="6" t="str">
        <f>IFERROR(IF(Eingabe[[#This Row],[Wo]]="H",IF(Eingabe[[#This Row],[S1]]&gt;0,IF(MOD(ROW(Eingabe[[#This Row],[Heimbahn 3]]),2)=1,Eingabe[[#This Row],[S4]],Eingabe[[#This Row],[S1]]),""),""),"")</f>
        <v/>
      </c>
      <c r="AT714" s="6" t="str">
        <f>IFERROR(IF(Eingabe[[#This Row],[Wo]]="H",IF(Eingabe[[#This Row],[S1]]&gt;0,IF(MOD(ROW(Eingabe[[#This Row],[Heimbahn 4]]),2)=1,Eingabe[[#This Row],[S3]],Eingabe[[#This Row],[S2]]),""),""),"")</f>
        <v/>
      </c>
      <c r="AU714" s="22" t="str">
        <f>IF(Eingabe[[#This Row],[GES]]="","",IF(Eingabe[[#This Row],[Modus]]="L",_xlfn.RANK.EQ(Eingabe[[#This Row],[GES]],AF711:AF716),IF(Eingabe[[#This Row],[Modus]]="P",_xlfn.RANK.EQ(Eingabe[[#This Row],[GES]],AF711:AF716),"")))</f>
        <v/>
      </c>
      <c r="AV714" s="6" t="e">
        <f>VLOOKUP(Eingabe[[#This Row],[Name]],AuswertungG[],8,FALSE)</f>
        <v>#N/A</v>
      </c>
      <c r="AZ714" s="6" t="str">
        <f>IFERROR(ABS(Eingabe[[#This Row],[GES]]-Eingabe[[#This Row],[GEGGES]]),"")</f>
        <v/>
      </c>
    </row>
    <row r="715" spans="1:52" hidden="1" x14ac:dyDescent="0.3">
      <c r="A715" s="441"/>
      <c r="B715" s="21">
        <f t="shared" si="75"/>
        <v>119</v>
      </c>
      <c r="C715" s="6">
        <f>VLOOKUP($B715,Chronologie[],7,TRUE)</f>
        <v>0</v>
      </c>
      <c r="D715" s="6">
        <f>VLOOKUP($B715,Chronologie[],8,TRUE)</f>
        <v>0</v>
      </c>
      <c r="E715" s="240">
        <f>VLOOKUP($B715,Chronologie[],9,TRUE)</f>
        <v>0</v>
      </c>
      <c r="F715" s="6">
        <f>VLOOKUP($B715,Chronologie[],COLUMN(F716)-2,TRUE)</f>
        <v>0</v>
      </c>
      <c r="G715" s="6">
        <f>VLOOKUP($B715,Chronologie[],COLUMN(G716)-2,TRUE)</f>
        <v>0</v>
      </c>
      <c r="H715" s="6">
        <f>VLOOKUP($B715,Chronologie[],COLUMN(H716)-2,TRUE)</f>
        <v>0</v>
      </c>
      <c r="I715" s="10" t="str">
        <f>VLOOKUP($B715,Chronologie[],2,TRUE)</f>
        <v>--</v>
      </c>
      <c r="J715" s="243">
        <f>VLOOKUP($B715,Chronologie[],3,TRUE)</f>
        <v>0</v>
      </c>
      <c r="K715" s="237"/>
      <c r="L715" s="237"/>
      <c r="M715" s="237"/>
      <c r="N715" s="237"/>
      <c r="O715" s="237"/>
      <c r="P715" s="237"/>
      <c r="Q715" s="237"/>
      <c r="R715" s="237"/>
      <c r="S715" s="237"/>
      <c r="T715" s="237"/>
      <c r="U715" s="237"/>
      <c r="V715" s="237"/>
      <c r="W715" s="237"/>
      <c r="X715" s="38"/>
      <c r="Y715" s="38"/>
      <c r="Z715" s="38"/>
      <c r="AA715" s="38"/>
      <c r="AB715" s="91"/>
      <c r="AC715" s="94" t="str">
        <f>IF(Eingabe[[#This Row],[V1]]="",IF(Eingabe[[#This Row],[Volle alternativ]]="","",Eingabe[[#This Row],[Volle alternativ]]),SUM(Eingabe[[#This Row],[V1]:[V4]]))</f>
        <v/>
      </c>
      <c r="AD715" s="6" t="str">
        <f>IF(Eingabe[[#This Row],[R1]]="",IF(Eingabe[[#This Row],[Räumer alternativ]]="","",Eingabe[[#This Row],[Räumer alternativ]]),SUM(Eingabe[[#This Row],[R1]:[R4]]))</f>
        <v/>
      </c>
      <c r="AE715" s="6" t="str">
        <f>IF(Eingabe[[#This Row],[F1]]="",IF(Eingabe[[#This Row],[Fehler alternativ]]="","",Eingabe[[#This Row],[Fehler alternativ]]),SUM(Eingabe[[#This Row],[F1]:[F4]]))</f>
        <v/>
      </c>
      <c r="AF715" s="6" t="str">
        <f>IF(Eingabe[[#This Row],[Volle]]="","",IF(Eingabe[[#This Row],[S1]]="",Eingabe[[#This Row],[Volle]]+Eingabe[[#This Row],[Räumer]],IF(Eingabe[[#This Row],[Volle]]+Eingabe[[#This Row],[Räumer]]=Eingabe[[#This Row],[S1]]+Eingabe[[#This Row],[S2]]+Eingabe[[#This Row],[S3]]+Eingabe[[#This Row],[S4]],Eingabe[[#This Row],[Volle]]+Eingabe[[#This Row],[Räumer]],"FEHLER")))</f>
        <v/>
      </c>
      <c r="AG715" s="6" t="str">
        <f>IF(Eingabe[[#This Row],[V1]]="","",Eingabe[[#This Row],[V1]]+Eingabe[[#This Row],[R1]])</f>
        <v/>
      </c>
      <c r="AH715" s="6" t="str">
        <f>IF(Eingabe[[#This Row],[V2]]="","",Eingabe[[#This Row],[V2]]+Eingabe[[#This Row],[R2]])</f>
        <v/>
      </c>
      <c r="AI715" s="6" t="str">
        <f>IF(Eingabe[[#This Row],[V3]]="","",Eingabe[[#This Row],[V3]]+Eingabe[[#This Row],[R3]])</f>
        <v/>
      </c>
      <c r="AJ715" s="6" t="str">
        <f>IF(Eingabe[[#This Row],[V4]]="","",Eingabe[[#This Row],[V4]]+Eingabe[[#This Row],[R4]])</f>
        <v/>
      </c>
      <c r="AK715" s="6" t="str">
        <f>IF(Eingabe[[#This Row],[S1P]]="","",Eingabe[[#This Row],[S1P]]+Eingabe[[#This Row],[S2P]]+Eingabe[[#This Row],[S3P]]+Eingabe[[#This Row],[S4P]])</f>
        <v/>
      </c>
      <c r="AL715" s="6" t="str">
        <f>IF(Eingabe[[#This Row],[S1P]]="","",IF(Eingabe[[#This Row],[SP]]&gt;2,1,IF(Eingabe[[#This Row],[SP]]&lt;2,0,IF(Eingabe[[#This Row],[GES]]&gt;Eingabe[[#This Row],[GEGGES]],1,IF(Eingabe[[#This Row],[GES]]=Eingabe[[#This Row],[GEGGES]],0.5,0)))))</f>
        <v/>
      </c>
      <c r="AM715" s="6" t="str">
        <f>IF(Eingabe[[#This Row],[MP]]="","",MOD(ROW(Eingabe[[#This Row],[Position]])-3,6)+1)</f>
        <v/>
      </c>
      <c r="AN715" s="6" t="e">
        <f>STANDARDIZE(Eingabe[[#This Row],[GES]],Eingabe[[#This Row],[Schnitt]],VLOOKUP(Eingabe[[#This Row],[Name]],AuswertungG[],21,FALSE))</f>
        <v>#VALUE!</v>
      </c>
      <c r="AO715" s="6" t="str">
        <f>VLOOKUP(Eingabe[[#This Row],[ID]],Chronologie[[ID]:[KW]],12,FALSE)</f>
        <v/>
      </c>
      <c r="AP715" s="95">
        <f>IF(Eingabe[[#This Row],[Wo]]="H",Eingabe[[#This Row],[Gegner]]&amp;" ["&amp;Eingabe[[#This Row],[Wo]]&amp;"]",Eingabe[[#This Row],[Ort]])</f>
        <v>0</v>
      </c>
      <c r="AQ715" s="6" t="str">
        <f>IFERROR(IF(Eingabe[[#This Row],[Wo]]="H",IF(MOD(Eingabe[[#This Row],[Position]],2)=1,Eingabe[[#This Row],[S1]],Eingabe[[#This Row],[S4]]),""),"")</f>
        <v/>
      </c>
      <c r="AR715" s="6" t="str">
        <f>IFERROR(IF(Eingabe[[#This Row],[Wo]]="H",IF(Eingabe[[#This Row],[S1]]&gt;0,IF(MOD(Eingabe[[#This Row],[Position]],2)=1,Eingabe[[#This Row],[S2]],Eingabe[[#This Row],[S3]]),""),""),"")</f>
        <v/>
      </c>
      <c r="AS715" s="6" t="str">
        <f>IFERROR(IF(Eingabe[[#This Row],[Wo]]="H",IF(Eingabe[[#This Row],[S1]]&gt;0,IF(MOD(ROW(Eingabe[[#This Row],[Heimbahn 3]]),2)=1,Eingabe[[#This Row],[S4]],Eingabe[[#This Row],[S1]]),""),""),"")</f>
        <v/>
      </c>
      <c r="AT715" s="6" t="str">
        <f>IFERROR(IF(Eingabe[[#This Row],[Wo]]="H",IF(Eingabe[[#This Row],[S1]]&gt;0,IF(MOD(ROW(Eingabe[[#This Row],[Heimbahn 4]]),2)=1,Eingabe[[#This Row],[S3]],Eingabe[[#This Row],[S2]]),""),""),"")</f>
        <v/>
      </c>
      <c r="AU715" s="22" t="str">
        <f>IF(Eingabe[[#This Row],[GES]]="","",IF(Eingabe[[#This Row],[Modus]]="L",_xlfn.RANK.EQ(Eingabe[[#This Row],[GES]],AF711:AF716),IF(Eingabe[[#This Row],[Modus]]="P",_xlfn.RANK.EQ(Eingabe[[#This Row],[GES]],AF711:AF716),"")))</f>
        <v/>
      </c>
      <c r="AV715" s="6" t="e">
        <f>VLOOKUP(Eingabe[[#This Row],[Name]],AuswertungG[],8,FALSE)</f>
        <v>#N/A</v>
      </c>
      <c r="AZ715" s="6" t="str">
        <f>IFERROR(ABS(Eingabe[[#This Row],[GES]]-Eingabe[[#This Row],[GEGGES]]),"")</f>
        <v/>
      </c>
    </row>
    <row r="716" spans="1:52" ht="16.2" hidden="1" thickBot="1" x14ac:dyDescent="0.35">
      <c r="A716" s="442"/>
      <c r="B716" s="56">
        <f t="shared" si="75"/>
        <v>119</v>
      </c>
      <c r="C716" s="23">
        <f>VLOOKUP($B716,Chronologie[],7,TRUE)</f>
        <v>0</v>
      </c>
      <c r="D716" s="23">
        <f>VLOOKUP($B716,Chronologie[],8,TRUE)</f>
        <v>0</v>
      </c>
      <c r="E716" s="39">
        <f>VLOOKUP($B716,Chronologie[],9,TRUE)</f>
        <v>0</v>
      </c>
      <c r="F716" s="23">
        <f>VLOOKUP($B716,Chronologie[],COLUMN(F717)-2,TRUE)</f>
        <v>0</v>
      </c>
      <c r="G716" s="23">
        <f>VLOOKUP($B716,Chronologie[],COLUMN(G717)-2,TRUE)</f>
        <v>0</v>
      </c>
      <c r="H716" s="23">
        <f>VLOOKUP($B716,Chronologie[],COLUMN(H717)-2,TRUE)</f>
        <v>0</v>
      </c>
      <c r="I716" s="13" t="str">
        <f>VLOOKUP($B716,Chronologie[],2,TRUE)</f>
        <v>--</v>
      </c>
      <c r="J716" s="244">
        <f>VLOOKUP($B716,Chronologie[],3,TRUE)</f>
        <v>0</v>
      </c>
      <c r="K716" s="239"/>
      <c r="L716" s="239"/>
      <c r="M716" s="239"/>
      <c r="N716" s="239"/>
      <c r="O716" s="239"/>
      <c r="P716" s="239"/>
      <c r="Q716" s="239"/>
      <c r="R716" s="239"/>
      <c r="S716" s="239"/>
      <c r="T716" s="239"/>
      <c r="U716" s="239"/>
      <c r="V716" s="239"/>
      <c r="W716" s="239"/>
      <c r="X716" s="40"/>
      <c r="Y716" s="40"/>
      <c r="Z716" s="40"/>
      <c r="AA716" s="40"/>
      <c r="AB716" s="92"/>
      <c r="AC716" s="96" t="str">
        <f>IF(Eingabe[[#This Row],[V1]]="",IF(Eingabe[[#This Row],[Volle alternativ]]="","",Eingabe[[#This Row],[Volle alternativ]]),SUM(Eingabe[[#This Row],[V1]:[V4]]))</f>
        <v/>
      </c>
      <c r="AD716" s="23" t="str">
        <f>IF(Eingabe[[#This Row],[R1]]="",IF(Eingabe[[#This Row],[Räumer alternativ]]="","",Eingabe[[#This Row],[Räumer alternativ]]),SUM(Eingabe[[#This Row],[R1]:[R4]]))</f>
        <v/>
      </c>
      <c r="AE716" s="23" t="str">
        <f>IF(Eingabe[[#This Row],[F1]]="",IF(Eingabe[[#This Row],[Fehler alternativ]]="","",Eingabe[[#This Row],[Fehler alternativ]]),SUM(Eingabe[[#This Row],[F1]:[F4]]))</f>
        <v/>
      </c>
      <c r="AF716" s="23" t="str">
        <f>IF(Eingabe[[#This Row],[Volle]]="","",IF(Eingabe[[#This Row],[S1]]="",Eingabe[[#This Row],[Volle]]+Eingabe[[#This Row],[Räumer]],IF(Eingabe[[#This Row],[Volle]]+Eingabe[[#This Row],[Räumer]]=Eingabe[[#This Row],[S1]]+Eingabe[[#This Row],[S2]]+Eingabe[[#This Row],[S3]]+Eingabe[[#This Row],[S4]],Eingabe[[#This Row],[Volle]]+Eingabe[[#This Row],[Räumer]],"FEHLER")))</f>
        <v/>
      </c>
      <c r="AG716" s="23" t="str">
        <f>IF(Eingabe[[#This Row],[V1]]="","",Eingabe[[#This Row],[V1]]+Eingabe[[#This Row],[R1]])</f>
        <v/>
      </c>
      <c r="AH716" s="23" t="str">
        <f>IF(Eingabe[[#This Row],[V2]]="","",Eingabe[[#This Row],[V2]]+Eingabe[[#This Row],[R2]])</f>
        <v/>
      </c>
      <c r="AI716" s="23" t="str">
        <f>IF(Eingabe[[#This Row],[V3]]="","",Eingabe[[#This Row],[V3]]+Eingabe[[#This Row],[R3]])</f>
        <v/>
      </c>
      <c r="AJ716" s="23" t="str">
        <f>IF(Eingabe[[#This Row],[V4]]="","",Eingabe[[#This Row],[V4]]+Eingabe[[#This Row],[R4]])</f>
        <v/>
      </c>
      <c r="AK716" s="23" t="str">
        <f>IF(Eingabe[[#This Row],[S1P]]="","",Eingabe[[#This Row],[S1P]]+Eingabe[[#This Row],[S2P]]+Eingabe[[#This Row],[S3P]]+Eingabe[[#This Row],[S4P]])</f>
        <v/>
      </c>
      <c r="AL716" s="23" t="str">
        <f>IF(Eingabe[[#This Row],[S1P]]="","",IF(Eingabe[[#This Row],[SP]]&gt;2,1,IF(Eingabe[[#This Row],[SP]]&lt;2,0,IF(Eingabe[[#This Row],[GES]]&gt;Eingabe[[#This Row],[GEGGES]],1,IF(Eingabe[[#This Row],[GES]]=Eingabe[[#This Row],[GEGGES]],0.5,0)))))</f>
        <v/>
      </c>
      <c r="AM716" s="23" t="str">
        <f>IF(Eingabe[[#This Row],[MP]]="","",MOD(ROW(Eingabe[[#This Row],[Position]])-3,6)+1)</f>
        <v/>
      </c>
      <c r="AN716" s="23" t="e">
        <f>STANDARDIZE(Eingabe[[#This Row],[GES]],Eingabe[[#This Row],[Schnitt]],VLOOKUP(Eingabe[[#This Row],[Name]],AuswertungG[],21,FALSE))</f>
        <v>#VALUE!</v>
      </c>
      <c r="AO716" s="23" t="str">
        <f>VLOOKUP(Eingabe[[#This Row],[ID]],Chronologie[[ID]:[KW]],12,FALSE)</f>
        <v/>
      </c>
      <c r="AP716" s="59">
        <f>IF(Eingabe[[#This Row],[Wo]]="H",Eingabe[[#This Row],[Gegner]]&amp;" ["&amp;Eingabe[[#This Row],[Wo]]&amp;"]",Eingabe[[#This Row],[Ort]])</f>
        <v>0</v>
      </c>
      <c r="AQ716" s="23" t="str">
        <f>IFERROR(IF(Eingabe[[#This Row],[Wo]]="H",IF(MOD(Eingabe[[#This Row],[Position]],2)=1,Eingabe[[#This Row],[S1]],Eingabe[[#This Row],[S4]]),""),"")</f>
        <v/>
      </c>
      <c r="AR716" s="23" t="str">
        <f>IFERROR(IF(Eingabe[[#This Row],[Wo]]="H",IF(Eingabe[[#This Row],[S1]]&gt;0,IF(MOD(Eingabe[[#This Row],[Position]],2)=1,Eingabe[[#This Row],[S2]],Eingabe[[#This Row],[S3]]),""),""),"")</f>
        <v/>
      </c>
      <c r="AS716" s="23" t="str">
        <f>IFERROR(IF(Eingabe[[#This Row],[Wo]]="H",IF(Eingabe[[#This Row],[S1]]&gt;0,IF(MOD(ROW(Eingabe[[#This Row],[Heimbahn 3]]),2)=1,Eingabe[[#This Row],[S4]],Eingabe[[#This Row],[S1]]),""),""),"")</f>
        <v/>
      </c>
      <c r="AT716" s="23" t="str">
        <f>IFERROR(IF(Eingabe[[#This Row],[Wo]]="H",IF(Eingabe[[#This Row],[S1]]&gt;0,IF(MOD(ROW(Eingabe[[#This Row],[Heimbahn 4]]),2)=1,Eingabe[[#This Row],[S3]],Eingabe[[#This Row],[S2]]),""),""),"")</f>
        <v/>
      </c>
      <c r="AU716" s="89" t="str">
        <f>IF(Eingabe[[#This Row],[GES]]="","",IF(Eingabe[[#This Row],[Modus]]="L",_xlfn.RANK.EQ(Eingabe[[#This Row],[GES]],AF711:AF716),IF(Eingabe[[#This Row],[Modus]]="P",_xlfn.RANK.EQ(Eingabe[[#This Row],[GES]],AF711:AF716),"")))</f>
        <v/>
      </c>
      <c r="AV716" s="6" t="e">
        <f>VLOOKUP(Eingabe[[#This Row],[Name]],AuswertungG[],8,FALSE)</f>
        <v>#N/A</v>
      </c>
      <c r="AZ716" s="6" t="str">
        <f>IFERROR(ABS(Eingabe[[#This Row],[GES]]-Eingabe[[#This Row],[GEGGES]]),"")</f>
        <v/>
      </c>
    </row>
    <row r="717" spans="1:52" hidden="1" x14ac:dyDescent="0.3">
      <c r="A717" s="440">
        <f t="shared" ref="A717" si="78">B717</f>
        <v>120</v>
      </c>
      <c r="B717" s="55">
        <f t="shared" si="75"/>
        <v>120</v>
      </c>
      <c r="C717" s="35">
        <f>VLOOKUP($B717,Chronologie[],7,TRUE)</f>
        <v>0</v>
      </c>
      <c r="D717" s="35">
        <f>VLOOKUP($B717,Chronologie[],8,TRUE)</f>
        <v>0</v>
      </c>
      <c r="E717" s="36">
        <f>VLOOKUP($B717,Chronologie[],9,TRUE)</f>
        <v>0</v>
      </c>
      <c r="F717" s="35">
        <f>VLOOKUP($B717,Chronologie[],COLUMN(F718)-2,TRUE)</f>
        <v>0</v>
      </c>
      <c r="G717" s="35">
        <f>VLOOKUP($B717,Chronologie[],COLUMN(G718)-2,TRUE)</f>
        <v>0</v>
      </c>
      <c r="H717" s="35">
        <f>VLOOKUP($B717,Chronologie[],COLUMN(H718)-2,TRUE)</f>
        <v>0</v>
      </c>
      <c r="I717" s="9" t="str">
        <f>VLOOKUP($B717,Chronologie[],2,TRUE)</f>
        <v>--</v>
      </c>
      <c r="J717" s="242">
        <f>VLOOKUP($B717,Chronologie[],3,TRUE)</f>
        <v>0</v>
      </c>
      <c r="K717" s="236"/>
      <c r="L717" s="334"/>
      <c r="M717" s="334"/>
      <c r="N717" s="334"/>
      <c r="O717" s="334"/>
      <c r="P717" s="334"/>
      <c r="Q717" s="334"/>
      <c r="R717" s="334"/>
      <c r="S717" s="334"/>
      <c r="T717" s="334"/>
      <c r="U717" s="334"/>
      <c r="V717" s="334"/>
      <c r="W717" s="334"/>
      <c r="X717" s="37"/>
      <c r="Y717" s="37"/>
      <c r="Z717" s="37"/>
      <c r="AA717" s="37"/>
      <c r="AB717" s="90"/>
      <c r="AC717" s="93" t="str">
        <f>IF(Eingabe[[#This Row],[V1]]="",IF(Eingabe[[#This Row],[Volle alternativ]]="","",Eingabe[[#This Row],[Volle alternativ]]),SUM(Eingabe[[#This Row],[V1]:[V4]]))</f>
        <v/>
      </c>
      <c r="AD717" s="35" t="str">
        <f>IF(Eingabe[[#This Row],[R1]]="",IF(Eingabe[[#This Row],[Räumer alternativ]]="","",Eingabe[[#This Row],[Räumer alternativ]]),SUM(Eingabe[[#This Row],[R1]:[R4]]))</f>
        <v/>
      </c>
      <c r="AE717" s="35" t="str">
        <f>IF(Eingabe[[#This Row],[F1]]="",IF(Eingabe[[#This Row],[Fehler alternativ]]="","",Eingabe[[#This Row],[Fehler alternativ]]),SUM(Eingabe[[#This Row],[F1]:[F4]]))</f>
        <v/>
      </c>
      <c r="AF717" s="35" t="str">
        <f>IF(Eingabe[[#This Row],[Volle]]="","",IF(Eingabe[[#This Row],[S1]]="",Eingabe[[#This Row],[Volle]]+Eingabe[[#This Row],[Räumer]],IF(Eingabe[[#This Row],[Volle]]+Eingabe[[#This Row],[Räumer]]=Eingabe[[#This Row],[S1]]+Eingabe[[#This Row],[S2]]+Eingabe[[#This Row],[S3]]+Eingabe[[#This Row],[S4]],Eingabe[[#This Row],[Volle]]+Eingabe[[#This Row],[Räumer]],"FEHLER")))</f>
        <v/>
      </c>
      <c r="AG717" s="35" t="str">
        <f>IF(Eingabe[[#This Row],[V1]]="","",Eingabe[[#This Row],[V1]]+Eingabe[[#This Row],[R1]])</f>
        <v/>
      </c>
      <c r="AH717" s="35" t="str">
        <f>IF(Eingabe[[#This Row],[V2]]="","",Eingabe[[#This Row],[V2]]+Eingabe[[#This Row],[R2]])</f>
        <v/>
      </c>
      <c r="AI717" s="35" t="str">
        <f>IF(Eingabe[[#This Row],[V3]]="","",Eingabe[[#This Row],[V3]]+Eingabe[[#This Row],[R3]])</f>
        <v/>
      </c>
      <c r="AJ717" s="35" t="str">
        <f>IF(Eingabe[[#This Row],[V4]]="","",Eingabe[[#This Row],[V4]]+Eingabe[[#This Row],[R4]])</f>
        <v/>
      </c>
      <c r="AK717" s="35" t="str">
        <f>IF(Eingabe[[#This Row],[S1P]]="","",Eingabe[[#This Row],[S1P]]+Eingabe[[#This Row],[S2P]]+Eingabe[[#This Row],[S3P]]+Eingabe[[#This Row],[S4P]])</f>
        <v/>
      </c>
      <c r="AL717" s="35" t="str">
        <f>IF(Eingabe[[#This Row],[S1P]]="","",IF(Eingabe[[#This Row],[SP]]&gt;2,1,IF(Eingabe[[#This Row],[SP]]&lt;2,0,IF(Eingabe[[#This Row],[GES]]&gt;Eingabe[[#This Row],[GEGGES]],1,IF(Eingabe[[#This Row],[GES]]=Eingabe[[#This Row],[GEGGES]],0.5,0)))))</f>
        <v/>
      </c>
      <c r="AM717" s="35" t="str">
        <f>IF(Eingabe[[#This Row],[MP]]="","",MOD(ROW(Eingabe[[#This Row],[Position]])-3,6)+1)</f>
        <v/>
      </c>
      <c r="AN717" s="35" t="e">
        <f>STANDARDIZE(Eingabe[[#This Row],[GES]],Eingabe[[#This Row],[Schnitt]],VLOOKUP(Eingabe[[#This Row],[Name]],AuswertungG[],21,FALSE))</f>
        <v>#VALUE!</v>
      </c>
      <c r="AO717" s="35" t="str">
        <f>VLOOKUP(Eingabe[[#This Row],[ID]],Chronologie[[ID]:[KW]],12,FALSE)</f>
        <v/>
      </c>
      <c r="AP717" s="58">
        <f>IF(Eingabe[[#This Row],[Wo]]="H",Eingabe[[#This Row],[Gegner]]&amp;" ["&amp;Eingabe[[#This Row],[Wo]]&amp;"]",Eingabe[[#This Row],[Ort]])</f>
        <v>0</v>
      </c>
      <c r="AQ717" s="35" t="str">
        <f>IFERROR(IF(Eingabe[[#This Row],[Wo]]="H",IF(MOD(Eingabe[[#This Row],[Position]],2)=1,Eingabe[[#This Row],[S1]],Eingabe[[#This Row],[S4]]),""),"")</f>
        <v/>
      </c>
      <c r="AR717" s="35" t="str">
        <f>IFERROR(IF(Eingabe[[#This Row],[Wo]]="H",IF(Eingabe[[#This Row],[S1]]&gt;0,IF(MOD(Eingabe[[#This Row],[Position]],2)=1,Eingabe[[#This Row],[S2]],Eingabe[[#This Row],[S3]]),""),""),"")</f>
        <v/>
      </c>
      <c r="AS717" s="35" t="str">
        <f>IFERROR(IF(Eingabe[[#This Row],[Wo]]="H",IF(Eingabe[[#This Row],[S1]]&gt;0,IF(MOD(ROW(Eingabe[[#This Row],[Heimbahn 3]]),2)=1,Eingabe[[#This Row],[S4]],Eingabe[[#This Row],[S1]]),""),""),"")</f>
        <v/>
      </c>
      <c r="AT717" s="35" t="str">
        <f>IFERROR(IF(Eingabe[[#This Row],[Wo]]="H",IF(Eingabe[[#This Row],[S1]]&gt;0,IF(MOD(ROW(Eingabe[[#This Row],[Heimbahn 4]]),2)=1,Eingabe[[#This Row],[S3]],Eingabe[[#This Row],[S2]]),""),""),"")</f>
        <v/>
      </c>
      <c r="AU717" s="88" t="str">
        <f>IF(Eingabe[[#This Row],[GES]]="","",IF(Eingabe[[#This Row],[Modus]]="L",_xlfn.RANK.EQ(Eingabe[[#This Row],[GES]],AF717:AF722),IF(Eingabe[[#This Row],[Modus]]="P",_xlfn.RANK.EQ(Eingabe[[#This Row],[GES]],AF717:AF722),"")))</f>
        <v/>
      </c>
      <c r="AV717" s="6" t="e">
        <f>VLOOKUP(Eingabe[[#This Row],[Name]],AuswertungG[],8,FALSE)</f>
        <v>#N/A</v>
      </c>
      <c r="AZ717" s="6" t="str">
        <f>IFERROR(ABS(Eingabe[[#This Row],[GES]]-Eingabe[[#This Row],[GEGGES]]),"")</f>
        <v/>
      </c>
    </row>
    <row r="718" spans="1:52" hidden="1" x14ac:dyDescent="0.3">
      <c r="A718" s="441"/>
      <c r="B718" s="21">
        <f t="shared" si="75"/>
        <v>120</v>
      </c>
      <c r="C718" s="6">
        <f>VLOOKUP($B718,Chronologie[],7,TRUE)</f>
        <v>0</v>
      </c>
      <c r="D718" s="6">
        <f>VLOOKUP($B718,Chronologie[],8,TRUE)</f>
        <v>0</v>
      </c>
      <c r="E718" s="240">
        <f>VLOOKUP($B718,Chronologie[],9,TRUE)</f>
        <v>0</v>
      </c>
      <c r="F718" s="6">
        <f>VLOOKUP($B718,Chronologie[],COLUMN(F719)-2,TRUE)</f>
        <v>0</v>
      </c>
      <c r="G718" s="6">
        <f>VLOOKUP($B718,Chronologie[],COLUMN(G719)-2,TRUE)</f>
        <v>0</v>
      </c>
      <c r="H718" s="6">
        <f>VLOOKUP($B718,Chronologie[],COLUMN(H719)-2,TRUE)</f>
        <v>0</v>
      </c>
      <c r="I718" s="10" t="str">
        <f>VLOOKUP($B718,Chronologie[],2,TRUE)</f>
        <v>--</v>
      </c>
      <c r="J718" s="243">
        <f>VLOOKUP($B718,Chronologie[],3,TRUE)</f>
        <v>0</v>
      </c>
      <c r="K718" s="237"/>
      <c r="L718" s="237"/>
      <c r="M718" s="237"/>
      <c r="N718" s="237"/>
      <c r="O718" s="237"/>
      <c r="P718" s="237"/>
      <c r="Q718" s="237"/>
      <c r="R718" s="237"/>
      <c r="S718" s="237"/>
      <c r="T718" s="237"/>
      <c r="U718" s="237"/>
      <c r="V718" s="237"/>
      <c r="W718" s="237"/>
      <c r="X718" s="38"/>
      <c r="Y718" s="38"/>
      <c r="Z718" s="38"/>
      <c r="AA718" s="38"/>
      <c r="AB718" s="91"/>
      <c r="AC718" s="94" t="str">
        <f>IF(Eingabe[[#This Row],[V1]]="",IF(Eingabe[[#This Row],[Volle alternativ]]="","",Eingabe[[#This Row],[Volle alternativ]]),SUM(Eingabe[[#This Row],[V1]:[V4]]))</f>
        <v/>
      </c>
      <c r="AD718" s="6" t="str">
        <f>IF(Eingabe[[#This Row],[R1]]="",IF(Eingabe[[#This Row],[Räumer alternativ]]="","",Eingabe[[#This Row],[Räumer alternativ]]),SUM(Eingabe[[#This Row],[R1]:[R4]]))</f>
        <v/>
      </c>
      <c r="AE718" s="6" t="str">
        <f>IF(Eingabe[[#This Row],[F1]]="",IF(Eingabe[[#This Row],[Fehler alternativ]]="","",Eingabe[[#This Row],[Fehler alternativ]]),SUM(Eingabe[[#This Row],[F1]:[F4]]))</f>
        <v/>
      </c>
      <c r="AF718" s="6" t="str">
        <f>IF(Eingabe[[#This Row],[Volle]]="","",IF(Eingabe[[#This Row],[S1]]="",Eingabe[[#This Row],[Volle]]+Eingabe[[#This Row],[Räumer]],IF(Eingabe[[#This Row],[Volle]]+Eingabe[[#This Row],[Räumer]]=Eingabe[[#This Row],[S1]]+Eingabe[[#This Row],[S2]]+Eingabe[[#This Row],[S3]]+Eingabe[[#This Row],[S4]],Eingabe[[#This Row],[Volle]]+Eingabe[[#This Row],[Räumer]],"FEHLER")))</f>
        <v/>
      </c>
      <c r="AG718" s="6" t="str">
        <f>IF(Eingabe[[#This Row],[V1]]="","",Eingabe[[#This Row],[V1]]+Eingabe[[#This Row],[R1]])</f>
        <v/>
      </c>
      <c r="AH718" s="6" t="str">
        <f>IF(Eingabe[[#This Row],[V2]]="","",Eingabe[[#This Row],[V2]]+Eingabe[[#This Row],[R2]])</f>
        <v/>
      </c>
      <c r="AI718" s="6" t="str">
        <f>IF(Eingabe[[#This Row],[V3]]="","",Eingabe[[#This Row],[V3]]+Eingabe[[#This Row],[R3]])</f>
        <v/>
      </c>
      <c r="AJ718" s="6" t="str">
        <f>IF(Eingabe[[#This Row],[V4]]="","",Eingabe[[#This Row],[V4]]+Eingabe[[#This Row],[R4]])</f>
        <v/>
      </c>
      <c r="AK718" s="6" t="str">
        <f>IF(Eingabe[[#This Row],[S1P]]="","",Eingabe[[#This Row],[S1P]]+Eingabe[[#This Row],[S2P]]+Eingabe[[#This Row],[S3P]]+Eingabe[[#This Row],[S4P]])</f>
        <v/>
      </c>
      <c r="AL718" s="6" t="str">
        <f>IF(Eingabe[[#This Row],[S1P]]="","",IF(Eingabe[[#This Row],[SP]]&gt;2,1,IF(Eingabe[[#This Row],[SP]]&lt;2,0,IF(Eingabe[[#This Row],[GES]]&gt;Eingabe[[#This Row],[GEGGES]],1,IF(Eingabe[[#This Row],[GES]]=Eingabe[[#This Row],[GEGGES]],0.5,0)))))</f>
        <v/>
      </c>
      <c r="AM718" s="6" t="str">
        <f>IF(Eingabe[[#This Row],[MP]]="","",MOD(ROW(Eingabe[[#This Row],[Position]])-3,6)+1)</f>
        <v/>
      </c>
      <c r="AN718" s="6" t="e">
        <f>STANDARDIZE(Eingabe[[#This Row],[GES]],Eingabe[[#This Row],[Schnitt]],VLOOKUP(Eingabe[[#This Row],[Name]],AuswertungG[],21,FALSE))</f>
        <v>#VALUE!</v>
      </c>
      <c r="AO718" s="6" t="str">
        <f>VLOOKUP(Eingabe[[#This Row],[ID]],Chronologie[[ID]:[KW]],12,FALSE)</f>
        <v/>
      </c>
      <c r="AP718" s="95">
        <f>IF(Eingabe[[#This Row],[Wo]]="H",Eingabe[[#This Row],[Gegner]]&amp;" ["&amp;Eingabe[[#This Row],[Wo]]&amp;"]",Eingabe[[#This Row],[Ort]])</f>
        <v>0</v>
      </c>
      <c r="AQ718" s="6" t="str">
        <f>IFERROR(IF(Eingabe[[#This Row],[Wo]]="H",IF(MOD(Eingabe[[#This Row],[Position]],2)=1,Eingabe[[#This Row],[S1]],Eingabe[[#This Row],[S4]]),""),"")</f>
        <v/>
      </c>
      <c r="AR718" s="6" t="str">
        <f>IFERROR(IF(Eingabe[[#This Row],[Wo]]="H",IF(Eingabe[[#This Row],[S1]]&gt;0,IF(MOD(Eingabe[[#This Row],[Position]],2)=1,Eingabe[[#This Row],[S2]],Eingabe[[#This Row],[S3]]),""),""),"")</f>
        <v/>
      </c>
      <c r="AS718" s="6" t="str">
        <f>IFERROR(IF(Eingabe[[#This Row],[Wo]]="H",IF(Eingabe[[#This Row],[S1]]&gt;0,IF(MOD(ROW(Eingabe[[#This Row],[Heimbahn 3]]),2)=1,Eingabe[[#This Row],[S4]],Eingabe[[#This Row],[S1]]),""),""),"")</f>
        <v/>
      </c>
      <c r="AT718" s="6" t="str">
        <f>IFERROR(IF(Eingabe[[#This Row],[Wo]]="H",IF(Eingabe[[#This Row],[S1]]&gt;0,IF(MOD(ROW(Eingabe[[#This Row],[Heimbahn 4]]),2)=1,Eingabe[[#This Row],[S3]],Eingabe[[#This Row],[S2]]),""),""),"")</f>
        <v/>
      </c>
      <c r="AU718" s="22" t="str">
        <f>IF(Eingabe[[#This Row],[GES]]="","",IF(Eingabe[[#This Row],[Modus]]="L",_xlfn.RANK.EQ(Eingabe[[#This Row],[GES]],AF717:AF722),IF(Eingabe[[#This Row],[Modus]]="P",_xlfn.RANK.EQ(Eingabe[[#This Row],[GES]],AF717:AF722),"")))</f>
        <v/>
      </c>
      <c r="AV718" s="6" t="e">
        <f>VLOOKUP(Eingabe[[#This Row],[Name]],AuswertungG[],8,FALSE)</f>
        <v>#N/A</v>
      </c>
      <c r="AZ718" s="6" t="str">
        <f>IFERROR(ABS(Eingabe[[#This Row],[GES]]-Eingabe[[#This Row],[GEGGES]]),"")</f>
        <v/>
      </c>
    </row>
    <row r="719" spans="1:52" hidden="1" x14ac:dyDescent="0.3">
      <c r="A719" s="441"/>
      <c r="B719" s="21">
        <f t="shared" si="75"/>
        <v>120</v>
      </c>
      <c r="C719" s="6">
        <f>VLOOKUP($B719,Chronologie[],7,TRUE)</f>
        <v>0</v>
      </c>
      <c r="D719" s="6">
        <f>VLOOKUP($B719,Chronologie[],8,TRUE)</f>
        <v>0</v>
      </c>
      <c r="E719" s="240">
        <f>VLOOKUP($B719,Chronologie[],9,TRUE)</f>
        <v>0</v>
      </c>
      <c r="F719" s="6">
        <f>VLOOKUP($B719,Chronologie[],COLUMN(F720)-2,TRUE)</f>
        <v>0</v>
      </c>
      <c r="G719" s="6">
        <f>VLOOKUP($B719,Chronologie[],COLUMN(G720)-2,TRUE)</f>
        <v>0</v>
      </c>
      <c r="H719" s="6">
        <f>VLOOKUP($B719,Chronologie[],COLUMN(H720)-2,TRUE)</f>
        <v>0</v>
      </c>
      <c r="I719" s="10" t="str">
        <f>VLOOKUP($B719,Chronologie[],2,TRUE)</f>
        <v>--</v>
      </c>
      <c r="J719" s="243">
        <f>VLOOKUP($B719,Chronologie[],3,TRUE)</f>
        <v>0</v>
      </c>
      <c r="K719" s="237"/>
      <c r="L719" s="237"/>
      <c r="M719" s="237"/>
      <c r="N719" s="237"/>
      <c r="O719" s="237"/>
      <c r="P719" s="237"/>
      <c r="Q719" s="237"/>
      <c r="R719" s="237"/>
      <c r="S719" s="237"/>
      <c r="T719" s="237"/>
      <c r="U719" s="237"/>
      <c r="V719" s="237"/>
      <c r="W719" s="237"/>
      <c r="X719" s="38"/>
      <c r="Y719" s="38"/>
      <c r="Z719" s="38"/>
      <c r="AA719" s="38"/>
      <c r="AB719" s="91"/>
      <c r="AC719" s="94" t="str">
        <f>IF(Eingabe[[#This Row],[V1]]="",IF(Eingabe[[#This Row],[Volle alternativ]]="","",Eingabe[[#This Row],[Volle alternativ]]),SUM(Eingabe[[#This Row],[V1]:[V4]]))</f>
        <v/>
      </c>
      <c r="AD719" s="6" t="str">
        <f>IF(Eingabe[[#This Row],[R1]]="",IF(Eingabe[[#This Row],[Räumer alternativ]]="","",Eingabe[[#This Row],[Räumer alternativ]]),SUM(Eingabe[[#This Row],[R1]:[R4]]))</f>
        <v/>
      </c>
      <c r="AE719" s="6" t="str">
        <f>IF(Eingabe[[#This Row],[F1]]="",IF(Eingabe[[#This Row],[Fehler alternativ]]="","",Eingabe[[#This Row],[Fehler alternativ]]),SUM(Eingabe[[#This Row],[F1]:[F4]]))</f>
        <v/>
      </c>
      <c r="AF719" s="6" t="str">
        <f>IF(Eingabe[[#This Row],[Volle]]="","",IF(Eingabe[[#This Row],[S1]]="",Eingabe[[#This Row],[Volle]]+Eingabe[[#This Row],[Räumer]],IF(Eingabe[[#This Row],[Volle]]+Eingabe[[#This Row],[Räumer]]=Eingabe[[#This Row],[S1]]+Eingabe[[#This Row],[S2]]+Eingabe[[#This Row],[S3]]+Eingabe[[#This Row],[S4]],Eingabe[[#This Row],[Volle]]+Eingabe[[#This Row],[Räumer]],"FEHLER")))</f>
        <v/>
      </c>
      <c r="AG719" s="6" t="str">
        <f>IF(Eingabe[[#This Row],[V1]]="","",Eingabe[[#This Row],[V1]]+Eingabe[[#This Row],[R1]])</f>
        <v/>
      </c>
      <c r="AH719" s="6" t="str">
        <f>IF(Eingabe[[#This Row],[V2]]="","",Eingabe[[#This Row],[V2]]+Eingabe[[#This Row],[R2]])</f>
        <v/>
      </c>
      <c r="AI719" s="6" t="str">
        <f>IF(Eingabe[[#This Row],[V3]]="","",Eingabe[[#This Row],[V3]]+Eingabe[[#This Row],[R3]])</f>
        <v/>
      </c>
      <c r="AJ719" s="6" t="str">
        <f>IF(Eingabe[[#This Row],[V4]]="","",Eingabe[[#This Row],[V4]]+Eingabe[[#This Row],[R4]])</f>
        <v/>
      </c>
      <c r="AK719" s="6" t="str">
        <f>IF(Eingabe[[#This Row],[S1P]]="","",Eingabe[[#This Row],[S1P]]+Eingabe[[#This Row],[S2P]]+Eingabe[[#This Row],[S3P]]+Eingabe[[#This Row],[S4P]])</f>
        <v/>
      </c>
      <c r="AL719" s="6" t="str">
        <f>IF(Eingabe[[#This Row],[S1P]]="","",IF(Eingabe[[#This Row],[SP]]&gt;2,1,IF(Eingabe[[#This Row],[SP]]&lt;2,0,IF(Eingabe[[#This Row],[GES]]&gt;Eingabe[[#This Row],[GEGGES]],1,IF(Eingabe[[#This Row],[GES]]=Eingabe[[#This Row],[GEGGES]],0.5,0)))))</f>
        <v/>
      </c>
      <c r="AM719" s="6" t="str">
        <f>IF(Eingabe[[#This Row],[MP]]="","",MOD(ROW(Eingabe[[#This Row],[Position]])-3,6)+1)</f>
        <v/>
      </c>
      <c r="AN719" s="6" t="e">
        <f>STANDARDIZE(Eingabe[[#This Row],[GES]],Eingabe[[#This Row],[Schnitt]],VLOOKUP(Eingabe[[#This Row],[Name]],AuswertungG[],21,FALSE))</f>
        <v>#VALUE!</v>
      </c>
      <c r="AO719" s="6" t="str">
        <f>VLOOKUP(Eingabe[[#This Row],[ID]],Chronologie[[ID]:[KW]],12,FALSE)</f>
        <v/>
      </c>
      <c r="AP719" s="95">
        <f>IF(Eingabe[[#This Row],[Wo]]="H",Eingabe[[#This Row],[Gegner]]&amp;" ["&amp;Eingabe[[#This Row],[Wo]]&amp;"]",Eingabe[[#This Row],[Ort]])</f>
        <v>0</v>
      </c>
      <c r="AQ719" s="6" t="str">
        <f>IFERROR(IF(Eingabe[[#This Row],[Wo]]="H",IF(MOD(Eingabe[[#This Row],[Position]],2)=1,Eingabe[[#This Row],[S1]],Eingabe[[#This Row],[S4]]),""),"")</f>
        <v/>
      </c>
      <c r="AR719" s="6" t="str">
        <f>IFERROR(IF(Eingabe[[#This Row],[Wo]]="H",IF(Eingabe[[#This Row],[S1]]&gt;0,IF(MOD(Eingabe[[#This Row],[Position]],2)=1,Eingabe[[#This Row],[S2]],Eingabe[[#This Row],[S3]]),""),""),"")</f>
        <v/>
      </c>
      <c r="AS719" s="6" t="str">
        <f>IFERROR(IF(Eingabe[[#This Row],[Wo]]="H",IF(Eingabe[[#This Row],[S1]]&gt;0,IF(MOD(ROW(Eingabe[[#This Row],[Heimbahn 3]]),2)=1,Eingabe[[#This Row],[S4]],Eingabe[[#This Row],[S1]]),""),""),"")</f>
        <v/>
      </c>
      <c r="AT719" s="6" t="str">
        <f>IFERROR(IF(Eingabe[[#This Row],[Wo]]="H",IF(Eingabe[[#This Row],[S1]]&gt;0,IF(MOD(ROW(Eingabe[[#This Row],[Heimbahn 4]]),2)=1,Eingabe[[#This Row],[S3]],Eingabe[[#This Row],[S2]]),""),""),"")</f>
        <v/>
      </c>
      <c r="AU719" s="22" t="str">
        <f>IF(Eingabe[[#This Row],[GES]]="","",IF(Eingabe[[#This Row],[Modus]]="L",_xlfn.RANK.EQ(Eingabe[[#This Row],[GES]],AF717:AF722),IF(Eingabe[[#This Row],[Modus]]="P",_xlfn.RANK.EQ(Eingabe[[#This Row],[GES]],AF717:AF722),"")))</f>
        <v/>
      </c>
      <c r="AV719" s="6" t="e">
        <f>VLOOKUP(Eingabe[[#This Row],[Name]],AuswertungG[],8,FALSE)</f>
        <v>#N/A</v>
      </c>
      <c r="AZ719" s="6" t="str">
        <f>IFERROR(ABS(Eingabe[[#This Row],[GES]]-Eingabe[[#This Row],[GEGGES]]),"")</f>
        <v/>
      </c>
    </row>
    <row r="720" spans="1:52" hidden="1" x14ac:dyDescent="0.3">
      <c r="A720" s="441"/>
      <c r="B720" s="21">
        <f t="shared" si="75"/>
        <v>120</v>
      </c>
      <c r="C720" s="6">
        <f>VLOOKUP($B720,Chronologie[],7,TRUE)</f>
        <v>0</v>
      </c>
      <c r="D720" s="6">
        <f>VLOOKUP($B720,Chronologie[],8,TRUE)</f>
        <v>0</v>
      </c>
      <c r="E720" s="240">
        <f>VLOOKUP($B720,Chronologie[],9,TRUE)</f>
        <v>0</v>
      </c>
      <c r="F720" s="6">
        <f>VLOOKUP($B720,Chronologie[],COLUMN(F721)-2,TRUE)</f>
        <v>0</v>
      </c>
      <c r="G720" s="6">
        <f>VLOOKUP($B720,Chronologie[],COLUMN(G721)-2,TRUE)</f>
        <v>0</v>
      </c>
      <c r="H720" s="6">
        <f>VLOOKUP($B720,Chronologie[],COLUMN(H721)-2,TRUE)</f>
        <v>0</v>
      </c>
      <c r="I720" s="10" t="str">
        <f>VLOOKUP($B720,Chronologie[],2,TRUE)</f>
        <v>--</v>
      </c>
      <c r="J720" s="243">
        <f>VLOOKUP($B720,Chronologie[],3,TRUE)</f>
        <v>0</v>
      </c>
      <c r="K720" s="238"/>
      <c r="L720" s="237"/>
      <c r="M720" s="237"/>
      <c r="N720" s="237"/>
      <c r="O720" s="237"/>
      <c r="P720" s="237"/>
      <c r="Q720" s="237"/>
      <c r="R720" s="237"/>
      <c r="S720" s="237"/>
      <c r="T720" s="237"/>
      <c r="U720" s="237"/>
      <c r="V720" s="237"/>
      <c r="W720" s="237"/>
      <c r="X720" s="38"/>
      <c r="Y720" s="38"/>
      <c r="Z720" s="38"/>
      <c r="AA720" s="38"/>
      <c r="AB720" s="91"/>
      <c r="AC720" s="94" t="str">
        <f>IF(Eingabe[[#This Row],[V1]]="",IF(Eingabe[[#This Row],[Volle alternativ]]="","",Eingabe[[#This Row],[Volle alternativ]]),SUM(Eingabe[[#This Row],[V1]:[V4]]))</f>
        <v/>
      </c>
      <c r="AD720" s="6" t="str">
        <f>IF(Eingabe[[#This Row],[R1]]="",IF(Eingabe[[#This Row],[Räumer alternativ]]="","",Eingabe[[#This Row],[Räumer alternativ]]),SUM(Eingabe[[#This Row],[R1]:[R4]]))</f>
        <v/>
      </c>
      <c r="AE720" s="6" t="str">
        <f>IF(Eingabe[[#This Row],[F1]]="",IF(Eingabe[[#This Row],[Fehler alternativ]]="","",Eingabe[[#This Row],[Fehler alternativ]]),SUM(Eingabe[[#This Row],[F1]:[F4]]))</f>
        <v/>
      </c>
      <c r="AF720" s="6" t="str">
        <f>IF(Eingabe[[#This Row],[Volle]]="","",IF(Eingabe[[#This Row],[S1]]="",Eingabe[[#This Row],[Volle]]+Eingabe[[#This Row],[Räumer]],IF(Eingabe[[#This Row],[Volle]]+Eingabe[[#This Row],[Räumer]]=Eingabe[[#This Row],[S1]]+Eingabe[[#This Row],[S2]]+Eingabe[[#This Row],[S3]]+Eingabe[[#This Row],[S4]],Eingabe[[#This Row],[Volle]]+Eingabe[[#This Row],[Räumer]],"FEHLER")))</f>
        <v/>
      </c>
      <c r="AG720" s="6" t="str">
        <f>IF(Eingabe[[#This Row],[V1]]="","",Eingabe[[#This Row],[V1]]+Eingabe[[#This Row],[R1]])</f>
        <v/>
      </c>
      <c r="AH720" s="6" t="str">
        <f>IF(Eingabe[[#This Row],[V2]]="","",Eingabe[[#This Row],[V2]]+Eingabe[[#This Row],[R2]])</f>
        <v/>
      </c>
      <c r="AI720" s="6" t="str">
        <f>IF(Eingabe[[#This Row],[V3]]="","",Eingabe[[#This Row],[V3]]+Eingabe[[#This Row],[R3]])</f>
        <v/>
      </c>
      <c r="AJ720" s="6" t="str">
        <f>IF(Eingabe[[#This Row],[V4]]="","",Eingabe[[#This Row],[V4]]+Eingabe[[#This Row],[R4]])</f>
        <v/>
      </c>
      <c r="AK720" s="6" t="str">
        <f>IF(Eingabe[[#This Row],[S1P]]="","",Eingabe[[#This Row],[S1P]]+Eingabe[[#This Row],[S2P]]+Eingabe[[#This Row],[S3P]]+Eingabe[[#This Row],[S4P]])</f>
        <v/>
      </c>
      <c r="AL720" s="6" t="str">
        <f>IF(Eingabe[[#This Row],[S1P]]="","",IF(Eingabe[[#This Row],[SP]]&gt;2,1,IF(Eingabe[[#This Row],[SP]]&lt;2,0,IF(Eingabe[[#This Row],[GES]]&gt;Eingabe[[#This Row],[GEGGES]],1,IF(Eingabe[[#This Row],[GES]]=Eingabe[[#This Row],[GEGGES]],0.5,0)))))</f>
        <v/>
      </c>
      <c r="AM720" s="6" t="str">
        <f>IF(Eingabe[[#This Row],[MP]]="","",MOD(ROW(Eingabe[[#This Row],[Position]])-3,6)+1)</f>
        <v/>
      </c>
      <c r="AN720" s="6" t="e">
        <f>STANDARDIZE(Eingabe[[#This Row],[GES]],Eingabe[[#This Row],[Schnitt]],VLOOKUP(Eingabe[[#This Row],[Name]],AuswertungG[],21,FALSE))</f>
        <v>#VALUE!</v>
      </c>
      <c r="AO720" s="6" t="str">
        <f>VLOOKUP(Eingabe[[#This Row],[ID]],Chronologie[[ID]:[KW]],12,FALSE)</f>
        <v/>
      </c>
      <c r="AP720" s="95">
        <f>IF(Eingabe[[#This Row],[Wo]]="H",Eingabe[[#This Row],[Gegner]]&amp;" ["&amp;Eingabe[[#This Row],[Wo]]&amp;"]",Eingabe[[#This Row],[Ort]])</f>
        <v>0</v>
      </c>
      <c r="AQ720" s="6" t="str">
        <f>IFERROR(IF(Eingabe[[#This Row],[Wo]]="H",IF(MOD(Eingabe[[#This Row],[Position]],2)=1,Eingabe[[#This Row],[S1]],Eingabe[[#This Row],[S4]]),""),"")</f>
        <v/>
      </c>
      <c r="AR720" s="6" t="str">
        <f>IFERROR(IF(Eingabe[[#This Row],[Wo]]="H",IF(Eingabe[[#This Row],[S1]]&gt;0,IF(MOD(Eingabe[[#This Row],[Position]],2)=1,Eingabe[[#This Row],[S2]],Eingabe[[#This Row],[S3]]),""),""),"")</f>
        <v/>
      </c>
      <c r="AS720" s="6" t="str">
        <f>IFERROR(IF(Eingabe[[#This Row],[Wo]]="H",IF(Eingabe[[#This Row],[S1]]&gt;0,IF(MOD(ROW(Eingabe[[#This Row],[Heimbahn 3]]),2)=1,Eingabe[[#This Row],[S4]],Eingabe[[#This Row],[S1]]),""),""),"")</f>
        <v/>
      </c>
      <c r="AT720" s="6" t="str">
        <f>IFERROR(IF(Eingabe[[#This Row],[Wo]]="H",IF(Eingabe[[#This Row],[S1]]&gt;0,IF(MOD(ROW(Eingabe[[#This Row],[Heimbahn 4]]),2)=1,Eingabe[[#This Row],[S3]],Eingabe[[#This Row],[S2]]),""),""),"")</f>
        <v/>
      </c>
      <c r="AU720" s="22" t="str">
        <f>IF(Eingabe[[#This Row],[GES]]="","",IF(Eingabe[[#This Row],[Modus]]="L",_xlfn.RANK.EQ(Eingabe[[#This Row],[GES]],AF717:AF722),IF(Eingabe[[#This Row],[Modus]]="P",_xlfn.RANK.EQ(Eingabe[[#This Row],[GES]],AF717:AF722),"")))</f>
        <v/>
      </c>
      <c r="AV720" s="6" t="e">
        <f>VLOOKUP(Eingabe[[#This Row],[Name]],AuswertungG[],8,FALSE)</f>
        <v>#N/A</v>
      </c>
      <c r="AZ720" s="6" t="str">
        <f>IFERROR(ABS(Eingabe[[#This Row],[GES]]-Eingabe[[#This Row],[GEGGES]]),"")</f>
        <v/>
      </c>
    </row>
    <row r="721" spans="1:52" hidden="1" x14ac:dyDescent="0.3">
      <c r="A721" s="441"/>
      <c r="B721" s="21">
        <f t="shared" si="75"/>
        <v>120</v>
      </c>
      <c r="C721" s="6">
        <f>VLOOKUP($B721,Chronologie[],7,TRUE)</f>
        <v>0</v>
      </c>
      <c r="D721" s="6">
        <f>VLOOKUP($B721,Chronologie[],8,TRUE)</f>
        <v>0</v>
      </c>
      <c r="E721" s="240">
        <f>VLOOKUP($B721,Chronologie[],9,TRUE)</f>
        <v>0</v>
      </c>
      <c r="F721" s="6">
        <f>VLOOKUP($B721,Chronologie[],COLUMN(F722)-2,TRUE)</f>
        <v>0</v>
      </c>
      <c r="G721" s="6">
        <f>VLOOKUP($B721,Chronologie[],COLUMN(G722)-2,TRUE)</f>
        <v>0</v>
      </c>
      <c r="H721" s="6">
        <f>VLOOKUP($B721,Chronologie[],COLUMN(H722)-2,TRUE)</f>
        <v>0</v>
      </c>
      <c r="I721" s="10" t="str">
        <f>VLOOKUP($B721,Chronologie[],2,TRUE)</f>
        <v>--</v>
      </c>
      <c r="J721" s="243">
        <f>VLOOKUP($B721,Chronologie[],3,TRUE)</f>
        <v>0</v>
      </c>
      <c r="K721" s="237"/>
      <c r="L721" s="237"/>
      <c r="M721" s="237"/>
      <c r="N721" s="237"/>
      <c r="O721" s="237"/>
      <c r="P721" s="237"/>
      <c r="Q721" s="237"/>
      <c r="R721" s="237"/>
      <c r="S721" s="237"/>
      <c r="T721" s="237"/>
      <c r="U721" s="237"/>
      <c r="V721" s="237"/>
      <c r="W721" s="237"/>
      <c r="X721" s="38"/>
      <c r="Y721" s="38"/>
      <c r="Z721" s="38"/>
      <c r="AA721" s="38"/>
      <c r="AB721" s="91"/>
      <c r="AC721" s="94" t="str">
        <f>IF(Eingabe[[#This Row],[V1]]="",IF(Eingabe[[#This Row],[Volle alternativ]]="","",Eingabe[[#This Row],[Volle alternativ]]),SUM(Eingabe[[#This Row],[V1]:[V4]]))</f>
        <v/>
      </c>
      <c r="AD721" s="6" t="str">
        <f>IF(Eingabe[[#This Row],[R1]]="",IF(Eingabe[[#This Row],[Räumer alternativ]]="","",Eingabe[[#This Row],[Räumer alternativ]]),SUM(Eingabe[[#This Row],[R1]:[R4]]))</f>
        <v/>
      </c>
      <c r="AE721" s="6" t="str">
        <f>IF(Eingabe[[#This Row],[F1]]="",IF(Eingabe[[#This Row],[Fehler alternativ]]="","",Eingabe[[#This Row],[Fehler alternativ]]),SUM(Eingabe[[#This Row],[F1]:[F4]]))</f>
        <v/>
      </c>
      <c r="AF721" s="6" t="str">
        <f>IF(Eingabe[[#This Row],[Volle]]="","",IF(Eingabe[[#This Row],[S1]]="",Eingabe[[#This Row],[Volle]]+Eingabe[[#This Row],[Räumer]],IF(Eingabe[[#This Row],[Volle]]+Eingabe[[#This Row],[Räumer]]=Eingabe[[#This Row],[S1]]+Eingabe[[#This Row],[S2]]+Eingabe[[#This Row],[S3]]+Eingabe[[#This Row],[S4]],Eingabe[[#This Row],[Volle]]+Eingabe[[#This Row],[Räumer]],"FEHLER")))</f>
        <v/>
      </c>
      <c r="AG721" s="6" t="str">
        <f>IF(Eingabe[[#This Row],[V1]]="","",Eingabe[[#This Row],[V1]]+Eingabe[[#This Row],[R1]])</f>
        <v/>
      </c>
      <c r="AH721" s="6" t="str">
        <f>IF(Eingabe[[#This Row],[V2]]="","",Eingabe[[#This Row],[V2]]+Eingabe[[#This Row],[R2]])</f>
        <v/>
      </c>
      <c r="AI721" s="6" t="str">
        <f>IF(Eingabe[[#This Row],[V3]]="","",Eingabe[[#This Row],[V3]]+Eingabe[[#This Row],[R3]])</f>
        <v/>
      </c>
      <c r="AJ721" s="6" t="str">
        <f>IF(Eingabe[[#This Row],[V4]]="","",Eingabe[[#This Row],[V4]]+Eingabe[[#This Row],[R4]])</f>
        <v/>
      </c>
      <c r="AK721" s="6" t="str">
        <f>IF(Eingabe[[#This Row],[S1P]]="","",Eingabe[[#This Row],[S1P]]+Eingabe[[#This Row],[S2P]]+Eingabe[[#This Row],[S3P]]+Eingabe[[#This Row],[S4P]])</f>
        <v/>
      </c>
      <c r="AL721" s="6" t="str">
        <f>IF(Eingabe[[#This Row],[S1P]]="","",IF(Eingabe[[#This Row],[SP]]&gt;2,1,IF(Eingabe[[#This Row],[SP]]&lt;2,0,IF(Eingabe[[#This Row],[GES]]&gt;Eingabe[[#This Row],[GEGGES]],1,IF(Eingabe[[#This Row],[GES]]=Eingabe[[#This Row],[GEGGES]],0.5,0)))))</f>
        <v/>
      </c>
      <c r="AM721" s="6" t="str">
        <f>IF(Eingabe[[#This Row],[MP]]="","",MOD(ROW(Eingabe[[#This Row],[Position]])-3,6)+1)</f>
        <v/>
      </c>
      <c r="AN721" s="6" t="e">
        <f>STANDARDIZE(Eingabe[[#This Row],[GES]],Eingabe[[#This Row],[Schnitt]],VLOOKUP(Eingabe[[#This Row],[Name]],AuswertungG[],21,FALSE))</f>
        <v>#VALUE!</v>
      </c>
      <c r="AO721" s="6" t="str">
        <f>VLOOKUP(Eingabe[[#This Row],[ID]],Chronologie[[ID]:[KW]],12,FALSE)</f>
        <v/>
      </c>
      <c r="AP721" s="95">
        <f>IF(Eingabe[[#This Row],[Wo]]="H",Eingabe[[#This Row],[Gegner]]&amp;" ["&amp;Eingabe[[#This Row],[Wo]]&amp;"]",Eingabe[[#This Row],[Ort]])</f>
        <v>0</v>
      </c>
      <c r="AQ721" s="6" t="str">
        <f>IFERROR(IF(Eingabe[[#This Row],[Wo]]="H",IF(MOD(Eingabe[[#This Row],[Position]],2)=1,Eingabe[[#This Row],[S1]],Eingabe[[#This Row],[S4]]),""),"")</f>
        <v/>
      </c>
      <c r="AR721" s="6" t="str">
        <f>IFERROR(IF(Eingabe[[#This Row],[Wo]]="H",IF(Eingabe[[#This Row],[S1]]&gt;0,IF(MOD(Eingabe[[#This Row],[Position]],2)=1,Eingabe[[#This Row],[S2]],Eingabe[[#This Row],[S3]]),""),""),"")</f>
        <v/>
      </c>
      <c r="AS721" s="6" t="str">
        <f>IFERROR(IF(Eingabe[[#This Row],[Wo]]="H",IF(Eingabe[[#This Row],[S1]]&gt;0,IF(MOD(ROW(Eingabe[[#This Row],[Heimbahn 3]]),2)=1,Eingabe[[#This Row],[S4]],Eingabe[[#This Row],[S1]]),""),""),"")</f>
        <v/>
      </c>
      <c r="AT721" s="6" t="str">
        <f>IFERROR(IF(Eingabe[[#This Row],[Wo]]="H",IF(Eingabe[[#This Row],[S1]]&gt;0,IF(MOD(ROW(Eingabe[[#This Row],[Heimbahn 4]]),2)=1,Eingabe[[#This Row],[S3]],Eingabe[[#This Row],[S2]]),""),""),"")</f>
        <v/>
      </c>
      <c r="AU721" s="22" t="str">
        <f>IF(Eingabe[[#This Row],[GES]]="","",IF(Eingabe[[#This Row],[Modus]]="L",_xlfn.RANK.EQ(Eingabe[[#This Row],[GES]],AF717:AF722),IF(Eingabe[[#This Row],[Modus]]="P",_xlfn.RANK.EQ(Eingabe[[#This Row],[GES]],AF717:AF722),"")))</f>
        <v/>
      </c>
      <c r="AV721" s="6" t="e">
        <f>VLOOKUP(Eingabe[[#This Row],[Name]],AuswertungG[],8,FALSE)</f>
        <v>#N/A</v>
      </c>
      <c r="AZ721" s="6" t="str">
        <f>IFERROR(ABS(Eingabe[[#This Row],[GES]]-Eingabe[[#This Row],[GEGGES]]),"")</f>
        <v/>
      </c>
    </row>
    <row r="722" spans="1:52" ht="16.2" hidden="1" thickBot="1" x14ac:dyDescent="0.35">
      <c r="A722" s="442"/>
      <c r="B722" s="56">
        <f t="shared" si="75"/>
        <v>120</v>
      </c>
      <c r="C722" s="23">
        <f>VLOOKUP($B722,Chronologie[],7,TRUE)</f>
        <v>0</v>
      </c>
      <c r="D722" s="23">
        <f>VLOOKUP($B722,Chronologie[],8,TRUE)</f>
        <v>0</v>
      </c>
      <c r="E722" s="39">
        <f>VLOOKUP($B722,Chronologie[],9,TRUE)</f>
        <v>0</v>
      </c>
      <c r="F722" s="23">
        <f>VLOOKUP($B722,Chronologie[],COLUMN(F723)-2,TRUE)</f>
        <v>0</v>
      </c>
      <c r="G722" s="23">
        <f>VLOOKUP($B722,Chronologie[],COLUMN(G723)-2,TRUE)</f>
        <v>0</v>
      </c>
      <c r="H722" s="23">
        <f>VLOOKUP($B722,Chronologie[],COLUMN(H723)-2,TRUE)</f>
        <v>0</v>
      </c>
      <c r="I722" s="13" t="str">
        <f>VLOOKUP($B722,Chronologie[],2,TRUE)</f>
        <v>--</v>
      </c>
      <c r="J722" s="244">
        <f>VLOOKUP($B722,Chronologie[],3,TRUE)</f>
        <v>0</v>
      </c>
      <c r="K722" s="239"/>
      <c r="L722" s="239"/>
      <c r="M722" s="239"/>
      <c r="N722" s="239"/>
      <c r="O722" s="239"/>
      <c r="P722" s="239"/>
      <c r="Q722" s="239"/>
      <c r="R722" s="239"/>
      <c r="S722" s="239"/>
      <c r="T722" s="239"/>
      <c r="U722" s="239"/>
      <c r="V722" s="239"/>
      <c r="W722" s="239"/>
      <c r="X722" s="40"/>
      <c r="Y722" s="40"/>
      <c r="Z722" s="40"/>
      <c r="AA722" s="40"/>
      <c r="AB722" s="92"/>
      <c r="AC722" s="96" t="str">
        <f>IF(Eingabe[[#This Row],[V1]]="",IF(Eingabe[[#This Row],[Volle alternativ]]="","",Eingabe[[#This Row],[Volle alternativ]]),SUM(Eingabe[[#This Row],[V1]:[V4]]))</f>
        <v/>
      </c>
      <c r="AD722" s="23" t="str">
        <f>IF(Eingabe[[#This Row],[R1]]="",IF(Eingabe[[#This Row],[Räumer alternativ]]="","",Eingabe[[#This Row],[Räumer alternativ]]),SUM(Eingabe[[#This Row],[R1]:[R4]]))</f>
        <v/>
      </c>
      <c r="AE722" s="23" t="str">
        <f>IF(Eingabe[[#This Row],[F1]]="",IF(Eingabe[[#This Row],[Fehler alternativ]]="","",Eingabe[[#This Row],[Fehler alternativ]]),SUM(Eingabe[[#This Row],[F1]:[F4]]))</f>
        <v/>
      </c>
      <c r="AF722" s="23" t="str">
        <f>IF(Eingabe[[#This Row],[Volle]]="","",IF(Eingabe[[#This Row],[S1]]="",Eingabe[[#This Row],[Volle]]+Eingabe[[#This Row],[Räumer]],IF(Eingabe[[#This Row],[Volle]]+Eingabe[[#This Row],[Räumer]]=Eingabe[[#This Row],[S1]]+Eingabe[[#This Row],[S2]]+Eingabe[[#This Row],[S3]]+Eingabe[[#This Row],[S4]],Eingabe[[#This Row],[Volle]]+Eingabe[[#This Row],[Räumer]],"FEHLER")))</f>
        <v/>
      </c>
      <c r="AG722" s="23" t="str">
        <f>IF(Eingabe[[#This Row],[V1]]="","",Eingabe[[#This Row],[V1]]+Eingabe[[#This Row],[R1]])</f>
        <v/>
      </c>
      <c r="AH722" s="23" t="str">
        <f>IF(Eingabe[[#This Row],[V2]]="","",Eingabe[[#This Row],[V2]]+Eingabe[[#This Row],[R2]])</f>
        <v/>
      </c>
      <c r="AI722" s="23" t="str">
        <f>IF(Eingabe[[#This Row],[V3]]="","",Eingabe[[#This Row],[V3]]+Eingabe[[#This Row],[R3]])</f>
        <v/>
      </c>
      <c r="AJ722" s="23" t="str">
        <f>IF(Eingabe[[#This Row],[V4]]="","",Eingabe[[#This Row],[V4]]+Eingabe[[#This Row],[R4]])</f>
        <v/>
      </c>
      <c r="AK722" s="23" t="str">
        <f>IF(Eingabe[[#This Row],[S1P]]="","",Eingabe[[#This Row],[S1P]]+Eingabe[[#This Row],[S2P]]+Eingabe[[#This Row],[S3P]]+Eingabe[[#This Row],[S4P]])</f>
        <v/>
      </c>
      <c r="AL722" s="23" t="str">
        <f>IF(Eingabe[[#This Row],[S1P]]="","",IF(Eingabe[[#This Row],[SP]]&gt;2,1,IF(Eingabe[[#This Row],[SP]]&lt;2,0,IF(Eingabe[[#This Row],[GES]]&gt;Eingabe[[#This Row],[GEGGES]],1,IF(Eingabe[[#This Row],[GES]]=Eingabe[[#This Row],[GEGGES]],0.5,0)))))</f>
        <v/>
      </c>
      <c r="AM722" s="23" t="str">
        <f>IF(Eingabe[[#This Row],[MP]]="","",MOD(ROW(Eingabe[[#This Row],[Position]])-3,6)+1)</f>
        <v/>
      </c>
      <c r="AN722" s="23" t="e">
        <f>STANDARDIZE(Eingabe[[#This Row],[GES]],Eingabe[[#This Row],[Schnitt]],VLOOKUP(Eingabe[[#This Row],[Name]],AuswertungG[],21,FALSE))</f>
        <v>#VALUE!</v>
      </c>
      <c r="AO722" s="23" t="str">
        <f>VLOOKUP(Eingabe[[#This Row],[ID]],Chronologie[[ID]:[KW]],12,FALSE)</f>
        <v/>
      </c>
      <c r="AP722" s="59">
        <f>IF(Eingabe[[#This Row],[Wo]]="H",Eingabe[[#This Row],[Gegner]]&amp;" ["&amp;Eingabe[[#This Row],[Wo]]&amp;"]",Eingabe[[#This Row],[Ort]])</f>
        <v>0</v>
      </c>
      <c r="AQ722" s="23" t="str">
        <f>IFERROR(IF(Eingabe[[#This Row],[Wo]]="H",IF(MOD(Eingabe[[#This Row],[Position]],2)=1,Eingabe[[#This Row],[S1]],Eingabe[[#This Row],[S4]]),""),"")</f>
        <v/>
      </c>
      <c r="AR722" s="23" t="str">
        <f>IFERROR(IF(Eingabe[[#This Row],[Wo]]="H",IF(Eingabe[[#This Row],[S1]]&gt;0,IF(MOD(Eingabe[[#This Row],[Position]],2)=1,Eingabe[[#This Row],[S2]],Eingabe[[#This Row],[S3]]),""),""),"")</f>
        <v/>
      </c>
      <c r="AS722" s="23" t="str">
        <f>IFERROR(IF(Eingabe[[#This Row],[Wo]]="H",IF(Eingabe[[#This Row],[S1]]&gt;0,IF(MOD(ROW(Eingabe[[#This Row],[Heimbahn 3]]),2)=1,Eingabe[[#This Row],[S4]],Eingabe[[#This Row],[S1]]),""),""),"")</f>
        <v/>
      </c>
      <c r="AT722" s="23" t="str">
        <f>IFERROR(IF(Eingabe[[#This Row],[Wo]]="H",IF(Eingabe[[#This Row],[S1]]&gt;0,IF(MOD(ROW(Eingabe[[#This Row],[Heimbahn 4]]),2)=1,Eingabe[[#This Row],[S3]],Eingabe[[#This Row],[S2]]),""),""),"")</f>
        <v/>
      </c>
      <c r="AU722" s="89" t="str">
        <f>IF(Eingabe[[#This Row],[GES]]="","",IF(Eingabe[[#This Row],[Modus]]="L",_xlfn.RANK.EQ(Eingabe[[#This Row],[GES]],AF717:AF722),IF(Eingabe[[#This Row],[Modus]]="P",_xlfn.RANK.EQ(Eingabe[[#This Row],[GES]],AF717:AF722),"")))</f>
        <v/>
      </c>
      <c r="AV722" s="6" t="e">
        <f>VLOOKUP(Eingabe[[#This Row],[Name]],AuswertungG[],8,FALSE)</f>
        <v>#N/A</v>
      </c>
      <c r="AZ722" s="6" t="str">
        <f>IFERROR(ABS(Eingabe[[#This Row],[GES]]-Eingabe[[#This Row],[GEGGES]]),"")</f>
        <v/>
      </c>
    </row>
    <row r="723" spans="1:52" hidden="1" x14ac:dyDescent="0.3">
      <c r="A723" s="440">
        <f t="shared" ref="A723" si="79">B723</f>
        <v>121</v>
      </c>
      <c r="B723" s="55">
        <f t="shared" si="75"/>
        <v>121</v>
      </c>
      <c r="C723" s="35">
        <f>VLOOKUP($B723,Chronologie[],7,TRUE)</f>
        <v>0</v>
      </c>
      <c r="D723" s="35">
        <f>VLOOKUP($B723,Chronologie[],8,TRUE)</f>
        <v>0</v>
      </c>
      <c r="E723" s="36">
        <f>VLOOKUP($B723,Chronologie[],9,TRUE)</f>
        <v>0</v>
      </c>
      <c r="F723" s="35">
        <f>VLOOKUP($B723,Chronologie[],COLUMN(F724)-2,TRUE)</f>
        <v>0</v>
      </c>
      <c r="G723" s="35">
        <f>VLOOKUP($B723,Chronologie[],COLUMN(G724)-2,TRUE)</f>
        <v>0</v>
      </c>
      <c r="H723" s="35">
        <f>VLOOKUP($B723,Chronologie[],COLUMN(H724)-2,TRUE)</f>
        <v>0</v>
      </c>
      <c r="I723" s="9" t="str">
        <f>VLOOKUP($B723,Chronologie[],2,TRUE)</f>
        <v>--</v>
      </c>
      <c r="J723" s="242">
        <f>VLOOKUP($B723,Chronologie[],3,TRUE)</f>
        <v>0</v>
      </c>
      <c r="K723" s="236"/>
      <c r="L723" s="334"/>
      <c r="M723" s="334"/>
      <c r="N723" s="334"/>
      <c r="O723" s="334"/>
      <c r="P723" s="334"/>
      <c r="Q723" s="334"/>
      <c r="R723" s="334"/>
      <c r="S723" s="334"/>
      <c r="T723" s="334"/>
      <c r="U723" s="334"/>
      <c r="V723" s="334"/>
      <c r="W723" s="334"/>
      <c r="X723" s="37"/>
      <c r="Y723" s="37"/>
      <c r="Z723" s="37"/>
      <c r="AA723" s="37"/>
      <c r="AB723" s="90"/>
      <c r="AC723" s="93" t="str">
        <f>IF(Eingabe[[#This Row],[V1]]="",IF(Eingabe[[#This Row],[Volle alternativ]]="","",Eingabe[[#This Row],[Volle alternativ]]),SUM(Eingabe[[#This Row],[V1]:[V4]]))</f>
        <v/>
      </c>
      <c r="AD723" s="35" t="str">
        <f>IF(Eingabe[[#This Row],[R1]]="",IF(Eingabe[[#This Row],[Räumer alternativ]]="","",Eingabe[[#This Row],[Räumer alternativ]]),SUM(Eingabe[[#This Row],[R1]:[R4]]))</f>
        <v/>
      </c>
      <c r="AE723" s="35" t="str">
        <f>IF(Eingabe[[#This Row],[F1]]="",IF(Eingabe[[#This Row],[Fehler alternativ]]="","",Eingabe[[#This Row],[Fehler alternativ]]),SUM(Eingabe[[#This Row],[F1]:[F4]]))</f>
        <v/>
      </c>
      <c r="AF723" s="35" t="str">
        <f>IF(Eingabe[[#This Row],[Volle]]="","",IF(Eingabe[[#This Row],[S1]]="",Eingabe[[#This Row],[Volle]]+Eingabe[[#This Row],[Räumer]],IF(Eingabe[[#This Row],[Volle]]+Eingabe[[#This Row],[Räumer]]=Eingabe[[#This Row],[S1]]+Eingabe[[#This Row],[S2]]+Eingabe[[#This Row],[S3]]+Eingabe[[#This Row],[S4]],Eingabe[[#This Row],[Volle]]+Eingabe[[#This Row],[Räumer]],"FEHLER")))</f>
        <v/>
      </c>
      <c r="AG723" s="35" t="str">
        <f>IF(Eingabe[[#This Row],[V1]]="","",Eingabe[[#This Row],[V1]]+Eingabe[[#This Row],[R1]])</f>
        <v/>
      </c>
      <c r="AH723" s="35" t="str">
        <f>IF(Eingabe[[#This Row],[V2]]="","",Eingabe[[#This Row],[V2]]+Eingabe[[#This Row],[R2]])</f>
        <v/>
      </c>
      <c r="AI723" s="35" t="str">
        <f>IF(Eingabe[[#This Row],[V3]]="","",Eingabe[[#This Row],[V3]]+Eingabe[[#This Row],[R3]])</f>
        <v/>
      </c>
      <c r="AJ723" s="35" t="str">
        <f>IF(Eingabe[[#This Row],[V4]]="","",Eingabe[[#This Row],[V4]]+Eingabe[[#This Row],[R4]])</f>
        <v/>
      </c>
      <c r="AK723" s="35" t="str">
        <f>IF(Eingabe[[#This Row],[S1P]]="","",Eingabe[[#This Row],[S1P]]+Eingabe[[#This Row],[S2P]]+Eingabe[[#This Row],[S3P]]+Eingabe[[#This Row],[S4P]])</f>
        <v/>
      </c>
      <c r="AL723" s="35" t="str">
        <f>IF(Eingabe[[#This Row],[S1P]]="","",IF(Eingabe[[#This Row],[SP]]&gt;2,1,IF(Eingabe[[#This Row],[SP]]&lt;2,0,IF(Eingabe[[#This Row],[GES]]&gt;Eingabe[[#This Row],[GEGGES]],1,IF(Eingabe[[#This Row],[GES]]=Eingabe[[#This Row],[GEGGES]],0.5,0)))))</f>
        <v/>
      </c>
      <c r="AM723" s="35" t="str">
        <f>IF(Eingabe[[#This Row],[MP]]="","",MOD(ROW(Eingabe[[#This Row],[Position]])-3,6)+1)</f>
        <v/>
      </c>
      <c r="AN723" s="35" t="e">
        <f>STANDARDIZE(Eingabe[[#This Row],[GES]],Eingabe[[#This Row],[Schnitt]],VLOOKUP(Eingabe[[#This Row],[Name]],AuswertungG[],21,FALSE))</f>
        <v>#VALUE!</v>
      </c>
      <c r="AO723" s="35" t="str">
        <f>VLOOKUP(Eingabe[[#This Row],[ID]],Chronologie[[ID]:[KW]],12,FALSE)</f>
        <v/>
      </c>
      <c r="AP723" s="58">
        <f>IF(Eingabe[[#This Row],[Wo]]="H",Eingabe[[#This Row],[Gegner]]&amp;" ["&amp;Eingabe[[#This Row],[Wo]]&amp;"]",Eingabe[[#This Row],[Ort]])</f>
        <v>0</v>
      </c>
      <c r="AQ723" s="35" t="str">
        <f>IFERROR(IF(Eingabe[[#This Row],[Wo]]="H",IF(MOD(Eingabe[[#This Row],[Position]],2)=1,Eingabe[[#This Row],[S1]],Eingabe[[#This Row],[S4]]),""),"")</f>
        <v/>
      </c>
      <c r="AR723" s="35" t="str">
        <f>IFERROR(IF(Eingabe[[#This Row],[Wo]]="H",IF(Eingabe[[#This Row],[S1]]&gt;0,IF(MOD(Eingabe[[#This Row],[Position]],2)=1,Eingabe[[#This Row],[S2]],Eingabe[[#This Row],[S3]]),""),""),"")</f>
        <v/>
      </c>
      <c r="AS723" s="35" t="str">
        <f>IFERROR(IF(Eingabe[[#This Row],[Wo]]="H",IF(Eingabe[[#This Row],[S1]]&gt;0,IF(MOD(ROW(Eingabe[[#This Row],[Heimbahn 3]]),2)=1,Eingabe[[#This Row],[S4]],Eingabe[[#This Row],[S1]]),""),""),"")</f>
        <v/>
      </c>
      <c r="AT723" s="35" t="str">
        <f>IFERROR(IF(Eingabe[[#This Row],[Wo]]="H",IF(Eingabe[[#This Row],[S1]]&gt;0,IF(MOD(ROW(Eingabe[[#This Row],[Heimbahn 4]]),2)=1,Eingabe[[#This Row],[S3]],Eingabe[[#This Row],[S2]]),""),""),"")</f>
        <v/>
      </c>
      <c r="AU723" s="88" t="str">
        <f>IF(Eingabe[[#This Row],[GES]]="","",IF(Eingabe[[#This Row],[Modus]]="L",_xlfn.RANK.EQ(Eingabe[[#This Row],[GES]],AF723:AF728),IF(Eingabe[[#This Row],[Modus]]="P",_xlfn.RANK.EQ(Eingabe[[#This Row],[GES]],AF723:AF728),"")))</f>
        <v/>
      </c>
      <c r="AV723" s="6" t="e">
        <f>VLOOKUP(Eingabe[[#This Row],[Name]],AuswertungG[],8,FALSE)</f>
        <v>#N/A</v>
      </c>
      <c r="AZ723" s="6" t="str">
        <f>IFERROR(ABS(Eingabe[[#This Row],[GES]]-Eingabe[[#This Row],[GEGGES]]),"")</f>
        <v/>
      </c>
    </row>
    <row r="724" spans="1:52" hidden="1" x14ac:dyDescent="0.3">
      <c r="A724" s="441"/>
      <c r="B724" s="21">
        <f t="shared" si="75"/>
        <v>121</v>
      </c>
      <c r="C724" s="6">
        <f>VLOOKUP($B724,Chronologie[],7,TRUE)</f>
        <v>0</v>
      </c>
      <c r="D724" s="6">
        <f>VLOOKUP($B724,Chronologie[],8,TRUE)</f>
        <v>0</v>
      </c>
      <c r="E724" s="240">
        <f>VLOOKUP($B724,Chronologie[],9,TRUE)</f>
        <v>0</v>
      </c>
      <c r="F724" s="6">
        <f>VLOOKUP($B724,Chronologie[],COLUMN(F725)-2,TRUE)</f>
        <v>0</v>
      </c>
      <c r="G724" s="6">
        <f>VLOOKUP($B724,Chronologie[],COLUMN(G725)-2,TRUE)</f>
        <v>0</v>
      </c>
      <c r="H724" s="6">
        <f>VLOOKUP($B724,Chronologie[],COLUMN(H725)-2,TRUE)</f>
        <v>0</v>
      </c>
      <c r="I724" s="10" t="str">
        <f>VLOOKUP($B724,Chronologie[],2,TRUE)</f>
        <v>--</v>
      </c>
      <c r="J724" s="243">
        <f>VLOOKUP($B724,Chronologie[],3,TRUE)</f>
        <v>0</v>
      </c>
      <c r="K724" s="237"/>
      <c r="L724" s="237"/>
      <c r="M724" s="237"/>
      <c r="N724" s="237"/>
      <c r="O724" s="237"/>
      <c r="P724" s="237"/>
      <c r="Q724" s="237"/>
      <c r="R724" s="237"/>
      <c r="S724" s="237"/>
      <c r="T724" s="237"/>
      <c r="U724" s="237"/>
      <c r="V724" s="237"/>
      <c r="W724" s="237"/>
      <c r="X724" s="38"/>
      <c r="Y724" s="38"/>
      <c r="Z724" s="38"/>
      <c r="AA724" s="38"/>
      <c r="AB724" s="91"/>
      <c r="AC724" s="94" t="str">
        <f>IF(Eingabe[[#This Row],[V1]]="",IF(Eingabe[[#This Row],[Volle alternativ]]="","",Eingabe[[#This Row],[Volle alternativ]]),SUM(Eingabe[[#This Row],[V1]:[V4]]))</f>
        <v/>
      </c>
      <c r="AD724" s="6" t="str">
        <f>IF(Eingabe[[#This Row],[R1]]="",IF(Eingabe[[#This Row],[Räumer alternativ]]="","",Eingabe[[#This Row],[Räumer alternativ]]),SUM(Eingabe[[#This Row],[R1]:[R4]]))</f>
        <v/>
      </c>
      <c r="AE724" s="6" t="str">
        <f>IF(Eingabe[[#This Row],[F1]]="",IF(Eingabe[[#This Row],[Fehler alternativ]]="","",Eingabe[[#This Row],[Fehler alternativ]]),SUM(Eingabe[[#This Row],[F1]:[F4]]))</f>
        <v/>
      </c>
      <c r="AF724" s="6" t="str">
        <f>IF(Eingabe[[#This Row],[Volle]]="","",IF(Eingabe[[#This Row],[S1]]="",Eingabe[[#This Row],[Volle]]+Eingabe[[#This Row],[Räumer]],IF(Eingabe[[#This Row],[Volle]]+Eingabe[[#This Row],[Räumer]]=Eingabe[[#This Row],[S1]]+Eingabe[[#This Row],[S2]]+Eingabe[[#This Row],[S3]]+Eingabe[[#This Row],[S4]],Eingabe[[#This Row],[Volle]]+Eingabe[[#This Row],[Räumer]],"FEHLER")))</f>
        <v/>
      </c>
      <c r="AG724" s="6" t="str">
        <f>IF(Eingabe[[#This Row],[V1]]="","",Eingabe[[#This Row],[V1]]+Eingabe[[#This Row],[R1]])</f>
        <v/>
      </c>
      <c r="AH724" s="6" t="str">
        <f>IF(Eingabe[[#This Row],[V2]]="","",Eingabe[[#This Row],[V2]]+Eingabe[[#This Row],[R2]])</f>
        <v/>
      </c>
      <c r="AI724" s="6" t="str">
        <f>IF(Eingabe[[#This Row],[V3]]="","",Eingabe[[#This Row],[V3]]+Eingabe[[#This Row],[R3]])</f>
        <v/>
      </c>
      <c r="AJ724" s="6" t="str">
        <f>IF(Eingabe[[#This Row],[V4]]="","",Eingabe[[#This Row],[V4]]+Eingabe[[#This Row],[R4]])</f>
        <v/>
      </c>
      <c r="AK724" s="6" t="str">
        <f>IF(Eingabe[[#This Row],[S1P]]="","",Eingabe[[#This Row],[S1P]]+Eingabe[[#This Row],[S2P]]+Eingabe[[#This Row],[S3P]]+Eingabe[[#This Row],[S4P]])</f>
        <v/>
      </c>
      <c r="AL724" s="6" t="str">
        <f>IF(Eingabe[[#This Row],[S1P]]="","",IF(Eingabe[[#This Row],[SP]]&gt;2,1,IF(Eingabe[[#This Row],[SP]]&lt;2,0,IF(Eingabe[[#This Row],[GES]]&gt;Eingabe[[#This Row],[GEGGES]],1,IF(Eingabe[[#This Row],[GES]]=Eingabe[[#This Row],[GEGGES]],0.5,0)))))</f>
        <v/>
      </c>
      <c r="AM724" s="6" t="str">
        <f>IF(Eingabe[[#This Row],[MP]]="","",MOD(ROW(Eingabe[[#This Row],[Position]])-3,6)+1)</f>
        <v/>
      </c>
      <c r="AN724" s="6" t="e">
        <f>STANDARDIZE(Eingabe[[#This Row],[GES]],Eingabe[[#This Row],[Schnitt]],VLOOKUP(Eingabe[[#This Row],[Name]],AuswertungG[],21,FALSE))</f>
        <v>#VALUE!</v>
      </c>
      <c r="AO724" s="6" t="str">
        <f>VLOOKUP(Eingabe[[#This Row],[ID]],Chronologie[[ID]:[KW]],12,FALSE)</f>
        <v/>
      </c>
      <c r="AP724" s="95">
        <f>IF(Eingabe[[#This Row],[Wo]]="H",Eingabe[[#This Row],[Gegner]]&amp;" ["&amp;Eingabe[[#This Row],[Wo]]&amp;"]",Eingabe[[#This Row],[Ort]])</f>
        <v>0</v>
      </c>
      <c r="AQ724" s="6" t="str">
        <f>IFERROR(IF(Eingabe[[#This Row],[Wo]]="H",IF(MOD(Eingabe[[#This Row],[Position]],2)=1,Eingabe[[#This Row],[S1]],Eingabe[[#This Row],[S4]]),""),"")</f>
        <v/>
      </c>
      <c r="AR724" s="6" t="str">
        <f>IFERROR(IF(Eingabe[[#This Row],[Wo]]="H",IF(Eingabe[[#This Row],[S1]]&gt;0,IF(MOD(Eingabe[[#This Row],[Position]],2)=1,Eingabe[[#This Row],[S2]],Eingabe[[#This Row],[S3]]),""),""),"")</f>
        <v/>
      </c>
      <c r="AS724" s="6" t="str">
        <f>IFERROR(IF(Eingabe[[#This Row],[Wo]]="H",IF(Eingabe[[#This Row],[S1]]&gt;0,IF(MOD(ROW(Eingabe[[#This Row],[Heimbahn 3]]),2)=1,Eingabe[[#This Row],[S4]],Eingabe[[#This Row],[S1]]),""),""),"")</f>
        <v/>
      </c>
      <c r="AT724" s="6" t="str">
        <f>IFERROR(IF(Eingabe[[#This Row],[Wo]]="H",IF(Eingabe[[#This Row],[S1]]&gt;0,IF(MOD(ROW(Eingabe[[#This Row],[Heimbahn 4]]),2)=1,Eingabe[[#This Row],[S3]],Eingabe[[#This Row],[S2]]),""),""),"")</f>
        <v/>
      </c>
      <c r="AU724" s="22" t="str">
        <f>IF(Eingabe[[#This Row],[GES]]="","",IF(Eingabe[[#This Row],[Modus]]="L",_xlfn.RANK.EQ(Eingabe[[#This Row],[GES]],AF723:AF728),IF(Eingabe[[#This Row],[Modus]]="P",_xlfn.RANK.EQ(Eingabe[[#This Row],[GES]],AF723:AF728),"")))</f>
        <v/>
      </c>
      <c r="AV724" s="6" t="e">
        <f>VLOOKUP(Eingabe[[#This Row],[Name]],AuswertungG[],8,FALSE)</f>
        <v>#N/A</v>
      </c>
      <c r="AZ724" s="6" t="str">
        <f>IFERROR(ABS(Eingabe[[#This Row],[GES]]-Eingabe[[#This Row],[GEGGES]]),"")</f>
        <v/>
      </c>
    </row>
    <row r="725" spans="1:52" hidden="1" x14ac:dyDescent="0.3">
      <c r="A725" s="441"/>
      <c r="B725" s="21">
        <f t="shared" si="75"/>
        <v>121</v>
      </c>
      <c r="C725" s="6">
        <f>VLOOKUP($B725,Chronologie[],7,TRUE)</f>
        <v>0</v>
      </c>
      <c r="D725" s="6">
        <f>VLOOKUP($B725,Chronologie[],8,TRUE)</f>
        <v>0</v>
      </c>
      <c r="E725" s="240">
        <f>VLOOKUP($B725,Chronologie[],9,TRUE)</f>
        <v>0</v>
      </c>
      <c r="F725" s="6">
        <f>VLOOKUP($B725,Chronologie[],COLUMN(F726)-2,TRUE)</f>
        <v>0</v>
      </c>
      <c r="G725" s="6">
        <f>VLOOKUP($B725,Chronologie[],COLUMN(G726)-2,TRUE)</f>
        <v>0</v>
      </c>
      <c r="H725" s="6">
        <f>VLOOKUP($B725,Chronologie[],COLUMN(H726)-2,TRUE)</f>
        <v>0</v>
      </c>
      <c r="I725" s="10" t="str">
        <f>VLOOKUP($B725,Chronologie[],2,TRUE)</f>
        <v>--</v>
      </c>
      <c r="J725" s="243">
        <f>VLOOKUP($B725,Chronologie[],3,TRUE)</f>
        <v>0</v>
      </c>
      <c r="K725" s="237"/>
      <c r="L725" s="237"/>
      <c r="M725" s="237"/>
      <c r="N725" s="237"/>
      <c r="O725" s="237"/>
      <c r="P725" s="237"/>
      <c r="Q725" s="237"/>
      <c r="R725" s="237"/>
      <c r="S725" s="237"/>
      <c r="T725" s="237"/>
      <c r="U725" s="237"/>
      <c r="V725" s="237"/>
      <c r="W725" s="237"/>
      <c r="X725" s="38"/>
      <c r="Y725" s="38"/>
      <c r="Z725" s="38"/>
      <c r="AA725" s="38"/>
      <c r="AB725" s="91"/>
      <c r="AC725" s="94" t="str">
        <f>IF(Eingabe[[#This Row],[V1]]="",IF(Eingabe[[#This Row],[Volle alternativ]]="","",Eingabe[[#This Row],[Volle alternativ]]),SUM(Eingabe[[#This Row],[V1]:[V4]]))</f>
        <v/>
      </c>
      <c r="AD725" s="6" t="str">
        <f>IF(Eingabe[[#This Row],[R1]]="",IF(Eingabe[[#This Row],[Räumer alternativ]]="","",Eingabe[[#This Row],[Räumer alternativ]]),SUM(Eingabe[[#This Row],[R1]:[R4]]))</f>
        <v/>
      </c>
      <c r="AE725" s="6" t="str">
        <f>IF(Eingabe[[#This Row],[F1]]="",IF(Eingabe[[#This Row],[Fehler alternativ]]="","",Eingabe[[#This Row],[Fehler alternativ]]),SUM(Eingabe[[#This Row],[F1]:[F4]]))</f>
        <v/>
      </c>
      <c r="AF725" s="6" t="str">
        <f>IF(Eingabe[[#This Row],[Volle]]="","",IF(Eingabe[[#This Row],[S1]]="",Eingabe[[#This Row],[Volle]]+Eingabe[[#This Row],[Räumer]],IF(Eingabe[[#This Row],[Volle]]+Eingabe[[#This Row],[Räumer]]=Eingabe[[#This Row],[S1]]+Eingabe[[#This Row],[S2]]+Eingabe[[#This Row],[S3]]+Eingabe[[#This Row],[S4]],Eingabe[[#This Row],[Volle]]+Eingabe[[#This Row],[Räumer]],"FEHLER")))</f>
        <v/>
      </c>
      <c r="AG725" s="6" t="str">
        <f>IF(Eingabe[[#This Row],[V1]]="","",Eingabe[[#This Row],[V1]]+Eingabe[[#This Row],[R1]])</f>
        <v/>
      </c>
      <c r="AH725" s="6" t="str">
        <f>IF(Eingabe[[#This Row],[V2]]="","",Eingabe[[#This Row],[V2]]+Eingabe[[#This Row],[R2]])</f>
        <v/>
      </c>
      <c r="AI725" s="6" t="str">
        <f>IF(Eingabe[[#This Row],[V3]]="","",Eingabe[[#This Row],[V3]]+Eingabe[[#This Row],[R3]])</f>
        <v/>
      </c>
      <c r="AJ725" s="6" t="str">
        <f>IF(Eingabe[[#This Row],[V4]]="","",Eingabe[[#This Row],[V4]]+Eingabe[[#This Row],[R4]])</f>
        <v/>
      </c>
      <c r="AK725" s="6" t="str">
        <f>IF(Eingabe[[#This Row],[S1P]]="","",Eingabe[[#This Row],[S1P]]+Eingabe[[#This Row],[S2P]]+Eingabe[[#This Row],[S3P]]+Eingabe[[#This Row],[S4P]])</f>
        <v/>
      </c>
      <c r="AL725" s="6" t="str">
        <f>IF(Eingabe[[#This Row],[S1P]]="","",IF(Eingabe[[#This Row],[SP]]&gt;2,1,IF(Eingabe[[#This Row],[SP]]&lt;2,0,IF(Eingabe[[#This Row],[GES]]&gt;Eingabe[[#This Row],[GEGGES]],1,IF(Eingabe[[#This Row],[GES]]=Eingabe[[#This Row],[GEGGES]],0.5,0)))))</f>
        <v/>
      </c>
      <c r="AM725" s="6" t="str">
        <f>IF(Eingabe[[#This Row],[MP]]="","",MOD(ROW(Eingabe[[#This Row],[Position]])-3,6)+1)</f>
        <v/>
      </c>
      <c r="AN725" s="6" t="e">
        <f>STANDARDIZE(Eingabe[[#This Row],[GES]],Eingabe[[#This Row],[Schnitt]],VLOOKUP(Eingabe[[#This Row],[Name]],AuswertungG[],21,FALSE))</f>
        <v>#VALUE!</v>
      </c>
      <c r="AO725" s="6" t="str">
        <f>VLOOKUP(Eingabe[[#This Row],[ID]],Chronologie[[ID]:[KW]],12,FALSE)</f>
        <v/>
      </c>
      <c r="AP725" s="95">
        <f>IF(Eingabe[[#This Row],[Wo]]="H",Eingabe[[#This Row],[Gegner]]&amp;" ["&amp;Eingabe[[#This Row],[Wo]]&amp;"]",Eingabe[[#This Row],[Ort]])</f>
        <v>0</v>
      </c>
      <c r="AQ725" s="6" t="str">
        <f>IFERROR(IF(Eingabe[[#This Row],[Wo]]="H",IF(MOD(Eingabe[[#This Row],[Position]],2)=1,Eingabe[[#This Row],[S1]],Eingabe[[#This Row],[S4]]),""),"")</f>
        <v/>
      </c>
      <c r="AR725" s="6" t="str">
        <f>IFERROR(IF(Eingabe[[#This Row],[Wo]]="H",IF(Eingabe[[#This Row],[S1]]&gt;0,IF(MOD(Eingabe[[#This Row],[Position]],2)=1,Eingabe[[#This Row],[S2]],Eingabe[[#This Row],[S3]]),""),""),"")</f>
        <v/>
      </c>
      <c r="AS725" s="6" t="str">
        <f>IFERROR(IF(Eingabe[[#This Row],[Wo]]="H",IF(Eingabe[[#This Row],[S1]]&gt;0,IF(MOD(ROW(Eingabe[[#This Row],[Heimbahn 3]]),2)=1,Eingabe[[#This Row],[S4]],Eingabe[[#This Row],[S1]]),""),""),"")</f>
        <v/>
      </c>
      <c r="AT725" s="6" t="str">
        <f>IFERROR(IF(Eingabe[[#This Row],[Wo]]="H",IF(Eingabe[[#This Row],[S1]]&gt;0,IF(MOD(ROW(Eingabe[[#This Row],[Heimbahn 4]]),2)=1,Eingabe[[#This Row],[S3]],Eingabe[[#This Row],[S2]]),""),""),"")</f>
        <v/>
      </c>
      <c r="AU725" s="22" t="str">
        <f>IF(Eingabe[[#This Row],[GES]]="","",IF(Eingabe[[#This Row],[Modus]]="L",_xlfn.RANK.EQ(Eingabe[[#This Row],[GES]],AF723:AF728),IF(Eingabe[[#This Row],[Modus]]="P",_xlfn.RANK.EQ(Eingabe[[#This Row],[GES]],AF723:AF728),"")))</f>
        <v/>
      </c>
      <c r="AV725" s="6" t="e">
        <f>VLOOKUP(Eingabe[[#This Row],[Name]],AuswertungG[],8,FALSE)</f>
        <v>#N/A</v>
      </c>
      <c r="AZ725" s="6" t="str">
        <f>IFERROR(ABS(Eingabe[[#This Row],[GES]]-Eingabe[[#This Row],[GEGGES]]),"")</f>
        <v/>
      </c>
    </row>
    <row r="726" spans="1:52" hidden="1" x14ac:dyDescent="0.3">
      <c r="A726" s="441"/>
      <c r="B726" s="21">
        <f t="shared" si="75"/>
        <v>121</v>
      </c>
      <c r="C726" s="6">
        <f>VLOOKUP($B726,Chronologie[],7,TRUE)</f>
        <v>0</v>
      </c>
      <c r="D726" s="6">
        <f>VLOOKUP($B726,Chronologie[],8,TRUE)</f>
        <v>0</v>
      </c>
      <c r="E726" s="240">
        <f>VLOOKUP($B726,Chronologie[],9,TRUE)</f>
        <v>0</v>
      </c>
      <c r="F726" s="6">
        <f>VLOOKUP($B726,Chronologie[],COLUMN(F727)-2,TRUE)</f>
        <v>0</v>
      </c>
      <c r="G726" s="6">
        <f>VLOOKUP($B726,Chronologie[],COLUMN(G727)-2,TRUE)</f>
        <v>0</v>
      </c>
      <c r="H726" s="6">
        <f>VLOOKUP($B726,Chronologie[],COLUMN(H727)-2,TRUE)</f>
        <v>0</v>
      </c>
      <c r="I726" s="10" t="str">
        <f>VLOOKUP($B726,Chronologie[],2,TRUE)</f>
        <v>--</v>
      </c>
      <c r="J726" s="243">
        <f>VLOOKUP($B726,Chronologie[],3,TRUE)</f>
        <v>0</v>
      </c>
      <c r="K726" s="238"/>
      <c r="L726" s="237"/>
      <c r="M726" s="237"/>
      <c r="N726" s="237"/>
      <c r="O726" s="237"/>
      <c r="P726" s="237"/>
      <c r="Q726" s="237"/>
      <c r="R726" s="237"/>
      <c r="S726" s="237"/>
      <c r="T726" s="237"/>
      <c r="U726" s="237"/>
      <c r="V726" s="237"/>
      <c r="W726" s="237"/>
      <c r="X726" s="38"/>
      <c r="Y726" s="38"/>
      <c r="Z726" s="38"/>
      <c r="AA726" s="38"/>
      <c r="AB726" s="91"/>
      <c r="AC726" s="94" t="str">
        <f>IF(Eingabe[[#This Row],[V1]]="",IF(Eingabe[[#This Row],[Volle alternativ]]="","",Eingabe[[#This Row],[Volle alternativ]]),SUM(Eingabe[[#This Row],[V1]:[V4]]))</f>
        <v/>
      </c>
      <c r="AD726" s="6" t="str">
        <f>IF(Eingabe[[#This Row],[R1]]="",IF(Eingabe[[#This Row],[Räumer alternativ]]="","",Eingabe[[#This Row],[Räumer alternativ]]),SUM(Eingabe[[#This Row],[R1]:[R4]]))</f>
        <v/>
      </c>
      <c r="AE726" s="6" t="str">
        <f>IF(Eingabe[[#This Row],[F1]]="",IF(Eingabe[[#This Row],[Fehler alternativ]]="","",Eingabe[[#This Row],[Fehler alternativ]]),SUM(Eingabe[[#This Row],[F1]:[F4]]))</f>
        <v/>
      </c>
      <c r="AF726" s="6" t="str">
        <f>IF(Eingabe[[#This Row],[Volle]]="","",IF(Eingabe[[#This Row],[S1]]="",Eingabe[[#This Row],[Volle]]+Eingabe[[#This Row],[Räumer]],IF(Eingabe[[#This Row],[Volle]]+Eingabe[[#This Row],[Räumer]]=Eingabe[[#This Row],[S1]]+Eingabe[[#This Row],[S2]]+Eingabe[[#This Row],[S3]]+Eingabe[[#This Row],[S4]],Eingabe[[#This Row],[Volle]]+Eingabe[[#This Row],[Räumer]],"FEHLER")))</f>
        <v/>
      </c>
      <c r="AG726" s="6" t="str">
        <f>IF(Eingabe[[#This Row],[V1]]="","",Eingabe[[#This Row],[V1]]+Eingabe[[#This Row],[R1]])</f>
        <v/>
      </c>
      <c r="AH726" s="6" t="str">
        <f>IF(Eingabe[[#This Row],[V2]]="","",Eingabe[[#This Row],[V2]]+Eingabe[[#This Row],[R2]])</f>
        <v/>
      </c>
      <c r="AI726" s="6" t="str">
        <f>IF(Eingabe[[#This Row],[V3]]="","",Eingabe[[#This Row],[V3]]+Eingabe[[#This Row],[R3]])</f>
        <v/>
      </c>
      <c r="AJ726" s="6" t="str">
        <f>IF(Eingabe[[#This Row],[V4]]="","",Eingabe[[#This Row],[V4]]+Eingabe[[#This Row],[R4]])</f>
        <v/>
      </c>
      <c r="AK726" s="6" t="str">
        <f>IF(Eingabe[[#This Row],[S1P]]="","",Eingabe[[#This Row],[S1P]]+Eingabe[[#This Row],[S2P]]+Eingabe[[#This Row],[S3P]]+Eingabe[[#This Row],[S4P]])</f>
        <v/>
      </c>
      <c r="AL726" s="6" t="str">
        <f>IF(Eingabe[[#This Row],[S1P]]="","",IF(Eingabe[[#This Row],[SP]]&gt;2,1,IF(Eingabe[[#This Row],[SP]]&lt;2,0,IF(Eingabe[[#This Row],[GES]]&gt;Eingabe[[#This Row],[GEGGES]],1,IF(Eingabe[[#This Row],[GES]]=Eingabe[[#This Row],[GEGGES]],0.5,0)))))</f>
        <v/>
      </c>
      <c r="AM726" s="6" t="str">
        <f>IF(Eingabe[[#This Row],[MP]]="","",MOD(ROW(Eingabe[[#This Row],[Position]])-3,6)+1)</f>
        <v/>
      </c>
      <c r="AN726" s="6" t="e">
        <f>STANDARDIZE(Eingabe[[#This Row],[GES]],Eingabe[[#This Row],[Schnitt]],VLOOKUP(Eingabe[[#This Row],[Name]],AuswertungG[],21,FALSE))</f>
        <v>#VALUE!</v>
      </c>
      <c r="AO726" s="6" t="str">
        <f>VLOOKUP(Eingabe[[#This Row],[ID]],Chronologie[[ID]:[KW]],12,FALSE)</f>
        <v/>
      </c>
      <c r="AP726" s="95">
        <f>IF(Eingabe[[#This Row],[Wo]]="H",Eingabe[[#This Row],[Gegner]]&amp;" ["&amp;Eingabe[[#This Row],[Wo]]&amp;"]",Eingabe[[#This Row],[Ort]])</f>
        <v>0</v>
      </c>
      <c r="AQ726" s="6" t="str">
        <f>IFERROR(IF(Eingabe[[#This Row],[Wo]]="H",IF(MOD(Eingabe[[#This Row],[Position]],2)=1,Eingabe[[#This Row],[S1]],Eingabe[[#This Row],[S4]]),""),"")</f>
        <v/>
      </c>
      <c r="AR726" s="6" t="str">
        <f>IFERROR(IF(Eingabe[[#This Row],[Wo]]="H",IF(Eingabe[[#This Row],[S1]]&gt;0,IF(MOD(Eingabe[[#This Row],[Position]],2)=1,Eingabe[[#This Row],[S2]],Eingabe[[#This Row],[S3]]),""),""),"")</f>
        <v/>
      </c>
      <c r="AS726" s="6" t="str">
        <f>IFERROR(IF(Eingabe[[#This Row],[Wo]]="H",IF(Eingabe[[#This Row],[S1]]&gt;0,IF(MOD(ROW(Eingabe[[#This Row],[Heimbahn 3]]),2)=1,Eingabe[[#This Row],[S4]],Eingabe[[#This Row],[S1]]),""),""),"")</f>
        <v/>
      </c>
      <c r="AT726" s="6" t="str">
        <f>IFERROR(IF(Eingabe[[#This Row],[Wo]]="H",IF(Eingabe[[#This Row],[S1]]&gt;0,IF(MOD(ROW(Eingabe[[#This Row],[Heimbahn 4]]),2)=1,Eingabe[[#This Row],[S3]],Eingabe[[#This Row],[S2]]),""),""),"")</f>
        <v/>
      </c>
      <c r="AU726" s="22" t="str">
        <f>IF(Eingabe[[#This Row],[GES]]="","",IF(Eingabe[[#This Row],[Modus]]="L",_xlfn.RANK.EQ(Eingabe[[#This Row],[GES]],AF723:AF728),IF(Eingabe[[#This Row],[Modus]]="P",_xlfn.RANK.EQ(Eingabe[[#This Row],[GES]],AF723:AF728),"")))</f>
        <v/>
      </c>
      <c r="AV726" s="6" t="e">
        <f>VLOOKUP(Eingabe[[#This Row],[Name]],AuswertungG[],8,FALSE)</f>
        <v>#N/A</v>
      </c>
      <c r="AZ726" s="6" t="str">
        <f>IFERROR(ABS(Eingabe[[#This Row],[GES]]-Eingabe[[#This Row],[GEGGES]]),"")</f>
        <v/>
      </c>
    </row>
    <row r="727" spans="1:52" hidden="1" x14ac:dyDescent="0.3">
      <c r="A727" s="441"/>
      <c r="B727" s="21">
        <f t="shared" si="75"/>
        <v>121</v>
      </c>
      <c r="C727" s="6">
        <f>VLOOKUP($B727,Chronologie[],7,TRUE)</f>
        <v>0</v>
      </c>
      <c r="D727" s="6">
        <f>VLOOKUP($B727,Chronologie[],8,TRUE)</f>
        <v>0</v>
      </c>
      <c r="E727" s="240">
        <f>VLOOKUP($B727,Chronologie[],9,TRUE)</f>
        <v>0</v>
      </c>
      <c r="F727" s="6">
        <f>VLOOKUP($B727,Chronologie[],COLUMN(F728)-2,TRUE)</f>
        <v>0</v>
      </c>
      <c r="G727" s="6">
        <f>VLOOKUP($B727,Chronologie[],COLUMN(G728)-2,TRUE)</f>
        <v>0</v>
      </c>
      <c r="H727" s="6">
        <f>VLOOKUP($B727,Chronologie[],COLUMN(H728)-2,TRUE)</f>
        <v>0</v>
      </c>
      <c r="I727" s="10" t="str">
        <f>VLOOKUP($B727,Chronologie[],2,TRUE)</f>
        <v>--</v>
      </c>
      <c r="J727" s="243">
        <f>VLOOKUP($B727,Chronologie[],3,TRUE)</f>
        <v>0</v>
      </c>
      <c r="K727" s="237"/>
      <c r="L727" s="237"/>
      <c r="M727" s="237"/>
      <c r="N727" s="237"/>
      <c r="O727" s="237"/>
      <c r="P727" s="237"/>
      <c r="Q727" s="237"/>
      <c r="R727" s="237"/>
      <c r="S727" s="237"/>
      <c r="T727" s="237"/>
      <c r="U727" s="237"/>
      <c r="V727" s="237"/>
      <c r="W727" s="237"/>
      <c r="X727" s="38"/>
      <c r="Y727" s="38"/>
      <c r="Z727" s="38"/>
      <c r="AA727" s="38"/>
      <c r="AB727" s="91"/>
      <c r="AC727" s="94" t="str">
        <f>IF(Eingabe[[#This Row],[V1]]="",IF(Eingabe[[#This Row],[Volle alternativ]]="","",Eingabe[[#This Row],[Volle alternativ]]),SUM(Eingabe[[#This Row],[V1]:[V4]]))</f>
        <v/>
      </c>
      <c r="AD727" s="6" t="str">
        <f>IF(Eingabe[[#This Row],[R1]]="",IF(Eingabe[[#This Row],[Räumer alternativ]]="","",Eingabe[[#This Row],[Räumer alternativ]]),SUM(Eingabe[[#This Row],[R1]:[R4]]))</f>
        <v/>
      </c>
      <c r="AE727" s="6" t="str">
        <f>IF(Eingabe[[#This Row],[F1]]="",IF(Eingabe[[#This Row],[Fehler alternativ]]="","",Eingabe[[#This Row],[Fehler alternativ]]),SUM(Eingabe[[#This Row],[F1]:[F4]]))</f>
        <v/>
      </c>
      <c r="AF727" s="6" t="str">
        <f>IF(Eingabe[[#This Row],[Volle]]="","",IF(Eingabe[[#This Row],[S1]]="",Eingabe[[#This Row],[Volle]]+Eingabe[[#This Row],[Räumer]],IF(Eingabe[[#This Row],[Volle]]+Eingabe[[#This Row],[Räumer]]=Eingabe[[#This Row],[S1]]+Eingabe[[#This Row],[S2]]+Eingabe[[#This Row],[S3]]+Eingabe[[#This Row],[S4]],Eingabe[[#This Row],[Volle]]+Eingabe[[#This Row],[Räumer]],"FEHLER")))</f>
        <v/>
      </c>
      <c r="AG727" s="6" t="str">
        <f>IF(Eingabe[[#This Row],[V1]]="","",Eingabe[[#This Row],[V1]]+Eingabe[[#This Row],[R1]])</f>
        <v/>
      </c>
      <c r="AH727" s="6" t="str">
        <f>IF(Eingabe[[#This Row],[V2]]="","",Eingabe[[#This Row],[V2]]+Eingabe[[#This Row],[R2]])</f>
        <v/>
      </c>
      <c r="AI727" s="6" t="str">
        <f>IF(Eingabe[[#This Row],[V3]]="","",Eingabe[[#This Row],[V3]]+Eingabe[[#This Row],[R3]])</f>
        <v/>
      </c>
      <c r="AJ727" s="6" t="str">
        <f>IF(Eingabe[[#This Row],[V4]]="","",Eingabe[[#This Row],[V4]]+Eingabe[[#This Row],[R4]])</f>
        <v/>
      </c>
      <c r="AK727" s="6" t="str">
        <f>IF(Eingabe[[#This Row],[S1P]]="","",Eingabe[[#This Row],[S1P]]+Eingabe[[#This Row],[S2P]]+Eingabe[[#This Row],[S3P]]+Eingabe[[#This Row],[S4P]])</f>
        <v/>
      </c>
      <c r="AL727" s="6" t="str">
        <f>IF(Eingabe[[#This Row],[S1P]]="","",IF(Eingabe[[#This Row],[SP]]&gt;2,1,IF(Eingabe[[#This Row],[SP]]&lt;2,0,IF(Eingabe[[#This Row],[GES]]&gt;Eingabe[[#This Row],[GEGGES]],1,IF(Eingabe[[#This Row],[GES]]=Eingabe[[#This Row],[GEGGES]],0.5,0)))))</f>
        <v/>
      </c>
      <c r="AM727" s="6" t="str">
        <f>IF(Eingabe[[#This Row],[MP]]="","",MOD(ROW(Eingabe[[#This Row],[Position]])-3,6)+1)</f>
        <v/>
      </c>
      <c r="AN727" s="6" t="e">
        <f>STANDARDIZE(Eingabe[[#This Row],[GES]],Eingabe[[#This Row],[Schnitt]],VLOOKUP(Eingabe[[#This Row],[Name]],AuswertungG[],21,FALSE))</f>
        <v>#VALUE!</v>
      </c>
      <c r="AO727" s="6" t="str">
        <f>VLOOKUP(Eingabe[[#This Row],[ID]],Chronologie[[ID]:[KW]],12,FALSE)</f>
        <v/>
      </c>
      <c r="AP727" s="95">
        <f>IF(Eingabe[[#This Row],[Wo]]="H",Eingabe[[#This Row],[Gegner]]&amp;" ["&amp;Eingabe[[#This Row],[Wo]]&amp;"]",Eingabe[[#This Row],[Ort]])</f>
        <v>0</v>
      </c>
      <c r="AQ727" s="6" t="str">
        <f>IFERROR(IF(Eingabe[[#This Row],[Wo]]="H",IF(MOD(Eingabe[[#This Row],[Position]],2)=1,Eingabe[[#This Row],[S1]],Eingabe[[#This Row],[S4]]),""),"")</f>
        <v/>
      </c>
      <c r="AR727" s="6" t="str">
        <f>IFERROR(IF(Eingabe[[#This Row],[Wo]]="H",IF(Eingabe[[#This Row],[S1]]&gt;0,IF(MOD(Eingabe[[#This Row],[Position]],2)=1,Eingabe[[#This Row],[S2]],Eingabe[[#This Row],[S3]]),""),""),"")</f>
        <v/>
      </c>
      <c r="AS727" s="6" t="str">
        <f>IFERROR(IF(Eingabe[[#This Row],[Wo]]="H",IF(Eingabe[[#This Row],[S1]]&gt;0,IF(MOD(ROW(Eingabe[[#This Row],[Heimbahn 3]]),2)=1,Eingabe[[#This Row],[S4]],Eingabe[[#This Row],[S1]]),""),""),"")</f>
        <v/>
      </c>
      <c r="AT727" s="6" t="str">
        <f>IFERROR(IF(Eingabe[[#This Row],[Wo]]="H",IF(Eingabe[[#This Row],[S1]]&gt;0,IF(MOD(ROW(Eingabe[[#This Row],[Heimbahn 4]]),2)=1,Eingabe[[#This Row],[S3]],Eingabe[[#This Row],[S2]]),""),""),"")</f>
        <v/>
      </c>
      <c r="AU727" s="22" t="str">
        <f>IF(Eingabe[[#This Row],[GES]]="","",IF(Eingabe[[#This Row],[Modus]]="L",_xlfn.RANK.EQ(Eingabe[[#This Row],[GES]],AF723:AF728),IF(Eingabe[[#This Row],[Modus]]="P",_xlfn.RANK.EQ(Eingabe[[#This Row],[GES]],AF723:AF728),"")))</f>
        <v/>
      </c>
      <c r="AV727" s="6" t="e">
        <f>VLOOKUP(Eingabe[[#This Row],[Name]],AuswertungG[],8,FALSE)</f>
        <v>#N/A</v>
      </c>
      <c r="AZ727" s="6" t="str">
        <f>IFERROR(ABS(Eingabe[[#This Row],[GES]]-Eingabe[[#This Row],[GEGGES]]),"")</f>
        <v/>
      </c>
    </row>
    <row r="728" spans="1:52" ht="16.2" hidden="1" thickBot="1" x14ac:dyDescent="0.35">
      <c r="A728" s="442"/>
      <c r="B728" s="56">
        <f t="shared" si="75"/>
        <v>121</v>
      </c>
      <c r="C728" s="23">
        <f>VLOOKUP($B728,Chronologie[],7,TRUE)</f>
        <v>0</v>
      </c>
      <c r="D728" s="23">
        <f>VLOOKUP($B728,Chronologie[],8,TRUE)</f>
        <v>0</v>
      </c>
      <c r="E728" s="39">
        <f>VLOOKUP($B728,Chronologie[],9,TRUE)</f>
        <v>0</v>
      </c>
      <c r="F728" s="23">
        <f>VLOOKUP($B728,Chronologie[],COLUMN(F729)-2,TRUE)</f>
        <v>0</v>
      </c>
      <c r="G728" s="23">
        <f>VLOOKUP($B728,Chronologie[],COLUMN(G729)-2,TRUE)</f>
        <v>0</v>
      </c>
      <c r="H728" s="23">
        <f>VLOOKUP($B728,Chronologie[],COLUMN(H729)-2,TRUE)</f>
        <v>0</v>
      </c>
      <c r="I728" s="13" t="str">
        <f>VLOOKUP($B728,Chronologie[],2,TRUE)</f>
        <v>--</v>
      </c>
      <c r="J728" s="244">
        <f>VLOOKUP($B728,Chronologie[],3,TRUE)</f>
        <v>0</v>
      </c>
      <c r="K728" s="239"/>
      <c r="L728" s="239"/>
      <c r="M728" s="239"/>
      <c r="N728" s="239"/>
      <c r="O728" s="239"/>
      <c r="P728" s="239"/>
      <c r="Q728" s="239"/>
      <c r="R728" s="239"/>
      <c r="S728" s="239"/>
      <c r="T728" s="239"/>
      <c r="U728" s="239"/>
      <c r="V728" s="239"/>
      <c r="W728" s="239"/>
      <c r="X728" s="40"/>
      <c r="Y728" s="40"/>
      <c r="Z728" s="40"/>
      <c r="AA728" s="40"/>
      <c r="AB728" s="92"/>
      <c r="AC728" s="96" t="str">
        <f>IF(Eingabe[[#This Row],[V1]]="",IF(Eingabe[[#This Row],[Volle alternativ]]="","",Eingabe[[#This Row],[Volle alternativ]]),SUM(Eingabe[[#This Row],[V1]:[V4]]))</f>
        <v/>
      </c>
      <c r="AD728" s="23" t="str">
        <f>IF(Eingabe[[#This Row],[R1]]="",IF(Eingabe[[#This Row],[Räumer alternativ]]="","",Eingabe[[#This Row],[Räumer alternativ]]),SUM(Eingabe[[#This Row],[R1]:[R4]]))</f>
        <v/>
      </c>
      <c r="AE728" s="23" t="str">
        <f>IF(Eingabe[[#This Row],[F1]]="",IF(Eingabe[[#This Row],[Fehler alternativ]]="","",Eingabe[[#This Row],[Fehler alternativ]]),SUM(Eingabe[[#This Row],[F1]:[F4]]))</f>
        <v/>
      </c>
      <c r="AF728" s="23" t="str">
        <f>IF(Eingabe[[#This Row],[Volle]]="","",IF(Eingabe[[#This Row],[S1]]="",Eingabe[[#This Row],[Volle]]+Eingabe[[#This Row],[Räumer]],IF(Eingabe[[#This Row],[Volle]]+Eingabe[[#This Row],[Räumer]]=Eingabe[[#This Row],[S1]]+Eingabe[[#This Row],[S2]]+Eingabe[[#This Row],[S3]]+Eingabe[[#This Row],[S4]],Eingabe[[#This Row],[Volle]]+Eingabe[[#This Row],[Räumer]],"FEHLER")))</f>
        <v/>
      </c>
      <c r="AG728" s="23" t="str">
        <f>IF(Eingabe[[#This Row],[V1]]="","",Eingabe[[#This Row],[V1]]+Eingabe[[#This Row],[R1]])</f>
        <v/>
      </c>
      <c r="AH728" s="23" t="str">
        <f>IF(Eingabe[[#This Row],[V2]]="","",Eingabe[[#This Row],[V2]]+Eingabe[[#This Row],[R2]])</f>
        <v/>
      </c>
      <c r="AI728" s="23" t="str">
        <f>IF(Eingabe[[#This Row],[V3]]="","",Eingabe[[#This Row],[V3]]+Eingabe[[#This Row],[R3]])</f>
        <v/>
      </c>
      <c r="AJ728" s="23" t="str">
        <f>IF(Eingabe[[#This Row],[V4]]="","",Eingabe[[#This Row],[V4]]+Eingabe[[#This Row],[R4]])</f>
        <v/>
      </c>
      <c r="AK728" s="23" t="str">
        <f>IF(Eingabe[[#This Row],[S1P]]="","",Eingabe[[#This Row],[S1P]]+Eingabe[[#This Row],[S2P]]+Eingabe[[#This Row],[S3P]]+Eingabe[[#This Row],[S4P]])</f>
        <v/>
      </c>
      <c r="AL728" s="23" t="str">
        <f>IF(Eingabe[[#This Row],[S1P]]="","",IF(Eingabe[[#This Row],[SP]]&gt;2,1,IF(Eingabe[[#This Row],[SP]]&lt;2,0,IF(Eingabe[[#This Row],[GES]]&gt;Eingabe[[#This Row],[GEGGES]],1,IF(Eingabe[[#This Row],[GES]]=Eingabe[[#This Row],[GEGGES]],0.5,0)))))</f>
        <v/>
      </c>
      <c r="AM728" s="23" t="str">
        <f>IF(Eingabe[[#This Row],[MP]]="","",MOD(ROW(Eingabe[[#This Row],[Position]])-3,6)+1)</f>
        <v/>
      </c>
      <c r="AN728" s="23" t="e">
        <f>STANDARDIZE(Eingabe[[#This Row],[GES]],Eingabe[[#This Row],[Schnitt]],VLOOKUP(Eingabe[[#This Row],[Name]],AuswertungG[],21,FALSE))</f>
        <v>#VALUE!</v>
      </c>
      <c r="AO728" s="23" t="str">
        <f>VLOOKUP(Eingabe[[#This Row],[ID]],Chronologie[[ID]:[KW]],12,FALSE)</f>
        <v/>
      </c>
      <c r="AP728" s="59">
        <f>IF(Eingabe[[#This Row],[Wo]]="H",Eingabe[[#This Row],[Gegner]]&amp;" ["&amp;Eingabe[[#This Row],[Wo]]&amp;"]",Eingabe[[#This Row],[Ort]])</f>
        <v>0</v>
      </c>
      <c r="AQ728" s="23" t="str">
        <f>IFERROR(IF(Eingabe[[#This Row],[Wo]]="H",IF(MOD(Eingabe[[#This Row],[Position]],2)=1,Eingabe[[#This Row],[S1]],Eingabe[[#This Row],[S4]]),""),"")</f>
        <v/>
      </c>
      <c r="AR728" s="23" t="str">
        <f>IFERROR(IF(Eingabe[[#This Row],[Wo]]="H",IF(Eingabe[[#This Row],[S1]]&gt;0,IF(MOD(Eingabe[[#This Row],[Position]],2)=1,Eingabe[[#This Row],[S2]],Eingabe[[#This Row],[S3]]),""),""),"")</f>
        <v/>
      </c>
      <c r="AS728" s="23" t="str">
        <f>IFERROR(IF(Eingabe[[#This Row],[Wo]]="H",IF(Eingabe[[#This Row],[S1]]&gt;0,IF(MOD(ROW(Eingabe[[#This Row],[Heimbahn 3]]),2)=1,Eingabe[[#This Row],[S4]],Eingabe[[#This Row],[S1]]),""),""),"")</f>
        <v/>
      </c>
      <c r="AT728" s="23" t="str">
        <f>IFERROR(IF(Eingabe[[#This Row],[Wo]]="H",IF(Eingabe[[#This Row],[S1]]&gt;0,IF(MOD(ROW(Eingabe[[#This Row],[Heimbahn 4]]),2)=1,Eingabe[[#This Row],[S3]],Eingabe[[#This Row],[S2]]),""),""),"")</f>
        <v/>
      </c>
      <c r="AU728" s="89" t="str">
        <f>IF(Eingabe[[#This Row],[GES]]="","",IF(Eingabe[[#This Row],[Modus]]="L",_xlfn.RANK.EQ(Eingabe[[#This Row],[GES]],AF723:AF728),IF(Eingabe[[#This Row],[Modus]]="P",_xlfn.RANK.EQ(Eingabe[[#This Row],[GES]],AF723:AF728),"")))</f>
        <v/>
      </c>
      <c r="AV728" s="6" t="e">
        <f>VLOOKUP(Eingabe[[#This Row],[Name]],AuswertungG[],8,FALSE)</f>
        <v>#N/A</v>
      </c>
      <c r="AZ728" s="6" t="str">
        <f>IFERROR(ABS(Eingabe[[#This Row],[GES]]-Eingabe[[#This Row],[GEGGES]]),"")</f>
        <v/>
      </c>
    </row>
    <row r="729" spans="1:52" hidden="1" x14ac:dyDescent="0.3">
      <c r="A729" s="440">
        <f t="shared" ref="A729" si="80">B729</f>
        <v>122</v>
      </c>
      <c r="B729" s="55">
        <f t="shared" si="75"/>
        <v>122</v>
      </c>
      <c r="C729" s="35">
        <f>VLOOKUP($B729,Chronologie[],7,TRUE)</f>
        <v>0</v>
      </c>
      <c r="D729" s="35">
        <f>VLOOKUP($B729,Chronologie[],8,TRUE)</f>
        <v>0</v>
      </c>
      <c r="E729" s="36">
        <f>VLOOKUP($B729,Chronologie[],9,TRUE)</f>
        <v>0</v>
      </c>
      <c r="F729" s="35">
        <f>VLOOKUP($B729,Chronologie[],COLUMN(F730)-2,TRUE)</f>
        <v>0</v>
      </c>
      <c r="G729" s="35">
        <f>VLOOKUP($B729,Chronologie[],COLUMN(G730)-2,TRUE)</f>
        <v>0</v>
      </c>
      <c r="H729" s="35">
        <f>VLOOKUP($B729,Chronologie[],COLUMN(H730)-2,TRUE)</f>
        <v>0</v>
      </c>
      <c r="I729" s="9" t="str">
        <f>VLOOKUP($B729,Chronologie[],2,TRUE)</f>
        <v>--</v>
      </c>
      <c r="J729" s="242">
        <f>VLOOKUP($B729,Chronologie[],3,TRUE)</f>
        <v>0</v>
      </c>
      <c r="K729" s="236"/>
      <c r="L729" s="334"/>
      <c r="M729" s="334"/>
      <c r="N729" s="334"/>
      <c r="O729" s="334"/>
      <c r="P729" s="334"/>
      <c r="Q729" s="334"/>
      <c r="R729" s="334"/>
      <c r="S729" s="334"/>
      <c r="T729" s="334"/>
      <c r="U729" s="334"/>
      <c r="V729" s="334"/>
      <c r="W729" s="334"/>
      <c r="X729" s="37"/>
      <c r="Y729" s="37"/>
      <c r="Z729" s="37"/>
      <c r="AA729" s="37"/>
      <c r="AB729" s="90"/>
      <c r="AC729" s="93" t="str">
        <f>IF(Eingabe[[#This Row],[V1]]="",IF(Eingabe[[#This Row],[Volle alternativ]]="","",Eingabe[[#This Row],[Volle alternativ]]),SUM(Eingabe[[#This Row],[V1]:[V4]]))</f>
        <v/>
      </c>
      <c r="AD729" s="35" t="str">
        <f>IF(Eingabe[[#This Row],[R1]]="",IF(Eingabe[[#This Row],[Räumer alternativ]]="","",Eingabe[[#This Row],[Räumer alternativ]]),SUM(Eingabe[[#This Row],[R1]:[R4]]))</f>
        <v/>
      </c>
      <c r="AE729" s="35" t="str">
        <f>IF(Eingabe[[#This Row],[F1]]="",IF(Eingabe[[#This Row],[Fehler alternativ]]="","",Eingabe[[#This Row],[Fehler alternativ]]),SUM(Eingabe[[#This Row],[F1]:[F4]]))</f>
        <v/>
      </c>
      <c r="AF729" s="35" t="str">
        <f>IF(Eingabe[[#This Row],[Volle]]="","",IF(Eingabe[[#This Row],[S1]]="",Eingabe[[#This Row],[Volle]]+Eingabe[[#This Row],[Räumer]],IF(Eingabe[[#This Row],[Volle]]+Eingabe[[#This Row],[Räumer]]=Eingabe[[#This Row],[S1]]+Eingabe[[#This Row],[S2]]+Eingabe[[#This Row],[S3]]+Eingabe[[#This Row],[S4]],Eingabe[[#This Row],[Volle]]+Eingabe[[#This Row],[Räumer]],"FEHLER")))</f>
        <v/>
      </c>
      <c r="AG729" s="35" t="str">
        <f>IF(Eingabe[[#This Row],[V1]]="","",Eingabe[[#This Row],[V1]]+Eingabe[[#This Row],[R1]])</f>
        <v/>
      </c>
      <c r="AH729" s="35" t="str">
        <f>IF(Eingabe[[#This Row],[V2]]="","",Eingabe[[#This Row],[V2]]+Eingabe[[#This Row],[R2]])</f>
        <v/>
      </c>
      <c r="AI729" s="35" t="str">
        <f>IF(Eingabe[[#This Row],[V3]]="","",Eingabe[[#This Row],[V3]]+Eingabe[[#This Row],[R3]])</f>
        <v/>
      </c>
      <c r="AJ729" s="35" t="str">
        <f>IF(Eingabe[[#This Row],[V4]]="","",Eingabe[[#This Row],[V4]]+Eingabe[[#This Row],[R4]])</f>
        <v/>
      </c>
      <c r="AK729" s="35" t="str">
        <f>IF(Eingabe[[#This Row],[S1P]]="","",Eingabe[[#This Row],[S1P]]+Eingabe[[#This Row],[S2P]]+Eingabe[[#This Row],[S3P]]+Eingabe[[#This Row],[S4P]])</f>
        <v/>
      </c>
      <c r="AL729" s="35" t="str">
        <f>IF(Eingabe[[#This Row],[S1P]]="","",IF(Eingabe[[#This Row],[SP]]&gt;2,1,IF(Eingabe[[#This Row],[SP]]&lt;2,0,IF(Eingabe[[#This Row],[GES]]&gt;Eingabe[[#This Row],[GEGGES]],1,IF(Eingabe[[#This Row],[GES]]=Eingabe[[#This Row],[GEGGES]],0.5,0)))))</f>
        <v/>
      </c>
      <c r="AM729" s="35" t="str">
        <f>IF(Eingabe[[#This Row],[MP]]="","",MOD(ROW(Eingabe[[#This Row],[Position]])-3,6)+1)</f>
        <v/>
      </c>
      <c r="AN729" s="35" t="e">
        <f>STANDARDIZE(Eingabe[[#This Row],[GES]],Eingabe[[#This Row],[Schnitt]],VLOOKUP(Eingabe[[#This Row],[Name]],AuswertungG[],21,FALSE))</f>
        <v>#VALUE!</v>
      </c>
      <c r="AO729" s="35" t="str">
        <f>VLOOKUP(Eingabe[[#This Row],[ID]],Chronologie[[ID]:[KW]],12,FALSE)</f>
        <v/>
      </c>
      <c r="AP729" s="58">
        <f>IF(Eingabe[[#This Row],[Wo]]="H",Eingabe[[#This Row],[Gegner]]&amp;" ["&amp;Eingabe[[#This Row],[Wo]]&amp;"]",Eingabe[[#This Row],[Ort]])</f>
        <v>0</v>
      </c>
      <c r="AQ729" s="35" t="str">
        <f>IFERROR(IF(Eingabe[[#This Row],[Wo]]="H",IF(MOD(Eingabe[[#This Row],[Position]],2)=1,Eingabe[[#This Row],[S1]],Eingabe[[#This Row],[S4]]),""),"")</f>
        <v/>
      </c>
      <c r="AR729" s="35" t="str">
        <f>IFERROR(IF(Eingabe[[#This Row],[Wo]]="H",IF(Eingabe[[#This Row],[S1]]&gt;0,IF(MOD(Eingabe[[#This Row],[Position]],2)=1,Eingabe[[#This Row],[S2]],Eingabe[[#This Row],[S3]]),""),""),"")</f>
        <v/>
      </c>
      <c r="AS729" s="35" t="str">
        <f>IFERROR(IF(Eingabe[[#This Row],[Wo]]="H",IF(Eingabe[[#This Row],[S1]]&gt;0,IF(MOD(ROW(Eingabe[[#This Row],[Heimbahn 3]]),2)=1,Eingabe[[#This Row],[S4]],Eingabe[[#This Row],[S1]]),""),""),"")</f>
        <v/>
      </c>
      <c r="AT729" s="35" t="str">
        <f>IFERROR(IF(Eingabe[[#This Row],[Wo]]="H",IF(Eingabe[[#This Row],[S1]]&gt;0,IF(MOD(ROW(Eingabe[[#This Row],[Heimbahn 4]]),2)=1,Eingabe[[#This Row],[S3]],Eingabe[[#This Row],[S2]]),""),""),"")</f>
        <v/>
      </c>
      <c r="AU729" s="88" t="str">
        <f>IF(Eingabe[[#This Row],[GES]]="","",IF(Eingabe[[#This Row],[Modus]]="L",_xlfn.RANK.EQ(Eingabe[[#This Row],[GES]],AF729:AF734),IF(Eingabe[[#This Row],[Modus]]="P",_xlfn.RANK.EQ(Eingabe[[#This Row],[GES]],AF729:AF734),"")))</f>
        <v/>
      </c>
      <c r="AV729" s="6" t="e">
        <f>VLOOKUP(Eingabe[[#This Row],[Name]],AuswertungG[],8,FALSE)</f>
        <v>#N/A</v>
      </c>
      <c r="AZ729" s="6" t="str">
        <f>IFERROR(ABS(Eingabe[[#This Row],[GES]]-Eingabe[[#This Row],[GEGGES]]),"")</f>
        <v/>
      </c>
    </row>
    <row r="730" spans="1:52" hidden="1" x14ac:dyDescent="0.3">
      <c r="A730" s="441"/>
      <c r="B730" s="21">
        <f t="shared" si="75"/>
        <v>122</v>
      </c>
      <c r="C730" s="6">
        <f>VLOOKUP($B730,Chronologie[],7,TRUE)</f>
        <v>0</v>
      </c>
      <c r="D730" s="6">
        <f>VLOOKUP($B730,Chronologie[],8,TRUE)</f>
        <v>0</v>
      </c>
      <c r="E730" s="240">
        <f>VLOOKUP($B730,Chronologie[],9,TRUE)</f>
        <v>0</v>
      </c>
      <c r="F730" s="6">
        <f>VLOOKUP($B730,Chronologie[],COLUMN(F731)-2,TRUE)</f>
        <v>0</v>
      </c>
      <c r="G730" s="6">
        <f>VLOOKUP($B730,Chronologie[],COLUMN(G731)-2,TRUE)</f>
        <v>0</v>
      </c>
      <c r="H730" s="6">
        <f>VLOOKUP($B730,Chronologie[],COLUMN(H731)-2,TRUE)</f>
        <v>0</v>
      </c>
      <c r="I730" s="10" t="str">
        <f>VLOOKUP($B730,Chronologie[],2,TRUE)</f>
        <v>--</v>
      </c>
      <c r="J730" s="243">
        <f>VLOOKUP($B730,Chronologie[],3,TRUE)</f>
        <v>0</v>
      </c>
      <c r="K730" s="237"/>
      <c r="L730" s="237"/>
      <c r="M730" s="237"/>
      <c r="N730" s="237"/>
      <c r="O730" s="237"/>
      <c r="P730" s="237"/>
      <c r="Q730" s="237"/>
      <c r="R730" s="237"/>
      <c r="S730" s="237"/>
      <c r="T730" s="237"/>
      <c r="U730" s="237"/>
      <c r="V730" s="237"/>
      <c r="W730" s="237"/>
      <c r="X730" s="38"/>
      <c r="Y730" s="38"/>
      <c r="Z730" s="38"/>
      <c r="AA730" s="38"/>
      <c r="AB730" s="91"/>
      <c r="AC730" s="94" t="str">
        <f>IF(Eingabe[[#This Row],[V1]]="",IF(Eingabe[[#This Row],[Volle alternativ]]="","",Eingabe[[#This Row],[Volle alternativ]]),SUM(Eingabe[[#This Row],[V1]:[V4]]))</f>
        <v/>
      </c>
      <c r="AD730" s="6" t="str">
        <f>IF(Eingabe[[#This Row],[R1]]="",IF(Eingabe[[#This Row],[Räumer alternativ]]="","",Eingabe[[#This Row],[Räumer alternativ]]),SUM(Eingabe[[#This Row],[R1]:[R4]]))</f>
        <v/>
      </c>
      <c r="AE730" s="6" t="str">
        <f>IF(Eingabe[[#This Row],[F1]]="",IF(Eingabe[[#This Row],[Fehler alternativ]]="","",Eingabe[[#This Row],[Fehler alternativ]]),SUM(Eingabe[[#This Row],[F1]:[F4]]))</f>
        <v/>
      </c>
      <c r="AF730" s="6" t="str">
        <f>IF(Eingabe[[#This Row],[Volle]]="","",IF(Eingabe[[#This Row],[S1]]="",Eingabe[[#This Row],[Volle]]+Eingabe[[#This Row],[Räumer]],IF(Eingabe[[#This Row],[Volle]]+Eingabe[[#This Row],[Räumer]]=Eingabe[[#This Row],[S1]]+Eingabe[[#This Row],[S2]]+Eingabe[[#This Row],[S3]]+Eingabe[[#This Row],[S4]],Eingabe[[#This Row],[Volle]]+Eingabe[[#This Row],[Räumer]],"FEHLER")))</f>
        <v/>
      </c>
      <c r="AG730" s="6" t="str">
        <f>IF(Eingabe[[#This Row],[V1]]="","",Eingabe[[#This Row],[V1]]+Eingabe[[#This Row],[R1]])</f>
        <v/>
      </c>
      <c r="AH730" s="6" t="str">
        <f>IF(Eingabe[[#This Row],[V2]]="","",Eingabe[[#This Row],[V2]]+Eingabe[[#This Row],[R2]])</f>
        <v/>
      </c>
      <c r="AI730" s="6" t="str">
        <f>IF(Eingabe[[#This Row],[V3]]="","",Eingabe[[#This Row],[V3]]+Eingabe[[#This Row],[R3]])</f>
        <v/>
      </c>
      <c r="AJ730" s="6" t="str">
        <f>IF(Eingabe[[#This Row],[V4]]="","",Eingabe[[#This Row],[V4]]+Eingabe[[#This Row],[R4]])</f>
        <v/>
      </c>
      <c r="AK730" s="6" t="str">
        <f>IF(Eingabe[[#This Row],[S1P]]="","",Eingabe[[#This Row],[S1P]]+Eingabe[[#This Row],[S2P]]+Eingabe[[#This Row],[S3P]]+Eingabe[[#This Row],[S4P]])</f>
        <v/>
      </c>
      <c r="AL730" s="6" t="str">
        <f>IF(Eingabe[[#This Row],[S1P]]="","",IF(Eingabe[[#This Row],[SP]]&gt;2,1,IF(Eingabe[[#This Row],[SP]]&lt;2,0,IF(Eingabe[[#This Row],[GES]]&gt;Eingabe[[#This Row],[GEGGES]],1,IF(Eingabe[[#This Row],[GES]]=Eingabe[[#This Row],[GEGGES]],0.5,0)))))</f>
        <v/>
      </c>
      <c r="AM730" s="6" t="str">
        <f>IF(Eingabe[[#This Row],[MP]]="","",MOD(ROW(Eingabe[[#This Row],[Position]])-3,6)+1)</f>
        <v/>
      </c>
      <c r="AN730" s="6" t="e">
        <f>STANDARDIZE(Eingabe[[#This Row],[GES]],Eingabe[[#This Row],[Schnitt]],VLOOKUP(Eingabe[[#This Row],[Name]],AuswertungG[],21,FALSE))</f>
        <v>#VALUE!</v>
      </c>
      <c r="AO730" s="6" t="str">
        <f>VLOOKUP(Eingabe[[#This Row],[ID]],Chronologie[[ID]:[KW]],12,FALSE)</f>
        <v/>
      </c>
      <c r="AP730" s="95">
        <f>IF(Eingabe[[#This Row],[Wo]]="H",Eingabe[[#This Row],[Gegner]]&amp;" ["&amp;Eingabe[[#This Row],[Wo]]&amp;"]",Eingabe[[#This Row],[Ort]])</f>
        <v>0</v>
      </c>
      <c r="AQ730" s="6" t="str">
        <f>IFERROR(IF(Eingabe[[#This Row],[Wo]]="H",IF(MOD(Eingabe[[#This Row],[Position]],2)=1,Eingabe[[#This Row],[S1]],Eingabe[[#This Row],[S4]]),""),"")</f>
        <v/>
      </c>
      <c r="AR730" s="6" t="str">
        <f>IFERROR(IF(Eingabe[[#This Row],[Wo]]="H",IF(Eingabe[[#This Row],[S1]]&gt;0,IF(MOD(Eingabe[[#This Row],[Position]],2)=1,Eingabe[[#This Row],[S2]],Eingabe[[#This Row],[S3]]),""),""),"")</f>
        <v/>
      </c>
      <c r="AS730" s="6" t="str">
        <f>IFERROR(IF(Eingabe[[#This Row],[Wo]]="H",IF(Eingabe[[#This Row],[S1]]&gt;0,IF(MOD(ROW(Eingabe[[#This Row],[Heimbahn 3]]),2)=1,Eingabe[[#This Row],[S4]],Eingabe[[#This Row],[S1]]),""),""),"")</f>
        <v/>
      </c>
      <c r="AT730" s="6" t="str">
        <f>IFERROR(IF(Eingabe[[#This Row],[Wo]]="H",IF(Eingabe[[#This Row],[S1]]&gt;0,IF(MOD(ROW(Eingabe[[#This Row],[Heimbahn 4]]),2)=1,Eingabe[[#This Row],[S3]],Eingabe[[#This Row],[S2]]),""),""),"")</f>
        <v/>
      </c>
      <c r="AU730" s="22" t="str">
        <f>IF(Eingabe[[#This Row],[GES]]="","",IF(Eingabe[[#This Row],[Modus]]="L",_xlfn.RANK.EQ(Eingabe[[#This Row],[GES]],AF729:AF734),IF(Eingabe[[#This Row],[Modus]]="P",_xlfn.RANK.EQ(Eingabe[[#This Row],[GES]],AF729:AF734),"")))</f>
        <v/>
      </c>
      <c r="AV730" s="6" t="e">
        <f>VLOOKUP(Eingabe[[#This Row],[Name]],AuswertungG[],8,FALSE)</f>
        <v>#N/A</v>
      </c>
      <c r="AZ730" s="6" t="str">
        <f>IFERROR(ABS(Eingabe[[#This Row],[GES]]-Eingabe[[#This Row],[GEGGES]]),"")</f>
        <v/>
      </c>
    </row>
    <row r="731" spans="1:52" hidden="1" x14ac:dyDescent="0.3">
      <c r="A731" s="441"/>
      <c r="B731" s="21">
        <f t="shared" ref="B731:B762" si="81">ROUNDUP((ROW(B731)-2)/6,0)</f>
        <v>122</v>
      </c>
      <c r="C731" s="6">
        <f>VLOOKUP($B731,Chronologie[],7,TRUE)</f>
        <v>0</v>
      </c>
      <c r="D731" s="6">
        <f>VLOOKUP($B731,Chronologie[],8,TRUE)</f>
        <v>0</v>
      </c>
      <c r="E731" s="240">
        <f>VLOOKUP($B731,Chronologie[],9,TRUE)</f>
        <v>0</v>
      </c>
      <c r="F731" s="6">
        <f>VLOOKUP($B731,Chronologie[],COLUMN(F732)-2,TRUE)</f>
        <v>0</v>
      </c>
      <c r="G731" s="6">
        <f>VLOOKUP($B731,Chronologie[],COLUMN(G732)-2,TRUE)</f>
        <v>0</v>
      </c>
      <c r="H731" s="6">
        <f>VLOOKUP($B731,Chronologie[],COLUMN(H732)-2,TRUE)</f>
        <v>0</v>
      </c>
      <c r="I731" s="10" t="str">
        <f>VLOOKUP($B731,Chronologie[],2,TRUE)</f>
        <v>--</v>
      </c>
      <c r="J731" s="243">
        <f>VLOOKUP($B731,Chronologie[],3,TRUE)</f>
        <v>0</v>
      </c>
      <c r="K731" s="237"/>
      <c r="L731" s="237"/>
      <c r="M731" s="237"/>
      <c r="N731" s="237"/>
      <c r="O731" s="237"/>
      <c r="P731" s="237"/>
      <c r="Q731" s="237"/>
      <c r="R731" s="237"/>
      <c r="S731" s="237"/>
      <c r="T731" s="237"/>
      <c r="U731" s="237"/>
      <c r="V731" s="237"/>
      <c r="W731" s="237"/>
      <c r="X731" s="38"/>
      <c r="Y731" s="38"/>
      <c r="Z731" s="38"/>
      <c r="AA731" s="38"/>
      <c r="AB731" s="91"/>
      <c r="AC731" s="94" t="str">
        <f>IF(Eingabe[[#This Row],[V1]]="",IF(Eingabe[[#This Row],[Volle alternativ]]="","",Eingabe[[#This Row],[Volle alternativ]]),SUM(Eingabe[[#This Row],[V1]:[V4]]))</f>
        <v/>
      </c>
      <c r="AD731" s="6" t="str">
        <f>IF(Eingabe[[#This Row],[R1]]="",IF(Eingabe[[#This Row],[Räumer alternativ]]="","",Eingabe[[#This Row],[Räumer alternativ]]),SUM(Eingabe[[#This Row],[R1]:[R4]]))</f>
        <v/>
      </c>
      <c r="AE731" s="6" t="str">
        <f>IF(Eingabe[[#This Row],[F1]]="",IF(Eingabe[[#This Row],[Fehler alternativ]]="","",Eingabe[[#This Row],[Fehler alternativ]]),SUM(Eingabe[[#This Row],[F1]:[F4]]))</f>
        <v/>
      </c>
      <c r="AF731" s="6" t="str">
        <f>IF(Eingabe[[#This Row],[Volle]]="","",IF(Eingabe[[#This Row],[S1]]="",Eingabe[[#This Row],[Volle]]+Eingabe[[#This Row],[Räumer]],IF(Eingabe[[#This Row],[Volle]]+Eingabe[[#This Row],[Räumer]]=Eingabe[[#This Row],[S1]]+Eingabe[[#This Row],[S2]]+Eingabe[[#This Row],[S3]]+Eingabe[[#This Row],[S4]],Eingabe[[#This Row],[Volle]]+Eingabe[[#This Row],[Räumer]],"FEHLER")))</f>
        <v/>
      </c>
      <c r="AG731" s="6" t="str">
        <f>IF(Eingabe[[#This Row],[V1]]="","",Eingabe[[#This Row],[V1]]+Eingabe[[#This Row],[R1]])</f>
        <v/>
      </c>
      <c r="AH731" s="6" t="str">
        <f>IF(Eingabe[[#This Row],[V2]]="","",Eingabe[[#This Row],[V2]]+Eingabe[[#This Row],[R2]])</f>
        <v/>
      </c>
      <c r="AI731" s="6" t="str">
        <f>IF(Eingabe[[#This Row],[V3]]="","",Eingabe[[#This Row],[V3]]+Eingabe[[#This Row],[R3]])</f>
        <v/>
      </c>
      <c r="AJ731" s="6" t="str">
        <f>IF(Eingabe[[#This Row],[V4]]="","",Eingabe[[#This Row],[V4]]+Eingabe[[#This Row],[R4]])</f>
        <v/>
      </c>
      <c r="AK731" s="6" t="str">
        <f>IF(Eingabe[[#This Row],[S1P]]="","",Eingabe[[#This Row],[S1P]]+Eingabe[[#This Row],[S2P]]+Eingabe[[#This Row],[S3P]]+Eingabe[[#This Row],[S4P]])</f>
        <v/>
      </c>
      <c r="AL731" s="6" t="str">
        <f>IF(Eingabe[[#This Row],[S1P]]="","",IF(Eingabe[[#This Row],[SP]]&gt;2,1,IF(Eingabe[[#This Row],[SP]]&lt;2,0,IF(Eingabe[[#This Row],[GES]]&gt;Eingabe[[#This Row],[GEGGES]],1,IF(Eingabe[[#This Row],[GES]]=Eingabe[[#This Row],[GEGGES]],0.5,0)))))</f>
        <v/>
      </c>
      <c r="AM731" s="6" t="str">
        <f>IF(Eingabe[[#This Row],[MP]]="","",MOD(ROW(Eingabe[[#This Row],[Position]])-3,6)+1)</f>
        <v/>
      </c>
      <c r="AN731" s="6" t="e">
        <f>STANDARDIZE(Eingabe[[#This Row],[GES]],Eingabe[[#This Row],[Schnitt]],VLOOKUP(Eingabe[[#This Row],[Name]],AuswertungG[],21,FALSE))</f>
        <v>#VALUE!</v>
      </c>
      <c r="AO731" s="6" t="str">
        <f>VLOOKUP(Eingabe[[#This Row],[ID]],Chronologie[[ID]:[KW]],12,FALSE)</f>
        <v/>
      </c>
      <c r="AP731" s="95">
        <f>IF(Eingabe[[#This Row],[Wo]]="H",Eingabe[[#This Row],[Gegner]]&amp;" ["&amp;Eingabe[[#This Row],[Wo]]&amp;"]",Eingabe[[#This Row],[Ort]])</f>
        <v>0</v>
      </c>
      <c r="AQ731" s="6" t="str">
        <f>IFERROR(IF(Eingabe[[#This Row],[Wo]]="H",IF(MOD(Eingabe[[#This Row],[Position]],2)=1,Eingabe[[#This Row],[S1]],Eingabe[[#This Row],[S4]]),""),"")</f>
        <v/>
      </c>
      <c r="AR731" s="6" t="str">
        <f>IFERROR(IF(Eingabe[[#This Row],[Wo]]="H",IF(Eingabe[[#This Row],[S1]]&gt;0,IF(MOD(Eingabe[[#This Row],[Position]],2)=1,Eingabe[[#This Row],[S2]],Eingabe[[#This Row],[S3]]),""),""),"")</f>
        <v/>
      </c>
      <c r="AS731" s="6" t="str">
        <f>IFERROR(IF(Eingabe[[#This Row],[Wo]]="H",IF(Eingabe[[#This Row],[S1]]&gt;0,IF(MOD(ROW(Eingabe[[#This Row],[Heimbahn 3]]),2)=1,Eingabe[[#This Row],[S4]],Eingabe[[#This Row],[S1]]),""),""),"")</f>
        <v/>
      </c>
      <c r="AT731" s="6" t="str">
        <f>IFERROR(IF(Eingabe[[#This Row],[Wo]]="H",IF(Eingabe[[#This Row],[S1]]&gt;0,IF(MOD(ROW(Eingabe[[#This Row],[Heimbahn 4]]),2)=1,Eingabe[[#This Row],[S3]],Eingabe[[#This Row],[S2]]),""),""),"")</f>
        <v/>
      </c>
      <c r="AU731" s="22" t="str">
        <f>IF(Eingabe[[#This Row],[GES]]="","",IF(Eingabe[[#This Row],[Modus]]="L",_xlfn.RANK.EQ(Eingabe[[#This Row],[GES]],AF729:AF734),IF(Eingabe[[#This Row],[Modus]]="P",_xlfn.RANK.EQ(Eingabe[[#This Row],[GES]],AF729:AF734),"")))</f>
        <v/>
      </c>
      <c r="AV731" s="6" t="e">
        <f>VLOOKUP(Eingabe[[#This Row],[Name]],AuswertungG[],8,FALSE)</f>
        <v>#N/A</v>
      </c>
      <c r="AZ731" s="6" t="str">
        <f>IFERROR(ABS(Eingabe[[#This Row],[GES]]-Eingabe[[#This Row],[GEGGES]]),"")</f>
        <v/>
      </c>
    </row>
    <row r="732" spans="1:52" hidden="1" x14ac:dyDescent="0.3">
      <c r="A732" s="441"/>
      <c r="B732" s="21">
        <f t="shared" si="81"/>
        <v>122</v>
      </c>
      <c r="C732" s="6">
        <f>VLOOKUP($B732,Chronologie[],7,TRUE)</f>
        <v>0</v>
      </c>
      <c r="D732" s="6">
        <f>VLOOKUP($B732,Chronologie[],8,TRUE)</f>
        <v>0</v>
      </c>
      <c r="E732" s="240">
        <f>VLOOKUP($B732,Chronologie[],9,TRUE)</f>
        <v>0</v>
      </c>
      <c r="F732" s="6">
        <f>VLOOKUP($B732,Chronologie[],COLUMN(F733)-2,TRUE)</f>
        <v>0</v>
      </c>
      <c r="G732" s="6">
        <f>VLOOKUP($B732,Chronologie[],COLUMN(G733)-2,TRUE)</f>
        <v>0</v>
      </c>
      <c r="H732" s="6">
        <f>VLOOKUP($B732,Chronologie[],COLUMN(H733)-2,TRUE)</f>
        <v>0</v>
      </c>
      <c r="I732" s="10" t="str">
        <f>VLOOKUP($B732,Chronologie[],2,TRUE)</f>
        <v>--</v>
      </c>
      <c r="J732" s="243">
        <f>VLOOKUP($B732,Chronologie[],3,TRUE)</f>
        <v>0</v>
      </c>
      <c r="K732" s="238"/>
      <c r="L732" s="237"/>
      <c r="M732" s="237"/>
      <c r="N732" s="237"/>
      <c r="O732" s="237"/>
      <c r="P732" s="237"/>
      <c r="Q732" s="237"/>
      <c r="R732" s="237"/>
      <c r="S732" s="237"/>
      <c r="T732" s="237"/>
      <c r="U732" s="237"/>
      <c r="V732" s="237"/>
      <c r="W732" s="237"/>
      <c r="X732" s="38"/>
      <c r="Y732" s="38"/>
      <c r="Z732" s="38"/>
      <c r="AA732" s="38"/>
      <c r="AB732" s="91"/>
      <c r="AC732" s="94" t="str">
        <f>IF(Eingabe[[#This Row],[V1]]="",IF(Eingabe[[#This Row],[Volle alternativ]]="","",Eingabe[[#This Row],[Volle alternativ]]),SUM(Eingabe[[#This Row],[V1]:[V4]]))</f>
        <v/>
      </c>
      <c r="AD732" s="6" t="str">
        <f>IF(Eingabe[[#This Row],[R1]]="",IF(Eingabe[[#This Row],[Räumer alternativ]]="","",Eingabe[[#This Row],[Räumer alternativ]]),SUM(Eingabe[[#This Row],[R1]:[R4]]))</f>
        <v/>
      </c>
      <c r="AE732" s="6" t="str">
        <f>IF(Eingabe[[#This Row],[F1]]="",IF(Eingabe[[#This Row],[Fehler alternativ]]="","",Eingabe[[#This Row],[Fehler alternativ]]),SUM(Eingabe[[#This Row],[F1]:[F4]]))</f>
        <v/>
      </c>
      <c r="AF732" s="6" t="str">
        <f>IF(Eingabe[[#This Row],[Volle]]="","",IF(Eingabe[[#This Row],[S1]]="",Eingabe[[#This Row],[Volle]]+Eingabe[[#This Row],[Räumer]],IF(Eingabe[[#This Row],[Volle]]+Eingabe[[#This Row],[Räumer]]=Eingabe[[#This Row],[S1]]+Eingabe[[#This Row],[S2]]+Eingabe[[#This Row],[S3]]+Eingabe[[#This Row],[S4]],Eingabe[[#This Row],[Volle]]+Eingabe[[#This Row],[Räumer]],"FEHLER")))</f>
        <v/>
      </c>
      <c r="AG732" s="6" t="str">
        <f>IF(Eingabe[[#This Row],[V1]]="","",Eingabe[[#This Row],[V1]]+Eingabe[[#This Row],[R1]])</f>
        <v/>
      </c>
      <c r="AH732" s="6" t="str">
        <f>IF(Eingabe[[#This Row],[V2]]="","",Eingabe[[#This Row],[V2]]+Eingabe[[#This Row],[R2]])</f>
        <v/>
      </c>
      <c r="AI732" s="6" t="str">
        <f>IF(Eingabe[[#This Row],[V3]]="","",Eingabe[[#This Row],[V3]]+Eingabe[[#This Row],[R3]])</f>
        <v/>
      </c>
      <c r="AJ732" s="6" t="str">
        <f>IF(Eingabe[[#This Row],[V4]]="","",Eingabe[[#This Row],[V4]]+Eingabe[[#This Row],[R4]])</f>
        <v/>
      </c>
      <c r="AK732" s="6" t="str">
        <f>IF(Eingabe[[#This Row],[S1P]]="","",Eingabe[[#This Row],[S1P]]+Eingabe[[#This Row],[S2P]]+Eingabe[[#This Row],[S3P]]+Eingabe[[#This Row],[S4P]])</f>
        <v/>
      </c>
      <c r="AL732" s="6" t="str">
        <f>IF(Eingabe[[#This Row],[S1P]]="","",IF(Eingabe[[#This Row],[SP]]&gt;2,1,IF(Eingabe[[#This Row],[SP]]&lt;2,0,IF(Eingabe[[#This Row],[GES]]&gt;Eingabe[[#This Row],[GEGGES]],1,IF(Eingabe[[#This Row],[GES]]=Eingabe[[#This Row],[GEGGES]],0.5,0)))))</f>
        <v/>
      </c>
      <c r="AM732" s="6" t="str">
        <f>IF(Eingabe[[#This Row],[MP]]="","",MOD(ROW(Eingabe[[#This Row],[Position]])-3,6)+1)</f>
        <v/>
      </c>
      <c r="AN732" s="6" t="e">
        <f>STANDARDIZE(Eingabe[[#This Row],[GES]],Eingabe[[#This Row],[Schnitt]],VLOOKUP(Eingabe[[#This Row],[Name]],AuswertungG[],21,FALSE))</f>
        <v>#VALUE!</v>
      </c>
      <c r="AO732" s="6" t="str">
        <f>VLOOKUP(Eingabe[[#This Row],[ID]],Chronologie[[ID]:[KW]],12,FALSE)</f>
        <v/>
      </c>
      <c r="AP732" s="95">
        <f>IF(Eingabe[[#This Row],[Wo]]="H",Eingabe[[#This Row],[Gegner]]&amp;" ["&amp;Eingabe[[#This Row],[Wo]]&amp;"]",Eingabe[[#This Row],[Ort]])</f>
        <v>0</v>
      </c>
      <c r="AQ732" s="6" t="str">
        <f>IFERROR(IF(Eingabe[[#This Row],[Wo]]="H",IF(MOD(Eingabe[[#This Row],[Position]],2)=1,Eingabe[[#This Row],[S1]],Eingabe[[#This Row],[S4]]),""),"")</f>
        <v/>
      </c>
      <c r="AR732" s="6" t="str">
        <f>IFERROR(IF(Eingabe[[#This Row],[Wo]]="H",IF(Eingabe[[#This Row],[S1]]&gt;0,IF(MOD(Eingabe[[#This Row],[Position]],2)=1,Eingabe[[#This Row],[S2]],Eingabe[[#This Row],[S3]]),""),""),"")</f>
        <v/>
      </c>
      <c r="AS732" s="6" t="str">
        <f>IFERROR(IF(Eingabe[[#This Row],[Wo]]="H",IF(Eingabe[[#This Row],[S1]]&gt;0,IF(MOD(ROW(Eingabe[[#This Row],[Heimbahn 3]]),2)=1,Eingabe[[#This Row],[S4]],Eingabe[[#This Row],[S1]]),""),""),"")</f>
        <v/>
      </c>
      <c r="AT732" s="6" t="str">
        <f>IFERROR(IF(Eingabe[[#This Row],[Wo]]="H",IF(Eingabe[[#This Row],[S1]]&gt;0,IF(MOD(ROW(Eingabe[[#This Row],[Heimbahn 4]]),2)=1,Eingabe[[#This Row],[S3]],Eingabe[[#This Row],[S2]]),""),""),"")</f>
        <v/>
      </c>
      <c r="AU732" s="22" t="str">
        <f>IF(Eingabe[[#This Row],[GES]]="","",IF(Eingabe[[#This Row],[Modus]]="L",_xlfn.RANK.EQ(Eingabe[[#This Row],[GES]],AF729:AF734),IF(Eingabe[[#This Row],[Modus]]="P",_xlfn.RANK.EQ(Eingabe[[#This Row],[GES]],AF729:AF734),"")))</f>
        <v/>
      </c>
      <c r="AV732" s="6" t="e">
        <f>VLOOKUP(Eingabe[[#This Row],[Name]],AuswertungG[],8,FALSE)</f>
        <v>#N/A</v>
      </c>
      <c r="AZ732" s="6" t="str">
        <f>IFERROR(ABS(Eingabe[[#This Row],[GES]]-Eingabe[[#This Row],[GEGGES]]),"")</f>
        <v/>
      </c>
    </row>
    <row r="733" spans="1:52" hidden="1" x14ac:dyDescent="0.3">
      <c r="A733" s="441"/>
      <c r="B733" s="21">
        <f t="shared" si="81"/>
        <v>122</v>
      </c>
      <c r="C733" s="6">
        <f>VLOOKUP($B733,Chronologie[],7,TRUE)</f>
        <v>0</v>
      </c>
      <c r="D733" s="6">
        <f>VLOOKUP($B733,Chronologie[],8,TRUE)</f>
        <v>0</v>
      </c>
      <c r="E733" s="240">
        <f>VLOOKUP($B733,Chronologie[],9,TRUE)</f>
        <v>0</v>
      </c>
      <c r="F733" s="6">
        <f>VLOOKUP($B733,Chronologie[],COLUMN(F734)-2,TRUE)</f>
        <v>0</v>
      </c>
      <c r="G733" s="6">
        <f>VLOOKUP($B733,Chronologie[],COLUMN(G734)-2,TRUE)</f>
        <v>0</v>
      </c>
      <c r="H733" s="6">
        <f>VLOOKUP($B733,Chronologie[],COLUMN(H734)-2,TRUE)</f>
        <v>0</v>
      </c>
      <c r="I733" s="10" t="str">
        <f>VLOOKUP($B733,Chronologie[],2,TRUE)</f>
        <v>--</v>
      </c>
      <c r="J733" s="243">
        <f>VLOOKUP($B733,Chronologie[],3,TRUE)</f>
        <v>0</v>
      </c>
      <c r="K733" s="237"/>
      <c r="L733" s="237"/>
      <c r="M733" s="237"/>
      <c r="N733" s="237"/>
      <c r="O733" s="237"/>
      <c r="P733" s="237"/>
      <c r="Q733" s="237"/>
      <c r="R733" s="237"/>
      <c r="S733" s="237"/>
      <c r="T733" s="237"/>
      <c r="U733" s="237"/>
      <c r="V733" s="237"/>
      <c r="W733" s="237"/>
      <c r="X733" s="38"/>
      <c r="Y733" s="38"/>
      <c r="Z733" s="38"/>
      <c r="AA733" s="38"/>
      <c r="AB733" s="91"/>
      <c r="AC733" s="94" t="str">
        <f>IF(Eingabe[[#This Row],[V1]]="",IF(Eingabe[[#This Row],[Volle alternativ]]="","",Eingabe[[#This Row],[Volle alternativ]]),SUM(Eingabe[[#This Row],[V1]:[V4]]))</f>
        <v/>
      </c>
      <c r="AD733" s="6" t="str">
        <f>IF(Eingabe[[#This Row],[R1]]="",IF(Eingabe[[#This Row],[Räumer alternativ]]="","",Eingabe[[#This Row],[Räumer alternativ]]),SUM(Eingabe[[#This Row],[R1]:[R4]]))</f>
        <v/>
      </c>
      <c r="AE733" s="6" t="str">
        <f>IF(Eingabe[[#This Row],[F1]]="",IF(Eingabe[[#This Row],[Fehler alternativ]]="","",Eingabe[[#This Row],[Fehler alternativ]]),SUM(Eingabe[[#This Row],[F1]:[F4]]))</f>
        <v/>
      </c>
      <c r="AF733" s="6" t="str">
        <f>IF(Eingabe[[#This Row],[Volle]]="","",IF(Eingabe[[#This Row],[S1]]="",Eingabe[[#This Row],[Volle]]+Eingabe[[#This Row],[Räumer]],IF(Eingabe[[#This Row],[Volle]]+Eingabe[[#This Row],[Räumer]]=Eingabe[[#This Row],[S1]]+Eingabe[[#This Row],[S2]]+Eingabe[[#This Row],[S3]]+Eingabe[[#This Row],[S4]],Eingabe[[#This Row],[Volle]]+Eingabe[[#This Row],[Räumer]],"FEHLER")))</f>
        <v/>
      </c>
      <c r="AG733" s="6" t="str">
        <f>IF(Eingabe[[#This Row],[V1]]="","",Eingabe[[#This Row],[V1]]+Eingabe[[#This Row],[R1]])</f>
        <v/>
      </c>
      <c r="AH733" s="6" t="str">
        <f>IF(Eingabe[[#This Row],[V2]]="","",Eingabe[[#This Row],[V2]]+Eingabe[[#This Row],[R2]])</f>
        <v/>
      </c>
      <c r="AI733" s="6" t="str">
        <f>IF(Eingabe[[#This Row],[V3]]="","",Eingabe[[#This Row],[V3]]+Eingabe[[#This Row],[R3]])</f>
        <v/>
      </c>
      <c r="AJ733" s="6" t="str">
        <f>IF(Eingabe[[#This Row],[V4]]="","",Eingabe[[#This Row],[V4]]+Eingabe[[#This Row],[R4]])</f>
        <v/>
      </c>
      <c r="AK733" s="6" t="str">
        <f>IF(Eingabe[[#This Row],[S1P]]="","",Eingabe[[#This Row],[S1P]]+Eingabe[[#This Row],[S2P]]+Eingabe[[#This Row],[S3P]]+Eingabe[[#This Row],[S4P]])</f>
        <v/>
      </c>
      <c r="AL733" s="6" t="str">
        <f>IF(Eingabe[[#This Row],[S1P]]="","",IF(Eingabe[[#This Row],[SP]]&gt;2,1,IF(Eingabe[[#This Row],[SP]]&lt;2,0,IF(Eingabe[[#This Row],[GES]]&gt;Eingabe[[#This Row],[GEGGES]],1,IF(Eingabe[[#This Row],[GES]]=Eingabe[[#This Row],[GEGGES]],0.5,0)))))</f>
        <v/>
      </c>
      <c r="AM733" s="6" t="str">
        <f>IF(Eingabe[[#This Row],[MP]]="","",MOD(ROW(Eingabe[[#This Row],[Position]])-3,6)+1)</f>
        <v/>
      </c>
      <c r="AN733" s="6" t="e">
        <f>STANDARDIZE(Eingabe[[#This Row],[GES]],Eingabe[[#This Row],[Schnitt]],VLOOKUP(Eingabe[[#This Row],[Name]],AuswertungG[],21,FALSE))</f>
        <v>#VALUE!</v>
      </c>
      <c r="AO733" s="6" t="str">
        <f>VLOOKUP(Eingabe[[#This Row],[ID]],Chronologie[[ID]:[KW]],12,FALSE)</f>
        <v/>
      </c>
      <c r="AP733" s="95">
        <f>IF(Eingabe[[#This Row],[Wo]]="H",Eingabe[[#This Row],[Gegner]]&amp;" ["&amp;Eingabe[[#This Row],[Wo]]&amp;"]",Eingabe[[#This Row],[Ort]])</f>
        <v>0</v>
      </c>
      <c r="AQ733" s="6" t="str">
        <f>IFERROR(IF(Eingabe[[#This Row],[Wo]]="H",IF(MOD(Eingabe[[#This Row],[Position]],2)=1,Eingabe[[#This Row],[S1]],Eingabe[[#This Row],[S4]]),""),"")</f>
        <v/>
      </c>
      <c r="AR733" s="6" t="str">
        <f>IFERROR(IF(Eingabe[[#This Row],[Wo]]="H",IF(Eingabe[[#This Row],[S1]]&gt;0,IF(MOD(Eingabe[[#This Row],[Position]],2)=1,Eingabe[[#This Row],[S2]],Eingabe[[#This Row],[S3]]),""),""),"")</f>
        <v/>
      </c>
      <c r="AS733" s="6" t="str">
        <f>IFERROR(IF(Eingabe[[#This Row],[Wo]]="H",IF(Eingabe[[#This Row],[S1]]&gt;0,IF(MOD(ROW(Eingabe[[#This Row],[Heimbahn 3]]),2)=1,Eingabe[[#This Row],[S4]],Eingabe[[#This Row],[S1]]),""),""),"")</f>
        <v/>
      </c>
      <c r="AT733" s="6" t="str">
        <f>IFERROR(IF(Eingabe[[#This Row],[Wo]]="H",IF(Eingabe[[#This Row],[S1]]&gt;0,IF(MOD(ROW(Eingabe[[#This Row],[Heimbahn 4]]),2)=1,Eingabe[[#This Row],[S3]],Eingabe[[#This Row],[S2]]),""),""),"")</f>
        <v/>
      </c>
      <c r="AU733" s="22" t="str">
        <f>IF(Eingabe[[#This Row],[GES]]="","",IF(Eingabe[[#This Row],[Modus]]="L",_xlfn.RANK.EQ(Eingabe[[#This Row],[GES]],AF729:AF734),IF(Eingabe[[#This Row],[Modus]]="P",_xlfn.RANK.EQ(Eingabe[[#This Row],[GES]],AF729:AF734),"")))</f>
        <v/>
      </c>
      <c r="AV733" s="6" t="e">
        <f>VLOOKUP(Eingabe[[#This Row],[Name]],AuswertungG[],8,FALSE)</f>
        <v>#N/A</v>
      </c>
      <c r="AZ733" s="6" t="str">
        <f>IFERROR(ABS(Eingabe[[#This Row],[GES]]-Eingabe[[#This Row],[GEGGES]]),"")</f>
        <v/>
      </c>
    </row>
    <row r="734" spans="1:52" ht="16.2" hidden="1" thickBot="1" x14ac:dyDescent="0.35">
      <c r="A734" s="442"/>
      <c r="B734" s="56">
        <f t="shared" si="81"/>
        <v>122</v>
      </c>
      <c r="C734" s="23">
        <f>VLOOKUP($B734,Chronologie[],7,TRUE)</f>
        <v>0</v>
      </c>
      <c r="D734" s="23">
        <f>VLOOKUP($B734,Chronologie[],8,TRUE)</f>
        <v>0</v>
      </c>
      <c r="E734" s="39">
        <f>VLOOKUP($B734,Chronologie[],9,TRUE)</f>
        <v>0</v>
      </c>
      <c r="F734" s="23">
        <f>VLOOKUP($B734,Chronologie[],COLUMN(F735)-2,TRUE)</f>
        <v>0</v>
      </c>
      <c r="G734" s="23">
        <f>VLOOKUP($B734,Chronologie[],COLUMN(G735)-2,TRUE)</f>
        <v>0</v>
      </c>
      <c r="H734" s="23">
        <f>VLOOKUP($B734,Chronologie[],COLUMN(H735)-2,TRUE)</f>
        <v>0</v>
      </c>
      <c r="I734" s="13" t="str">
        <f>VLOOKUP($B734,Chronologie[],2,TRUE)</f>
        <v>--</v>
      </c>
      <c r="J734" s="244">
        <f>VLOOKUP($B734,Chronologie[],3,TRUE)</f>
        <v>0</v>
      </c>
      <c r="K734" s="239"/>
      <c r="L734" s="239"/>
      <c r="M734" s="239"/>
      <c r="N734" s="239"/>
      <c r="O734" s="239"/>
      <c r="P734" s="239"/>
      <c r="Q734" s="239"/>
      <c r="R734" s="239"/>
      <c r="S734" s="239"/>
      <c r="T734" s="239"/>
      <c r="U734" s="239"/>
      <c r="V734" s="239"/>
      <c r="W734" s="239"/>
      <c r="X734" s="40"/>
      <c r="Y734" s="40"/>
      <c r="Z734" s="40"/>
      <c r="AA734" s="40"/>
      <c r="AB734" s="92"/>
      <c r="AC734" s="96" t="str">
        <f>IF(Eingabe[[#This Row],[V1]]="",IF(Eingabe[[#This Row],[Volle alternativ]]="","",Eingabe[[#This Row],[Volle alternativ]]),SUM(Eingabe[[#This Row],[V1]:[V4]]))</f>
        <v/>
      </c>
      <c r="AD734" s="23" t="str">
        <f>IF(Eingabe[[#This Row],[R1]]="",IF(Eingabe[[#This Row],[Räumer alternativ]]="","",Eingabe[[#This Row],[Räumer alternativ]]),SUM(Eingabe[[#This Row],[R1]:[R4]]))</f>
        <v/>
      </c>
      <c r="AE734" s="23" t="str">
        <f>IF(Eingabe[[#This Row],[F1]]="",IF(Eingabe[[#This Row],[Fehler alternativ]]="","",Eingabe[[#This Row],[Fehler alternativ]]),SUM(Eingabe[[#This Row],[F1]:[F4]]))</f>
        <v/>
      </c>
      <c r="AF734" s="23" t="str">
        <f>IF(Eingabe[[#This Row],[Volle]]="","",IF(Eingabe[[#This Row],[S1]]="",Eingabe[[#This Row],[Volle]]+Eingabe[[#This Row],[Räumer]],IF(Eingabe[[#This Row],[Volle]]+Eingabe[[#This Row],[Räumer]]=Eingabe[[#This Row],[S1]]+Eingabe[[#This Row],[S2]]+Eingabe[[#This Row],[S3]]+Eingabe[[#This Row],[S4]],Eingabe[[#This Row],[Volle]]+Eingabe[[#This Row],[Räumer]],"FEHLER")))</f>
        <v/>
      </c>
      <c r="AG734" s="23" t="str">
        <f>IF(Eingabe[[#This Row],[V1]]="","",Eingabe[[#This Row],[V1]]+Eingabe[[#This Row],[R1]])</f>
        <v/>
      </c>
      <c r="AH734" s="23" t="str">
        <f>IF(Eingabe[[#This Row],[V2]]="","",Eingabe[[#This Row],[V2]]+Eingabe[[#This Row],[R2]])</f>
        <v/>
      </c>
      <c r="AI734" s="23" t="str">
        <f>IF(Eingabe[[#This Row],[V3]]="","",Eingabe[[#This Row],[V3]]+Eingabe[[#This Row],[R3]])</f>
        <v/>
      </c>
      <c r="AJ734" s="23" t="str">
        <f>IF(Eingabe[[#This Row],[V4]]="","",Eingabe[[#This Row],[V4]]+Eingabe[[#This Row],[R4]])</f>
        <v/>
      </c>
      <c r="AK734" s="23" t="str">
        <f>IF(Eingabe[[#This Row],[S1P]]="","",Eingabe[[#This Row],[S1P]]+Eingabe[[#This Row],[S2P]]+Eingabe[[#This Row],[S3P]]+Eingabe[[#This Row],[S4P]])</f>
        <v/>
      </c>
      <c r="AL734" s="23" t="str">
        <f>IF(Eingabe[[#This Row],[S1P]]="","",IF(Eingabe[[#This Row],[SP]]&gt;2,1,IF(Eingabe[[#This Row],[SP]]&lt;2,0,IF(Eingabe[[#This Row],[GES]]&gt;Eingabe[[#This Row],[GEGGES]],1,IF(Eingabe[[#This Row],[GES]]=Eingabe[[#This Row],[GEGGES]],0.5,0)))))</f>
        <v/>
      </c>
      <c r="AM734" s="23" t="str">
        <f>IF(Eingabe[[#This Row],[MP]]="","",MOD(ROW(Eingabe[[#This Row],[Position]])-3,6)+1)</f>
        <v/>
      </c>
      <c r="AN734" s="23" t="e">
        <f>STANDARDIZE(Eingabe[[#This Row],[GES]],Eingabe[[#This Row],[Schnitt]],VLOOKUP(Eingabe[[#This Row],[Name]],AuswertungG[],21,FALSE))</f>
        <v>#VALUE!</v>
      </c>
      <c r="AO734" s="23" t="str">
        <f>VLOOKUP(Eingabe[[#This Row],[ID]],Chronologie[[ID]:[KW]],12,FALSE)</f>
        <v/>
      </c>
      <c r="AP734" s="59">
        <f>IF(Eingabe[[#This Row],[Wo]]="H",Eingabe[[#This Row],[Gegner]]&amp;" ["&amp;Eingabe[[#This Row],[Wo]]&amp;"]",Eingabe[[#This Row],[Ort]])</f>
        <v>0</v>
      </c>
      <c r="AQ734" s="23" t="str">
        <f>IFERROR(IF(Eingabe[[#This Row],[Wo]]="H",IF(MOD(Eingabe[[#This Row],[Position]],2)=1,Eingabe[[#This Row],[S1]],Eingabe[[#This Row],[S4]]),""),"")</f>
        <v/>
      </c>
      <c r="AR734" s="23" t="str">
        <f>IFERROR(IF(Eingabe[[#This Row],[Wo]]="H",IF(Eingabe[[#This Row],[S1]]&gt;0,IF(MOD(Eingabe[[#This Row],[Position]],2)=1,Eingabe[[#This Row],[S2]],Eingabe[[#This Row],[S3]]),""),""),"")</f>
        <v/>
      </c>
      <c r="AS734" s="23" t="str">
        <f>IFERROR(IF(Eingabe[[#This Row],[Wo]]="H",IF(Eingabe[[#This Row],[S1]]&gt;0,IF(MOD(ROW(Eingabe[[#This Row],[Heimbahn 3]]),2)=1,Eingabe[[#This Row],[S4]],Eingabe[[#This Row],[S1]]),""),""),"")</f>
        <v/>
      </c>
      <c r="AT734" s="23" t="str">
        <f>IFERROR(IF(Eingabe[[#This Row],[Wo]]="H",IF(Eingabe[[#This Row],[S1]]&gt;0,IF(MOD(ROW(Eingabe[[#This Row],[Heimbahn 4]]),2)=1,Eingabe[[#This Row],[S3]],Eingabe[[#This Row],[S2]]),""),""),"")</f>
        <v/>
      </c>
      <c r="AU734" s="89" t="str">
        <f>IF(Eingabe[[#This Row],[GES]]="","",IF(Eingabe[[#This Row],[Modus]]="L",_xlfn.RANK.EQ(Eingabe[[#This Row],[GES]],AF729:AF734),IF(Eingabe[[#This Row],[Modus]]="P",_xlfn.RANK.EQ(Eingabe[[#This Row],[GES]],AF729:AF734),"")))</f>
        <v/>
      </c>
      <c r="AV734" s="6" t="e">
        <f>VLOOKUP(Eingabe[[#This Row],[Name]],AuswertungG[],8,FALSE)</f>
        <v>#N/A</v>
      </c>
      <c r="AZ734" s="6" t="str">
        <f>IFERROR(ABS(Eingabe[[#This Row],[GES]]-Eingabe[[#This Row],[GEGGES]]),"")</f>
        <v/>
      </c>
    </row>
    <row r="735" spans="1:52" hidden="1" x14ac:dyDescent="0.3">
      <c r="A735" s="440">
        <f t="shared" ref="A735" si="82">B735</f>
        <v>123</v>
      </c>
      <c r="B735" s="55">
        <f t="shared" si="81"/>
        <v>123</v>
      </c>
      <c r="C735" s="35">
        <f>VLOOKUP($B735,Chronologie[],7,TRUE)</f>
        <v>0</v>
      </c>
      <c r="D735" s="35">
        <f>VLOOKUP($B735,Chronologie[],8,TRUE)</f>
        <v>0</v>
      </c>
      <c r="E735" s="36">
        <f>VLOOKUP($B735,Chronologie[],9,TRUE)</f>
        <v>0</v>
      </c>
      <c r="F735" s="35">
        <f>VLOOKUP($B735,Chronologie[],COLUMN(F736)-2,TRUE)</f>
        <v>0</v>
      </c>
      <c r="G735" s="35">
        <f>VLOOKUP($B735,Chronologie[],COLUMN(G736)-2,TRUE)</f>
        <v>0</v>
      </c>
      <c r="H735" s="35">
        <f>VLOOKUP($B735,Chronologie[],COLUMN(H736)-2,TRUE)</f>
        <v>0</v>
      </c>
      <c r="I735" s="9" t="str">
        <f>VLOOKUP($B735,Chronologie[],2,TRUE)</f>
        <v>--</v>
      </c>
      <c r="J735" s="242">
        <f>VLOOKUP($B735,Chronologie[],3,TRUE)</f>
        <v>0</v>
      </c>
      <c r="K735" s="236"/>
      <c r="L735" s="334"/>
      <c r="M735" s="334"/>
      <c r="N735" s="334"/>
      <c r="O735" s="334"/>
      <c r="P735" s="334"/>
      <c r="Q735" s="334"/>
      <c r="R735" s="334"/>
      <c r="S735" s="334"/>
      <c r="T735" s="334"/>
      <c r="U735" s="334"/>
      <c r="V735" s="334"/>
      <c r="W735" s="334"/>
      <c r="X735" s="37"/>
      <c r="Y735" s="37"/>
      <c r="Z735" s="37"/>
      <c r="AA735" s="37"/>
      <c r="AB735" s="90"/>
      <c r="AC735" s="93" t="str">
        <f>IF(Eingabe[[#This Row],[V1]]="",IF(Eingabe[[#This Row],[Volle alternativ]]="","",Eingabe[[#This Row],[Volle alternativ]]),SUM(Eingabe[[#This Row],[V1]:[V4]]))</f>
        <v/>
      </c>
      <c r="AD735" s="35" t="str">
        <f>IF(Eingabe[[#This Row],[R1]]="",IF(Eingabe[[#This Row],[Räumer alternativ]]="","",Eingabe[[#This Row],[Räumer alternativ]]),SUM(Eingabe[[#This Row],[R1]:[R4]]))</f>
        <v/>
      </c>
      <c r="AE735" s="35" t="str">
        <f>IF(Eingabe[[#This Row],[F1]]="",IF(Eingabe[[#This Row],[Fehler alternativ]]="","",Eingabe[[#This Row],[Fehler alternativ]]),SUM(Eingabe[[#This Row],[F1]:[F4]]))</f>
        <v/>
      </c>
      <c r="AF735" s="35" t="str">
        <f>IF(Eingabe[[#This Row],[Volle]]="","",IF(Eingabe[[#This Row],[S1]]="",Eingabe[[#This Row],[Volle]]+Eingabe[[#This Row],[Räumer]],IF(Eingabe[[#This Row],[Volle]]+Eingabe[[#This Row],[Räumer]]=Eingabe[[#This Row],[S1]]+Eingabe[[#This Row],[S2]]+Eingabe[[#This Row],[S3]]+Eingabe[[#This Row],[S4]],Eingabe[[#This Row],[Volle]]+Eingabe[[#This Row],[Räumer]],"FEHLER")))</f>
        <v/>
      </c>
      <c r="AG735" s="35" t="str">
        <f>IF(Eingabe[[#This Row],[V1]]="","",Eingabe[[#This Row],[V1]]+Eingabe[[#This Row],[R1]])</f>
        <v/>
      </c>
      <c r="AH735" s="35" t="str">
        <f>IF(Eingabe[[#This Row],[V2]]="","",Eingabe[[#This Row],[V2]]+Eingabe[[#This Row],[R2]])</f>
        <v/>
      </c>
      <c r="AI735" s="35" t="str">
        <f>IF(Eingabe[[#This Row],[V3]]="","",Eingabe[[#This Row],[V3]]+Eingabe[[#This Row],[R3]])</f>
        <v/>
      </c>
      <c r="AJ735" s="35" t="str">
        <f>IF(Eingabe[[#This Row],[V4]]="","",Eingabe[[#This Row],[V4]]+Eingabe[[#This Row],[R4]])</f>
        <v/>
      </c>
      <c r="AK735" s="35" t="str">
        <f>IF(Eingabe[[#This Row],[S1P]]="","",Eingabe[[#This Row],[S1P]]+Eingabe[[#This Row],[S2P]]+Eingabe[[#This Row],[S3P]]+Eingabe[[#This Row],[S4P]])</f>
        <v/>
      </c>
      <c r="AL735" s="35" t="str">
        <f>IF(Eingabe[[#This Row],[S1P]]="","",IF(Eingabe[[#This Row],[SP]]&gt;2,1,IF(Eingabe[[#This Row],[SP]]&lt;2,0,IF(Eingabe[[#This Row],[GES]]&gt;Eingabe[[#This Row],[GEGGES]],1,IF(Eingabe[[#This Row],[GES]]=Eingabe[[#This Row],[GEGGES]],0.5,0)))))</f>
        <v/>
      </c>
      <c r="AM735" s="35" t="str">
        <f>IF(Eingabe[[#This Row],[MP]]="","",MOD(ROW(Eingabe[[#This Row],[Position]])-3,6)+1)</f>
        <v/>
      </c>
      <c r="AN735" s="35" t="e">
        <f>STANDARDIZE(Eingabe[[#This Row],[GES]],Eingabe[[#This Row],[Schnitt]],VLOOKUP(Eingabe[[#This Row],[Name]],AuswertungG[],21,FALSE))</f>
        <v>#VALUE!</v>
      </c>
      <c r="AO735" s="35" t="str">
        <f>VLOOKUP(Eingabe[[#This Row],[ID]],Chronologie[[ID]:[KW]],12,FALSE)</f>
        <v/>
      </c>
      <c r="AP735" s="58">
        <f>IF(Eingabe[[#This Row],[Wo]]="H",Eingabe[[#This Row],[Gegner]]&amp;" ["&amp;Eingabe[[#This Row],[Wo]]&amp;"]",Eingabe[[#This Row],[Ort]])</f>
        <v>0</v>
      </c>
      <c r="AQ735" s="35" t="str">
        <f>IFERROR(IF(Eingabe[[#This Row],[Wo]]="H",IF(MOD(Eingabe[[#This Row],[Position]],2)=1,Eingabe[[#This Row],[S1]],Eingabe[[#This Row],[S4]]),""),"")</f>
        <v/>
      </c>
      <c r="AR735" s="35" t="str">
        <f>IFERROR(IF(Eingabe[[#This Row],[Wo]]="H",IF(Eingabe[[#This Row],[S1]]&gt;0,IF(MOD(Eingabe[[#This Row],[Position]],2)=1,Eingabe[[#This Row],[S2]],Eingabe[[#This Row],[S3]]),""),""),"")</f>
        <v/>
      </c>
      <c r="AS735" s="35" t="str">
        <f>IFERROR(IF(Eingabe[[#This Row],[Wo]]="H",IF(Eingabe[[#This Row],[S1]]&gt;0,IF(MOD(ROW(Eingabe[[#This Row],[Heimbahn 3]]),2)=1,Eingabe[[#This Row],[S4]],Eingabe[[#This Row],[S1]]),""),""),"")</f>
        <v/>
      </c>
      <c r="AT735" s="35" t="str">
        <f>IFERROR(IF(Eingabe[[#This Row],[Wo]]="H",IF(Eingabe[[#This Row],[S1]]&gt;0,IF(MOD(ROW(Eingabe[[#This Row],[Heimbahn 4]]),2)=1,Eingabe[[#This Row],[S3]],Eingabe[[#This Row],[S2]]),""),""),"")</f>
        <v/>
      </c>
      <c r="AU735" s="88" t="str">
        <f>IF(Eingabe[[#This Row],[GES]]="","",IF(Eingabe[[#This Row],[Modus]]="L",_xlfn.RANK.EQ(Eingabe[[#This Row],[GES]],AF735:AF740),IF(Eingabe[[#This Row],[Modus]]="P",_xlfn.RANK.EQ(Eingabe[[#This Row],[GES]],AF735:AF740),"")))</f>
        <v/>
      </c>
      <c r="AV735" s="6" t="e">
        <f>VLOOKUP(Eingabe[[#This Row],[Name]],AuswertungG[],8,FALSE)</f>
        <v>#N/A</v>
      </c>
      <c r="AZ735" s="6" t="str">
        <f>IFERROR(ABS(Eingabe[[#This Row],[GES]]-Eingabe[[#This Row],[GEGGES]]),"")</f>
        <v/>
      </c>
    </row>
    <row r="736" spans="1:52" hidden="1" x14ac:dyDescent="0.3">
      <c r="A736" s="441"/>
      <c r="B736" s="21">
        <f t="shared" si="81"/>
        <v>123</v>
      </c>
      <c r="C736" s="6">
        <f>VLOOKUP($B736,Chronologie[],7,TRUE)</f>
        <v>0</v>
      </c>
      <c r="D736" s="6">
        <f>VLOOKUP($B736,Chronologie[],8,TRUE)</f>
        <v>0</v>
      </c>
      <c r="E736" s="240">
        <f>VLOOKUP($B736,Chronologie[],9,TRUE)</f>
        <v>0</v>
      </c>
      <c r="F736" s="6">
        <f>VLOOKUP($B736,Chronologie[],COLUMN(F737)-2,TRUE)</f>
        <v>0</v>
      </c>
      <c r="G736" s="6">
        <f>VLOOKUP($B736,Chronologie[],COLUMN(G737)-2,TRUE)</f>
        <v>0</v>
      </c>
      <c r="H736" s="6">
        <f>VLOOKUP($B736,Chronologie[],COLUMN(H737)-2,TRUE)</f>
        <v>0</v>
      </c>
      <c r="I736" s="10" t="str">
        <f>VLOOKUP($B736,Chronologie[],2,TRUE)</f>
        <v>--</v>
      </c>
      <c r="J736" s="243">
        <f>VLOOKUP($B736,Chronologie[],3,TRUE)</f>
        <v>0</v>
      </c>
      <c r="K736" s="237"/>
      <c r="L736" s="237"/>
      <c r="M736" s="237"/>
      <c r="N736" s="237"/>
      <c r="O736" s="237"/>
      <c r="P736" s="237"/>
      <c r="Q736" s="237"/>
      <c r="R736" s="237"/>
      <c r="S736" s="237"/>
      <c r="T736" s="237"/>
      <c r="U736" s="237"/>
      <c r="V736" s="237"/>
      <c r="W736" s="237"/>
      <c r="X736" s="38"/>
      <c r="Y736" s="38"/>
      <c r="Z736" s="38"/>
      <c r="AA736" s="38"/>
      <c r="AB736" s="91"/>
      <c r="AC736" s="94" t="str">
        <f>IF(Eingabe[[#This Row],[V1]]="",IF(Eingabe[[#This Row],[Volle alternativ]]="","",Eingabe[[#This Row],[Volle alternativ]]),SUM(Eingabe[[#This Row],[V1]:[V4]]))</f>
        <v/>
      </c>
      <c r="AD736" s="6" t="str">
        <f>IF(Eingabe[[#This Row],[R1]]="",IF(Eingabe[[#This Row],[Räumer alternativ]]="","",Eingabe[[#This Row],[Räumer alternativ]]),SUM(Eingabe[[#This Row],[R1]:[R4]]))</f>
        <v/>
      </c>
      <c r="AE736" s="6" t="str">
        <f>IF(Eingabe[[#This Row],[F1]]="",IF(Eingabe[[#This Row],[Fehler alternativ]]="","",Eingabe[[#This Row],[Fehler alternativ]]),SUM(Eingabe[[#This Row],[F1]:[F4]]))</f>
        <v/>
      </c>
      <c r="AF736" s="6" t="str">
        <f>IF(Eingabe[[#This Row],[Volle]]="","",IF(Eingabe[[#This Row],[S1]]="",Eingabe[[#This Row],[Volle]]+Eingabe[[#This Row],[Räumer]],IF(Eingabe[[#This Row],[Volle]]+Eingabe[[#This Row],[Räumer]]=Eingabe[[#This Row],[S1]]+Eingabe[[#This Row],[S2]]+Eingabe[[#This Row],[S3]]+Eingabe[[#This Row],[S4]],Eingabe[[#This Row],[Volle]]+Eingabe[[#This Row],[Räumer]],"FEHLER")))</f>
        <v/>
      </c>
      <c r="AG736" s="6" t="str">
        <f>IF(Eingabe[[#This Row],[V1]]="","",Eingabe[[#This Row],[V1]]+Eingabe[[#This Row],[R1]])</f>
        <v/>
      </c>
      <c r="AH736" s="6" t="str">
        <f>IF(Eingabe[[#This Row],[V2]]="","",Eingabe[[#This Row],[V2]]+Eingabe[[#This Row],[R2]])</f>
        <v/>
      </c>
      <c r="AI736" s="6" t="str">
        <f>IF(Eingabe[[#This Row],[V3]]="","",Eingabe[[#This Row],[V3]]+Eingabe[[#This Row],[R3]])</f>
        <v/>
      </c>
      <c r="AJ736" s="6" t="str">
        <f>IF(Eingabe[[#This Row],[V4]]="","",Eingabe[[#This Row],[V4]]+Eingabe[[#This Row],[R4]])</f>
        <v/>
      </c>
      <c r="AK736" s="6" t="str">
        <f>IF(Eingabe[[#This Row],[S1P]]="","",Eingabe[[#This Row],[S1P]]+Eingabe[[#This Row],[S2P]]+Eingabe[[#This Row],[S3P]]+Eingabe[[#This Row],[S4P]])</f>
        <v/>
      </c>
      <c r="AL736" s="6" t="str">
        <f>IF(Eingabe[[#This Row],[S1P]]="","",IF(Eingabe[[#This Row],[SP]]&gt;2,1,IF(Eingabe[[#This Row],[SP]]&lt;2,0,IF(Eingabe[[#This Row],[GES]]&gt;Eingabe[[#This Row],[GEGGES]],1,IF(Eingabe[[#This Row],[GES]]=Eingabe[[#This Row],[GEGGES]],0.5,0)))))</f>
        <v/>
      </c>
      <c r="AM736" s="6" t="str">
        <f>IF(Eingabe[[#This Row],[MP]]="","",MOD(ROW(Eingabe[[#This Row],[Position]])-3,6)+1)</f>
        <v/>
      </c>
      <c r="AN736" s="6" t="e">
        <f>STANDARDIZE(Eingabe[[#This Row],[GES]],Eingabe[[#This Row],[Schnitt]],VLOOKUP(Eingabe[[#This Row],[Name]],AuswertungG[],21,FALSE))</f>
        <v>#VALUE!</v>
      </c>
      <c r="AO736" s="6" t="str">
        <f>VLOOKUP(Eingabe[[#This Row],[ID]],Chronologie[[ID]:[KW]],12,FALSE)</f>
        <v/>
      </c>
      <c r="AP736" s="95">
        <f>IF(Eingabe[[#This Row],[Wo]]="H",Eingabe[[#This Row],[Gegner]]&amp;" ["&amp;Eingabe[[#This Row],[Wo]]&amp;"]",Eingabe[[#This Row],[Ort]])</f>
        <v>0</v>
      </c>
      <c r="AQ736" s="6" t="str">
        <f>IFERROR(IF(Eingabe[[#This Row],[Wo]]="H",IF(MOD(Eingabe[[#This Row],[Position]],2)=1,Eingabe[[#This Row],[S1]],Eingabe[[#This Row],[S4]]),""),"")</f>
        <v/>
      </c>
      <c r="AR736" s="6" t="str">
        <f>IFERROR(IF(Eingabe[[#This Row],[Wo]]="H",IF(Eingabe[[#This Row],[S1]]&gt;0,IF(MOD(Eingabe[[#This Row],[Position]],2)=1,Eingabe[[#This Row],[S2]],Eingabe[[#This Row],[S3]]),""),""),"")</f>
        <v/>
      </c>
      <c r="AS736" s="6" t="str">
        <f>IFERROR(IF(Eingabe[[#This Row],[Wo]]="H",IF(Eingabe[[#This Row],[S1]]&gt;0,IF(MOD(ROW(Eingabe[[#This Row],[Heimbahn 3]]),2)=1,Eingabe[[#This Row],[S4]],Eingabe[[#This Row],[S1]]),""),""),"")</f>
        <v/>
      </c>
      <c r="AT736" s="6" t="str">
        <f>IFERROR(IF(Eingabe[[#This Row],[Wo]]="H",IF(Eingabe[[#This Row],[S1]]&gt;0,IF(MOD(ROW(Eingabe[[#This Row],[Heimbahn 4]]),2)=1,Eingabe[[#This Row],[S3]],Eingabe[[#This Row],[S2]]),""),""),"")</f>
        <v/>
      </c>
      <c r="AU736" s="22" t="str">
        <f>IF(Eingabe[[#This Row],[GES]]="","",IF(Eingabe[[#This Row],[Modus]]="L",_xlfn.RANK.EQ(Eingabe[[#This Row],[GES]],AF735:AF740),IF(Eingabe[[#This Row],[Modus]]="P",_xlfn.RANK.EQ(Eingabe[[#This Row],[GES]],AF735:AF740),"")))</f>
        <v/>
      </c>
      <c r="AV736" s="6" t="e">
        <f>VLOOKUP(Eingabe[[#This Row],[Name]],AuswertungG[],8,FALSE)</f>
        <v>#N/A</v>
      </c>
      <c r="AZ736" s="6" t="str">
        <f>IFERROR(ABS(Eingabe[[#This Row],[GES]]-Eingabe[[#This Row],[GEGGES]]),"")</f>
        <v/>
      </c>
    </row>
    <row r="737" spans="1:52" hidden="1" x14ac:dyDescent="0.3">
      <c r="A737" s="441"/>
      <c r="B737" s="21">
        <f t="shared" si="81"/>
        <v>123</v>
      </c>
      <c r="C737" s="6">
        <f>VLOOKUP($B737,Chronologie[],7,TRUE)</f>
        <v>0</v>
      </c>
      <c r="D737" s="6">
        <f>VLOOKUP($B737,Chronologie[],8,TRUE)</f>
        <v>0</v>
      </c>
      <c r="E737" s="240">
        <f>VLOOKUP($B737,Chronologie[],9,TRUE)</f>
        <v>0</v>
      </c>
      <c r="F737" s="6">
        <f>VLOOKUP($B737,Chronologie[],COLUMN(F738)-2,TRUE)</f>
        <v>0</v>
      </c>
      <c r="G737" s="6">
        <f>VLOOKUP($B737,Chronologie[],COLUMN(G738)-2,TRUE)</f>
        <v>0</v>
      </c>
      <c r="H737" s="6">
        <f>VLOOKUP($B737,Chronologie[],COLUMN(H738)-2,TRUE)</f>
        <v>0</v>
      </c>
      <c r="I737" s="10" t="str">
        <f>VLOOKUP($B737,Chronologie[],2,TRUE)</f>
        <v>--</v>
      </c>
      <c r="J737" s="243">
        <f>VLOOKUP($B737,Chronologie[],3,TRUE)</f>
        <v>0</v>
      </c>
      <c r="K737" s="237"/>
      <c r="L737" s="237"/>
      <c r="M737" s="237"/>
      <c r="N737" s="237"/>
      <c r="O737" s="237"/>
      <c r="P737" s="237"/>
      <c r="Q737" s="237"/>
      <c r="R737" s="237"/>
      <c r="S737" s="237"/>
      <c r="T737" s="237"/>
      <c r="U737" s="237"/>
      <c r="V737" s="237"/>
      <c r="W737" s="237"/>
      <c r="X737" s="38"/>
      <c r="Y737" s="38"/>
      <c r="Z737" s="38"/>
      <c r="AA737" s="38"/>
      <c r="AB737" s="91"/>
      <c r="AC737" s="94" t="str">
        <f>IF(Eingabe[[#This Row],[V1]]="",IF(Eingabe[[#This Row],[Volle alternativ]]="","",Eingabe[[#This Row],[Volle alternativ]]),SUM(Eingabe[[#This Row],[V1]:[V4]]))</f>
        <v/>
      </c>
      <c r="AD737" s="6" t="str">
        <f>IF(Eingabe[[#This Row],[R1]]="",IF(Eingabe[[#This Row],[Räumer alternativ]]="","",Eingabe[[#This Row],[Räumer alternativ]]),SUM(Eingabe[[#This Row],[R1]:[R4]]))</f>
        <v/>
      </c>
      <c r="AE737" s="6" t="str">
        <f>IF(Eingabe[[#This Row],[F1]]="",IF(Eingabe[[#This Row],[Fehler alternativ]]="","",Eingabe[[#This Row],[Fehler alternativ]]),SUM(Eingabe[[#This Row],[F1]:[F4]]))</f>
        <v/>
      </c>
      <c r="AF737" s="6" t="str">
        <f>IF(Eingabe[[#This Row],[Volle]]="","",IF(Eingabe[[#This Row],[S1]]="",Eingabe[[#This Row],[Volle]]+Eingabe[[#This Row],[Räumer]],IF(Eingabe[[#This Row],[Volle]]+Eingabe[[#This Row],[Räumer]]=Eingabe[[#This Row],[S1]]+Eingabe[[#This Row],[S2]]+Eingabe[[#This Row],[S3]]+Eingabe[[#This Row],[S4]],Eingabe[[#This Row],[Volle]]+Eingabe[[#This Row],[Räumer]],"FEHLER")))</f>
        <v/>
      </c>
      <c r="AG737" s="6" t="str">
        <f>IF(Eingabe[[#This Row],[V1]]="","",Eingabe[[#This Row],[V1]]+Eingabe[[#This Row],[R1]])</f>
        <v/>
      </c>
      <c r="AH737" s="6" t="str">
        <f>IF(Eingabe[[#This Row],[V2]]="","",Eingabe[[#This Row],[V2]]+Eingabe[[#This Row],[R2]])</f>
        <v/>
      </c>
      <c r="AI737" s="6" t="str">
        <f>IF(Eingabe[[#This Row],[V3]]="","",Eingabe[[#This Row],[V3]]+Eingabe[[#This Row],[R3]])</f>
        <v/>
      </c>
      <c r="AJ737" s="6" t="str">
        <f>IF(Eingabe[[#This Row],[V4]]="","",Eingabe[[#This Row],[V4]]+Eingabe[[#This Row],[R4]])</f>
        <v/>
      </c>
      <c r="AK737" s="6" t="str">
        <f>IF(Eingabe[[#This Row],[S1P]]="","",Eingabe[[#This Row],[S1P]]+Eingabe[[#This Row],[S2P]]+Eingabe[[#This Row],[S3P]]+Eingabe[[#This Row],[S4P]])</f>
        <v/>
      </c>
      <c r="AL737" s="6" t="str">
        <f>IF(Eingabe[[#This Row],[S1P]]="","",IF(Eingabe[[#This Row],[SP]]&gt;2,1,IF(Eingabe[[#This Row],[SP]]&lt;2,0,IF(Eingabe[[#This Row],[GES]]&gt;Eingabe[[#This Row],[GEGGES]],1,IF(Eingabe[[#This Row],[GES]]=Eingabe[[#This Row],[GEGGES]],0.5,0)))))</f>
        <v/>
      </c>
      <c r="AM737" s="6" t="str">
        <f>IF(Eingabe[[#This Row],[MP]]="","",MOD(ROW(Eingabe[[#This Row],[Position]])-3,6)+1)</f>
        <v/>
      </c>
      <c r="AN737" s="6" t="e">
        <f>STANDARDIZE(Eingabe[[#This Row],[GES]],Eingabe[[#This Row],[Schnitt]],VLOOKUP(Eingabe[[#This Row],[Name]],AuswertungG[],21,FALSE))</f>
        <v>#VALUE!</v>
      </c>
      <c r="AO737" s="6" t="str">
        <f>VLOOKUP(Eingabe[[#This Row],[ID]],Chronologie[[ID]:[KW]],12,FALSE)</f>
        <v/>
      </c>
      <c r="AP737" s="95">
        <f>IF(Eingabe[[#This Row],[Wo]]="H",Eingabe[[#This Row],[Gegner]]&amp;" ["&amp;Eingabe[[#This Row],[Wo]]&amp;"]",Eingabe[[#This Row],[Ort]])</f>
        <v>0</v>
      </c>
      <c r="AQ737" s="6" t="str">
        <f>IFERROR(IF(Eingabe[[#This Row],[Wo]]="H",IF(MOD(Eingabe[[#This Row],[Position]],2)=1,Eingabe[[#This Row],[S1]],Eingabe[[#This Row],[S4]]),""),"")</f>
        <v/>
      </c>
      <c r="AR737" s="6" t="str">
        <f>IFERROR(IF(Eingabe[[#This Row],[Wo]]="H",IF(Eingabe[[#This Row],[S1]]&gt;0,IF(MOD(Eingabe[[#This Row],[Position]],2)=1,Eingabe[[#This Row],[S2]],Eingabe[[#This Row],[S3]]),""),""),"")</f>
        <v/>
      </c>
      <c r="AS737" s="6" t="str">
        <f>IFERROR(IF(Eingabe[[#This Row],[Wo]]="H",IF(Eingabe[[#This Row],[S1]]&gt;0,IF(MOD(ROW(Eingabe[[#This Row],[Heimbahn 3]]),2)=1,Eingabe[[#This Row],[S4]],Eingabe[[#This Row],[S1]]),""),""),"")</f>
        <v/>
      </c>
      <c r="AT737" s="6" t="str">
        <f>IFERROR(IF(Eingabe[[#This Row],[Wo]]="H",IF(Eingabe[[#This Row],[S1]]&gt;0,IF(MOD(ROW(Eingabe[[#This Row],[Heimbahn 4]]),2)=1,Eingabe[[#This Row],[S3]],Eingabe[[#This Row],[S2]]),""),""),"")</f>
        <v/>
      </c>
      <c r="AU737" s="22" t="str">
        <f>IF(Eingabe[[#This Row],[GES]]="","",IF(Eingabe[[#This Row],[Modus]]="L",_xlfn.RANK.EQ(Eingabe[[#This Row],[GES]],AF735:AF740),IF(Eingabe[[#This Row],[Modus]]="P",_xlfn.RANK.EQ(Eingabe[[#This Row],[GES]],AF735:AF740),"")))</f>
        <v/>
      </c>
      <c r="AV737" s="6" t="e">
        <f>VLOOKUP(Eingabe[[#This Row],[Name]],AuswertungG[],8,FALSE)</f>
        <v>#N/A</v>
      </c>
      <c r="AZ737" s="6" t="str">
        <f>IFERROR(ABS(Eingabe[[#This Row],[GES]]-Eingabe[[#This Row],[GEGGES]]),"")</f>
        <v/>
      </c>
    </row>
    <row r="738" spans="1:52" hidden="1" x14ac:dyDescent="0.3">
      <c r="A738" s="441"/>
      <c r="B738" s="21">
        <f t="shared" si="81"/>
        <v>123</v>
      </c>
      <c r="C738" s="6">
        <f>VLOOKUP($B738,Chronologie[],7,TRUE)</f>
        <v>0</v>
      </c>
      <c r="D738" s="6">
        <f>VLOOKUP($B738,Chronologie[],8,TRUE)</f>
        <v>0</v>
      </c>
      <c r="E738" s="240">
        <f>VLOOKUP($B738,Chronologie[],9,TRUE)</f>
        <v>0</v>
      </c>
      <c r="F738" s="6">
        <f>VLOOKUP($B738,Chronologie[],COLUMN(F739)-2,TRUE)</f>
        <v>0</v>
      </c>
      <c r="G738" s="6">
        <f>VLOOKUP($B738,Chronologie[],COLUMN(G739)-2,TRUE)</f>
        <v>0</v>
      </c>
      <c r="H738" s="6">
        <f>VLOOKUP($B738,Chronologie[],COLUMN(H739)-2,TRUE)</f>
        <v>0</v>
      </c>
      <c r="I738" s="10" t="str">
        <f>VLOOKUP($B738,Chronologie[],2,TRUE)</f>
        <v>--</v>
      </c>
      <c r="J738" s="243">
        <f>VLOOKUP($B738,Chronologie[],3,TRUE)</f>
        <v>0</v>
      </c>
      <c r="K738" s="238"/>
      <c r="L738" s="237"/>
      <c r="M738" s="237"/>
      <c r="N738" s="237"/>
      <c r="O738" s="237"/>
      <c r="P738" s="237"/>
      <c r="Q738" s="237"/>
      <c r="R738" s="237"/>
      <c r="S738" s="237"/>
      <c r="T738" s="237"/>
      <c r="U738" s="237"/>
      <c r="V738" s="237"/>
      <c r="W738" s="237"/>
      <c r="X738" s="38"/>
      <c r="Y738" s="38"/>
      <c r="Z738" s="38"/>
      <c r="AA738" s="38"/>
      <c r="AB738" s="91"/>
      <c r="AC738" s="94" t="str">
        <f>IF(Eingabe[[#This Row],[V1]]="",IF(Eingabe[[#This Row],[Volle alternativ]]="","",Eingabe[[#This Row],[Volle alternativ]]),SUM(Eingabe[[#This Row],[V1]:[V4]]))</f>
        <v/>
      </c>
      <c r="AD738" s="6" t="str">
        <f>IF(Eingabe[[#This Row],[R1]]="",IF(Eingabe[[#This Row],[Räumer alternativ]]="","",Eingabe[[#This Row],[Räumer alternativ]]),SUM(Eingabe[[#This Row],[R1]:[R4]]))</f>
        <v/>
      </c>
      <c r="AE738" s="6" t="str">
        <f>IF(Eingabe[[#This Row],[F1]]="",IF(Eingabe[[#This Row],[Fehler alternativ]]="","",Eingabe[[#This Row],[Fehler alternativ]]),SUM(Eingabe[[#This Row],[F1]:[F4]]))</f>
        <v/>
      </c>
      <c r="AF738" s="6" t="str">
        <f>IF(Eingabe[[#This Row],[Volle]]="","",IF(Eingabe[[#This Row],[S1]]="",Eingabe[[#This Row],[Volle]]+Eingabe[[#This Row],[Räumer]],IF(Eingabe[[#This Row],[Volle]]+Eingabe[[#This Row],[Räumer]]=Eingabe[[#This Row],[S1]]+Eingabe[[#This Row],[S2]]+Eingabe[[#This Row],[S3]]+Eingabe[[#This Row],[S4]],Eingabe[[#This Row],[Volle]]+Eingabe[[#This Row],[Räumer]],"FEHLER")))</f>
        <v/>
      </c>
      <c r="AG738" s="6" t="str">
        <f>IF(Eingabe[[#This Row],[V1]]="","",Eingabe[[#This Row],[V1]]+Eingabe[[#This Row],[R1]])</f>
        <v/>
      </c>
      <c r="AH738" s="6" t="str">
        <f>IF(Eingabe[[#This Row],[V2]]="","",Eingabe[[#This Row],[V2]]+Eingabe[[#This Row],[R2]])</f>
        <v/>
      </c>
      <c r="AI738" s="6" t="str">
        <f>IF(Eingabe[[#This Row],[V3]]="","",Eingabe[[#This Row],[V3]]+Eingabe[[#This Row],[R3]])</f>
        <v/>
      </c>
      <c r="AJ738" s="6" t="str">
        <f>IF(Eingabe[[#This Row],[V4]]="","",Eingabe[[#This Row],[V4]]+Eingabe[[#This Row],[R4]])</f>
        <v/>
      </c>
      <c r="AK738" s="6" t="str">
        <f>IF(Eingabe[[#This Row],[S1P]]="","",Eingabe[[#This Row],[S1P]]+Eingabe[[#This Row],[S2P]]+Eingabe[[#This Row],[S3P]]+Eingabe[[#This Row],[S4P]])</f>
        <v/>
      </c>
      <c r="AL738" s="6" t="str">
        <f>IF(Eingabe[[#This Row],[S1P]]="","",IF(Eingabe[[#This Row],[SP]]&gt;2,1,IF(Eingabe[[#This Row],[SP]]&lt;2,0,IF(Eingabe[[#This Row],[GES]]&gt;Eingabe[[#This Row],[GEGGES]],1,IF(Eingabe[[#This Row],[GES]]=Eingabe[[#This Row],[GEGGES]],0.5,0)))))</f>
        <v/>
      </c>
      <c r="AM738" s="6" t="str">
        <f>IF(Eingabe[[#This Row],[MP]]="","",MOD(ROW(Eingabe[[#This Row],[Position]])-3,6)+1)</f>
        <v/>
      </c>
      <c r="AN738" s="6" t="e">
        <f>STANDARDIZE(Eingabe[[#This Row],[GES]],Eingabe[[#This Row],[Schnitt]],VLOOKUP(Eingabe[[#This Row],[Name]],AuswertungG[],21,FALSE))</f>
        <v>#VALUE!</v>
      </c>
      <c r="AO738" s="6" t="str">
        <f>VLOOKUP(Eingabe[[#This Row],[ID]],Chronologie[[ID]:[KW]],12,FALSE)</f>
        <v/>
      </c>
      <c r="AP738" s="95">
        <f>IF(Eingabe[[#This Row],[Wo]]="H",Eingabe[[#This Row],[Gegner]]&amp;" ["&amp;Eingabe[[#This Row],[Wo]]&amp;"]",Eingabe[[#This Row],[Ort]])</f>
        <v>0</v>
      </c>
      <c r="AQ738" s="6" t="str">
        <f>IFERROR(IF(Eingabe[[#This Row],[Wo]]="H",IF(MOD(Eingabe[[#This Row],[Position]],2)=1,Eingabe[[#This Row],[S1]],Eingabe[[#This Row],[S4]]),""),"")</f>
        <v/>
      </c>
      <c r="AR738" s="6" t="str">
        <f>IFERROR(IF(Eingabe[[#This Row],[Wo]]="H",IF(Eingabe[[#This Row],[S1]]&gt;0,IF(MOD(Eingabe[[#This Row],[Position]],2)=1,Eingabe[[#This Row],[S2]],Eingabe[[#This Row],[S3]]),""),""),"")</f>
        <v/>
      </c>
      <c r="AS738" s="6" t="str">
        <f>IFERROR(IF(Eingabe[[#This Row],[Wo]]="H",IF(Eingabe[[#This Row],[S1]]&gt;0,IF(MOD(ROW(Eingabe[[#This Row],[Heimbahn 3]]),2)=1,Eingabe[[#This Row],[S4]],Eingabe[[#This Row],[S1]]),""),""),"")</f>
        <v/>
      </c>
      <c r="AT738" s="6" t="str">
        <f>IFERROR(IF(Eingabe[[#This Row],[Wo]]="H",IF(Eingabe[[#This Row],[S1]]&gt;0,IF(MOD(ROW(Eingabe[[#This Row],[Heimbahn 4]]),2)=1,Eingabe[[#This Row],[S3]],Eingabe[[#This Row],[S2]]),""),""),"")</f>
        <v/>
      </c>
      <c r="AU738" s="22" t="str">
        <f>IF(Eingabe[[#This Row],[GES]]="","",IF(Eingabe[[#This Row],[Modus]]="L",_xlfn.RANK.EQ(Eingabe[[#This Row],[GES]],AF735:AF740),IF(Eingabe[[#This Row],[Modus]]="P",_xlfn.RANK.EQ(Eingabe[[#This Row],[GES]],AF735:AF740),"")))</f>
        <v/>
      </c>
      <c r="AV738" s="6" t="e">
        <f>VLOOKUP(Eingabe[[#This Row],[Name]],AuswertungG[],8,FALSE)</f>
        <v>#N/A</v>
      </c>
      <c r="AZ738" s="6" t="str">
        <f>IFERROR(ABS(Eingabe[[#This Row],[GES]]-Eingabe[[#This Row],[GEGGES]]),"")</f>
        <v/>
      </c>
    </row>
    <row r="739" spans="1:52" hidden="1" x14ac:dyDescent="0.3">
      <c r="A739" s="441"/>
      <c r="B739" s="21">
        <f t="shared" si="81"/>
        <v>123</v>
      </c>
      <c r="C739" s="6">
        <f>VLOOKUP($B739,Chronologie[],7,TRUE)</f>
        <v>0</v>
      </c>
      <c r="D739" s="6">
        <f>VLOOKUP($B739,Chronologie[],8,TRUE)</f>
        <v>0</v>
      </c>
      <c r="E739" s="240">
        <f>VLOOKUP($B739,Chronologie[],9,TRUE)</f>
        <v>0</v>
      </c>
      <c r="F739" s="6">
        <f>VLOOKUP($B739,Chronologie[],COLUMN(F740)-2,TRUE)</f>
        <v>0</v>
      </c>
      <c r="G739" s="6">
        <f>VLOOKUP($B739,Chronologie[],COLUMN(G740)-2,TRUE)</f>
        <v>0</v>
      </c>
      <c r="H739" s="6">
        <f>VLOOKUP($B739,Chronologie[],COLUMN(H740)-2,TRUE)</f>
        <v>0</v>
      </c>
      <c r="I739" s="10" t="str">
        <f>VLOOKUP($B739,Chronologie[],2,TRUE)</f>
        <v>--</v>
      </c>
      <c r="J739" s="243">
        <f>VLOOKUP($B739,Chronologie[],3,TRUE)</f>
        <v>0</v>
      </c>
      <c r="K739" s="237"/>
      <c r="L739" s="237"/>
      <c r="M739" s="237"/>
      <c r="N739" s="237"/>
      <c r="O739" s="237"/>
      <c r="P739" s="237"/>
      <c r="Q739" s="237"/>
      <c r="R739" s="237"/>
      <c r="S739" s="237"/>
      <c r="T739" s="237"/>
      <c r="U739" s="237"/>
      <c r="V739" s="237"/>
      <c r="W739" s="237"/>
      <c r="X739" s="38"/>
      <c r="Y739" s="38"/>
      <c r="Z739" s="38"/>
      <c r="AA739" s="38"/>
      <c r="AB739" s="91"/>
      <c r="AC739" s="94" t="str">
        <f>IF(Eingabe[[#This Row],[V1]]="",IF(Eingabe[[#This Row],[Volle alternativ]]="","",Eingabe[[#This Row],[Volle alternativ]]),SUM(Eingabe[[#This Row],[V1]:[V4]]))</f>
        <v/>
      </c>
      <c r="AD739" s="6" t="str">
        <f>IF(Eingabe[[#This Row],[R1]]="",IF(Eingabe[[#This Row],[Räumer alternativ]]="","",Eingabe[[#This Row],[Räumer alternativ]]),SUM(Eingabe[[#This Row],[R1]:[R4]]))</f>
        <v/>
      </c>
      <c r="AE739" s="6" t="str">
        <f>IF(Eingabe[[#This Row],[F1]]="",IF(Eingabe[[#This Row],[Fehler alternativ]]="","",Eingabe[[#This Row],[Fehler alternativ]]),SUM(Eingabe[[#This Row],[F1]:[F4]]))</f>
        <v/>
      </c>
      <c r="AF739" s="6" t="str">
        <f>IF(Eingabe[[#This Row],[Volle]]="","",IF(Eingabe[[#This Row],[S1]]="",Eingabe[[#This Row],[Volle]]+Eingabe[[#This Row],[Räumer]],IF(Eingabe[[#This Row],[Volle]]+Eingabe[[#This Row],[Räumer]]=Eingabe[[#This Row],[S1]]+Eingabe[[#This Row],[S2]]+Eingabe[[#This Row],[S3]]+Eingabe[[#This Row],[S4]],Eingabe[[#This Row],[Volle]]+Eingabe[[#This Row],[Räumer]],"FEHLER")))</f>
        <v/>
      </c>
      <c r="AG739" s="6" t="str">
        <f>IF(Eingabe[[#This Row],[V1]]="","",Eingabe[[#This Row],[V1]]+Eingabe[[#This Row],[R1]])</f>
        <v/>
      </c>
      <c r="AH739" s="6" t="str">
        <f>IF(Eingabe[[#This Row],[V2]]="","",Eingabe[[#This Row],[V2]]+Eingabe[[#This Row],[R2]])</f>
        <v/>
      </c>
      <c r="AI739" s="6" t="str">
        <f>IF(Eingabe[[#This Row],[V3]]="","",Eingabe[[#This Row],[V3]]+Eingabe[[#This Row],[R3]])</f>
        <v/>
      </c>
      <c r="AJ739" s="6" t="str">
        <f>IF(Eingabe[[#This Row],[V4]]="","",Eingabe[[#This Row],[V4]]+Eingabe[[#This Row],[R4]])</f>
        <v/>
      </c>
      <c r="AK739" s="6" t="str">
        <f>IF(Eingabe[[#This Row],[S1P]]="","",Eingabe[[#This Row],[S1P]]+Eingabe[[#This Row],[S2P]]+Eingabe[[#This Row],[S3P]]+Eingabe[[#This Row],[S4P]])</f>
        <v/>
      </c>
      <c r="AL739" s="6" t="str">
        <f>IF(Eingabe[[#This Row],[S1P]]="","",IF(Eingabe[[#This Row],[SP]]&gt;2,1,IF(Eingabe[[#This Row],[SP]]&lt;2,0,IF(Eingabe[[#This Row],[GES]]&gt;Eingabe[[#This Row],[GEGGES]],1,IF(Eingabe[[#This Row],[GES]]=Eingabe[[#This Row],[GEGGES]],0.5,0)))))</f>
        <v/>
      </c>
      <c r="AM739" s="6" t="str">
        <f>IF(Eingabe[[#This Row],[MP]]="","",MOD(ROW(Eingabe[[#This Row],[Position]])-3,6)+1)</f>
        <v/>
      </c>
      <c r="AN739" s="6" t="e">
        <f>STANDARDIZE(Eingabe[[#This Row],[GES]],Eingabe[[#This Row],[Schnitt]],VLOOKUP(Eingabe[[#This Row],[Name]],AuswertungG[],21,FALSE))</f>
        <v>#VALUE!</v>
      </c>
      <c r="AO739" s="6" t="str">
        <f>VLOOKUP(Eingabe[[#This Row],[ID]],Chronologie[[ID]:[KW]],12,FALSE)</f>
        <v/>
      </c>
      <c r="AP739" s="95">
        <f>IF(Eingabe[[#This Row],[Wo]]="H",Eingabe[[#This Row],[Gegner]]&amp;" ["&amp;Eingabe[[#This Row],[Wo]]&amp;"]",Eingabe[[#This Row],[Ort]])</f>
        <v>0</v>
      </c>
      <c r="AQ739" s="6" t="str">
        <f>IFERROR(IF(Eingabe[[#This Row],[Wo]]="H",IF(MOD(Eingabe[[#This Row],[Position]],2)=1,Eingabe[[#This Row],[S1]],Eingabe[[#This Row],[S4]]),""),"")</f>
        <v/>
      </c>
      <c r="AR739" s="6" t="str">
        <f>IFERROR(IF(Eingabe[[#This Row],[Wo]]="H",IF(Eingabe[[#This Row],[S1]]&gt;0,IF(MOD(Eingabe[[#This Row],[Position]],2)=1,Eingabe[[#This Row],[S2]],Eingabe[[#This Row],[S3]]),""),""),"")</f>
        <v/>
      </c>
      <c r="AS739" s="6" t="str">
        <f>IFERROR(IF(Eingabe[[#This Row],[Wo]]="H",IF(Eingabe[[#This Row],[S1]]&gt;0,IF(MOD(ROW(Eingabe[[#This Row],[Heimbahn 3]]),2)=1,Eingabe[[#This Row],[S4]],Eingabe[[#This Row],[S1]]),""),""),"")</f>
        <v/>
      </c>
      <c r="AT739" s="6" t="str">
        <f>IFERROR(IF(Eingabe[[#This Row],[Wo]]="H",IF(Eingabe[[#This Row],[S1]]&gt;0,IF(MOD(ROW(Eingabe[[#This Row],[Heimbahn 4]]),2)=1,Eingabe[[#This Row],[S3]],Eingabe[[#This Row],[S2]]),""),""),"")</f>
        <v/>
      </c>
      <c r="AU739" s="22" t="str">
        <f>IF(Eingabe[[#This Row],[GES]]="","",IF(Eingabe[[#This Row],[Modus]]="L",_xlfn.RANK.EQ(Eingabe[[#This Row],[GES]],AF735:AF740),IF(Eingabe[[#This Row],[Modus]]="P",_xlfn.RANK.EQ(Eingabe[[#This Row],[GES]],AF735:AF740),"")))</f>
        <v/>
      </c>
      <c r="AV739" s="6" t="e">
        <f>VLOOKUP(Eingabe[[#This Row],[Name]],AuswertungG[],8,FALSE)</f>
        <v>#N/A</v>
      </c>
      <c r="AZ739" s="6" t="str">
        <f>IFERROR(ABS(Eingabe[[#This Row],[GES]]-Eingabe[[#This Row],[GEGGES]]),"")</f>
        <v/>
      </c>
    </row>
    <row r="740" spans="1:52" ht="16.2" hidden="1" thickBot="1" x14ac:dyDescent="0.35">
      <c r="A740" s="442"/>
      <c r="B740" s="56">
        <f t="shared" si="81"/>
        <v>123</v>
      </c>
      <c r="C740" s="23">
        <f>VLOOKUP($B740,Chronologie[],7,TRUE)</f>
        <v>0</v>
      </c>
      <c r="D740" s="23">
        <f>VLOOKUP($B740,Chronologie[],8,TRUE)</f>
        <v>0</v>
      </c>
      <c r="E740" s="39">
        <f>VLOOKUP($B740,Chronologie[],9,TRUE)</f>
        <v>0</v>
      </c>
      <c r="F740" s="23">
        <f>VLOOKUP($B740,Chronologie[],COLUMN(F741)-2,TRUE)</f>
        <v>0</v>
      </c>
      <c r="G740" s="23">
        <f>VLOOKUP($B740,Chronologie[],COLUMN(G741)-2,TRUE)</f>
        <v>0</v>
      </c>
      <c r="H740" s="23">
        <f>VLOOKUP($B740,Chronologie[],COLUMN(H741)-2,TRUE)</f>
        <v>0</v>
      </c>
      <c r="I740" s="13" t="str">
        <f>VLOOKUP($B740,Chronologie[],2,TRUE)</f>
        <v>--</v>
      </c>
      <c r="J740" s="244">
        <f>VLOOKUP($B740,Chronologie[],3,TRUE)</f>
        <v>0</v>
      </c>
      <c r="K740" s="239"/>
      <c r="L740" s="239"/>
      <c r="M740" s="239"/>
      <c r="N740" s="239"/>
      <c r="O740" s="239"/>
      <c r="P740" s="239"/>
      <c r="Q740" s="239"/>
      <c r="R740" s="239"/>
      <c r="S740" s="239"/>
      <c r="T740" s="239"/>
      <c r="U740" s="239"/>
      <c r="V740" s="239"/>
      <c r="W740" s="239"/>
      <c r="X740" s="40"/>
      <c r="Y740" s="40"/>
      <c r="Z740" s="40"/>
      <c r="AA740" s="40"/>
      <c r="AB740" s="92"/>
      <c r="AC740" s="96" t="str">
        <f>IF(Eingabe[[#This Row],[V1]]="",IF(Eingabe[[#This Row],[Volle alternativ]]="","",Eingabe[[#This Row],[Volle alternativ]]),SUM(Eingabe[[#This Row],[V1]:[V4]]))</f>
        <v/>
      </c>
      <c r="AD740" s="23" t="str">
        <f>IF(Eingabe[[#This Row],[R1]]="",IF(Eingabe[[#This Row],[Räumer alternativ]]="","",Eingabe[[#This Row],[Räumer alternativ]]),SUM(Eingabe[[#This Row],[R1]:[R4]]))</f>
        <v/>
      </c>
      <c r="AE740" s="23" t="str">
        <f>IF(Eingabe[[#This Row],[F1]]="",IF(Eingabe[[#This Row],[Fehler alternativ]]="","",Eingabe[[#This Row],[Fehler alternativ]]),SUM(Eingabe[[#This Row],[F1]:[F4]]))</f>
        <v/>
      </c>
      <c r="AF740" s="23" t="str">
        <f>IF(Eingabe[[#This Row],[Volle]]="","",IF(Eingabe[[#This Row],[S1]]="",Eingabe[[#This Row],[Volle]]+Eingabe[[#This Row],[Räumer]],IF(Eingabe[[#This Row],[Volle]]+Eingabe[[#This Row],[Räumer]]=Eingabe[[#This Row],[S1]]+Eingabe[[#This Row],[S2]]+Eingabe[[#This Row],[S3]]+Eingabe[[#This Row],[S4]],Eingabe[[#This Row],[Volle]]+Eingabe[[#This Row],[Räumer]],"FEHLER")))</f>
        <v/>
      </c>
      <c r="AG740" s="23" t="str">
        <f>IF(Eingabe[[#This Row],[V1]]="","",Eingabe[[#This Row],[V1]]+Eingabe[[#This Row],[R1]])</f>
        <v/>
      </c>
      <c r="AH740" s="23" t="str">
        <f>IF(Eingabe[[#This Row],[V2]]="","",Eingabe[[#This Row],[V2]]+Eingabe[[#This Row],[R2]])</f>
        <v/>
      </c>
      <c r="AI740" s="23" t="str">
        <f>IF(Eingabe[[#This Row],[V3]]="","",Eingabe[[#This Row],[V3]]+Eingabe[[#This Row],[R3]])</f>
        <v/>
      </c>
      <c r="AJ740" s="23" t="str">
        <f>IF(Eingabe[[#This Row],[V4]]="","",Eingabe[[#This Row],[V4]]+Eingabe[[#This Row],[R4]])</f>
        <v/>
      </c>
      <c r="AK740" s="23" t="str">
        <f>IF(Eingabe[[#This Row],[S1P]]="","",Eingabe[[#This Row],[S1P]]+Eingabe[[#This Row],[S2P]]+Eingabe[[#This Row],[S3P]]+Eingabe[[#This Row],[S4P]])</f>
        <v/>
      </c>
      <c r="AL740" s="23" t="str">
        <f>IF(Eingabe[[#This Row],[S1P]]="","",IF(Eingabe[[#This Row],[SP]]&gt;2,1,IF(Eingabe[[#This Row],[SP]]&lt;2,0,IF(Eingabe[[#This Row],[GES]]&gt;Eingabe[[#This Row],[GEGGES]],1,IF(Eingabe[[#This Row],[GES]]=Eingabe[[#This Row],[GEGGES]],0.5,0)))))</f>
        <v/>
      </c>
      <c r="AM740" s="23" t="str">
        <f>IF(Eingabe[[#This Row],[MP]]="","",MOD(ROW(Eingabe[[#This Row],[Position]])-3,6)+1)</f>
        <v/>
      </c>
      <c r="AN740" s="23" t="e">
        <f>STANDARDIZE(Eingabe[[#This Row],[GES]],Eingabe[[#This Row],[Schnitt]],VLOOKUP(Eingabe[[#This Row],[Name]],AuswertungG[],21,FALSE))</f>
        <v>#VALUE!</v>
      </c>
      <c r="AO740" s="23" t="str">
        <f>VLOOKUP(Eingabe[[#This Row],[ID]],Chronologie[[ID]:[KW]],12,FALSE)</f>
        <v/>
      </c>
      <c r="AP740" s="59">
        <f>IF(Eingabe[[#This Row],[Wo]]="H",Eingabe[[#This Row],[Gegner]]&amp;" ["&amp;Eingabe[[#This Row],[Wo]]&amp;"]",Eingabe[[#This Row],[Ort]])</f>
        <v>0</v>
      </c>
      <c r="AQ740" s="23" t="str">
        <f>IFERROR(IF(Eingabe[[#This Row],[Wo]]="H",IF(MOD(Eingabe[[#This Row],[Position]],2)=1,Eingabe[[#This Row],[S1]],Eingabe[[#This Row],[S4]]),""),"")</f>
        <v/>
      </c>
      <c r="AR740" s="23" t="str">
        <f>IFERROR(IF(Eingabe[[#This Row],[Wo]]="H",IF(Eingabe[[#This Row],[S1]]&gt;0,IF(MOD(Eingabe[[#This Row],[Position]],2)=1,Eingabe[[#This Row],[S2]],Eingabe[[#This Row],[S3]]),""),""),"")</f>
        <v/>
      </c>
      <c r="AS740" s="23" t="str">
        <f>IFERROR(IF(Eingabe[[#This Row],[Wo]]="H",IF(Eingabe[[#This Row],[S1]]&gt;0,IF(MOD(ROW(Eingabe[[#This Row],[Heimbahn 3]]),2)=1,Eingabe[[#This Row],[S4]],Eingabe[[#This Row],[S1]]),""),""),"")</f>
        <v/>
      </c>
      <c r="AT740" s="23" t="str">
        <f>IFERROR(IF(Eingabe[[#This Row],[Wo]]="H",IF(Eingabe[[#This Row],[S1]]&gt;0,IF(MOD(ROW(Eingabe[[#This Row],[Heimbahn 4]]),2)=1,Eingabe[[#This Row],[S3]],Eingabe[[#This Row],[S2]]),""),""),"")</f>
        <v/>
      </c>
      <c r="AU740" s="89" t="str">
        <f>IF(Eingabe[[#This Row],[GES]]="","",IF(Eingabe[[#This Row],[Modus]]="L",_xlfn.RANK.EQ(Eingabe[[#This Row],[GES]],AF735:AF740),IF(Eingabe[[#This Row],[Modus]]="P",_xlfn.RANK.EQ(Eingabe[[#This Row],[GES]],AF735:AF740),"")))</f>
        <v/>
      </c>
      <c r="AV740" s="6" t="e">
        <f>VLOOKUP(Eingabe[[#This Row],[Name]],AuswertungG[],8,FALSE)</f>
        <v>#N/A</v>
      </c>
      <c r="AZ740" s="6" t="str">
        <f>IFERROR(ABS(Eingabe[[#This Row],[GES]]-Eingabe[[#This Row],[GEGGES]]),"")</f>
        <v/>
      </c>
    </row>
    <row r="741" spans="1:52" hidden="1" x14ac:dyDescent="0.3">
      <c r="A741" s="440">
        <f t="shared" ref="A741" si="83">B741</f>
        <v>124</v>
      </c>
      <c r="B741" s="55">
        <f t="shared" si="81"/>
        <v>124</v>
      </c>
      <c r="C741" s="35">
        <f>VLOOKUP($B741,Chronologie[],7,TRUE)</f>
        <v>0</v>
      </c>
      <c r="D741" s="35">
        <f>VLOOKUP($B741,Chronologie[],8,TRUE)</f>
        <v>0</v>
      </c>
      <c r="E741" s="36">
        <f>VLOOKUP($B741,Chronologie[],9,TRUE)</f>
        <v>0</v>
      </c>
      <c r="F741" s="35">
        <f>VLOOKUP($B741,Chronologie[],COLUMN(F742)-2,TRUE)</f>
        <v>0</v>
      </c>
      <c r="G741" s="35">
        <f>VLOOKUP($B741,Chronologie[],COLUMN(G742)-2,TRUE)</f>
        <v>0</v>
      </c>
      <c r="H741" s="35">
        <f>VLOOKUP($B741,Chronologie[],COLUMN(H742)-2,TRUE)</f>
        <v>0</v>
      </c>
      <c r="I741" s="9" t="str">
        <f>VLOOKUP($B741,Chronologie[],2,TRUE)</f>
        <v>--</v>
      </c>
      <c r="J741" s="242">
        <f>VLOOKUP($B741,Chronologie[],3,TRUE)</f>
        <v>0</v>
      </c>
      <c r="K741" s="236"/>
      <c r="L741" s="334"/>
      <c r="M741" s="334"/>
      <c r="N741" s="334"/>
      <c r="O741" s="334"/>
      <c r="P741" s="334"/>
      <c r="Q741" s="334"/>
      <c r="R741" s="334"/>
      <c r="S741" s="334"/>
      <c r="T741" s="334"/>
      <c r="U741" s="334"/>
      <c r="V741" s="334"/>
      <c r="W741" s="334"/>
      <c r="X741" s="37"/>
      <c r="Y741" s="37"/>
      <c r="Z741" s="37"/>
      <c r="AA741" s="37"/>
      <c r="AB741" s="90"/>
      <c r="AC741" s="93" t="str">
        <f>IF(Eingabe[[#This Row],[V1]]="",IF(Eingabe[[#This Row],[Volle alternativ]]="","",Eingabe[[#This Row],[Volle alternativ]]),SUM(Eingabe[[#This Row],[V1]:[V4]]))</f>
        <v/>
      </c>
      <c r="AD741" s="35" t="str">
        <f>IF(Eingabe[[#This Row],[R1]]="",IF(Eingabe[[#This Row],[Räumer alternativ]]="","",Eingabe[[#This Row],[Räumer alternativ]]),SUM(Eingabe[[#This Row],[R1]:[R4]]))</f>
        <v/>
      </c>
      <c r="AE741" s="35" t="str">
        <f>IF(Eingabe[[#This Row],[F1]]="",IF(Eingabe[[#This Row],[Fehler alternativ]]="","",Eingabe[[#This Row],[Fehler alternativ]]),SUM(Eingabe[[#This Row],[F1]:[F4]]))</f>
        <v/>
      </c>
      <c r="AF741" s="35" t="str">
        <f>IF(Eingabe[[#This Row],[Volle]]="","",IF(Eingabe[[#This Row],[S1]]="",Eingabe[[#This Row],[Volle]]+Eingabe[[#This Row],[Räumer]],IF(Eingabe[[#This Row],[Volle]]+Eingabe[[#This Row],[Räumer]]=Eingabe[[#This Row],[S1]]+Eingabe[[#This Row],[S2]]+Eingabe[[#This Row],[S3]]+Eingabe[[#This Row],[S4]],Eingabe[[#This Row],[Volle]]+Eingabe[[#This Row],[Räumer]],"FEHLER")))</f>
        <v/>
      </c>
      <c r="AG741" s="35" t="str">
        <f>IF(Eingabe[[#This Row],[V1]]="","",Eingabe[[#This Row],[V1]]+Eingabe[[#This Row],[R1]])</f>
        <v/>
      </c>
      <c r="AH741" s="35" t="str">
        <f>IF(Eingabe[[#This Row],[V2]]="","",Eingabe[[#This Row],[V2]]+Eingabe[[#This Row],[R2]])</f>
        <v/>
      </c>
      <c r="AI741" s="35" t="str">
        <f>IF(Eingabe[[#This Row],[V3]]="","",Eingabe[[#This Row],[V3]]+Eingabe[[#This Row],[R3]])</f>
        <v/>
      </c>
      <c r="AJ741" s="35" t="str">
        <f>IF(Eingabe[[#This Row],[V4]]="","",Eingabe[[#This Row],[V4]]+Eingabe[[#This Row],[R4]])</f>
        <v/>
      </c>
      <c r="AK741" s="35" t="str">
        <f>IF(Eingabe[[#This Row],[S1P]]="","",Eingabe[[#This Row],[S1P]]+Eingabe[[#This Row],[S2P]]+Eingabe[[#This Row],[S3P]]+Eingabe[[#This Row],[S4P]])</f>
        <v/>
      </c>
      <c r="AL741" s="35" t="str">
        <f>IF(Eingabe[[#This Row],[S1P]]="","",IF(Eingabe[[#This Row],[SP]]&gt;2,1,IF(Eingabe[[#This Row],[SP]]&lt;2,0,IF(Eingabe[[#This Row],[GES]]&gt;Eingabe[[#This Row],[GEGGES]],1,IF(Eingabe[[#This Row],[GES]]=Eingabe[[#This Row],[GEGGES]],0.5,0)))))</f>
        <v/>
      </c>
      <c r="AM741" s="35" t="str">
        <f>IF(Eingabe[[#This Row],[MP]]="","",MOD(ROW(Eingabe[[#This Row],[Position]])-3,6)+1)</f>
        <v/>
      </c>
      <c r="AN741" s="35" t="e">
        <f>STANDARDIZE(Eingabe[[#This Row],[GES]],Eingabe[[#This Row],[Schnitt]],VLOOKUP(Eingabe[[#This Row],[Name]],AuswertungG[],21,FALSE))</f>
        <v>#VALUE!</v>
      </c>
      <c r="AO741" s="35" t="str">
        <f>VLOOKUP(Eingabe[[#This Row],[ID]],Chronologie[[ID]:[KW]],12,FALSE)</f>
        <v/>
      </c>
      <c r="AP741" s="58">
        <f>IF(Eingabe[[#This Row],[Wo]]="H",Eingabe[[#This Row],[Gegner]]&amp;" ["&amp;Eingabe[[#This Row],[Wo]]&amp;"]",Eingabe[[#This Row],[Ort]])</f>
        <v>0</v>
      </c>
      <c r="AQ741" s="35" t="str">
        <f>IFERROR(IF(Eingabe[[#This Row],[Wo]]="H",IF(MOD(Eingabe[[#This Row],[Position]],2)=1,Eingabe[[#This Row],[S1]],Eingabe[[#This Row],[S4]]),""),"")</f>
        <v/>
      </c>
      <c r="AR741" s="35" t="str">
        <f>IFERROR(IF(Eingabe[[#This Row],[Wo]]="H",IF(Eingabe[[#This Row],[S1]]&gt;0,IF(MOD(Eingabe[[#This Row],[Position]],2)=1,Eingabe[[#This Row],[S2]],Eingabe[[#This Row],[S3]]),""),""),"")</f>
        <v/>
      </c>
      <c r="AS741" s="35" t="str">
        <f>IFERROR(IF(Eingabe[[#This Row],[Wo]]="H",IF(Eingabe[[#This Row],[S1]]&gt;0,IF(MOD(ROW(Eingabe[[#This Row],[Heimbahn 3]]),2)=1,Eingabe[[#This Row],[S4]],Eingabe[[#This Row],[S1]]),""),""),"")</f>
        <v/>
      </c>
      <c r="AT741" s="35" t="str">
        <f>IFERROR(IF(Eingabe[[#This Row],[Wo]]="H",IF(Eingabe[[#This Row],[S1]]&gt;0,IF(MOD(ROW(Eingabe[[#This Row],[Heimbahn 4]]),2)=1,Eingabe[[#This Row],[S3]],Eingabe[[#This Row],[S2]]),""),""),"")</f>
        <v/>
      </c>
      <c r="AU741" s="88" t="str">
        <f>IF(Eingabe[[#This Row],[GES]]="","",IF(Eingabe[[#This Row],[Modus]]="L",_xlfn.RANK.EQ(Eingabe[[#This Row],[GES]],AF741:AF746),IF(Eingabe[[#This Row],[Modus]]="P",_xlfn.RANK.EQ(Eingabe[[#This Row],[GES]],AF741:AF746),"")))</f>
        <v/>
      </c>
      <c r="AV741" s="6" t="e">
        <f>VLOOKUP(Eingabe[[#This Row],[Name]],AuswertungG[],8,FALSE)</f>
        <v>#N/A</v>
      </c>
      <c r="AZ741" s="6" t="str">
        <f>IFERROR(ABS(Eingabe[[#This Row],[GES]]-Eingabe[[#This Row],[GEGGES]]),"")</f>
        <v/>
      </c>
    </row>
    <row r="742" spans="1:52" hidden="1" x14ac:dyDescent="0.3">
      <c r="A742" s="441"/>
      <c r="B742" s="21">
        <f t="shared" si="81"/>
        <v>124</v>
      </c>
      <c r="C742" s="6">
        <f>VLOOKUP($B742,Chronologie[],7,TRUE)</f>
        <v>0</v>
      </c>
      <c r="D742" s="6">
        <f>VLOOKUP($B742,Chronologie[],8,TRUE)</f>
        <v>0</v>
      </c>
      <c r="E742" s="240">
        <f>VLOOKUP($B742,Chronologie[],9,TRUE)</f>
        <v>0</v>
      </c>
      <c r="F742" s="6">
        <f>VLOOKUP($B742,Chronologie[],COLUMN(F743)-2,TRUE)</f>
        <v>0</v>
      </c>
      <c r="G742" s="6">
        <f>VLOOKUP($B742,Chronologie[],COLUMN(G743)-2,TRUE)</f>
        <v>0</v>
      </c>
      <c r="H742" s="6">
        <f>VLOOKUP($B742,Chronologie[],COLUMN(H743)-2,TRUE)</f>
        <v>0</v>
      </c>
      <c r="I742" s="10" t="str">
        <f>VLOOKUP($B742,Chronologie[],2,TRUE)</f>
        <v>--</v>
      </c>
      <c r="J742" s="243">
        <f>VLOOKUP($B742,Chronologie[],3,TRUE)</f>
        <v>0</v>
      </c>
      <c r="K742" s="237"/>
      <c r="L742" s="237"/>
      <c r="M742" s="237"/>
      <c r="N742" s="237"/>
      <c r="O742" s="237"/>
      <c r="P742" s="237"/>
      <c r="Q742" s="237"/>
      <c r="R742" s="237"/>
      <c r="S742" s="237"/>
      <c r="T742" s="237"/>
      <c r="U742" s="237"/>
      <c r="V742" s="237"/>
      <c r="W742" s="237"/>
      <c r="X742" s="38"/>
      <c r="Y742" s="38"/>
      <c r="Z742" s="38"/>
      <c r="AA742" s="38"/>
      <c r="AB742" s="91"/>
      <c r="AC742" s="94" t="str">
        <f>IF(Eingabe[[#This Row],[V1]]="",IF(Eingabe[[#This Row],[Volle alternativ]]="","",Eingabe[[#This Row],[Volle alternativ]]),SUM(Eingabe[[#This Row],[V1]:[V4]]))</f>
        <v/>
      </c>
      <c r="AD742" s="6" t="str">
        <f>IF(Eingabe[[#This Row],[R1]]="",IF(Eingabe[[#This Row],[Räumer alternativ]]="","",Eingabe[[#This Row],[Räumer alternativ]]),SUM(Eingabe[[#This Row],[R1]:[R4]]))</f>
        <v/>
      </c>
      <c r="AE742" s="6" t="str">
        <f>IF(Eingabe[[#This Row],[F1]]="",IF(Eingabe[[#This Row],[Fehler alternativ]]="","",Eingabe[[#This Row],[Fehler alternativ]]),SUM(Eingabe[[#This Row],[F1]:[F4]]))</f>
        <v/>
      </c>
      <c r="AF742" s="6" t="str">
        <f>IF(Eingabe[[#This Row],[Volle]]="","",IF(Eingabe[[#This Row],[S1]]="",Eingabe[[#This Row],[Volle]]+Eingabe[[#This Row],[Räumer]],IF(Eingabe[[#This Row],[Volle]]+Eingabe[[#This Row],[Räumer]]=Eingabe[[#This Row],[S1]]+Eingabe[[#This Row],[S2]]+Eingabe[[#This Row],[S3]]+Eingabe[[#This Row],[S4]],Eingabe[[#This Row],[Volle]]+Eingabe[[#This Row],[Räumer]],"FEHLER")))</f>
        <v/>
      </c>
      <c r="AG742" s="6" t="str">
        <f>IF(Eingabe[[#This Row],[V1]]="","",Eingabe[[#This Row],[V1]]+Eingabe[[#This Row],[R1]])</f>
        <v/>
      </c>
      <c r="AH742" s="6" t="str">
        <f>IF(Eingabe[[#This Row],[V2]]="","",Eingabe[[#This Row],[V2]]+Eingabe[[#This Row],[R2]])</f>
        <v/>
      </c>
      <c r="AI742" s="6" t="str">
        <f>IF(Eingabe[[#This Row],[V3]]="","",Eingabe[[#This Row],[V3]]+Eingabe[[#This Row],[R3]])</f>
        <v/>
      </c>
      <c r="AJ742" s="6" t="str">
        <f>IF(Eingabe[[#This Row],[V4]]="","",Eingabe[[#This Row],[V4]]+Eingabe[[#This Row],[R4]])</f>
        <v/>
      </c>
      <c r="AK742" s="6" t="str">
        <f>IF(Eingabe[[#This Row],[S1P]]="","",Eingabe[[#This Row],[S1P]]+Eingabe[[#This Row],[S2P]]+Eingabe[[#This Row],[S3P]]+Eingabe[[#This Row],[S4P]])</f>
        <v/>
      </c>
      <c r="AL742" s="6" t="str">
        <f>IF(Eingabe[[#This Row],[S1P]]="","",IF(Eingabe[[#This Row],[SP]]&gt;2,1,IF(Eingabe[[#This Row],[SP]]&lt;2,0,IF(Eingabe[[#This Row],[GES]]&gt;Eingabe[[#This Row],[GEGGES]],1,IF(Eingabe[[#This Row],[GES]]=Eingabe[[#This Row],[GEGGES]],0.5,0)))))</f>
        <v/>
      </c>
      <c r="AM742" s="6" t="str">
        <f>IF(Eingabe[[#This Row],[MP]]="","",MOD(ROW(Eingabe[[#This Row],[Position]])-3,6)+1)</f>
        <v/>
      </c>
      <c r="AN742" s="6" t="e">
        <f>STANDARDIZE(Eingabe[[#This Row],[GES]],Eingabe[[#This Row],[Schnitt]],VLOOKUP(Eingabe[[#This Row],[Name]],AuswertungG[],21,FALSE))</f>
        <v>#VALUE!</v>
      </c>
      <c r="AO742" s="6" t="str">
        <f>VLOOKUP(Eingabe[[#This Row],[ID]],Chronologie[[ID]:[KW]],12,FALSE)</f>
        <v/>
      </c>
      <c r="AP742" s="95">
        <f>IF(Eingabe[[#This Row],[Wo]]="H",Eingabe[[#This Row],[Gegner]]&amp;" ["&amp;Eingabe[[#This Row],[Wo]]&amp;"]",Eingabe[[#This Row],[Ort]])</f>
        <v>0</v>
      </c>
      <c r="AQ742" s="6" t="str">
        <f>IFERROR(IF(Eingabe[[#This Row],[Wo]]="H",IF(MOD(Eingabe[[#This Row],[Position]],2)=1,Eingabe[[#This Row],[S1]],Eingabe[[#This Row],[S4]]),""),"")</f>
        <v/>
      </c>
      <c r="AR742" s="6" t="str">
        <f>IFERROR(IF(Eingabe[[#This Row],[Wo]]="H",IF(Eingabe[[#This Row],[S1]]&gt;0,IF(MOD(Eingabe[[#This Row],[Position]],2)=1,Eingabe[[#This Row],[S2]],Eingabe[[#This Row],[S3]]),""),""),"")</f>
        <v/>
      </c>
      <c r="AS742" s="6" t="str">
        <f>IFERROR(IF(Eingabe[[#This Row],[Wo]]="H",IF(Eingabe[[#This Row],[S1]]&gt;0,IF(MOD(ROW(Eingabe[[#This Row],[Heimbahn 3]]),2)=1,Eingabe[[#This Row],[S4]],Eingabe[[#This Row],[S1]]),""),""),"")</f>
        <v/>
      </c>
      <c r="AT742" s="6" t="str">
        <f>IFERROR(IF(Eingabe[[#This Row],[Wo]]="H",IF(Eingabe[[#This Row],[S1]]&gt;0,IF(MOD(ROW(Eingabe[[#This Row],[Heimbahn 4]]),2)=1,Eingabe[[#This Row],[S3]],Eingabe[[#This Row],[S2]]),""),""),"")</f>
        <v/>
      </c>
      <c r="AU742" s="22" t="str">
        <f>IF(Eingabe[[#This Row],[GES]]="","",IF(Eingabe[[#This Row],[Modus]]="L",_xlfn.RANK.EQ(Eingabe[[#This Row],[GES]],AF741:AF746),IF(Eingabe[[#This Row],[Modus]]="P",_xlfn.RANK.EQ(Eingabe[[#This Row],[GES]],AF741:AF746),"")))</f>
        <v/>
      </c>
      <c r="AV742" s="6" t="e">
        <f>VLOOKUP(Eingabe[[#This Row],[Name]],AuswertungG[],8,FALSE)</f>
        <v>#N/A</v>
      </c>
      <c r="AZ742" s="6" t="str">
        <f>IFERROR(ABS(Eingabe[[#This Row],[GES]]-Eingabe[[#This Row],[GEGGES]]),"")</f>
        <v/>
      </c>
    </row>
    <row r="743" spans="1:52" hidden="1" x14ac:dyDescent="0.3">
      <c r="A743" s="441"/>
      <c r="B743" s="21">
        <f t="shared" si="81"/>
        <v>124</v>
      </c>
      <c r="C743" s="6">
        <f>VLOOKUP($B743,Chronologie[],7,TRUE)</f>
        <v>0</v>
      </c>
      <c r="D743" s="6">
        <f>VLOOKUP($B743,Chronologie[],8,TRUE)</f>
        <v>0</v>
      </c>
      <c r="E743" s="240">
        <f>VLOOKUP($B743,Chronologie[],9,TRUE)</f>
        <v>0</v>
      </c>
      <c r="F743" s="6">
        <f>VLOOKUP($B743,Chronologie[],COLUMN(F744)-2,TRUE)</f>
        <v>0</v>
      </c>
      <c r="G743" s="6">
        <f>VLOOKUP($B743,Chronologie[],COLUMN(G744)-2,TRUE)</f>
        <v>0</v>
      </c>
      <c r="H743" s="6">
        <f>VLOOKUP($B743,Chronologie[],COLUMN(H744)-2,TRUE)</f>
        <v>0</v>
      </c>
      <c r="I743" s="10" t="str">
        <f>VLOOKUP($B743,Chronologie[],2,TRUE)</f>
        <v>--</v>
      </c>
      <c r="J743" s="243">
        <f>VLOOKUP($B743,Chronologie[],3,TRUE)</f>
        <v>0</v>
      </c>
      <c r="K743" s="237"/>
      <c r="L743" s="237"/>
      <c r="M743" s="237"/>
      <c r="N743" s="237"/>
      <c r="O743" s="237"/>
      <c r="P743" s="237"/>
      <c r="Q743" s="237"/>
      <c r="R743" s="237"/>
      <c r="S743" s="237"/>
      <c r="T743" s="237"/>
      <c r="U743" s="237"/>
      <c r="V743" s="237"/>
      <c r="W743" s="237"/>
      <c r="X743" s="38"/>
      <c r="Y743" s="38"/>
      <c r="Z743" s="38"/>
      <c r="AA743" s="38"/>
      <c r="AB743" s="91"/>
      <c r="AC743" s="94" t="str">
        <f>IF(Eingabe[[#This Row],[V1]]="",IF(Eingabe[[#This Row],[Volle alternativ]]="","",Eingabe[[#This Row],[Volle alternativ]]),SUM(Eingabe[[#This Row],[V1]:[V4]]))</f>
        <v/>
      </c>
      <c r="AD743" s="6" t="str">
        <f>IF(Eingabe[[#This Row],[R1]]="",IF(Eingabe[[#This Row],[Räumer alternativ]]="","",Eingabe[[#This Row],[Räumer alternativ]]),SUM(Eingabe[[#This Row],[R1]:[R4]]))</f>
        <v/>
      </c>
      <c r="AE743" s="6" t="str">
        <f>IF(Eingabe[[#This Row],[F1]]="",IF(Eingabe[[#This Row],[Fehler alternativ]]="","",Eingabe[[#This Row],[Fehler alternativ]]),SUM(Eingabe[[#This Row],[F1]:[F4]]))</f>
        <v/>
      </c>
      <c r="AF743" s="6" t="str">
        <f>IF(Eingabe[[#This Row],[Volle]]="","",IF(Eingabe[[#This Row],[S1]]="",Eingabe[[#This Row],[Volle]]+Eingabe[[#This Row],[Räumer]],IF(Eingabe[[#This Row],[Volle]]+Eingabe[[#This Row],[Räumer]]=Eingabe[[#This Row],[S1]]+Eingabe[[#This Row],[S2]]+Eingabe[[#This Row],[S3]]+Eingabe[[#This Row],[S4]],Eingabe[[#This Row],[Volle]]+Eingabe[[#This Row],[Räumer]],"FEHLER")))</f>
        <v/>
      </c>
      <c r="AG743" s="6" t="str">
        <f>IF(Eingabe[[#This Row],[V1]]="","",Eingabe[[#This Row],[V1]]+Eingabe[[#This Row],[R1]])</f>
        <v/>
      </c>
      <c r="AH743" s="6" t="str">
        <f>IF(Eingabe[[#This Row],[V2]]="","",Eingabe[[#This Row],[V2]]+Eingabe[[#This Row],[R2]])</f>
        <v/>
      </c>
      <c r="AI743" s="6" t="str">
        <f>IF(Eingabe[[#This Row],[V3]]="","",Eingabe[[#This Row],[V3]]+Eingabe[[#This Row],[R3]])</f>
        <v/>
      </c>
      <c r="AJ743" s="6" t="str">
        <f>IF(Eingabe[[#This Row],[V4]]="","",Eingabe[[#This Row],[V4]]+Eingabe[[#This Row],[R4]])</f>
        <v/>
      </c>
      <c r="AK743" s="6" t="str">
        <f>IF(Eingabe[[#This Row],[S1P]]="","",Eingabe[[#This Row],[S1P]]+Eingabe[[#This Row],[S2P]]+Eingabe[[#This Row],[S3P]]+Eingabe[[#This Row],[S4P]])</f>
        <v/>
      </c>
      <c r="AL743" s="6" t="str">
        <f>IF(Eingabe[[#This Row],[S1P]]="","",IF(Eingabe[[#This Row],[SP]]&gt;2,1,IF(Eingabe[[#This Row],[SP]]&lt;2,0,IF(Eingabe[[#This Row],[GES]]&gt;Eingabe[[#This Row],[GEGGES]],1,IF(Eingabe[[#This Row],[GES]]=Eingabe[[#This Row],[GEGGES]],0.5,0)))))</f>
        <v/>
      </c>
      <c r="AM743" s="6" t="str">
        <f>IF(Eingabe[[#This Row],[MP]]="","",MOD(ROW(Eingabe[[#This Row],[Position]])-3,6)+1)</f>
        <v/>
      </c>
      <c r="AN743" s="6" t="e">
        <f>STANDARDIZE(Eingabe[[#This Row],[GES]],Eingabe[[#This Row],[Schnitt]],VLOOKUP(Eingabe[[#This Row],[Name]],AuswertungG[],21,FALSE))</f>
        <v>#VALUE!</v>
      </c>
      <c r="AO743" s="6" t="str">
        <f>VLOOKUP(Eingabe[[#This Row],[ID]],Chronologie[[ID]:[KW]],12,FALSE)</f>
        <v/>
      </c>
      <c r="AP743" s="95">
        <f>IF(Eingabe[[#This Row],[Wo]]="H",Eingabe[[#This Row],[Gegner]]&amp;" ["&amp;Eingabe[[#This Row],[Wo]]&amp;"]",Eingabe[[#This Row],[Ort]])</f>
        <v>0</v>
      </c>
      <c r="AQ743" s="6" t="str">
        <f>IFERROR(IF(Eingabe[[#This Row],[Wo]]="H",IF(MOD(Eingabe[[#This Row],[Position]],2)=1,Eingabe[[#This Row],[S1]],Eingabe[[#This Row],[S4]]),""),"")</f>
        <v/>
      </c>
      <c r="AR743" s="6" t="str">
        <f>IFERROR(IF(Eingabe[[#This Row],[Wo]]="H",IF(Eingabe[[#This Row],[S1]]&gt;0,IF(MOD(Eingabe[[#This Row],[Position]],2)=1,Eingabe[[#This Row],[S2]],Eingabe[[#This Row],[S3]]),""),""),"")</f>
        <v/>
      </c>
      <c r="AS743" s="6" t="str">
        <f>IFERROR(IF(Eingabe[[#This Row],[Wo]]="H",IF(Eingabe[[#This Row],[S1]]&gt;0,IF(MOD(ROW(Eingabe[[#This Row],[Heimbahn 3]]),2)=1,Eingabe[[#This Row],[S4]],Eingabe[[#This Row],[S1]]),""),""),"")</f>
        <v/>
      </c>
      <c r="AT743" s="6" t="str">
        <f>IFERROR(IF(Eingabe[[#This Row],[Wo]]="H",IF(Eingabe[[#This Row],[S1]]&gt;0,IF(MOD(ROW(Eingabe[[#This Row],[Heimbahn 4]]),2)=1,Eingabe[[#This Row],[S3]],Eingabe[[#This Row],[S2]]),""),""),"")</f>
        <v/>
      </c>
      <c r="AU743" s="22" t="str">
        <f>IF(Eingabe[[#This Row],[GES]]="","",IF(Eingabe[[#This Row],[Modus]]="L",_xlfn.RANK.EQ(Eingabe[[#This Row],[GES]],AF741:AF746),IF(Eingabe[[#This Row],[Modus]]="P",_xlfn.RANK.EQ(Eingabe[[#This Row],[GES]],AF741:AF746),"")))</f>
        <v/>
      </c>
      <c r="AV743" s="6" t="e">
        <f>VLOOKUP(Eingabe[[#This Row],[Name]],AuswertungG[],8,FALSE)</f>
        <v>#N/A</v>
      </c>
      <c r="AZ743" s="6" t="str">
        <f>IFERROR(ABS(Eingabe[[#This Row],[GES]]-Eingabe[[#This Row],[GEGGES]]),"")</f>
        <v/>
      </c>
    </row>
    <row r="744" spans="1:52" hidden="1" x14ac:dyDescent="0.3">
      <c r="A744" s="441"/>
      <c r="B744" s="21">
        <f t="shared" si="81"/>
        <v>124</v>
      </c>
      <c r="C744" s="6">
        <f>VLOOKUP($B744,Chronologie[],7,TRUE)</f>
        <v>0</v>
      </c>
      <c r="D744" s="6">
        <f>VLOOKUP($B744,Chronologie[],8,TRUE)</f>
        <v>0</v>
      </c>
      <c r="E744" s="240">
        <f>VLOOKUP($B744,Chronologie[],9,TRUE)</f>
        <v>0</v>
      </c>
      <c r="F744" s="6">
        <f>VLOOKUP($B744,Chronologie[],COLUMN(F745)-2,TRUE)</f>
        <v>0</v>
      </c>
      <c r="G744" s="6">
        <f>VLOOKUP($B744,Chronologie[],COLUMN(G745)-2,TRUE)</f>
        <v>0</v>
      </c>
      <c r="H744" s="6">
        <f>VLOOKUP($B744,Chronologie[],COLUMN(H745)-2,TRUE)</f>
        <v>0</v>
      </c>
      <c r="I744" s="10" t="str">
        <f>VLOOKUP($B744,Chronologie[],2,TRUE)</f>
        <v>--</v>
      </c>
      <c r="J744" s="243">
        <f>VLOOKUP($B744,Chronologie[],3,TRUE)</f>
        <v>0</v>
      </c>
      <c r="K744" s="238"/>
      <c r="L744" s="237"/>
      <c r="M744" s="237"/>
      <c r="N744" s="237"/>
      <c r="O744" s="237"/>
      <c r="P744" s="237"/>
      <c r="Q744" s="237"/>
      <c r="R744" s="237"/>
      <c r="S744" s="237"/>
      <c r="T744" s="237"/>
      <c r="U744" s="237"/>
      <c r="V744" s="237"/>
      <c r="W744" s="237"/>
      <c r="X744" s="38"/>
      <c r="Y744" s="38"/>
      <c r="Z744" s="38"/>
      <c r="AA744" s="38"/>
      <c r="AB744" s="91"/>
      <c r="AC744" s="94" t="str">
        <f>IF(Eingabe[[#This Row],[V1]]="",IF(Eingabe[[#This Row],[Volle alternativ]]="","",Eingabe[[#This Row],[Volle alternativ]]),SUM(Eingabe[[#This Row],[V1]:[V4]]))</f>
        <v/>
      </c>
      <c r="AD744" s="6" t="str">
        <f>IF(Eingabe[[#This Row],[R1]]="",IF(Eingabe[[#This Row],[Räumer alternativ]]="","",Eingabe[[#This Row],[Räumer alternativ]]),SUM(Eingabe[[#This Row],[R1]:[R4]]))</f>
        <v/>
      </c>
      <c r="AE744" s="6" t="str">
        <f>IF(Eingabe[[#This Row],[F1]]="",IF(Eingabe[[#This Row],[Fehler alternativ]]="","",Eingabe[[#This Row],[Fehler alternativ]]),SUM(Eingabe[[#This Row],[F1]:[F4]]))</f>
        <v/>
      </c>
      <c r="AF744" s="6" t="str">
        <f>IF(Eingabe[[#This Row],[Volle]]="","",IF(Eingabe[[#This Row],[S1]]="",Eingabe[[#This Row],[Volle]]+Eingabe[[#This Row],[Räumer]],IF(Eingabe[[#This Row],[Volle]]+Eingabe[[#This Row],[Räumer]]=Eingabe[[#This Row],[S1]]+Eingabe[[#This Row],[S2]]+Eingabe[[#This Row],[S3]]+Eingabe[[#This Row],[S4]],Eingabe[[#This Row],[Volle]]+Eingabe[[#This Row],[Räumer]],"FEHLER")))</f>
        <v/>
      </c>
      <c r="AG744" s="6" t="str">
        <f>IF(Eingabe[[#This Row],[V1]]="","",Eingabe[[#This Row],[V1]]+Eingabe[[#This Row],[R1]])</f>
        <v/>
      </c>
      <c r="AH744" s="6" t="str">
        <f>IF(Eingabe[[#This Row],[V2]]="","",Eingabe[[#This Row],[V2]]+Eingabe[[#This Row],[R2]])</f>
        <v/>
      </c>
      <c r="AI744" s="6" t="str">
        <f>IF(Eingabe[[#This Row],[V3]]="","",Eingabe[[#This Row],[V3]]+Eingabe[[#This Row],[R3]])</f>
        <v/>
      </c>
      <c r="AJ744" s="6" t="str">
        <f>IF(Eingabe[[#This Row],[V4]]="","",Eingabe[[#This Row],[V4]]+Eingabe[[#This Row],[R4]])</f>
        <v/>
      </c>
      <c r="AK744" s="6" t="str">
        <f>IF(Eingabe[[#This Row],[S1P]]="","",Eingabe[[#This Row],[S1P]]+Eingabe[[#This Row],[S2P]]+Eingabe[[#This Row],[S3P]]+Eingabe[[#This Row],[S4P]])</f>
        <v/>
      </c>
      <c r="AL744" s="6" t="str">
        <f>IF(Eingabe[[#This Row],[S1P]]="","",IF(Eingabe[[#This Row],[SP]]&gt;2,1,IF(Eingabe[[#This Row],[SP]]&lt;2,0,IF(Eingabe[[#This Row],[GES]]&gt;Eingabe[[#This Row],[GEGGES]],1,IF(Eingabe[[#This Row],[GES]]=Eingabe[[#This Row],[GEGGES]],0.5,0)))))</f>
        <v/>
      </c>
      <c r="AM744" s="6" t="str">
        <f>IF(Eingabe[[#This Row],[MP]]="","",MOD(ROW(Eingabe[[#This Row],[Position]])-3,6)+1)</f>
        <v/>
      </c>
      <c r="AN744" s="6" t="e">
        <f>STANDARDIZE(Eingabe[[#This Row],[GES]],Eingabe[[#This Row],[Schnitt]],VLOOKUP(Eingabe[[#This Row],[Name]],AuswertungG[],21,FALSE))</f>
        <v>#VALUE!</v>
      </c>
      <c r="AO744" s="6" t="str">
        <f>VLOOKUP(Eingabe[[#This Row],[ID]],Chronologie[[ID]:[KW]],12,FALSE)</f>
        <v/>
      </c>
      <c r="AP744" s="95">
        <f>IF(Eingabe[[#This Row],[Wo]]="H",Eingabe[[#This Row],[Gegner]]&amp;" ["&amp;Eingabe[[#This Row],[Wo]]&amp;"]",Eingabe[[#This Row],[Ort]])</f>
        <v>0</v>
      </c>
      <c r="AQ744" s="6" t="str">
        <f>IFERROR(IF(Eingabe[[#This Row],[Wo]]="H",IF(MOD(Eingabe[[#This Row],[Position]],2)=1,Eingabe[[#This Row],[S1]],Eingabe[[#This Row],[S4]]),""),"")</f>
        <v/>
      </c>
      <c r="AR744" s="6" t="str">
        <f>IFERROR(IF(Eingabe[[#This Row],[Wo]]="H",IF(Eingabe[[#This Row],[S1]]&gt;0,IF(MOD(Eingabe[[#This Row],[Position]],2)=1,Eingabe[[#This Row],[S2]],Eingabe[[#This Row],[S3]]),""),""),"")</f>
        <v/>
      </c>
      <c r="AS744" s="6" t="str">
        <f>IFERROR(IF(Eingabe[[#This Row],[Wo]]="H",IF(Eingabe[[#This Row],[S1]]&gt;0,IF(MOD(ROW(Eingabe[[#This Row],[Heimbahn 3]]),2)=1,Eingabe[[#This Row],[S4]],Eingabe[[#This Row],[S1]]),""),""),"")</f>
        <v/>
      </c>
      <c r="AT744" s="6" t="str">
        <f>IFERROR(IF(Eingabe[[#This Row],[Wo]]="H",IF(Eingabe[[#This Row],[S1]]&gt;0,IF(MOD(ROW(Eingabe[[#This Row],[Heimbahn 4]]),2)=1,Eingabe[[#This Row],[S3]],Eingabe[[#This Row],[S2]]),""),""),"")</f>
        <v/>
      </c>
      <c r="AU744" s="22" t="str">
        <f>IF(Eingabe[[#This Row],[GES]]="","",IF(Eingabe[[#This Row],[Modus]]="L",_xlfn.RANK.EQ(Eingabe[[#This Row],[GES]],AF741:AF746),IF(Eingabe[[#This Row],[Modus]]="P",_xlfn.RANK.EQ(Eingabe[[#This Row],[GES]],AF741:AF746),"")))</f>
        <v/>
      </c>
      <c r="AV744" s="6" t="e">
        <f>VLOOKUP(Eingabe[[#This Row],[Name]],AuswertungG[],8,FALSE)</f>
        <v>#N/A</v>
      </c>
      <c r="AZ744" s="6" t="str">
        <f>IFERROR(ABS(Eingabe[[#This Row],[GES]]-Eingabe[[#This Row],[GEGGES]]),"")</f>
        <v/>
      </c>
    </row>
    <row r="745" spans="1:52" hidden="1" x14ac:dyDescent="0.3">
      <c r="A745" s="441"/>
      <c r="B745" s="21">
        <f t="shared" si="81"/>
        <v>124</v>
      </c>
      <c r="C745" s="6">
        <f>VLOOKUP($B745,Chronologie[],7,TRUE)</f>
        <v>0</v>
      </c>
      <c r="D745" s="6">
        <f>VLOOKUP($B745,Chronologie[],8,TRUE)</f>
        <v>0</v>
      </c>
      <c r="E745" s="240">
        <f>VLOOKUP($B745,Chronologie[],9,TRUE)</f>
        <v>0</v>
      </c>
      <c r="F745" s="6">
        <f>VLOOKUP($B745,Chronologie[],COLUMN(F746)-2,TRUE)</f>
        <v>0</v>
      </c>
      <c r="G745" s="6">
        <f>VLOOKUP($B745,Chronologie[],COLUMN(G746)-2,TRUE)</f>
        <v>0</v>
      </c>
      <c r="H745" s="6">
        <f>VLOOKUP($B745,Chronologie[],COLUMN(H746)-2,TRUE)</f>
        <v>0</v>
      </c>
      <c r="I745" s="10" t="str">
        <f>VLOOKUP($B745,Chronologie[],2,TRUE)</f>
        <v>--</v>
      </c>
      <c r="J745" s="243">
        <f>VLOOKUP($B745,Chronologie[],3,TRUE)</f>
        <v>0</v>
      </c>
      <c r="K745" s="237"/>
      <c r="L745" s="237"/>
      <c r="M745" s="237"/>
      <c r="N745" s="237"/>
      <c r="O745" s="237"/>
      <c r="P745" s="237"/>
      <c r="Q745" s="237"/>
      <c r="R745" s="237"/>
      <c r="S745" s="237"/>
      <c r="T745" s="237"/>
      <c r="U745" s="237"/>
      <c r="V745" s="237"/>
      <c r="W745" s="237"/>
      <c r="X745" s="38"/>
      <c r="Y745" s="38"/>
      <c r="Z745" s="38"/>
      <c r="AA745" s="38"/>
      <c r="AB745" s="91"/>
      <c r="AC745" s="94" t="str">
        <f>IF(Eingabe[[#This Row],[V1]]="",IF(Eingabe[[#This Row],[Volle alternativ]]="","",Eingabe[[#This Row],[Volle alternativ]]),SUM(Eingabe[[#This Row],[V1]:[V4]]))</f>
        <v/>
      </c>
      <c r="AD745" s="6" t="str">
        <f>IF(Eingabe[[#This Row],[R1]]="",IF(Eingabe[[#This Row],[Räumer alternativ]]="","",Eingabe[[#This Row],[Räumer alternativ]]),SUM(Eingabe[[#This Row],[R1]:[R4]]))</f>
        <v/>
      </c>
      <c r="AE745" s="6" t="str">
        <f>IF(Eingabe[[#This Row],[F1]]="",IF(Eingabe[[#This Row],[Fehler alternativ]]="","",Eingabe[[#This Row],[Fehler alternativ]]),SUM(Eingabe[[#This Row],[F1]:[F4]]))</f>
        <v/>
      </c>
      <c r="AF745" s="6" t="str">
        <f>IF(Eingabe[[#This Row],[Volle]]="","",IF(Eingabe[[#This Row],[S1]]="",Eingabe[[#This Row],[Volle]]+Eingabe[[#This Row],[Räumer]],IF(Eingabe[[#This Row],[Volle]]+Eingabe[[#This Row],[Räumer]]=Eingabe[[#This Row],[S1]]+Eingabe[[#This Row],[S2]]+Eingabe[[#This Row],[S3]]+Eingabe[[#This Row],[S4]],Eingabe[[#This Row],[Volle]]+Eingabe[[#This Row],[Räumer]],"FEHLER")))</f>
        <v/>
      </c>
      <c r="AG745" s="6" t="str">
        <f>IF(Eingabe[[#This Row],[V1]]="","",Eingabe[[#This Row],[V1]]+Eingabe[[#This Row],[R1]])</f>
        <v/>
      </c>
      <c r="AH745" s="6" t="str">
        <f>IF(Eingabe[[#This Row],[V2]]="","",Eingabe[[#This Row],[V2]]+Eingabe[[#This Row],[R2]])</f>
        <v/>
      </c>
      <c r="AI745" s="6" t="str">
        <f>IF(Eingabe[[#This Row],[V3]]="","",Eingabe[[#This Row],[V3]]+Eingabe[[#This Row],[R3]])</f>
        <v/>
      </c>
      <c r="AJ745" s="6" t="str">
        <f>IF(Eingabe[[#This Row],[V4]]="","",Eingabe[[#This Row],[V4]]+Eingabe[[#This Row],[R4]])</f>
        <v/>
      </c>
      <c r="AK745" s="6" t="str">
        <f>IF(Eingabe[[#This Row],[S1P]]="","",Eingabe[[#This Row],[S1P]]+Eingabe[[#This Row],[S2P]]+Eingabe[[#This Row],[S3P]]+Eingabe[[#This Row],[S4P]])</f>
        <v/>
      </c>
      <c r="AL745" s="6" t="str">
        <f>IF(Eingabe[[#This Row],[S1P]]="","",IF(Eingabe[[#This Row],[SP]]&gt;2,1,IF(Eingabe[[#This Row],[SP]]&lt;2,0,IF(Eingabe[[#This Row],[GES]]&gt;Eingabe[[#This Row],[GEGGES]],1,IF(Eingabe[[#This Row],[GES]]=Eingabe[[#This Row],[GEGGES]],0.5,0)))))</f>
        <v/>
      </c>
      <c r="AM745" s="6" t="str">
        <f>IF(Eingabe[[#This Row],[MP]]="","",MOD(ROW(Eingabe[[#This Row],[Position]])-3,6)+1)</f>
        <v/>
      </c>
      <c r="AN745" s="6" t="e">
        <f>STANDARDIZE(Eingabe[[#This Row],[GES]],Eingabe[[#This Row],[Schnitt]],VLOOKUP(Eingabe[[#This Row],[Name]],AuswertungG[],21,FALSE))</f>
        <v>#VALUE!</v>
      </c>
      <c r="AO745" s="6" t="str">
        <f>VLOOKUP(Eingabe[[#This Row],[ID]],Chronologie[[ID]:[KW]],12,FALSE)</f>
        <v/>
      </c>
      <c r="AP745" s="95">
        <f>IF(Eingabe[[#This Row],[Wo]]="H",Eingabe[[#This Row],[Gegner]]&amp;" ["&amp;Eingabe[[#This Row],[Wo]]&amp;"]",Eingabe[[#This Row],[Ort]])</f>
        <v>0</v>
      </c>
      <c r="AQ745" s="6" t="str">
        <f>IFERROR(IF(Eingabe[[#This Row],[Wo]]="H",IF(MOD(Eingabe[[#This Row],[Position]],2)=1,Eingabe[[#This Row],[S1]],Eingabe[[#This Row],[S4]]),""),"")</f>
        <v/>
      </c>
      <c r="AR745" s="6" t="str">
        <f>IFERROR(IF(Eingabe[[#This Row],[Wo]]="H",IF(Eingabe[[#This Row],[S1]]&gt;0,IF(MOD(Eingabe[[#This Row],[Position]],2)=1,Eingabe[[#This Row],[S2]],Eingabe[[#This Row],[S3]]),""),""),"")</f>
        <v/>
      </c>
      <c r="AS745" s="6" t="str">
        <f>IFERROR(IF(Eingabe[[#This Row],[Wo]]="H",IF(Eingabe[[#This Row],[S1]]&gt;0,IF(MOD(ROW(Eingabe[[#This Row],[Heimbahn 3]]),2)=1,Eingabe[[#This Row],[S4]],Eingabe[[#This Row],[S1]]),""),""),"")</f>
        <v/>
      </c>
      <c r="AT745" s="6" t="str">
        <f>IFERROR(IF(Eingabe[[#This Row],[Wo]]="H",IF(Eingabe[[#This Row],[S1]]&gt;0,IF(MOD(ROW(Eingabe[[#This Row],[Heimbahn 4]]),2)=1,Eingabe[[#This Row],[S3]],Eingabe[[#This Row],[S2]]),""),""),"")</f>
        <v/>
      </c>
      <c r="AU745" s="22" t="str">
        <f>IF(Eingabe[[#This Row],[GES]]="","",IF(Eingabe[[#This Row],[Modus]]="L",_xlfn.RANK.EQ(Eingabe[[#This Row],[GES]],AF741:AF746),IF(Eingabe[[#This Row],[Modus]]="P",_xlfn.RANK.EQ(Eingabe[[#This Row],[GES]],AF741:AF746),"")))</f>
        <v/>
      </c>
      <c r="AV745" s="6" t="e">
        <f>VLOOKUP(Eingabe[[#This Row],[Name]],AuswertungG[],8,FALSE)</f>
        <v>#N/A</v>
      </c>
      <c r="AZ745" s="6" t="str">
        <f>IFERROR(ABS(Eingabe[[#This Row],[GES]]-Eingabe[[#This Row],[GEGGES]]),"")</f>
        <v/>
      </c>
    </row>
    <row r="746" spans="1:52" ht="16.2" hidden="1" thickBot="1" x14ac:dyDescent="0.35">
      <c r="A746" s="442"/>
      <c r="B746" s="56">
        <f t="shared" si="81"/>
        <v>124</v>
      </c>
      <c r="C746" s="23">
        <f>VLOOKUP($B746,Chronologie[],7,TRUE)</f>
        <v>0</v>
      </c>
      <c r="D746" s="23">
        <f>VLOOKUP($B746,Chronologie[],8,TRUE)</f>
        <v>0</v>
      </c>
      <c r="E746" s="39">
        <f>VLOOKUP($B746,Chronologie[],9,TRUE)</f>
        <v>0</v>
      </c>
      <c r="F746" s="23">
        <f>VLOOKUP($B746,Chronologie[],COLUMN(F747)-2,TRUE)</f>
        <v>0</v>
      </c>
      <c r="G746" s="23">
        <f>VLOOKUP($B746,Chronologie[],COLUMN(G747)-2,TRUE)</f>
        <v>0</v>
      </c>
      <c r="H746" s="23">
        <f>VLOOKUP($B746,Chronologie[],COLUMN(H747)-2,TRUE)</f>
        <v>0</v>
      </c>
      <c r="I746" s="13" t="str">
        <f>VLOOKUP($B746,Chronologie[],2,TRUE)</f>
        <v>--</v>
      </c>
      <c r="J746" s="244">
        <f>VLOOKUP($B746,Chronologie[],3,TRUE)</f>
        <v>0</v>
      </c>
      <c r="K746" s="239"/>
      <c r="L746" s="239"/>
      <c r="M746" s="239"/>
      <c r="N746" s="239"/>
      <c r="O746" s="239"/>
      <c r="P746" s="239"/>
      <c r="Q746" s="239"/>
      <c r="R746" s="239"/>
      <c r="S746" s="239"/>
      <c r="T746" s="239"/>
      <c r="U746" s="239"/>
      <c r="V746" s="239"/>
      <c r="W746" s="239"/>
      <c r="X746" s="40"/>
      <c r="Y746" s="40"/>
      <c r="Z746" s="40"/>
      <c r="AA746" s="40"/>
      <c r="AB746" s="92"/>
      <c r="AC746" s="96" t="str">
        <f>IF(Eingabe[[#This Row],[V1]]="",IF(Eingabe[[#This Row],[Volle alternativ]]="","",Eingabe[[#This Row],[Volle alternativ]]),SUM(Eingabe[[#This Row],[V1]:[V4]]))</f>
        <v/>
      </c>
      <c r="AD746" s="23" t="str">
        <f>IF(Eingabe[[#This Row],[R1]]="",IF(Eingabe[[#This Row],[Räumer alternativ]]="","",Eingabe[[#This Row],[Räumer alternativ]]),SUM(Eingabe[[#This Row],[R1]:[R4]]))</f>
        <v/>
      </c>
      <c r="AE746" s="23" t="str">
        <f>IF(Eingabe[[#This Row],[F1]]="",IF(Eingabe[[#This Row],[Fehler alternativ]]="","",Eingabe[[#This Row],[Fehler alternativ]]),SUM(Eingabe[[#This Row],[F1]:[F4]]))</f>
        <v/>
      </c>
      <c r="AF746" s="23" t="str">
        <f>IF(Eingabe[[#This Row],[Volle]]="","",IF(Eingabe[[#This Row],[S1]]="",Eingabe[[#This Row],[Volle]]+Eingabe[[#This Row],[Räumer]],IF(Eingabe[[#This Row],[Volle]]+Eingabe[[#This Row],[Räumer]]=Eingabe[[#This Row],[S1]]+Eingabe[[#This Row],[S2]]+Eingabe[[#This Row],[S3]]+Eingabe[[#This Row],[S4]],Eingabe[[#This Row],[Volle]]+Eingabe[[#This Row],[Räumer]],"FEHLER")))</f>
        <v/>
      </c>
      <c r="AG746" s="23" t="str">
        <f>IF(Eingabe[[#This Row],[V1]]="","",Eingabe[[#This Row],[V1]]+Eingabe[[#This Row],[R1]])</f>
        <v/>
      </c>
      <c r="AH746" s="23" t="str">
        <f>IF(Eingabe[[#This Row],[V2]]="","",Eingabe[[#This Row],[V2]]+Eingabe[[#This Row],[R2]])</f>
        <v/>
      </c>
      <c r="AI746" s="23" t="str">
        <f>IF(Eingabe[[#This Row],[V3]]="","",Eingabe[[#This Row],[V3]]+Eingabe[[#This Row],[R3]])</f>
        <v/>
      </c>
      <c r="AJ746" s="23" t="str">
        <f>IF(Eingabe[[#This Row],[V4]]="","",Eingabe[[#This Row],[V4]]+Eingabe[[#This Row],[R4]])</f>
        <v/>
      </c>
      <c r="AK746" s="23" t="str">
        <f>IF(Eingabe[[#This Row],[S1P]]="","",Eingabe[[#This Row],[S1P]]+Eingabe[[#This Row],[S2P]]+Eingabe[[#This Row],[S3P]]+Eingabe[[#This Row],[S4P]])</f>
        <v/>
      </c>
      <c r="AL746" s="23" t="str">
        <f>IF(Eingabe[[#This Row],[S1P]]="","",IF(Eingabe[[#This Row],[SP]]&gt;2,1,IF(Eingabe[[#This Row],[SP]]&lt;2,0,IF(Eingabe[[#This Row],[GES]]&gt;Eingabe[[#This Row],[GEGGES]],1,IF(Eingabe[[#This Row],[GES]]=Eingabe[[#This Row],[GEGGES]],0.5,0)))))</f>
        <v/>
      </c>
      <c r="AM746" s="23" t="str">
        <f>IF(Eingabe[[#This Row],[MP]]="","",MOD(ROW(Eingabe[[#This Row],[Position]])-3,6)+1)</f>
        <v/>
      </c>
      <c r="AN746" s="23" t="e">
        <f>STANDARDIZE(Eingabe[[#This Row],[GES]],Eingabe[[#This Row],[Schnitt]],VLOOKUP(Eingabe[[#This Row],[Name]],AuswertungG[],21,FALSE))</f>
        <v>#VALUE!</v>
      </c>
      <c r="AO746" s="23" t="str">
        <f>VLOOKUP(Eingabe[[#This Row],[ID]],Chronologie[[ID]:[KW]],12,FALSE)</f>
        <v/>
      </c>
      <c r="AP746" s="59">
        <f>IF(Eingabe[[#This Row],[Wo]]="H",Eingabe[[#This Row],[Gegner]]&amp;" ["&amp;Eingabe[[#This Row],[Wo]]&amp;"]",Eingabe[[#This Row],[Ort]])</f>
        <v>0</v>
      </c>
      <c r="AQ746" s="23" t="str">
        <f>IFERROR(IF(Eingabe[[#This Row],[Wo]]="H",IF(MOD(Eingabe[[#This Row],[Position]],2)=1,Eingabe[[#This Row],[S1]],Eingabe[[#This Row],[S4]]),""),"")</f>
        <v/>
      </c>
      <c r="AR746" s="23" t="str">
        <f>IFERROR(IF(Eingabe[[#This Row],[Wo]]="H",IF(Eingabe[[#This Row],[S1]]&gt;0,IF(MOD(Eingabe[[#This Row],[Position]],2)=1,Eingabe[[#This Row],[S2]],Eingabe[[#This Row],[S3]]),""),""),"")</f>
        <v/>
      </c>
      <c r="AS746" s="23" t="str">
        <f>IFERROR(IF(Eingabe[[#This Row],[Wo]]="H",IF(Eingabe[[#This Row],[S1]]&gt;0,IF(MOD(ROW(Eingabe[[#This Row],[Heimbahn 3]]),2)=1,Eingabe[[#This Row],[S4]],Eingabe[[#This Row],[S1]]),""),""),"")</f>
        <v/>
      </c>
      <c r="AT746" s="23" t="str">
        <f>IFERROR(IF(Eingabe[[#This Row],[Wo]]="H",IF(Eingabe[[#This Row],[S1]]&gt;0,IF(MOD(ROW(Eingabe[[#This Row],[Heimbahn 4]]),2)=1,Eingabe[[#This Row],[S3]],Eingabe[[#This Row],[S2]]),""),""),"")</f>
        <v/>
      </c>
      <c r="AU746" s="89" t="str">
        <f>IF(Eingabe[[#This Row],[GES]]="","",IF(Eingabe[[#This Row],[Modus]]="L",_xlfn.RANK.EQ(Eingabe[[#This Row],[GES]],AF741:AF746),IF(Eingabe[[#This Row],[Modus]]="P",_xlfn.RANK.EQ(Eingabe[[#This Row],[GES]],AF741:AF746),"")))</f>
        <v/>
      </c>
      <c r="AV746" s="6" t="e">
        <f>VLOOKUP(Eingabe[[#This Row],[Name]],AuswertungG[],8,FALSE)</f>
        <v>#N/A</v>
      </c>
      <c r="AZ746" s="6" t="str">
        <f>IFERROR(ABS(Eingabe[[#This Row],[GES]]-Eingabe[[#This Row],[GEGGES]]),"")</f>
        <v/>
      </c>
    </row>
    <row r="747" spans="1:52" hidden="1" x14ac:dyDescent="0.3">
      <c r="A747" s="440">
        <f t="shared" ref="A747" si="84">B747</f>
        <v>125</v>
      </c>
      <c r="B747" s="55">
        <f t="shared" si="81"/>
        <v>125</v>
      </c>
      <c r="C747" s="35">
        <f>VLOOKUP($B747,Chronologie[],7,TRUE)</f>
        <v>0</v>
      </c>
      <c r="D747" s="35">
        <f>VLOOKUP($B747,Chronologie[],8,TRUE)</f>
        <v>0</v>
      </c>
      <c r="E747" s="36">
        <f>VLOOKUP($B747,Chronologie[],9,TRUE)</f>
        <v>0</v>
      </c>
      <c r="F747" s="35">
        <f>VLOOKUP($B747,Chronologie[],COLUMN(F748)-2,TRUE)</f>
        <v>0</v>
      </c>
      <c r="G747" s="35">
        <f>VLOOKUP($B747,Chronologie[],COLUMN(G748)-2,TRUE)</f>
        <v>0</v>
      </c>
      <c r="H747" s="35">
        <f>VLOOKUP($B747,Chronologie[],COLUMN(H748)-2,TRUE)</f>
        <v>0</v>
      </c>
      <c r="I747" s="9" t="str">
        <f>VLOOKUP($B747,Chronologie[],2,TRUE)</f>
        <v>--</v>
      </c>
      <c r="J747" s="242">
        <f>VLOOKUP($B747,Chronologie[],3,TRUE)</f>
        <v>0</v>
      </c>
      <c r="K747" s="236"/>
      <c r="L747" s="334"/>
      <c r="M747" s="334"/>
      <c r="N747" s="334"/>
      <c r="O747" s="334"/>
      <c r="P747" s="334"/>
      <c r="Q747" s="334"/>
      <c r="R747" s="334"/>
      <c r="S747" s="334"/>
      <c r="T747" s="334"/>
      <c r="U747" s="334"/>
      <c r="V747" s="334"/>
      <c r="W747" s="334"/>
      <c r="X747" s="37"/>
      <c r="Y747" s="37"/>
      <c r="Z747" s="37"/>
      <c r="AA747" s="37"/>
      <c r="AB747" s="90"/>
      <c r="AC747" s="93" t="str">
        <f>IF(Eingabe[[#This Row],[V1]]="",IF(Eingabe[[#This Row],[Volle alternativ]]="","",Eingabe[[#This Row],[Volle alternativ]]),SUM(Eingabe[[#This Row],[V1]:[V4]]))</f>
        <v/>
      </c>
      <c r="AD747" s="35" t="str">
        <f>IF(Eingabe[[#This Row],[R1]]="",IF(Eingabe[[#This Row],[Räumer alternativ]]="","",Eingabe[[#This Row],[Räumer alternativ]]),SUM(Eingabe[[#This Row],[R1]:[R4]]))</f>
        <v/>
      </c>
      <c r="AE747" s="35" t="str">
        <f>IF(Eingabe[[#This Row],[F1]]="",IF(Eingabe[[#This Row],[Fehler alternativ]]="","",Eingabe[[#This Row],[Fehler alternativ]]),SUM(Eingabe[[#This Row],[F1]:[F4]]))</f>
        <v/>
      </c>
      <c r="AF747" s="35" t="str">
        <f>IF(Eingabe[[#This Row],[Volle]]="","",IF(Eingabe[[#This Row],[S1]]="",Eingabe[[#This Row],[Volle]]+Eingabe[[#This Row],[Räumer]],IF(Eingabe[[#This Row],[Volle]]+Eingabe[[#This Row],[Räumer]]=Eingabe[[#This Row],[S1]]+Eingabe[[#This Row],[S2]]+Eingabe[[#This Row],[S3]]+Eingabe[[#This Row],[S4]],Eingabe[[#This Row],[Volle]]+Eingabe[[#This Row],[Räumer]],"FEHLER")))</f>
        <v/>
      </c>
      <c r="AG747" s="35" t="str">
        <f>IF(Eingabe[[#This Row],[V1]]="","",Eingabe[[#This Row],[V1]]+Eingabe[[#This Row],[R1]])</f>
        <v/>
      </c>
      <c r="AH747" s="35" t="str">
        <f>IF(Eingabe[[#This Row],[V2]]="","",Eingabe[[#This Row],[V2]]+Eingabe[[#This Row],[R2]])</f>
        <v/>
      </c>
      <c r="AI747" s="35" t="str">
        <f>IF(Eingabe[[#This Row],[V3]]="","",Eingabe[[#This Row],[V3]]+Eingabe[[#This Row],[R3]])</f>
        <v/>
      </c>
      <c r="AJ747" s="35" t="str">
        <f>IF(Eingabe[[#This Row],[V4]]="","",Eingabe[[#This Row],[V4]]+Eingabe[[#This Row],[R4]])</f>
        <v/>
      </c>
      <c r="AK747" s="35" t="str">
        <f>IF(Eingabe[[#This Row],[S1P]]="","",Eingabe[[#This Row],[S1P]]+Eingabe[[#This Row],[S2P]]+Eingabe[[#This Row],[S3P]]+Eingabe[[#This Row],[S4P]])</f>
        <v/>
      </c>
      <c r="AL747" s="35" t="str">
        <f>IF(Eingabe[[#This Row],[S1P]]="","",IF(Eingabe[[#This Row],[SP]]&gt;2,1,IF(Eingabe[[#This Row],[SP]]&lt;2,0,IF(Eingabe[[#This Row],[GES]]&gt;Eingabe[[#This Row],[GEGGES]],1,IF(Eingabe[[#This Row],[GES]]=Eingabe[[#This Row],[GEGGES]],0.5,0)))))</f>
        <v/>
      </c>
      <c r="AM747" s="35" t="str">
        <f>IF(Eingabe[[#This Row],[MP]]="","",MOD(ROW(Eingabe[[#This Row],[Position]])-3,6)+1)</f>
        <v/>
      </c>
      <c r="AN747" s="35" t="e">
        <f>STANDARDIZE(Eingabe[[#This Row],[GES]],Eingabe[[#This Row],[Schnitt]],VLOOKUP(Eingabe[[#This Row],[Name]],AuswertungG[],21,FALSE))</f>
        <v>#VALUE!</v>
      </c>
      <c r="AO747" s="35" t="str">
        <f>VLOOKUP(Eingabe[[#This Row],[ID]],Chronologie[[ID]:[KW]],12,FALSE)</f>
        <v/>
      </c>
      <c r="AP747" s="58">
        <f>IF(Eingabe[[#This Row],[Wo]]="H",Eingabe[[#This Row],[Gegner]]&amp;" ["&amp;Eingabe[[#This Row],[Wo]]&amp;"]",Eingabe[[#This Row],[Ort]])</f>
        <v>0</v>
      </c>
      <c r="AQ747" s="35" t="str">
        <f>IFERROR(IF(Eingabe[[#This Row],[Wo]]="H",IF(MOD(Eingabe[[#This Row],[Position]],2)=1,Eingabe[[#This Row],[S1]],Eingabe[[#This Row],[S4]]),""),"")</f>
        <v/>
      </c>
      <c r="AR747" s="35" t="str">
        <f>IFERROR(IF(Eingabe[[#This Row],[Wo]]="H",IF(Eingabe[[#This Row],[S1]]&gt;0,IF(MOD(Eingabe[[#This Row],[Position]],2)=1,Eingabe[[#This Row],[S2]],Eingabe[[#This Row],[S3]]),""),""),"")</f>
        <v/>
      </c>
      <c r="AS747" s="35" t="str">
        <f>IFERROR(IF(Eingabe[[#This Row],[Wo]]="H",IF(Eingabe[[#This Row],[S1]]&gt;0,IF(MOD(ROW(Eingabe[[#This Row],[Heimbahn 3]]),2)=1,Eingabe[[#This Row],[S4]],Eingabe[[#This Row],[S1]]),""),""),"")</f>
        <v/>
      </c>
      <c r="AT747" s="35" t="str">
        <f>IFERROR(IF(Eingabe[[#This Row],[Wo]]="H",IF(Eingabe[[#This Row],[S1]]&gt;0,IF(MOD(ROW(Eingabe[[#This Row],[Heimbahn 4]]),2)=1,Eingabe[[#This Row],[S3]],Eingabe[[#This Row],[S2]]),""),""),"")</f>
        <v/>
      </c>
      <c r="AU747" s="88" t="str">
        <f>IF(Eingabe[[#This Row],[GES]]="","",IF(Eingabe[[#This Row],[Modus]]="L",_xlfn.RANK.EQ(Eingabe[[#This Row],[GES]],AF747:AF752),IF(Eingabe[[#This Row],[Modus]]="P",_xlfn.RANK.EQ(Eingabe[[#This Row],[GES]],AF747:AF752),"")))</f>
        <v/>
      </c>
      <c r="AV747" s="6" t="e">
        <f>VLOOKUP(Eingabe[[#This Row],[Name]],AuswertungG[],8,FALSE)</f>
        <v>#N/A</v>
      </c>
      <c r="AZ747" s="6" t="str">
        <f>IFERROR(ABS(Eingabe[[#This Row],[GES]]-Eingabe[[#This Row],[GEGGES]]),"")</f>
        <v/>
      </c>
    </row>
    <row r="748" spans="1:52" hidden="1" x14ac:dyDescent="0.3">
      <c r="A748" s="441"/>
      <c r="B748" s="21">
        <f t="shared" si="81"/>
        <v>125</v>
      </c>
      <c r="C748" s="6">
        <f>VLOOKUP($B748,Chronologie[],7,TRUE)</f>
        <v>0</v>
      </c>
      <c r="D748" s="6">
        <f>VLOOKUP($B748,Chronologie[],8,TRUE)</f>
        <v>0</v>
      </c>
      <c r="E748" s="240">
        <f>VLOOKUP($B748,Chronologie[],9,TRUE)</f>
        <v>0</v>
      </c>
      <c r="F748" s="6">
        <f>VLOOKUP($B748,Chronologie[],COLUMN(F749)-2,TRUE)</f>
        <v>0</v>
      </c>
      <c r="G748" s="6">
        <f>VLOOKUP($B748,Chronologie[],COLUMN(G749)-2,TRUE)</f>
        <v>0</v>
      </c>
      <c r="H748" s="6">
        <f>VLOOKUP($B748,Chronologie[],COLUMN(H749)-2,TRUE)</f>
        <v>0</v>
      </c>
      <c r="I748" s="10" t="str">
        <f>VLOOKUP($B748,Chronologie[],2,TRUE)</f>
        <v>--</v>
      </c>
      <c r="J748" s="243">
        <f>VLOOKUP($B748,Chronologie[],3,TRUE)</f>
        <v>0</v>
      </c>
      <c r="K748" s="237"/>
      <c r="L748" s="237"/>
      <c r="M748" s="237"/>
      <c r="N748" s="237"/>
      <c r="O748" s="237"/>
      <c r="P748" s="237"/>
      <c r="Q748" s="237"/>
      <c r="R748" s="237"/>
      <c r="S748" s="237"/>
      <c r="T748" s="237"/>
      <c r="U748" s="237"/>
      <c r="V748" s="237"/>
      <c r="W748" s="237"/>
      <c r="X748" s="38"/>
      <c r="Y748" s="38"/>
      <c r="Z748" s="38"/>
      <c r="AA748" s="38"/>
      <c r="AB748" s="91"/>
      <c r="AC748" s="94" t="str">
        <f>IF(Eingabe[[#This Row],[V1]]="",IF(Eingabe[[#This Row],[Volle alternativ]]="","",Eingabe[[#This Row],[Volle alternativ]]),SUM(Eingabe[[#This Row],[V1]:[V4]]))</f>
        <v/>
      </c>
      <c r="AD748" s="6" t="str">
        <f>IF(Eingabe[[#This Row],[R1]]="",IF(Eingabe[[#This Row],[Räumer alternativ]]="","",Eingabe[[#This Row],[Räumer alternativ]]),SUM(Eingabe[[#This Row],[R1]:[R4]]))</f>
        <v/>
      </c>
      <c r="AE748" s="6" t="str">
        <f>IF(Eingabe[[#This Row],[F1]]="",IF(Eingabe[[#This Row],[Fehler alternativ]]="","",Eingabe[[#This Row],[Fehler alternativ]]),SUM(Eingabe[[#This Row],[F1]:[F4]]))</f>
        <v/>
      </c>
      <c r="AF748" s="6" t="str">
        <f>IF(Eingabe[[#This Row],[Volle]]="","",IF(Eingabe[[#This Row],[S1]]="",Eingabe[[#This Row],[Volle]]+Eingabe[[#This Row],[Räumer]],IF(Eingabe[[#This Row],[Volle]]+Eingabe[[#This Row],[Räumer]]=Eingabe[[#This Row],[S1]]+Eingabe[[#This Row],[S2]]+Eingabe[[#This Row],[S3]]+Eingabe[[#This Row],[S4]],Eingabe[[#This Row],[Volle]]+Eingabe[[#This Row],[Räumer]],"FEHLER")))</f>
        <v/>
      </c>
      <c r="AG748" s="6" t="str">
        <f>IF(Eingabe[[#This Row],[V1]]="","",Eingabe[[#This Row],[V1]]+Eingabe[[#This Row],[R1]])</f>
        <v/>
      </c>
      <c r="AH748" s="6" t="str">
        <f>IF(Eingabe[[#This Row],[V2]]="","",Eingabe[[#This Row],[V2]]+Eingabe[[#This Row],[R2]])</f>
        <v/>
      </c>
      <c r="AI748" s="6" t="str">
        <f>IF(Eingabe[[#This Row],[V3]]="","",Eingabe[[#This Row],[V3]]+Eingabe[[#This Row],[R3]])</f>
        <v/>
      </c>
      <c r="AJ748" s="6" t="str">
        <f>IF(Eingabe[[#This Row],[V4]]="","",Eingabe[[#This Row],[V4]]+Eingabe[[#This Row],[R4]])</f>
        <v/>
      </c>
      <c r="AK748" s="6" t="str">
        <f>IF(Eingabe[[#This Row],[S1P]]="","",Eingabe[[#This Row],[S1P]]+Eingabe[[#This Row],[S2P]]+Eingabe[[#This Row],[S3P]]+Eingabe[[#This Row],[S4P]])</f>
        <v/>
      </c>
      <c r="AL748" s="6" t="str">
        <f>IF(Eingabe[[#This Row],[S1P]]="","",IF(Eingabe[[#This Row],[SP]]&gt;2,1,IF(Eingabe[[#This Row],[SP]]&lt;2,0,IF(Eingabe[[#This Row],[GES]]&gt;Eingabe[[#This Row],[GEGGES]],1,IF(Eingabe[[#This Row],[GES]]=Eingabe[[#This Row],[GEGGES]],0.5,0)))))</f>
        <v/>
      </c>
      <c r="AM748" s="6" t="str">
        <f>IF(Eingabe[[#This Row],[MP]]="","",MOD(ROW(Eingabe[[#This Row],[Position]])-3,6)+1)</f>
        <v/>
      </c>
      <c r="AN748" s="6" t="e">
        <f>STANDARDIZE(Eingabe[[#This Row],[GES]],Eingabe[[#This Row],[Schnitt]],VLOOKUP(Eingabe[[#This Row],[Name]],AuswertungG[],21,FALSE))</f>
        <v>#VALUE!</v>
      </c>
      <c r="AO748" s="6" t="str">
        <f>VLOOKUP(Eingabe[[#This Row],[ID]],Chronologie[[ID]:[KW]],12,FALSE)</f>
        <v/>
      </c>
      <c r="AP748" s="95">
        <f>IF(Eingabe[[#This Row],[Wo]]="H",Eingabe[[#This Row],[Gegner]]&amp;" ["&amp;Eingabe[[#This Row],[Wo]]&amp;"]",Eingabe[[#This Row],[Ort]])</f>
        <v>0</v>
      </c>
      <c r="AQ748" s="6" t="str">
        <f>IFERROR(IF(Eingabe[[#This Row],[Wo]]="H",IF(MOD(Eingabe[[#This Row],[Position]],2)=1,Eingabe[[#This Row],[S1]],Eingabe[[#This Row],[S4]]),""),"")</f>
        <v/>
      </c>
      <c r="AR748" s="6" t="str">
        <f>IFERROR(IF(Eingabe[[#This Row],[Wo]]="H",IF(Eingabe[[#This Row],[S1]]&gt;0,IF(MOD(Eingabe[[#This Row],[Position]],2)=1,Eingabe[[#This Row],[S2]],Eingabe[[#This Row],[S3]]),""),""),"")</f>
        <v/>
      </c>
      <c r="AS748" s="6" t="str">
        <f>IFERROR(IF(Eingabe[[#This Row],[Wo]]="H",IF(Eingabe[[#This Row],[S1]]&gt;0,IF(MOD(ROW(Eingabe[[#This Row],[Heimbahn 3]]),2)=1,Eingabe[[#This Row],[S4]],Eingabe[[#This Row],[S1]]),""),""),"")</f>
        <v/>
      </c>
      <c r="AT748" s="6" t="str">
        <f>IFERROR(IF(Eingabe[[#This Row],[Wo]]="H",IF(Eingabe[[#This Row],[S1]]&gt;0,IF(MOD(ROW(Eingabe[[#This Row],[Heimbahn 4]]),2)=1,Eingabe[[#This Row],[S3]],Eingabe[[#This Row],[S2]]),""),""),"")</f>
        <v/>
      </c>
      <c r="AU748" s="22" t="str">
        <f>IF(Eingabe[[#This Row],[GES]]="","",IF(Eingabe[[#This Row],[Modus]]="L",_xlfn.RANK.EQ(Eingabe[[#This Row],[GES]],AF747:AF752),IF(Eingabe[[#This Row],[Modus]]="P",_xlfn.RANK.EQ(Eingabe[[#This Row],[GES]],AF747:AF752),"")))</f>
        <v/>
      </c>
      <c r="AV748" s="6" t="e">
        <f>VLOOKUP(Eingabe[[#This Row],[Name]],AuswertungG[],8,FALSE)</f>
        <v>#N/A</v>
      </c>
      <c r="AZ748" s="6" t="str">
        <f>IFERROR(ABS(Eingabe[[#This Row],[GES]]-Eingabe[[#This Row],[GEGGES]]),"")</f>
        <v/>
      </c>
    </row>
    <row r="749" spans="1:52" hidden="1" x14ac:dyDescent="0.3">
      <c r="A749" s="441"/>
      <c r="B749" s="21">
        <f t="shared" si="81"/>
        <v>125</v>
      </c>
      <c r="C749" s="6">
        <f>VLOOKUP($B749,Chronologie[],7,TRUE)</f>
        <v>0</v>
      </c>
      <c r="D749" s="6">
        <f>VLOOKUP($B749,Chronologie[],8,TRUE)</f>
        <v>0</v>
      </c>
      <c r="E749" s="240">
        <f>VLOOKUP($B749,Chronologie[],9,TRUE)</f>
        <v>0</v>
      </c>
      <c r="F749" s="6">
        <f>VLOOKUP($B749,Chronologie[],COLUMN(F750)-2,TRUE)</f>
        <v>0</v>
      </c>
      <c r="G749" s="6">
        <f>VLOOKUP($B749,Chronologie[],COLUMN(G750)-2,TRUE)</f>
        <v>0</v>
      </c>
      <c r="H749" s="6">
        <f>VLOOKUP($B749,Chronologie[],COLUMN(H750)-2,TRUE)</f>
        <v>0</v>
      </c>
      <c r="I749" s="10" t="str">
        <f>VLOOKUP($B749,Chronologie[],2,TRUE)</f>
        <v>--</v>
      </c>
      <c r="J749" s="243">
        <f>VLOOKUP($B749,Chronologie[],3,TRUE)</f>
        <v>0</v>
      </c>
      <c r="K749" s="237"/>
      <c r="L749" s="237"/>
      <c r="M749" s="237"/>
      <c r="N749" s="237"/>
      <c r="O749" s="237"/>
      <c r="P749" s="237"/>
      <c r="Q749" s="237"/>
      <c r="R749" s="237"/>
      <c r="S749" s="237"/>
      <c r="T749" s="237"/>
      <c r="U749" s="237"/>
      <c r="V749" s="237"/>
      <c r="W749" s="237"/>
      <c r="X749" s="38"/>
      <c r="Y749" s="38"/>
      <c r="Z749" s="38"/>
      <c r="AA749" s="38"/>
      <c r="AB749" s="91"/>
      <c r="AC749" s="94" t="str">
        <f>IF(Eingabe[[#This Row],[V1]]="",IF(Eingabe[[#This Row],[Volle alternativ]]="","",Eingabe[[#This Row],[Volle alternativ]]),SUM(Eingabe[[#This Row],[V1]:[V4]]))</f>
        <v/>
      </c>
      <c r="AD749" s="6" t="str">
        <f>IF(Eingabe[[#This Row],[R1]]="",IF(Eingabe[[#This Row],[Räumer alternativ]]="","",Eingabe[[#This Row],[Räumer alternativ]]),SUM(Eingabe[[#This Row],[R1]:[R4]]))</f>
        <v/>
      </c>
      <c r="AE749" s="6" t="str">
        <f>IF(Eingabe[[#This Row],[F1]]="",IF(Eingabe[[#This Row],[Fehler alternativ]]="","",Eingabe[[#This Row],[Fehler alternativ]]),SUM(Eingabe[[#This Row],[F1]:[F4]]))</f>
        <v/>
      </c>
      <c r="AF749" s="6" t="str">
        <f>IF(Eingabe[[#This Row],[Volle]]="","",IF(Eingabe[[#This Row],[S1]]="",Eingabe[[#This Row],[Volle]]+Eingabe[[#This Row],[Räumer]],IF(Eingabe[[#This Row],[Volle]]+Eingabe[[#This Row],[Räumer]]=Eingabe[[#This Row],[S1]]+Eingabe[[#This Row],[S2]]+Eingabe[[#This Row],[S3]]+Eingabe[[#This Row],[S4]],Eingabe[[#This Row],[Volle]]+Eingabe[[#This Row],[Räumer]],"FEHLER")))</f>
        <v/>
      </c>
      <c r="AG749" s="6" t="str">
        <f>IF(Eingabe[[#This Row],[V1]]="","",Eingabe[[#This Row],[V1]]+Eingabe[[#This Row],[R1]])</f>
        <v/>
      </c>
      <c r="AH749" s="6" t="str">
        <f>IF(Eingabe[[#This Row],[V2]]="","",Eingabe[[#This Row],[V2]]+Eingabe[[#This Row],[R2]])</f>
        <v/>
      </c>
      <c r="AI749" s="6" t="str">
        <f>IF(Eingabe[[#This Row],[V3]]="","",Eingabe[[#This Row],[V3]]+Eingabe[[#This Row],[R3]])</f>
        <v/>
      </c>
      <c r="AJ749" s="6" t="str">
        <f>IF(Eingabe[[#This Row],[V4]]="","",Eingabe[[#This Row],[V4]]+Eingabe[[#This Row],[R4]])</f>
        <v/>
      </c>
      <c r="AK749" s="6" t="str">
        <f>IF(Eingabe[[#This Row],[S1P]]="","",Eingabe[[#This Row],[S1P]]+Eingabe[[#This Row],[S2P]]+Eingabe[[#This Row],[S3P]]+Eingabe[[#This Row],[S4P]])</f>
        <v/>
      </c>
      <c r="AL749" s="6" t="str">
        <f>IF(Eingabe[[#This Row],[S1P]]="","",IF(Eingabe[[#This Row],[SP]]&gt;2,1,IF(Eingabe[[#This Row],[SP]]&lt;2,0,IF(Eingabe[[#This Row],[GES]]&gt;Eingabe[[#This Row],[GEGGES]],1,IF(Eingabe[[#This Row],[GES]]=Eingabe[[#This Row],[GEGGES]],0.5,0)))))</f>
        <v/>
      </c>
      <c r="AM749" s="6" t="str">
        <f>IF(Eingabe[[#This Row],[MP]]="","",MOD(ROW(Eingabe[[#This Row],[Position]])-3,6)+1)</f>
        <v/>
      </c>
      <c r="AN749" s="6" t="e">
        <f>STANDARDIZE(Eingabe[[#This Row],[GES]],Eingabe[[#This Row],[Schnitt]],VLOOKUP(Eingabe[[#This Row],[Name]],AuswertungG[],21,FALSE))</f>
        <v>#VALUE!</v>
      </c>
      <c r="AO749" s="6" t="str">
        <f>VLOOKUP(Eingabe[[#This Row],[ID]],Chronologie[[ID]:[KW]],12,FALSE)</f>
        <v/>
      </c>
      <c r="AP749" s="95">
        <f>IF(Eingabe[[#This Row],[Wo]]="H",Eingabe[[#This Row],[Gegner]]&amp;" ["&amp;Eingabe[[#This Row],[Wo]]&amp;"]",Eingabe[[#This Row],[Ort]])</f>
        <v>0</v>
      </c>
      <c r="AQ749" s="6" t="str">
        <f>IFERROR(IF(Eingabe[[#This Row],[Wo]]="H",IF(MOD(Eingabe[[#This Row],[Position]],2)=1,Eingabe[[#This Row],[S1]],Eingabe[[#This Row],[S4]]),""),"")</f>
        <v/>
      </c>
      <c r="AR749" s="6" t="str">
        <f>IFERROR(IF(Eingabe[[#This Row],[Wo]]="H",IF(Eingabe[[#This Row],[S1]]&gt;0,IF(MOD(Eingabe[[#This Row],[Position]],2)=1,Eingabe[[#This Row],[S2]],Eingabe[[#This Row],[S3]]),""),""),"")</f>
        <v/>
      </c>
      <c r="AS749" s="6" t="str">
        <f>IFERROR(IF(Eingabe[[#This Row],[Wo]]="H",IF(Eingabe[[#This Row],[S1]]&gt;0,IF(MOD(ROW(Eingabe[[#This Row],[Heimbahn 3]]),2)=1,Eingabe[[#This Row],[S4]],Eingabe[[#This Row],[S1]]),""),""),"")</f>
        <v/>
      </c>
      <c r="AT749" s="6" t="str">
        <f>IFERROR(IF(Eingabe[[#This Row],[Wo]]="H",IF(Eingabe[[#This Row],[S1]]&gt;0,IF(MOD(ROW(Eingabe[[#This Row],[Heimbahn 4]]),2)=1,Eingabe[[#This Row],[S3]],Eingabe[[#This Row],[S2]]),""),""),"")</f>
        <v/>
      </c>
      <c r="AU749" s="22" t="str">
        <f>IF(Eingabe[[#This Row],[GES]]="","",IF(Eingabe[[#This Row],[Modus]]="L",_xlfn.RANK.EQ(Eingabe[[#This Row],[GES]],AF747:AF752),IF(Eingabe[[#This Row],[Modus]]="P",_xlfn.RANK.EQ(Eingabe[[#This Row],[GES]],AF747:AF752),"")))</f>
        <v/>
      </c>
      <c r="AV749" s="6" t="e">
        <f>VLOOKUP(Eingabe[[#This Row],[Name]],AuswertungG[],8,FALSE)</f>
        <v>#N/A</v>
      </c>
      <c r="AZ749" s="6" t="str">
        <f>IFERROR(ABS(Eingabe[[#This Row],[GES]]-Eingabe[[#This Row],[GEGGES]]),"")</f>
        <v/>
      </c>
    </row>
    <row r="750" spans="1:52" hidden="1" x14ac:dyDescent="0.3">
      <c r="A750" s="441"/>
      <c r="B750" s="21">
        <f t="shared" si="81"/>
        <v>125</v>
      </c>
      <c r="C750" s="6">
        <f>VLOOKUP($B750,Chronologie[],7,TRUE)</f>
        <v>0</v>
      </c>
      <c r="D750" s="6">
        <f>VLOOKUP($B750,Chronologie[],8,TRUE)</f>
        <v>0</v>
      </c>
      <c r="E750" s="240">
        <f>VLOOKUP($B750,Chronologie[],9,TRUE)</f>
        <v>0</v>
      </c>
      <c r="F750" s="6">
        <f>VLOOKUP($B750,Chronologie[],COLUMN(F751)-2,TRUE)</f>
        <v>0</v>
      </c>
      <c r="G750" s="6">
        <f>VLOOKUP($B750,Chronologie[],COLUMN(G751)-2,TRUE)</f>
        <v>0</v>
      </c>
      <c r="H750" s="6">
        <f>VLOOKUP($B750,Chronologie[],COLUMN(H751)-2,TRUE)</f>
        <v>0</v>
      </c>
      <c r="I750" s="10" t="str">
        <f>VLOOKUP($B750,Chronologie[],2,TRUE)</f>
        <v>--</v>
      </c>
      <c r="J750" s="243">
        <f>VLOOKUP($B750,Chronologie[],3,TRUE)</f>
        <v>0</v>
      </c>
      <c r="K750" s="238"/>
      <c r="L750" s="237"/>
      <c r="M750" s="237"/>
      <c r="N750" s="237"/>
      <c r="O750" s="237"/>
      <c r="P750" s="237"/>
      <c r="Q750" s="237"/>
      <c r="R750" s="237"/>
      <c r="S750" s="237"/>
      <c r="T750" s="237"/>
      <c r="U750" s="237"/>
      <c r="V750" s="237"/>
      <c r="W750" s="237"/>
      <c r="X750" s="38"/>
      <c r="Y750" s="38"/>
      <c r="Z750" s="38"/>
      <c r="AA750" s="38"/>
      <c r="AB750" s="91"/>
      <c r="AC750" s="94" t="str">
        <f>IF(Eingabe[[#This Row],[V1]]="",IF(Eingabe[[#This Row],[Volle alternativ]]="","",Eingabe[[#This Row],[Volle alternativ]]),SUM(Eingabe[[#This Row],[V1]:[V4]]))</f>
        <v/>
      </c>
      <c r="AD750" s="6" t="str">
        <f>IF(Eingabe[[#This Row],[R1]]="",IF(Eingabe[[#This Row],[Räumer alternativ]]="","",Eingabe[[#This Row],[Räumer alternativ]]),SUM(Eingabe[[#This Row],[R1]:[R4]]))</f>
        <v/>
      </c>
      <c r="AE750" s="6" t="str">
        <f>IF(Eingabe[[#This Row],[F1]]="",IF(Eingabe[[#This Row],[Fehler alternativ]]="","",Eingabe[[#This Row],[Fehler alternativ]]),SUM(Eingabe[[#This Row],[F1]:[F4]]))</f>
        <v/>
      </c>
      <c r="AF750" s="6" t="str">
        <f>IF(Eingabe[[#This Row],[Volle]]="","",IF(Eingabe[[#This Row],[S1]]="",Eingabe[[#This Row],[Volle]]+Eingabe[[#This Row],[Räumer]],IF(Eingabe[[#This Row],[Volle]]+Eingabe[[#This Row],[Räumer]]=Eingabe[[#This Row],[S1]]+Eingabe[[#This Row],[S2]]+Eingabe[[#This Row],[S3]]+Eingabe[[#This Row],[S4]],Eingabe[[#This Row],[Volle]]+Eingabe[[#This Row],[Räumer]],"FEHLER")))</f>
        <v/>
      </c>
      <c r="AG750" s="6" t="str">
        <f>IF(Eingabe[[#This Row],[V1]]="","",Eingabe[[#This Row],[V1]]+Eingabe[[#This Row],[R1]])</f>
        <v/>
      </c>
      <c r="AH750" s="6" t="str">
        <f>IF(Eingabe[[#This Row],[V2]]="","",Eingabe[[#This Row],[V2]]+Eingabe[[#This Row],[R2]])</f>
        <v/>
      </c>
      <c r="AI750" s="6" t="str">
        <f>IF(Eingabe[[#This Row],[V3]]="","",Eingabe[[#This Row],[V3]]+Eingabe[[#This Row],[R3]])</f>
        <v/>
      </c>
      <c r="AJ750" s="6" t="str">
        <f>IF(Eingabe[[#This Row],[V4]]="","",Eingabe[[#This Row],[V4]]+Eingabe[[#This Row],[R4]])</f>
        <v/>
      </c>
      <c r="AK750" s="6" t="str">
        <f>IF(Eingabe[[#This Row],[S1P]]="","",Eingabe[[#This Row],[S1P]]+Eingabe[[#This Row],[S2P]]+Eingabe[[#This Row],[S3P]]+Eingabe[[#This Row],[S4P]])</f>
        <v/>
      </c>
      <c r="AL750" s="6" t="str">
        <f>IF(Eingabe[[#This Row],[S1P]]="","",IF(Eingabe[[#This Row],[SP]]&gt;2,1,IF(Eingabe[[#This Row],[SP]]&lt;2,0,IF(Eingabe[[#This Row],[GES]]&gt;Eingabe[[#This Row],[GEGGES]],1,IF(Eingabe[[#This Row],[GES]]=Eingabe[[#This Row],[GEGGES]],0.5,0)))))</f>
        <v/>
      </c>
      <c r="AM750" s="6" t="str">
        <f>IF(Eingabe[[#This Row],[MP]]="","",MOD(ROW(Eingabe[[#This Row],[Position]])-3,6)+1)</f>
        <v/>
      </c>
      <c r="AN750" s="6" t="e">
        <f>STANDARDIZE(Eingabe[[#This Row],[GES]],Eingabe[[#This Row],[Schnitt]],VLOOKUP(Eingabe[[#This Row],[Name]],AuswertungG[],21,FALSE))</f>
        <v>#VALUE!</v>
      </c>
      <c r="AO750" s="6" t="str">
        <f>VLOOKUP(Eingabe[[#This Row],[ID]],Chronologie[[ID]:[KW]],12,FALSE)</f>
        <v/>
      </c>
      <c r="AP750" s="95">
        <f>IF(Eingabe[[#This Row],[Wo]]="H",Eingabe[[#This Row],[Gegner]]&amp;" ["&amp;Eingabe[[#This Row],[Wo]]&amp;"]",Eingabe[[#This Row],[Ort]])</f>
        <v>0</v>
      </c>
      <c r="AQ750" s="6" t="str">
        <f>IFERROR(IF(Eingabe[[#This Row],[Wo]]="H",IF(MOD(Eingabe[[#This Row],[Position]],2)=1,Eingabe[[#This Row],[S1]],Eingabe[[#This Row],[S4]]),""),"")</f>
        <v/>
      </c>
      <c r="AR750" s="6" t="str">
        <f>IFERROR(IF(Eingabe[[#This Row],[Wo]]="H",IF(Eingabe[[#This Row],[S1]]&gt;0,IF(MOD(Eingabe[[#This Row],[Position]],2)=1,Eingabe[[#This Row],[S2]],Eingabe[[#This Row],[S3]]),""),""),"")</f>
        <v/>
      </c>
      <c r="AS750" s="6" t="str">
        <f>IFERROR(IF(Eingabe[[#This Row],[Wo]]="H",IF(Eingabe[[#This Row],[S1]]&gt;0,IF(MOD(ROW(Eingabe[[#This Row],[Heimbahn 3]]),2)=1,Eingabe[[#This Row],[S4]],Eingabe[[#This Row],[S1]]),""),""),"")</f>
        <v/>
      </c>
      <c r="AT750" s="6" t="str">
        <f>IFERROR(IF(Eingabe[[#This Row],[Wo]]="H",IF(Eingabe[[#This Row],[S1]]&gt;0,IF(MOD(ROW(Eingabe[[#This Row],[Heimbahn 4]]),2)=1,Eingabe[[#This Row],[S3]],Eingabe[[#This Row],[S2]]),""),""),"")</f>
        <v/>
      </c>
      <c r="AU750" s="22" t="str">
        <f>IF(Eingabe[[#This Row],[GES]]="","",IF(Eingabe[[#This Row],[Modus]]="L",_xlfn.RANK.EQ(Eingabe[[#This Row],[GES]],AF747:AF752),IF(Eingabe[[#This Row],[Modus]]="P",_xlfn.RANK.EQ(Eingabe[[#This Row],[GES]],AF747:AF752),"")))</f>
        <v/>
      </c>
      <c r="AV750" s="6" t="e">
        <f>VLOOKUP(Eingabe[[#This Row],[Name]],AuswertungG[],8,FALSE)</f>
        <v>#N/A</v>
      </c>
      <c r="AZ750" s="6" t="str">
        <f>IFERROR(ABS(Eingabe[[#This Row],[GES]]-Eingabe[[#This Row],[GEGGES]]),"")</f>
        <v/>
      </c>
    </row>
    <row r="751" spans="1:52" hidden="1" x14ac:dyDescent="0.3">
      <c r="A751" s="441"/>
      <c r="B751" s="21">
        <f t="shared" si="81"/>
        <v>125</v>
      </c>
      <c r="C751" s="6">
        <f>VLOOKUP($B751,Chronologie[],7,TRUE)</f>
        <v>0</v>
      </c>
      <c r="D751" s="6">
        <f>VLOOKUP($B751,Chronologie[],8,TRUE)</f>
        <v>0</v>
      </c>
      <c r="E751" s="240">
        <f>VLOOKUP($B751,Chronologie[],9,TRUE)</f>
        <v>0</v>
      </c>
      <c r="F751" s="6">
        <f>VLOOKUP($B751,Chronologie[],COLUMN(F752)-2,TRUE)</f>
        <v>0</v>
      </c>
      <c r="G751" s="6">
        <f>VLOOKUP($B751,Chronologie[],COLUMN(G752)-2,TRUE)</f>
        <v>0</v>
      </c>
      <c r="H751" s="6">
        <f>VLOOKUP($B751,Chronologie[],COLUMN(H752)-2,TRUE)</f>
        <v>0</v>
      </c>
      <c r="I751" s="10" t="str">
        <f>VLOOKUP($B751,Chronologie[],2,TRUE)</f>
        <v>--</v>
      </c>
      <c r="J751" s="243">
        <f>VLOOKUP($B751,Chronologie[],3,TRUE)</f>
        <v>0</v>
      </c>
      <c r="K751" s="237"/>
      <c r="L751" s="237"/>
      <c r="M751" s="237"/>
      <c r="N751" s="237"/>
      <c r="O751" s="237"/>
      <c r="P751" s="237"/>
      <c r="Q751" s="237"/>
      <c r="R751" s="237"/>
      <c r="S751" s="237"/>
      <c r="T751" s="237"/>
      <c r="U751" s="237"/>
      <c r="V751" s="237"/>
      <c r="W751" s="237"/>
      <c r="X751" s="38"/>
      <c r="Y751" s="38"/>
      <c r="Z751" s="38"/>
      <c r="AA751" s="38"/>
      <c r="AB751" s="91"/>
      <c r="AC751" s="94" t="str">
        <f>IF(Eingabe[[#This Row],[V1]]="",IF(Eingabe[[#This Row],[Volle alternativ]]="","",Eingabe[[#This Row],[Volle alternativ]]),SUM(Eingabe[[#This Row],[V1]:[V4]]))</f>
        <v/>
      </c>
      <c r="AD751" s="6" t="str">
        <f>IF(Eingabe[[#This Row],[R1]]="",IF(Eingabe[[#This Row],[Räumer alternativ]]="","",Eingabe[[#This Row],[Räumer alternativ]]),SUM(Eingabe[[#This Row],[R1]:[R4]]))</f>
        <v/>
      </c>
      <c r="AE751" s="6" t="str">
        <f>IF(Eingabe[[#This Row],[F1]]="",IF(Eingabe[[#This Row],[Fehler alternativ]]="","",Eingabe[[#This Row],[Fehler alternativ]]),SUM(Eingabe[[#This Row],[F1]:[F4]]))</f>
        <v/>
      </c>
      <c r="AF751" s="6" t="str">
        <f>IF(Eingabe[[#This Row],[Volle]]="","",IF(Eingabe[[#This Row],[S1]]="",Eingabe[[#This Row],[Volle]]+Eingabe[[#This Row],[Räumer]],IF(Eingabe[[#This Row],[Volle]]+Eingabe[[#This Row],[Räumer]]=Eingabe[[#This Row],[S1]]+Eingabe[[#This Row],[S2]]+Eingabe[[#This Row],[S3]]+Eingabe[[#This Row],[S4]],Eingabe[[#This Row],[Volle]]+Eingabe[[#This Row],[Räumer]],"FEHLER")))</f>
        <v/>
      </c>
      <c r="AG751" s="6" t="str">
        <f>IF(Eingabe[[#This Row],[V1]]="","",Eingabe[[#This Row],[V1]]+Eingabe[[#This Row],[R1]])</f>
        <v/>
      </c>
      <c r="AH751" s="6" t="str">
        <f>IF(Eingabe[[#This Row],[V2]]="","",Eingabe[[#This Row],[V2]]+Eingabe[[#This Row],[R2]])</f>
        <v/>
      </c>
      <c r="AI751" s="6" t="str">
        <f>IF(Eingabe[[#This Row],[V3]]="","",Eingabe[[#This Row],[V3]]+Eingabe[[#This Row],[R3]])</f>
        <v/>
      </c>
      <c r="AJ751" s="6" t="str">
        <f>IF(Eingabe[[#This Row],[V4]]="","",Eingabe[[#This Row],[V4]]+Eingabe[[#This Row],[R4]])</f>
        <v/>
      </c>
      <c r="AK751" s="6" t="str">
        <f>IF(Eingabe[[#This Row],[S1P]]="","",Eingabe[[#This Row],[S1P]]+Eingabe[[#This Row],[S2P]]+Eingabe[[#This Row],[S3P]]+Eingabe[[#This Row],[S4P]])</f>
        <v/>
      </c>
      <c r="AL751" s="6" t="str">
        <f>IF(Eingabe[[#This Row],[S1P]]="","",IF(Eingabe[[#This Row],[SP]]&gt;2,1,IF(Eingabe[[#This Row],[SP]]&lt;2,0,IF(Eingabe[[#This Row],[GES]]&gt;Eingabe[[#This Row],[GEGGES]],1,IF(Eingabe[[#This Row],[GES]]=Eingabe[[#This Row],[GEGGES]],0.5,0)))))</f>
        <v/>
      </c>
      <c r="AM751" s="6" t="str">
        <f>IF(Eingabe[[#This Row],[MP]]="","",MOD(ROW(Eingabe[[#This Row],[Position]])-3,6)+1)</f>
        <v/>
      </c>
      <c r="AN751" s="6" t="e">
        <f>STANDARDIZE(Eingabe[[#This Row],[GES]],Eingabe[[#This Row],[Schnitt]],VLOOKUP(Eingabe[[#This Row],[Name]],AuswertungG[],21,FALSE))</f>
        <v>#VALUE!</v>
      </c>
      <c r="AO751" s="6" t="str">
        <f>VLOOKUP(Eingabe[[#This Row],[ID]],Chronologie[[ID]:[KW]],12,FALSE)</f>
        <v/>
      </c>
      <c r="AP751" s="95">
        <f>IF(Eingabe[[#This Row],[Wo]]="H",Eingabe[[#This Row],[Gegner]]&amp;" ["&amp;Eingabe[[#This Row],[Wo]]&amp;"]",Eingabe[[#This Row],[Ort]])</f>
        <v>0</v>
      </c>
      <c r="AQ751" s="6" t="str">
        <f>IFERROR(IF(Eingabe[[#This Row],[Wo]]="H",IF(MOD(Eingabe[[#This Row],[Position]],2)=1,Eingabe[[#This Row],[S1]],Eingabe[[#This Row],[S4]]),""),"")</f>
        <v/>
      </c>
      <c r="AR751" s="6" t="str">
        <f>IFERROR(IF(Eingabe[[#This Row],[Wo]]="H",IF(Eingabe[[#This Row],[S1]]&gt;0,IF(MOD(Eingabe[[#This Row],[Position]],2)=1,Eingabe[[#This Row],[S2]],Eingabe[[#This Row],[S3]]),""),""),"")</f>
        <v/>
      </c>
      <c r="AS751" s="6" t="str">
        <f>IFERROR(IF(Eingabe[[#This Row],[Wo]]="H",IF(Eingabe[[#This Row],[S1]]&gt;0,IF(MOD(ROW(Eingabe[[#This Row],[Heimbahn 3]]),2)=1,Eingabe[[#This Row],[S4]],Eingabe[[#This Row],[S1]]),""),""),"")</f>
        <v/>
      </c>
      <c r="AT751" s="6" t="str">
        <f>IFERROR(IF(Eingabe[[#This Row],[Wo]]="H",IF(Eingabe[[#This Row],[S1]]&gt;0,IF(MOD(ROW(Eingabe[[#This Row],[Heimbahn 4]]),2)=1,Eingabe[[#This Row],[S3]],Eingabe[[#This Row],[S2]]),""),""),"")</f>
        <v/>
      </c>
      <c r="AU751" s="22" t="str">
        <f>IF(Eingabe[[#This Row],[GES]]="","",IF(Eingabe[[#This Row],[Modus]]="L",_xlfn.RANK.EQ(Eingabe[[#This Row],[GES]],AF747:AF752),IF(Eingabe[[#This Row],[Modus]]="P",_xlfn.RANK.EQ(Eingabe[[#This Row],[GES]],AF747:AF752),"")))</f>
        <v/>
      </c>
      <c r="AV751" s="6" t="e">
        <f>VLOOKUP(Eingabe[[#This Row],[Name]],AuswertungG[],8,FALSE)</f>
        <v>#N/A</v>
      </c>
      <c r="AZ751" s="6" t="str">
        <f>IFERROR(ABS(Eingabe[[#This Row],[GES]]-Eingabe[[#This Row],[GEGGES]]),"")</f>
        <v/>
      </c>
    </row>
    <row r="752" spans="1:52" ht="16.2" hidden="1" thickBot="1" x14ac:dyDescent="0.35">
      <c r="A752" s="442"/>
      <c r="B752" s="56">
        <f t="shared" si="81"/>
        <v>125</v>
      </c>
      <c r="C752" s="23">
        <f>VLOOKUP($B752,Chronologie[],7,TRUE)</f>
        <v>0</v>
      </c>
      <c r="D752" s="23">
        <f>VLOOKUP($B752,Chronologie[],8,TRUE)</f>
        <v>0</v>
      </c>
      <c r="E752" s="39">
        <f>VLOOKUP($B752,Chronologie[],9,TRUE)</f>
        <v>0</v>
      </c>
      <c r="F752" s="23">
        <f>VLOOKUP($B752,Chronologie[],COLUMN(F753)-2,TRUE)</f>
        <v>0</v>
      </c>
      <c r="G752" s="23">
        <f>VLOOKUP($B752,Chronologie[],COLUMN(G753)-2,TRUE)</f>
        <v>0</v>
      </c>
      <c r="H752" s="23">
        <f>VLOOKUP($B752,Chronologie[],COLUMN(H753)-2,TRUE)</f>
        <v>0</v>
      </c>
      <c r="I752" s="13" t="str">
        <f>VLOOKUP($B752,Chronologie[],2,TRUE)</f>
        <v>--</v>
      </c>
      <c r="J752" s="244">
        <f>VLOOKUP($B752,Chronologie[],3,TRUE)</f>
        <v>0</v>
      </c>
      <c r="K752" s="239"/>
      <c r="L752" s="239"/>
      <c r="M752" s="239"/>
      <c r="N752" s="239"/>
      <c r="O752" s="239"/>
      <c r="P752" s="239"/>
      <c r="Q752" s="239"/>
      <c r="R752" s="239"/>
      <c r="S752" s="239"/>
      <c r="T752" s="239"/>
      <c r="U752" s="239"/>
      <c r="V752" s="239"/>
      <c r="W752" s="239"/>
      <c r="X752" s="40"/>
      <c r="Y752" s="40"/>
      <c r="Z752" s="40"/>
      <c r="AA752" s="40"/>
      <c r="AB752" s="92"/>
      <c r="AC752" s="96" t="str">
        <f>IF(Eingabe[[#This Row],[V1]]="",IF(Eingabe[[#This Row],[Volle alternativ]]="","",Eingabe[[#This Row],[Volle alternativ]]),SUM(Eingabe[[#This Row],[V1]:[V4]]))</f>
        <v/>
      </c>
      <c r="AD752" s="23" t="str">
        <f>IF(Eingabe[[#This Row],[R1]]="",IF(Eingabe[[#This Row],[Räumer alternativ]]="","",Eingabe[[#This Row],[Räumer alternativ]]),SUM(Eingabe[[#This Row],[R1]:[R4]]))</f>
        <v/>
      </c>
      <c r="AE752" s="23" t="str">
        <f>IF(Eingabe[[#This Row],[F1]]="",IF(Eingabe[[#This Row],[Fehler alternativ]]="","",Eingabe[[#This Row],[Fehler alternativ]]),SUM(Eingabe[[#This Row],[F1]:[F4]]))</f>
        <v/>
      </c>
      <c r="AF752" s="23" t="str">
        <f>IF(Eingabe[[#This Row],[Volle]]="","",IF(Eingabe[[#This Row],[S1]]="",Eingabe[[#This Row],[Volle]]+Eingabe[[#This Row],[Räumer]],IF(Eingabe[[#This Row],[Volle]]+Eingabe[[#This Row],[Räumer]]=Eingabe[[#This Row],[S1]]+Eingabe[[#This Row],[S2]]+Eingabe[[#This Row],[S3]]+Eingabe[[#This Row],[S4]],Eingabe[[#This Row],[Volle]]+Eingabe[[#This Row],[Räumer]],"FEHLER")))</f>
        <v/>
      </c>
      <c r="AG752" s="23" t="str">
        <f>IF(Eingabe[[#This Row],[V1]]="","",Eingabe[[#This Row],[V1]]+Eingabe[[#This Row],[R1]])</f>
        <v/>
      </c>
      <c r="AH752" s="23" t="str">
        <f>IF(Eingabe[[#This Row],[V2]]="","",Eingabe[[#This Row],[V2]]+Eingabe[[#This Row],[R2]])</f>
        <v/>
      </c>
      <c r="AI752" s="23" t="str">
        <f>IF(Eingabe[[#This Row],[V3]]="","",Eingabe[[#This Row],[V3]]+Eingabe[[#This Row],[R3]])</f>
        <v/>
      </c>
      <c r="AJ752" s="23" t="str">
        <f>IF(Eingabe[[#This Row],[V4]]="","",Eingabe[[#This Row],[V4]]+Eingabe[[#This Row],[R4]])</f>
        <v/>
      </c>
      <c r="AK752" s="23" t="str">
        <f>IF(Eingabe[[#This Row],[S1P]]="","",Eingabe[[#This Row],[S1P]]+Eingabe[[#This Row],[S2P]]+Eingabe[[#This Row],[S3P]]+Eingabe[[#This Row],[S4P]])</f>
        <v/>
      </c>
      <c r="AL752" s="23" t="str">
        <f>IF(Eingabe[[#This Row],[S1P]]="","",IF(Eingabe[[#This Row],[SP]]&gt;2,1,IF(Eingabe[[#This Row],[SP]]&lt;2,0,IF(Eingabe[[#This Row],[GES]]&gt;Eingabe[[#This Row],[GEGGES]],1,IF(Eingabe[[#This Row],[GES]]=Eingabe[[#This Row],[GEGGES]],0.5,0)))))</f>
        <v/>
      </c>
      <c r="AM752" s="23" t="str">
        <f>IF(Eingabe[[#This Row],[MP]]="","",MOD(ROW(Eingabe[[#This Row],[Position]])-3,6)+1)</f>
        <v/>
      </c>
      <c r="AN752" s="23" t="e">
        <f>STANDARDIZE(Eingabe[[#This Row],[GES]],Eingabe[[#This Row],[Schnitt]],VLOOKUP(Eingabe[[#This Row],[Name]],AuswertungG[],21,FALSE))</f>
        <v>#VALUE!</v>
      </c>
      <c r="AO752" s="23" t="str">
        <f>VLOOKUP(Eingabe[[#This Row],[ID]],Chronologie[[ID]:[KW]],12,FALSE)</f>
        <v/>
      </c>
      <c r="AP752" s="59">
        <f>IF(Eingabe[[#This Row],[Wo]]="H",Eingabe[[#This Row],[Gegner]]&amp;" ["&amp;Eingabe[[#This Row],[Wo]]&amp;"]",Eingabe[[#This Row],[Ort]])</f>
        <v>0</v>
      </c>
      <c r="AQ752" s="23" t="str">
        <f>IFERROR(IF(Eingabe[[#This Row],[Wo]]="H",IF(MOD(Eingabe[[#This Row],[Position]],2)=1,Eingabe[[#This Row],[S1]],Eingabe[[#This Row],[S4]]),""),"")</f>
        <v/>
      </c>
      <c r="AR752" s="23" t="str">
        <f>IFERROR(IF(Eingabe[[#This Row],[Wo]]="H",IF(Eingabe[[#This Row],[S1]]&gt;0,IF(MOD(Eingabe[[#This Row],[Position]],2)=1,Eingabe[[#This Row],[S2]],Eingabe[[#This Row],[S3]]),""),""),"")</f>
        <v/>
      </c>
      <c r="AS752" s="23" t="str">
        <f>IFERROR(IF(Eingabe[[#This Row],[Wo]]="H",IF(Eingabe[[#This Row],[S1]]&gt;0,IF(MOD(ROW(Eingabe[[#This Row],[Heimbahn 3]]),2)=1,Eingabe[[#This Row],[S4]],Eingabe[[#This Row],[S1]]),""),""),"")</f>
        <v/>
      </c>
      <c r="AT752" s="23" t="str">
        <f>IFERROR(IF(Eingabe[[#This Row],[Wo]]="H",IF(Eingabe[[#This Row],[S1]]&gt;0,IF(MOD(ROW(Eingabe[[#This Row],[Heimbahn 4]]),2)=1,Eingabe[[#This Row],[S3]],Eingabe[[#This Row],[S2]]),""),""),"")</f>
        <v/>
      </c>
      <c r="AU752" s="89" t="str">
        <f>IF(Eingabe[[#This Row],[GES]]="","",IF(Eingabe[[#This Row],[Modus]]="L",_xlfn.RANK.EQ(Eingabe[[#This Row],[GES]],AF747:AF752),IF(Eingabe[[#This Row],[Modus]]="P",_xlfn.RANK.EQ(Eingabe[[#This Row],[GES]],AF747:AF752),"")))</f>
        <v/>
      </c>
      <c r="AV752" s="6" t="e">
        <f>VLOOKUP(Eingabe[[#This Row],[Name]],AuswertungG[],8,FALSE)</f>
        <v>#N/A</v>
      </c>
      <c r="AZ752" s="6" t="str">
        <f>IFERROR(ABS(Eingabe[[#This Row],[GES]]-Eingabe[[#This Row],[GEGGES]]),"")</f>
        <v/>
      </c>
    </row>
    <row r="753" spans="1:52" hidden="1" x14ac:dyDescent="0.3">
      <c r="A753" s="440">
        <f t="shared" ref="A753" si="85">B753</f>
        <v>126</v>
      </c>
      <c r="B753" s="55">
        <f t="shared" si="81"/>
        <v>126</v>
      </c>
      <c r="C753" s="35">
        <f>VLOOKUP($B753,Chronologie[],7,TRUE)</f>
        <v>0</v>
      </c>
      <c r="D753" s="35">
        <f>VLOOKUP($B753,Chronologie[],8,TRUE)</f>
        <v>0</v>
      </c>
      <c r="E753" s="36">
        <f>VLOOKUP($B753,Chronologie[],9,TRUE)</f>
        <v>0</v>
      </c>
      <c r="F753" s="35">
        <f>VLOOKUP($B753,Chronologie[],COLUMN(F754)-2,TRUE)</f>
        <v>0</v>
      </c>
      <c r="G753" s="35">
        <f>VLOOKUP($B753,Chronologie[],COLUMN(G754)-2,TRUE)</f>
        <v>0</v>
      </c>
      <c r="H753" s="35">
        <f>VLOOKUP($B753,Chronologie[],COLUMN(H754)-2,TRUE)</f>
        <v>0</v>
      </c>
      <c r="I753" s="9" t="str">
        <f>VLOOKUP($B753,Chronologie[],2,TRUE)</f>
        <v>--</v>
      </c>
      <c r="J753" s="242">
        <f>VLOOKUP($B753,Chronologie[],3,TRUE)</f>
        <v>0</v>
      </c>
      <c r="K753" s="236"/>
      <c r="L753" s="334"/>
      <c r="M753" s="334"/>
      <c r="N753" s="334"/>
      <c r="O753" s="334"/>
      <c r="P753" s="334"/>
      <c r="Q753" s="334"/>
      <c r="R753" s="334"/>
      <c r="S753" s="334"/>
      <c r="T753" s="334"/>
      <c r="U753" s="334"/>
      <c r="V753" s="334"/>
      <c r="W753" s="334"/>
      <c r="X753" s="37"/>
      <c r="Y753" s="37"/>
      <c r="Z753" s="37"/>
      <c r="AA753" s="37"/>
      <c r="AB753" s="90"/>
      <c r="AC753" s="93" t="str">
        <f>IF(Eingabe[[#This Row],[V1]]="",IF(Eingabe[[#This Row],[Volle alternativ]]="","",Eingabe[[#This Row],[Volle alternativ]]),SUM(Eingabe[[#This Row],[V1]:[V4]]))</f>
        <v/>
      </c>
      <c r="AD753" s="35" t="str">
        <f>IF(Eingabe[[#This Row],[R1]]="",IF(Eingabe[[#This Row],[Räumer alternativ]]="","",Eingabe[[#This Row],[Räumer alternativ]]),SUM(Eingabe[[#This Row],[R1]:[R4]]))</f>
        <v/>
      </c>
      <c r="AE753" s="35" t="str">
        <f>IF(Eingabe[[#This Row],[F1]]="",IF(Eingabe[[#This Row],[Fehler alternativ]]="","",Eingabe[[#This Row],[Fehler alternativ]]),SUM(Eingabe[[#This Row],[F1]:[F4]]))</f>
        <v/>
      </c>
      <c r="AF753" s="35" t="str">
        <f>IF(Eingabe[[#This Row],[Volle]]="","",IF(Eingabe[[#This Row],[S1]]="",Eingabe[[#This Row],[Volle]]+Eingabe[[#This Row],[Räumer]],IF(Eingabe[[#This Row],[Volle]]+Eingabe[[#This Row],[Räumer]]=Eingabe[[#This Row],[S1]]+Eingabe[[#This Row],[S2]]+Eingabe[[#This Row],[S3]]+Eingabe[[#This Row],[S4]],Eingabe[[#This Row],[Volle]]+Eingabe[[#This Row],[Räumer]],"FEHLER")))</f>
        <v/>
      </c>
      <c r="AG753" s="35" t="str">
        <f>IF(Eingabe[[#This Row],[V1]]="","",Eingabe[[#This Row],[V1]]+Eingabe[[#This Row],[R1]])</f>
        <v/>
      </c>
      <c r="AH753" s="35" t="str">
        <f>IF(Eingabe[[#This Row],[V2]]="","",Eingabe[[#This Row],[V2]]+Eingabe[[#This Row],[R2]])</f>
        <v/>
      </c>
      <c r="AI753" s="35" t="str">
        <f>IF(Eingabe[[#This Row],[V3]]="","",Eingabe[[#This Row],[V3]]+Eingabe[[#This Row],[R3]])</f>
        <v/>
      </c>
      <c r="AJ753" s="35" t="str">
        <f>IF(Eingabe[[#This Row],[V4]]="","",Eingabe[[#This Row],[V4]]+Eingabe[[#This Row],[R4]])</f>
        <v/>
      </c>
      <c r="AK753" s="35" t="str">
        <f>IF(Eingabe[[#This Row],[S1P]]="","",Eingabe[[#This Row],[S1P]]+Eingabe[[#This Row],[S2P]]+Eingabe[[#This Row],[S3P]]+Eingabe[[#This Row],[S4P]])</f>
        <v/>
      </c>
      <c r="AL753" s="35" t="str">
        <f>IF(Eingabe[[#This Row],[S1P]]="","",IF(Eingabe[[#This Row],[SP]]&gt;2,1,IF(Eingabe[[#This Row],[SP]]&lt;2,0,IF(Eingabe[[#This Row],[GES]]&gt;Eingabe[[#This Row],[GEGGES]],1,IF(Eingabe[[#This Row],[GES]]=Eingabe[[#This Row],[GEGGES]],0.5,0)))))</f>
        <v/>
      </c>
      <c r="AM753" s="35" t="str">
        <f>IF(Eingabe[[#This Row],[MP]]="","",MOD(ROW(Eingabe[[#This Row],[Position]])-3,6)+1)</f>
        <v/>
      </c>
      <c r="AN753" s="35" t="e">
        <f>STANDARDIZE(Eingabe[[#This Row],[GES]],Eingabe[[#This Row],[Schnitt]],VLOOKUP(Eingabe[[#This Row],[Name]],AuswertungG[],21,FALSE))</f>
        <v>#VALUE!</v>
      </c>
      <c r="AO753" s="35" t="str">
        <f>VLOOKUP(Eingabe[[#This Row],[ID]],Chronologie[[ID]:[KW]],12,FALSE)</f>
        <v/>
      </c>
      <c r="AP753" s="58">
        <f>IF(Eingabe[[#This Row],[Wo]]="H",Eingabe[[#This Row],[Gegner]]&amp;" ["&amp;Eingabe[[#This Row],[Wo]]&amp;"]",Eingabe[[#This Row],[Ort]])</f>
        <v>0</v>
      </c>
      <c r="AQ753" s="35" t="str">
        <f>IFERROR(IF(Eingabe[[#This Row],[Wo]]="H",IF(MOD(Eingabe[[#This Row],[Position]],2)=1,Eingabe[[#This Row],[S1]],Eingabe[[#This Row],[S4]]),""),"")</f>
        <v/>
      </c>
      <c r="AR753" s="35" t="str">
        <f>IFERROR(IF(Eingabe[[#This Row],[Wo]]="H",IF(Eingabe[[#This Row],[S1]]&gt;0,IF(MOD(Eingabe[[#This Row],[Position]],2)=1,Eingabe[[#This Row],[S2]],Eingabe[[#This Row],[S3]]),""),""),"")</f>
        <v/>
      </c>
      <c r="AS753" s="35" t="str">
        <f>IFERROR(IF(Eingabe[[#This Row],[Wo]]="H",IF(Eingabe[[#This Row],[S1]]&gt;0,IF(MOD(ROW(Eingabe[[#This Row],[Heimbahn 3]]),2)=1,Eingabe[[#This Row],[S4]],Eingabe[[#This Row],[S1]]),""),""),"")</f>
        <v/>
      </c>
      <c r="AT753" s="35" t="str">
        <f>IFERROR(IF(Eingabe[[#This Row],[Wo]]="H",IF(Eingabe[[#This Row],[S1]]&gt;0,IF(MOD(ROW(Eingabe[[#This Row],[Heimbahn 4]]),2)=1,Eingabe[[#This Row],[S3]],Eingabe[[#This Row],[S2]]),""),""),"")</f>
        <v/>
      </c>
      <c r="AU753" s="88" t="str">
        <f>IF(Eingabe[[#This Row],[GES]]="","",IF(Eingabe[[#This Row],[Modus]]="L",_xlfn.RANK.EQ(Eingabe[[#This Row],[GES]],AF753:AF758),IF(Eingabe[[#This Row],[Modus]]="P",_xlfn.RANK.EQ(Eingabe[[#This Row],[GES]],AF753:AF758),"")))</f>
        <v/>
      </c>
      <c r="AV753" s="6" t="e">
        <f>VLOOKUP(Eingabe[[#This Row],[Name]],AuswertungG[],8,FALSE)</f>
        <v>#N/A</v>
      </c>
      <c r="AZ753" s="6" t="str">
        <f>IFERROR(ABS(Eingabe[[#This Row],[GES]]-Eingabe[[#This Row],[GEGGES]]),"")</f>
        <v/>
      </c>
    </row>
    <row r="754" spans="1:52" hidden="1" x14ac:dyDescent="0.3">
      <c r="A754" s="441"/>
      <c r="B754" s="21">
        <f t="shared" si="81"/>
        <v>126</v>
      </c>
      <c r="C754" s="6">
        <f>VLOOKUP($B754,Chronologie[],7,TRUE)</f>
        <v>0</v>
      </c>
      <c r="D754" s="6">
        <f>VLOOKUP($B754,Chronologie[],8,TRUE)</f>
        <v>0</v>
      </c>
      <c r="E754" s="240">
        <f>VLOOKUP($B754,Chronologie[],9,TRUE)</f>
        <v>0</v>
      </c>
      <c r="F754" s="6">
        <f>VLOOKUP($B754,Chronologie[],COLUMN(F755)-2,TRUE)</f>
        <v>0</v>
      </c>
      <c r="G754" s="6">
        <f>VLOOKUP($B754,Chronologie[],COLUMN(G755)-2,TRUE)</f>
        <v>0</v>
      </c>
      <c r="H754" s="6">
        <f>VLOOKUP($B754,Chronologie[],COLUMN(H755)-2,TRUE)</f>
        <v>0</v>
      </c>
      <c r="I754" s="10" t="str">
        <f>VLOOKUP($B754,Chronologie[],2,TRUE)</f>
        <v>--</v>
      </c>
      <c r="J754" s="243">
        <f>VLOOKUP($B754,Chronologie[],3,TRUE)</f>
        <v>0</v>
      </c>
      <c r="K754" s="237"/>
      <c r="L754" s="237"/>
      <c r="M754" s="237"/>
      <c r="N754" s="237"/>
      <c r="O754" s="237"/>
      <c r="P754" s="237"/>
      <c r="Q754" s="237"/>
      <c r="R754" s="237"/>
      <c r="S754" s="237"/>
      <c r="T754" s="237"/>
      <c r="U754" s="237"/>
      <c r="V754" s="237"/>
      <c r="W754" s="237"/>
      <c r="X754" s="38"/>
      <c r="Y754" s="38"/>
      <c r="Z754" s="38"/>
      <c r="AA754" s="38"/>
      <c r="AB754" s="91"/>
      <c r="AC754" s="94" t="str">
        <f>IF(Eingabe[[#This Row],[V1]]="",IF(Eingabe[[#This Row],[Volle alternativ]]="","",Eingabe[[#This Row],[Volle alternativ]]),SUM(Eingabe[[#This Row],[V1]:[V4]]))</f>
        <v/>
      </c>
      <c r="AD754" s="6" t="str">
        <f>IF(Eingabe[[#This Row],[R1]]="",IF(Eingabe[[#This Row],[Räumer alternativ]]="","",Eingabe[[#This Row],[Räumer alternativ]]),SUM(Eingabe[[#This Row],[R1]:[R4]]))</f>
        <v/>
      </c>
      <c r="AE754" s="6" t="str">
        <f>IF(Eingabe[[#This Row],[F1]]="",IF(Eingabe[[#This Row],[Fehler alternativ]]="","",Eingabe[[#This Row],[Fehler alternativ]]),SUM(Eingabe[[#This Row],[F1]:[F4]]))</f>
        <v/>
      </c>
      <c r="AF754" s="6" t="str">
        <f>IF(Eingabe[[#This Row],[Volle]]="","",IF(Eingabe[[#This Row],[S1]]="",Eingabe[[#This Row],[Volle]]+Eingabe[[#This Row],[Räumer]],IF(Eingabe[[#This Row],[Volle]]+Eingabe[[#This Row],[Räumer]]=Eingabe[[#This Row],[S1]]+Eingabe[[#This Row],[S2]]+Eingabe[[#This Row],[S3]]+Eingabe[[#This Row],[S4]],Eingabe[[#This Row],[Volle]]+Eingabe[[#This Row],[Räumer]],"FEHLER")))</f>
        <v/>
      </c>
      <c r="AG754" s="6" t="str">
        <f>IF(Eingabe[[#This Row],[V1]]="","",Eingabe[[#This Row],[V1]]+Eingabe[[#This Row],[R1]])</f>
        <v/>
      </c>
      <c r="AH754" s="6" t="str">
        <f>IF(Eingabe[[#This Row],[V2]]="","",Eingabe[[#This Row],[V2]]+Eingabe[[#This Row],[R2]])</f>
        <v/>
      </c>
      <c r="AI754" s="6" t="str">
        <f>IF(Eingabe[[#This Row],[V3]]="","",Eingabe[[#This Row],[V3]]+Eingabe[[#This Row],[R3]])</f>
        <v/>
      </c>
      <c r="AJ754" s="6" t="str">
        <f>IF(Eingabe[[#This Row],[V4]]="","",Eingabe[[#This Row],[V4]]+Eingabe[[#This Row],[R4]])</f>
        <v/>
      </c>
      <c r="AK754" s="6" t="str">
        <f>IF(Eingabe[[#This Row],[S1P]]="","",Eingabe[[#This Row],[S1P]]+Eingabe[[#This Row],[S2P]]+Eingabe[[#This Row],[S3P]]+Eingabe[[#This Row],[S4P]])</f>
        <v/>
      </c>
      <c r="AL754" s="6" t="str">
        <f>IF(Eingabe[[#This Row],[S1P]]="","",IF(Eingabe[[#This Row],[SP]]&gt;2,1,IF(Eingabe[[#This Row],[SP]]&lt;2,0,IF(Eingabe[[#This Row],[GES]]&gt;Eingabe[[#This Row],[GEGGES]],1,IF(Eingabe[[#This Row],[GES]]=Eingabe[[#This Row],[GEGGES]],0.5,0)))))</f>
        <v/>
      </c>
      <c r="AM754" s="6" t="str">
        <f>IF(Eingabe[[#This Row],[MP]]="","",MOD(ROW(Eingabe[[#This Row],[Position]])-3,6)+1)</f>
        <v/>
      </c>
      <c r="AN754" s="6" t="e">
        <f>STANDARDIZE(Eingabe[[#This Row],[GES]],Eingabe[[#This Row],[Schnitt]],VLOOKUP(Eingabe[[#This Row],[Name]],AuswertungG[],21,FALSE))</f>
        <v>#VALUE!</v>
      </c>
      <c r="AO754" s="6" t="str">
        <f>VLOOKUP(Eingabe[[#This Row],[ID]],Chronologie[[ID]:[KW]],12,FALSE)</f>
        <v/>
      </c>
      <c r="AP754" s="95">
        <f>IF(Eingabe[[#This Row],[Wo]]="H",Eingabe[[#This Row],[Gegner]]&amp;" ["&amp;Eingabe[[#This Row],[Wo]]&amp;"]",Eingabe[[#This Row],[Ort]])</f>
        <v>0</v>
      </c>
      <c r="AQ754" s="6" t="str">
        <f>IFERROR(IF(Eingabe[[#This Row],[Wo]]="H",IF(MOD(Eingabe[[#This Row],[Position]],2)=1,Eingabe[[#This Row],[S1]],Eingabe[[#This Row],[S4]]),""),"")</f>
        <v/>
      </c>
      <c r="AR754" s="6" t="str">
        <f>IFERROR(IF(Eingabe[[#This Row],[Wo]]="H",IF(Eingabe[[#This Row],[S1]]&gt;0,IF(MOD(Eingabe[[#This Row],[Position]],2)=1,Eingabe[[#This Row],[S2]],Eingabe[[#This Row],[S3]]),""),""),"")</f>
        <v/>
      </c>
      <c r="AS754" s="6" t="str">
        <f>IFERROR(IF(Eingabe[[#This Row],[Wo]]="H",IF(Eingabe[[#This Row],[S1]]&gt;0,IF(MOD(ROW(Eingabe[[#This Row],[Heimbahn 3]]),2)=1,Eingabe[[#This Row],[S4]],Eingabe[[#This Row],[S1]]),""),""),"")</f>
        <v/>
      </c>
      <c r="AT754" s="6" t="str">
        <f>IFERROR(IF(Eingabe[[#This Row],[Wo]]="H",IF(Eingabe[[#This Row],[S1]]&gt;0,IF(MOD(ROW(Eingabe[[#This Row],[Heimbahn 4]]),2)=1,Eingabe[[#This Row],[S3]],Eingabe[[#This Row],[S2]]),""),""),"")</f>
        <v/>
      </c>
      <c r="AU754" s="22" t="str">
        <f>IF(Eingabe[[#This Row],[GES]]="","",IF(Eingabe[[#This Row],[Modus]]="L",_xlfn.RANK.EQ(Eingabe[[#This Row],[GES]],AF753:AF758),IF(Eingabe[[#This Row],[Modus]]="P",_xlfn.RANK.EQ(Eingabe[[#This Row],[GES]],AF753:AF758),"")))</f>
        <v/>
      </c>
      <c r="AV754" s="6" t="e">
        <f>VLOOKUP(Eingabe[[#This Row],[Name]],AuswertungG[],8,FALSE)</f>
        <v>#N/A</v>
      </c>
      <c r="AZ754" s="6" t="str">
        <f>IFERROR(ABS(Eingabe[[#This Row],[GES]]-Eingabe[[#This Row],[GEGGES]]),"")</f>
        <v/>
      </c>
    </row>
    <row r="755" spans="1:52" hidden="1" x14ac:dyDescent="0.3">
      <c r="A755" s="441"/>
      <c r="B755" s="21">
        <f t="shared" si="81"/>
        <v>126</v>
      </c>
      <c r="C755" s="6">
        <f>VLOOKUP($B755,Chronologie[],7,TRUE)</f>
        <v>0</v>
      </c>
      <c r="D755" s="6">
        <f>VLOOKUP($B755,Chronologie[],8,TRUE)</f>
        <v>0</v>
      </c>
      <c r="E755" s="240">
        <f>VLOOKUP($B755,Chronologie[],9,TRUE)</f>
        <v>0</v>
      </c>
      <c r="F755" s="6">
        <f>VLOOKUP($B755,Chronologie[],COLUMN(F756)-2,TRUE)</f>
        <v>0</v>
      </c>
      <c r="G755" s="6">
        <f>VLOOKUP($B755,Chronologie[],COLUMN(G756)-2,TRUE)</f>
        <v>0</v>
      </c>
      <c r="H755" s="6">
        <f>VLOOKUP($B755,Chronologie[],COLUMN(H756)-2,TRUE)</f>
        <v>0</v>
      </c>
      <c r="I755" s="10" t="str">
        <f>VLOOKUP($B755,Chronologie[],2,TRUE)</f>
        <v>--</v>
      </c>
      <c r="J755" s="243">
        <f>VLOOKUP($B755,Chronologie[],3,TRUE)</f>
        <v>0</v>
      </c>
      <c r="K755" s="237"/>
      <c r="L755" s="237"/>
      <c r="M755" s="237"/>
      <c r="N755" s="237"/>
      <c r="O755" s="237"/>
      <c r="P755" s="237"/>
      <c r="Q755" s="237"/>
      <c r="R755" s="237"/>
      <c r="S755" s="237"/>
      <c r="T755" s="237"/>
      <c r="U755" s="237"/>
      <c r="V755" s="237"/>
      <c r="W755" s="237"/>
      <c r="X755" s="38"/>
      <c r="Y755" s="38"/>
      <c r="Z755" s="38"/>
      <c r="AA755" s="38"/>
      <c r="AB755" s="91"/>
      <c r="AC755" s="94" t="str">
        <f>IF(Eingabe[[#This Row],[V1]]="",IF(Eingabe[[#This Row],[Volle alternativ]]="","",Eingabe[[#This Row],[Volle alternativ]]),SUM(Eingabe[[#This Row],[V1]:[V4]]))</f>
        <v/>
      </c>
      <c r="AD755" s="6" t="str">
        <f>IF(Eingabe[[#This Row],[R1]]="",IF(Eingabe[[#This Row],[Räumer alternativ]]="","",Eingabe[[#This Row],[Räumer alternativ]]),SUM(Eingabe[[#This Row],[R1]:[R4]]))</f>
        <v/>
      </c>
      <c r="AE755" s="6" t="str">
        <f>IF(Eingabe[[#This Row],[F1]]="",IF(Eingabe[[#This Row],[Fehler alternativ]]="","",Eingabe[[#This Row],[Fehler alternativ]]),SUM(Eingabe[[#This Row],[F1]:[F4]]))</f>
        <v/>
      </c>
      <c r="AF755" s="6" t="str">
        <f>IF(Eingabe[[#This Row],[Volle]]="","",IF(Eingabe[[#This Row],[S1]]="",Eingabe[[#This Row],[Volle]]+Eingabe[[#This Row],[Räumer]],IF(Eingabe[[#This Row],[Volle]]+Eingabe[[#This Row],[Räumer]]=Eingabe[[#This Row],[S1]]+Eingabe[[#This Row],[S2]]+Eingabe[[#This Row],[S3]]+Eingabe[[#This Row],[S4]],Eingabe[[#This Row],[Volle]]+Eingabe[[#This Row],[Räumer]],"FEHLER")))</f>
        <v/>
      </c>
      <c r="AG755" s="6" t="str">
        <f>IF(Eingabe[[#This Row],[V1]]="","",Eingabe[[#This Row],[V1]]+Eingabe[[#This Row],[R1]])</f>
        <v/>
      </c>
      <c r="AH755" s="6" t="str">
        <f>IF(Eingabe[[#This Row],[V2]]="","",Eingabe[[#This Row],[V2]]+Eingabe[[#This Row],[R2]])</f>
        <v/>
      </c>
      <c r="AI755" s="6" t="str">
        <f>IF(Eingabe[[#This Row],[V3]]="","",Eingabe[[#This Row],[V3]]+Eingabe[[#This Row],[R3]])</f>
        <v/>
      </c>
      <c r="AJ755" s="6" t="str">
        <f>IF(Eingabe[[#This Row],[V4]]="","",Eingabe[[#This Row],[V4]]+Eingabe[[#This Row],[R4]])</f>
        <v/>
      </c>
      <c r="AK755" s="6" t="str">
        <f>IF(Eingabe[[#This Row],[S1P]]="","",Eingabe[[#This Row],[S1P]]+Eingabe[[#This Row],[S2P]]+Eingabe[[#This Row],[S3P]]+Eingabe[[#This Row],[S4P]])</f>
        <v/>
      </c>
      <c r="AL755" s="6" t="str">
        <f>IF(Eingabe[[#This Row],[S1P]]="","",IF(Eingabe[[#This Row],[SP]]&gt;2,1,IF(Eingabe[[#This Row],[SP]]&lt;2,0,IF(Eingabe[[#This Row],[GES]]&gt;Eingabe[[#This Row],[GEGGES]],1,IF(Eingabe[[#This Row],[GES]]=Eingabe[[#This Row],[GEGGES]],0.5,0)))))</f>
        <v/>
      </c>
      <c r="AM755" s="6" t="str">
        <f>IF(Eingabe[[#This Row],[MP]]="","",MOD(ROW(Eingabe[[#This Row],[Position]])-3,6)+1)</f>
        <v/>
      </c>
      <c r="AN755" s="6" t="e">
        <f>STANDARDIZE(Eingabe[[#This Row],[GES]],Eingabe[[#This Row],[Schnitt]],VLOOKUP(Eingabe[[#This Row],[Name]],AuswertungG[],21,FALSE))</f>
        <v>#VALUE!</v>
      </c>
      <c r="AO755" s="6" t="str">
        <f>VLOOKUP(Eingabe[[#This Row],[ID]],Chronologie[[ID]:[KW]],12,FALSE)</f>
        <v/>
      </c>
      <c r="AP755" s="95">
        <f>IF(Eingabe[[#This Row],[Wo]]="H",Eingabe[[#This Row],[Gegner]]&amp;" ["&amp;Eingabe[[#This Row],[Wo]]&amp;"]",Eingabe[[#This Row],[Ort]])</f>
        <v>0</v>
      </c>
      <c r="AQ755" s="6" t="str">
        <f>IFERROR(IF(Eingabe[[#This Row],[Wo]]="H",IF(MOD(Eingabe[[#This Row],[Position]],2)=1,Eingabe[[#This Row],[S1]],Eingabe[[#This Row],[S4]]),""),"")</f>
        <v/>
      </c>
      <c r="AR755" s="6" t="str">
        <f>IFERROR(IF(Eingabe[[#This Row],[Wo]]="H",IF(Eingabe[[#This Row],[S1]]&gt;0,IF(MOD(Eingabe[[#This Row],[Position]],2)=1,Eingabe[[#This Row],[S2]],Eingabe[[#This Row],[S3]]),""),""),"")</f>
        <v/>
      </c>
      <c r="AS755" s="6" t="str">
        <f>IFERROR(IF(Eingabe[[#This Row],[Wo]]="H",IF(Eingabe[[#This Row],[S1]]&gt;0,IF(MOD(ROW(Eingabe[[#This Row],[Heimbahn 3]]),2)=1,Eingabe[[#This Row],[S4]],Eingabe[[#This Row],[S1]]),""),""),"")</f>
        <v/>
      </c>
      <c r="AT755" s="6" t="str">
        <f>IFERROR(IF(Eingabe[[#This Row],[Wo]]="H",IF(Eingabe[[#This Row],[S1]]&gt;0,IF(MOD(ROW(Eingabe[[#This Row],[Heimbahn 4]]),2)=1,Eingabe[[#This Row],[S3]],Eingabe[[#This Row],[S2]]),""),""),"")</f>
        <v/>
      </c>
      <c r="AU755" s="22" t="str">
        <f>IF(Eingabe[[#This Row],[GES]]="","",IF(Eingabe[[#This Row],[Modus]]="L",_xlfn.RANK.EQ(Eingabe[[#This Row],[GES]],AF753:AF758),IF(Eingabe[[#This Row],[Modus]]="P",_xlfn.RANK.EQ(Eingabe[[#This Row],[GES]],AF753:AF758),"")))</f>
        <v/>
      </c>
      <c r="AV755" s="6" t="e">
        <f>VLOOKUP(Eingabe[[#This Row],[Name]],AuswertungG[],8,FALSE)</f>
        <v>#N/A</v>
      </c>
      <c r="AZ755" s="6" t="str">
        <f>IFERROR(ABS(Eingabe[[#This Row],[GES]]-Eingabe[[#This Row],[GEGGES]]),"")</f>
        <v/>
      </c>
    </row>
    <row r="756" spans="1:52" hidden="1" x14ac:dyDescent="0.3">
      <c r="A756" s="441"/>
      <c r="B756" s="21">
        <f t="shared" si="81"/>
        <v>126</v>
      </c>
      <c r="C756" s="6">
        <f>VLOOKUP($B756,Chronologie[],7,TRUE)</f>
        <v>0</v>
      </c>
      <c r="D756" s="6">
        <f>VLOOKUP($B756,Chronologie[],8,TRUE)</f>
        <v>0</v>
      </c>
      <c r="E756" s="240">
        <f>VLOOKUP($B756,Chronologie[],9,TRUE)</f>
        <v>0</v>
      </c>
      <c r="F756" s="6">
        <f>VLOOKUP($B756,Chronologie[],COLUMN(F757)-2,TRUE)</f>
        <v>0</v>
      </c>
      <c r="G756" s="6">
        <f>VLOOKUP($B756,Chronologie[],COLUMN(G757)-2,TRUE)</f>
        <v>0</v>
      </c>
      <c r="H756" s="6">
        <f>VLOOKUP($B756,Chronologie[],COLUMN(H757)-2,TRUE)</f>
        <v>0</v>
      </c>
      <c r="I756" s="10" t="str">
        <f>VLOOKUP($B756,Chronologie[],2,TRUE)</f>
        <v>--</v>
      </c>
      <c r="J756" s="243">
        <f>VLOOKUP($B756,Chronologie[],3,TRUE)</f>
        <v>0</v>
      </c>
      <c r="K756" s="238"/>
      <c r="L756" s="237"/>
      <c r="M756" s="237"/>
      <c r="N756" s="237"/>
      <c r="O756" s="237"/>
      <c r="P756" s="237"/>
      <c r="Q756" s="237"/>
      <c r="R756" s="237"/>
      <c r="S756" s="237"/>
      <c r="T756" s="237"/>
      <c r="U756" s="237"/>
      <c r="V756" s="237"/>
      <c r="W756" s="237"/>
      <c r="X756" s="38"/>
      <c r="Y756" s="38"/>
      <c r="Z756" s="38"/>
      <c r="AA756" s="38"/>
      <c r="AB756" s="91"/>
      <c r="AC756" s="94" t="str">
        <f>IF(Eingabe[[#This Row],[V1]]="",IF(Eingabe[[#This Row],[Volle alternativ]]="","",Eingabe[[#This Row],[Volle alternativ]]),SUM(Eingabe[[#This Row],[V1]:[V4]]))</f>
        <v/>
      </c>
      <c r="AD756" s="6" t="str">
        <f>IF(Eingabe[[#This Row],[R1]]="",IF(Eingabe[[#This Row],[Räumer alternativ]]="","",Eingabe[[#This Row],[Räumer alternativ]]),SUM(Eingabe[[#This Row],[R1]:[R4]]))</f>
        <v/>
      </c>
      <c r="AE756" s="6" t="str">
        <f>IF(Eingabe[[#This Row],[F1]]="",IF(Eingabe[[#This Row],[Fehler alternativ]]="","",Eingabe[[#This Row],[Fehler alternativ]]),SUM(Eingabe[[#This Row],[F1]:[F4]]))</f>
        <v/>
      </c>
      <c r="AF756" s="6" t="str">
        <f>IF(Eingabe[[#This Row],[Volle]]="","",IF(Eingabe[[#This Row],[S1]]="",Eingabe[[#This Row],[Volle]]+Eingabe[[#This Row],[Räumer]],IF(Eingabe[[#This Row],[Volle]]+Eingabe[[#This Row],[Räumer]]=Eingabe[[#This Row],[S1]]+Eingabe[[#This Row],[S2]]+Eingabe[[#This Row],[S3]]+Eingabe[[#This Row],[S4]],Eingabe[[#This Row],[Volle]]+Eingabe[[#This Row],[Räumer]],"FEHLER")))</f>
        <v/>
      </c>
      <c r="AG756" s="6" t="str">
        <f>IF(Eingabe[[#This Row],[V1]]="","",Eingabe[[#This Row],[V1]]+Eingabe[[#This Row],[R1]])</f>
        <v/>
      </c>
      <c r="AH756" s="6" t="str">
        <f>IF(Eingabe[[#This Row],[V2]]="","",Eingabe[[#This Row],[V2]]+Eingabe[[#This Row],[R2]])</f>
        <v/>
      </c>
      <c r="AI756" s="6" t="str">
        <f>IF(Eingabe[[#This Row],[V3]]="","",Eingabe[[#This Row],[V3]]+Eingabe[[#This Row],[R3]])</f>
        <v/>
      </c>
      <c r="AJ756" s="6" t="str">
        <f>IF(Eingabe[[#This Row],[V4]]="","",Eingabe[[#This Row],[V4]]+Eingabe[[#This Row],[R4]])</f>
        <v/>
      </c>
      <c r="AK756" s="6" t="str">
        <f>IF(Eingabe[[#This Row],[S1P]]="","",Eingabe[[#This Row],[S1P]]+Eingabe[[#This Row],[S2P]]+Eingabe[[#This Row],[S3P]]+Eingabe[[#This Row],[S4P]])</f>
        <v/>
      </c>
      <c r="AL756" s="6" t="str">
        <f>IF(Eingabe[[#This Row],[S1P]]="","",IF(Eingabe[[#This Row],[SP]]&gt;2,1,IF(Eingabe[[#This Row],[SP]]&lt;2,0,IF(Eingabe[[#This Row],[GES]]&gt;Eingabe[[#This Row],[GEGGES]],1,IF(Eingabe[[#This Row],[GES]]=Eingabe[[#This Row],[GEGGES]],0.5,0)))))</f>
        <v/>
      </c>
      <c r="AM756" s="6" t="str">
        <f>IF(Eingabe[[#This Row],[MP]]="","",MOD(ROW(Eingabe[[#This Row],[Position]])-3,6)+1)</f>
        <v/>
      </c>
      <c r="AN756" s="6" t="e">
        <f>STANDARDIZE(Eingabe[[#This Row],[GES]],Eingabe[[#This Row],[Schnitt]],VLOOKUP(Eingabe[[#This Row],[Name]],AuswertungG[],21,FALSE))</f>
        <v>#VALUE!</v>
      </c>
      <c r="AO756" s="6" t="str">
        <f>VLOOKUP(Eingabe[[#This Row],[ID]],Chronologie[[ID]:[KW]],12,FALSE)</f>
        <v/>
      </c>
      <c r="AP756" s="95">
        <f>IF(Eingabe[[#This Row],[Wo]]="H",Eingabe[[#This Row],[Gegner]]&amp;" ["&amp;Eingabe[[#This Row],[Wo]]&amp;"]",Eingabe[[#This Row],[Ort]])</f>
        <v>0</v>
      </c>
      <c r="AQ756" s="6" t="str">
        <f>IFERROR(IF(Eingabe[[#This Row],[Wo]]="H",IF(MOD(Eingabe[[#This Row],[Position]],2)=1,Eingabe[[#This Row],[S1]],Eingabe[[#This Row],[S4]]),""),"")</f>
        <v/>
      </c>
      <c r="AR756" s="6" t="str">
        <f>IFERROR(IF(Eingabe[[#This Row],[Wo]]="H",IF(Eingabe[[#This Row],[S1]]&gt;0,IF(MOD(Eingabe[[#This Row],[Position]],2)=1,Eingabe[[#This Row],[S2]],Eingabe[[#This Row],[S3]]),""),""),"")</f>
        <v/>
      </c>
      <c r="AS756" s="6" t="str">
        <f>IFERROR(IF(Eingabe[[#This Row],[Wo]]="H",IF(Eingabe[[#This Row],[S1]]&gt;0,IF(MOD(ROW(Eingabe[[#This Row],[Heimbahn 3]]),2)=1,Eingabe[[#This Row],[S4]],Eingabe[[#This Row],[S1]]),""),""),"")</f>
        <v/>
      </c>
      <c r="AT756" s="6" t="str">
        <f>IFERROR(IF(Eingabe[[#This Row],[Wo]]="H",IF(Eingabe[[#This Row],[S1]]&gt;0,IF(MOD(ROW(Eingabe[[#This Row],[Heimbahn 4]]),2)=1,Eingabe[[#This Row],[S3]],Eingabe[[#This Row],[S2]]),""),""),"")</f>
        <v/>
      </c>
      <c r="AU756" s="22" t="str">
        <f>IF(Eingabe[[#This Row],[GES]]="","",IF(Eingabe[[#This Row],[Modus]]="L",_xlfn.RANK.EQ(Eingabe[[#This Row],[GES]],AF753:AF758),IF(Eingabe[[#This Row],[Modus]]="P",_xlfn.RANK.EQ(Eingabe[[#This Row],[GES]],AF753:AF758),"")))</f>
        <v/>
      </c>
      <c r="AV756" s="6" t="e">
        <f>VLOOKUP(Eingabe[[#This Row],[Name]],AuswertungG[],8,FALSE)</f>
        <v>#N/A</v>
      </c>
      <c r="AZ756" s="6" t="str">
        <f>IFERROR(ABS(Eingabe[[#This Row],[GES]]-Eingabe[[#This Row],[GEGGES]]),"")</f>
        <v/>
      </c>
    </row>
    <row r="757" spans="1:52" hidden="1" x14ac:dyDescent="0.3">
      <c r="A757" s="441"/>
      <c r="B757" s="21">
        <f t="shared" si="81"/>
        <v>126</v>
      </c>
      <c r="C757" s="6">
        <f>VLOOKUP($B757,Chronologie[],7,TRUE)</f>
        <v>0</v>
      </c>
      <c r="D757" s="6">
        <f>VLOOKUP($B757,Chronologie[],8,TRUE)</f>
        <v>0</v>
      </c>
      <c r="E757" s="240">
        <f>VLOOKUP($B757,Chronologie[],9,TRUE)</f>
        <v>0</v>
      </c>
      <c r="F757" s="6">
        <f>VLOOKUP($B757,Chronologie[],COLUMN(F758)-2,TRUE)</f>
        <v>0</v>
      </c>
      <c r="G757" s="6">
        <f>VLOOKUP($B757,Chronologie[],COLUMN(G758)-2,TRUE)</f>
        <v>0</v>
      </c>
      <c r="H757" s="6">
        <f>VLOOKUP($B757,Chronologie[],COLUMN(H758)-2,TRUE)</f>
        <v>0</v>
      </c>
      <c r="I757" s="10" t="str">
        <f>VLOOKUP($B757,Chronologie[],2,TRUE)</f>
        <v>--</v>
      </c>
      <c r="J757" s="243">
        <f>VLOOKUP($B757,Chronologie[],3,TRUE)</f>
        <v>0</v>
      </c>
      <c r="K757" s="237"/>
      <c r="L757" s="237"/>
      <c r="M757" s="237"/>
      <c r="N757" s="237"/>
      <c r="O757" s="237"/>
      <c r="P757" s="237"/>
      <c r="Q757" s="237"/>
      <c r="R757" s="237"/>
      <c r="S757" s="237"/>
      <c r="T757" s="237"/>
      <c r="U757" s="237"/>
      <c r="V757" s="237"/>
      <c r="W757" s="237"/>
      <c r="X757" s="38"/>
      <c r="Y757" s="38"/>
      <c r="Z757" s="38"/>
      <c r="AA757" s="38"/>
      <c r="AB757" s="91"/>
      <c r="AC757" s="94" t="str">
        <f>IF(Eingabe[[#This Row],[V1]]="",IF(Eingabe[[#This Row],[Volle alternativ]]="","",Eingabe[[#This Row],[Volle alternativ]]),SUM(Eingabe[[#This Row],[V1]:[V4]]))</f>
        <v/>
      </c>
      <c r="AD757" s="6" t="str">
        <f>IF(Eingabe[[#This Row],[R1]]="",IF(Eingabe[[#This Row],[Räumer alternativ]]="","",Eingabe[[#This Row],[Räumer alternativ]]),SUM(Eingabe[[#This Row],[R1]:[R4]]))</f>
        <v/>
      </c>
      <c r="AE757" s="6" t="str">
        <f>IF(Eingabe[[#This Row],[F1]]="",IF(Eingabe[[#This Row],[Fehler alternativ]]="","",Eingabe[[#This Row],[Fehler alternativ]]),SUM(Eingabe[[#This Row],[F1]:[F4]]))</f>
        <v/>
      </c>
      <c r="AF757" s="6" t="str">
        <f>IF(Eingabe[[#This Row],[Volle]]="","",IF(Eingabe[[#This Row],[S1]]="",Eingabe[[#This Row],[Volle]]+Eingabe[[#This Row],[Räumer]],IF(Eingabe[[#This Row],[Volle]]+Eingabe[[#This Row],[Räumer]]=Eingabe[[#This Row],[S1]]+Eingabe[[#This Row],[S2]]+Eingabe[[#This Row],[S3]]+Eingabe[[#This Row],[S4]],Eingabe[[#This Row],[Volle]]+Eingabe[[#This Row],[Räumer]],"FEHLER")))</f>
        <v/>
      </c>
      <c r="AG757" s="6" t="str">
        <f>IF(Eingabe[[#This Row],[V1]]="","",Eingabe[[#This Row],[V1]]+Eingabe[[#This Row],[R1]])</f>
        <v/>
      </c>
      <c r="AH757" s="6" t="str">
        <f>IF(Eingabe[[#This Row],[V2]]="","",Eingabe[[#This Row],[V2]]+Eingabe[[#This Row],[R2]])</f>
        <v/>
      </c>
      <c r="AI757" s="6" t="str">
        <f>IF(Eingabe[[#This Row],[V3]]="","",Eingabe[[#This Row],[V3]]+Eingabe[[#This Row],[R3]])</f>
        <v/>
      </c>
      <c r="AJ757" s="6" t="str">
        <f>IF(Eingabe[[#This Row],[V4]]="","",Eingabe[[#This Row],[V4]]+Eingabe[[#This Row],[R4]])</f>
        <v/>
      </c>
      <c r="AK757" s="6" t="str">
        <f>IF(Eingabe[[#This Row],[S1P]]="","",Eingabe[[#This Row],[S1P]]+Eingabe[[#This Row],[S2P]]+Eingabe[[#This Row],[S3P]]+Eingabe[[#This Row],[S4P]])</f>
        <v/>
      </c>
      <c r="AL757" s="6" t="str">
        <f>IF(Eingabe[[#This Row],[S1P]]="","",IF(Eingabe[[#This Row],[SP]]&gt;2,1,IF(Eingabe[[#This Row],[SP]]&lt;2,0,IF(Eingabe[[#This Row],[GES]]&gt;Eingabe[[#This Row],[GEGGES]],1,IF(Eingabe[[#This Row],[GES]]=Eingabe[[#This Row],[GEGGES]],0.5,0)))))</f>
        <v/>
      </c>
      <c r="AM757" s="6" t="str">
        <f>IF(Eingabe[[#This Row],[MP]]="","",MOD(ROW(Eingabe[[#This Row],[Position]])-3,6)+1)</f>
        <v/>
      </c>
      <c r="AN757" s="6" t="e">
        <f>STANDARDIZE(Eingabe[[#This Row],[GES]],Eingabe[[#This Row],[Schnitt]],VLOOKUP(Eingabe[[#This Row],[Name]],AuswertungG[],21,FALSE))</f>
        <v>#VALUE!</v>
      </c>
      <c r="AO757" s="6" t="str">
        <f>VLOOKUP(Eingabe[[#This Row],[ID]],Chronologie[[ID]:[KW]],12,FALSE)</f>
        <v/>
      </c>
      <c r="AP757" s="95">
        <f>IF(Eingabe[[#This Row],[Wo]]="H",Eingabe[[#This Row],[Gegner]]&amp;" ["&amp;Eingabe[[#This Row],[Wo]]&amp;"]",Eingabe[[#This Row],[Ort]])</f>
        <v>0</v>
      </c>
      <c r="AQ757" s="6" t="str">
        <f>IFERROR(IF(Eingabe[[#This Row],[Wo]]="H",IF(MOD(Eingabe[[#This Row],[Position]],2)=1,Eingabe[[#This Row],[S1]],Eingabe[[#This Row],[S4]]),""),"")</f>
        <v/>
      </c>
      <c r="AR757" s="6" t="str">
        <f>IFERROR(IF(Eingabe[[#This Row],[Wo]]="H",IF(Eingabe[[#This Row],[S1]]&gt;0,IF(MOD(Eingabe[[#This Row],[Position]],2)=1,Eingabe[[#This Row],[S2]],Eingabe[[#This Row],[S3]]),""),""),"")</f>
        <v/>
      </c>
      <c r="AS757" s="6" t="str">
        <f>IFERROR(IF(Eingabe[[#This Row],[Wo]]="H",IF(Eingabe[[#This Row],[S1]]&gt;0,IF(MOD(ROW(Eingabe[[#This Row],[Heimbahn 3]]),2)=1,Eingabe[[#This Row],[S4]],Eingabe[[#This Row],[S1]]),""),""),"")</f>
        <v/>
      </c>
      <c r="AT757" s="6" t="str">
        <f>IFERROR(IF(Eingabe[[#This Row],[Wo]]="H",IF(Eingabe[[#This Row],[S1]]&gt;0,IF(MOD(ROW(Eingabe[[#This Row],[Heimbahn 4]]),2)=1,Eingabe[[#This Row],[S3]],Eingabe[[#This Row],[S2]]),""),""),"")</f>
        <v/>
      </c>
      <c r="AU757" s="22" t="str">
        <f>IF(Eingabe[[#This Row],[GES]]="","",IF(Eingabe[[#This Row],[Modus]]="L",_xlfn.RANK.EQ(Eingabe[[#This Row],[GES]],AF753:AF758),IF(Eingabe[[#This Row],[Modus]]="P",_xlfn.RANK.EQ(Eingabe[[#This Row],[GES]],AF753:AF758),"")))</f>
        <v/>
      </c>
      <c r="AV757" s="6" t="e">
        <f>VLOOKUP(Eingabe[[#This Row],[Name]],AuswertungG[],8,FALSE)</f>
        <v>#N/A</v>
      </c>
      <c r="AZ757" s="6" t="str">
        <f>IFERROR(ABS(Eingabe[[#This Row],[GES]]-Eingabe[[#This Row],[GEGGES]]),"")</f>
        <v/>
      </c>
    </row>
    <row r="758" spans="1:52" ht="16.2" hidden="1" thickBot="1" x14ac:dyDescent="0.35">
      <c r="A758" s="442"/>
      <c r="B758" s="56">
        <f t="shared" si="81"/>
        <v>126</v>
      </c>
      <c r="C758" s="23">
        <f>VLOOKUP($B758,Chronologie[],7,TRUE)</f>
        <v>0</v>
      </c>
      <c r="D758" s="23">
        <f>VLOOKUP($B758,Chronologie[],8,TRUE)</f>
        <v>0</v>
      </c>
      <c r="E758" s="39">
        <f>VLOOKUP($B758,Chronologie[],9,TRUE)</f>
        <v>0</v>
      </c>
      <c r="F758" s="23">
        <f>VLOOKUP($B758,Chronologie[],COLUMN(F759)-2,TRUE)</f>
        <v>0</v>
      </c>
      <c r="G758" s="23">
        <f>VLOOKUP($B758,Chronologie[],COLUMN(G759)-2,TRUE)</f>
        <v>0</v>
      </c>
      <c r="H758" s="23">
        <f>VLOOKUP($B758,Chronologie[],COLUMN(H759)-2,TRUE)</f>
        <v>0</v>
      </c>
      <c r="I758" s="13" t="str">
        <f>VLOOKUP($B758,Chronologie[],2,TRUE)</f>
        <v>--</v>
      </c>
      <c r="J758" s="244">
        <f>VLOOKUP($B758,Chronologie[],3,TRUE)</f>
        <v>0</v>
      </c>
      <c r="K758" s="239"/>
      <c r="L758" s="239"/>
      <c r="M758" s="239"/>
      <c r="N758" s="239"/>
      <c r="O758" s="239"/>
      <c r="P758" s="239"/>
      <c r="Q758" s="239"/>
      <c r="R758" s="239"/>
      <c r="S758" s="239"/>
      <c r="T758" s="239"/>
      <c r="U758" s="239"/>
      <c r="V758" s="239"/>
      <c r="W758" s="239"/>
      <c r="X758" s="40"/>
      <c r="Y758" s="40"/>
      <c r="Z758" s="40"/>
      <c r="AA758" s="40"/>
      <c r="AB758" s="92"/>
      <c r="AC758" s="96" t="str">
        <f>IF(Eingabe[[#This Row],[V1]]="",IF(Eingabe[[#This Row],[Volle alternativ]]="","",Eingabe[[#This Row],[Volle alternativ]]),SUM(Eingabe[[#This Row],[V1]:[V4]]))</f>
        <v/>
      </c>
      <c r="AD758" s="23" t="str">
        <f>IF(Eingabe[[#This Row],[R1]]="",IF(Eingabe[[#This Row],[Räumer alternativ]]="","",Eingabe[[#This Row],[Räumer alternativ]]),SUM(Eingabe[[#This Row],[R1]:[R4]]))</f>
        <v/>
      </c>
      <c r="AE758" s="23" t="str">
        <f>IF(Eingabe[[#This Row],[F1]]="",IF(Eingabe[[#This Row],[Fehler alternativ]]="","",Eingabe[[#This Row],[Fehler alternativ]]),SUM(Eingabe[[#This Row],[F1]:[F4]]))</f>
        <v/>
      </c>
      <c r="AF758" s="23" t="str">
        <f>IF(Eingabe[[#This Row],[Volle]]="","",IF(Eingabe[[#This Row],[S1]]="",Eingabe[[#This Row],[Volle]]+Eingabe[[#This Row],[Räumer]],IF(Eingabe[[#This Row],[Volle]]+Eingabe[[#This Row],[Räumer]]=Eingabe[[#This Row],[S1]]+Eingabe[[#This Row],[S2]]+Eingabe[[#This Row],[S3]]+Eingabe[[#This Row],[S4]],Eingabe[[#This Row],[Volle]]+Eingabe[[#This Row],[Räumer]],"FEHLER")))</f>
        <v/>
      </c>
      <c r="AG758" s="23" t="str">
        <f>IF(Eingabe[[#This Row],[V1]]="","",Eingabe[[#This Row],[V1]]+Eingabe[[#This Row],[R1]])</f>
        <v/>
      </c>
      <c r="AH758" s="23" t="str">
        <f>IF(Eingabe[[#This Row],[V2]]="","",Eingabe[[#This Row],[V2]]+Eingabe[[#This Row],[R2]])</f>
        <v/>
      </c>
      <c r="AI758" s="23" t="str">
        <f>IF(Eingabe[[#This Row],[V3]]="","",Eingabe[[#This Row],[V3]]+Eingabe[[#This Row],[R3]])</f>
        <v/>
      </c>
      <c r="AJ758" s="23" t="str">
        <f>IF(Eingabe[[#This Row],[V4]]="","",Eingabe[[#This Row],[V4]]+Eingabe[[#This Row],[R4]])</f>
        <v/>
      </c>
      <c r="AK758" s="23" t="str">
        <f>IF(Eingabe[[#This Row],[S1P]]="","",Eingabe[[#This Row],[S1P]]+Eingabe[[#This Row],[S2P]]+Eingabe[[#This Row],[S3P]]+Eingabe[[#This Row],[S4P]])</f>
        <v/>
      </c>
      <c r="AL758" s="23" t="str">
        <f>IF(Eingabe[[#This Row],[S1P]]="","",IF(Eingabe[[#This Row],[SP]]&gt;2,1,IF(Eingabe[[#This Row],[SP]]&lt;2,0,IF(Eingabe[[#This Row],[GES]]&gt;Eingabe[[#This Row],[GEGGES]],1,IF(Eingabe[[#This Row],[GES]]=Eingabe[[#This Row],[GEGGES]],0.5,0)))))</f>
        <v/>
      </c>
      <c r="AM758" s="23" t="str">
        <f>IF(Eingabe[[#This Row],[MP]]="","",MOD(ROW(Eingabe[[#This Row],[Position]])-3,6)+1)</f>
        <v/>
      </c>
      <c r="AN758" s="23" t="e">
        <f>STANDARDIZE(Eingabe[[#This Row],[GES]],Eingabe[[#This Row],[Schnitt]],VLOOKUP(Eingabe[[#This Row],[Name]],AuswertungG[],21,FALSE))</f>
        <v>#VALUE!</v>
      </c>
      <c r="AO758" s="23" t="str">
        <f>VLOOKUP(Eingabe[[#This Row],[ID]],Chronologie[[ID]:[KW]],12,FALSE)</f>
        <v/>
      </c>
      <c r="AP758" s="59">
        <f>IF(Eingabe[[#This Row],[Wo]]="H",Eingabe[[#This Row],[Gegner]]&amp;" ["&amp;Eingabe[[#This Row],[Wo]]&amp;"]",Eingabe[[#This Row],[Ort]])</f>
        <v>0</v>
      </c>
      <c r="AQ758" s="23" t="str">
        <f>IFERROR(IF(Eingabe[[#This Row],[Wo]]="H",IF(MOD(Eingabe[[#This Row],[Position]],2)=1,Eingabe[[#This Row],[S1]],Eingabe[[#This Row],[S4]]),""),"")</f>
        <v/>
      </c>
      <c r="AR758" s="23" t="str">
        <f>IFERROR(IF(Eingabe[[#This Row],[Wo]]="H",IF(Eingabe[[#This Row],[S1]]&gt;0,IF(MOD(Eingabe[[#This Row],[Position]],2)=1,Eingabe[[#This Row],[S2]],Eingabe[[#This Row],[S3]]),""),""),"")</f>
        <v/>
      </c>
      <c r="AS758" s="23" t="str">
        <f>IFERROR(IF(Eingabe[[#This Row],[Wo]]="H",IF(Eingabe[[#This Row],[S1]]&gt;0,IF(MOD(ROW(Eingabe[[#This Row],[Heimbahn 3]]),2)=1,Eingabe[[#This Row],[S4]],Eingabe[[#This Row],[S1]]),""),""),"")</f>
        <v/>
      </c>
      <c r="AT758" s="23" t="str">
        <f>IFERROR(IF(Eingabe[[#This Row],[Wo]]="H",IF(Eingabe[[#This Row],[S1]]&gt;0,IF(MOD(ROW(Eingabe[[#This Row],[Heimbahn 4]]),2)=1,Eingabe[[#This Row],[S3]],Eingabe[[#This Row],[S2]]),""),""),"")</f>
        <v/>
      </c>
      <c r="AU758" s="89" t="str">
        <f>IF(Eingabe[[#This Row],[GES]]="","",IF(Eingabe[[#This Row],[Modus]]="L",_xlfn.RANK.EQ(Eingabe[[#This Row],[GES]],AF753:AF758),IF(Eingabe[[#This Row],[Modus]]="P",_xlfn.RANK.EQ(Eingabe[[#This Row],[GES]],AF753:AF758),"")))</f>
        <v/>
      </c>
      <c r="AV758" s="6" t="e">
        <f>VLOOKUP(Eingabe[[#This Row],[Name]],AuswertungG[],8,FALSE)</f>
        <v>#N/A</v>
      </c>
      <c r="AZ758" s="6" t="str">
        <f>IFERROR(ABS(Eingabe[[#This Row],[GES]]-Eingabe[[#This Row],[GEGGES]]),"")</f>
        <v/>
      </c>
    </row>
    <row r="759" spans="1:52" hidden="1" x14ac:dyDescent="0.3">
      <c r="A759" s="440">
        <f t="shared" ref="A759" si="86">B759</f>
        <v>127</v>
      </c>
      <c r="B759" s="55">
        <f t="shared" si="81"/>
        <v>127</v>
      </c>
      <c r="C759" s="35">
        <f>VLOOKUP($B759,Chronologie[],7,TRUE)</f>
        <v>0</v>
      </c>
      <c r="D759" s="35">
        <f>VLOOKUP($B759,Chronologie[],8,TRUE)</f>
        <v>0</v>
      </c>
      <c r="E759" s="36">
        <f>VLOOKUP($B759,Chronologie[],9,TRUE)</f>
        <v>0</v>
      </c>
      <c r="F759" s="35">
        <f>VLOOKUP($B759,Chronologie[],COLUMN(F760)-2,TRUE)</f>
        <v>0</v>
      </c>
      <c r="G759" s="35">
        <f>VLOOKUP($B759,Chronologie[],COLUMN(G760)-2,TRUE)</f>
        <v>0</v>
      </c>
      <c r="H759" s="35">
        <f>VLOOKUP($B759,Chronologie[],COLUMN(H760)-2,TRUE)</f>
        <v>0</v>
      </c>
      <c r="I759" s="9" t="str">
        <f>VLOOKUP($B759,Chronologie[],2,TRUE)</f>
        <v>--</v>
      </c>
      <c r="J759" s="242">
        <f>VLOOKUP($B759,Chronologie[],3,TRUE)</f>
        <v>0</v>
      </c>
      <c r="K759" s="236"/>
      <c r="L759" s="334"/>
      <c r="M759" s="334"/>
      <c r="N759" s="334"/>
      <c r="O759" s="334"/>
      <c r="P759" s="334"/>
      <c r="Q759" s="334"/>
      <c r="R759" s="334"/>
      <c r="S759" s="334"/>
      <c r="T759" s="334"/>
      <c r="U759" s="334"/>
      <c r="V759" s="334"/>
      <c r="W759" s="334"/>
      <c r="X759" s="37"/>
      <c r="Y759" s="37"/>
      <c r="Z759" s="37"/>
      <c r="AA759" s="37"/>
      <c r="AB759" s="90"/>
      <c r="AC759" s="93" t="str">
        <f>IF(Eingabe[[#This Row],[V1]]="",IF(Eingabe[[#This Row],[Volle alternativ]]="","",Eingabe[[#This Row],[Volle alternativ]]),SUM(Eingabe[[#This Row],[V1]:[V4]]))</f>
        <v/>
      </c>
      <c r="AD759" s="35" t="str">
        <f>IF(Eingabe[[#This Row],[R1]]="",IF(Eingabe[[#This Row],[Räumer alternativ]]="","",Eingabe[[#This Row],[Räumer alternativ]]),SUM(Eingabe[[#This Row],[R1]:[R4]]))</f>
        <v/>
      </c>
      <c r="AE759" s="35" t="str">
        <f>IF(Eingabe[[#This Row],[F1]]="",IF(Eingabe[[#This Row],[Fehler alternativ]]="","",Eingabe[[#This Row],[Fehler alternativ]]),SUM(Eingabe[[#This Row],[F1]:[F4]]))</f>
        <v/>
      </c>
      <c r="AF759" s="35" t="str">
        <f>IF(Eingabe[[#This Row],[Volle]]="","",IF(Eingabe[[#This Row],[S1]]="",Eingabe[[#This Row],[Volle]]+Eingabe[[#This Row],[Räumer]],IF(Eingabe[[#This Row],[Volle]]+Eingabe[[#This Row],[Räumer]]=Eingabe[[#This Row],[S1]]+Eingabe[[#This Row],[S2]]+Eingabe[[#This Row],[S3]]+Eingabe[[#This Row],[S4]],Eingabe[[#This Row],[Volle]]+Eingabe[[#This Row],[Räumer]],"FEHLER")))</f>
        <v/>
      </c>
      <c r="AG759" s="35" t="str">
        <f>IF(Eingabe[[#This Row],[V1]]="","",Eingabe[[#This Row],[V1]]+Eingabe[[#This Row],[R1]])</f>
        <v/>
      </c>
      <c r="AH759" s="35" t="str">
        <f>IF(Eingabe[[#This Row],[V2]]="","",Eingabe[[#This Row],[V2]]+Eingabe[[#This Row],[R2]])</f>
        <v/>
      </c>
      <c r="AI759" s="35" t="str">
        <f>IF(Eingabe[[#This Row],[V3]]="","",Eingabe[[#This Row],[V3]]+Eingabe[[#This Row],[R3]])</f>
        <v/>
      </c>
      <c r="AJ759" s="35" t="str">
        <f>IF(Eingabe[[#This Row],[V4]]="","",Eingabe[[#This Row],[V4]]+Eingabe[[#This Row],[R4]])</f>
        <v/>
      </c>
      <c r="AK759" s="35" t="str">
        <f>IF(Eingabe[[#This Row],[S1P]]="","",Eingabe[[#This Row],[S1P]]+Eingabe[[#This Row],[S2P]]+Eingabe[[#This Row],[S3P]]+Eingabe[[#This Row],[S4P]])</f>
        <v/>
      </c>
      <c r="AL759" s="35" t="str">
        <f>IF(Eingabe[[#This Row],[S1P]]="","",IF(Eingabe[[#This Row],[SP]]&gt;2,1,IF(Eingabe[[#This Row],[SP]]&lt;2,0,IF(Eingabe[[#This Row],[GES]]&gt;Eingabe[[#This Row],[GEGGES]],1,IF(Eingabe[[#This Row],[GES]]=Eingabe[[#This Row],[GEGGES]],0.5,0)))))</f>
        <v/>
      </c>
      <c r="AM759" s="35" t="str">
        <f>IF(Eingabe[[#This Row],[MP]]="","",MOD(ROW(Eingabe[[#This Row],[Position]])-3,6)+1)</f>
        <v/>
      </c>
      <c r="AN759" s="35" t="e">
        <f>STANDARDIZE(Eingabe[[#This Row],[GES]],Eingabe[[#This Row],[Schnitt]],VLOOKUP(Eingabe[[#This Row],[Name]],AuswertungG[],21,FALSE))</f>
        <v>#VALUE!</v>
      </c>
      <c r="AO759" s="35" t="str">
        <f>VLOOKUP(Eingabe[[#This Row],[ID]],Chronologie[[ID]:[KW]],12,FALSE)</f>
        <v/>
      </c>
      <c r="AP759" s="58">
        <f>IF(Eingabe[[#This Row],[Wo]]="H",Eingabe[[#This Row],[Gegner]]&amp;" ["&amp;Eingabe[[#This Row],[Wo]]&amp;"]",Eingabe[[#This Row],[Ort]])</f>
        <v>0</v>
      </c>
      <c r="AQ759" s="35" t="str">
        <f>IFERROR(IF(Eingabe[[#This Row],[Wo]]="H",IF(MOD(Eingabe[[#This Row],[Position]],2)=1,Eingabe[[#This Row],[S1]],Eingabe[[#This Row],[S4]]),""),"")</f>
        <v/>
      </c>
      <c r="AR759" s="35" t="str">
        <f>IFERROR(IF(Eingabe[[#This Row],[Wo]]="H",IF(Eingabe[[#This Row],[S1]]&gt;0,IF(MOD(Eingabe[[#This Row],[Position]],2)=1,Eingabe[[#This Row],[S2]],Eingabe[[#This Row],[S3]]),""),""),"")</f>
        <v/>
      </c>
      <c r="AS759" s="35" t="str">
        <f>IFERROR(IF(Eingabe[[#This Row],[Wo]]="H",IF(Eingabe[[#This Row],[S1]]&gt;0,IF(MOD(ROW(Eingabe[[#This Row],[Heimbahn 3]]),2)=1,Eingabe[[#This Row],[S4]],Eingabe[[#This Row],[S1]]),""),""),"")</f>
        <v/>
      </c>
      <c r="AT759" s="35" t="str">
        <f>IFERROR(IF(Eingabe[[#This Row],[Wo]]="H",IF(Eingabe[[#This Row],[S1]]&gt;0,IF(MOD(ROW(Eingabe[[#This Row],[Heimbahn 4]]),2)=1,Eingabe[[#This Row],[S3]],Eingabe[[#This Row],[S2]]),""),""),"")</f>
        <v/>
      </c>
      <c r="AU759" s="88" t="str">
        <f>IF(Eingabe[[#This Row],[GES]]="","",IF(Eingabe[[#This Row],[Modus]]="L",_xlfn.RANK.EQ(Eingabe[[#This Row],[GES]],AF759:AF764),IF(Eingabe[[#This Row],[Modus]]="P",_xlfn.RANK.EQ(Eingabe[[#This Row],[GES]],AF759:AF764),"")))</f>
        <v/>
      </c>
      <c r="AV759" s="6" t="e">
        <f>VLOOKUP(Eingabe[[#This Row],[Name]],AuswertungG[],8,FALSE)</f>
        <v>#N/A</v>
      </c>
      <c r="AZ759" s="6" t="str">
        <f>IFERROR(ABS(Eingabe[[#This Row],[GES]]-Eingabe[[#This Row],[GEGGES]]),"")</f>
        <v/>
      </c>
    </row>
    <row r="760" spans="1:52" hidden="1" x14ac:dyDescent="0.3">
      <c r="A760" s="441"/>
      <c r="B760" s="21">
        <f t="shared" si="81"/>
        <v>127</v>
      </c>
      <c r="C760" s="6">
        <f>VLOOKUP($B760,Chronologie[],7,TRUE)</f>
        <v>0</v>
      </c>
      <c r="D760" s="6">
        <f>VLOOKUP($B760,Chronologie[],8,TRUE)</f>
        <v>0</v>
      </c>
      <c r="E760" s="240">
        <f>VLOOKUP($B760,Chronologie[],9,TRUE)</f>
        <v>0</v>
      </c>
      <c r="F760" s="6">
        <f>VLOOKUP($B760,Chronologie[],COLUMN(F761)-2,TRUE)</f>
        <v>0</v>
      </c>
      <c r="G760" s="6">
        <f>VLOOKUP($B760,Chronologie[],COLUMN(G761)-2,TRUE)</f>
        <v>0</v>
      </c>
      <c r="H760" s="6">
        <f>VLOOKUP($B760,Chronologie[],COLUMN(H761)-2,TRUE)</f>
        <v>0</v>
      </c>
      <c r="I760" s="10" t="str">
        <f>VLOOKUP($B760,Chronologie[],2,TRUE)</f>
        <v>--</v>
      </c>
      <c r="J760" s="243">
        <f>VLOOKUP($B760,Chronologie[],3,TRUE)</f>
        <v>0</v>
      </c>
      <c r="K760" s="237"/>
      <c r="L760" s="237"/>
      <c r="M760" s="237"/>
      <c r="N760" s="237"/>
      <c r="O760" s="237"/>
      <c r="P760" s="237"/>
      <c r="Q760" s="237"/>
      <c r="R760" s="237"/>
      <c r="S760" s="237"/>
      <c r="T760" s="237"/>
      <c r="U760" s="237"/>
      <c r="V760" s="237"/>
      <c r="W760" s="237"/>
      <c r="X760" s="38"/>
      <c r="Y760" s="38"/>
      <c r="Z760" s="38"/>
      <c r="AA760" s="38"/>
      <c r="AB760" s="91"/>
      <c r="AC760" s="94" t="str">
        <f>IF(Eingabe[[#This Row],[V1]]="",IF(Eingabe[[#This Row],[Volle alternativ]]="","",Eingabe[[#This Row],[Volle alternativ]]),SUM(Eingabe[[#This Row],[V1]:[V4]]))</f>
        <v/>
      </c>
      <c r="AD760" s="6" t="str">
        <f>IF(Eingabe[[#This Row],[R1]]="",IF(Eingabe[[#This Row],[Räumer alternativ]]="","",Eingabe[[#This Row],[Räumer alternativ]]),SUM(Eingabe[[#This Row],[R1]:[R4]]))</f>
        <v/>
      </c>
      <c r="AE760" s="6" t="str">
        <f>IF(Eingabe[[#This Row],[F1]]="",IF(Eingabe[[#This Row],[Fehler alternativ]]="","",Eingabe[[#This Row],[Fehler alternativ]]),SUM(Eingabe[[#This Row],[F1]:[F4]]))</f>
        <v/>
      </c>
      <c r="AF760" s="6" t="str">
        <f>IF(Eingabe[[#This Row],[Volle]]="","",IF(Eingabe[[#This Row],[S1]]="",Eingabe[[#This Row],[Volle]]+Eingabe[[#This Row],[Räumer]],IF(Eingabe[[#This Row],[Volle]]+Eingabe[[#This Row],[Räumer]]=Eingabe[[#This Row],[S1]]+Eingabe[[#This Row],[S2]]+Eingabe[[#This Row],[S3]]+Eingabe[[#This Row],[S4]],Eingabe[[#This Row],[Volle]]+Eingabe[[#This Row],[Räumer]],"FEHLER")))</f>
        <v/>
      </c>
      <c r="AG760" s="6" t="str">
        <f>IF(Eingabe[[#This Row],[V1]]="","",Eingabe[[#This Row],[V1]]+Eingabe[[#This Row],[R1]])</f>
        <v/>
      </c>
      <c r="AH760" s="6" t="str">
        <f>IF(Eingabe[[#This Row],[V2]]="","",Eingabe[[#This Row],[V2]]+Eingabe[[#This Row],[R2]])</f>
        <v/>
      </c>
      <c r="AI760" s="6" t="str">
        <f>IF(Eingabe[[#This Row],[V3]]="","",Eingabe[[#This Row],[V3]]+Eingabe[[#This Row],[R3]])</f>
        <v/>
      </c>
      <c r="AJ760" s="6" t="str">
        <f>IF(Eingabe[[#This Row],[V4]]="","",Eingabe[[#This Row],[V4]]+Eingabe[[#This Row],[R4]])</f>
        <v/>
      </c>
      <c r="AK760" s="6" t="str">
        <f>IF(Eingabe[[#This Row],[S1P]]="","",Eingabe[[#This Row],[S1P]]+Eingabe[[#This Row],[S2P]]+Eingabe[[#This Row],[S3P]]+Eingabe[[#This Row],[S4P]])</f>
        <v/>
      </c>
      <c r="AL760" s="6" t="str">
        <f>IF(Eingabe[[#This Row],[S1P]]="","",IF(Eingabe[[#This Row],[SP]]&gt;2,1,IF(Eingabe[[#This Row],[SP]]&lt;2,0,IF(Eingabe[[#This Row],[GES]]&gt;Eingabe[[#This Row],[GEGGES]],1,IF(Eingabe[[#This Row],[GES]]=Eingabe[[#This Row],[GEGGES]],0.5,0)))))</f>
        <v/>
      </c>
      <c r="AM760" s="6" t="str">
        <f>IF(Eingabe[[#This Row],[MP]]="","",MOD(ROW(Eingabe[[#This Row],[Position]])-3,6)+1)</f>
        <v/>
      </c>
      <c r="AN760" s="6" t="e">
        <f>STANDARDIZE(Eingabe[[#This Row],[GES]],Eingabe[[#This Row],[Schnitt]],VLOOKUP(Eingabe[[#This Row],[Name]],AuswertungG[],21,FALSE))</f>
        <v>#VALUE!</v>
      </c>
      <c r="AO760" s="6" t="str">
        <f>VLOOKUP(Eingabe[[#This Row],[ID]],Chronologie[[ID]:[KW]],12,FALSE)</f>
        <v/>
      </c>
      <c r="AP760" s="95">
        <f>IF(Eingabe[[#This Row],[Wo]]="H",Eingabe[[#This Row],[Gegner]]&amp;" ["&amp;Eingabe[[#This Row],[Wo]]&amp;"]",Eingabe[[#This Row],[Ort]])</f>
        <v>0</v>
      </c>
      <c r="AQ760" s="6" t="str">
        <f>IFERROR(IF(Eingabe[[#This Row],[Wo]]="H",IF(MOD(Eingabe[[#This Row],[Position]],2)=1,Eingabe[[#This Row],[S1]],Eingabe[[#This Row],[S4]]),""),"")</f>
        <v/>
      </c>
      <c r="AR760" s="6" t="str">
        <f>IFERROR(IF(Eingabe[[#This Row],[Wo]]="H",IF(Eingabe[[#This Row],[S1]]&gt;0,IF(MOD(Eingabe[[#This Row],[Position]],2)=1,Eingabe[[#This Row],[S2]],Eingabe[[#This Row],[S3]]),""),""),"")</f>
        <v/>
      </c>
      <c r="AS760" s="6" t="str">
        <f>IFERROR(IF(Eingabe[[#This Row],[Wo]]="H",IF(Eingabe[[#This Row],[S1]]&gt;0,IF(MOD(ROW(Eingabe[[#This Row],[Heimbahn 3]]),2)=1,Eingabe[[#This Row],[S4]],Eingabe[[#This Row],[S1]]),""),""),"")</f>
        <v/>
      </c>
      <c r="AT760" s="6" t="str">
        <f>IFERROR(IF(Eingabe[[#This Row],[Wo]]="H",IF(Eingabe[[#This Row],[S1]]&gt;0,IF(MOD(ROW(Eingabe[[#This Row],[Heimbahn 4]]),2)=1,Eingabe[[#This Row],[S3]],Eingabe[[#This Row],[S2]]),""),""),"")</f>
        <v/>
      </c>
      <c r="AU760" s="22" t="str">
        <f>IF(Eingabe[[#This Row],[GES]]="","",IF(Eingabe[[#This Row],[Modus]]="L",_xlfn.RANK.EQ(Eingabe[[#This Row],[GES]],AF759:AF764),IF(Eingabe[[#This Row],[Modus]]="P",_xlfn.RANK.EQ(Eingabe[[#This Row],[GES]],AF759:AF764),"")))</f>
        <v/>
      </c>
      <c r="AV760" s="6" t="e">
        <f>VLOOKUP(Eingabe[[#This Row],[Name]],AuswertungG[],8,FALSE)</f>
        <v>#N/A</v>
      </c>
      <c r="AZ760" s="6" t="str">
        <f>IFERROR(ABS(Eingabe[[#This Row],[GES]]-Eingabe[[#This Row],[GEGGES]]),"")</f>
        <v/>
      </c>
    </row>
    <row r="761" spans="1:52" hidden="1" x14ac:dyDescent="0.3">
      <c r="A761" s="441"/>
      <c r="B761" s="21">
        <f t="shared" si="81"/>
        <v>127</v>
      </c>
      <c r="C761" s="6">
        <f>VLOOKUP($B761,Chronologie[],7,TRUE)</f>
        <v>0</v>
      </c>
      <c r="D761" s="6">
        <f>VLOOKUP($B761,Chronologie[],8,TRUE)</f>
        <v>0</v>
      </c>
      <c r="E761" s="240">
        <f>VLOOKUP($B761,Chronologie[],9,TRUE)</f>
        <v>0</v>
      </c>
      <c r="F761" s="6">
        <f>VLOOKUP($B761,Chronologie[],COLUMN(F762)-2,TRUE)</f>
        <v>0</v>
      </c>
      <c r="G761" s="6">
        <f>VLOOKUP($B761,Chronologie[],COLUMN(G762)-2,TRUE)</f>
        <v>0</v>
      </c>
      <c r="H761" s="6">
        <f>VLOOKUP($B761,Chronologie[],COLUMN(H762)-2,TRUE)</f>
        <v>0</v>
      </c>
      <c r="I761" s="10" t="str">
        <f>VLOOKUP($B761,Chronologie[],2,TRUE)</f>
        <v>--</v>
      </c>
      <c r="J761" s="243">
        <f>VLOOKUP($B761,Chronologie[],3,TRUE)</f>
        <v>0</v>
      </c>
      <c r="K761" s="237"/>
      <c r="L761" s="237"/>
      <c r="M761" s="237"/>
      <c r="N761" s="237"/>
      <c r="O761" s="237"/>
      <c r="P761" s="237"/>
      <c r="Q761" s="237"/>
      <c r="R761" s="237"/>
      <c r="S761" s="237"/>
      <c r="T761" s="237"/>
      <c r="U761" s="237"/>
      <c r="V761" s="237"/>
      <c r="W761" s="237"/>
      <c r="X761" s="38"/>
      <c r="Y761" s="38"/>
      <c r="Z761" s="38"/>
      <c r="AA761" s="38"/>
      <c r="AB761" s="91"/>
      <c r="AC761" s="94" t="str">
        <f>IF(Eingabe[[#This Row],[V1]]="",IF(Eingabe[[#This Row],[Volle alternativ]]="","",Eingabe[[#This Row],[Volle alternativ]]),SUM(Eingabe[[#This Row],[V1]:[V4]]))</f>
        <v/>
      </c>
      <c r="AD761" s="6" t="str">
        <f>IF(Eingabe[[#This Row],[R1]]="",IF(Eingabe[[#This Row],[Räumer alternativ]]="","",Eingabe[[#This Row],[Räumer alternativ]]),SUM(Eingabe[[#This Row],[R1]:[R4]]))</f>
        <v/>
      </c>
      <c r="AE761" s="6" t="str">
        <f>IF(Eingabe[[#This Row],[F1]]="",IF(Eingabe[[#This Row],[Fehler alternativ]]="","",Eingabe[[#This Row],[Fehler alternativ]]),SUM(Eingabe[[#This Row],[F1]:[F4]]))</f>
        <v/>
      </c>
      <c r="AF761" s="6" t="str">
        <f>IF(Eingabe[[#This Row],[Volle]]="","",IF(Eingabe[[#This Row],[S1]]="",Eingabe[[#This Row],[Volle]]+Eingabe[[#This Row],[Räumer]],IF(Eingabe[[#This Row],[Volle]]+Eingabe[[#This Row],[Räumer]]=Eingabe[[#This Row],[S1]]+Eingabe[[#This Row],[S2]]+Eingabe[[#This Row],[S3]]+Eingabe[[#This Row],[S4]],Eingabe[[#This Row],[Volle]]+Eingabe[[#This Row],[Räumer]],"FEHLER")))</f>
        <v/>
      </c>
      <c r="AG761" s="6" t="str">
        <f>IF(Eingabe[[#This Row],[V1]]="","",Eingabe[[#This Row],[V1]]+Eingabe[[#This Row],[R1]])</f>
        <v/>
      </c>
      <c r="AH761" s="6" t="str">
        <f>IF(Eingabe[[#This Row],[V2]]="","",Eingabe[[#This Row],[V2]]+Eingabe[[#This Row],[R2]])</f>
        <v/>
      </c>
      <c r="AI761" s="6" t="str">
        <f>IF(Eingabe[[#This Row],[V3]]="","",Eingabe[[#This Row],[V3]]+Eingabe[[#This Row],[R3]])</f>
        <v/>
      </c>
      <c r="AJ761" s="6" t="str">
        <f>IF(Eingabe[[#This Row],[V4]]="","",Eingabe[[#This Row],[V4]]+Eingabe[[#This Row],[R4]])</f>
        <v/>
      </c>
      <c r="AK761" s="6" t="str">
        <f>IF(Eingabe[[#This Row],[S1P]]="","",Eingabe[[#This Row],[S1P]]+Eingabe[[#This Row],[S2P]]+Eingabe[[#This Row],[S3P]]+Eingabe[[#This Row],[S4P]])</f>
        <v/>
      </c>
      <c r="AL761" s="6" t="str">
        <f>IF(Eingabe[[#This Row],[S1P]]="","",IF(Eingabe[[#This Row],[SP]]&gt;2,1,IF(Eingabe[[#This Row],[SP]]&lt;2,0,IF(Eingabe[[#This Row],[GES]]&gt;Eingabe[[#This Row],[GEGGES]],1,IF(Eingabe[[#This Row],[GES]]=Eingabe[[#This Row],[GEGGES]],0.5,0)))))</f>
        <v/>
      </c>
      <c r="AM761" s="6" t="str">
        <f>IF(Eingabe[[#This Row],[MP]]="","",MOD(ROW(Eingabe[[#This Row],[Position]])-3,6)+1)</f>
        <v/>
      </c>
      <c r="AN761" s="6" t="e">
        <f>STANDARDIZE(Eingabe[[#This Row],[GES]],Eingabe[[#This Row],[Schnitt]],VLOOKUP(Eingabe[[#This Row],[Name]],AuswertungG[],21,FALSE))</f>
        <v>#VALUE!</v>
      </c>
      <c r="AO761" s="6" t="str">
        <f>VLOOKUP(Eingabe[[#This Row],[ID]],Chronologie[[ID]:[KW]],12,FALSE)</f>
        <v/>
      </c>
      <c r="AP761" s="95">
        <f>IF(Eingabe[[#This Row],[Wo]]="H",Eingabe[[#This Row],[Gegner]]&amp;" ["&amp;Eingabe[[#This Row],[Wo]]&amp;"]",Eingabe[[#This Row],[Ort]])</f>
        <v>0</v>
      </c>
      <c r="AQ761" s="6" t="str">
        <f>IFERROR(IF(Eingabe[[#This Row],[Wo]]="H",IF(MOD(Eingabe[[#This Row],[Position]],2)=1,Eingabe[[#This Row],[S1]],Eingabe[[#This Row],[S4]]),""),"")</f>
        <v/>
      </c>
      <c r="AR761" s="6" t="str">
        <f>IFERROR(IF(Eingabe[[#This Row],[Wo]]="H",IF(Eingabe[[#This Row],[S1]]&gt;0,IF(MOD(Eingabe[[#This Row],[Position]],2)=1,Eingabe[[#This Row],[S2]],Eingabe[[#This Row],[S3]]),""),""),"")</f>
        <v/>
      </c>
      <c r="AS761" s="6" t="str">
        <f>IFERROR(IF(Eingabe[[#This Row],[Wo]]="H",IF(Eingabe[[#This Row],[S1]]&gt;0,IF(MOD(ROW(Eingabe[[#This Row],[Heimbahn 3]]),2)=1,Eingabe[[#This Row],[S4]],Eingabe[[#This Row],[S1]]),""),""),"")</f>
        <v/>
      </c>
      <c r="AT761" s="6" t="str">
        <f>IFERROR(IF(Eingabe[[#This Row],[Wo]]="H",IF(Eingabe[[#This Row],[S1]]&gt;0,IF(MOD(ROW(Eingabe[[#This Row],[Heimbahn 4]]),2)=1,Eingabe[[#This Row],[S3]],Eingabe[[#This Row],[S2]]),""),""),"")</f>
        <v/>
      </c>
      <c r="AU761" s="22" t="str">
        <f>IF(Eingabe[[#This Row],[GES]]="","",IF(Eingabe[[#This Row],[Modus]]="L",_xlfn.RANK.EQ(Eingabe[[#This Row],[GES]],AF759:AF764),IF(Eingabe[[#This Row],[Modus]]="P",_xlfn.RANK.EQ(Eingabe[[#This Row],[GES]],AF759:AF764),"")))</f>
        <v/>
      </c>
      <c r="AV761" s="6" t="e">
        <f>VLOOKUP(Eingabe[[#This Row],[Name]],AuswertungG[],8,FALSE)</f>
        <v>#N/A</v>
      </c>
      <c r="AZ761" s="6" t="str">
        <f>IFERROR(ABS(Eingabe[[#This Row],[GES]]-Eingabe[[#This Row],[GEGGES]]),"")</f>
        <v/>
      </c>
    </row>
    <row r="762" spans="1:52" hidden="1" x14ac:dyDescent="0.3">
      <c r="A762" s="441"/>
      <c r="B762" s="21">
        <f t="shared" si="81"/>
        <v>127</v>
      </c>
      <c r="C762" s="6">
        <f>VLOOKUP($B762,Chronologie[],7,TRUE)</f>
        <v>0</v>
      </c>
      <c r="D762" s="6">
        <f>VLOOKUP($B762,Chronologie[],8,TRUE)</f>
        <v>0</v>
      </c>
      <c r="E762" s="240">
        <f>VLOOKUP($B762,Chronologie[],9,TRUE)</f>
        <v>0</v>
      </c>
      <c r="F762" s="6">
        <f>VLOOKUP($B762,Chronologie[],COLUMN(F763)-2,TRUE)</f>
        <v>0</v>
      </c>
      <c r="G762" s="6">
        <f>VLOOKUP($B762,Chronologie[],COLUMN(G763)-2,TRUE)</f>
        <v>0</v>
      </c>
      <c r="H762" s="6">
        <f>VLOOKUP($B762,Chronologie[],COLUMN(H763)-2,TRUE)</f>
        <v>0</v>
      </c>
      <c r="I762" s="10" t="str">
        <f>VLOOKUP($B762,Chronologie[],2,TRUE)</f>
        <v>--</v>
      </c>
      <c r="J762" s="243">
        <f>VLOOKUP($B762,Chronologie[],3,TRUE)</f>
        <v>0</v>
      </c>
      <c r="K762" s="238"/>
      <c r="L762" s="237"/>
      <c r="M762" s="237"/>
      <c r="N762" s="237"/>
      <c r="O762" s="237"/>
      <c r="P762" s="237"/>
      <c r="Q762" s="237"/>
      <c r="R762" s="237"/>
      <c r="S762" s="237"/>
      <c r="T762" s="237"/>
      <c r="U762" s="237"/>
      <c r="V762" s="237"/>
      <c r="W762" s="237"/>
      <c r="X762" s="38"/>
      <c r="Y762" s="38"/>
      <c r="Z762" s="38"/>
      <c r="AA762" s="38"/>
      <c r="AB762" s="91"/>
      <c r="AC762" s="94" t="str">
        <f>IF(Eingabe[[#This Row],[V1]]="",IF(Eingabe[[#This Row],[Volle alternativ]]="","",Eingabe[[#This Row],[Volle alternativ]]),SUM(Eingabe[[#This Row],[V1]:[V4]]))</f>
        <v/>
      </c>
      <c r="AD762" s="6" t="str">
        <f>IF(Eingabe[[#This Row],[R1]]="",IF(Eingabe[[#This Row],[Räumer alternativ]]="","",Eingabe[[#This Row],[Räumer alternativ]]),SUM(Eingabe[[#This Row],[R1]:[R4]]))</f>
        <v/>
      </c>
      <c r="AE762" s="6" t="str">
        <f>IF(Eingabe[[#This Row],[F1]]="",IF(Eingabe[[#This Row],[Fehler alternativ]]="","",Eingabe[[#This Row],[Fehler alternativ]]),SUM(Eingabe[[#This Row],[F1]:[F4]]))</f>
        <v/>
      </c>
      <c r="AF762" s="6" t="str">
        <f>IF(Eingabe[[#This Row],[Volle]]="","",IF(Eingabe[[#This Row],[S1]]="",Eingabe[[#This Row],[Volle]]+Eingabe[[#This Row],[Räumer]],IF(Eingabe[[#This Row],[Volle]]+Eingabe[[#This Row],[Räumer]]=Eingabe[[#This Row],[S1]]+Eingabe[[#This Row],[S2]]+Eingabe[[#This Row],[S3]]+Eingabe[[#This Row],[S4]],Eingabe[[#This Row],[Volle]]+Eingabe[[#This Row],[Räumer]],"FEHLER")))</f>
        <v/>
      </c>
      <c r="AG762" s="6" t="str">
        <f>IF(Eingabe[[#This Row],[V1]]="","",Eingabe[[#This Row],[V1]]+Eingabe[[#This Row],[R1]])</f>
        <v/>
      </c>
      <c r="AH762" s="6" t="str">
        <f>IF(Eingabe[[#This Row],[V2]]="","",Eingabe[[#This Row],[V2]]+Eingabe[[#This Row],[R2]])</f>
        <v/>
      </c>
      <c r="AI762" s="6" t="str">
        <f>IF(Eingabe[[#This Row],[V3]]="","",Eingabe[[#This Row],[V3]]+Eingabe[[#This Row],[R3]])</f>
        <v/>
      </c>
      <c r="AJ762" s="6" t="str">
        <f>IF(Eingabe[[#This Row],[V4]]="","",Eingabe[[#This Row],[V4]]+Eingabe[[#This Row],[R4]])</f>
        <v/>
      </c>
      <c r="AK762" s="6" t="str">
        <f>IF(Eingabe[[#This Row],[S1P]]="","",Eingabe[[#This Row],[S1P]]+Eingabe[[#This Row],[S2P]]+Eingabe[[#This Row],[S3P]]+Eingabe[[#This Row],[S4P]])</f>
        <v/>
      </c>
      <c r="AL762" s="6" t="str">
        <f>IF(Eingabe[[#This Row],[S1P]]="","",IF(Eingabe[[#This Row],[SP]]&gt;2,1,IF(Eingabe[[#This Row],[SP]]&lt;2,0,IF(Eingabe[[#This Row],[GES]]&gt;Eingabe[[#This Row],[GEGGES]],1,IF(Eingabe[[#This Row],[GES]]=Eingabe[[#This Row],[GEGGES]],0.5,0)))))</f>
        <v/>
      </c>
      <c r="AM762" s="6" t="str">
        <f>IF(Eingabe[[#This Row],[MP]]="","",MOD(ROW(Eingabe[[#This Row],[Position]])-3,6)+1)</f>
        <v/>
      </c>
      <c r="AN762" s="6" t="e">
        <f>STANDARDIZE(Eingabe[[#This Row],[GES]],Eingabe[[#This Row],[Schnitt]],VLOOKUP(Eingabe[[#This Row],[Name]],AuswertungG[],21,FALSE))</f>
        <v>#VALUE!</v>
      </c>
      <c r="AO762" s="6" t="str">
        <f>VLOOKUP(Eingabe[[#This Row],[ID]],Chronologie[[ID]:[KW]],12,FALSE)</f>
        <v/>
      </c>
      <c r="AP762" s="95">
        <f>IF(Eingabe[[#This Row],[Wo]]="H",Eingabe[[#This Row],[Gegner]]&amp;" ["&amp;Eingabe[[#This Row],[Wo]]&amp;"]",Eingabe[[#This Row],[Ort]])</f>
        <v>0</v>
      </c>
      <c r="AQ762" s="6" t="str">
        <f>IFERROR(IF(Eingabe[[#This Row],[Wo]]="H",IF(MOD(Eingabe[[#This Row],[Position]],2)=1,Eingabe[[#This Row],[S1]],Eingabe[[#This Row],[S4]]),""),"")</f>
        <v/>
      </c>
      <c r="AR762" s="6" t="str">
        <f>IFERROR(IF(Eingabe[[#This Row],[Wo]]="H",IF(Eingabe[[#This Row],[S1]]&gt;0,IF(MOD(Eingabe[[#This Row],[Position]],2)=1,Eingabe[[#This Row],[S2]],Eingabe[[#This Row],[S3]]),""),""),"")</f>
        <v/>
      </c>
      <c r="AS762" s="6" t="str">
        <f>IFERROR(IF(Eingabe[[#This Row],[Wo]]="H",IF(Eingabe[[#This Row],[S1]]&gt;0,IF(MOD(ROW(Eingabe[[#This Row],[Heimbahn 3]]),2)=1,Eingabe[[#This Row],[S4]],Eingabe[[#This Row],[S1]]),""),""),"")</f>
        <v/>
      </c>
      <c r="AT762" s="6" t="str">
        <f>IFERROR(IF(Eingabe[[#This Row],[Wo]]="H",IF(Eingabe[[#This Row],[S1]]&gt;0,IF(MOD(ROW(Eingabe[[#This Row],[Heimbahn 4]]),2)=1,Eingabe[[#This Row],[S3]],Eingabe[[#This Row],[S2]]),""),""),"")</f>
        <v/>
      </c>
      <c r="AU762" s="22" t="str">
        <f>IF(Eingabe[[#This Row],[GES]]="","",IF(Eingabe[[#This Row],[Modus]]="L",_xlfn.RANK.EQ(Eingabe[[#This Row],[GES]],AF759:AF764),IF(Eingabe[[#This Row],[Modus]]="P",_xlfn.RANK.EQ(Eingabe[[#This Row],[GES]],AF759:AF764),"")))</f>
        <v/>
      </c>
      <c r="AV762" s="6" t="e">
        <f>VLOOKUP(Eingabe[[#This Row],[Name]],AuswertungG[],8,FALSE)</f>
        <v>#N/A</v>
      </c>
      <c r="AZ762" s="6" t="str">
        <f>IFERROR(ABS(Eingabe[[#This Row],[GES]]-Eingabe[[#This Row],[GEGGES]]),"")</f>
        <v/>
      </c>
    </row>
    <row r="763" spans="1:52" hidden="1" x14ac:dyDescent="0.3">
      <c r="A763" s="441"/>
      <c r="B763" s="21">
        <f t="shared" ref="B763:B782" si="87">ROUNDUP((ROW(B763)-2)/6,0)</f>
        <v>127</v>
      </c>
      <c r="C763" s="6">
        <f>VLOOKUP($B763,Chronologie[],7,TRUE)</f>
        <v>0</v>
      </c>
      <c r="D763" s="6">
        <f>VLOOKUP($B763,Chronologie[],8,TRUE)</f>
        <v>0</v>
      </c>
      <c r="E763" s="240">
        <f>VLOOKUP($B763,Chronologie[],9,TRUE)</f>
        <v>0</v>
      </c>
      <c r="F763" s="6">
        <f>VLOOKUP($B763,Chronologie[],COLUMN(F764)-2,TRUE)</f>
        <v>0</v>
      </c>
      <c r="G763" s="6">
        <f>VLOOKUP($B763,Chronologie[],COLUMN(G764)-2,TRUE)</f>
        <v>0</v>
      </c>
      <c r="H763" s="6">
        <f>VLOOKUP($B763,Chronologie[],COLUMN(H764)-2,TRUE)</f>
        <v>0</v>
      </c>
      <c r="I763" s="10" t="str">
        <f>VLOOKUP($B763,Chronologie[],2,TRUE)</f>
        <v>--</v>
      </c>
      <c r="J763" s="243">
        <f>VLOOKUP($B763,Chronologie[],3,TRUE)</f>
        <v>0</v>
      </c>
      <c r="K763" s="237"/>
      <c r="L763" s="237"/>
      <c r="M763" s="237"/>
      <c r="N763" s="237"/>
      <c r="O763" s="237"/>
      <c r="P763" s="237"/>
      <c r="Q763" s="237"/>
      <c r="R763" s="237"/>
      <c r="S763" s="237"/>
      <c r="T763" s="237"/>
      <c r="U763" s="237"/>
      <c r="V763" s="237"/>
      <c r="W763" s="237"/>
      <c r="X763" s="38"/>
      <c r="Y763" s="38"/>
      <c r="Z763" s="38"/>
      <c r="AA763" s="38"/>
      <c r="AB763" s="91"/>
      <c r="AC763" s="94" t="str">
        <f>IF(Eingabe[[#This Row],[V1]]="",IF(Eingabe[[#This Row],[Volle alternativ]]="","",Eingabe[[#This Row],[Volle alternativ]]),SUM(Eingabe[[#This Row],[V1]:[V4]]))</f>
        <v/>
      </c>
      <c r="AD763" s="6" t="str">
        <f>IF(Eingabe[[#This Row],[R1]]="",IF(Eingabe[[#This Row],[Räumer alternativ]]="","",Eingabe[[#This Row],[Räumer alternativ]]),SUM(Eingabe[[#This Row],[R1]:[R4]]))</f>
        <v/>
      </c>
      <c r="AE763" s="6" t="str">
        <f>IF(Eingabe[[#This Row],[F1]]="",IF(Eingabe[[#This Row],[Fehler alternativ]]="","",Eingabe[[#This Row],[Fehler alternativ]]),SUM(Eingabe[[#This Row],[F1]:[F4]]))</f>
        <v/>
      </c>
      <c r="AF763" s="6" t="str">
        <f>IF(Eingabe[[#This Row],[Volle]]="","",IF(Eingabe[[#This Row],[S1]]="",Eingabe[[#This Row],[Volle]]+Eingabe[[#This Row],[Räumer]],IF(Eingabe[[#This Row],[Volle]]+Eingabe[[#This Row],[Räumer]]=Eingabe[[#This Row],[S1]]+Eingabe[[#This Row],[S2]]+Eingabe[[#This Row],[S3]]+Eingabe[[#This Row],[S4]],Eingabe[[#This Row],[Volle]]+Eingabe[[#This Row],[Räumer]],"FEHLER")))</f>
        <v/>
      </c>
      <c r="AG763" s="6" t="str">
        <f>IF(Eingabe[[#This Row],[V1]]="","",Eingabe[[#This Row],[V1]]+Eingabe[[#This Row],[R1]])</f>
        <v/>
      </c>
      <c r="AH763" s="6" t="str">
        <f>IF(Eingabe[[#This Row],[V2]]="","",Eingabe[[#This Row],[V2]]+Eingabe[[#This Row],[R2]])</f>
        <v/>
      </c>
      <c r="AI763" s="6" t="str">
        <f>IF(Eingabe[[#This Row],[V3]]="","",Eingabe[[#This Row],[V3]]+Eingabe[[#This Row],[R3]])</f>
        <v/>
      </c>
      <c r="AJ763" s="6" t="str">
        <f>IF(Eingabe[[#This Row],[V4]]="","",Eingabe[[#This Row],[V4]]+Eingabe[[#This Row],[R4]])</f>
        <v/>
      </c>
      <c r="AK763" s="6" t="str">
        <f>IF(Eingabe[[#This Row],[S1P]]="","",Eingabe[[#This Row],[S1P]]+Eingabe[[#This Row],[S2P]]+Eingabe[[#This Row],[S3P]]+Eingabe[[#This Row],[S4P]])</f>
        <v/>
      </c>
      <c r="AL763" s="6" t="str">
        <f>IF(Eingabe[[#This Row],[S1P]]="","",IF(Eingabe[[#This Row],[SP]]&gt;2,1,IF(Eingabe[[#This Row],[SP]]&lt;2,0,IF(Eingabe[[#This Row],[GES]]&gt;Eingabe[[#This Row],[GEGGES]],1,IF(Eingabe[[#This Row],[GES]]=Eingabe[[#This Row],[GEGGES]],0.5,0)))))</f>
        <v/>
      </c>
      <c r="AM763" s="6" t="str">
        <f>IF(Eingabe[[#This Row],[MP]]="","",MOD(ROW(Eingabe[[#This Row],[Position]])-3,6)+1)</f>
        <v/>
      </c>
      <c r="AN763" s="6" t="e">
        <f>STANDARDIZE(Eingabe[[#This Row],[GES]],Eingabe[[#This Row],[Schnitt]],VLOOKUP(Eingabe[[#This Row],[Name]],AuswertungG[],21,FALSE))</f>
        <v>#VALUE!</v>
      </c>
      <c r="AO763" s="6" t="str">
        <f>VLOOKUP(Eingabe[[#This Row],[ID]],Chronologie[[ID]:[KW]],12,FALSE)</f>
        <v/>
      </c>
      <c r="AP763" s="95">
        <f>IF(Eingabe[[#This Row],[Wo]]="H",Eingabe[[#This Row],[Gegner]]&amp;" ["&amp;Eingabe[[#This Row],[Wo]]&amp;"]",Eingabe[[#This Row],[Ort]])</f>
        <v>0</v>
      </c>
      <c r="AQ763" s="6" t="str">
        <f>IFERROR(IF(Eingabe[[#This Row],[Wo]]="H",IF(MOD(Eingabe[[#This Row],[Position]],2)=1,Eingabe[[#This Row],[S1]],Eingabe[[#This Row],[S4]]),""),"")</f>
        <v/>
      </c>
      <c r="AR763" s="6" t="str">
        <f>IFERROR(IF(Eingabe[[#This Row],[Wo]]="H",IF(Eingabe[[#This Row],[S1]]&gt;0,IF(MOD(Eingabe[[#This Row],[Position]],2)=1,Eingabe[[#This Row],[S2]],Eingabe[[#This Row],[S3]]),""),""),"")</f>
        <v/>
      </c>
      <c r="AS763" s="6" t="str">
        <f>IFERROR(IF(Eingabe[[#This Row],[Wo]]="H",IF(Eingabe[[#This Row],[S1]]&gt;0,IF(MOD(ROW(Eingabe[[#This Row],[Heimbahn 3]]),2)=1,Eingabe[[#This Row],[S4]],Eingabe[[#This Row],[S1]]),""),""),"")</f>
        <v/>
      </c>
      <c r="AT763" s="6" t="str">
        <f>IFERROR(IF(Eingabe[[#This Row],[Wo]]="H",IF(Eingabe[[#This Row],[S1]]&gt;0,IF(MOD(ROW(Eingabe[[#This Row],[Heimbahn 4]]),2)=1,Eingabe[[#This Row],[S3]],Eingabe[[#This Row],[S2]]),""),""),"")</f>
        <v/>
      </c>
      <c r="AU763" s="22" t="str">
        <f>IF(Eingabe[[#This Row],[GES]]="","",IF(Eingabe[[#This Row],[Modus]]="L",_xlfn.RANK.EQ(Eingabe[[#This Row],[GES]],AF759:AF764),IF(Eingabe[[#This Row],[Modus]]="P",_xlfn.RANK.EQ(Eingabe[[#This Row],[GES]],AF759:AF764),"")))</f>
        <v/>
      </c>
      <c r="AV763" s="6" t="e">
        <f>VLOOKUP(Eingabe[[#This Row],[Name]],AuswertungG[],8,FALSE)</f>
        <v>#N/A</v>
      </c>
      <c r="AZ763" s="6" t="str">
        <f>IFERROR(ABS(Eingabe[[#This Row],[GES]]-Eingabe[[#This Row],[GEGGES]]),"")</f>
        <v/>
      </c>
    </row>
    <row r="764" spans="1:52" ht="16.2" hidden="1" thickBot="1" x14ac:dyDescent="0.35">
      <c r="A764" s="442"/>
      <c r="B764" s="56">
        <f t="shared" si="87"/>
        <v>127</v>
      </c>
      <c r="C764" s="23">
        <f>VLOOKUP($B764,Chronologie[],7,TRUE)</f>
        <v>0</v>
      </c>
      <c r="D764" s="23">
        <f>VLOOKUP($B764,Chronologie[],8,TRUE)</f>
        <v>0</v>
      </c>
      <c r="E764" s="39">
        <f>VLOOKUP($B764,Chronologie[],9,TRUE)</f>
        <v>0</v>
      </c>
      <c r="F764" s="23">
        <f>VLOOKUP($B764,Chronologie[],COLUMN(F765)-2,TRUE)</f>
        <v>0</v>
      </c>
      <c r="G764" s="23">
        <f>VLOOKUP($B764,Chronologie[],COLUMN(G765)-2,TRUE)</f>
        <v>0</v>
      </c>
      <c r="H764" s="23">
        <f>VLOOKUP($B764,Chronologie[],COLUMN(H765)-2,TRUE)</f>
        <v>0</v>
      </c>
      <c r="I764" s="13" t="str">
        <f>VLOOKUP($B764,Chronologie[],2,TRUE)</f>
        <v>--</v>
      </c>
      <c r="J764" s="244">
        <f>VLOOKUP($B764,Chronologie[],3,TRUE)</f>
        <v>0</v>
      </c>
      <c r="K764" s="239"/>
      <c r="L764" s="239"/>
      <c r="M764" s="239"/>
      <c r="N764" s="239"/>
      <c r="O764" s="239"/>
      <c r="P764" s="239"/>
      <c r="Q764" s="239"/>
      <c r="R764" s="239"/>
      <c r="S764" s="239"/>
      <c r="T764" s="239"/>
      <c r="U764" s="239"/>
      <c r="V764" s="239"/>
      <c r="W764" s="239"/>
      <c r="X764" s="40"/>
      <c r="Y764" s="40"/>
      <c r="Z764" s="40"/>
      <c r="AA764" s="40"/>
      <c r="AB764" s="92"/>
      <c r="AC764" s="96" t="str">
        <f>IF(Eingabe[[#This Row],[V1]]="",IF(Eingabe[[#This Row],[Volle alternativ]]="","",Eingabe[[#This Row],[Volle alternativ]]),SUM(Eingabe[[#This Row],[V1]:[V4]]))</f>
        <v/>
      </c>
      <c r="AD764" s="23" t="str">
        <f>IF(Eingabe[[#This Row],[R1]]="",IF(Eingabe[[#This Row],[Räumer alternativ]]="","",Eingabe[[#This Row],[Räumer alternativ]]),SUM(Eingabe[[#This Row],[R1]:[R4]]))</f>
        <v/>
      </c>
      <c r="AE764" s="23" t="str">
        <f>IF(Eingabe[[#This Row],[F1]]="",IF(Eingabe[[#This Row],[Fehler alternativ]]="","",Eingabe[[#This Row],[Fehler alternativ]]),SUM(Eingabe[[#This Row],[F1]:[F4]]))</f>
        <v/>
      </c>
      <c r="AF764" s="23" t="str">
        <f>IF(Eingabe[[#This Row],[Volle]]="","",IF(Eingabe[[#This Row],[S1]]="",Eingabe[[#This Row],[Volle]]+Eingabe[[#This Row],[Räumer]],IF(Eingabe[[#This Row],[Volle]]+Eingabe[[#This Row],[Räumer]]=Eingabe[[#This Row],[S1]]+Eingabe[[#This Row],[S2]]+Eingabe[[#This Row],[S3]]+Eingabe[[#This Row],[S4]],Eingabe[[#This Row],[Volle]]+Eingabe[[#This Row],[Räumer]],"FEHLER")))</f>
        <v/>
      </c>
      <c r="AG764" s="23" t="str">
        <f>IF(Eingabe[[#This Row],[V1]]="","",Eingabe[[#This Row],[V1]]+Eingabe[[#This Row],[R1]])</f>
        <v/>
      </c>
      <c r="AH764" s="23" t="str">
        <f>IF(Eingabe[[#This Row],[V2]]="","",Eingabe[[#This Row],[V2]]+Eingabe[[#This Row],[R2]])</f>
        <v/>
      </c>
      <c r="AI764" s="23" t="str">
        <f>IF(Eingabe[[#This Row],[V3]]="","",Eingabe[[#This Row],[V3]]+Eingabe[[#This Row],[R3]])</f>
        <v/>
      </c>
      <c r="AJ764" s="23" t="str">
        <f>IF(Eingabe[[#This Row],[V4]]="","",Eingabe[[#This Row],[V4]]+Eingabe[[#This Row],[R4]])</f>
        <v/>
      </c>
      <c r="AK764" s="23" t="str">
        <f>IF(Eingabe[[#This Row],[S1P]]="","",Eingabe[[#This Row],[S1P]]+Eingabe[[#This Row],[S2P]]+Eingabe[[#This Row],[S3P]]+Eingabe[[#This Row],[S4P]])</f>
        <v/>
      </c>
      <c r="AL764" s="23" t="str">
        <f>IF(Eingabe[[#This Row],[S1P]]="","",IF(Eingabe[[#This Row],[SP]]&gt;2,1,IF(Eingabe[[#This Row],[SP]]&lt;2,0,IF(Eingabe[[#This Row],[GES]]&gt;Eingabe[[#This Row],[GEGGES]],1,IF(Eingabe[[#This Row],[GES]]=Eingabe[[#This Row],[GEGGES]],0.5,0)))))</f>
        <v/>
      </c>
      <c r="AM764" s="23" t="str">
        <f>IF(Eingabe[[#This Row],[MP]]="","",MOD(ROW(Eingabe[[#This Row],[Position]])-3,6)+1)</f>
        <v/>
      </c>
      <c r="AN764" s="23" t="e">
        <f>STANDARDIZE(Eingabe[[#This Row],[GES]],Eingabe[[#This Row],[Schnitt]],VLOOKUP(Eingabe[[#This Row],[Name]],AuswertungG[],21,FALSE))</f>
        <v>#VALUE!</v>
      </c>
      <c r="AO764" s="23" t="str">
        <f>VLOOKUP(Eingabe[[#This Row],[ID]],Chronologie[[ID]:[KW]],12,FALSE)</f>
        <v/>
      </c>
      <c r="AP764" s="59">
        <f>IF(Eingabe[[#This Row],[Wo]]="H",Eingabe[[#This Row],[Gegner]]&amp;" ["&amp;Eingabe[[#This Row],[Wo]]&amp;"]",Eingabe[[#This Row],[Ort]])</f>
        <v>0</v>
      </c>
      <c r="AQ764" s="23" t="str">
        <f>IFERROR(IF(Eingabe[[#This Row],[Wo]]="H",IF(MOD(Eingabe[[#This Row],[Position]],2)=1,Eingabe[[#This Row],[S1]],Eingabe[[#This Row],[S4]]),""),"")</f>
        <v/>
      </c>
      <c r="AR764" s="23" t="str">
        <f>IFERROR(IF(Eingabe[[#This Row],[Wo]]="H",IF(Eingabe[[#This Row],[S1]]&gt;0,IF(MOD(Eingabe[[#This Row],[Position]],2)=1,Eingabe[[#This Row],[S2]],Eingabe[[#This Row],[S3]]),""),""),"")</f>
        <v/>
      </c>
      <c r="AS764" s="23" t="str">
        <f>IFERROR(IF(Eingabe[[#This Row],[Wo]]="H",IF(Eingabe[[#This Row],[S1]]&gt;0,IF(MOD(ROW(Eingabe[[#This Row],[Heimbahn 3]]),2)=1,Eingabe[[#This Row],[S4]],Eingabe[[#This Row],[S1]]),""),""),"")</f>
        <v/>
      </c>
      <c r="AT764" s="23" t="str">
        <f>IFERROR(IF(Eingabe[[#This Row],[Wo]]="H",IF(Eingabe[[#This Row],[S1]]&gt;0,IF(MOD(ROW(Eingabe[[#This Row],[Heimbahn 4]]),2)=1,Eingabe[[#This Row],[S3]],Eingabe[[#This Row],[S2]]),""),""),"")</f>
        <v/>
      </c>
      <c r="AU764" s="89" t="str">
        <f>IF(Eingabe[[#This Row],[GES]]="","",IF(Eingabe[[#This Row],[Modus]]="L",_xlfn.RANK.EQ(Eingabe[[#This Row],[GES]],AF759:AF764),IF(Eingabe[[#This Row],[Modus]]="P",_xlfn.RANK.EQ(Eingabe[[#This Row],[GES]],AF759:AF764),"")))</f>
        <v/>
      </c>
      <c r="AV764" s="6" t="e">
        <f>VLOOKUP(Eingabe[[#This Row],[Name]],AuswertungG[],8,FALSE)</f>
        <v>#N/A</v>
      </c>
      <c r="AZ764" s="6" t="str">
        <f>IFERROR(ABS(Eingabe[[#This Row],[GES]]-Eingabe[[#This Row],[GEGGES]]),"")</f>
        <v/>
      </c>
    </row>
    <row r="765" spans="1:52" hidden="1" x14ac:dyDescent="0.3">
      <c r="A765" s="440">
        <f t="shared" ref="A765" si="88">B765</f>
        <v>128</v>
      </c>
      <c r="B765" s="55">
        <f t="shared" si="87"/>
        <v>128</v>
      </c>
      <c r="C765" s="35">
        <f>VLOOKUP($B765,Chronologie[],7,TRUE)</f>
        <v>0</v>
      </c>
      <c r="D765" s="35">
        <f>VLOOKUP($B765,Chronologie[],8,TRUE)</f>
        <v>0</v>
      </c>
      <c r="E765" s="36">
        <f>VLOOKUP($B765,Chronologie[],9,TRUE)</f>
        <v>0</v>
      </c>
      <c r="F765" s="35">
        <f>VLOOKUP($B765,Chronologie[],COLUMN(F766)-2,TRUE)</f>
        <v>0</v>
      </c>
      <c r="G765" s="35">
        <f>VLOOKUP($B765,Chronologie[],COLUMN(G766)-2,TRUE)</f>
        <v>0</v>
      </c>
      <c r="H765" s="35">
        <f>VLOOKUP($B765,Chronologie[],COLUMN(H766)-2,TRUE)</f>
        <v>0</v>
      </c>
      <c r="I765" s="9" t="str">
        <f>VLOOKUP($B765,Chronologie[],2,TRUE)</f>
        <v>--</v>
      </c>
      <c r="J765" s="242">
        <f>VLOOKUP($B765,Chronologie[],3,TRUE)</f>
        <v>0</v>
      </c>
      <c r="K765" s="236"/>
      <c r="L765" s="334"/>
      <c r="M765" s="334"/>
      <c r="N765" s="334"/>
      <c r="O765" s="334"/>
      <c r="P765" s="334"/>
      <c r="Q765" s="334"/>
      <c r="R765" s="334"/>
      <c r="S765" s="334"/>
      <c r="T765" s="334"/>
      <c r="U765" s="334"/>
      <c r="V765" s="334"/>
      <c r="W765" s="334"/>
      <c r="X765" s="37"/>
      <c r="Y765" s="37"/>
      <c r="Z765" s="37"/>
      <c r="AA765" s="37"/>
      <c r="AB765" s="90"/>
      <c r="AC765" s="93" t="str">
        <f>IF(Eingabe[[#This Row],[V1]]="",IF(Eingabe[[#This Row],[Volle alternativ]]="","",Eingabe[[#This Row],[Volle alternativ]]),SUM(Eingabe[[#This Row],[V1]:[V4]]))</f>
        <v/>
      </c>
      <c r="AD765" s="35" t="str">
        <f>IF(Eingabe[[#This Row],[R1]]="",IF(Eingabe[[#This Row],[Räumer alternativ]]="","",Eingabe[[#This Row],[Räumer alternativ]]),SUM(Eingabe[[#This Row],[R1]:[R4]]))</f>
        <v/>
      </c>
      <c r="AE765" s="35" t="str">
        <f>IF(Eingabe[[#This Row],[F1]]="",IF(Eingabe[[#This Row],[Fehler alternativ]]="","",Eingabe[[#This Row],[Fehler alternativ]]),SUM(Eingabe[[#This Row],[F1]:[F4]]))</f>
        <v/>
      </c>
      <c r="AF765" s="35" t="str">
        <f>IF(Eingabe[[#This Row],[Volle]]="","",IF(Eingabe[[#This Row],[S1]]="",Eingabe[[#This Row],[Volle]]+Eingabe[[#This Row],[Räumer]],IF(Eingabe[[#This Row],[Volle]]+Eingabe[[#This Row],[Räumer]]=Eingabe[[#This Row],[S1]]+Eingabe[[#This Row],[S2]]+Eingabe[[#This Row],[S3]]+Eingabe[[#This Row],[S4]],Eingabe[[#This Row],[Volle]]+Eingabe[[#This Row],[Räumer]],"FEHLER")))</f>
        <v/>
      </c>
      <c r="AG765" s="35" t="str">
        <f>IF(Eingabe[[#This Row],[V1]]="","",Eingabe[[#This Row],[V1]]+Eingabe[[#This Row],[R1]])</f>
        <v/>
      </c>
      <c r="AH765" s="35" t="str">
        <f>IF(Eingabe[[#This Row],[V2]]="","",Eingabe[[#This Row],[V2]]+Eingabe[[#This Row],[R2]])</f>
        <v/>
      </c>
      <c r="AI765" s="35" t="str">
        <f>IF(Eingabe[[#This Row],[V3]]="","",Eingabe[[#This Row],[V3]]+Eingabe[[#This Row],[R3]])</f>
        <v/>
      </c>
      <c r="AJ765" s="35" t="str">
        <f>IF(Eingabe[[#This Row],[V4]]="","",Eingabe[[#This Row],[V4]]+Eingabe[[#This Row],[R4]])</f>
        <v/>
      </c>
      <c r="AK765" s="35" t="str">
        <f>IF(Eingabe[[#This Row],[S1P]]="","",Eingabe[[#This Row],[S1P]]+Eingabe[[#This Row],[S2P]]+Eingabe[[#This Row],[S3P]]+Eingabe[[#This Row],[S4P]])</f>
        <v/>
      </c>
      <c r="AL765" s="35" t="str">
        <f>IF(Eingabe[[#This Row],[S1P]]="","",IF(Eingabe[[#This Row],[SP]]&gt;2,1,IF(Eingabe[[#This Row],[SP]]&lt;2,0,IF(Eingabe[[#This Row],[GES]]&gt;Eingabe[[#This Row],[GEGGES]],1,IF(Eingabe[[#This Row],[GES]]=Eingabe[[#This Row],[GEGGES]],0.5,0)))))</f>
        <v/>
      </c>
      <c r="AM765" s="35" t="str">
        <f>IF(Eingabe[[#This Row],[MP]]="","",MOD(ROW(Eingabe[[#This Row],[Position]])-3,6)+1)</f>
        <v/>
      </c>
      <c r="AN765" s="35" t="e">
        <f>STANDARDIZE(Eingabe[[#This Row],[GES]],Eingabe[[#This Row],[Schnitt]],VLOOKUP(Eingabe[[#This Row],[Name]],AuswertungG[],21,FALSE))</f>
        <v>#VALUE!</v>
      </c>
      <c r="AO765" s="35" t="str">
        <f>VLOOKUP(Eingabe[[#This Row],[ID]],Chronologie[[ID]:[KW]],12,FALSE)</f>
        <v/>
      </c>
      <c r="AP765" s="58">
        <f>IF(Eingabe[[#This Row],[Wo]]="H",Eingabe[[#This Row],[Gegner]]&amp;" ["&amp;Eingabe[[#This Row],[Wo]]&amp;"]",Eingabe[[#This Row],[Ort]])</f>
        <v>0</v>
      </c>
      <c r="AQ765" s="35" t="str">
        <f>IFERROR(IF(Eingabe[[#This Row],[Wo]]="H",IF(MOD(Eingabe[[#This Row],[Position]],2)=1,Eingabe[[#This Row],[S1]],Eingabe[[#This Row],[S4]]),""),"")</f>
        <v/>
      </c>
      <c r="AR765" s="35" t="str">
        <f>IFERROR(IF(Eingabe[[#This Row],[Wo]]="H",IF(Eingabe[[#This Row],[S1]]&gt;0,IF(MOD(Eingabe[[#This Row],[Position]],2)=1,Eingabe[[#This Row],[S2]],Eingabe[[#This Row],[S3]]),""),""),"")</f>
        <v/>
      </c>
      <c r="AS765" s="35" t="str">
        <f>IFERROR(IF(Eingabe[[#This Row],[Wo]]="H",IF(Eingabe[[#This Row],[S1]]&gt;0,IF(MOD(ROW(Eingabe[[#This Row],[Heimbahn 3]]),2)=1,Eingabe[[#This Row],[S4]],Eingabe[[#This Row],[S1]]),""),""),"")</f>
        <v/>
      </c>
      <c r="AT765" s="35" t="str">
        <f>IFERROR(IF(Eingabe[[#This Row],[Wo]]="H",IF(Eingabe[[#This Row],[S1]]&gt;0,IF(MOD(ROW(Eingabe[[#This Row],[Heimbahn 4]]),2)=1,Eingabe[[#This Row],[S3]],Eingabe[[#This Row],[S2]]),""),""),"")</f>
        <v/>
      </c>
      <c r="AU765" s="88" t="str">
        <f>IF(Eingabe[[#This Row],[GES]]="","",IF(Eingabe[[#This Row],[Modus]]="L",_xlfn.RANK.EQ(Eingabe[[#This Row],[GES]],AF765:AF770),IF(Eingabe[[#This Row],[Modus]]="P",_xlfn.RANK.EQ(Eingabe[[#This Row],[GES]],AF765:AF770),"")))</f>
        <v/>
      </c>
      <c r="AV765" s="6" t="e">
        <f>VLOOKUP(Eingabe[[#This Row],[Name]],AuswertungG[],8,FALSE)</f>
        <v>#N/A</v>
      </c>
      <c r="AZ765" s="6" t="str">
        <f>IFERROR(ABS(Eingabe[[#This Row],[GES]]-Eingabe[[#This Row],[GEGGES]]),"")</f>
        <v/>
      </c>
    </row>
    <row r="766" spans="1:52" hidden="1" x14ac:dyDescent="0.3">
      <c r="A766" s="441"/>
      <c r="B766" s="21">
        <f t="shared" si="87"/>
        <v>128</v>
      </c>
      <c r="C766" s="6">
        <f>VLOOKUP($B766,Chronologie[],7,TRUE)</f>
        <v>0</v>
      </c>
      <c r="D766" s="6">
        <f>VLOOKUP($B766,Chronologie[],8,TRUE)</f>
        <v>0</v>
      </c>
      <c r="E766" s="240">
        <f>VLOOKUP($B766,Chronologie[],9,TRUE)</f>
        <v>0</v>
      </c>
      <c r="F766" s="6">
        <f>VLOOKUP($B766,Chronologie[],COLUMN(F767)-2,TRUE)</f>
        <v>0</v>
      </c>
      <c r="G766" s="6">
        <f>VLOOKUP($B766,Chronologie[],COLUMN(G767)-2,TRUE)</f>
        <v>0</v>
      </c>
      <c r="H766" s="6">
        <f>VLOOKUP($B766,Chronologie[],COLUMN(H767)-2,TRUE)</f>
        <v>0</v>
      </c>
      <c r="I766" s="10" t="str">
        <f>VLOOKUP($B766,Chronologie[],2,TRUE)</f>
        <v>--</v>
      </c>
      <c r="J766" s="243">
        <f>VLOOKUP($B766,Chronologie[],3,TRUE)</f>
        <v>0</v>
      </c>
      <c r="K766" s="237"/>
      <c r="L766" s="237"/>
      <c r="M766" s="237"/>
      <c r="N766" s="237"/>
      <c r="O766" s="237"/>
      <c r="P766" s="237"/>
      <c r="Q766" s="237"/>
      <c r="R766" s="237"/>
      <c r="S766" s="237"/>
      <c r="T766" s="237"/>
      <c r="U766" s="237"/>
      <c r="V766" s="237"/>
      <c r="W766" s="237"/>
      <c r="X766" s="38"/>
      <c r="Y766" s="38"/>
      <c r="Z766" s="38"/>
      <c r="AA766" s="38"/>
      <c r="AB766" s="91"/>
      <c r="AC766" s="94" t="str">
        <f>IF(Eingabe[[#This Row],[V1]]="",IF(Eingabe[[#This Row],[Volle alternativ]]="","",Eingabe[[#This Row],[Volle alternativ]]),SUM(Eingabe[[#This Row],[V1]:[V4]]))</f>
        <v/>
      </c>
      <c r="AD766" s="6" t="str">
        <f>IF(Eingabe[[#This Row],[R1]]="",IF(Eingabe[[#This Row],[Räumer alternativ]]="","",Eingabe[[#This Row],[Räumer alternativ]]),SUM(Eingabe[[#This Row],[R1]:[R4]]))</f>
        <v/>
      </c>
      <c r="AE766" s="6" t="str">
        <f>IF(Eingabe[[#This Row],[F1]]="",IF(Eingabe[[#This Row],[Fehler alternativ]]="","",Eingabe[[#This Row],[Fehler alternativ]]),SUM(Eingabe[[#This Row],[F1]:[F4]]))</f>
        <v/>
      </c>
      <c r="AF766" s="6" t="str">
        <f>IF(Eingabe[[#This Row],[Volle]]="","",IF(Eingabe[[#This Row],[S1]]="",Eingabe[[#This Row],[Volle]]+Eingabe[[#This Row],[Räumer]],IF(Eingabe[[#This Row],[Volle]]+Eingabe[[#This Row],[Räumer]]=Eingabe[[#This Row],[S1]]+Eingabe[[#This Row],[S2]]+Eingabe[[#This Row],[S3]]+Eingabe[[#This Row],[S4]],Eingabe[[#This Row],[Volle]]+Eingabe[[#This Row],[Räumer]],"FEHLER")))</f>
        <v/>
      </c>
      <c r="AG766" s="6" t="str">
        <f>IF(Eingabe[[#This Row],[V1]]="","",Eingabe[[#This Row],[V1]]+Eingabe[[#This Row],[R1]])</f>
        <v/>
      </c>
      <c r="AH766" s="6" t="str">
        <f>IF(Eingabe[[#This Row],[V2]]="","",Eingabe[[#This Row],[V2]]+Eingabe[[#This Row],[R2]])</f>
        <v/>
      </c>
      <c r="AI766" s="6" t="str">
        <f>IF(Eingabe[[#This Row],[V3]]="","",Eingabe[[#This Row],[V3]]+Eingabe[[#This Row],[R3]])</f>
        <v/>
      </c>
      <c r="AJ766" s="6" t="str">
        <f>IF(Eingabe[[#This Row],[V4]]="","",Eingabe[[#This Row],[V4]]+Eingabe[[#This Row],[R4]])</f>
        <v/>
      </c>
      <c r="AK766" s="6" t="str">
        <f>IF(Eingabe[[#This Row],[S1P]]="","",Eingabe[[#This Row],[S1P]]+Eingabe[[#This Row],[S2P]]+Eingabe[[#This Row],[S3P]]+Eingabe[[#This Row],[S4P]])</f>
        <v/>
      </c>
      <c r="AL766" s="6" t="str">
        <f>IF(Eingabe[[#This Row],[S1P]]="","",IF(Eingabe[[#This Row],[SP]]&gt;2,1,IF(Eingabe[[#This Row],[SP]]&lt;2,0,IF(Eingabe[[#This Row],[GES]]&gt;Eingabe[[#This Row],[GEGGES]],1,IF(Eingabe[[#This Row],[GES]]=Eingabe[[#This Row],[GEGGES]],0.5,0)))))</f>
        <v/>
      </c>
      <c r="AM766" s="6" t="str">
        <f>IF(Eingabe[[#This Row],[MP]]="","",MOD(ROW(Eingabe[[#This Row],[Position]])-3,6)+1)</f>
        <v/>
      </c>
      <c r="AN766" s="6" t="e">
        <f>STANDARDIZE(Eingabe[[#This Row],[GES]],Eingabe[[#This Row],[Schnitt]],VLOOKUP(Eingabe[[#This Row],[Name]],AuswertungG[],21,FALSE))</f>
        <v>#VALUE!</v>
      </c>
      <c r="AO766" s="6" t="str">
        <f>VLOOKUP(Eingabe[[#This Row],[ID]],Chronologie[[ID]:[KW]],12,FALSE)</f>
        <v/>
      </c>
      <c r="AP766" s="95">
        <f>IF(Eingabe[[#This Row],[Wo]]="H",Eingabe[[#This Row],[Gegner]]&amp;" ["&amp;Eingabe[[#This Row],[Wo]]&amp;"]",Eingabe[[#This Row],[Ort]])</f>
        <v>0</v>
      </c>
      <c r="AQ766" s="6" t="str">
        <f>IFERROR(IF(Eingabe[[#This Row],[Wo]]="H",IF(MOD(Eingabe[[#This Row],[Position]],2)=1,Eingabe[[#This Row],[S1]],Eingabe[[#This Row],[S4]]),""),"")</f>
        <v/>
      </c>
      <c r="AR766" s="6" t="str">
        <f>IFERROR(IF(Eingabe[[#This Row],[Wo]]="H",IF(Eingabe[[#This Row],[S1]]&gt;0,IF(MOD(Eingabe[[#This Row],[Position]],2)=1,Eingabe[[#This Row],[S2]],Eingabe[[#This Row],[S3]]),""),""),"")</f>
        <v/>
      </c>
      <c r="AS766" s="6" t="str">
        <f>IFERROR(IF(Eingabe[[#This Row],[Wo]]="H",IF(Eingabe[[#This Row],[S1]]&gt;0,IF(MOD(ROW(Eingabe[[#This Row],[Heimbahn 3]]),2)=1,Eingabe[[#This Row],[S4]],Eingabe[[#This Row],[S1]]),""),""),"")</f>
        <v/>
      </c>
      <c r="AT766" s="6" t="str">
        <f>IFERROR(IF(Eingabe[[#This Row],[Wo]]="H",IF(Eingabe[[#This Row],[S1]]&gt;0,IF(MOD(ROW(Eingabe[[#This Row],[Heimbahn 4]]),2)=1,Eingabe[[#This Row],[S3]],Eingabe[[#This Row],[S2]]),""),""),"")</f>
        <v/>
      </c>
      <c r="AU766" s="22" t="str">
        <f>IF(Eingabe[[#This Row],[GES]]="","",IF(Eingabe[[#This Row],[Modus]]="L",_xlfn.RANK.EQ(Eingabe[[#This Row],[GES]],AF765:AF770),IF(Eingabe[[#This Row],[Modus]]="P",_xlfn.RANK.EQ(Eingabe[[#This Row],[GES]],AF765:AF770),"")))</f>
        <v/>
      </c>
      <c r="AV766" s="6" t="e">
        <f>VLOOKUP(Eingabe[[#This Row],[Name]],AuswertungG[],8,FALSE)</f>
        <v>#N/A</v>
      </c>
      <c r="AZ766" s="6" t="str">
        <f>IFERROR(ABS(Eingabe[[#This Row],[GES]]-Eingabe[[#This Row],[GEGGES]]),"")</f>
        <v/>
      </c>
    </row>
    <row r="767" spans="1:52" hidden="1" x14ac:dyDescent="0.3">
      <c r="A767" s="441"/>
      <c r="B767" s="21">
        <f t="shared" si="87"/>
        <v>128</v>
      </c>
      <c r="C767" s="6">
        <f>VLOOKUP($B767,Chronologie[],7,TRUE)</f>
        <v>0</v>
      </c>
      <c r="D767" s="6">
        <f>VLOOKUP($B767,Chronologie[],8,TRUE)</f>
        <v>0</v>
      </c>
      <c r="E767" s="240">
        <f>VLOOKUP($B767,Chronologie[],9,TRUE)</f>
        <v>0</v>
      </c>
      <c r="F767" s="6">
        <f>VLOOKUP($B767,Chronologie[],COLUMN(F768)-2,TRUE)</f>
        <v>0</v>
      </c>
      <c r="G767" s="6">
        <f>VLOOKUP($B767,Chronologie[],COLUMN(G768)-2,TRUE)</f>
        <v>0</v>
      </c>
      <c r="H767" s="6">
        <f>VLOOKUP($B767,Chronologie[],COLUMN(H768)-2,TRUE)</f>
        <v>0</v>
      </c>
      <c r="I767" s="10" t="str">
        <f>VLOOKUP($B767,Chronologie[],2,TRUE)</f>
        <v>--</v>
      </c>
      <c r="J767" s="243">
        <f>VLOOKUP($B767,Chronologie[],3,TRUE)</f>
        <v>0</v>
      </c>
      <c r="K767" s="237"/>
      <c r="L767" s="237"/>
      <c r="M767" s="237"/>
      <c r="N767" s="237"/>
      <c r="O767" s="237"/>
      <c r="P767" s="237"/>
      <c r="Q767" s="237"/>
      <c r="R767" s="237"/>
      <c r="S767" s="237"/>
      <c r="T767" s="237"/>
      <c r="U767" s="237"/>
      <c r="V767" s="237"/>
      <c r="W767" s="237"/>
      <c r="X767" s="38"/>
      <c r="Y767" s="38"/>
      <c r="Z767" s="38"/>
      <c r="AA767" s="38"/>
      <c r="AB767" s="91"/>
      <c r="AC767" s="94" t="str">
        <f>IF(Eingabe[[#This Row],[V1]]="",IF(Eingabe[[#This Row],[Volle alternativ]]="","",Eingabe[[#This Row],[Volle alternativ]]),SUM(Eingabe[[#This Row],[V1]:[V4]]))</f>
        <v/>
      </c>
      <c r="AD767" s="6" t="str">
        <f>IF(Eingabe[[#This Row],[R1]]="",IF(Eingabe[[#This Row],[Räumer alternativ]]="","",Eingabe[[#This Row],[Räumer alternativ]]),SUM(Eingabe[[#This Row],[R1]:[R4]]))</f>
        <v/>
      </c>
      <c r="AE767" s="6" t="str">
        <f>IF(Eingabe[[#This Row],[F1]]="",IF(Eingabe[[#This Row],[Fehler alternativ]]="","",Eingabe[[#This Row],[Fehler alternativ]]),SUM(Eingabe[[#This Row],[F1]:[F4]]))</f>
        <v/>
      </c>
      <c r="AF767" s="6" t="str">
        <f>IF(Eingabe[[#This Row],[Volle]]="","",IF(Eingabe[[#This Row],[S1]]="",Eingabe[[#This Row],[Volle]]+Eingabe[[#This Row],[Räumer]],IF(Eingabe[[#This Row],[Volle]]+Eingabe[[#This Row],[Räumer]]=Eingabe[[#This Row],[S1]]+Eingabe[[#This Row],[S2]]+Eingabe[[#This Row],[S3]]+Eingabe[[#This Row],[S4]],Eingabe[[#This Row],[Volle]]+Eingabe[[#This Row],[Räumer]],"FEHLER")))</f>
        <v/>
      </c>
      <c r="AG767" s="6" t="str">
        <f>IF(Eingabe[[#This Row],[V1]]="","",Eingabe[[#This Row],[V1]]+Eingabe[[#This Row],[R1]])</f>
        <v/>
      </c>
      <c r="AH767" s="6" t="str">
        <f>IF(Eingabe[[#This Row],[V2]]="","",Eingabe[[#This Row],[V2]]+Eingabe[[#This Row],[R2]])</f>
        <v/>
      </c>
      <c r="AI767" s="6" t="str">
        <f>IF(Eingabe[[#This Row],[V3]]="","",Eingabe[[#This Row],[V3]]+Eingabe[[#This Row],[R3]])</f>
        <v/>
      </c>
      <c r="AJ767" s="6" t="str">
        <f>IF(Eingabe[[#This Row],[V4]]="","",Eingabe[[#This Row],[V4]]+Eingabe[[#This Row],[R4]])</f>
        <v/>
      </c>
      <c r="AK767" s="6" t="str">
        <f>IF(Eingabe[[#This Row],[S1P]]="","",Eingabe[[#This Row],[S1P]]+Eingabe[[#This Row],[S2P]]+Eingabe[[#This Row],[S3P]]+Eingabe[[#This Row],[S4P]])</f>
        <v/>
      </c>
      <c r="AL767" s="6" t="str">
        <f>IF(Eingabe[[#This Row],[S1P]]="","",IF(Eingabe[[#This Row],[SP]]&gt;2,1,IF(Eingabe[[#This Row],[SP]]&lt;2,0,IF(Eingabe[[#This Row],[GES]]&gt;Eingabe[[#This Row],[GEGGES]],1,IF(Eingabe[[#This Row],[GES]]=Eingabe[[#This Row],[GEGGES]],0.5,0)))))</f>
        <v/>
      </c>
      <c r="AM767" s="6" t="str">
        <f>IF(Eingabe[[#This Row],[MP]]="","",MOD(ROW(Eingabe[[#This Row],[Position]])-3,6)+1)</f>
        <v/>
      </c>
      <c r="AN767" s="6" t="e">
        <f>STANDARDIZE(Eingabe[[#This Row],[GES]],Eingabe[[#This Row],[Schnitt]],VLOOKUP(Eingabe[[#This Row],[Name]],AuswertungG[],21,FALSE))</f>
        <v>#VALUE!</v>
      </c>
      <c r="AO767" s="6" t="str">
        <f>VLOOKUP(Eingabe[[#This Row],[ID]],Chronologie[[ID]:[KW]],12,FALSE)</f>
        <v/>
      </c>
      <c r="AP767" s="95">
        <f>IF(Eingabe[[#This Row],[Wo]]="H",Eingabe[[#This Row],[Gegner]]&amp;" ["&amp;Eingabe[[#This Row],[Wo]]&amp;"]",Eingabe[[#This Row],[Ort]])</f>
        <v>0</v>
      </c>
      <c r="AQ767" s="6" t="str">
        <f>IFERROR(IF(Eingabe[[#This Row],[Wo]]="H",IF(MOD(Eingabe[[#This Row],[Position]],2)=1,Eingabe[[#This Row],[S1]],Eingabe[[#This Row],[S4]]),""),"")</f>
        <v/>
      </c>
      <c r="AR767" s="6" t="str">
        <f>IFERROR(IF(Eingabe[[#This Row],[Wo]]="H",IF(Eingabe[[#This Row],[S1]]&gt;0,IF(MOD(Eingabe[[#This Row],[Position]],2)=1,Eingabe[[#This Row],[S2]],Eingabe[[#This Row],[S3]]),""),""),"")</f>
        <v/>
      </c>
      <c r="AS767" s="6" t="str">
        <f>IFERROR(IF(Eingabe[[#This Row],[Wo]]="H",IF(Eingabe[[#This Row],[S1]]&gt;0,IF(MOD(ROW(Eingabe[[#This Row],[Heimbahn 3]]),2)=1,Eingabe[[#This Row],[S4]],Eingabe[[#This Row],[S1]]),""),""),"")</f>
        <v/>
      </c>
      <c r="AT767" s="6" t="str">
        <f>IFERROR(IF(Eingabe[[#This Row],[Wo]]="H",IF(Eingabe[[#This Row],[S1]]&gt;0,IF(MOD(ROW(Eingabe[[#This Row],[Heimbahn 4]]),2)=1,Eingabe[[#This Row],[S3]],Eingabe[[#This Row],[S2]]),""),""),"")</f>
        <v/>
      </c>
      <c r="AU767" s="22" t="str">
        <f>IF(Eingabe[[#This Row],[GES]]="","",IF(Eingabe[[#This Row],[Modus]]="L",_xlfn.RANK.EQ(Eingabe[[#This Row],[GES]],AF765:AF770),IF(Eingabe[[#This Row],[Modus]]="P",_xlfn.RANK.EQ(Eingabe[[#This Row],[GES]],AF765:AF770),"")))</f>
        <v/>
      </c>
      <c r="AV767" s="6" t="e">
        <f>VLOOKUP(Eingabe[[#This Row],[Name]],AuswertungG[],8,FALSE)</f>
        <v>#N/A</v>
      </c>
      <c r="AZ767" s="6" t="str">
        <f>IFERROR(ABS(Eingabe[[#This Row],[GES]]-Eingabe[[#This Row],[GEGGES]]),"")</f>
        <v/>
      </c>
    </row>
    <row r="768" spans="1:52" hidden="1" x14ac:dyDescent="0.3">
      <c r="A768" s="441"/>
      <c r="B768" s="21">
        <f t="shared" si="87"/>
        <v>128</v>
      </c>
      <c r="C768" s="6">
        <f>VLOOKUP($B768,Chronologie[],7,TRUE)</f>
        <v>0</v>
      </c>
      <c r="D768" s="6">
        <f>VLOOKUP($B768,Chronologie[],8,TRUE)</f>
        <v>0</v>
      </c>
      <c r="E768" s="240">
        <f>VLOOKUP($B768,Chronologie[],9,TRUE)</f>
        <v>0</v>
      </c>
      <c r="F768" s="6">
        <f>VLOOKUP($B768,Chronologie[],COLUMN(F769)-2,TRUE)</f>
        <v>0</v>
      </c>
      <c r="G768" s="6">
        <f>VLOOKUP($B768,Chronologie[],COLUMN(G769)-2,TRUE)</f>
        <v>0</v>
      </c>
      <c r="H768" s="6">
        <f>VLOOKUP($B768,Chronologie[],COLUMN(H769)-2,TRUE)</f>
        <v>0</v>
      </c>
      <c r="I768" s="10" t="str">
        <f>VLOOKUP($B768,Chronologie[],2,TRUE)</f>
        <v>--</v>
      </c>
      <c r="J768" s="243">
        <f>VLOOKUP($B768,Chronologie[],3,TRUE)</f>
        <v>0</v>
      </c>
      <c r="K768" s="238"/>
      <c r="L768" s="237"/>
      <c r="M768" s="237"/>
      <c r="N768" s="237"/>
      <c r="O768" s="237"/>
      <c r="P768" s="237"/>
      <c r="Q768" s="237"/>
      <c r="R768" s="237"/>
      <c r="S768" s="237"/>
      <c r="T768" s="237"/>
      <c r="U768" s="237"/>
      <c r="V768" s="237"/>
      <c r="W768" s="237"/>
      <c r="X768" s="38"/>
      <c r="Y768" s="38"/>
      <c r="Z768" s="38"/>
      <c r="AA768" s="38"/>
      <c r="AB768" s="91"/>
      <c r="AC768" s="94" t="str">
        <f>IF(Eingabe[[#This Row],[V1]]="",IF(Eingabe[[#This Row],[Volle alternativ]]="","",Eingabe[[#This Row],[Volle alternativ]]),SUM(Eingabe[[#This Row],[V1]:[V4]]))</f>
        <v/>
      </c>
      <c r="AD768" s="6" t="str">
        <f>IF(Eingabe[[#This Row],[R1]]="",IF(Eingabe[[#This Row],[Räumer alternativ]]="","",Eingabe[[#This Row],[Räumer alternativ]]),SUM(Eingabe[[#This Row],[R1]:[R4]]))</f>
        <v/>
      </c>
      <c r="AE768" s="6" t="str">
        <f>IF(Eingabe[[#This Row],[F1]]="",IF(Eingabe[[#This Row],[Fehler alternativ]]="","",Eingabe[[#This Row],[Fehler alternativ]]),SUM(Eingabe[[#This Row],[F1]:[F4]]))</f>
        <v/>
      </c>
      <c r="AF768" s="6" t="str">
        <f>IF(Eingabe[[#This Row],[Volle]]="","",IF(Eingabe[[#This Row],[S1]]="",Eingabe[[#This Row],[Volle]]+Eingabe[[#This Row],[Räumer]],IF(Eingabe[[#This Row],[Volle]]+Eingabe[[#This Row],[Räumer]]=Eingabe[[#This Row],[S1]]+Eingabe[[#This Row],[S2]]+Eingabe[[#This Row],[S3]]+Eingabe[[#This Row],[S4]],Eingabe[[#This Row],[Volle]]+Eingabe[[#This Row],[Räumer]],"FEHLER")))</f>
        <v/>
      </c>
      <c r="AG768" s="6" t="str">
        <f>IF(Eingabe[[#This Row],[V1]]="","",Eingabe[[#This Row],[V1]]+Eingabe[[#This Row],[R1]])</f>
        <v/>
      </c>
      <c r="AH768" s="6" t="str">
        <f>IF(Eingabe[[#This Row],[V2]]="","",Eingabe[[#This Row],[V2]]+Eingabe[[#This Row],[R2]])</f>
        <v/>
      </c>
      <c r="AI768" s="6" t="str">
        <f>IF(Eingabe[[#This Row],[V3]]="","",Eingabe[[#This Row],[V3]]+Eingabe[[#This Row],[R3]])</f>
        <v/>
      </c>
      <c r="AJ768" s="6" t="str">
        <f>IF(Eingabe[[#This Row],[V4]]="","",Eingabe[[#This Row],[V4]]+Eingabe[[#This Row],[R4]])</f>
        <v/>
      </c>
      <c r="AK768" s="6" t="str">
        <f>IF(Eingabe[[#This Row],[S1P]]="","",Eingabe[[#This Row],[S1P]]+Eingabe[[#This Row],[S2P]]+Eingabe[[#This Row],[S3P]]+Eingabe[[#This Row],[S4P]])</f>
        <v/>
      </c>
      <c r="AL768" s="6" t="str">
        <f>IF(Eingabe[[#This Row],[S1P]]="","",IF(Eingabe[[#This Row],[SP]]&gt;2,1,IF(Eingabe[[#This Row],[SP]]&lt;2,0,IF(Eingabe[[#This Row],[GES]]&gt;Eingabe[[#This Row],[GEGGES]],1,IF(Eingabe[[#This Row],[GES]]=Eingabe[[#This Row],[GEGGES]],0.5,0)))))</f>
        <v/>
      </c>
      <c r="AM768" s="6" t="str">
        <f>IF(Eingabe[[#This Row],[MP]]="","",MOD(ROW(Eingabe[[#This Row],[Position]])-3,6)+1)</f>
        <v/>
      </c>
      <c r="AN768" s="6" t="e">
        <f>STANDARDIZE(Eingabe[[#This Row],[GES]],Eingabe[[#This Row],[Schnitt]],VLOOKUP(Eingabe[[#This Row],[Name]],AuswertungG[],21,FALSE))</f>
        <v>#VALUE!</v>
      </c>
      <c r="AO768" s="6" t="str">
        <f>VLOOKUP(Eingabe[[#This Row],[ID]],Chronologie[[ID]:[KW]],12,FALSE)</f>
        <v/>
      </c>
      <c r="AP768" s="95">
        <f>IF(Eingabe[[#This Row],[Wo]]="H",Eingabe[[#This Row],[Gegner]]&amp;" ["&amp;Eingabe[[#This Row],[Wo]]&amp;"]",Eingabe[[#This Row],[Ort]])</f>
        <v>0</v>
      </c>
      <c r="AQ768" s="6" t="str">
        <f>IFERROR(IF(Eingabe[[#This Row],[Wo]]="H",IF(MOD(Eingabe[[#This Row],[Position]],2)=1,Eingabe[[#This Row],[S1]],Eingabe[[#This Row],[S4]]),""),"")</f>
        <v/>
      </c>
      <c r="AR768" s="6" t="str">
        <f>IFERROR(IF(Eingabe[[#This Row],[Wo]]="H",IF(Eingabe[[#This Row],[S1]]&gt;0,IF(MOD(Eingabe[[#This Row],[Position]],2)=1,Eingabe[[#This Row],[S2]],Eingabe[[#This Row],[S3]]),""),""),"")</f>
        <v/>
      </c>
      <c r="AS768" s="6" t="str">
        <f>IFERROR(IF(Eingabe[[#This Row],[Wo]]="H",IF(Eingabe[[#This Row],[S1]]&gt;0,IF(MOD(ROW(Eingabe[[#This Row],[Heimbahn 3]]),2)=1,Eingabe[[#This Row],[S4]],Eingabe[[#This Row],[S1]]),""),""),"")</f>
        <v/>
      </c>
      <c r="AT768" s="6" t="str">
        <f>IFERROR(IF(Eingabe[[#This Row],[Wo]]="H",IF(Eingabe[[#This Row],[S1]]&gt;0,IF(MOD(ROW(Eingabe[[#This Row],[Heimbahn 4]]),2)=1,Eingabe[[#This Row],[S3]],Eingabe[[#This Row],[S2]]),""),""),"")</f>
        <v/>
      </c>
      <c r="AU768" s="22" t="str">
        <f>IF(Eingabe[[#This Row],[GES]]="","",IF(Eingabe[[#This Row],[Modus]]="L",_xlfn.RANK.EQ(Eingabe[[#This Row],[GES]],AF765:AF770),IF(Eingabe[[#This Row],[Modus]]="P",_xlfn.RANK.EQ(Eingabe[[#This Row],[GES]],AF765:AF770),"")))</f>
        <v/>
      </c>
      <c r="AV768" s="6" t="e">
        <f>VLOOKUP(Eingabe[[#This Row],[Name]],AuswertungG[],8,FALSE)</f>
        <v>#N/A</v>
      </c>
      <c r="AZ768" s="6" t="str">
        <f>IFERROR(ABS(Eingabe[[#This Row],[GES]]-Eingabe[[#This Row],[GEGGES]]),"")</f>
        <v/>
      </c>
    </row>
    <row r="769" spans="1:52" hidden="1" x14ac:dyDescent="0.3">
      <c r="A769" s="441"/>
      <c r="B769" s="21">
        <f t="shared" si="87"/>
        <v>128</v>
      </c>
      <c r="C769" s="6">
        <f>VLOOKUP($B769,Chronologie[],7,TRUE)</f>
        <v>0</v>
      </c>
      <c r="D769" s="6">
        <f>VLOOKUP($B769,Chronologie[],8,TRUE)</f>
        <v>0</v>
      </c>
      <c r="E769" s="240">
        <f>VLOOKUP($B769,Chronologie[],9,TRUE)</f>
        <v>0</v>
      </c>
      <c r="F769" s="6">
        <f>VLOOKUP($B769,Chronologie[],COLUMN(F770)-2,TRUE)</f>
        <v>0</v>
      </c>
      <c r="G769" s="6">
        <f>VLOOKUP($B769,Chronologie[],COLUMN(G770)-2,TRUE)</f>
        <v>0</v>
      </c>
      <c r="H769" s="6">
        <f>VLOOKUP($B769,Chronologie[],COLUMN(H770)-2,TRUE)</f>
        <v>0</v>
      </c>
      <c r="I769" s="10" t="str">
        <f>VLOOKUP($B769,Chronologie[],2,TRUE)</f>
        <v>--</v>
      </c>
      <c r="J769" s="243">
        <f>VLOOKUP($B769,Chronologie[],3,TRUE)</f>
        <v>0</v>
      </c>
      <c r="K769" s="237"/>
      <c r="L769" s="237"/>
      <c r="M769" s="237"/>
      <c r="N769" s="237"/>
      <c r="O769" s="237"/>
      <c r="P769" s="237"/>
      <c r="Q769" s="237"/>
      <c r="R769" s="237"/>
      <c r="S769" s="237"/>
      <c r="T769" s="237"/>
      <c r="U769" s="237"/>
      <c r="V769" s="237"/>
      <c r="W769" s="237"/>
      <c r="X769" s="38"/>
      <c r="Y769" s="38"/>
      <c r="Z769" s="38"/>
      <c r="AA769" s="38"/>
      <c r="AB769" s="91"/>
      <c r="AC769" s="94" t="str">
        <f>IF(Eingabe[[#This Row],[V1]]="",IF(Eingabe[[#This Row],[Volle alternativ]]="","",Eingabe[[#This Row],[Volle alternativ]]),SUM(Eingabe[[#This Row],[V1]:[V4]]))</f>
        <v/>
      </c>
      <c r="AD769" s="6" t="str">
        <f>IF(Eingabe[[#This Row],[R1]]="",IF(Eingabe[[#This Row],[Räumer alternativ]]="","",Eingabe[[#This Row],[Räumer alternativ]]),SUM(Eingabe[[#This Row],[R1]:[R4]]))</f>
        <v/>
      </c>
      <c r="AE769" s="6" t="str">
        <f>IF(Eingabe[[#This Row],[F1]]="",IF(Eingabe[[#This Row],[Fehler alternativ]]="","",Eingabe[[#This Row],[Fehler alternativ]]),SUM(Eingabe[[#This Row],[F1]:[F4]]))</f>
        <v/>
      </c>
      <c r="AF769" s="6" t="str">
        <f>IF(Eingabe[[#This Row],[Volle]]="","",IF(Eingabe[[#This Row],[S1]]="",Eingabe[[#This Row],[Volle]]+Eingabe[[#This Row],[Räumer]],IF(Eingabe[[#This Row],[Volle]]+Eingabe[[#This Row],[Räumer]]=Eingabe[[#This Row],[S1]]+Eingabe[[#This Row],[S2]]+Eingabe[[#This Row],[S3]]+Eingabe[[#This Row],[S4]],Eingabe[[#This Row],[Volle]]+Eingabe[[#This Row],[Räumer]],"FEHLER")))</f>
        <v/>
      </c>
      <c r="AG769" s="6" t="str">
        <f>IF(Eingabe[[#This Row],[V1]]="","",Eingabe[[#This Row],[V1]]+Eingabe[[#This Row],[R1]])</f>
        <v/>
      </c>
      <c r="AH769" s="6" t="str">
        <f>IF(Eingabe[[#This Row],[V2]]="","",Eingabe[[#This Row],[V2]]+Eingabe[[#This Row],[R2]])</f>
        <v/>
      </c>
      <c r="AI769" s="6" t="str">
        <f>IF(Eingabe[[#This Row],[V3]]="","",Eingabe[[#This Row],[V3]]+Eingabe[[#This Row],[R3]])</f>
        <v/>
      </c>
      <c r="AJ769" s="6" t="str">
        <f>IF(Eingabe[[#This Row],[V4]]="","",Eingabe[[#This Row],[V4]]+Eingabe[[#This Row],[R4]])</f>
        <v/>
      </c>
      <c r="AK769" s="6" t="str">
        <f>IF(Eingabe[[#This Row],[S1P]]="","",Eingabe[[#This Row],[S1P]]+Eingabe[[#This Row],[S2P]]+Eingabe[[#This Row],[S3P]]+Eingabe[[#This Row],[S4P]])</f>
        <v/>
      </c>
      <c r="AL769" s="6" t="str">
        <f>IF(Eingabe[[#This Row],[S1P]]="","",IF(Eingabe[[#This Row],[SP]]&gt;2,1,IF(Eingabe[[#This Row],[SP]]&lt;2,0,IF(Eingabe[[#This Row],[GES]]&gt;Eingabe[[#This Row],[GEGGES]],1,IF(Eingabe[[#This Row],[GES]]=Eingabe[[#This Row],[GEGGES]],0.5,0)))))</f>
        <v/>
      </c>
      <c r="AM769" s="6" t="str">
        <f>IF(Eingabe[[#This Row],[MP]]="","",MOD(ROW(Eingabe[[#This Row],[Position]])-3,6)+1)</f>
        <v/>
      </c>
      <c r="AN769" s="6" t="e">
        <f>STANDARDIZE(Eingabe[[#This Row],[GES]],Eingabe[[#This Row],[Schnitt]],VLOOKUP(Eingabe[[#This Row],[Name]],AuswertungG[],21,FALSE))</f>
        <v>#VALUE!</v>
      </c>
      <c r="AO769" s="6" t="str">
        <f>VLOOKUP(Eingabe[[#This Row],[ID]],Chronologie[[ID]:[KW]],12,FALSE)</f>
        <v/>
      </c>
      <c r="AP769" s="95">
        <f>IF(Eingabe[[#This Row],[Wo]]="H",Eingabe[[#This Row],[Gegner]]&amp;" ["&amp;Eingabe[[#This Row],[Wo]]&amp;"]",Eingabe[[#This Row],[Ort]])</f>
        <v>0</v>
      </c>
      <c r="AQ769" s="6" t="str">
        <f>IFERROR(IF(Eingabe[[#This Row],[Wo]]="H",IF(MOD(Eingabe[[#This Row],[Position]],2)=1,Eingabe[[#This Row],[S1]],Eingabe[[#This Row],[S4]]),""),"")</f>
        <v/>
      </c>
      <c r="AR769" s="6" t="str">
        <f>IFERROR(IF(Eingabe[[#This Row],[Wo]]="H",IF(Eingabe[[#This Row],[S1]]&gt;0,IF(MOD(Eingabe[[#This Row],[Position]],2)=1,Eingabe[[#This Row],[S2]],Eingabe[[#This Row],[S3]]),""),""),"")</f>
        <v/>
      </c>
      <c r="AS769" s="6" t="str">
        <f>IFERROR(IF(Eingabe[[#This Row],[Wo]]="H",IF(Eingabe[[#This Row],[S1]]&gt;0,IF(MOD(ROW(Eingabe[[#This Row],[Heimbahn 3]]),2)=1,Eingabe[[#This Row],[S4]],Eingabe[[#This Row],[S1]]),""),""),"")</f>
        <v/>
      </c>
      <c r="AT769" s="6" t="str">
        <f>IFERROR(IF(Eingabe[[#This Row],[Wo]]="H",IF(Eingabe[[#This Row],[S1]]&gt;0,IF(MOD(ROW(Eingabe[[#This Row],[Heimbahn 4]]),2)=1,Eingabe[[#This Row],[S3]],Eingabe[[#This Row],[S2]]),""),""),"")</f>
        <v/>
      </c>
      <c r="AU769" s="22" t="str">
        <f>IF(Eingabe[[#This Row],[GES]]="","",IF(Eingabe[[#This Row],[Modus]]="L",_xlfn.RANK.EQ(Eingabe[[#This Row],[GES]],AF765:AF770),IF(Eingabe[[#This Row],[Modus]]="P",_xlfn.RANK.EQ(Eingabe[[#This Row],[GES]],AF765:AF770),"")))</f>
        <v/>
      </c>
      <c r="AV769" s="6" t="e">
        <f>VLOOKUP(Eingabe[[#This Row],[Name]],AuswertungG[],8,FALSE)</f>
        <v>#N/A</v>
      </c>
      <c r="AZ769" s="6" t="str">
        <f>IFERROR(ABS(Eingabe[[#This Row],[GES]]-Eingabe[[#This Row],[GEGGES]]),"")</f>
        <v/>
      </c>
    </row>
    <row r="770" spans="1:52" ht="16.2" hidden="1" thickBot="1" x14ac:dyDescent="0.35">
      <c r="A770" s="442"/>
      <c r="B770" s="56">
        <f t="shared" si="87"/>
        <v>128</v>
      </c>
      <c r="C770" s="23">
        <f>VLOOKUP($B770,Chronologie[],7,TRUE)</f>
        <v>0</v>
      </c>
      <c r="D770" s="23">
        <f>VLOOKUP($B770,Chronologie[],8,TRUE)</f>
        <v>0</v>
      </c>
      <c r="E770" s="39">
        <f>VLOOKUP($B770,Chronologie[],9,TRUE)</f>
        <v>0</v>
      </c>
      <c r="F770" s="23">
        <f>VLOOKUP($B770,Chronologie[],COLUMN(F771)-2,TRUE)</f>
        <v>0</v>
      </c>
      <c r="G770" s="23">
        <f>VLOOKUP($B770,Chronologie[],COLUMN(G771)-2,TRUE)</f>
        <v>0</v>
      </c>
      <c r="H770" s="23">
        <f>VLOOKUP($B770,Chronologie[],COLUMN(H771)-2,TRUE)</f>
        <v>0</v>
      </c>
      <c r="I770" s="13" t="str">
        <f>VLOOKUP($B770,Chronologie[],2,TRUE)</f>
        <v>--</v>
      </c>
      <c r="J770" s="244">
        <f>VLOOKUP($B770,Chronologie[],3,TRUE)</f>
        <v>0</v>
      </c>
      <c r="K770" s="239"/>
      <c r="L770" s="239"/>
      <c r="M770" s="239"/>
      <c r="N770" s="239"/>
      <c r="O770" s="239"/>
      <c r="P770" s="239"/>
      <c r="Q770" s="239"/>
      <c r="R770" s="239"/>
      <c r="S770" s="239"/>
      <c r="T770" s="239"/>
      <c r="U770" s="239"/>
      <c r="V770" s="239"/>
      <c r="W770" s="239"/>
      <c r="X770" s="40"/>
      <c r="Y770" s="40"/>
      <c r="Z770" s="40"/>
      <c r="AA770" s="40"/>
      <c r="AB770" s="92"/>
      <c r="AC770" s="96" t="str">
        <f>IF(Eingabe[[#This Row],[V1]]="",IF(Eingabe[[#This Row],[Volle alternativ]]="","",Eingabe[[#This Row],[Volle alternativ]]),SUM(Eingabe[[#This Row],[V1]:[V4]]))</f>
        <v/>
      </c>
      <c r="AD770" s="23" t="str">
        <f>IF(Eingabe[[#This Row],[R1]]="",IF(Eingabe[[#This Row],[Räumer alternativ]]="","",Eingabe[[#This Row],[Räumer alternativ]]),SUM(Eingabe[[#This Row],[R1]:[R4]]))</f>
        <v/>
      </c>
      <c r="AE770" s="23" t="str">
        <f>IF(Eingabe[[#This Row],[F1]]="",IF(Eingabe[[#This Row],[Fehler alternativ]]="","",Eingabe[[#This Row],[Fehler alternativ]]),SUM(Eingabe[[#This Row],[F1]:[F4]]))</f>
        <v/>
      </c>
      <c r="AF770" s="23" t="str">
        <f>IF(Eingabe[[#This Row],[Volle]]="","",IF(Eingabe[[#This Row],[S1]]="",Eingabe[[#This Row],[Volle]]+Eingabe[[#This Row],[Räumer]],IF(Eingabe[[#This Row],[Volle]]+Eingabe[[#This Row],[Räumer]]=Eingabe[[#This Row],[S1]]+Eingabe[[#This Row],[S2]]+Eingabe[[#This Row],[S3]]+Eingabe[[#This Row],[S4]],Eingabe[[#This Row],[Volle]]+Eingabe[[#This Row],[Räumer]],"FEHLER")))</f>
        <v/>
      </c>
      <c r="AG770" s="23" t="str">
        <f>IF(Eingabe[[#This Row],[V1]]="","",Eingabe[[#This Row],[V1]]+Eingabe[[#This Row],[R1]])</f>
        <v/>
      </c>
      <c r="AH770" s="23" t="str">
        <f>IF(Eingabe[[#This Row],[V2]]="","",Eingabe[[#This Row],[V2]]+Eingabe[[#This Row],[R2]])</f>
        <v/>
      </c>
      <c r="AI770" s="23" t="str">
        <f>IF(Eingabe[[#This Row],[V3]]="","",Eingabe[[#This Row],[V3]]+Eingabe[[#This Row],[R3]])</f>
        <v/>
      </c>
      <c r="AJ770" s="23" t="str">
        <f>IF(Eingabe[[#This Row],[V4]]="","",Eingabe[[#This Row],[V4]]+Eingabe[[#This Row],[R4]])</f>
        <v/>
      </c>
      <c r="AK770" s="23" t="str">
        <f>IF(Eingabe[[#This Row],[S1P]]="","",Eingabe[[#This Row],[S1P]]+Eingabe[[#This Row],[S2P]]+Eingabe[[#This Row],[S3P]]+Eingabe[[#This Row],[S4P]])</f>
        <v/>
      </c>
      <c r="AL770" s="23" t="str">
        <f>IF(Eingabe[[#This Row],[S1P]]="","",IF(Eingabe[[#This Row],[SP]]&gt;2,1,IF(Eingabe[[#This Row],[SP]]&lt;2,0,IF(Eingabe[[#This Row],[GES]]&gt;Eingabe[[#This Row],[GEGGES]],1,IF(Eingabe[[#This Row],[GES]]=Eingabe[[#This Row],[GEGGES]],0.5,0)))))</f>
        <v/>
      </c>
      <c r="AM770" s="23" t="str">
        <f>IF(Eingabe[[#This Row],[MP]]="","",MOD(ROW(Eingabe[[#This Row],[Position]])-3,6)+1)</f>
        <v/>
      </c>
      <c r="AN770" s="23" t="e">
        <f>STANDARDIZE(Eingabe[[#This Row],[GES]],Eingabe[[#This Row],[Schnitt]],VLOOKUP(Eingabe[[#This Row],[Name]],AuswertungG[],21,FALSE))</f>
        <v>#VALUE!</v>
      </c>
      <c r="AO770" s="23" t="str">
        <f>VLOOKUP(Eingabe[[#This Row],[ID]],Chronologie[[ID]:[KW]],12,FALSE)</f>
        <v/>
      </c>
      <c r="AP770" s="59">
        <f>IF(Eingabe[[#This Row],[Wo]]="H",Eingabe[[#This Row],[Gegner]]&amp;" ["&amp;Eingabe[[#This Row],[Wo]]&amp;"]",Eingabe[[#This Row],[Ort]])</f>
        <v>0</v>
      </c>
      <c r="AQ770" s="23" t="str">
        <f>IFERROR(IF(Eingabe[[#This Row],[Wo]]="H",IF(MOD(Eingabe[[#This Row],[Position]],2)=1,Eingabe[[#This Row],[S1]],Eingabe[[#This Row],[S4]]),""),"")</f>
        <v/>
      </c>
      <c r="AR770" s="23" t="str">
        <f>IFERROR(IF(Eingabe[[#This Row],[Wo]]="H",IF(Eingabe[[#This Row],[S1]]&gt;0,IF(MOD(Eingabe[[#This Row],[Position]],2)=1,Eingabe[[#This Row],[S2]],Eingabe[[#This Row],[S3]]),""),""),"")</f>
        <v/>
      </c>
      <c r="AS770" s="23" t="str">
        <f>IFERROR(IF(Eingabe[[#This Row],[Wo]]="H",IF(Eingabe[[#This Row],[S1]]&gt;0,IF(MOD(ROW(Eingabe[[#This Row],[Heimbahn 3]]),2)=1,Eingabe[[#This Row],[S4]],Eingabe[[#This Row],[S1]]),""),""),"")</f>
        <v/>
      </c>
      <c r="AT770" s="23" t="str">
        <f>IFERROR(IF(Eingabe[[#This Row],[Wo]]="H",IF(Eingabe[[#This Row],[S1]]&gt;0,IF(MOD(ROW(Eingabe[[#This Row],[Heimbahn 4]]),2)=1,Eingabe[[#This Row],[S3]],Eingabe[[#This Row],[S2]]),""),""),"")</f>
        <v/>
      </c>
      <c r="AU770" s="89" t="str">
        <f>IF(Eingabe[[#This Row],[GES]]="","",IF(Eingabe[[#This Row],[Modus]]="L",_xlfn.RANK.EQ(Eingabe[[#This Row],[GES]],AF765:AF770),IF(Eingabe[[#This Row],[Modus]]="P",_xlfn.RANK.EQ(Eingabe[[#This Row],[GES]],AF765:AF770),"")))</f>
        <v/>
      </c>
      <c r="AV770" s="6" t="e">
        <f>VLOOKUP(Eingabe[[#This Row],[Name]],AuswertungG[],8,FALSE)</f>
        <v>#N/A</v>
      </c>
      <c r="AZ770" s="6" t="str">
        <f>IFERROR(ABS(Eingabe[[#This Row],[GES]]-Eingabe[[#This Row],[GEGGES]]),"")</f>
        <v/>
      </c>
    </row>
    <row r="771" spans="1:52" hidden="1" x14ac:dyDescent="0.3">
      <c r="A771" s="440">
        <f t="shared" ref="A771" si="89">B771</f>
        <v>129</v>
      </c>
      <c r="B771" s="55">
        <f t="shared" si="87"/>
        <v>129</v>
      </c>
      <c r="C771" s="35">
        <f>VLOOKUP($B771,Chronologie[],7,TRUE)</f>
        <v>0</v>
      </c>
      <c r="D771" s="35">
        <f>VLOOKUP($B771,Chronologie[],8,TRUE)</f>
        <v>0</v>
      </c>
      <c r="E771" s="36">
        <f>VLOOKUP($B771,Chronologie[],9,TRUE)</f>
        <v>0</v>
      </c>
      <c r="F771" s="35">
        <f>VLOOKUP($B771,Chronologie[],COLUMN(F772)-2,TRUE)</f>
        <v>0</v>
      </c>
      <c r="G771" s="35">
        <f>VLOOKUP($B771,Chronologie[],COLUMN(G772)-2,TRUE)</f>
        <v>0</v>
      </c>
      <c r="H771" s="35">
        <f>VLOOKUP($B771,Chronologie[],COLUMN(H772)-2,TRUE)</f>
        <v>0</v>
      </c>
      <c r="I771" s="9" t="str">
        <f>VLOOKUP($B771,Chronologie[],2,TRUE)</f>
        <v>--</v>
      </c>
      <c r="J771" s="242">
        <f>VLOOKUP($B771,Chronologie[],3,TRUE)</f>
        <v>0</v>
      </c>
      <c r="K771" s="236"/>
      <c r="L771" s="334"/>
      <c r="M771" s="334"/>
      <c r="N771" s="334"/>
      <c r="O771" s="334"/>
      <c r="P771" s="334"/>
      <c r="Q771" s="334"/>
      <c r="R771" s="334"/>
      <c r="S771" s="334"/>
      <c r="T771" s="334"/>
      <c r="U771" s="334"/>
      <c r="V771" s="334"/>
      <c r="W771" s="334"/>
      <c r="X771" s="37"/>
      <c r="Y771" s="37"/>
      <c r="Z771" s="37"/>
      <c r="AA771" s="37"/>
      <c r="AB771" s="90"/>
      <c r="AC771" s="93" t="str">
        <f>IF(Eingabe[[#This Row],[V1]]="",IF(Eingabe[[#This Row],[Volle alternativ]]="","",Eingabe[[#This Row],[Volle alternativ]]),SUM(Eingabe[[#This Row],[V1]:[V4]]))</f>
        <v/>
      </c>
      <c r="AD771" s="35" t="str">
        <f>IF(Eingabe[[#This Row],[R1]]="",IF(Eingabe[[#This Row],[Räumer alternativ]]="","",Eingabe[[#This Row],[Räumer alternativ]]),SUM(Eingabe[[#This Row],[R1]:[R4]]))</f>
        <v/>
      </c>
      <c r="AE771" s="35" t="str">
        <f>IF(Eingabe[[#This Row],[F1]]="",IF(Eingabe[[#This Row],[Fehler alternativ]]="","",Eingabe[[#This Row],[Fehler alternativ]]),SUM(Eingabe[[#This Row],[F1]:[F4]]))</f>
        <v/>
      </c>
      <c r="AF771" s="35" t="str">
        <f>IF(Eingabe[[#This Row],[Volle]]="","",IF(Eingabe[[#This Row],[S1]]="",Eingabe[[#This Row],[Volle]]+Eingabe[[#This Row],[Räumer]],IF(Eingabe[[#This Row],[Volle]]+Eingabe[[#This Row],[Räumer]]=Eingabe[[#This Row],[S1]]+Eingabe[[#This Row],[S2]]+Eingabe[[#This Row],[S3]]+Eingabe[[#This Row],[S4]],Eingabe[[#This Row],[Volle]]+Eingabe[[#This Row],[Räumer]],"FEHLER")))</f>
        <v/>
      </c>
      <c r="AG771" s="35" t="str">
        <f>IF(Eingabe[[#This Row],[V1]]="","",Eingabe[[#This Row],[V1]]+Eingabe[[#This Row],[R1]])</f>
        <v/>
      </c>
      <c r="AH771" s="35" t="str">
        <f>IF(Eingabe[[#This Row],[V2]]="","",Eingabe[[#This Row],[V2]]+Eingabe[[#This Row],[R2]])</f>
        <v/>
      </c>
      <c r="AI771" s="35" t="str">
        <f>IF(Eingabe[[#This Row],[V3]]="","",Eingabe[[#This Row],[V3]]+Eingabe[[#This Row],[R3]])</f>
        <v/>
      </c>
      <c r="AJ771" s="35" t="str">
        <f>IF(Eingabe[[#This Row],[V4]]="","",Eingabe[[#This Row],[V4]]+Eingabe[[#This Row],[R4]])</f>
        <v/>
      </c>
      <c r="AK771" s="35" t="str">
        <f>IF(Eingabe[[#This Row],[S1P]]="","",Eingabe[[#This Row],[S1P]]+Eingabe[[#This Row],[S2P]]+Eingabe[[#This Row],[S3P]]+Eingabe[[#This Row],[S4P]])</f>
        <v/>
      </c>
      <c r="AL771" s="35" t="str">
        <f>IF(Eingabe[[#This Row],[S1P]]="","",IF(Eingabe[[#This Row],[SP]]&gt;2,1,IF(Eingabe[[#This Row],[SP]]&lt;2,0,IF(Eingabe[[#This Row],[GES]]&gt;Eingabe[[#This Row],[GEGGES]],1,IF(Eingabe[[#This Row],[GES]]=Eingabe[[#This Row],[GEGGES]],0.5,0)))))</f>
        <v/>
      </c>
      <c r="AM771" s="35" t="str">
        <f>IF(Eingabe[[#This Row],[MP]]="","",MOD(ROW(Eingabe[[#This Row],[Position]])-3,6)+1)</f>
        <v/>
      </c>
      <c r="AN771" s="35" t="e">
        <f>STANDARDIZE(Eingabe[[#This Row],[GES]],Eingabe[[#This Row],[Schnitt]],VLOOKUP(Eingabe[[#This Row],[Name]],AuswertungG[],21,FALSE))</f>
        <v>#VALUE!</v>
      </c>
      <c r="AO771" s="35" t="str">
        <f>VLOOKUP(Eingabe[[#This Row],[ID]],Chronologie[[ID]:[KW]],12,FALSE)</f>
        <v/>
      </c>
      <c r="AP771" s="58">
        <f>IF(Eingabe[[#This Row],[Wo]]="H",Eingabe[[#This Row],[Gegner]]&amp;" ["&amp;Eingabe[[#This Row],[Wo]]&amp;"]",Eingabe[[#This Row],[Ort]])</f>
        <v>0</v>
      </c>
      <c r="AQ771" s="35" t="str">
        <f>IFERROR(IF(Eingabe[[#This Row],[Wo]]="H",IF(MOD(Eingabe[[#This Row],[Position]],2)=1,Eingabe[[#This Row],[S1]],Eingabe[[#This Row],[S4]]),""),"")</f>
        <v/>
      </c>
      <c r="AR771" s="35" t="str">
        <f>IFERROR(IF(Eingabe[[#This Row],[Wo]]="H",IF(Eingabe[[#This Row],[S1]]&gt;0,IF(MOD(Eingabe[[#This Row],[Position]],2)=1,Eingabe[[#This Row],[S2]],Eingabe[[#This Row],[S3]]),""),""),"")</f>
        <v/>
      </c>
      <c r="AS771" s="35" t="str">
        <f>IFERROR(IF(Eingabe[[#This Row],[Wo]]="H",IF(Eingabe[[#This Row],[S1]]&gt;0,IF(MOD(ROW(Eingabe[[#This Row],[Heimbahn 3]]),2)=1,Eingabe[[#This Row],[S4]],Eingabe[[#This Row],[S1]]),""),""),"")</f>
        <v/>
      </c>
      <c r="AT771" s="35" t="str">
        <f>IFERROR(IF(Eingabe[[#This Row],[Wo]]="H",IF(Eingabe[[#This Row],[S1]]&gt;0,IF(MOD(ROW(Eingabe[[#This Row],[Heimbahn 4]]),2)=1,Eingabe[[#This Row],[S3]],Eingabe[[#This Row],[S2]]),""),""),"")</f>
        <v/>
      </c>
      <c r="AU771" s="88" t="str">
        <f>IF(Eingabe[[#This Row],[GES]]="","",IF(Eingabe[[#This Row],[Modus]]="L",_xlfn.RANK.EQ(Eingabe[[#This Row],[GES]],AF771:AF776),IF(Eingabe[[#This Row],[Modus]]="P",_xlfn.RANK.EQ(Eingabe[[#This Row],[GES]],AF771:AF776),"")))</f>
        <v/>
      </c>
      <c r="AV771" s="6" t="e">
        <f>VLOOKUP(Eingabe[[#This Row],[Name]],AuswertungG[],8,FALSE)</f>
        <v>#N/A</v>
      </c>
      <c r="AZ771" s="6" t="str">
        <f>IFERROR(ABS(Eingabe[[#This Row],[GES]]-Eingabe[[#This Row],[GEGGES]]),"")</f>
        <v/>
      </c>
    </row>
    <row r="772" spans="1:52" hidden="1" x14ac:dyDescent="0.3">
      <c r="A772" s="441"/>
      <c r="B772" s="21">
        <f t="shared" si="87"/>
        <v>129</v>
      </c>
      <c r="C772" s="6">
        <f>VLOOKUP($B772,Chronologie[],7,TRUE)</f>
        <v>0</v>
      </c>
      <c r="D772" s="6">
        <f>VLOOKUP($B772,Chronologie[],8,TRUE)</f>
        <v>0</v>
      </c>
      <c r="E772" s="240">
        <f>VLOOKUP($B772,Chronologie[],9,TRUE)</f>
        <v>0</v>
      </c>
      <c r="F772" s="6">
        <f>VLOOKUP($B772,Chronologie[],COLUMN(F773)-2,TRUE)</f>
        <v>0</v>
      </c>
      <c r="G772" s="6">
        <f>VLOOKUP($B772,Chronologie[],COLUMN(G773)-2,TRUE)</f>
        <v>0</v>
      </c>
      <c r="H772" s="6">
        <f>VLOOKUP($B772,Chronologie[],COLUMN(H773)-2,TRUE)</f>
        <v>0</v>
      </c>
      <c r="I772" s="10" t="str">
        <f>VLOOKUP($B772,Chronologie[],2,TRUE)</f>
        <v>--</v>
      </c>
      <c r="J772" s="243">
        <f>VLOOKUP($B772,Chronologie[],3,TRUE)</f>
        <v>0</v>
      </c>
      <c r="K772" s="237"/>
      <c r="L772" s="237"/>
      <c r="M772" s="237"/>
      <c r="N772" s="237"/>
      <c r="O772" s="237"/>
      <c r="P772" s="237"/>
      <c r="Q772" s="237"/>
      <c r="R772" s="237"/>
      <c r="S772" s="237"/>
      <c r="T772" s="237"/>
      <c r="U772" s="237"/>
      <c r="V772" s="237"/>
      <c r="W772" s="237"/>
      <c r="X772" s="38"/>
      <c r="Y772" s="38"/>
      <c r="Z772" s="38"/>
      <c r="AA772" s="38"/>
      <c r="AB772" s="91"/>
      <c r="AC772" s="94" t="str">
        <f>IF(Eingabe[[#This Row],[V1]]="",IF(Eingabe[[#This Row],[Volle alternativ]]="","",Eingabe[[#This Row],[Volle alternativ]]),SUM(Eingabe[[#This Row],[V1]:[V4]]))</f>
        <v/>
      </c>
      <c r="AD772" s="6" t="str">
        <f>IF(Eingabe[[#This Row],[R1]]="",IF(Eingabe[[#This Row],[Räumer alternativ]]="","",Eingabe[[#This Row],[Räumer alternativ]]),SUM(Eingabe[[#This Row],[R1]:[R4]]))</f>
        <v/>
      </c>
      <c r="AE772" s="6" t="str">
        <f>IF(Eingabe[[#This Row],[F1]]="",IF(Eingabe[[#This Row],[Fehler alternativ]]="","",Eingabe[[#This Row],[Fehler alternativ]]),SUM(Eingabe[[#This Row],[F1]:[F4]]))</f>
        <v/>
      </c>
      <c r="AF772" s="6" t="str">
        <f>IF(Eingabe[[#This Row],[Volle]]="","",IF(Eingabe[[#This Row],[S1]]="",Eingabe[[#This Row],[Volle]]+Eingabe[[#This Row],[Räumer]],IF(Eingabe[[#This Row],[Volle]]+Eingabe[[#This Row],[Räumer]]=Eingabe[[#This Row],[S1]]+Eingabe[[#This Row],[S2]]+Eingabe[[#This Row],[S3]]+Eingabe[[#This Row],[S4]],Eingabe[[#This Row],[Volle]]+Eingabe[[#This Row],[Räumer]],"FEHLER")))</f>
        <v/>
      </c>
      <c r="AG772" s="6" t="str">
        <f>IF(Eingabe[[#This Row],[V1]]="","",Eingabe[[#This Row],[V1]]+Eingabe[[#This Row],[R1]])</f>
        <v/>
      </c>
      <c r="AH772" s="6" t="str">
        <f>IF(Eingabe[[#This Row],[V2]]="","",Eingabe[[#This Row],[V2]]+Eingabe[[#This Row],[R2]])</f>
        <v/>
      </c>
      <c r="AI772" s="6" t="str">
        <f>IF(Eingabe[[#This Row],[V3]]="","",Eingabe[[#This Row],[V3]]+Eingabe[[#This Row],[R3]])</f>
        <v/>
      </c>
      <c r="AJ772" s="6" t="str">
        <f>IF(Eingabe[[#This Row],[V4]]="","",Eingabe[[#This Row],[V4]]+Eingabe[[#This Row],[R4]])</f>
        <v/>
      </c>
      <c r="AK772" s="6" t="str">
        <f>IF(Eingabe[[#This Row],[S1P]]="","",Eingabe[[#This Row],[S1P]]+Eingabe[[#This Row],[S2P]]+Eingabe[[#This Row],[S3P]]+Eingabe[[#This Row],[S4P]])</f>
        <v/>
      </c>
      <c r="AL772" s="6" t="str">
        <f>IF(Eingabe[[#This Row],[S1P]]="","",IF(Eingabe[[#This Row],[SP]]&gt;2,1,IF(Eingabe[[#This Row],[SP]]&lt;2,0,IF(Eingabe[[#This Row],[GES]]&gt;Eingabe[[#This Row],[GEGGES]],1,IF(Eingabe[[#This Row],[GES]]=Eingabe[[#This Row],[GEGGES]],0.5,0)))))</f>
        <v/>
      </c>
      <c r="AM772" s="6" t="str">
        <f>IF(Eingabe[[#This Row],[MP]]="","",MOD(ROW(Eingabe[[#This Row],[Position]])-3,6)+1)</f>
        <v/>
      </c>
      <c r="AN772" s="6" t="e">
        <f>STANDARDIZE(Eingabe[[#This Row],[GES]],Eingabe[[#This Row],[Schnitt]],VLOOKUP(Eingabe[[#This Row],[Name]],AuswertungG[],21,FALSE))</f>
        <v>#VALUE!</v>
      </c>
      <c r="AO772" s="6" t="str">
        <f>VLOOKUP(Eingabe[[#This Row],[ID]],Chronologie[[ID]:[KW]],12,FALSE)</f>
        <v/>
      </c>
      <c r="AP772" s="95">
        <f>IF(Eingabe[[#This Row],[Wo]]="H",Eingabe[[#This Row],[Gegner]]&amp;" ["&amp;Eingabe[[#This Row],[Wo]]&amp;"]",Eingabe[[#This Row],[Ort]])</f>
        <v>0</v>
      </c>
      <c r="AQ772" s="6" t="str">
        <f>IFERROR(IF(Eingabe[[#This Row],[Wo]]="H",IF(MOD(Eingabe[[#This Row],[Position]],2)=1,Eingabe[[#This Row],[S1]],Eingabe[[#This Row],[S4]]),""),"")</f>
        <v/>
      </c>
      <c r="AR772" s="6" t="str">
        <f>IFERROR(IF(Eingabe[[#This Row],[Wo]]="H",IF(Eingabe[[#This Row],[S1]]&gt;0,IF(MOD(Eingabe[[#This Row],[Position]],2)=1,Eingabe[[#This Row],[S2]],Eingabe[[#This Row],[S3]]),""),""),"")</f>
        <v/>
      </c>
      <c r="AS772" s="6" t="str">
        <f>IFERROR(IF(Eingabe[[#This Row],[Wo]]="H",IF(Eingabe[[#This Row],[S1]]&gt;0,IF(MOD(ROW(Eingabe[[#This Row],[Heimbahn 3]]),2)=1,Eingabe[[#This Row],[S4]],Eingabe[[#This Row],[S1]]),""),""),"")</f>
        <v/>
      </c>
      <c r="AT772" s="6" t="str">
        <f>IFERROR(IF(Eingabe[[#This Row],[Wo]]="H",IF(Eingabe[[#This Row],[S1]]&gt;0,IF(MOD(ROW(Eingabe[[#This Row],[Heimbahn 4]]),2)=1,Eingabe[[#This Row],[S3]],Eingabe[[#This Row],[S2]]),""),""),"")</f>
        <v/>
      </c>
      <c r="AU772" s="22" t="str">
        <f>IF(Eingabe[[#This Row],[GES]]="","",IF(Eingabe[[#This Row],[Modus]]="L",_xlfn.RANK.EQ(Eingabe[[#This Row],[GES]],AF771:AF776),IF(Eingabe[[#This Row],[Modus]]="P",_xlfn.RANK.EQ(Eingabe[[#This Row],[GES]],AF771:AF776),"")))</f>
        <v/>
      </c>
      <c r="AV772" s="6" t="e">
        <f>VLOOKUP(Eingabe[[#This Row],[Name]],AuswertungG[],8,FALSE)</f>
        <v>#N/A</v>
      </c>
      <c r="AZ772" s="6" t="str">
        <f>IFERROR(ABS(Eingabe[[#This Row],[GES]]-Eingabe[[#This Row],[GEGGES]]),"")</f>
        <v/>
      </c>
    </row>
    <row r="773" spans="1:52" hidden="1" x14ac:dyDescent="0.3">
      <c r="A773" s="441"/>
      <c r="B773" s="21">
        <f t="shared" si="87"/>
        <v>129</v>
      </c>
      <c r="C773" s="6">
        <f>VLOOKUP($B773,Chronologie[],7,TRUE)</f>
        <v>0</v>
      </c>
      <c r="D773" s="6">
        <f>VLOOKUP($B773,Chronologie[],8,TRUE)</f>
        <v>0</v>
      </c>
      <c r="E773" s="240">
        <f>VLOOKUP($B773,Chronologie[],9,TRUE)</f>
        <v>0</v>
      </c>
      <c r="F773" s="6">
        <f>VLOOKUP($B773,Chronologie[],COLUMN(F774)-2,TRUE)</f>
        <v>0</v>
      </c>
      <c r="G773" s="6">
        <f>VLOOKUP($B773,Chronologie[],COLUMN(G774)-2,TRUE)</f>
        <v>0</v>
      </c>
      <c r="H773" s="6">
        <f>VLOOKUP($B773,Chronologie[],COLUMN(H774)-2,TRUE)</f>
        <v>0</v>
      </c>
      <c r="I773" s="10" t="str">
        <f>VLOOKUP($B773,Chronologie[],2,TRUE)</f>
        <v>--</v>
      </c>
      <c r="J773" s="243">
        <f>VLOOKUP($B773,Chronologie[],3,TRUE)</f>
        <v>0</v>
      </c>
      <c r="K773" s="237"/>
      <c r="L773" s="237"/>
      <c r="M773" s="237"/>
      <c r="N773" s="237"/>
      <c r="O773" s="237"/>
      <c r="P773" s="237"/>
      <c r="Q773" s="237"/>
      <c r="R773" s="237"/>
      <c r="S773" s="237"/>
      <c r="T773" s="237"/>
      <c r="U773" s="237"/>
      <c r="V773" s="237"/>
      <c r="W773" s="237"/>
      <c r="X773" s="38"/>
      <c r="Y773" s="38"/>
      <c r="Z773" s="38"/>
      <c r="AA773" s="38"/>
      <c r="AB773" s="91"/>
      <c r="AC773" s="94" t="str">
        <f>IF(Eingabe[[#This Row],[V1]]="",IF(Eingabe[[#This Row],[Volle alternativ]]="","",Eingabe[[#This Row],[Volle alternativ]]),SUM(Eingabe[[#This Row],[V1]:[V4]]))</f>
        <v/>
      </c>
      <c r="AD773" s="6" t="str">
        <f>IF(Eingabe[[#This Row],[R1]]="",IF(Eingabe[[#This Row],[Räumer alternativ]]="","",Eingabe[[#This Row],[Räumer alternativ]]),SUM(Eingabe[[#This Row],[R1]:[R4]]))</f>
        <v/>
      </c>
      <c r="AE773" s="6" t="str">
        <f>IF(Eingabe[[#This Row],[F1]]="",IF(Eingabe[[#This Row],[Fehler alternativ]]="","",Eingabe[[#This Row],[Fehler alternativ]]),SUM(Eingabe[[#This Row],[F1]:[F4]]))</f>
        <v/>
      </c>
      <c r="AF773" s="6" t="str">
        <f>IF(Eingabe[[#This Row],[Volle]]="","",IF(Eingabe[[#This Row],[S1]]="",Eingabe[[#This Row],[Volle]]+Eingabe[[#This Row],[Räumer]],IF(Eingabe[[#This Row],[Volle]]+Eingabe[[#This Row],[Räumer]]=Eingabe[[#This Row],[S1]]+Eingabe[[#This Row],[S2]]+Eingabe[[#This Row],[S3]]+Eingabe[[#This Row],[S4]],Eingabe[[#This Row],[Volle]]+Eingabe[[#This Row],[Räumer]],"FEHLER")))</f>
        <v/>
      </c>
      <c r="AG773" s="6" t="str">
        <f>IF(Eingabe[[#This Row],[V1]]="","",Eingabe[[#This Row],[V1]]+Eingabe[[#This Row],[R1]])</f>
        <v/>
      </c>
      <c r="AH773" s="6" t="str">
        <f>IF(Eingabe[[#This Row],[V2]]="","",Eingabe[[#This Row],[V2]]+Eingabe[[#This Row],[R2]])</f>
        <v/>
      </c>
      <c r="AI773" s="6" t="str">
        <f>IF(Eingabe[[#This Row],[V3]]="","",Eingabe[[#This Row],[V3]]+Eingabe[[#This Row],[R3]])</f>
        <v/>
      </c>
      <c r="AJ773" s="6" t="str">
        <f>IF(Eingabe[[#This Row],[V4]]="","",Eingabe[[#This Row],[V4]]+Eingabe[[#This Row],[R4]])</f>
        <v/>
      </c>
      <c r="AK773" s="6" t="str">
        <f>IF(Eingabe[[#This Row],[S1P]]="","",Eingabe[[#This Row],[S1P]]+Eingabe[[#This Row],[S2P]]+Eingabe[[#This Row],[S3P]]+Eingabe[[#This Row],[S4P]])</f>
        <v/>
      </c>
      <c r="AL773" s="6" t="str">
        <f>IF(Eingabe[[#This Row],[S1P]]="","",IF(Eingabe[[#This Row],[SP]]&gt;2,1,IF(Eingabe[[#This Row],[SP]]&lt;2,0,IF(Eingabe[[#This Row],[GES]]&gt;Eingabe[[#This Row],[GEGGES]],1,IF(Eingabe[[#This Row],[GES]]=Eingabe[[#This Row],[GEGGES]],0.5,0)))))</f>
        <v/>
      </c>
      <c r="AM773" s="6" t="str">
        <f>IF(Eingabe[[#This Row],[MP]]="","",MOD(ROW(Eingabe[[#This Row],[Position]])-3,6)+1)</f>
        <v/>
      </c>
      <c r="AN773" s="6" t="e">
        <f>STANDARDIZE(Eingabe[[#This Row],[GES]],Eingabe[[#This Row],[Schnitt]],VLOOKUP(Eingabe[[#This Row],[Name]],AuswertungG[],21,FALSE))</f>
        <v>#VALUE!</v>
      </c>
      <c r="AO773" s="6" t="str">
        <f>VLOOKUP(Eingabe[[#This Row],[ID]],Chronologie[[ID]:[KW]],12,FALSE)</f>
        <v/>
      </c>
      <c r="AP773" s="95">
        <f>IF(Eingabe[[#This Row],[Wo]]="H",Eingabe[[#This Row],[Gegner]]&amp;" ["&amp;Eingabe[[#This Row],[Wo]]&amp;"]",Eingabe[[#This Row],[Ort]])</f>
        <v>0</v>
      </c>
      <c r="AQ773" s="6" t="str">
        <f>IFERROR(IF(Eingabe[[#This Row],[Wo]]="H",IF(MOD(Eingabe[[#This Row],[Position]],2)=1,Eingabe[[#This Row],[S1]],Eingabe[[#This Row],[S4]]),""),"")</f>
        <v/>
      </c>
      <c r="AR773" s="6" t="str">
        <f>IFERROR(IF(Eingabe[[#This Row],[Wo]]="H",IF(Eingabe[[#This Row],[S1]]&gt;0,IF(MOD(Eingabe[[#This Row],[Position]],2)=1,Eingabe[[#This Row],[S2]],Eingabe[[#This Row],[S3]]),""),""),"")</f>
        <v/>
      </c>
      <c r="AS773" s="6" t="str">
        <f>IFERROR(IF(Eingabe[[#This Row],[Wo]]="H",IF(Eingabe[[#This Row],[S1]]&gt;0,IF(MOD(ROW(Eingabe[[#This Row],[Heimbahn 3]]),2)=1,Eingabe[[#This Row],[S4]],Eingabe[[#This Row],[S1]]),""),""),"")</f>
        <v/>
      </c>
      <c r="AT773" s="6" t="str">
        <f>IFERROR(IF(Eingabe[[#This Row],[Wo]]="H",IF(Eingabe[[#This Row],[S1]]&gt;0,IF(MOD(ROW(Eingabe[[#This Row],[Heimbahn 4]]),2)=1,Eingabe[[#This Row],[S3]],Eingabe[[#This Row],[S2]]),""),""),"")</f>
        <v/>
      </c>
      <c r="AU773" s="22" t="str">
        <f>IF(Eingabe[[#This Row],[GES]]="","",IF(Eingabe[[#This Row],[Modus]]="L",_xlfn.RANK.EQ(Eingabe[[#This Row],[GES]],AF771:AF776),IF(Eingabe[[#This Row],[Modus]]="P",_xlfn.RANK.EQ(Eingabe[[#This Row],[GES]],AF771:AF776),"")))</f>
        <v/>
      </c>
      <c r="AV773" s="6" t="e">
        <f>VLOOKUP(Eingabe[[#This Row],[Name]],AuswertungG[],8,FALSE)</f>
        <v>#N/A</v>
      </c>
      <c r="AZ773" s="6" t="str">
        <f>IFERROR(ABS(Eingabe[[#This Row],[GES]]-Eingabe[[#This Row],[GEGGES]]),"")</f>
        <v/>
      </c>
    </row>
    <row r="774" spans="1:52" hidden="1" x14ac:dyDescent="0.3">
      <c r="A774" s="441"/>
      <c r="B774" s="21">
        <f t="shared" si="87"/>
        <v>129</v>
      </c>
      <c r="C774" s="6">
        <f>VLOOKUP($B774,Chronologie[],7,TRUE)</f>
        <v>0</v>
      </c>
      <c r="D774" s="6">
        <f>VLOOKUP($B774,Chronologie[],8,TRUE)</f>
        <v>0</v>
      </c>
      <c r="E774" s="240">
        <f>VLOOKUP($B774,Chronologie[],9,TRUE)</f>
        <v>0</v>
      </c>
      <c r="F774" s="6">
        <f>VLOOKUP($B774,Chronologie[],COLUMN(F775)-2,TRUE)</f>
        <v>0</v>
      </c>
      <c r="G774" s="6">
        <f>VLOOKUP($B774,Chronologie[],COLUMN(G775)-2,TRUE)</f>
        <v>0</v>
      </c>
      <c r="H774" s="6">
        <f>VLOOKUP($B774,Chronologie[],COLUMN(H775)-2,TRUE)</f>
        <v>0</v>
      </c>
      <c r="I774" s="10" t="str">
        <f>VLOOKUP($B774,Chronologie[],2,TRUE)</f>
        <v>--</v>
      </c>
      <c r="J774" s="243">
        <f>VLOOKUP($B774,Chronologie[],3,TRUE)</f>
        <v>0</v>
      </c>
      <c r="K774" s="238"/>
      <c r="L774" s="237"/>
      <c r="M774" s="237"/>
      <c r="N774" s="237"/>
      <c r="O774" s="237"/>
      <c r="P774" s="237"/>
      <c r="Q774" s="237"/>
      <c r="R774" s="237"/>
      <c r="S774" s="237"/>
      <c r="T774" s="237"/>
      <c r="U774" s="237"/>
      <c r="V774" s="237"/>
      <c r="W774" s="237"/>
      <c r="X774" s="38"/>
      <c r="Y774" s="38"/>
      <c r="Z774" s="38"/>
      <c r="AA774" s="38"/>
      <c r="AB774" s="91"/>
      <c r="AC774" s="94" t="str">
        <f>IF(Eingabe[[#This Row],[V1]]="",IF(Eingabe[[#This Row],[Volle alternativ]]="","",Eingabe[[#This Row],[Volle alternativ]]),SUM(Eingabe[[#This Row],[V1]:[V4]]))</f>
        <v/>
      </c>
      <c r="AD774" s="6" t="str">
        <f>IF(Eingabe[[#This Row],[R1]]="",IF(Eingabe[[#This Row],[Räumer alternativ]]="","",Eingabe[[#This Row],[Räumer alternativ]]),SUM(Eingabe[[#This Row],[R1]:[R4]]))</f>
        <v/>
      </c>
      <c r="AE774" s="6" t="str">
        <f>IF(Eingabe[[#This Row],[F1]]="",IF(Eingabe[[#This Row],[Fehler alternativ]]="","",Eingabe[[#This Row],[Fehler alternativ]]),SUM(Eingabe[[#This Row],[F1]:[F4]]))</f>
        <v/>
      </c>
      <c r="AF774" s="6" t="str">
        <f>IF(Eingabe[[#This Row],[Volle]]="","",IF(Eingabe[[#This Row],[S1]]="",Eingabe[[#This Row],[Volle]]+Eingabe[[#This Row],[Räumer]],IF(Eingabe[[#This Row],[Volle]]+Eingabe[[#This Row],[Räumer]]=Eingabe[[#This Row],[S1]]+Eingabe[[#This Row],[S2]]+Eingabe[[#This Row],[S3]]+Eingabe[[#This Row],[S4]],Eingabe[[#This Row],[Volle]]+Eingabe[[#This Row],[Räumer]],"FEHLER")))</f>
        <v/>
      </c>
      <c r="AG774" s="6" t="str">
        <f>IF(Eingabe[[#This Row],[V1]]="","",Eingabe[[#This Row],[V1]]+Eingabe[[#This Row],[R1]])</f>
        <v/>
      </c>
      <c r="AH774" s="6" t="str">
        <f>IF(Eingabe[[#This Row],[V2]]="","",Eingabe[[#This Row],[V2]]+Eingabe[[#This Row],[R2]])</f>
        <v/>
      </c>
      <c r="AI774" s="6" t="str">
        <f>IF(Eingabe[[#This Row],[V3]]="","",Eingabe[[#This Row],[V3]]+Eingabe[[#This Row],[R3]])</f>
        <v/>
      </c>
      <c r="AJ774" s="6" t="str">
        <f>IF(Eingabe[[#This Row],[V4]]="","",Eingabe[[#This Row],[V4]]+Eingabe[[#This Row],[R4]])</f>
        <v/>
      </c>
      <c r="AK774" s="6" t="str">
        <f>IF(Eingabe[[#This Row],[S1P]]="","",Eingabe[[#This Row],[S1P]]+Eingabe[[#This Row],[S2P]]+Eingabe[[#This Row],[S3P]]+Eingabe[[#This Row],[S4P]])</f>
        <v/>
      </c>
      <c r="AL774" s="6" t="str">
        <f>IF(Eingabe[[#This Row],[S1P]]="","",IF(Eingabe[[#This Row],[SP]]&gt;2,1,IF(Eingabe[[#This Row],[SP]]&lt;2,0,IF(Eingabe[[#This Row],[GES]]&gt;Eingabe[[#This Row],[GEGGES]],1,IF(Eingabe[[#This Row],[GES]]=Eingabe[[#This Row],[GEGGES]],0.5,0)))))</f>
        <v/>
      </c>
      <c r="AM774" s="6" t="str">
        <f>IF(Eingabe[[#This Row],[MP]]="","",MOD(ROW(Eingabe[[#This Row],[Position]])-3,6)+1)</f>
        <v/>
      </c>
      <c r="AN774" s="6" t="e">
        <f>STANDARDIZE(Eingabe[[#This Row],[GES]],Eingabe[[#This Row],[Schnitt]],VLOOKUP(Eingabe[[#This Row],[Name]],AuswertungG[],21,FALSE))</f>
        <v>#VALUE!</v>
      </c>
      <c r="AO774" s="6" t="str">
        <f>VLOOKUP(Eingabe[[#This Row],[ID]],Chronologie[[ID]:[KW]],12,FALSE)</f>
        <v/>
      </c>
      <c r="AP774" s="95">
        <f>IF(Eingabe[[#This Row],[Wo]]="H",Eingabe[[#This Row],[Gegner]]&amp;" ["&amp;Eingabe[[#This Row],[Wo]]&amp;"]",Eingabe[[#This Row],[Ort]])</f>
        <v>0</v>
      </c>
      <c r="AQ774" s="6" t="str">
        <f>IFERROR(IF(Eingabe[[#This Row],[Wo]]="H",IF(MOD(Eingabe[[#This Row],[Position]],2)=1,Eingabe[[#This Row],[S1]],Eingabe[[#This Row],[S4]]),""),"")</f>
        <v/>
      </c>
      <c r="AR774" s="6" t="str">
        <f>IFERROR(IF(Eingabe[[#This Row],[Wo]]="H",IF(Eingabe[[#This Row],[S1]]&gt;0,IF(MOD(Eingabe[[#This Row],[Position]],2)=1,Eingabe[[#This Row],[S2]],Eingabe[[#This Row],[S3]]),""),""),"")</f>
        <v/>
      </c>
      <c r="AS774" s="6" t="str">
        <f>IFERROR(IF(Eingabe[[#This Row],[Wo]]="H",IF(Eingabe[[#This Row],[S1]]&gt;0,IF(MOD(ROW(Eingabe[[#This Row],[Heimbahn 3]]),2)=1,Eingabe[[#This Row],[S4]],Eingabe[[#This Row],[S1]]),""),""),"")</f>
        <v/>
      </c>
      <c r="AT774" s="6" t="str">
        <f>IFERROR(IF(Eingabe[[#This Row],[Wo]]="H",IF(Eingabe[[#This Row],[S1]]&gt;0,IF(MOD(ROW(Eingabe[[#This Row],[Heimbahn 4]]),2)=1,Eingabe[[#This Row],[S3]],Eingabe[[#This Row],[S2]]),""),""),"")</f>
        <v/>
      </c>
      <c r="AU774" s="22" t="str">
        <f>IF(Eingabe[[#This Row],[GES]]="","",IF(Eingabe[[#This Row],[Modus]]="L",_xlfn.RANK.EQ(Eingabe[[#This Row],[GES]],AF771:AF776),IF(Eingabe[[#This Row],[Modus]]="P",_xlfn.RANK.EQ(Eingabe[[#This Row],[GES]],AF771:AF776),"")))</f>
        <v/>
      </c>
      <c r="AV774" s="6" t="e">
        <f>VLOOKUP(Eingabe[[#This Row],[Name]],AuswertungG[],8,FALSE)</f>
        <v>#N/A</v>
      </c>
      <c r="AZ774" s="6" t="str">
        <f>IFERROR(ABS(Eingabe[[#This Row],[GES]]-Eingabe[[#This Row],[GEGGES]]),"")</f>
        <v/>
      </c>
    </row>
    <row r="775" spans="1:52" hidden="1" x14ac:dyDescent="0.3">
      <c r="A775" s="441"/>
      <c r="B775" s="21">
        <f t="shared" si="87"/>
        <v>129</v>
      </c>
      <c r="C775" s="6">
        <f>VLOOKUP($B775,Chronologie[],7,TRUE)</f>
        <v>0</v>
      </c>
      <c r="D775" s="6">
        <f>VLOOKUP($B775,Chronologie[],8,TRUE)</f>
        <v>0</v>
      </c>
      <c r="E775" s="240">
        <f>VLOOKUP($B775,Chronologie[],9,TRUE)</f>
        <v>0</v>
      </c>
      <c r="F775" s="6">
        <f>VLOOKUP($B775,Chronologie[],COLUMN(F776)-2,TRUE)</f>
        <v>0</v>
      </c>
      <c r="G775" s="6">
        <f>VLOOKUP($B775,Chronologie[],COLUMN(G776)-2,TRUE)</f>
        <v>0</v>
      </c>
      <c r="H775" s="6">
        <f>VLOOKUP($B775,Chronologie[],COLUMN(H776)-2,TRUE)</f>
        <v>0</v>
      </c>
      <c r="I775" s="10" t="str">
        <f>VLOOKUP($B775,Chronologie[],2,TRUE)</f>
        <v>--</v>
      </c>
      <c r="J775" s="243">
        <f>VLOOKUP($B775,Chronologie[],3,TRUE)</f>
        <v>0</v>
      </c>
      <c r="K775" s="237"/>
      <c r="L775" s="237"/>
      <c r="M775" s="237"/>
      <c r="N775" s="237"/>
      <c r="O775" s="237"/>
      <c r="P775" s="237"/>
      <c r="Q775" s="237"/>
      <c r="R775" s="237"/>
      <c r="S775" s="237"/>
      <c r="T775" s="237"/>
      <c r="U775" s="237"/>
      <c r="V775" s="237"/>
      <c r="W775" s="237"/>
      <c r="X775" s="38"/>
      <c r="Y775" s="38"/>
      <c r="Z775" s="38"/>
      <c r="AA775" s="38"/>
      <c r="AB775" s="91"/>
      <c r="AC775" s="94" t="str">
        <f>IF(Eingabe[[#This Row],[V1]]="",IF(Eingabe[[#This Row],[Volle alternativ]]="","",Eingabe[[#This Row],[Volle alternativ]]),SUM(Eingabe[[#This Row],[V1]:[V4]]))</f>
        <v/>
      </c>
      <c r="AD775" s="6" t="str">
        <f>IF(Eingabe[[#This Row],[R1]]="",IF(Eingabe[[#This Row],[Räumer alternativ]]="","",Eingabe[[#This Row],[Räumer alternativ]]),SUM(Eingabe[[#This Row],[R1]:[R4]]))</f>
        <v/>
      </c>
      <c r="AE775" s="6" t="str">
        <f>IF(Eingabe[[#This Row],[F1]]="",IF(Eingabe[[#This Row],[Fehler alternativ]]="","",Eingabe[[#This Row],[Fehler alternativ]]),SUM(Eingabe[[#This Row],[F1]:[F4]]))</f>
        <v/>
      </c>
      <c r="AF775" s="6" t="str">
        <f>IF(Eingabe[[#This Row],[Volle]]="","",IF(Eingabe[[#This Row],[S1]]="",Eingabe[[#This Row],[Volle]]+Eingabe[[#This Row],[Räumer]],IF(Eingabe[[#This Row],[Volle]]+Eingabe[[#This Row],[Räumer]]=Eingabe[[#This Row],[S1]]+Eingabe[[#This Row],[S2]]+Eingabe[[#This Row],[S3]]+Eingabe[[#This Row],[S4]],Eingabe[[#This Row],[Volle]]+Eingabe[[#This Row],[Räumer]],"FEHLER")))</f>
        <v/>
      </c>
      <c r="AG775" s="6" t="str">
        <f>IF(Eingabe[[#This Row],[V1]]="","",Eingabe[[#This Row],[V1]]+Eingabe[[#This Row],[R1]])</f>
        <v/>
      </c>
      <c r="AH775" s="6" t="str">
        <f>IF(Eingabe[[#This Row],[V2]]="","",Eingabe[[#This Row],[V2]]+Eingabe[[#This Row],[R2]])</f>
        <v/>
      </c>
      <c r="AI775" s="6" t="str">
        <f>IF(Eingabe[[#This Row],[V3]]="","",Eingabe[[#This Row],[V3]]+Eingabe[[#This Row],[R3]])</f>
        <v/>
      </c>
      <c r="AJ775" s="6" t="str">
        <f>IF(Eingabe[[#This Row],[V4]]="","",Eingabe[[#This Row],[V4]]+Eingabe[[#This Row],[R4]])</f>
        <v/>
      </c>
      <c r="AK775" s="6" t="str">
        <f>IF(Eingabe[[#This Row],[S1P]]="","",Eingabe[[#This Row],[S1P]]+Eingabe[[#This Row],[S2P]]+Eingabe[[#This Row],[S3P]]+Eingabe[[#This Row],[S4P]])</f>
        <v/>
      </c>
      <c r="AL775" s="6" t="str">
        <f>IF(Eingabe[[#This Row],[S1P]]="","",IF(Eingabe[[#This Row],[SP]]&gt;2,1,IF(Eingabe[[#This Row],[SP]]&lt;2,0,IF(Eingabe[[#This Row],[GES]]&gt;Eingabe[[#This Row],[GEGGES]],1,IF(Eingabe[[#This Row],[GES]]=Eingabe[[#This Row],[GEGGES]],0.5,0)))))</f>
        <v/>
      </c>
      <c r="AM775" s="6" t="str">
        <f>IF(Eingabe[[#This Row],[MP]]="","",MOD(ROW(Eingabe[[#This Row],[Position]])-3,6)+1)</f>
        <v/>
      </c>
      <c r="AN775" s="6" t="e">
        <f>STANDARDIZE(Eingabe[[#This Row],[GES]],Eingabe[[#This Row],[Schnitt]],VLOOKUP(Eingabe[[#This Row],[Name]],AuswertungG[],21,FALSE))</f>
        <v>#VALUE!</v>
      </c>
      <c r="AO775" s="6" t="str">
        <f>VLOOKUP(Eingabe[[#This Row],[ID]],Chronologie[[ID]:[KW]],12,FALSE)</f>
        <v/>
      </c>
      <c r="AP775" s="95">
        <f>IF(Eingabe[[#This Row],[Wo]]="H",Eingabe[[#This Row],[Gegner]]&amp;" ["&amp;Eingabe[[#This Row],[Wo]]&amp;"]",Eingabe[[#This Row],[Ort]])</f>
        <v>0</v>
      </c>
      <c r="AQ775" s="6" t="str">
        <f>IFERROR(IF(Eingabe[[#This Row],[Wo]]="H",IF(MOD(Eingabe[[#This Row],[Position]],2)=1,Eingabe[[#This Row],[S1]],Eingabe[[#This Row],[S4]]),""),"")</f>
        <v/>
      </c>
      <c r="AR775" s="6" t="str">
        <f>IFERROR(IF(Eingabe[[#This Row],[Wo]]="H",IF(Eingabe[[#This Row],[S1]]&gt;0,IF(MOD(Eingabe[[#This Row],[Position]],2)=1,Eingabe[[#This Row],[S2]],Eingabe[[#This Row],[S3]]),""),""),"")</f>
        <v/>
      </c>
      <c r="AS775" s="6" t="str">
        <f>IFERROR(IF(Eingabe[[#This Row],[Wo]]="H",IF(Eingabe[[#This Row],[S1]]&gt;0,IF(MOD(ROW(Eingabe[[#This Row],[Heimbahn 3]]),2)=1,Eingabe[[#This Row],[S4]],Eingabe[[#This Row],[S1]]),""),""),"")</f>
        <v/>
      </c>
      <c r="AT775" s="6" t="str">
        <f>IFERROR(IF(Eingabe[[#This Row],[Wo]]="H",IF(Eingabe[[#This Row],[S1]]&gt;0,IF(MOD(ROW(Eingabe[[#This Row],[Heimbahn 4]]),2)=1,Eingabe[[#This Row],[S3]],Eingabe[[#This Row],[S2]]),""),""),"")</f>
        <v/>
      </c>
      <c r="AU775" s="22" t="str">
        <f>IF(Eingabe[[#This Row],[GES]]="","",IF(Eingabe[[#This Row],[Modus]]="L",_xlfn.RANK.EQ(Eingabe[[#This Row],[GES]],AF771:AF776),IF(Eingabe[[#This Row],[Modus]]="P",_xlfn.RANK.EQ(Eingabe[[#This Row],[GES]],AF771:AF776),"")))</f>
        <v/>
      </c>
      <c r="AV775" s="6" t="e">
        <f>VLOOKUP(Eingabe[[#This Row],[Name]],AuswertungG[],8,FALSE)</f>
        <v>#N/A</v>
      </c>
      <c r="AZ775" s="6" t="str">
        <f>IFERROR(ABS(Eingabe[[#This Row],[GES]]-Eingabe[[#This Row],[GEGGES]]),"")</f>
        <v/>
      </c>
    </row>
    <row r="776" spans="1:52" ht="16.2" hidden="1" thickBot="1" x14ac:dyDescent="0.35">
      <c r="A776" s="442"/>
      <c r="B776" s="56">
        <f t="shared" si="87"/>
        <v>129</v>
      </c>
      <c r="C776" s="23">
        <f>VLOOKUP($B776,Chronologie[],7,TRUE)</f>
        <v>0</v>
      </c>
      <c r="D776" s="23">
        <f>VLOOKUP($B776,Chronologie[],8,TRUE)</f>
        <v>0</v>
      </c>
      <c r="E776" s="39">
        <f>VLOOKUP($B776,Chronologie[],9,TRUE)</f>
        <v>0</v>
      </c>
      <c r="F776" s="23">
        <f>VLOOKUP($B776,Chronologie[],COLUMN(F777)-2,TRUE)</f>
        <v>0</v>
      </c>
      <c r="G776" s="23">
        <f>VLOOKUP($B776,Chronologie[],COLUMN(G777)-2,TRUE)</f>
        <v>0</v>
      </c>
      <c r="H776" s="23">
        <f>VLOOKUP($B776,Chronologie[],COLUMN(H777)-2,TRUE)</f>
        <v>0</v>
      </c>
      <c r="I776" s="13" t="str">
        <f>VLOOKUP($B776,Chronologie[],2,TRUE)</f>
        <v>--</v>
      </c>
      <c r="J776" s="244">
        <f>VLOOKUP($B776,Chronologie[],3,TRUE)</f>
        <v>0</v>
      </c>
      <c r="K776" s="239"/>
      <c r="L776" s="239"/>
      <c r="M776" s="239"/>
      <c r="N776" s="239"/>
      <c r="O776" s="239"/>
      <c r="P776" s="239"/>
      <c r="Q776" s="239"/>
      <c r="R776" s="239"/>
      <c r="S776" s="239"/>
      <c r="T776" s="239"/>
      <c r="U776" s="239"/>
      <c r="V776" s="239"/>
      <c r="W776" s="239"/>
      <c r="X776" s="40"/>
      <c r="Y776" s="40"/>
      <c r="Z776" s="40"/>
      <c r="AA776" s="40"/>
      <c r="AB776" s="92"/>
      <c r="AC776" s="96" t="str">
        <f>IF(Eingabe[[#This Row],[V1]]="",IF(Eingabe[[#This Row],[Volle alternativ]]="","",Eingabe[[#This Row],[Volle alternativ]]),SUM(Eingabe[[#This Row],[V1]:[V4]]))</f>
        <v/>
      </c>
      <c r="AD776" s="23" t="str">
        <f>IF(Eingabe[[#This Row],[R1]]="",IF(Eingabe[[#This Row],[Räumer alternativ]]="","",Eingabe[[#This Row],[Räumer alternativ]]),SUM(Eingabe[[#This Row],[R1]:[R4]]))</f>
        <v/>
      </c>
      <c r="AE776" s="23" t="str">
        <f>IF(Eingabe[[#This Row],[F1]]="",IF(Eingabe[[#This Row],[Fehler alternativ]]="","",Eingabe[[#This Row],[Fehler alternativ]]),SUM(Eingabe[[#This Row],[F1]:[F4]]))</f>
        <v/>
      </c>
      <c r="AF776" s="23" t="str">
        <f>IF(Eingabe[[#This Row],[Volle]]="","",IF(Eingabe[[#This Row],[S1]]="",Eingabe[[#This Row],[Volle]]+Eingabe[[#This Row],[Räumer]],IF(Eingabe[[#This Row],[Volle]]+Eingabe[[#This Row],[Räumer]]=Eingabe[[#This Row],[S1]]+Eingabe[[#This Row],[S2]]+Eingabe[[#This Row],[S3]]+Eingabe[[#This Row],[S4]],Eingabe[[#This Row],[Volle]]+Eingabe[[#This Row],[Räumer]],"FEHLER")))</f>
        <v/>
      </c>
      <c r="AG776" s="23" t="str">
        <f>IF(Eingabe[[#This Row],[V1]]="","",Eingabe[[#This Row],[V1]]+Eingabe[[#This Row],[R1]])</f>
        <v/>
      </c>
      <c r="AH776" s="23" t="str">
        <f>IF(Eingabe[[#This Row],[V2]]="","",Eingabe[[#This Row],[V2]]+Eingabe[[#This Row],[R2]])</f>
        <v/>
      </c>
      <c r="AI776" s="23" t="str">
        <f>IF(Eingabe[[#This Row],[V3]]="","",Eingabe[[#This Row],[V3]]+Eingabe[[#This Row],[R3]])</f>
        <v/>
      </c>
      <c r="AJ776" s="23" t="str">
        <f>IF(Eingabe[[#This Row],[V4]]="","",Eingabe[[#This Row],[V4]]+Eingabe[[#This Row],[R4]])</f>
        <v/>
      </c>
      <c r="AK776" s="23" t="str">
        <f>IF(Eingabe[[#This Row],[S1P]]="","",Eingabe[[#This Row],[S1P]]+Eingabe[[#This Row],[S2P]]+Eingabe[[#This Row],[S3P]]+Eingabe[[#This Row],[S4P]])</f>
        <v/>
      </c>
      <c r="AL776" s="23" t="str">
        <f>IF(Eingabe[[#This Row],[S1P]]="","",IF(Eingabe[[#This Row],[SP]]&gt;2,1,IF(Eingabe[[#This Row],[SP]]&lt;2,0,IF(Eingabe[[#This Row],[GES]]&gt;Eingabe[[#This Row],[GEGGES]],1,IF(Eingabe[[#This Row],[GES]]=Eingabe[[#This Row],[GEGGES]],0.5,0)))))</f>
        <v/>
      </c>
      <c r="AM776" s="23" t="str">
        <f>IF(Eingabe[[#This Row],[MP]]="","",MOD(ROW(Eingabe[[#This Row],[Position]])-3,6)+1)</f>
        <v/>
      </c>
      <c r="AN776" s="23" t="e">
        <f>STANDARDIZE(Eingabe[[#This Row],[GES]],Eingabe[[#This Row],[Schnitt]],VLOOKUP(Eingabe[[#This Row],[Name]],AuswertungG[],21,FALSE))</f>
        <v>#VALUE!</v>
      </c>
      <c r="AO776" s="23" t="str">
        <f>VLOOKUP(Eingabe[[#This Row],[ID]],Chronologie[[ID]:[KW]],12,FALSE)</f>
        <v/>
      </c>
      <c r="AP776" s="59">
        <f>IF(Eingabe[[#This Row],[Wo]]="H",Eingabe[[#This Row],[Gegner]]&amp;" ["&amp;Eingabe[[#This Row],[Wo]]&amp;"]",Eingabe[[#This Row],[Ort]])</f>
        <v>0</v>
      </c>
      <c r="AQ776" s="23" t="str">
        <f>IFERROR(IF(Eingabe[[#This Row],[Wo]]="H",IF(MOD(Eingabe[[#This Row],[Position]],2)=1,Eingabe[[#This Row],[S1]],Eingabe[[#This Row],[S4]]),""),"")</f>
        <v/>
      </c>
      <c r="AR776" s="23" t="str">
        <f>IFERROR(IF(Eingabe[[#This Row],[Wo]]="H",IF(Eingabe[[#This Row],[S1]]&gt;0,IF(MOD(Eingabe[[#This Row],[Position]],2)=1,Eingabe[[#This Row],[S2]],Eingabe[[#This Row],[S3]]),""),""),"")</f>
        <v/>
      </c>
      <c r="AS776" s="23" t="str">
        <f>IFERROR(IF(Eingabe[[#This Row],[Wo]]="H",IF(Eingabe[[#This Row],[S1]]&gt;0,IF(MOD(ROW(Eingabe[[#This Row],[Heimbahn 3]]),2)=1,Eingabe[[#This Row],[S4]],Eingabe[[#This Row],[S1]]),""),""),"")</f>
        <v/>
      </c>
      <c r="AT776" s="23" t="str">
        <f>IFERROR(IF(Eingabe[[#This Row],[Wo]]="H",IF(Eingabe[[#This Row],[S1]]&gt;0,IF(MOD(ROW(Eingabe[[#This Row],[Heimbahn 4]]),2)=1,Eingabe[[#This Row],[S3]],Eingabe[[#This Row],[S2]]),""),""),"")</f>
        <v/>
      </c>
      <c r="AU776" s="89" t="str">
        <f>IF(Eingabe[[#This Row],[GES]]="","",IF(Eingabe[[#This Row],[Modus]]="L",_xlfn.RANK.EQ(Eingabe[[#This Row],[GES]],AF771:AF776),IF(Eingabe[[#This Row],[Modus]]="P",_xlfn.RANK.EQ(Eingabe[[#This Row],[GES]],AF771:AF776),"")))</f>
        <v/>
      </c>
      <c r="AV776" s="6" t="e">
        <f>VLOOKUP(Eingabe[[#This Row],[Name]],AuswertungG[],8,FALSE)</f>
        <v>#N/A</v>
      </c>
      <c r="AZ776" s="6" t="str">
        <f>IFERROR(ABS(Eingabe[[#This Row],[GES]]-Eingabe[[#This Row],[GEGGES]]),"")</f>
        <v/>
      </c>
    </row>
    <row r="777" spans="1:52" hidden="1" x14ac:dyDescent="0.3">
      <c r="A777" s="440">
        <f t="shared" ref="A777" si="90">B777</f>
        <v>130</v>
      </c>
      <c r="B777" s="55">
        <f t="shared" si="87"/>
        <v>130</v>
      </c>
      <c r="C777" s="35">
        <f>VLOOKUP($B777,Chronologie[],7,TRUE)</f>
        <v>0</v>
      </c>
      <c r="D777" s="35">
        <f>VLOOKUP($B777,Chronologie[],8,TRUE)</f>
        <v>0</v>
      </c>
      <c r="E777" s="36">
        <f>VLOOKUP($B777,Chronologie[],9,TRUE)</f>
        <v>0</v>
      </c>
      <c r="F777" s="35">
        <f>VLOOKUP($B777,Chronologie[],COLUMN(F778)-2,TRUE)</f>
        <v>0</v>
      </c>
      <c r="G777" s="35">
        <f>VLOOKUP($B777,Chronologie[],COLUMN(G778)-2,TRUE)</f>
        <v>0</v>
      </c>
      <c r="H777" s="35">
        <f>VLOOKUP($B777,Chronologie[],COLUMN(H778)-2,TRUE)</f>
        <v>0</v>
      </c>
      <c r="I777" s="9" t="str">
        <f>VLOOKUP($B777,Chronologie[],2,TRUE)</f>
        <v>--</v>
      </c>
      <c r="J777" s="242">
        <f>VLOOKUP($B777,Chronologie[],3,TRUE)</f>
        <v>0</v>
      </c>
      <c r="K777" s="236"/>
      <c r="L777" s="334"/>
      <c r="M777" s="334"/>
      <c r="N777" s="334"/>
      <c r="O777" s="334"/>
      <c r="P777" s="334"/>
      <c r="Q777" s="334"/>
      <c r="R777" s="334"/>
      <c r="S777" s="334"/>
      <c r="T777" s="334"/>
      <c r="U777" s="334"/>
      <c r="V777" s="334"/>
      <c r="W777" s="334"/>
      <c r="X777" s="37"/>
      <c r="Y777" s="37"/>
      <c r="Z777" s="37"/>
      <c r="AA777" s="37"/>
      <c r="AB777" s="90"/>
      <c r="AC777" s="93" t="str">
        <f>IF(Eingabe[[#This Row],[V1]]="",IF(Eingabe[[#This Row],[Volle alternativ]]="","",Eingabe[[#This Row],[Volle alternativ]]),SUM(Eingabe[[#This Row],[V1]:[V4]]))</f>
        <v/>
      </c>
      <c r="AD777" s="35" t="str">
        <f>IF(Eingabe[[#This Row],[R1]]="",IF(Eingabe[[#This Row],[Räumer alternativ]]="","",Eingabe[[#This Row],[Räumer alternativ]]),SUM(Eingabe[[#This Row],[R1]:[R4]]))</f>
        <v/>
      </c>
      <c r="AE777" s="35" t="str">
        <f>IF(Eingabe[[#This Row],[F1]]="",IF(Eingabe[[#This Row],[Fehler alternativ]]="","",Eingabe[[#This Row],[Fehler alternativ]]),SUM(Eingabe[[#This Row],[F1]:[F4]]))</f>
        <v/>
      </c>
      <c r="AF777" s="35"/>
      <c r="AG777" s="35" t="str">
        <f>IF(Eingabe[[#This Row],[V1]]="","",Eingabe[[#This Row],[V1]]+Eingabe[[#This Row],[R1]])</f>
        <v/>
      </c>
      <c r="AH777" s="35" t="str">
        <f>IF(Eingabe[[#This Row],[V2]]="","",Eingabe[[#This Row],[V2]]+Eingabe[[#This Row],[R2]])</f>
        <v/>
      </c>
      <c r="AI777" s="35" t="str">
        <f>IF(Eingabe[[#This Row],[V3]]="","",Eingabe[[#This Row],[V3]]+Eingabe[[#This Row],[R3]])</f>
        <v/>
      </c>
      <c r="AJ777" s="35" t="str">
        <f>IF(Eingabe[[#This Row],[V4]]="","",Eingabe[[#This Row],[V4]]+Eingabe[[#This Row],[R4]])</f>
        <v/>
      </c>
      <c r="AK777" s="35" t="str">
        <f>IF(Eingabe[[#This Row],[S1P]]="","",Eingabe[[#This Row],[S1P]]+Eingabe[[#This Row],[S2P]]+Eingabe[[#This Row],[S3P]]+Eingabe[[#This Row],[S4P]])</f>
        <v/>
      </c>
      <c r="AL777" s="35" t="str">
        <f>IF(Eingabe[[#This Row],[S1P]]="","",IF(Eingabe[[#This Row],[SP]]&gt;2,1,IF(Eingabe[[#This Row],[SP]]&lt;2,0,IF(Eingabe[[#This Row],[GES]]&gt;Eingabe[[#This Row],[GEGGES]],1,IF(Eingabe[[#This Row],[GES]]=Eingabe[[#This Row],[GEGGES]],0.5,0)))))</f>
        <v/>
      </c>
      <c r="AM777" s="35" t="str">
        <f>IF(Eingabe[[#This Row],[MP]]="","",MOD(ROW(Eingabe[[#This Row],[Position]])-3,6)+1)</f>
        <v/>
      </c>
      <c r="AN777" s="35" t="e">
        <f>STANDARDIZE(Eingabe[[#This Row],[GES]],Eingabe[[#This Row],[Schnitt]],VLOOKUP(Eingabe[[#This Row],[Name]],AuswertungG[],21,FALSE))</f>
        <v>#N/A</v>
      </c>
      <c r="AO777" s="35" t="str">
        <f>VLOOKUP(Eingabe[[#This Row],[ID]],Chronologie[[ID]:[KW]],12,FALSE)</f>
        <v/>
      </c>
      <c r="AP777" s="58">
        <f>IF(Eingabe[[#This Row],[Wo]]="H",Eingabe[[#This Row],[Gegner]]&amp;" ["&amp;Eingabe[[#This Row],[Wo]]&amp;"]",Eingabe[[#This Row],[Ort]])</f>
        <v>0</v>
      </c>
      <c r="AQ777" s="35" t="str">
        <f>IFERROR(IF(Eingabe[[#This Row],[Wo]]="H",IF(MOD(Eingabe[[#This Row],[Position]],2)=1,Eingabe[[#This Row],[S1]],Eingabe[[#This Row],[S4]]),""),"")</f>
        <v/>
      </c>
      <c r="AR777" s="35" t="str">
        <f>IFERROR(IF(Eingabe[[#This Row],[Wo]]="H",IF(Eingabe[[#This Row],[S1]]&gt;0,IF(MOD(Eingabe[[#This Row],[Position]],2)=1,Eingabe[[#This Row],[S2]],Eingabe[[#This Row],[S3]]),""),""),"")</f>
        <v/>
      </c>
      <c r="AS777" s="35" t="str">
        <f>IFERROR(IF(Eingabe[[#This Row],[Wo]]="H",IF(Eingabe[[#This Row],[S1]]&gt;0,IF(MOD(ROW(Eingabe[[#This Row],[Heimbahn 3]]),2)=1,Eingabe[[#This Row],[S4]],Eingabe[[#This Row],[S1]]),""),""),"")</f>
        <v/>
      </c>
      <c r="AT777" s="35" t="str">
        <f>IFERROR(IF(Eingabe[[#This Row],[Wo]]="H",IF(Eingabe[[#This Row],[S1]]&gt;0,IF(MOD(ROW(Eingabe[[#This Row],[Heimbahn 4]]),2)=1,Eingabe[[#This Row],[S3]],Eingabe[[#This Row],[S2]]),""),""),"")</f>
        <v/>
      </c>
      <c r="AU777" s="88" t="str">
        <f>IF(Eingabe[[#This Row],[GES]]="","",IF(Eingabe[[#This Row],[Modus]]="L",_xlfn.RANK.EQ(Eingabe[[#This Row],[GES]],AF777:AF782),IF(Eingabe[[#This Row],[Modus]]="P",_xlfn.RANK.EQ(Eingabe[[#This Row],[GES]],AF777:AF782),"")))</f>
        <v/>
      </c>
      <c r="AV777" s="6" t="e">
        <f>VLOOKUP(Eingabe[[#This Row],[Name]],AuswertungG[],8,FALSE)</f>
        <v>#N/A</v>
      </c>
      <c r="AZ777" s="6">
        <f>IFERROR(ABS(Eingabe[[#This Row],[GES]]-Eingabe[[#This Row],[GEGGES]]),"")</f>
        <v>0</v>
      </c>
    </row>
    <row r="778" spans="1:52" hidden="1" x14ac:dyDescent="0.3">
      <c r="A778" s="441"/>
      <c r="B778" s="21">
        <f t="shared" si="87"/>
        <v>130</v>
      </c>
      <c r="C778" s="6">
        <f>VLOOKUP($B778,Chronologie[],7,TRUE)</f>
        <v>0</v>
      </c>
      <c r="D778" s="6">
        <f>VLOOKUP($B778,Chronologie[],8,TRUE)</f>
        <v>0</v>
      </c>
      <c r="E778" s="240">
        <f>VLOOKUP($B778,Chronologie[],9,TRUE)</f>
        <v>0</v>
      </c>
      <c r="F778" s="6">
        <f>VLOOKUP($B778,Chronologie[],COLUMN(F779)-2,TRUE)</f>
        <v>0</v>
      </c>
      <c r="G778" s="6">
        <f>VLOOKUP($B778,Chronologie[],COLUMN(G779)-2,TRUE)</f>
        <v>0</v>
      </c>
      <c r="H778" s="6">
        <f>VLOOKUP($B778,Chronologie[],COLUMN(H779)-2,TRUE)</f>
        <v>0</v>
      </c>
      <c r="I778" s="10" t="str">
        <f>VLOOKUP($B778,Chronologie[],2,TRUE)</f>
        <v>--</v>
      </c>
      <c r="J778" s="243">
        <f>VLOOKUP($B778,Chronologie[],3,TRUE)</f>
        <v>0</v>
      </c>
      <c r="K778" s="237"/>
      <c r="L778" s="237"/>
      <c r="M778" s="237"/>
      <c r="N778" s="237"/>
      <c r="O778" s="237"/>
      <c r="P778" s="237"/>
      <c r="Q778" s="237"/>
      <c r="R778" s="237"/>
      <c r="S778" s="237"/>
      <c r="T778" s="237"/>
      <c r="U778" s="237"/>
      <c r="V778" s="237"/>
      <c r="W778" s="237"/>
      <c r="X778" s="38"/>
      <c r="Y778" s="38"/>
      <c r="Z778" s="38"/>
      <c r="AA778" s="38"/>
      <c r="AB778" s="91"/>
      <c r="AC778" s="94" t="str">
        <f>IF(Eingabe[[#This Row],[V1]]="",IF(Eingabe[[#This Row],[Volle alternativ]]="","",Eingabe[[#This Row],[Volle alternativ]]),SUM(Eingabe[[#This Row],[V1]:[V4]]))</f>
        <v/>
      </c>
      <c r="AD778" s="6" t="str">
        <f>IF(Eingabe[[#This Row],[R1]]="",IF(Eingabe[[#This Row],[Räumer alternativ]]="","",Eingabe[[#This Row],[Räumer alternativ]]),SUM(Eingabe[[#This Row],[R1]:[R4]]))</f>
        <v/>
      </c>
      <c r="AE778" s="6" t="str">
        <f>IF(Eingabe[[#This Row],[F1]]="",IF(Eingabe[[#This Row],[Fehler alternativ]]="","",Eingabe[[#This Row],[Fehler alternativ]]),SUM(Eingabe[[#This Row],[F1]:[F4]]))</f>
        <v/>
      </c>
      <c r="AG778" s="6" t="str">
        <f>IF(Eingabe[[#This Row],[V1]]="","",Eingabe[[#This Row],[V1]]+Eingabe[[#This Row],[R1]])</f>
        <v/>
      </c>
      <c r="AH778" s="6" t="str">
        <f>IF(Eingabe[[#This Row],[V2]]="","",Eingabe[[#This Row],[V2]]+Eingabe[[#This Row],[R2]])</f>
        <v/>
      </c>
      <c r="AI778" s="6" t="str">
        <f>IF(Eingabe[[#This Row],[V3]]="","",Eingabe[[#This Row],[V3]]+Eingabe[[#This Row],[R3]])</f>
        <v/>
      </c>
      <c r="AJ778" s="6" t="str">
        <f>IF(Eingabe[[#This Row],[V4]]="","",Eingabe[[#This Row],[V4]]+Eingabe[[#This Row],[R4]])</f>
        <v/>
      </c>
      <c r="AK778" s="6" t="str">
        <f>IF(Eingabe[[#This Row],[S1P]]="","",Eingabe[[#This Row],[S1P]]+Eingabe[[#This Row],[S2P]]+Eingabe[[#This Row],[S3P]]+Eingabe[[#This Row],[S4P]])</f>
        <v/>
      </c>
      <c r="AL778" s="6" t="str">
        <f>IF(Eingabe[[#This Row],[S1P]]="","",IF(Eingabe[[#This Row],[SP]]&gt;2,1,IF(Eingabe[[#This Row],[SP]]&lt;2,0,IF(Eingabe[[#This Row],[GES]]&gt;Eingabe[[#This Row],[GEGGES]],1,IF(Eingabe[[#This Row],[GES]]=Eingabe[[#This Row],[GEGGES]],0.5,0)))))</f>
        <v/>
      </c>
      <c r="AM778" s="6" t="str">
        <f>IF(Eingabe[[#This Row],[MP]]="","",MOD(ROW(Eingabe[[#This Row],[Position]])-3,6)+1)</f>
        <v/>
      </c>
      <c r="AN778" s="6" t="e">
        <f>STANDARDIZE(Eingabe[[#This Row],[GES]],Eingabe[[#This Row],[Schnitt]],VLOOKUP(Eingabe[[#This Row],[Name]],AuswertungG[],21,FALSE))</f>
        <v>#N/A</v>
      </c>
      <c r="AO778" s="6" t="str">
        <f>VLOOKUP(Eingabe[[#This Row],[ID]],Chronologie[[ID]:[KW]],12,FALSE)</f>
        <v/>
      </c>
      <c r="AP778" s="95">
        <f>IF(Eingabe[[#This Row],[Wo]]="H",Eingabe[[#This Row],[Gegner]]&amp;" ["&amp;Eingabe[[#This Row],[Wo]]&amp;"]",Eingabe[[#This Row],[Ort]])</f>
        <v>0</v>
      </c>
      <c r="AQ778" s="6" t="str">
        <f>IFERROR(IF(Eingabe[[#This Row],[Wo]]="H",IF(MOD(Eingabe[[#This Row],[Position]],2)=1,Eingabe[[#This Row],[S1]],Eingabe[[#This Row],[S4]]),""),"")</f>
        <v/>
      </c>
      <c r="AR778" s="6" t="str">
        <f>IFERROR(IF(Eingabe[[#This Row],[Wo]]="H",IF(Eingabe[[#This Row],[S1]]&gt;0,IF(MOD(Eingabe[[#This Row],[Position]],2)=1,Eingabe[[#This Row],[S2]],Eingabe[[#This Row],[S3]]),""),""),"")</f>
        <v/>
      </c>
      <c r="AS778" s="6" t="str">
        <f>IFERROR(IF(Eingabe[[#This Row],[Wo]]="H",IF(Eingabe[[#This Row],[S1]]&gt;0,IF(MOD(ROW(Eingabe[[#This Row],[Heimbahn 3]]),2)=1,Eingabe[[#This Row],[S4]],Eingabe[[#This Row],[S1]]),""),""),"")</f>
        <v/>
      </c>
      <c r="AT778" s="6" t="str">
        <f>IFERROR(IF(Eingabe[[#This Row],[Wo]]="H",IF(Eingabe[[#This Row],[S1]]&gt;0,IF(MOD(ROW(Eingabe[[#This Row],[Heimbahn 4]]),2)=1,Eingabe[[#This Row],[S3]],Eingabe[[#This Row],[S2]]),""),""),"")</f>
        <v/>
      </c>
      <c r="AU778" s="22" t="str">
        <f>IF(Eingabe[[#This Row],[GES]]="","",IF(Eingabe[[#This Row],[Modus]]="L",_xlfn.RANK.EQ(Eingabe[[#This Row],[GES]],AF777:AF782),IF(Eingabe[[#This Row],[Modus]]="P",_xlfn.RANK.EQ(Eingabe[[#This Row],[GES]],AF777:AF782),"")))</f>
        <v/>
      </c>
      <c r="AV778" s="6" t="e">
        <f>VLOOKUP(Eingabe[[#This Row],[Name]],AuswertungG[],8,FALSE)</f>
        <v>#N/A</v>
      </c>
      <c r="AZ778" s="6">
        <f>IFERROR(ABS(Eingabe[[#This Row],[GES]]-Eingabe[[#This Row],[GEGGES]]),"")</f>
        <v>0</v>
      </c>
    </row>
    <row r="779" spans="1:52" hidden="1" x14ac:dyDescent="0.3">
      <c r="A779" s="441"/>
      <c r="B779" s="21">
        <f t="shared" si="87"/>
        <v>130</v>
      </c>
      <c r="C779" s="6">
        <f>VLOOKUP($B779,Chronologie[],7,TRUE)</f>
        <v>0</v>
      </c>
      <c r="D779" s="6">
        <f>VLOOKUP($B779,Chronologie[],8,TRUE)</f>
        <v>0</v>
      </c>
      <c r="E779" s="240">
        <f>VLOOKUP($B779,Chronologie[],9,TRUE)</f>
        <v>0</v>
      </c>
      <c r="F779" s="6">
        <f>VLOOKUP($B779,Chronologie[],COLUMN(F780)-2,TRUE)</f>
        <v>0</v>
      </c>
      <c r="G779" s="6">
        <f>VLOOKUP($B779,Chronologie[],COLUMN(G780)-2,TRUE)</f>
        <v>0</v>
      </c>
      <c r="H779" s="6">
        <f>VLOOKUP($B779,Chronologie[],COLUMN(H780)-2,TRUE)</f>
        <v>0</v>
      </c>
      <c r="I779" s="10" t="str">
        <f>VLOOKUP($B779,Chronologie[],2,TRUE)</f>
        <v>--</v>
      </c>
      <c r="J779" s="243">
        <f>VLOOKUP($B779,Chronologie[],3,TRUE)</f>
        <v>0</v>
      </c>
      <c r="K779" s="237"/>
      <c r="L779" s="237"/>
      <c r="M779" s="237"/>
      <c r="N779" s="237"/>
      <c r="O779" s="237"/>
      <c r="P779" s="237"/>
      <c r="Q779" s="237"/>
      <c r="R779" s="237"/>
      <c r="S779" s="237"/>
      <c r="T779" s="237"/>
      <c r="U779" s="237"/>
      <c r="V779" s="237"/>
      <c r="W779" s="237"/>
      <c r="X779" s="38"/>
      <c r="Y779" s="38"/>
      <c r="Z779" s="38"/>
      <c r="AA779" s="38"/>
      <c r="AB779" s="91"/>
      <c r="AC779" s="94" t="str">
        <f>IF(Eingabe[[#This Row],[V1]]="",IF(Eingabe[[#This Row],[Volle alternativ]]="","",Eingabe[[#This Row],[Volle alternativ]]),SUM(Eingabe[[#This Row],[V1]:[V4]]))</f>
        <v/>
      </c>
      <c r="AD779" s="6" t="str">
        <f>IF(Eingabe[[#This Row],[R1]]="",IF(Eingabe[[#This Row],[Räumer alternativ]]="","",Eingabe[[#This Row],[Räumer alternativ]]),SUM(Eingabe[[#This Row],[R1]:[R4]]))</f>
        <v/>
      </c>
      <c r="AE779" s="6" t="str">
        <f>IF(Eingabe[[#This Row],[F1]]="",IF(Eingabe[[#This Row],[Fehler alternativ]]="","",Eingabe[[#This Row],[Fehler alternativ]]),SUM(Eingabe[[#This Row],[F1]:[F4]]))</f>
        <v/>
      </c>
      <c r="AG779" s="6" t="str">
        <f>IF(Eingabe[[#This Row],[V1]]="","",Eingabe[[#This Row],[V1]]+Eingabe[[#This Row],[R1]])</f>
        <v/>
      </c>
      <c r="AH779" s="6" t="str">
        <f>IF(Eingabe[[#This Row],[V2]]="","",Eingabe[[#This Row],[V2]]+Eingabe[[#This Row],[R2]])</f>
        <v/>
      </c>
      <c r="AI779" s="6" t="str">
        <f>IF(Eingabe[[#This Row],[V3]]="","",Eingabe[[#This Row],[V3]]+Eingabe[[#This Row],[R3]])</f>
        <v/>
      </c>
      <c r="AJ779" s="6" t="str">
        <f>IF(Eingabe[[#This Row],[V4]]="","",Eingabe[[#This Row],[V4]]+Eingabe[[#This Row],[R4]])</f>
        <v/>
      </c>
      <c r="AK779" s="6" t="str">
        <f>IF(Eingabe[[#This Row],[S1P]]="","",Eingabe[[#This Row],[S1P]]+Eingabe[[#This Row],[S2P]]+Eingabe[[#This Row],[S3P]]+Eingabe[[#This Row],[S4P]])</f>
        <v/>
      </c>
      <c r="AL779" s="6" t="str">
        <f>IF(Eingabe[[#This Row],[S1P]]="","",IF(Eingabe[[#This Row],[SP]]&gt;2,1,IF(Eingabe[[#This Row],[SP]]&lt;2,0,IF(Eingabe[[#This Row],[GES]]&gt;Eingabe[[#This Row],[GEGGES]],1,IF(Eingabe[[#This Row],[GES]]=Eingabe[[#This Row],[GEGGES]],0.5,0)))))</f>
        <v/>
      </c>
      <c r="AM779" s="6" t="str">
        <f>IF(Eingabe[[#This Row],[MP]]="","",MOD(ROW(Eingabe[[#This Row],[Position]])-3,6)+1)</f>
        <v/>
      </c>
      <c r="AN779" s="6" t="e">
        <f>STANDARDIZE(Eingabe[[#This Row],[GES]],Eingabe[[#This Row],[Schnitt]],VLOOKUP(Eingabe[[#This Row],[Name]],AuswertungG[],21,FALSE))</f>
        <v>#N/A</v>
      </c>
      <c r="AO779" s="6" t="str">
        <f>VLOOKUP(Eingabe[[#This Row],[ID]],Chronologie[[ID]:[KW]],12,FALSE)</f>
        <v/>
      </c>
      <c r="AP779" s="95">
        <f>IF(Eingabe[[#This Row],[Wo]]="H",Eingabe[[#This Row],[Gegner]]&amp;" ["&amp;Eingabe[[#This Row],[Wo]]&amp;"]",Eingabe[[#This Row],[Ort]])</f>
        <v>0</v>
      </c>
      <c r="AQ779" s="6" t="str">
        <f>IFERROR(IF(Eingabe[[#This Row],[Wo]]="H",IF(MOD(Eingabe[[#This Row],[Position]],2)=1,Eingabe[[#This Row],[S1]],Eingabe[[#This Row],[S4]]),""),"")</f>
        <v/>
      </c>
      <c r="AR779" s="6" t="str">
        <f>IFERROR(IF(Eingabe[[#This Row],[Wo]]="H",IF(Eingabe[[#This Row],[S1]]&gt;0,IF(MOD(Eingabe[[#This Row],[Position]],2)=1,Eingabe[[#This Row],[S2]],Eingabe[[#This Row],[S3]]),""),""),"")</f>
        <v/>
      </c>
      <c r="AS779" s="6" t="str">
        <f>IFERROR(IF(Eingabe[[#This Row],[Wo]]="H",IF(Eingabe[[#This Row],[S1]]&gt;0,IF(MOD(ROW(Eingabe[[#This Row],[Heimbahn 3]]),2)=1,Eingabe[[#This Row],[S4]],Eingabe[[#This Row],[S1]]),""),""),"")</f>
        <v/>
      </c>
      <c r="AT779" s="6" t="str">
        <f>IFERROR(IF(Eingabe[[#This Row],[Wo]]="H",IF(Eingabe[[#This Row],[S1]]&gt;0,IF(MOD(ROW(Eingabe[[#This Row],[Heimbahn 4]]),2)=1,Eingabe[[#This Row],[S3]],Eingabe[[#This Row],[S2]]),""),""),"")</f>
        <v/>
      </c>
      <c r="AU779" s="22" t="str">
        <f>IF(Eingabe[[#This Row],[GES]]="","",IF(Eingabe[[#This Row],[Modus]]="L",_xlfn.RANK.EQ(Eingabe[[#This Row],[GES]],AF777:AF782),IF(Eingabe[[#This Row],[Modus]]="P",_xlfn.RANK.EQ(Eingabe[[#This Row],[GES]],AF777:AF782),"")))</f>
        <v/>
      </c>
      <c r="AV779" s="6" t="e">
        <f>VLOOKUP(Eingabe[[#This Row],[Name]],AuswertungG[],8,FALSE)</f>
        <v>#N/A</v>
      </c>
      <c r="AZ779" s="6">
        <f>IFERROR(ABS(Eingabe[[#This Row],[GES]]-Eingabe[[#This Row],[GEGGES]]),"")</f>
        <v>0</v>
      </c>
    </row>
    <row r="780" spans="1:52" hidden="1" x14ac:dyDescent="0.3">
      <c r="A780" s="441"/>
      <c r="B780" s="21">
        <f t="shared" si="87"/>
        <v>130</v>
      </c>
      <c r="C780" s="6">
        <f>VLOOKUP($B780,Chronologie[],7,TRUE)</f>
        <v>0</v>
      </c>
      <c r="D780" s="6">
        <f>VLOOKUP($B780,Chronologie[],8,TRUE)</f>
        <v>0</v>
      </c>
      <c r="E780" s="240">
        <f>VLOOKUP($B780,Chronologie[],9,TRUE)</f>
        <v>0</v>
      </c>
      <c r="F780" s="6">
        <f>VLOOKUP($B780,Chronologie[],COLUMN(F781)-2,TRUE)</f>
        <v>0</v>
      </c>
      <c r="G780" s="6">
        <f>VLOOKUP($B780,Chronologie[],COLUMN(G781)-2,TRUE)</f>
        <v>0</v>
      </c>
      <c r="H780" s="6">
        <f>VLOOKUP($B780,Chronologie[],COLUMN(H781)-2,TRUE)</f>
        <v>0</v>
      </c>
      <c r="I780" s="10" t="str">
        <f>VLOOKUP($B780,Chronologie[],2,TRUE)</f>
        <v>--</v>
      </c>
      <c r="J780" s="243">
        <f>VLOOKUP($B780,Chronologie[],3,TRUE)</f>
        <v>0</v>
      </c>
      <c r="K780" s="238"/>
      <c r="L780" s="237"/>
      <c r="M780" s="237"/>
      <c r="N780" s="237"/>
      <c r="O780" s="237"/>
      <c r="P780" s="237"/>
      <c r="Q780" s="237"/>
      <c r="R780" s="237"/>
      <c r="S780" s="237"/>
      <c r="T780" s="237"/>
      <c r="U780" s="237"/>
      <c r="V780" s="237"/>
      <c r="W780" s="237"/>
      <c r="X780" s="38"/>
      <c r="Y780" s="38"/>
      <c r="Z780" s="38"/>
      <c r="AA780" s="38"/>
      <c r="AB780" s="91"/>
      <c r="AC780" s="94" t="str">
        <f>IF(Eingabe[[#This Row],[V1]]="",IF(Eingabe[[#This Row],[Volle alternativ]]="","",Eingabe[[#This Row],[Volle alternativ]]),SUM(Eingabe[[#This Row],[V1]:[V4]]))</f>
        <v/>
      </c>
      <c r="AD780" s="6" t="str">
        <f>IF(Eingabe[[#This Row],[R1]]="",IF(Eingabe[[#This Row],[Räumer alternativ]]="","",Eingabe[[#This Row],[Räumer alternativ]]),SUM(Eingabe[[#This Row],[R1]:[R4]]))</f>
        <v/>
      </c>
      <c r="AE780" s="6" t="str">
        <f>IF(Eingabe[[#This Row],[F1]]="",IF(Eingabe[[#This Row],[Fehler alternativ]]="","",Eingabe[[#This Row],[Fehler alternativ]]),SUM(Eingabe[[#This Row],[F1]:[F4]]))</f>
        <v/>
      </c>
      <c r="AG780" s="6" t="str">
        <f>IF(Eingabe[[#This Row],[V1]]="","",Eingabe[[#This Row],[V1]]+Eingabe[[#This Row],[R1]])</f>
        <v/>
      </c>
      <c r="AH780" s="6" t="str">
        <f>IF(Eingabe[[#This Row],[V2]]="","",Eingabe[[#This Row],[V2]]+Eingabe[[#This Row],[R2]])</f>
        <v/>
      </c>
      <c r="AI780" s="6" t="str">
        <f>IF(Eingabe[[#This Row],[V3]]="","",Eingabe[[#This Row],[V3]]+Eingabe[[#This Row],[R3]])</f>
        <v/>
      </c>
      <c r="AJ780" s="6" t="str">
        <f>IF(Eingabe[[#This Row],[V4]]="","",Eingabe[[#This Row],[V4]]+Eingabe[[#This Row],[R4]])</f>
        <v/>
      </c>
      <c r="AK780" s="6" t="str">
        <f>IF(Eingabe[[#This Row],[S1P]]="","",Eingabe[[#This Row],[S1P]]+Eingabe[[#This Row],[S2P]]+Eingabe[[#This Row],[S3P]]+Eingabe[[#This Row],[S4P]])</f>
        <v/>
      </c>
      <c r="AL780" s="6" t="str">
        <f>IF(Eingabe[[#This Row],[S1P]]="","",IF(Eingabe[[#This Row],[SP]]&gt;2,1,IF(Eingabe[[#This Row],[SP]]&lt;2,0,IF(Eingabe[[#This Row],[GES]]&gt;Eingabe[[#This Row],[GEGGES]],1,IF(Eingabe[[#This Row],[GES]]=Eingabe[[#This Row],[GEGGES]],0.5,0)))))</f>
        <v/>
      </c>
      <c r="AM780" s="6" t="str">
        <f>IF(Eingabe[[#This Row],[MP]]="","",MOD(ROW(Eingabe[[#This Row],[Position]])-3,6)+1)</f>
        <v/>
      </c>
      <c r="AN780" s="6" t="e">
        <f>STANDARDIZE(Eingabe[[#This Row],[GES]],Eingabe[[#This Row],[Schnitt]],VLOOKUP(Eingabe[[#This Row],[Name]],AuswertungG[],21,FALSE))</f>
        <v>#N/A</v>
      </c>
      <c r="AO780" s="6" t="str">
        <f>VLOOKUP(Eingabe[[#This Row],[ID]],Chronologie[[ID]:[KW]],12,FALSE)</f>
        <v/>
      </c>
      <c r="AP780" s="95">
        <f>IF(Eingabe[[#This Row],[Wo]]="H",Eingabe[[#This Row],[Gegner]]&amp;" ["&amp;Eingabe[[#This Row],[Wo]]&amp;"]",Eingabe[[#This Row],[Ort]])</f>
        <v>0</v>
      </c>
      <c r="AQ780" s="6" t="str">
        <f>IFERROR(IF(Eingabe[[#This Row],[Wo]]="H",IF(MOD(Eingabe[[#This Row],[Position]],2)=1,Eingabe[[#This Row],[S1]],Eingabe[[#This Row],[S4]]),""),"")</f>
        <v/>
      </c>
      <c r="AR780" s="6" t="str">
        <f>IFERROR(IF(Eingabe[[#This Row],[Wo]]="H",IF(Eingabe[[#This Row],[S1]]&gt;0,IF(MOD(Eingabe[[#This Row],[Position]],2)=1,Eingabe[[#This Row],[S2]],Eingabe[[#This Row],[S3]]),""),""),"")</f>
        <v/>
      </c>
      <c r="AS780" s="6" t="str">
        <f>IFERROR(IF(Eingabe[[#This Row],[Wo]]="H",IF(Eingabe[[#This Row],[S1]]&gt;0,IF(MOD(ROW(Eingabe[[#This Row],[Heimbahn 3]]),2)=1,Eingabe[[#This Row],[S4]],Eingabe[[#This Row],[S1]]),""),""),"")</f>
        <v/>
      </c>
      <c r="AT780" s="6" t="str">
        <f>IFERROR(IF(Eingabe[[#This Row],[Wo]]="H",IF(Eingabe[[#This Row],[S1]]&gt;0,IF(MOD(ROW(Eingabe[[#This Row],[Heimbahn 4]]),2)=1,Eingabe[[#This Row],[S3]],Eingabe[[#This Row],[S2]]),""),""),"")</f>
        <v/>
      </c>
      <c r="AU780" s="22" t="str">
        <f>IF(Eingabe[[#This Row],[GES]]="","",IF(Eingabe[[#This Row],[Modus]]="L",_xlfn.RANK.EQ(Eingabe[[#This Row],[GES]],AF777:AF782),IF(Eingabe[[#This Row],[Modus]]="P",_xlfn.RANK.EQ(Eingabe[[#This Row],[GES]],AF777:AF782),"")))</f>
        <v/>
      </c>
      <c r="AV780" s="6" t="e">
        <f>VLOOKUP(Eingabe[[#This Row],[Name]],AuswertungG[],8,FALSE)</f>
        <v>#N/A</v>
      </c>
      <c r="AZ780" s="6">
        <f>IFERROR(ABS(Eingabe[[#This Row],[GES]]-Eingabe[[#This Row],[GEGGES]]),"")</f>
        <v>0</v>
      </c>
    </row>
    <row r="781" spans="1:52" hidden="1" x14ac:dyDescent="0.3">
      <c r="A781" s="441"/>
      <c r="B781" s="21">
        <f t="shared" si="87"/>
        <v>130</v>
      </c>
      <c r="C781" s="6">
        <f>VLOOKUP($B781,Chronologie[],7,TRUE)</f>
        <v>0</v>
      </c>
      <c r="D781" s="6">
        <f>VLOOKUP($B781,Chronologie[],8,TRUE)</f>
        <v>0</v>
      </c>
      <c r="E781" s="240">
        <f>VLOOKUP($B781,Chronologie[],9,TRUE)</f>
        <v>0</v>
      </c>
      <c r="F781" s="6">
        <f>VLOOKUP($B781,Chronologie[],COLUMN(F782)-2,TRUE)</f>
        <v>0</v>
      </c>
      <c r="G781" s="6">
        <f>VLOOKUP($B781,Chronologie[],COLUMN(G782)-2,TRUE)</f>
        <v>0</v>
      </c>
      <c r="H781" s="6">
        <f>VLOOKUP($B781,Chronologie[],COLUMN(H782)-2,TRUE)</f>
        <v>0</v>
      </c>
      <c r="I781" s="10" t="str">
        <f>VLOOKUP($B781,Chronologie[],2,TRUE)</f>
        <v>--</v>
      </c>
      <c r="J781" s="243">
        <f>VLOOKUP($B781,Chronologie[],3,TRUE)</f>
        <v>0</v>
      </c>
      <c r="K781" s="237"/>
      <c r="L781" s="237"/>
      <c r="M781" s="237"/>
      <c r="N781" s="237"/>
      <c r="O781" s="237"/>
      <c r="P781" s="237"/>
      <c r="Q781" s="237"/>
      <c r="R781" s="237"/>
      <c r="S781" s="237"/>
      <c r="T781" s="237"/>
      <c r="U781" s="237"/>
      <c r="V781" s="237"/>
      <c r="W781" s="237"/>
      <c r="X781" s="38"/>
      <c r="Y781" s="38"/>
      <c r="Z781" s="38"/>
      <c r="AA781" s="38"/>
      <c r="AB781" s="91"/>
      <c r="AC781" s="94" t="str">
        <f>IF(Eingabe[[#This Row],[V1]]="",IF(Eingabe[[#This Row],[Volle alternativ]]="","",Eingabe[[#This Row],[Volle alternativ]]),SUM(Eingabe[[#This Row],[V1]:[V4]]))</f>
        <v/>
      </c>
      <c r="AD781" s="6" t="str">
        <f>IF(Eingabe[[#This Row],[R1]]="",IF(Eingabe[[#This Row],[Räumer alternativ]]="","",Eingabe[[#This Row],[Räumer alternativ]]),SUM(Eingabe[[#This Row],[R1]:[R4]]))</f>
        <v/>
      </c>
      <c r="AE781" s="6" t="str">
        <f>IF(Eingabe[[#This Row],[F1]]="",IF(Eingabe[[#This Row],[Fehler alternativ]]="","",Eingabe[[#This Row],[Fehler alternativ]]),SUM(Eingabe[[#This Row],[F1]:[F4]]))</f>
        <v/>
      </c>
      <c r="AG781" s="6" t="str">
        <f>IF(Eingabe[[#This Row],[V1]]="","",Eingabe[[#This Row],[V1]]+Eingabe[[#This Row],[R1]])</f>
        <v/>
      </c>
      <c r="AH781" s="6" t="str">
        <f>IF(Eingabe[[#This Row],[V2]]="","",Eingabe[[#This Row],[V2]]+Eingabe[[#This Row],[R2]])</f>
        <v/>
      </c>
      <c r="AI781" s="6" t="str">
        <f>IF(Eingabe[[#This Row],[V3]]="","",Eingabe[[#This Row],[V3]]+Eingabe[[#This Row],[R3]])</f>
        <v/>
      </c>
      <c r="AJ781" s="6" t="str">
        <f>IF(Eingabe[[#This Row],[V4]]="","",Eingabe[[#This Row],[V4]]+Eingabe[[#This Row],[R4]])</f>
        <v/>
      </c>
      <c r="AK781" s="6" t="str">
        <f>IF(Eingabe[[#This Row],[S1P]]="","",Eingabe[[#This Row],[S1P]]+Eingabe[[#This Row],[S2P]]+Eingabe[[#This Row],[S3P]]+Eingabe[[#This Row],[S4P]])</f>
        <v/>
      </c>
      <c r="AL781" s="6" t="str">
        <f>IF(Eingabe[[#This Row],[S1P]]="","",IF(Eingabe[[#This Row],[SP]]&gt;2,1,IF(Eingabe[[#This Row],[SP]]&lt;2,0,IF(Eingabe[[#This Row],[GES]]&gt;Eingabe[[#This Row],[GEGGES]],1,IF(Eingabe[[#This Row],[GES]]=Eingabe[[#This Row],[GEGGES]],0.5,0)))))</f>
        <v/>
      </c>
      <c r="AM781" s="6" t="str">
        <f>IF(Eingabe[[#This Row],[MP]]="","",MOD(ROW(Eingabe[[#This Row],[Position]])-3,6)+1)</f>
        <v/>
      </c>
      <c r="AN781" s="6" t="e">
        <f>STANDARDIZE(Eingabe[[#This Row],[GES]],Eingabe[[#This Row],[Schnitt]],VLOOKUP(Eingabe[[#This Row],[Name]],AuswertungG[],21,FALSE))</f>
        <v>#N/A</v>
      </c>
      <c r="AO781" s="6" t="str">
        <f>VLOOKUP(Eingabe[[#This Row],[ID]],Chronologie[[ID]:[KW]],12,FALSE)</f>
        <v/>
      </c>
      <c r="AP781" s="95">
        <f>IF(Eingabe[[#This Row],[Wo]]="H",Eingabe[[#This Row],[Gegner]]&amp;" ["&amp;Eingabe[[#This Row],[Wo]]&amp;"]",Eingabe[[#This Row],[Ort]])</f>
        <v>0</v>
      </c>
      <c r="AQ781" s="6" t="str">
        <f>IFERROR(IF(Eingabe[[#This Row],[Wo]]="H",IF(MOD(Eingabe[[#This Row],[Position]],2)=1,Eingabe[[#This Row],[S1]],Eingabe[[#This Row],[S4]]),""),"")</f>
        <v/>
      </c>
      <c r="AR781" s="6" t="str">
        <f>IFERROR(IF(Eingabe[[#This Row],[Wo]]="H",IF(Eingabe[[#This Row],[S1]]&gt;0,IF(MOD(Eingabe[[#This Row],[Position]],2)=1,Eingabe[[#This Row],[S2]],Eingabe[[#This Row],[S3]]),""),""),"")</f>
        <v/>
      </c>
      <c r="AS781" s="6" t="str">
        <f>IFERROR(IF(Eingabe[[#This Row],[Wo]]="H",IF(Eingabe[[#This Row],[S1]]&gt;0,IF(MOD(ROW(Eingabe[[#This Row],[Heimbahn 3]]),2)=1,Eingabe[[#This Row],[S4]],Eingabe[[#This Row],[S1]]),""),""),"")</f>
        <v/>
      </c>
      <c r="AT781" s="6" t="str">
        <f>IFERROR(IF(Eingabe[[#This Row],[Wo]]="H",IF(Eingabe[[#This Row],[S1]]&gt;0,IF(MOD(ROW(Eingabe[[#This Row],[Heimbahn 4]]),2)=1,Eingabe[[#This Row],[S3]],Eingabe[[#This Row],[S2]]),""),""),"")</f>
        <v/>
      </c>
      <c r="AU781" s="22" t="str">
        <f>IF(Eingabe[[#This Row],[GES]]="","",IF(Eingabe[[#This Row],[Modus]]="L",_xlfn.RANK.EQ(Eingabe[[#This Row],[GES]],AF777:AF782),IF(Eingabe[[#This Row],[Modus]]="P",_xlfn.RANK.EQ(Eingabe[[#This Row],[GES]],AF777:AF782),"")))</f>
        <v/>
      </c>
      <c r="AV781" s="6" t="e">
        <f>VLOOKUP(Eingabe[[#This Row],[Name]],AuswertungG[],8,FALSE)</f>
        <v>#N/A</v>
      </c>
      <c r="AZ781" s="6">
        <f>IFERROR(ABS(Eingabe[[#This Row],[GES]]-Eingabe[[#This Row],[GEGGES]]),"")</f>
        <v>0</v>
      </c>
    </row>
    <row r="782" spans="1:52" ht="16.2" hidden="1" thickBot="1" x14ac:dyDescent="0.35">
      <c r="A782" s="442"/>
      <c r="B782" s="56">
        <f t="shared" si="87"/>
        <v>130</v>
      </c>
      <c r="C782" s="23">
        <f>VLOOKUP($B782,Chronologie[],7,TRUE)</f>
        <v>0</v>
      </c>
      <c r="D782" s="23">
        <f>VLOOKUP($B782,Chronologie[],8,TRUE)</f>
        <v>0</v>
      </c>
      <c r="E782" s="39">
        <f>VLOOKUP($B782,Chronologie[],9,TRUE)</f>
        <v>0</v>
      </c>
      <c r="F782" s="23">
        <f>VLOOKUP($B782,Chronologie[],COLUMN(F783)-2,TRUE)</f>
        <v>0</v>
      </c>
      <c r="G782" s="23">
        <f>VLOOKUP($B782,Chronologie[],COLUMN(G783)-2,TRUE)</f>
        <v>0</v>
      </c>
      <c r="H782" s="23">
        <f>VLOOKUP($B782,Chronologie[],COLUMN(H783)-2,TRUE)</f>
        <v>0</v>
      </c>
      <c r="I782" s="13" t="str">
        <f>VLOOKUP($B782,Chronologie[],2,TRUE)</f>
        <v>--</v>
      </c>
      <c r="J782" s="244">
        <f>VLOOKUP($B782,Chronologie[],3,TRUE)</f>
        <v>0</v>
      </c>
      <c r="K782" s="239"/>
      <c r="L782" s="239"/>
      <c r="M782" s="239"/>
      <c r="N782" s="239"/>
      <c r="O782" s="239"/>
      <c r="P782" s="239"/>
      <c r="Q782" s="239"/>
      <c r="R782" s="239"/>
      <c r="S782" s="239"/>
      <c r="T782" s="239"/>
      <c r="U782" s="239"/>
      <c r="V782" s="239"/>
      <c r="W782" s="239"/>
      <c r="X782" s="40"/>
      <c r="Y782" s="40"/>
      <c r="Z782" s="40"/>
      <c r="AA782" s="40"/>
      <c r="AB782" s="92"/>
      <c r="AC782" s="96" t="str">
        <f>IF(Eingabe[[#This Row],[V1]]="",IF(Eingabe[[#This Row],[Volle alternativ]]="","",Eingabe[[#This Row],[Volle alternativ]]),SUM(Eingabe[[#This Row],[V1]:[V4]]))</f>
        <v/>
      </c>
      <c r="AD782" s="23" t="str">
        <f>IF(Eingabe[[#This Row],[R1]]="",IF(Eingabe[[#This Row],[Räumer alternativ]]="","",Eingabe[[#This Row],[Räumer alternativ]]),SUM(Eingabe[[#This Row],[R1]:[R4]]))</f>
        <v/>
      </c>
      <c r="AE782" s="23" t="str">
        <f>IF(Eingabe[[#This Row],[F1]]="",IF(Eingabe[[#This Row],[Fehler alternativ]]="","",Eingabe[[#This Row],[Fehler alternativ]]),SUM(Eingabe[[#This Row],[F1]:[F4]]))</f>
        <v/>
      </c>
      <c r="AF782" s="23"/>
      <c r="AG782" s="23" t="str">
        <f>IF(Eingabe[[#This Row],[V1]]="","",Eingabe[[#This Row],[V1]]+Eingabe[[#This Row],[R1]])</f>
        <v/>
      </c>
      <c r="AH782" s="23" t="str">
        <f>IF(Eingabe[[#This Row],[V2]]="","",Eingabe[[#This Row],[V2]]+Eingabe[[#This Row],[R2]])</f>
        <v/>
      </c>
      <c r="AI782" s="23" t="str">
        <f>IF(Eingabe[[#This Row],[V3]]="","",Eingabe[[#This Row],[V3]]+Eingabe[[#This Row],[R3]])</f>
        <v/>
      </c>
      <c r="AJ782" s="23" t="str">
        <f>IF(Eingabe[[#This Row],[V4]]="","",Eingabe[[#This Row],[V4]]+Eingabe[[#This Row],[R4]])</f>
        <v/>
      </c>
      <c r="AK782" s="23" t="str">
        <f>IF(Eingabe[[#This Row],[S1P]]="","",Eingabe[[#This Row],[S1P]]+Eingabe[[#This Row],[S2P]]+Eingabe[[#This Row],[S3P]]+Eingabe[[#This Row],[S4P]])</f>
        <v/>
      </c>
      <c r="AL782" s="23" t="str">
        <f>IF(Eingabe[[#This Row],[S1P]]="","",IF(Eingabe[[#This Row],[SP]]&gt;2,1,IF(Eingabe[[#This Row],[SP]]&lt;2,0,IF(Eingabe[[#This Row],[GES]]&gt;Eingabe[[#This Row],[GEGGES]],1,IF(Eingabe[[#This Row],[GES]]=Eingabe[[#This Row],[GEGGES]],0.5,0)))))</f>
        <v/>
      </c>
      <c r="AM782" s="23" t="str">
        <f>IF(Eingabe[[#This Row],[MP]]="","",MOD(ROW(Eingabe[[#This Row],[Position]])-3,6)+1)</f>
        <v/>
      </c>
      <c r="AN782" s="23" t="e">
        <f>STANDARDIZE(Eingabe[[#This Row],[GES]],Eingabe[[#This Row],[Schnitt]],VLOOKUP(Eingabe[[#This Row],[Name]],AuswertungG[],21,FALSE))</f>
        <v>#N/A</v>
      </c>
      <c r="AO782" s="23" t="str">
        <f>VLOOKUP(Eingabe[[#This Row],[ID]],Chronologie[[ID]:[KW]],12,FALSE)</f>
        <v/>
      </c>
      <c r="AP782" s="59">
        <f>IF(Eingabe[[#This Row],[Wo]]="H",Eingabe[[#This Row],[Gegner]]&amp;" ["&amp;Eingabe[[#This Row],[Wo]]&amp;"]",Eingabe[[#This Row],[Ort]])</f>
        <v>0</v>
      </c>
      <c r="AQ782" s="23" t="str">
        <f>IFERROR(IF(Eingabe[[#This Row],[Wo]]="H",IF(MOD(Eingabe[[#This Row],[Position]],2)=1,Eingabe[[#This Row],[S1]],Eingabe[[#This Row],[S4]]),""),"")</f>
        <v/>
      </c>
      <c r="AR782" s="23" t="str">
        <f>IFERROR(IF(Eingabe[[#This Row],[Wo]]="H",IF(Eingabe[[#This Row],[S1]]&gt;0,IF(MOD(Eingabe[[#This Row],[Position]],2)=1,Eingabe[[#This Row],[S2]],Eingabe[[#This Row],[S3]]),""),""),"")</f>
        <v/>
      </c>
      <c r="AS782" s="23" t="str">
        <f>IFERROR(IF(Eingabe[[#This Row],[Wo]]="H",IF(Eingabe[[#This Row],[S1]]&gt;0,IF(MOD(ROW(Eingabe[[#This Row],[Heimbahn 3]]),2)=1,Eingabe[[#This Row],[S4]],Eingabe[[#This Row],[S1]]),""),""),"")</f>
        <v/>
      </c>
      <c r="AT782" s="23" t="str">
        <f>IFERROR(IF(Eingabe[[#This Row],[Wo]]="H",IF(Eingabe[[#This Row],[S1]]&gt;0,IF(MOD(ROW(Eingabe[[#This Row],[Heimbahn 4]]),2)=1,Eingabe[[#This Row],[S3]],Eingabe[[#This Row],[S2]]),""),""),"")</f>
        <v/>
      </c>
      <c r="AU782" s="89" t="str">
        <f>IF(Eingabe[[#This Row],[GES]]="","",IF(Eingabe[[#This Row],[Modus]]="L",_xlfn.RANK.EQ(Eingabe[[#This Row],[GES]],AF777:AF782),IF(Eingabe[[#This Row],[Modus]]="P",_xlfn.RANK.EQ(Eingabe[[#This Row],[GES]],AF777:AF782),"")))</f>
        <v/>
      </c>
      <c r="AV782" s="6" t="e">
        <f>VLOOKUP(Eingabe[[#This Row],[Name]],AuswertungG[],8,FALSE)</f>
        <v>#N/A</v>
      </c>
      <c r="AZ782" s="6">
        <f>IFERROR(ABS(Eingabe[[#This Row],[GES]]-Eingabe[[#This Row],[GEGGES]]),"")</f>
        <v>0</v>
      </c>
    </row>
    <row r="783" spans="1:52" hidden="1" x14ac:dyDescent="0.3">
      <c r="A783" s="440">
        <f t="shared" ref="A783" si="91">B783</f>
        <v>131</v>
      </c>
      <c r="B783" s="55">
        <f t="shared" ref="B783:B800" si="92">ROUNDUP((ROW(B783)-2)/6,0)</f>
        <v>131</v>
      </c>
      <c r="C783" s="35">
        <f>VLOOKUP($B783,Chronologie[],7,TRUE)</f>
        <v>0</v>
      </c>
      <c r="D783" s="35">
        <f>VLOOKUP($B783,Chronologie[],8,TRUE)</f>
        <v>0</v>
      </c>
      <c r="E783" s="36">
        <f>VLOOKUP($B783,Chronologie[],9,TRUE)</f>
        <v>0</v>
      </c>
      <c r="F783" s="35">
        <f>VLOOKUP($B783,Chronologie[],COLUMN(F784)-2,TRUE)</f>
        <v>0</v>
      </c>
      <c r="G783" s="35">
        <f>VLOOKUP($B783,Chronologie[],COLUMN(G784)-2,TRUE)</f>
        <v>0</v>
      </c>
      <c r="H783" s="35">
        <f>VLOOKUP($B783,Chronologie[],COLUMN(H784)-2,TRUE)</f>
        <v>0</v>
      </c>
      <c r="I783" s="9" t="str">
        <f>VLOOKUP($B783,Chronologie[],2,TRUE)</f>
        <v>--</v>
      </c>
      <c r="J783" s="242">
        <f>VLOOKUP($B783,Chronologie[],3,TRUE)</f>
        <v>0</v>
      </c>
      <c r="K783" s="236"/>
      <c r="L783" s="334"/>
      <c r="M783" s="334"/>
      <c r="N783" s="334"/>
      <c r="O783" s="334"/>
      <c r="P783" s="334"/>
      <c r="Q783" s="334"/>
      <c r="R783" s="334"/>
      <c r="S783" s="334"/>
      <c r="T783" s="334"/>
      <c r="U783" s="334"/>
      <c r="V783" s="334"/>
      <c r="W783" s="334"/>
      <c r="X783" s="37"/>
      <c r="Y783" s="37"/>
      <c r="Z783" s="37"/>
      <c r="AA783" s="37"/>
      <c r="AB783" s="90"/>
      <c r="AC783" s="93" t="str">
        <f>IF(Eingabe[[#This Row],[V1]]="",IF(Eingabe[[#This Row],[Volle alternativ]]="","",Eingabe[[#This Row],[Volle alternativ]]),SUM(Eingabe[[#This Row],[V1]:[V4]]))</f>
        <v/>
      </c>
      <c r="AD783" s="35" t="str">
        <f>IF(Eingabe[[#This Row],[R1]]="",IF(Eingabe[[#This Row],[Räumer alternativ]]="","",Eingabe[[#This Row],[Räumer alternativ]]),SUM(Eingabe[[#This Row],[R1]:[R4]]))</f>
        <v/>
      </c>
      <c r="AE783" s="35" t="str">
        <f>IF(Eingabe[[#This Row],[F1]]="",IF(Eingabe[[#This Row],[Fehler alternativ]]="","",Eingabe[[#This Row],[Fehler alternativ]]),SUM(Eingabe[[#This Row],[F1]:[F4]]))</f>
        <v/>
      </c>
      <c r="AF783" s="35"/>
      <c r="AG783" s="35" t="str">
        <f>IF(Eingabe[[#This Row],[V1]]="","",Eingabe[[#This Row],[V1]]+Eingabe[[#This Row],[R1]])</f>
        <v/>
      </c>
      <c r="AH783" s="35" t="str">
        <f>IF(Eingabe[[#This Row],[V2]]="","",Eingabe[[#This Row],[V2]]+Eingabe[[#This Row],[R2]])</f>
        <v/>
      </c>
      <c r="AI783" s="35" t="str">
        <f>IF(Eingabe[[#This Row],[V3]]="","",Eingabe[[#This Row],[V3]]+Eingabe[[#This Row],[R3]])</f>
        <v/>
      </c>
      <c r="AJ783" s="35" t="str">
        <f>IF(Eingabe[[#This Row],[V4]]="","",Eingabe[[#This Row],[V4]]+Eingabe[[#This Row],[R4]])</f>
        <v/>
      </c>
      <c r="AK783" s="35" t="str">
        <f>IF(Eingabe[[#This Row],[S1P]]="","",Eingabe[[#This Row],[S1P]]+Eingabe[[#This Row],[S2P]]+Eingabe[[#This Row],[S3P]]+Eingabe[[#This Row],[S4P]])</f>
        <v/>
      </c>
      <c r="AL783" s="35" t="str">
        <f>IF(Eingabe[[#This Row],[S1P]]="","",IF(Eingabe[[#This Row],[SP]]&gt;2,1,IF(Eingabe[[#This Row],[SP]]&lt;2,0,IF(Eingabe[[#This Row],[GES]]&gt;Eingabe[[#This Row],[GEGGES]],1,IF(Eingabe[[#This Row],[GES]]=Eingabe[[#This Row],[GEGGES]],0.5,0)))))</f>
        <v/>
      </c>
      <c r="AM783" s="35" t="str">
        <f>IF(Eingabe[[#This Row],[MP]]="","",MOD(ROW(Eingabe[[#This Row],[Position]])-3,6)+1)</f>
        <v/>
      </c>
      <c r="AN783" s="35" t="e">
        <f>STANDARDIZE(Eingabe[[#This Row],[GES]],Eingabe[[#This Row],[Schnitt]],VLOOKUP(Eingabe[[#This Row],[Name]],AuswertungG[],21,FALSE))</f>
        <v>#N/A</v>
      </c>
      <c r="AO783" s="35" t="str">
        <f>VLOOKUP(Eingabe[[#This Row],[ID]],Chronologie[[ID]:[KW]],12,FALSE)</f>
        <v/>
      </c>
      <c r="AP783" s="58">
        <f>IF(Eingabe[[#This Row],[Wo]]="H",Eingabe[[#This Row],[Gegner]]&amp;" ["&amp;Eingabe[[#This Row],[Wo]]&amp;"]",Eingabe[[#This Row],[Ort]])</f>
        <v>0</v>
      </c>
      <c r="AQ783" s="35" t="str">
        <f>IFERROR(IF(Eingabe[[#This Row],[Wo]]="H",IF(MOD(Eingabe[[#This Row],[Position]],2)=1,Eingabe[[#This Row],[S1]],Eingabe[[#This Row],[S4]]),""),"")</f>
        <v/>
      </c>
      <c r="AR783" s="35" t="str">
        <f>IFERROR(IF(Eingabe[[#This Row],[Wo]]="H",IF(Eingabe[[#This Row],[S1]]&gt;0,IF(MOD(Eingabe[[#This Row],[Position]],2)=1,Eingabe[[#This Row],[S2]],Eingabe[[#This Row],[S3]]),""),""),"")</f>
        <v/>
      </c>
      <c r="AS783" s="35" t="str">
        <f>IFERROR(IF(Eingabe[[#This Row],[Wo]]="H",IF(Eingabe[[#This Row],[S1]]&gt;0,IF(MOD(ROW(Eingabe[[#This Row],[Heimbahn 3]]),2)=1,Eingabe[[#This Row],[S4]],Eingabe[[#This Row],[S1]]),""),""),"")</f>
        <v/>
      </c>
      <c r="AT783" s="35" t="str">
        <f>IFERROR(IF(Eingabe[[#This Row],[Wo]]="H",IF(Eingabe[[#This Row],[S1]]&gt;0,IF(MOD(ROW(Eingabe[[#This Row],[Heimbahn 4]]),2)=1,Eingabe[[#This Row],[S3]],Eingabe[[#This Row],[S2]]),""),""),"")</f>
        <v/>
      </c>
      <c r="AU783" s="88" t="str">
        <f>IF(Eingabe[[#This Row],[GES]]="","",IF(Eingabe[[#This Row],[Modus]]="L",_xlfn.RANK.EQ(Eingabe[[#This Row],[GES]],AF783:AF788),IF(Eingabe[[#This Row],[Modus]]="P",_xlfn.RANK.EQ(Eingabe[[#This Row],[GES]],AF783:AF788),"")))</f>
        <v/>
      </c>
      <c r="AV783" s="6" t="e">
        <f>VLOOKUP(Eingabe[[#This Row],[Name]],AuswertungG[],8,FALSE)</f>
        <v>#N/A</v>
      </c>
      <c r="AZ783" s="6">
        <f>IFERROR(ABS(Eingabe[[#This Row],[GES]]-Eingabe[[#This Row],[GEGGES]]),"")</f>
        <v>0</v>
      </c>
    </row>
    <row r="784" spans="1:52" hidden="1" x14ac:dyDescent="0.3">
      <c r="A784" s="441"/>
      <c r="B784" s="21">
        <f t="shared" si="92"/>
        <v>131</v>
      </c>
      <c r="C784" s="6">
        <f>VLOOKUP($B784,Chronologie[],7,TRUE)</f>
        <v>0</v>
      </c>
      <c r="D784" s="6">
        <f>VLOOKUP($B784,Chronologie[],8,TRUE)</f>
        <v>0</v>
      </c>
      <c r="E784" s="240">
        <f>VLOOKUP($B784,Chronologie[],9,TRUE)</f>
        <v>0</v>
      </c>
      <c r="F784" s="6">
        <f>VLOOKUP($B784,Chronologie[],COLUMN(F785)-2,TRUE)</f>
        <v>0</v>
      </c>
      <c r="G784" s="6">
        <f>VLOOKUP($B784,Chronologie[],COLUMN(G785)-2,TRUE)</f>
        <v>0</v>
      </c>
      <c r="H784" s="6">
        <f>VLOOKUP($B784,Chronologie[],COLUMN(H785)-2,TRUE)</f>
        <v>0</v>
      </c>
      <c r="I784" s="10" t="str">
        <f>VLOOKUP($B784,Chronologie[],2,TRUE)</f>
        <v>--</v>
      </c>
      <c r="J784" s="243">
        <f>VLOOKUP($B784,Chronologie[],3,TRUE)</f>
        <v>0</v>
      </c>
      <c r="K784" s="237"/>
      <c r="L784" s="237"/>
      <c r="M784" s="237"/>
      <c r="N784" s="237"/>
      <c r="O784" s="237"/>
      <c r="P784" s="237"/>
      <c r="Q784" s="237"/>
      <c r="R784" s="237"/>
      <c r="S784" s="237"/>
      <c r="T784" s="237"/>
      <c r="U784" s="237"/>
      <c r="V784" s="237"/>
      <c r="W784" s="237"/>
      <c r="X784" s="38"/>
      <c r="Y784" s="38"/>
      <c r="Z784" s="38"/>
      <c r="AA784" s="38"/>
      <c r="AB784" s="91"/>
      <c r="AC784" s="94" t="str">
        <f>IF(Eingabe[[#This Row],[V1]]="",IF(Eingabe[[#This Row],[Volle alternativ]]="","",Eingabe[[#This Row],[Volle alternativ]]),SUM(Eingabe[[#This Row],[V1]:[V4]]))</f>
        <v/>
      </c>
      <c r="AD784" s="6" t="str">
        <f>IF(Eingabe[[#This Row],[R1]]="",IF(Eingabe[[#This Row],[Räumer alternativ]]="","",Eingabe[[#This Row],[Räumer alternativ]]),SUM(Eingabe[[#This Row],[R1]:[R4]]))</f>
        <v/>
      </c>
      <c r="AE784" s="6" t="str">
        <f>IF(Eingabe[[#This Row],[F1]]="",IF(Eingabe[[#This Row],[Fehler alternativ]]="","",Eingabe[[#This Row],[Fehler alternativ]]),SUM(Eingabe[[#This Row],[F1]:[F4]]))</f>
        <v/>
      </c>
      <c r="AG784" s="6" t="str">
        <f>IF(Eingabe[[#This Row],[V1]]="","",Eingabe[[#This Row],[V1]]+Eingabe[[#This Row],[R1]])</f>
        <v/>
      </c>
      <c r="AH784" s="6" t="str">
        <f>IF(Eingabe[[#This Row],[V2]]="","",Eingabe[[#This Row],[V2]]+Eingabe[[#This Row],[R2]])</f>
        <v/>
      </c>
      <c r="AI784" s="6" t="str">
        <f>IF(Eingabe[[#This Row],[V3]]="","",Eingabe[[#This Row],[V3]]+Eingabe[[#This Row],[R3]])</f>
        <v/>
      </c>
      <c r="AJ784" s="6" t="str">
        <f>IF(Eingabe[[#This Row],[V4]]="","",Eingabe[[#This Row],[V4]]+Eingabe[[#This Row],[R4]])</f>
        <v/>
      </c>
      <c r="AK784" s="6" t="str">
        <f>IF(Eingabe[[#This Row],[S1P]]="","",Eingabe[[#This Row],[S1P]]+Eingabe[[#This Row],[S2P]]+Eingabe[[#This Row],[S3P]]+Eingabe[[#This Row],[S4P]])</f>
        <v/>
      </c>
      <c r="AL784" s="6" t="str">
        <f>IF(Eingabe[[#This Row],[S1P]]="","",IF(Eingabe[[#This Row],[SP]]&gt;2,1,IF(Eingabe[[#This Row],[SP]]&lt;2,0,IF(Eingabe[[#This Row],[GES]]&gt;Eingabe[[#This Row],[GEGGES]],1,IF(Eingabe[[#This Row],[GES]]=Eingabe[[#This Row],[GEGGES]],0.5,0)))))</f>
        <v/>
      </c>
      <c r="AM784" s="6" t="str">
        <f>IF(Eingabe[[#This Row],[MP]]="","",MOD(ROW(Eingabe[[#This Row],[Position]])-3,6)+1)</f>
        <v/>
      </c>
      <c r="AN784" s="6" t="e">
        <f>STANDARDIZE(Eingabe[[#This Row],[GES]],Eingabe[[#This Row],[Schnitt]],VLOOKUP(Eingabe[[#This Row],[Name]],AuswertungG[],21,FALSE))</f>
        <v>#N/A</v>
      </c>
      <c r="AO784" s="6" t="str">
        <f>VLOOKUP(Eingabe[[#This Row],[ID]],Chronologie[[ID]:[KW]],12,FALSE)</f>
        <v/>
      </c>
      <c r="AP784" s="95">
        <f>IF(Eingabe[[#This Row],[Wo]]="H",Eingabe[[#This Row],[Gegner]]&amp;" ["&amp;Eingabe[[#This Row],[Wo]]&amp;"]",Eingabe[[#This Row],[Ort]])</f>
        <v>0</v>
      </c>
      <c r="AQ784" s="6" t="str">
        <f>IFERROR(IF(Eingabe[[#This Row],[Wo]]="H",IF(MOD(Eingabe[[#This Row],[Position]],2)=1,Eingabe[[#This Row],[S1]],Eingabe[[#This Row],[S4]]),""),"")</f>
        <v/>
      </c>
      <c r="AR784" s="6" t="str">
        <f>IFERROR(IF(Eingabe[[#This Row],[Wo]]="H",IF(Eingabe[[#This Row],[S1]]&gt;0,IF(MOD(Eingabe[[#This Row],[Position]],2)=1,Eingabe[[#This Row],[S2]],Eingabe[[#This Row],[S3]]),""),""),"")</f>
        <v/>
      </c>
      <c r="AS784" s="6" t="str">
        <f>IFERROR(IF(Eingabe[[#This Row],[Wo]]="H",IF(Eingabe[[#This Row],[S1]]&gt;0,IF(MOD(ROW(Eingabe[[#This Row],[Heimbahn 3]]),2)=1,Eingabe[[#This Row],[S4]],Eingabe[[#This Row],[S1]]),""),""),"")</f>
        <v/>
      </c>
      <c r="AT784" s="6" t="str">
        <f>IFERROR(IF(Eingabe[[#This Row],[Wo]]="H",IF(Eingabe[[#This Row],[S1]]&gt;0,IF(MOD(ROW(Eingabe[[#This Row],[Heimbahn 4]]),2)=1,Eingabe[[#This Row],[S3]],Eingabe[[#This Row],[S2]]),""),""),"")</f>
        <v/>
      </c>
      <c r="AU784" s="22" t="str">
        <f>IF(Eingabe[[#This Row],[GES]]="","",IF(Eingabe[[#This Row],[Modus]]="L",_xlfn.RANK.EQ(Eingabe[[#This Row],[GES]],AF783:AF788),IF(Eingabe[[#This Row],[Modus]]="P",_xlfn.RANK.EQ(Eingabe[[#This Row],[GES]],AF783:AF788),"")))</f>
        <v/>
      </c>
      <c r="AV784" s="6" t="e">
        <f>VLOOKUP(Eingabe[[#This Row],[Name]],AuswertungG[],8,FALSE)</f>
        <v>#N/A</v>
      </c>
      <c r="AZ784" s="6">
        <f>IFERROR(ABS(Eingabe[[#This Row],[GES]]-Eingabe[[#This Row],[GEGGES]]),"")</f>
        <v>0</v>
      </c>
    </row>
    <row r="785" spans="1:52" hidden="1" x14ac:dyDescent="0.3">
      <c r="A785" s="441"/>
      <c r="B785" s="21">
        <f t="shared" si="92"/>
        <v>131</v>
      </c>
      <c r="C785" s="6">
        <f>VLOOKUP($B785,Chronologie[],7,TRUE)</f>
        <v>0</v>
      </c>
      <c r="D785" s="6">
        <f>VLOOKUP($B785,Chronologie[],8,TRUE)</f>
        <v>0</v>
      </c>
      <c r="E785" s="240">
        <f>VLOOKUP($B785,Chronologie[],9,TRUE)</f>
        <v>0</v>
      </c>
      <c r="F785" s="6">
        <f>VLOOKUP($B785,Chronologie[],COLUMN(F786)-2,TRUE)</f>
        <v>0</v>
      </c>
      <c r="G785" s="6">
        <f>VLOOKUP($B785,Chronologie[],COLUMN(G786)-2,TRUE)</f>
        <v>0</v>
      </c>
      <c r="H785" s="6">
        <f>VLOOKUP($B785,Chronologie[],COLUMN(H786)-2,TRUE)</f>
        <v>0</v>
      </c>
      <c r="I785" s="10" t="str">
        <f>VLOOKUP($B785,Chronologie[],2,TRUE)</f>
        <v>--</v>
      </c>
      <c r="J785" s="243">
        <f>VLOOKUP($B785,Chronologie[],3,TRUE)</f>
        <v>0</v>
      </c>
      <c r="K785" s="237"/>
      <c r="L785" s="237"/>
      <c r="M785" s="237"/>
      <c r="N785" s="237"/>
      <c r="O785" s="237"/>
      <c r="P785" s="237"/>
      <c r="Q785" s="237"/>
      <c r="R785" s="237"/>
      <c r="S785" s="237"/>
      <c r="T785" s="237"/>
      <c r="U785" s="237"/>
      <c r="V785" s="237"/>
      <c r="W785" s="237"/>
      <c r="X785" s="38"/>
      <c r="Y785" s="38"/>
      <c r="Z785" s="38"/>
      <c r="AA785" s="38"/>
      <c r="AB785" s="91"/>
      <c r="AC785" s="94" t="str">
        <f>IF(Eingabe[[#This Row],[V1]]="",IF(Eingabe[[#This Row],[Volle alternativ]]="","",Eingabe[[#This Row],[Volle alternativ]]),SUM(Eingabe[[#This Row],[V1]:[V4]]))</f>
        <v/>
      </c>
      <c r="AD785" s="6" t="str">
        <f>IF(Eingabe[[#This Row],[R1]]="",IF(Eingabe[[#This Row],[Räumer alternativ]]="","",Eingabe[[#This Row],[Räumer alternativ]]),SUM(Eingabe[[#This Row],[R1]:[R4]]))</f>
        <v/>
      </c>
      <c r="AE785" s="6" t="str">
        <f>IF(Eingabe[[#This Row],[F1]]="",IF(Eingabe[[#This Row],[Fehler alternativ]]="","",Eingabe[[#This Row],[Fehler alternativ]]),SUM(Eingabe[[#This Row],[F1]:[F4]]))</f>
        <v/>
      </c>
      <c r="AG785" s="6" t="str">
        <f>IF(Eingabe[[#This Row],[V1]]="","",Eingabe[[#This Row],[V1]]+Eingabe[[#This Row],[R1]])</f>
        <v/>
      </c>
      <c r="AH785" s="6" t="str">
        <f>IF(Eingabe[[#This Row],[V2]]="","",Eingabe[[#This Row],[V2]]+Eingabe[[#This Row],[R2]])</f>
        <v/>
      </c>
      <c r="AI785" s="6" t="str">
        <f>IF(Eingabe[[#This Row],[V3]]="","",Eingabe[[#This Row],[V3]]+Eingabe[[#This Row],[R3]])</f>
        <v/>
      </c>
      <c r="AJ785" s="6" t="str">
        <f>IF(Eingabe[[#This Row],[V4]]="","",Eingabe[[#This Row],[V4]]+Eingabe[[#This Row],[R4]])</f>
        <v/>
      </c>
      <c r="AK785" s="6" t="str">
        <f>IF(Eingabe[[#This Row],[S1P]]="","",Eingabe[[#This Row],[S1P]]+Eingabe[[#This Row],[S2P]]+Eingabe[[#This Row],[S3P]]+Eingabe[[#This Row],[S4P]])</f>
        <v/>
      </c>
      <c r="AL785" s="6" t="str">
        <f>IF(Eingabe[[#This Row],[S1P]]="","",IF(Eingabe[[#This Row],[SP]]&gt;2,1,IF(Eingabe[[#This Row],[SP]]&lt;2,0,IF(Eingabe[[#This Row],[GES]]&gt;Eingabe[[#This Row],[GEGGES]],1,IF(Eingabe[[#This Row],[GES]]=Eingabe[[#This Row],[GEGGES]],0.5,0)))))</f>
        <v/>
      </c>
      <c r="AM785" s="6" t="str">
        <f>IF(Eingabe[[#This Row],[MP]]="","",MOD(ROW(Eingabe[[#This Row],[Position]])-3,6)+1)</f>
        <v/>
      </c>
      <c r="AN785" s="6" t="e">
        <f>STANDARDIZE(Eingabe[[#This Row],[GES]],Eingabe[[#This Row],[Schnitt]],VLOOKUP(Eingabe[[#This Row],[Name]],AuswertungG[],21,FALSE))</f>
        <v>#N/A</v>
      </c>
      <c r="AO785" s="6" t="str">
        <f>VLOOKUP(Eingabe[[#This Row],[ID]],Chronologie[[ID]:[KW]],12,FALSE)</f>
        <v/>
      </c>
      <c r="AP785" s="95">
        <f>IF(Eingabe[[#This Row],[Wo]]="H",Eingabe[[#This Row],[Gegner]]&amp;" ["&amp;Eingabe[[#This Row],[Wo]]&amp;"]",Eingabe[[#This Row],[Ort]])</f>
        <v>0</v>
      </c>
      <c r="AQ785" s="6" t="str">
        <f>IFERROR(IF(Eingabe[[#This Row],[Wo]]="H",IF(MOD(Eingabe[[#This Row],[Position]],2)=1,Eingabe[[#This Row],[S1]],Eingabe[[#This Row],[S4]]),""),"")</f>
        <v/>
      </c>
      <c r="AR785" s="6" t="str">
        <f>IFERROR(IF(Eingabe[[#This Row],[Wo]]="H",IF(Eingabe[[#This Row],[S1]]&gt;0,IF(MOD(Eingabe[[#This Row],[Position]],2)=1,Eingabe[[#This Row],[S2]],Eingabe[[#This Row],[S3]]),""),""),"")</f>
        <v/>
      </c>
      <c r="AS785" s="6" t="str">
        <f>IFERROR(IF(Eingabe[[#This Row],[Wo]]="H",IF(Eingabe[[#This Row],[S1]]&gt;0,IF(MOD(ROW(Eingabe[[#This Row],[Heimbahn 3]]),2)=1,Eingabe[[#This Row],[S4]],Eingabe[[#This Row],[S1]]),""),""),"")</f>
        <v/>
      </c>
      <c r="AT785" s="6" t="str">
        <f>IFERROR(IF(Eingabe[[#This Row],[Wo]]="H",IF(Eingabe[[#This Row],[S1]]&gt;0,IF(MOD(ROW(Eingabe[[#This Row],[Heimbahn 4]]),2)=1,Eingabe[[#This Row],[S3]],Eingabe[[#This Row],[S2]]),""),""),"")</f>
        <v/>
      </c>
      <c r="AU785" s="22" t="str">
        <f>IF(Eingabe[[#This Row],[GES]]="","",IF(Eingabe[[#This Row],[Modus]]="L",_xlfn.RANK.EQ(Eingabe[[#This Row],[GES]],AF783:AF788),IF(Eingabe[[#This Row],[Modus]]="P",_xlfn.RANK.EQ(Eingabe[[#This Row],[GES]],AF783:AF788),"")))</f>
        <v/>
      </c>
      <c r="AV785" s="6" t="e">
        <f>VLOOKUP(Eingabe[[#This Row],[Name]],AuswertungG[],8,FALSE)</f>
        <v>#N/A</v>
      </c>
      <c r="AZ785" s="6">
        <f>IFERROR(ABS(Eingabe[[#This Row],[GES]]-Eingabe[[#This Row],[GEGGES]]),"")</f>
        <v>0</v>
      </c>
    </row>
    <row r="786" spans="1:52" hidden="1" x14ac:dyDescent="0.3">
      <c r="A786" s="441"/>
      <c r="B786" s="21">
        <f t="shared" si="92"/>
        <v>131</v>
      </c>
      <c r="C786" s="6">
        <f>VLOOKUP($B786,Chronologie[],7,TRUE)</f>
        <v>0</v>
      </c>
      <c r="D786" s="6">
        <f>VLOOKUP($B786,Chronologie[],8,TRUE)</f>
        <v>0</v>
      </c>
      <c r="E786" s="240">
        <f>VLOOKUP($B786,Chronologie[],9,TRUE)</f>
        <v>0</v>
      </c>
      <c r="F786" s="6">
        <f>VLOOKUP($B786,Chronologie[],COLUMN(F787)-2,TRUE)</f>
        <v>0</v>
      </c>
      <c r="G786" s="6">
        <f>VLOOKUP($B786,Chronologie[],COLUMN(G787)-2,TRUE)</f>
        <v>0</v>
      </c>
      <c r="H786" s="6">
        <f>VLOOKUP($B786,Chronologie[],COLUMN(H787)-2,TRUE)</f>
        <v>0</v>
      </c>
      <c r="I786" s="10" t="str">
        <f>VLOOKUP($B786,Chronologie[],2,TRUE)</f>
        <v>--</v>
      </c>
      <c r="J786" s="243">
        <f>VLOOKUP($B786,Chronologie[],3,TRUE)</f>
        <v>0</v>
      </c>
      <c r="K786" s="238"/>
      <c r="L786" s="237"/>
      <c r="M786" s="237"/>
      <c r="N786" s="237"/>
      <c r="O786" s="237"/>
      <c r="P786" s="237"/>
      <c r="Q786" s="237"/>
      <c r="R786" s="237"/>
      <c r="S786" s="237"/>
      <c r="T786" s="237"/>
      <c r="U786" s="237"/>
      <c r="V786" s="237"/>
      <c r="W786" s="237"/>
      <c r="X786" s="38"/>
      <c r="Y786" s="38"/>
      <c r="Z786" s="38"/>
      <c r="AA786" s="38"/>
      <c r="AB786" s="91"/>
      <c r="AC786" s="94" t="str">
        <f>IF(Eingabe[[#This Row],[V1]]="",IF(Eingabe[[#This Row],[Volle alternativ]]="","",Eingabe[[#This Row],[Volle alternativ]]),SUM(Eingabe[[#This Row],[V1]:[V4]]))</f>
        <v/>
      </c>
      <c r="AD786" s="6" t="str">
        <f>IF(Eingabe[[#This Row],[R1]]="",IF(Eingabe[[#This Row],[Räumer alternativ]]="","",Eingabe[[#This Row],[Räumer alternativ]]),SUM(Eingabe[[#This Row],[R1]:[R4]]))</f>
        <v/>
      </c>
      <c r="AE786" s="6" t="str">
        <f>IF(Eingabe[[#This Row],[F1]]="",IF(Eingabe[[#This Row],[Fehler alternativ]]="","",Eingabe[[#This Row],[Fehler alternativ]]),SUM(Eingabe[[#This Row],[F1]:[F4]]))</f>
        <v/>
      </c>
      <c r="AG786" s="6" t="str">
        <f>IF(Eingabe[[#This Row],[V1]]="","",Eingabe[[#This Row],[V1]]+Eingabe[[#This Row],[R1]])</f>
        <v/>
      </c>
      <c r="AH786" s="6" t="str">
        <f>IF(Eingabe[[#This Row],[V2]]="","",Eingabe[[#This Row],[V2]]+Eingabe[[#This Row],[R2]])</f>
        <v/>
      </c>
      <c r="AI786" s="6" t="str">
        <f>IF(Eingabe[[#This Row],[V3]]="","",Eingabe[[#This Row],[V3]]+Eingabe[[#This Row],[R3]])</f>
        <v/>
      </c>
      <c r="AJ786" s="6" t="str">
        <f>IF(Eingabe[[#This Row],[V4]]="","",Eingabe[[#This Row],[V4]]+Eingabe[[#This Row],[R4]])</f>
        <v/>
      </c>
      <c r="AK786" s="6" t="str">
        <f>IF(Eingabe[[#This Row],[S1P]]="","",Eingabe[[#This Row],[S1P]]+Eingabe[[#This Row],[S2P]]+Eingabe[[#This Row],[S3P]]+Eingabe[[#This Row],[S4P]])</f>
        <v/>
      </c>
      <c r="AL786" s="6" t="str">
        <f>IF(Eingabe[[#This Row],[S1P]]="","",IF(Eingabe[[#This Row],[SP]]&gt;2,1,IF(Eingabe[[#This Row],[SP]]&lt;2,0,IF(Eingabe[[#This Row],[GES]]&gt;Eingabe[[#This Row],[GEGGES]],1,IF(Eingabe[[#This Row],[GES]]=Eingabe[[#This Row],[GEGGES]],0.5,0)))))</f>
        <v/>
      </c>
      <c r="AM786" s="6" t="str">
        <f>IF(Eingabe[[#This Row],[MP]]="","",MOD(ROW(Eingabe[[#This Row],[Position]])-3,6)+1)</f>
        <v/>
      </c>
      <c r="AN786" s="6" t="e">
        <f>STANDARDIZE(Eingabe[[#This Row],[GES]],Eingabe[[#This Row],[Schnitt]],VLOOKUP(Eingabe[[#This Row],[Name]],AuswertungG[],21,FALSE))</f>
        <v>#N/A</v>
      </c>
      <c r="AO786" s="6" t="str">
        <f>VLOOKUP(Eingabe[[#This Row],[ID]],Chronologie[[ID]:[KW]],12,FALSE)</f>
        <v/>
      </c>
      <c r="AP786" s="95">
        <f>IF(Eingabe[[#This Row],[Wo]]="H",Eingabe[[#This Row],[Gegner]]&amp;" ["&amp;Eingabe[[#This Row],[Wo]]&amp;"]",Eingabe[[#This Row],[Ort]])</f>
        <v>0</v>
      </c>
      <c r="AQ786" s="6" t="str">
        <f>IFERROR(IF(Eingabe[[#This Row],[Wo]]="H",IF(MOD(Eingabe[[#This Row],[Position]],2)=1,Eingabe[[#This Row],[S1]],Eingabe[[#This Row],[S4]]),""),"")</f>
        <v/>
      </c>
      <c r="AR786" s="6" t="str">
        <f>IFERROR(IF(Eingabe[[#This Row],[Wo]]="H",IF(Eingabe[[#This Row],[S1]]&gt;0,IF(MOD(Eingabe[[#This Row],[Position]],2)=1,Eingabe[[#This Row],[S2]],Eingabe[[#This Row],[S3]]),""),""),"")</f>
        <v/>
      </c>
      <c r="AS786" s="6" t="str">
        <f>IFERROR(IF(Eingabe[[#This Row],[Wo]]="H",IF(Eingabe[[#This Row],[S1]]&gt;0,IF(MOD(ROW(Eingabe[[#This Row],[Heimbahn 3]]),2)=1,Eingabe[[#This Row],[S4]],Eingabe[[#This Row],[S1]]),""),""),"")</f>
        <v/>
      </c>
      <c r="AT786" s="6" t="str">
        <f>IFERROR(IF(Eingabe[[#This Row],[Wo]]="H",IF(Eingabe[[#This Row],[S1]]&gt;0,IF(MOD(ROW(Eingabe[[#This Row],[Heimbahn 4]]),2)=1,Eingabe[[#This Row],[S3]],Eingabe[[#This Row],[S2]]),""),""),"")</f>
        <v/>
      </c>
      <c r="AU786" s="22" t="str">
        <f>IF(Eingabe[[#This Row],[GES]]="","",IF(Eingabe[[#This Row],[Modus]]="L",_xlfn.RANK.EQ(Eingabe[[#This Row],[GES]],AF783:AF788),IF(Eingabe[[#This Row],[Modus]]="P",_xlfn.RANK.EQ(Eingabe[[#This Row],[GES]],AF783:AF788),"")))</f>
        <v/>
      </c>
      <c r="AV786" s="6" t="e">
        <f>VLOOKUP(Eingabe[[#This Row],[Name]],AuswertungG[],8,FALSE)</f>
        <v>#N/A</v>
      </c>
      <c r="AZ786" s="6">
        <f>IFERROR(ABS(Eingabe[[#This Row],[GES]]-Eingabe[[#This Row],[GEGGES]]),"")</f>
        <v>0</v>
      </c>
    </row>
    <row r="787" spans="1:52" hidden="1" x14ac:dyDescent="0.3">
      <c r="A787" s="441"/>
      <c r="B787" s="21">
        <f t="shared" si="92"/>
        <v>131</v>
      </c>
      <c r="C787" s="6">
        <f>VLOOKUP($B787,Chronologie[],7,TRUE)</f>
        <v>0</v>
      </c>
      <c r="D787" s="6">
        <f>VLOOKUP($B787,Chronologie[],8,TRUE)</f>
        <v>0</v>
      </c>
      <c r="E787" s="240">
        <f>VLOOKUP($B787,Chronologie[],9,TRUE)</f>
        <v>0</v>
      </c>
      <c r="F787" s="6">
        <f>VLOOKUP($B787,Chronologie[],COLUMN(F788)-2,TRUE)</f>
        <v>0</v>
      </c>
      <c r="G787" s="6">
        <f>VLOOKUP($B787,Chronologie[],COLUMN(G788)-2,TRUE)</f>
        <v>0</v>
      </c>
      <c r="H787" s="6">
        <f>VLOOKUP($B787,Chronologie[],COLUMN(H788)-2,TRUE)</f>
        <v>0</v>
      </c>
      <c r="I787" s="10" t="str">
        <f>VLOOKUP($B787,Chronologie[],2,TRUE)</f>
        <v>--</v>
      </c>
      <c r="J787" s="243">
        <f>VLOOKUP($B787,Chronologie[],3,TRUE)</f>
        <v>0</v>
      </c>
      <c r="K787" s="237"/>
      <c r="L787" s="237"/>
      <c r="M787" s="237"/>
      <c r="N787" s="237"/>
      <c r="O787" s="237"/>
      <c r="P787" s="237"/>
      <c r="Q787" s="237"/>
      <c r="R787" s="237"/>
      <c r="S787" s="237"/>
      <c r="T787" s="237"/>
      <c r="U787" s="237"/>
      <c r="V787" s="237"/>
      <c r="W787" s="237"/>
      <c r="X787" s="38"/>
      <c r="Y787" s="38"/>
      <c r="Z787" s="38"/>
      <c r="AA787" s="38"/>
      <c r="AB787" s="91"/>
      <c r="AC787" s="94" t="str">
        <f>IF(Eingabe[[#This Row],[V1]]="",IF(Eingabe[[#This Row],[Volle alternativ]]="","",Eingabe[[#This Row],[Volle alternativ]]),SUM(Eingabe[[#This Row],[V1]:[V4]]))</f>
        <v/>
      </c>
      <c r="AD787" s="6" t="str">
        <f>IF(Eingabe[[#This Row],[R1]]="",IF(Eingabe[[#This Row],[Räumer alternativ]]="","",Eingabe[[#This Row],[Räumer alternativ]]),SUM(Eingabe[[#This Row],[R1]:[R4]]))</f>
        <v/>
      </c>
      <c r="AE787" s="6" t="str">
        <f>IF(Eingabe[[#This Row],[F1]]="",IF(Eingabe[[#This Row],[Fehler alternativ]]="","",Eingabe[[#This Row],[Fehler alternativ]]),SUM(Eingabe[[#This Row],[F1]:[F4]]))</f>
        <v/>
      </c>
      <c r="AG787" s="6" t="str">
        <f>IF(Eingabe[[#This Row],[V1]]="","",Eingabe[[#This Row],[V1]]+Eingabe[[#This Row],[R1]])</f>
        <v/>
      </c>
      <c r="AH787" s="6" t="str">
        <f>IF(Eingabe[[#This Row],[V2]]="","",Eingabe[[#This Row],[V2]]+Eingabe[[#This Row],[R2]])</f>
        <v/>
      </c>
      <c r="AI787" s="6" t="str">
        <f>IF(Eingabe[[#This Row],[V3]]="","",Eingabe[[#This Row],[V3]]+Eingabe[[#This Row],[R3]])</f>
        <v/>
      </c>
      <c r="AJ787" s="6" t="str">
        <f>IF(Eingabe[[#This Row],[V4]]="","",Eingabe[[#This Row],[V4]]+Eingabe[[#This Row],[R4]])</f>
        <v/>
      </c>
      <c r="AK787" s="6" t="str">
        <f>IF(Eingabe[[#This Row],[S1P]]="","",Eingabe[[#This Row],[S1P]]+Eingabe[[#This Row],[S2P]]+Eingabe[[#This Row],[S3P]]+Eingabe[[#This Row],[S4P]])</f>
        <v/>
      </c>
      <c r="AL787" s="6" t="str">
        <f>IF(Eingabe[[#This Row],[S1P]]="","",IF(Eingabe[[#This Row],[SP]]&gt;2,1,IF(Eingabe[[#This Row],[SP]]&lt;2,0,IF(Eingabe[[#This Row],[GES]]&gt;Eingabe[[#This Row],[GEGGES]],1,IF(Eingabe[[#This Row],[GES]]=Eingabe[[#This Row],[GEGGES]],0.5,0)))))</f>
        <v/>
      </c>
      <c r="AM787" s="6" t="str">
        <f>IF(Eingabe[[#This Row],[MP]]="","",MOD(ROW(Eingabe[[#This Row],[Position]])-3,6)+1)</f>
        <v/>
      </c>
      <c r="AN787" s="6" t="e">
        <f>STANDARDIZE(Eingabe[[#This Row],[GES]],Eingabe[[#This Row],[Schnitt]],VLOOKUP(Eingabe[[#This Row],[Name]],AuswertungG[],21,FALSE))</f>
        <v>#N/A</v>
      </c>
      <c r="AO787" s="6" t="str">
        <f>VLOOKUP(Eingabe[[#This Row],[ID]],Chronologie[[ID]:[KW]],12,FALSE)</f>
        <v/>
      </c>
      <c r="AP787" s="95">
        <f>IF(Eingabe[[#This Row],[Wo]]="H",Eingabe[[#This Row],[Gegner]]&amp;" ["&amp;Eingabe[[#This Row],[Wo]]&amp;"]",Eingabe[[#This Row],[Ort]])</f>
        <v>0</v>
      </c>
      <c r="AQ787" s="6" t="str">
        <f>IFERROR(IF(Eingabe[[#This Row],[Wo]]="H",IF(MOD(Eingabe[[#This Row],[Position]],2)=1,Eingabe[[#This Row],[S1]],Eingabe[[#This Row],[S4]]),""),"")</f>
        <v/>
      </c>
      <c r="AR787" s="6" t="str">
        <f>IFERROR(IF(Eingabe[[#This Row],[Wo]]="H",IF(Eingabe[[#This Row],[S1]]&gt;0,IF(MOD(Eingabe[[#This Row],[Position]],2)=1,Eingabe[[#This Row],[S2]],Eingabe[[#This Row],[S3]]),""),""),"")</f>
        <v/>
      </c>
      <c r="AS787" s="6" t="str">
        <f>IFERROR(IF(Eingabe[[#This Row],[Wo]]="H",IF(Eingabe[[#This Row],[S1]]&gt;0,IF(MOD(ROW(Eingabe[[#This Row],[Heimbahn 3]]),2)=1,Eingabe[[#This Row],[S4]],Eingabe[[#This Row],[S1]]),""),""),"")</f>
        <v/>
      </c>
      <c r="AT787" s="6" t="str">
        <f>IFERROR(IF(Eingabe[[#This Row],[Wo]]="H",IF(Eingabe[[#This Row],[S1]]&gt;0,IF(MOD(ROW(Eingabe[[#This Row],[Heimbahn 4]]),2)=1,Eingabe[[#This Row],[S3]],Eingabe[[#This Row],[S2]]),""),""),"")</f>
        <v/>
      </c>
      <c r="AU787" s="22" t="str">
        <f>IF(Eingabe[[#This Row],[GES]]="","",IF(Eingabe[[#This Row],[Modus]]="L",_xlfn.RANK.EQ(Eingabe[[#This Row],[GES]],AF783:AF788),IF(Eingabe[[#This Row],[Modus]]="P",_xlfn.RANK.EQ(Eingabe[[#This Row],[GES]],AF783:AF788),"")))</f>
        <v/>
      </c>
      <c r="AV787" s="6" t="e">
        <f>VLOOKUP(Eingabe[[#This Row],[Name]],AuswertungG[],8,FALSE)</f>
        <v>#N/A</v>
      </c>
      <c r="AZ787" s="6">
        <f>IFERROR(ABS(Eingabe[[#This Row],[GES]]-Eingabe[[#This Row],[GEGGES]]),"")</f>
        <v>0</v>
      </c>
    </row>
    <row r="788" spans="1:52" ht="16.2" hidden="1" thickBot="1" x14ac:dyDescent="0.35">
      <c r="A788" s="442"/>
      <c r="B788" s="56">
        <f t="shared" si="92"/>
        <v>131</v>
      </c>
      <c r="C788" s="23">
        <f>VLOOKUP($B788,Chronologie[],7,TRUE)</f>
        <v>0</v>
      </c>
      <c r="D788" s="23">
        <f>VLOOKUP($B788,Chronologie[],8,TRUE)</f>
        <v>0</v>
      </c>
      <c r="E788" s="39">
        <f>VLOOKUP($B788,Chronologie[],9,TRUE)</f>
        <v>0</v>
      </c>
      <c r="F788" s="23">
        <f>VLOOKUP($B788,Chronologie[],COLUMN(F789)-2,TRUE)</f>
        <v>0</v>
      </c>
      <c r="G788" s="23">
        <f>VLOOKUP($B788,Chronologie[],COLUMN(G789)-2,TRUE)</f>
        <v>0</v>
      </c>
      <c r="H788" s="23">
        <f>VLOOKUP($B788,Chronologie[],COLUMN(H789)-2,TRUE)</f>
        <v>0</v>
      </c>
      <c r="I788" s="13" t="str">
        <f>VLOOKUP($B788,Chronologie[],2,TRUE)</f>
        <v>--</v>
      </c>
      <c r="J788" s="244">
        <f>VLOOKUP($B788,Chronologie[],3,TRUE)</f>
        <v>0</v>
      </c>
      <c r="K788" s="239"/>
      <c r="L788" s="239"/>
      <c r="M788" s="239"/>
      <c r="N788" s="239"/>
      <c r="O788" s="239"/>
      <c r="P788" s="239"/>
      <c r="Q788" s="239"/>
      <c r="R788" s="239"/>
      <c r="S788" s="239"/>
      <c r="T788" s="239"/>
      <c r="U788" s="239"/>
      <c r="V788" s="239"/>
      <c r="W788" s="239"/>
      <c r="X788" s="40"/>
      <c r="Y788" s="40"/>
      <c r="Z788" s="40"/>
      <c r="AA788" s="40"/>
      <c r="AB788" s="92"/>
      <c r="AC788" s="96" t="str">
        <f>IF(Eingabe[[#This Row],[V1]]="",IF(Eingabe[[#This Row],[Volle alternativ]]="","",Eingabe[[#This Row],[Volle alternativ]]),SUM(Eingabe[[#This Row],[V1]:[V4]]))</f>
        <v/>
      </c>
      <c r="AD788" s="23" t="str">
        <f>IF(Eingabe[[#This Row],[R1]]="",IF(Eingabe[[#This Row],[Räumer alternativ]]="","",Eingabe[[#This Row],[Räumer alternativ]]),SUM(Eingabe[[#This Row],[R1]:[R4]]))</f>
        <v/>
      </c>
      <c r="AE788" s="23" t="str">
        <f>IF(Eingabe[[#This Row],[F1]]="",IF(Eingabe[[#This Row],[Fehler alternativ]]="","",Eingabe[[#This Row],[Fehler alternativ]]),SUM(Eingabe[[#This Row],[F1]:[F4]]))</f>
        <v/>
      </c>
      <c r="AF788" s="23"/>
      <c r="AG788" s="23" t="str">
        <f>IF(Eingabe[[#This Row],[V1]]="","",Eingabe[[#This Row],[V1]]+Eingabe[[#This Row],[R1]])</f>
        <v/>
      </c>
      <c r="AH788" s="23" t="str">
        <f>IF(Eingabe[[#This Row],[V2]]="","",Eingabe[[#This Row],[V2]]+Eingabe[[#This Row],[R2]])</f>
        <v/>
      </c>
      <c r="AI788" s="23" t="str">
        <f>IF(Eingabe[[#This Row],[V3]]="","",Eingabe[[#This Row],[V3]]+Eingabe[[#This Row],[R3]])</f>
        <v/>
      </c>
      <c r="AJ788" s="23" t="str">
        <f>IF(Eingabe[[#This Row],[V4]]="","",Eingabe[[#This Row],[V4]]+Eingabe[[#This Row],[R4]])</f>
        <v/>
      </c>
      <c r="AK788" s="23" t="str">
        <f>IF(Eingabe[[#This Row],[S1P]]="","",Eingabe[[#This Row],[S1P]]+Eingabe[[#This Row],[S2P]]+Eingabe[[#This Row],[S3P]]+Eingabe[[#This Row],[S4P]])</f>
        <v/>
      </c>
      <c r="AL788" s="23" t="str">
        <f>IF(Eingabe[[#This Row],[S1P]]="","",IF(Eingabe[[#This Row],[SP]]&gt;2,1,IF(Eingabe[[#This Row],[SP]]&lt;2,0,IF(Eingabe[[#This Row],[GES]]&gt;Eingabe[[#This Row],[GEGGES]],1,IF(Eingabe[[#This Row],[GES]]=Eingabe[[#This Row],[GEGGES]],0.5,0)))))</f>
        <v/>
      </c>
      <c r="AM788" s="23" t="str">
        <f>IF(Eingabe[[#This Row],[MP]]="","",MOD(ROW(Eingabe[[#This Row],[Position]])-3,6)+1)</f>
        <v/>
      </c>
      <c r="AN788" s="23" t="e">
        <f>STANDARDIZE(Eingabe[[#This Row],[GES]],Eingabe[[#This Row],[Schnitt]],VLOOKUP(Eingabe[[#This Row],[Name]],AuswertungG[],21,FALSE))</f>
        <v>#N/A</v>
      </c>
      <c r="AO788" s="23" t="str">
        <f>VLOOKUP(Eingabe[[#This Row],[ID]],Chronologie[[ID]:[KW]],12,FALSE)</f>
        <v/>
      </c>
      <c r="AP788" s="59">
        <f>IF(Eingabe[[#This Row],[Wo]]="H",Eingabe[[#This Row],[Gegner]]&amp;" ["&amp;Eingabe[[#This Row],[Wo]]&amp;"]",Eingabe[[#This Row],[Ort]])</f>
        <v>0</v>
      </c>
      <c r="AQ788" s="23" t="str">
        <f>IFERROR(IF(Eingabe[[#This Row],[Wo]]="H",IF(MOD(Eingabe[[#This Row],[Position]],2)=1,Eingabe[[#This Row],[S1]],Eingabe[[#This Row],[S4]]),""),"")</f>
        <v/>
      </c>
      <c r="AR788" s="23" t="str">
        <f>IFERROR(IF(Eingabe[[#This Row],[Wo]]="H",IF(Eingabe[[#This Row],[S1]]&gt;0,IF(MOD(Eingabe[[#This Row],[Position]],2)=1,Eingabe[[#This Row],[S2]],Eingabe[[#This Row],[S3]]),""),""),"")</f>
        <v/>
      </c>
      <c r="AS788" s="23" t="str">
        <f>IFERROR(IF(Eingabe[[#This Row],[Wo]]="H",IF(Eingabe[[#This Row],[S1]]&gt;0,IF(MOD(ROW(Eingabe[[#This Row],[Heimbahn 3]]),2)=1,Eingabe[[#This Row],[S4]],Eingabe[[#This Row],[S1]]),""),""),"")</f>
        <v/>
      </c>
      <c r="AT788" s="23" t="str">
        <f>IFERROR(IF(Eingabe[[#This Row],[Wo]]="H",IF(Eingabe[[#This Row],[S1]]&gt;0,IF(MOD(ROW(Eingabe[[#This Row],[Heimbahn 4]]),2)=1,Eingabe[[#This Row],[S3]],Eingabe[[#This Row],[S2]]),""),""),"")</f>
        <v/>
      </c>
      <c r="AU788" s="89" t="str">
        <f>IF(Eingabe[[#This Row],[GES]]="","",IF(Eingabe[[#This Row],[Modus]]="L",_xlfn.RANK.EQ(Eingabe[[#This Row],[GES]],AF783:AF788),IF(Eingabe[[#This Row],[Modus]]="P",_xlfn.RANK.EQ(Eingabe[[#This Row],[GES]],AF783:AF788),"")))</f>
        <v/>
      </c>
      <c r="AV788" s="6" t="e">
        <f>VLOOKUP(Eingabe[[#This Row],[Name]],AuswertungG[],8,FALSE)</f>
        <v>#N/A</v>
      </c>
      <c r="AZ788" s="6">
        <f>IFERROR(ABS(Eingabe[[#This Row],[GES]]-Eingabe[[#This Row],[GEGGES]]),"")</f>
        <v>0</v>
      </c>
    </row>
    <row r="789" spans="1:52" hidden="1" x14ac:dyDescent="0.3">
      <c r="A789" s="440">
        <f t="shared" ref="A789" si="93">B789</f>
        <v>132</v>
      </c>
      <c r="B789" s="55">
        <f t="shared" si="92"/>
        <v>132</v>
      </c>
      <c r="C789" s="35">
        <f>VLOOKUP($B789,Chronologie[],7,TRUE)</f>
        <v>0</v>
      </c>
      <c r="D789" s="35">
        <f>VLOOKUP($B789,Chronologie[],8,TRUE)</f>
        <v>0</v>
      </c>
      <c r="E789" s="36">
        <f>VLOOKUP($B789,Chronologie[],9,TRUE)</f>
        <v>0</v>
      </c>
      <c r="F789" s="35">
        <f>VLOOKUP($B789,Chronologie[],COLUMN(F790)-2,TRUE)</f>
        <v>0</v>
      </c>
      <c r="G789" s="35">
        <f>VLOOKUP($B789,Chronologie[],COLUMN(G790)-2,TRUE)</f>
        <v>0</v>
      </c>
      <c r="H789" s="35">
        <f>VLOOKUP($B789,Chronologie[],COLUMN(H790)-2,TRUE)</f>
        <v>0</v>
      </c>
      <c r="I789" s="9" t="str">
        <f>VLOOKUP($B789,Chronologie[],2,TRUE)</f>
        <v>--</v>
      </c>
      <c r="J789" s="242">
        <f>VLOOKUP($B789,Chronologie[],3,TRUE)</f>
        <v>0</v>
      </c>
      <c r="K789" s="236"/>
      <c r="L789" s="334"/>
      <c r="M789" s="334"/>
      <c r="N789" s="334"/>
      <c r="O789" s="334"/>
      <c r="P789" s="334"/>
      <c r="Q789" s="334"/>
      <c r="R789" s="334"/>
      <c r="S789" s="334"/>
      <c r="T789" s="334"/>
      <c r="U789" s="334"/>
      <c r="V789" s="334"/>
      <c r="W789" s="334"/>
      <c r="X789" s="37"/>
      <c r="Y789" s="37"/>
      <c r="Z789" s="37"/>
      <c r="AA789" s="37"/>
      <c r="AB789" s="90"/>
      <c r="AC789" s="93" t="str">
        <f>IF(Eingabe[[#This Row],[V1]]="",IF(Eingabe[[#This Row],[Volle alternativ]]="","",Eingabe[[#This Row],[Volle alternativ]]),SUM(Eingabe[[#This Row],[V1]:[V4]]))</f>
        <v/>
      </c>
      <c r="AD789" s="35" t="str">
        <f>IF(Eingabe[[#This Row],[R1]]="",IF(Eingabe[[#This Row],[Räumer alternativ]]="","",Eingabe[[#This Row],[Räumer alternativ]]),SUM(Eingabe[[#This Row],[R1]:[R4]]))</f>
        <v/>
      </c>
      <c r="AE789" s="35" t="str">
        <f>IF(Eingabe[[#This Row],[F1]]="",IF(Eingabe[[#This Row],[Fehler alternativ]]="","",Eingabe[[#This Row],[Fehler alternativ]]),SUM(Eingabe[[#This Row],[F1]:[F4]]))</f>
        <v/>
      </c>
      <c r="AF789" s="35"/>
      <c r="AG789" s="35" t="str">
        <f>IF(Eingabe[[#This Row],[V1]]="","",Eingabe[[#This Row],[V1]]+Eingabe[[#This Row],[R1]])</f>
        <v/>
      </c>
      <c r="AH789" s="35" t="str">
        <f>IF(Eingabe[[#This Row],[V2]]="","",Eingabe[[#This Row],[V2]]+Eingabe[[#This Row],[R2]])</f>
        <v/>
      </c>
      <c r="AI789" s="35" t="str">
        <f>IF(Eingabe[[#This Row],[V3]]="","",Eingabe[[#This Row],[V3]]+Eingabe[[#This Row],[R3]])</f>
        <v/>
      </c>
      <c r="AJ789" s="35" t="str">
        <f>IF(Eingabe[[#This Row],[V4]]="","",Eingabe[[#This Row],[V4]]+Eingabe[[#This Row],[R4]])</f>
        <v/>
      </c>
      <c r="AK789" s="35" t="str">
        <f>IF(Eingabe[[#This Row],[S1P]]="","",Eingabe[[#This Row],[S1P]]+Eingabe[[#This Row],[S2P]]+Eingabe[[#This Row],[S3P]]+Eingabe[[#This Row],[S4P]])</f>
        <v/>
      </c>
      <c r="AL789" s="35" t="str">
        <f>IF(Eingabe[[#This Row],[S1P]]="","",IF(Eingabe[[#This Row],[SP]]&gt;2,1,IF(Eingabe[[#This Row],[SP]]&lt;2,0,IF(Eingabe[[#This Row],[GES]]&gt;Eingabe[[#This Row],[GEGGES]],1,IF(Eingabe[[#This Row],[GES]]=Eingabe[[#This Row],[GEGGES]],0.5,0)))))</f>
        <v/>
      </c>
      <c r="AM789" s="35" t="str">
        <f>IF(Eingabe[[#This Row],[MP]]="","",MOD(ROW(Eingabe[[#This Row],[Position]])-3,6)+1)</f>
        <v/>
      </c>
      <c r="AN789" s="35" t="e">
        <f>STANDARDIZE(Eingabe[[#This Row],[GES]],Eingabe[[#This Row],[Schnitt]],VLOOKUP(Eingabe[[#This Row],[Name]],AuswertungG[],21,FALSE))</f>
        <v>#N/A</v>
      </c>
      <c r="AO789" s="35" t="str">
        <f>VLOOKUP(Eingabe[[#This Row],[ID]],Chronologie[[ID]:[KW]],12,FALSE)</f>
        <v/>
      </c>
      <c r="AP789" s="58">
        <f>IF(Eingabe[[#This Row],[Wo]]="H",Eingabe[[#This Row],[Gegner]]&amp;" ["&amp;Eingabe[[#This Row],[Wo]]&amp;"]",Eingabe[[#This Row],[Ort]])</f>
        <v>0</v>
      </c>
      <c r="AQ789" s="35" t="str">
        <f>IFERROR(IF(Eingabe[[#This Row],[Wo]]="H",IF(MOD(Eingabe[[#This Row],[Position]],2)=1,Eingabe[[#This Row],[S1]],Eingabe[[#This Row],[S4]]),""),"")</f>
        <v/>
      </c>
      <c r="AR789" s="35" t="str">
        <f>IFERROR(IF(Eingabe[[#This Row],[Wo]]="H",IF(Eingabe[[#This Row],[S1]]&gt;0,IF(MOD(Eingabe[[#This Row],[Position]],2)=1,Eingabe[[#This Row],[S2]],Eingabe[[#This Row],[S3]]),""),""),"")</f>
        <v/>
      </c>
      <c r="AS789" s="35" t="str">
        <f>IFERROR(IF(Eingabe[[#This Row],[Wo]]="H",IF(Eingabe[[#This Row],[S1]]&gt;0,IF(MOD(ROW(Eingabe[[#This Row],[Heimbahn 3]]),2)=1,Eingabe[[#This Row],[S4]],Eingabe[[#This Row],[S1]]),""),""),"")</f>
        <v/>
      </c>
      <c r="AT789" s="35" t="str">
        <f>IFERROR(IF(Eingabe[[#This Row],[Wo]]="H",IF(Eingabe[[#This Row],[S1]]&gt;0,IF(MOD(ROW(Eingabe[[#This Row],[Heimbahn 4]]),2)=1,Eingabe[[#This Row],[S3]],Eingabe[[#This Row],[S2]]),""),""),"")</f>
        <v/>
      </c>
      <c r="AU789" s="88" t="str">
        <f>IF(Eingabe[[#This Row],[GES]]="","",IF(Eingabe[[#This Row],[Modus]]="L",_xlfn.RANK.EQ(Eingabe[[#This Row],[GES]],AF789:AF794),IF(Eingabe[[#This Row],[Modus]]="P",_xlfn.RANK.EQ(Eingabe[[#This Row],[GES]],AF789:AF794),"")))</f>
        <v/>
      </c>
      <c r="AV789" s="6" t="e">
        <f>VLOOKUP(Eingabe[[#This Row],[Name]],AuswertungG[],8,FALSE)</f>
        <v>#N/A</v>
      </c>
      <c r="AZ789" s="6">
        <f>IFERROR(ABS(Eingabe[[#This Row],[GES]]-Eingabe[[#This Row],[GEGGES]]),"")</f>
        <v>0</v>
      </c>
    </row>
    <row r="790" spans="1:52" hidden="1" x14ac:dyDescent="0.3">
      <c r="A790" s="441"/>
      <c r="B790" s="21">
        <f t="shared" si="92"/>
        <v>132</v>
      </c>
      <c r="C790" s="6">
        <f>VLOOKUP($B790,Chronologie[],7,TRUE)</f>
        <v>0</v>
      </c>
      <c r="D790" s="6">
        <f>VLOOKUP($B790,Chronologie[],8,TRUE)</f>
        <v>0</v>
      </c>
      <c r="E790" s="240">
        <f>VLOOKUP($B790,Chronologie[],9,TRUE)</f>
        <v>0</v>
      </c>
      <c r="F790" s="6">
        <f>VLOOKUP($B790,Chronologie[],COLUMN(F791)-2,TRUE)</f>
        <v>0</v>
      </c>
      <c r="G790" s="6">
        <f>VLOOKUP($B790,Chronologie[],COLUMN(G791)-2,TRUE)</f>
        <v>0</v>
      </c>
      <c r="H790" s="6">
        <f>VLOOKUP($B790,Chronologie[],COLUMN(H791)-2,TRUE)</f>
        <v>0</v>
      </c>
      <c r="I790" s="10" t="str">
        <f>VLOOKUP($B790,Chronologie[],2,TRUE)</f>
        <v>--</v>
      </c>
      <c r="J790" s="243">
        <f>VLOOKUP($B790,Chronologie[],3,TRUE)</f>
        <v>0</v>
      </c>
      <c r="K790" s="237"/>
      <c r="L790" s="237"/>
      <c r="M790" s="237"/>
      <c r="N790" s="237"/>
      <c r="O790" s="237"/>
      <c r="P790" s="237"/>
      <c r="Q790" s="237"/>
      <c r="R790" s="237"/>
      <c r="S790" s="237"/>
      <c r="T790" s="237"/>
      <c r="U790" s="237"/>
      <c r="V790" s="237"/>
      <c r="W790" s="237"/>
      <c r="X790" s="38"/>
      <c r="Y790" s="38"/>
      <c r="Z790" s="38"/>
      <c r="AA790" s="38"/>
      <c r="AB790" s="91"/>
      <c r="AC790" s="94" t="str">
        <f>IF(Eingabe[[#This Row],[V1]]="",IF(Eingabe[[#This Row],[Volle alternativ]]="","",Eingabe[[#This Row],[Volle alternativ]]),SUM(Eingabe[[#This Row],[V1]:[V4]]))</f>
        <v/>
      </c>
      <c r="AD790" s="6" t="str">
        <f>IF(Eingabe[[#This Row],[R1]]="",IF(Eingabe[[#This Row],[Räumer alternativ]]="","",Eingabe[[#This Row],[Räumer alternativ]]),SUM(Eingabe[[#This Row],[R1]:[R4]]))</f>
        <v/>
      </c>
      <c r="AE790" s="6" t="str">
        <f>IF(Eingabe[[#This Row],[F1]]="",IF(Eingabe[[#This Row],[Fehler alternativ]]="","",Eingabe[[#This Row],[Fehler alternativ]]),SUM(Eingabe[[#This Row],[F1]:[F4]]))</f>
        <v/>
      </c>
      <c r="AG790" s="6" t="str">
        <f>IF(Eingabe[[#This Row],[V1]]="","",Eingabe[[#This Row],[V1]]+Eingabe[[#This Row],[R1]])</f>
        <v/>
      </c>
      <c r="AH790" s="6" t="str">
        <f>IF(Eingabe[[#This Row],[V2]]="","",Eingabe[[#This Row],[V2]]+Eingabe[[#This Row],[R2]])</f>
        <v/>
      </c>
      <c r="AI790" s="6" t="str">
        <f>IF(Eingabe[[#This Row],[V3]]="","",Eingabe[[#This Row],[V3]]+Eingabe[[#This Row],[R3]])</f>
        <v/>
      </c>
      <c r="AJ790" s="6" t="str">
        <f>IF(Eingabe[[#This Row],[V4]]="","",Eingabe[[#This Row],[V4]]+Eingabe[[#This Row],[R4]])</f>
        <v/>
      </c>
      <c r="AK790" s="6" t="str">
        <f>IF(Eingabe[[#This Row],[S1P]]="","",Eingabe[[#This Row],[S1P]]+Eingabe[[#This Row],[S2P]]+Eingabe[[#This Row],[S3P]]+Eingabe[[#This Row],[S4P]])</f>
        <v/>
      </c>
      <c r="AL790" s="6" t="str">
        <f>IF(Eingabe[[#This Row],[S1P]]="","",IF(Eingabe[[#This Row],[SP]]&gt;2,1,IF(Eingabe[[#This Row],[SP]]&lt;2,0,IF(Eingabe[[#This Row],[GES]]&gt;Eingabe[[#This Row],[GEGGES]],1,IF(Eingabe[[#This Row],[GES]]=Eingabe[[#This Row],[GEGGES]],0.5,0)))))</f>
        <v/>
      </c>
      <c r="AM790" s="6" t="str">
        <f>IF(Eingabe[[#This Row],[MP]]="","",MOD(ROW(Eingabe[[#This Row],[Position]])-3,6)+1)</f>
        <v/>
      </c>
      <c r="AN790" s="6" t="e">
        <f>STANDARDIZE(Eingabe[[#This Row],[GES]],Eingabe[[#This Row],[Schnitt]],VLOOKUP(Eingabe[[#This Row],[Name]],AuswertungG[],21,FALSE))</f>
        <v>#N/A</v>
      </c>
      <c r="AO790" s="6" t="str">
        <f>VLOOKUP(Eingabe[[#This Row],[ID]],Chronologie[[ID]:[KW]],12,FALSE)</f>
        <v/>
      </c>
      <c r="AP790" s="95">
        <f>IF(Eingabe[[#This Row],[Wo]]="H",Eingabe[[#This Row],[Gegner]]&amp;" ["&amp;Eingabe[[#This Row],[Wo]]&amp;"]",Eingabe[[#This Row],[Ort]])</f>
        <v>0</v>
      </c>
      <c r="AQ790" s="6" t="str">
        <f>IFERROR(IF(Eingabe[[#This Row],[Wo]]="H",IF(MOD(Eingabe[[#This Row],[Position]],2)=1,Eingabe[[#This Row],[S1]],Eingabe[[#This Row],[S4]]),""),"")</f>
        <v/>
      </c>
      <c r="AR790" s="6" t="str">
        <f>IFERROR(IF(Eingabe[[#This Row],[Wo]]="H",IF(Eingabe[[#This Row],[S1]]&gt;0,IF(MOD(Eingabe[[#This Row],[Position]],2)=1,Eingabe[[#This Row],[S2]],Eingabe[[#This Row],[S3]]),""),""),"")</f>
        <v/>
      </c>
      <c r="AS790" s="6" t="str">
        <f>IFERROR(IF(Eingabe[[#This Row],[Wo]]="H",IF(Eingabe[[#This Row],[S1]]&gt;0,IF(MOD(ROW(Eingabe[[#This Row],[Heimbahn 3]]),2)=1,Eingabe[[#This Row],[S4]],Eingabe[[#This Row],[S1]]),""),""),"")</f>
        <v/>
      </c>
      <c r="AT790" s="6" t="str">
        <f>IFERROR(IF(Eingabe[[#This Row],[Wo]]="H",IF(Eingabe[[#This Row],[S1]]&gt;0,IF(MOD(ROW(Eingabe[[#This Row],[Heimbahn 4]]),2)=1,Eingabe[[#This Row],[S3]],Eingabe[[#This Row],[S2]]),""),""),"")</f>
        <v/>
      </c>
      <c r="AU790" s="22" t="str">
        <f>IF(Eingabe[[#This Row],[GES]]="","",IF(Eingabe[[#This Row],[Modus]]="L",_xlfn.RANK.EQ(Eingabe[[#This Row],[GES]],AF789:AF794),IF(Eingabe[[#This Row],[Modus]]="P",_xlfn.RANK.EQ(Eingabe[[#This Row],[GES]],AF789:AF794),"")))</f>
        <v/>
      </c>
      <c r="AV790" s="6" t="e">
        <f>VLOOKUP(Eingabe[[#This Row],[Name]],AuswertungG[],8,FALSE)</f>
        <v>#N/A</v>
      </c>
      <c r="AZ790" s="6">
        <f>IFERROR(ABS(Eingabe[[#This Row],[GES]]-Eingabe[[#This Row],[GEGGES]]),"")</f>
        <v>0</v>
      </c>
    </row>
    <row r="791" spans="1:52" hidden="1" x14ac:dyDescent="0.3">
      <c r="A791" s="441"/>
      <c r="B791" s="21">
        <f t="shared" si="92"/>
        <v>132</v>
      </c>
      <c r="C791" s="6">
        <f>VLOOKUP($B791,Chronologie[],7,TRUE)</f>
        <v>0</v>
      </c>
      <c r="D791" s="6">
        <f>VLOOKUP($B791,Chronologie[],8,TRUE)</f>
        <v>0</v>
      </c>
      <c r="E791" s="240">
        <f>VLOOKUP($B791,Chronologie[],9,TRUE)</f>
        <v>0</v>
      </c>
      <c r="F791" s="6">
        <f>VLOOKUP($B791,Chronologie[],COLUMN(F792)-2,TRUE)</f>
        <v>0</v>
      </c>
      <c r="G791" s="6">
        <f>VLOOKUP($B791,Chronologie[],COLUMN(G792)-2,TRUE)</f>
        <v>0</v>
      </c>
      <c r="H791" s="6">
        <f>VLOOKUP($B791,Chronologie[],COLUMN(H792)-2,TRUE)</f>
        <v>0</v>
      </c>
      <c r="I791" s="10" t="str">
        <f>VLOOKUP($B791,Chronologie[],2,TRUE)</f>
        <v>--</v>
      </c>
      <c r="J791" s="243">
        <f>VLOOKUP($B791,Chronologie[],3,TRUE)</f>
        <v>0</v>
      </c>
      <c r="K791" s="237"/>
      <c r="L791" s="237"/>
      <c r="M791" s="237"/>
      <c r="N791" s="237"/>
      <c r="O791" s="237"/>
      <c r="P791" s="237"/>
      <c r="Q791" s="237"/>
      <c r="R791" s="237"/>
      <c r="S791" s="237"/>
      <c r="T791" s="237"/>
      <c r="U791" s="237"/>
      <c r="V791" s="237"/>
      <c r="W791" s="237"/>
      <c r="X791" s="38"/>
      <c r="Y791" s="38"/>
      <c r="Z791" s="38"/>
      <c r="AA791" s="38"/>
      <c r="AB791" s="91"/>
      <c r="AC791" s="94" t="str">
        <f>IF(Eingabe[[#This Row],[V1]]="",IF(Eingabe[[#This Row],[Volle alternativ]]="","",Eingabe[[#This Row],[Volle alternativ]]),SUM(Eingabe[[#This Row],[V1]:[V4]]))</f>
        <v/>
      </c>
      <c r="AD791" s="6" t="str">
        <f>IF(Eingabe[[#This Row],[R1]]="",IF(Eingabe[[#This Row],[Räumer alternativ]]="","",Eingabe[[#This Row],[Räumer alternativ]]),SUM(Eingabe[[#This Row],[R1]:[R4]]))</f>
        <v/>
      </c>
      <c r="AE791" s="6" t="str">
        <f>IF(Eingabe[[#This Row],[F1]]="",IF(Eingabe[[#This Row],[Fehler alternativ]]="","",Eingabe[[#This Row],[Fehler alternativ]]),SUM(Eingabe[[#This Row],[F1]:[F4]]))</f>
        <v/>
      </c>
      <c r="AF791" s="6" t="str">
        <f>IF(Eingabe[[#This Row],[Volle]]="","",IF(Eingabe[[#This Row],[S1]]="",Eingabe[[#This Row],[Volle]]+Eingabe[[#This Row],[Räumer]],IF(Eingabe[[#This Row],[Volle]]+Eingabe[[#This Row],[Räumer]]=Eingabe[[#This Row],[S1]]+Eingabe[[#This Row],[S2]]+Eingabe[[#This Row],[S3]]+Eingabe[[#This Row],[S4]],Eingabe[[#This Row],[Volle]]+Eingabe[[#This Row],[Räumer]],"FEHLER")))</f>
        <v/>
      </c>
      <c r="AG791" s="6" t="str">
        <f>IF(Eingabe[[#This Row],[V1]]="","",Eingabe[[#This Row],[V1]]+Eingabe[[#This Row],[R1]])</f>
        <v/>
      </c>
      <c r="AH791" s="6" t="str">
        <f>IF(Eingabe[[#This Row],[V2]]="","",Eingabe[[#This Row],[V2]]+Eingabe[[#This Row],[R2]])</f>
        <v/>
      </c>
      <c r="AI791" s="6" t="str">
        <f>IF(Eingabe[[#This Row],[V3]]="","",Eingabe[[#This Row],[V3]]+Eingabe[[#This Row],[R3]])</f>
        <v/>
      </c>
      <c r="AJ791" s="6" t="str">
        <f>IF(Eingabe[[#This Row],[V4]]="","",Eingabe[[#This Row],[V4]]+Eingabe[[#This Row],[R4]])</f>
        <v/>
      </c>
      <c r="AK791" s="6" t="str">
        <f>IF(Eingabe[[#This Row],[S1P]]="","",Eingabe[[#This Row],[S1P]]+Eingabe[[#This Row],[S2P]]+Eingabe[[#This Row],[S3P]]+Eingabe[[#This Row],[S4P]])</f>
        <v/>
      </c>
      <c r="AL791" s="6" t="str">
        <f>IF(Eingabe[[#This Row],[S1P]]="","",IF(Eingabe[[#This Row],[SP]]&gt;2,1,IF(Eingabe[[#This Row],[SP]]&lt;2,0,IF(Eingabe[[#This Row],[GES]]&gt;Eingabe[[#This Row],[GEGGES]],1,IF(Eingabe[[#This Row],[GES]]=Eingabe[[#This Row],[GEGGES]],0.5,0)))))</f>
        <v/>
      </c>
      <c r="AM791" s="6" t="str">
        <f>IF(Eingabe[[#This Row],[MP]]="","",MOD(ROW(Eingabe[[#This Row],[Position]])-3,6)+1)</f>
        <v/>
      </c>
      <c r="AN791" s="6" t="e">
        <f>STANDARDIZE(Eingabe[[#This Row],[GES]],Eingabe[[#This Row],[Schnitt]],VLOOKUP(Eingabe[[#This Row],[Name]],AuswertungG[],21,FALSE))</f>
        <v>#VALUE!</v>
      </c>
      <c r="AO791" s="6" t="str">
        <f>VLOOKUP(Eingabe[[#This Row],[ID]],Chronologie[[ID]:[KW]],12,FALSE)</f>
        <v/>
      </c>
      <c r="AP791" s="95">
        <f>IF(Eingabe[[#This Row],[Wo]]="H",Eingabe[[#This Row],[Gegner]]&amp;" ["&amp;Eingabe[[#This Row],[Wo]]&amp;"]",Eingabe[[#This Row],[Ort]])</f>
        <v>0</v>
      </c>
      <c r="AQ791" s="6" t="str">
        <f>IFERROR(IF(Eingabe[[#This Row],[Wo]]="H",IF(MOD(Eingabe[[#This Row],[Position]],2)=1,Eingabe[[#This Row],[S1]],Eingabe[[#This Row],[S4]]),""),"")</f>
        <v/>
      </c>
      <c r="AR791" s="6" t="str">
        <f>IFERROR(IF(Eingabe[[#This Row],[Wo]]="H",IF(Eingabe[[#This Row],[S1]]&gt;0,IF(MOD(Eingabe[[#This Row],[Position]],2)=1,Eingabe[[#This Row],[S2]],Eingabe[[#This Row],[S3]]),""),""),"")</f>
        <v/>
      </c>
      <c r="AS791" s="6" t="str">
        <f>IFERROR(IF(Eingabe[[#This Row],[Wo]]="H",IF(Eingabe[[#This Row],[S1]]&gt;0,IF(MOD(ROW(Eingabe[[#This Row],[Heimbahn 3]]),2)=1,Eingabe[[#This Row],[S4]],Eingabe[[#This Row],[S1]]),""),""),"")</f>
        <v/>
      </c>
      <c r="AT791" s="6" t="str">
        <f>IFERROR(IF(Eingabe[[#This Row],[Wo]]="H",IF(Eingabe[[#This Row],[S1]]&gt;0,IF(MOD(ROW(Eingabe[[#This Row],[Heimbahn 4]]),2)=1,Eingabe[[#This Row],[S3]],Eingabe[[#This Row],[S2]]),""),""),"")</f>
        <v/>
      </c>
      <c r="AU791" s="22" t="str">
        <f>IF(Eingabe[[#This Row],[GES]]="","",IF(Eingabe[[#This Row],[Modus]]="L",_xlfn.RANK.EQ(Eingabe[[#This Row],[GES]],AF789:AF794),IF(Eingabe[[#This Row],[Modus]]="P",_xlfn.RANK.EQ(Eingabe[[#This Row],[GES]],AF789:AF794),"")))</f>
        <v/>
      </c>
      <c r="AV791" s="6" t="e">
        <f>VLOOKUP(Eingabe[[#This Row],[Name]],AuswertungG[],8,FALSE)</f>
        <v>#N/A</v>
      </c>
      <c r="AZ791" s="6" t="str">
        <f>IFERROR(ABS(Eingabe[[#This Row],[GES]]-Eingabe[[#This Row],[GEGGES]]),"")</f>
        <v/>
      </c>
    </row>
    <row r="792" spans="1:52" hidden="1" x14ac:dyDescent="0.3">
      <c r="A792" s="441"/>
      <c r="B792" s="21">
        <f t="shared" si="92"/>
        <v>132</v>
      </c>
      <c r="C792" s="6">
        <f>VLOOKUP($B792,Chronologie[],7,TRUE)</f>
        <v>0</v>
      </c>
      <c r="D792" s="6">
        <f>VLOOKUP($B792,Chronologie[],8,TRUE)</f>
        <v>0</v>
      </c>
      <c r="E792" s="240">
        <f>VLOOKUP($B792,Chronologie[],9,TRUE)</f>
        <v>0</v>
      </c>
      <c r="F792" s="6">
        <f>VLOOKUP($B792,Chronologie[],COLUMN(F793)-2,TRUE)</f>
        <v>0</v>
      </c>
      <c r="G792" s="6">
        <f>VLOOKUP($B792,Chronologie[],COLUMN(G793)-2,TRUE)</f>
        <v>0</v>
      </c>
      <c r="H792" s="6">
        <f>VLOOKUP($B792,Chronologie[],COLUMN(H793)-2,TRUE)</f>
        <v>0</v>
      </c>
      <c r="I792" s="10" t="str">
        <f>VLOOKUP($B792,Chronologie[],2,TRUE)</f>
        <v>--</v>
      </c>
      <c r="J792" s="243">
        <f>VLOOKUP($B792,Chronologie[],3,TRUE)</f>
        <v>0</v>
      </c>
      <c r="K792" s="238"/>
      <c r="L792" s="237"/>
      <c r="M792" s="237"/>
      <c r="N792" s="237"/>
      <c r="O792" s="237"/>
      <c r="P792" s="237"/>
      <c r="Q792" s="237"/>
      <c r="R792" s="237"/>
      <c r="S792" s="237"/>
      <c r="T792" s="237"/>
      <c r="U792" s="237"/>
      <c r="V792" s="237"/>
      <c r="W792" s="237"/>
      <c r="X792" s="38"/>
      <c r="Y792" s="38"/>
      <c r="Z792" s="38"/>
      <c r="AA792" s="38"/>
      <c r="AB792" s="91"/>
      <c r="AC792" s="94" t="str">
        <f>IF(Eingabe[[#This Row],[V1]]="",IF(Eingabe[[#This Row],[Volle alternativ]]="","",Eingabe[[#This Row],[Volle alternativ]]),SUM(Eingabe[[#This Row],[V1]:[V4]]))</f>
        <v/>
      </c>
      <c r="AD792" s="6" t="str">
        <f>IF(Eingabe[[#This Row],[R1]]="",IF(Eingabe[[#This Row],[Räumer alternativ]]="","",Eingabe[[#This Row],[Räumer alternativ]]),SUM(Eingabe[[#This Row],[R1]:[R4]]))</f>
        <v/>
      </c>
      <c r="AE792" s="6" t="str">
        <f>IF(Eingabe[[#This Row],[F1]]="",IF(Eingabe[[#This Row],[Fehler alternativ]]="","",Eingabe[[#This Row],[Fehler alternativ]]),SUM(Eingabe[[#This Row],[F1]:[F4]]))</f>
        <v/>
      </c>
      <c r="AF792" s="6" t="str">
        <f>IF(Eingabe[[#This Row],[Volle]]="","",IF(Eingabe[[#This Row],[S1]]="",Eingabe[[#This Row],[Volle]]+Eingabe[[#This Row],[Räumer]],IF(Eingabe[[#This Row],[Volle]]+Eingabe[[#This Row],[Räumer]]=Eingabe[[#This Row],[S1]]+Eingabe[[#This Row],[S2]]+Eingabe[[#This Row],[S3]]+Eingabe[[#This Row],[S4]],Eingabe[[#This Row],[Volle]]+Eingabe[[#This Row],[Räumer]],"FEHLER")))</f>
        <v/>
      </c>
      <c r="AG792" s="6" t="str">
        <f>IF(Eingabe[[#This Row],[V1]]="","",Eingabe[[#This Row],[V1]]+Eingabe[[#This Row],[R1]])</f>
        <v/>
      </c>
      <c r="AH792" s="6" t="str">
        <f>IF(Eingabe[[#This Row],[V2]]="","",Eingabe[[#This Row],[V2]]+Eingabe[[#This Row],[R2]])</f>
        <v/>
      </c>
      <c r="AI792" s="6" t="str">
        <f>IF(Eingabe[[#This Row],[V3]]="","",Eingabe[[#This Row],[V3]]+Eingabe[[#This Row],[R3]])</f>
        <v/>
      </c>
      <c r="AJ792" s="6" t="str">
        <f>IF(Eingabe[[#This Row],[V4]]="","",Eingabe[[#This Row],[V4]]+Eingabe[[#This Row],[R4]])</f>
        <v/>
      </c>
      <c r="AK792" s="6" t="str">
        <f>IF(Eingabe[[#This Row],[S1P]]="","",Eingabe[[#This Row],[S1P]]+Eingabe[[#This Row],[S2P]]+Eingabe[[#This Row],[S3P]]+Eingabe[[#This Row],[S4P]])</f>
        <v/>
      </c>
      <c r="AL792" s="6" t="str">
        <f>IF(Eingabe[[#This Row],[S1P]]="","",IF(Eingabe[[#This Row],[SP]]&gt;2,1,IF(Eingabe[[#This Row],[SP]]&lt;2,0,IF(Eingabe[[#This Row],[GES]]&gt;Eingabe[[#This Row],[GEGGES]],1,IF(Eingabe[[#This Row],[GES]]=Eingabe[[#This Row],[GEGGES]],0.5,0)))))</f>
        <v/>
      </c>
      <c r="AM792" s="6" t="str">
        <f>IF(Eingabe[[#This Row],[MP]]="","",MOD(ROW(Eingabe[[#This Row],[Position]])-3,6)+1)</f>
        <v/>
      </c>
      <c r="AN792" s="6" t="e">
        <f>STANDARDIZE(Eingabe[[#This Row],[GES]],Eingabe[[#This Row],[Schnitt]],VLOOKUP(Eingabe[[#This Row],[Name]],AuswertungG[],21,FALSE))</f>
        <v>#VALUE!</v>
      </c>
      <c r="AO792" s="6" t="str">
        <f>VLOOKUP(Eingabe[[#This Row],[ID]],Chronologie[[ID]:[KW]],12,FALSE)</f>
        <v/>
      </c>
      <c r="AP792" s="95">
        <f>IF(Eingabe[[#This Row],[Wo]]="H",Eingabe[[#This Row],[Gegner]]&amp;" ["&amp;Eingabe[[#This Row],[Wo]]&amp;"]",Eingabe[[#This Row],[Ort]])</f>
        <v>0</v>
      </c>
      <c r="AQ792" s="6" t="str">
        <f>IFERROR(IF(Eingabe[[#This Row],[Wo]]="H",IF(MOD(Eingabe[[#This Row],[Position]],2)=1,Eingabe[[#This Row],[S1]],Eingabe[[#This Row],[S4]]),""),"")</f>
        <v/>
      </c>
      <c r="AR792" s="6" t="str">
        <f>IFERROR(IF(Eingabe[[#This Row],[Wo]]="H",IF(Eingabe[[#This Row],[S1]]&gt;0,IF(MOD(Eingabe[[#This Row],[Position]],2)=1,Eingabe[[#This Row],[S2]],Eingabe[[#This Row],[S3]]),""),""),"")</f>
        <v/>
      </c>
      <c r="AS792" s="6" t="str">
        <f>IFERROR(IF(Eingabe[[#This Row],[Wo]]="H",IF(Eingabe[[#This Row],[S1]]&gt;0,IF(MOD(ROW(Eingabe[[#This Row],[Heimbahn 3]]),2)=1,Eingabe[[#This Row],[S4]],Eingabe[[#This Row],[S1]]),""),""),"")</f>
        <v/>
      </c>
      <c r="AT792" s="6" t="str">
        <f>IFERROR(IF(Eingabe[[#This Row],[Wo]]="H",IF(Eingabe[[#This Row],[S1]]&gt;0,IF(MOD(ROW(Eingabe[[#This Row],[Heimbahn 4]]),2)=1,Eingabe[[#This Row],[S3]],Eingabe[[#This Row],[S2]]),""),""),"")</f>
        <v/>
      </c>
      <c r="AU792" s="22" t="str">
        <f>IF(Eingabe[[#This Row],[GES]]="","",IF(Eingabe[[#This Row],[Modus]]="L",_xlfn.RANK.EQ(Eingabe[[#This Row],[GES]],AF789:AF794),IF(Eingabe[[#This Row],[Modus]]="P",_xlfn.RANK.EQ(Eingabe[[#This Row],[GES]],AF789:AF794),"")))</f>
        <v/>
      </c>
      <c r="AV792" s="6" t="e">
        <f>VLOOKUP(Eingabe[[#This Row],[Name]],AuswertungG[],8,FALSE)</f>
        <v>#N/A</v>
      </c>
      <c r="AZ792" s="6" t="str">
        <f>IFERROR(ABS(Eingabe[[#This Row],[GES]]-Eingabe[[#This Row],[GEGGES]]),"")</f>
        <v/>
      </c>
    </row>
    <row r="793" spans="1:52" hidden="1" x14ac:dyDescent="0.3">
      <c r="A793" s="441"/>
      <c r="B793" s="21">
        <f t="shared" si="92"/>
        <v>132</v>
      </c>
      <c r="C793" s="6">
        <f>VLOOKUP($B793,Chronologie[],7,TRUE)</f>
        <v>0</v>
      </c>
      <c r="D793" s="6">
        <f>VLOOKUP($B793,Chronologie[],8,TRUE)</f>
        <v>0</v>
      </c>
      <c r="E793" s="240">
        <f>VLOOKUP($B793,Chronologie[],9,TRUE)</f>
        <v>0</v>
      </c>
      <c r="F793" s="6">
        <f>VLOOKUP($B793,Chronologie[],COLUMN(F794)-2,TRUE)</f>
        <v>0</v>
      </c>
      <c r="G793" s="6">
        <f>VLOOKUP($B793,Chronologie[],COLUMN(G794)-2,TRUE)</f>
        <v>0</v>
      </c>
      <c r="H793" s="6">
        <f>VLOOKUP($B793,Chronologie[],COLUMN(H794)-2,TRUE)</f>
        <v>0</v>
      </c>
      <c r="I793" s="10" t="str">
        <f>VLOOKUP($B793,Chronologie[],2,TRUE)</f>
        <v>--</v>
      </c>
      <c r="J793" s="243">
        <f>VLOOKUP($B793,Chronologie[],3,TRUE)</f>
        <v>0</v>
      </c>
      <c r="K793" s="237"/>
      <c r="L793" s="237"/>
      <c r="M793" s="237"/>
      <c r="N793" s="237"/>
      <c r="O793" s="237"/>
      <c r="P793" s="237"/>
      <c r="Q793" s="237"/>
      <c r="R793" s="237"/>
      <c r="S793" s="237"/>
      <c r="T793" s="237"/>
      <c r="U793" s="237"/>
      <c r="V793" s="237"/>
      <c r="W793" s="237"/>
      <c r="X793" s="38"/>
      <c r="Y793" s="38"/>
      <c r="Z793" s="38"/>
      <c r="AA793" s="38"/>
      <c r="AB793" s="91"/>
      <c r="AC793" s="94" t="str">
        <f>IF(Eingabe[[#This Row],[V1]]="",IF(Eingabe[[#This Row],[Volle alternativ]]="","",Eingabe[[#This Row],[Volle alternativ]]),SUM(Eingabe[[#This Row],[V1]:[V4]]))</f>
        <v/>
      </c>
      <c r="AD793" s="6" t="str">
        <f>IF(Eingabe[[#This Row],[R1]]="",IF(Eingabe[[#This Row],[Räumer alternativ]]="","",Eingabe[[#This Row],[Räumer alternativ]]),SUM(Eingabe[[#This Row],[R1]:[R4]]))</f>
        <v/>
      </c>
      <c r="AE793" s="6" t="str">
        <f>IF(Eingabe[[#This Row],[F1]]="",IF(Eingabe[[#This Row],[Fehler alternativ]]="","",Eingabe[[#This Row],[Fehler alternativ]]),SUM(Eingabe[[#This Row],[F1]:[F4]]))</f>
        <v/>
      </c>
      <c r="AF793" s="6" t="str">
        <f>IF(Eingabe[[#This Row],[Volle]]="","",IF(Eingabe[[#This Row],[S1]]="",Eingabe[[#This Row],[Volle]]+Eingabe[[#This Row],[Räumer]],IF(Eingabe[[#This Row],[Volle]]+Eingabe[[#This Row],[Räumer]]=Eingabe[[#This Row],[S1]]+Eingabe[[#This Row],[S2]]+Eingabe[[#This Row],[S3]]+Eingabe[[#This Row],[S4]],Eingabe[[#This Row],[Volle]]+Eingabe[[#This Row],[Räumer]],"FEHLER")))</f>
        <v/>
      </c>
      <c r="AG793" s="6" t="str">
        <f>IF(Eingabe[[#This Row],[V1]]="","",Eingabe[[#This Row],[V1]]+Eingabe[[#This Row],[R1]])</f>
        <v/>
      </c>
      <c r="AH793" s="6" t="str">
        <f>IF(Eingabe[[#This Row],[V2]]="","",Eingabe[[#This Row],[V2]]+Eingabe[[#This Row],[R2]])</f>
        <v/>
      </c>
      <c r="AI793" s="6" t="str">
        <f>IF(Eingabe[[#This Row],[V3]]="","",Eingabe[[#This Row],[V3]]+Eingabe[[#This Row],[R3]])</f>
        <v/>
      </c>
      <c r="AJ793" s="6" t="str">
        <f>IF(Eingabe[[#This Row],[V4]]="","",Eingabe[[#This Row],[V4]]+Eingabe[[#This Row],[R4]])</f>
        <v/>
      </c>
      <c r="AK793" s="6" t="str">
        <f>IF(Eingabe[[#This Row],[S1P]]="","",Eingabe[[#This Row],[S1P]]+Eingabe[[#This Row],[S2P]]+Eingabe[[#This Row],[S3P]]+Eingabe[[#This Row],[S4P]])</f>
        <v/>
      </c>
      <c r="AL793" s="6" t="str">
        <f>IF(Eingabe[[#This Row],[S1P]]="","",IF(Eingabe[[#This Row],[SP]]&gt;2,1,IF(Eingabe[[#This Row],[SP]]&lt;2,0,IF(Eingabe[[#This Row],[GES]]&gt;Eingabe[[#This Row],[GEGGES]],1,IF(Eingabe[[#This Row],[GES]]=Eingabe[[#This Row],[GEGGES]],0.5,0)))))</f>
        <v/>
      </c>
      <c r="AM793" s="6" t="str">
        <f>IF(Eingabe[[#This Row],[MP]]="","",MOD(ROW(Eingabe[[#This Row],[Position]])-3,6)+1)</f>
        <v/>
      </c>
      <c r="AN793" s="6" t="e">
        <f>STANDARDIZE(Eingabe[[#This Row],[GES]],Eingabe[[#This Row],[Schnitt]],VLOOKUP(Eingabe[[#This Row],[Name]],AuswertungG[],21,FALSE))</f>
        <v>#VALUE!</v>
      </c>
      <c r="AO793" s="6" t="str">
        <f>VLOOKUP(Eingabe[[#This Row],[ID]],Chronologie[[ID]:[KW]],12,FALSE)</f>
        <v/>
      </c>
      <c r="AP793" s="95">
        <f>IF(Eingabe[[#This Row],[Wo]]="H",Eingabe[[#This Row],[Gegner]]&amp;" ["&amp;Eingabe[[#This Row],[Wo]]&amp;"]",Eingabe[[#This Row],[Ort]])</f>
        <v>0</v>
      </c>
      <c r="AQ793" s="6" t="str">
        <f>IFERROR(IF(Eingabe[[#This Row],[Wo]]="H",IF(MOD(Eingabe[[#This Row],[Position]],2)=1,Eingabe[[#This Row],[S1]],Eingabe[[#This Row],[S4]]),""),"")</f>
        <v/>
      </c>
      <c r="AR793" s="6" t="str">
        <f>IFERROR(IF(Eingabe[[#This Row],[Wo]]="H",IF(Eingabe[[#This Row],[S1]]&gt;0,IF(MOD(Eingabe[[#This Row],[Position]],2)=1,Eingabe[[#This Row],[S2]],Eingabe[[#This Row],[S3]]),""),""),"")</f>
        <v/>
      </c>
      <c r="AS793" s="6" t="str">
        <f>IFERROR(IF(Eingabe[[#This Row],[Wo]]="H",IF(Eingabe[[#This Row],[S1]]&gt;0,IF(MOD(ROW(Eingabe[[#This Row],[Heimbahn 3]]),2)=1,Eingabe[[#This Row],[S4]],Eingabe[[#This Row],[S1]]),""),""),"")</f>
        <v/>
      </c>
      <c r="AT793" s="6" t="str">
        <f>IFERROR(IF(Eingabe[[#This Row],[Wo]]="H",IF(Eingabe[[#This Row],[S1]]&gt;0,IF(MOD(ROW(Eingabe[[#This Row],[Heimbahn 4]]),2)=1,Eingabe[[#This Row],[S3]],Eingabe[[#This Row],[S2]]),""),""),"")</f>
        <v/>
      </c>
      <c r="AU793" s="22" t="str">
        <f>IF(Eingabe[[#This Row],[GES]]="","",IF(Eingabe[[#This Row],[Modus]]="L",_xlfn.RANK.EQ(Eingabe[[#This Row],[GES]],AF789:AF794),IF(Eingabe[[#This Row],[Modus]]="P",_xlfn.RANK.EQ(Eingabe[[#This Row],[GES]],AF789:AF794),"")))</f>
        <v/>
      </c>
      <c r="AV793" s="6" t="e">
        <f>VLOOKUP(Eingabe[[#This Row],[Name]],AuswertungG[],8,FALSE)</f>
        <v>#N/A</v>
      </c>
      <c r="AZ793" s="6" t="str">
        <f>IFERROR(ABS(Eingabe[[#This Row],[GES]]-Eingabe[[#This Row],[GEGGES]]),"")</f>
        <v/>
      </c>
    </row>
    <row r="794" spans="1:52" ht="16.2" hidden="1" thickBot="1" x14ac:dyDescent="0.35">
      <c r="A794" s="442"/>
      <c r="B794" s="56">
        <f t="shared" si="92"/>
        <v>132</v>
      </c>
      <c r="C794" s="23">
        <f>VLOOKUP($B794,Chronologie[],7,TRUE)</f>
        <v>0</v>
      </c>
      <c r="D794" s="23">
        <f>VLOOKUP($B794,Chronologie[],8,TRUE)</f>
        <v>0</v>
      </c>
      <c r="E794" s="39">
        <f>VLOOKUP($B794,Chronologie[],9,TRUE)</f>
        <v>0</v>
      </c>
      <c r="F794" s="23">
        <f>VLOOKUP($B794,Chronologie[],COLUMN(F801)-2,TRUE)</f>
        <v>0</v>
      </c>
      <c r="G794" s="23">
        <f>VLOOKUP($B794,Chronologie[],COLUMN(G801)-2,TRUE)</f>
        <v>0</v>
      </c>
      <c r="H794" s="23">
        <f>VLOOKUP($B794,Chronologie[],COLUMN(H801)-2,TRUE)</f>
        <v>0</v>
      </c>
      <c r="I794" s="13" t="str">
        <f>VLOOKUP($B794,Chronologie[],2,TRUE)</f>
        <v>--</v>
      </c>
      <c r="J794" s="244">
        <f>VLOOKUP($B794,Chronologie[],3,TRUE)</f>
        <v>0</v>
      </c>
      <c r="K794" s="239"/>
      <c r="L794" s="239"/>
      <c r="M794" s="239"/>
      <c r="N794" s="239"/>
      <c r="O794" s="239"/>
      <c r="P794" s="239"/>
      <c r="Q794" s="239"/>
      <c r="R794" s="239"/>
      <c r="S794" s="239"/>
      <c r="T794" s="239"/>
      <c r="U794" s="239"/>
      <c r="V794" s="239"/>
      <c r="W794" s="239"/>
      <c r="X794" s="40"/>
      <c r="Y794" s="40"/>
      <c r="Z794" s="40"/>
      <c r="AA794" s="40"/>
      <c r="AB794" s="92"/>
      <c r="AC794" s="96" t="str">
        <f>IF(Eingabe[[#This Row],[V1]]="",IF(Eingabe[[#This Row],[Volle alternativ]]="","",Eingabe[[#This Row],[Volle alternativ]]),SUM(Eingabe[[#This Row],[V1]:[V4]]))</f>
        <v/>
      </c>
      <c r="AD794" s="23" t="str">
        <f>IF(Eingabe[[#This Row],[R1]]="",IF(Eingabe[[#This Row],[Räumer alternativ]]="","",Eingabe[[#This Row],[Räumer alternativ]]),SUM(Eingabe[[#This Row],[R1]:[R4]]))</f>
        <v/>
      </c>
      <c r="AE794" s="23" t="str">
        <f>IF(Eingabe[[#This Row],[F1]]="",IF(Eingabe[[#This Row],[Fehler alternativ]]="","",Eingabe[[#This Row],[Fehler alternativ]]),SUM(Eingabe[[#This Row],[F1]:[F4]]))</f>
        <v/>
      </c>
      <c r="AF794" s="23" t="str">
        <f>IF(Eingabe[[#This Row],[Volle]]="","",IF(Eingabe[[#This Row],[S1]]="",Eingabe[[#This Row],[Volle]]+Eingabe[[#This Row],[Räumer]],IF(Eingabe[[#This Row],[Volle]]+Eingabe[[#This Row],[Räumer]]=Eingabe[[#This Row],[S1]]+Eingabe[[#This Row],[S2]]+Eingabe[[#This Row],[S3]]+Eingabe[[#This Row],[S4]],Eingabe[[#This Row],[Volle]]+Eingabe[[#This Row],[Räumer]],"FEHLER")))</f>
        <v/>
      </c>
      <c r="AG794" s="23" t="str">
        <f>IF(Eingabe[[#This Row],[V1]]="","",Eingabe[[#This Row],[V1]]+Eingabe[[#This Row],[R1]])</f>
        <v/>
      </c>
      <c r="AH794" s="23" t="str">
        <f>IF(Eingabe[[#This Row],[V2]]="","",Eingabe[[#This Row],[V2]]+Eingabe[[#This Row],[R2]])</f>
        <v/>
      </c>
      <c r="AI794" s="23" t="str">
        <f>IF(Eingabe[[#This Row],[V3]]="","",Eingabe[[#This Row],[V3]]+Eingabe[[#This Row],[R3]])</f>
        <v/>
      </c>
      <c r="AJ794" s="23" t="str">
        <f>IF(Eingabe[[#This Row],[V4]]="","",Eingabe[[#This Row],[V4]]+Eingabe[[#This Row],[R4]])</f>
        <v/>
      </c>
      <c r="AK794" s="23" t="str">
        <f>IF(Eingabe[[#This Row],[S1P]]="","",Eingabe[[#This Row],[S1P]]+Eingabe[[#This Row],[S2P]]+Eingabe[[#This Row],[S3P]]+Eingabe[[#This Row],[S4P]])</f>
        <v/>
      </c>
      <c r="AL794" s="23" t="str">
        <f>IF(Eingabe[[#This Row],[S1P]]="","",IF(Eingabe[[#This Row],[SP]]&gt;2,1,IF(Eingabe[[#This Row],[SP]]&lt;2,0,IF(Eingabe[[#This Row],[GES]]&gt;Eingabe[[#This Row],[GEGGES]],1,IF(Eingabe[[#This Row],[GES]]=Eingabe[[#This Row],[GEGGES]],0.5,0)))))</f>
        <v/>
      </c>
      <c r="AM794" s="23" t="str">
        <f>IF(Eingabe[[#This Row],[MP]]="","",MOD(ROW(Eingabe[[#This Row],[Position]])-3,6)+1)</f>
        <v/>
      </c>
      <c r="AN794" s="23" t="e">
        <f>STANDARDIZE(Eingabe[[#This Row],[GES]],Eingabe[[#This Row],[Schnitt]],VLOOKUP(Eingabe[[#This Row],[Name]],AuswertungG[],21,FALSE))</f>
        <v>#VALUE!</v>
      </c>
      <c r="AO794" s="23" t="str">
        <f>VLOOKUP(Eingabe[[#This Row],[ID]],Chronologie[[ID]:[KW]],12,FALSE)</f>
        <v/>
      </c>
      <c r="AP794" s="59">
        <f>IF(Eingabe[[#This Row],[Wo]]="H",Eingabe[[#This Row],[Gegner]]&amp;" ["&amp;Eingabe[[#This Row],[Wo]]&amp;"]",Eingabe[[#This Row],[Ort]])</f>
        <v>0</v>
      </c>
      <c r="AQ794" s="23" t="str">
        <f>IFERROR(IF(Eingabe[[#This Row],[Wo]]="H",IF(MOD(Eingabe[[#This Row],[Position]],2)=1,Eingabe[[#This Row],[S1]],Eingabe[[#This Row],[S4]]),""),"")</f>
        <v/>
      </c>
      <c r="AR794" s="23" t="str">
        <f>IFERROR(IF(Eingabe[[#This Row],[Wo]]="H",IF(Eingabe[[#This Row],[S1]]&gt;0,IF(MOD(Eingabe[[#This Row],[Position]],2)=1,Eingabe[[#This Row],[S2]],Eingabe[[#This Row],[S3]]),""),""),"")</f>
        <v/>
      </c>
      <c r="AS794" s="23" t="str">
        <f>IFERROR(IF(Eingabe[[#This Row],[Wo]]="H",IF(Eingabe[[#This Row],[S1]]&gt;0,IF(MOD(ROW(Eingabe[[#This Row],[Heimbahn 3]]),2)=1,Eingabe[[#This Row],[S4]],Eingabe[[#This Row],[S1]]),""),""),"")</f>
        <v/>
      </c>
      <c r="AT794" s="23" t="str">
        <f>IFERROR(IF(Eingabe[[#This Row],[Wo]]="H",IF(Eingabe[[#This Row],[S1]]&gt;0,IF(MOD(ROW(Eingabe[[#This Row],[Heimbahn 4]]),2)=1,Eingabe[[#This Row],[S3]],Eingabe[[#This Row],[S2]]),""),""),"")</f>
        <v/>
      </c>
      <c r="AU794" s="89" t="str">
        <f>IF(Eingabe[[#This Row],[GES]]="","",IF(Eingabe[[#This Row],[Modus]]="L",_xlfn.RANK.EQ(Eingabe[[#This Row],[GES]],AF789:AF794),IF(Eingabe[[#This Row],[Modus]]="P",_xlfn.RANK.EQ(Eingabe[[#This Row],[GES]],AF789:AF794),"")))</f>
        <v/>
      </c>
      <c r="AV794" s="6" t="e">
        <f>VLOOKUP(Eingabe[[#This Row],[Name]],AuswertungG[],8,FALSE)</f>
        <v>#N/A</v>
      </c>
      <c r="AZ794" s="6" t="str">
        <f>IFERROR(ABS(Eingabe[[#This Row],[GES]]-Eingabe[[#This Row],[GEGGES]]),"")</f>
        <v/>
      </c>
    </row>
    <row r="795" spans="1:52" hidden="1" x14ac:dyDescent="0.3">
      <c r="B795" s="6">
        <f t="shared" si="92"/>
        <v>133</v>
      </c>
      <c r="C795" s="6">
        <f>VLOOKUP($B795,Chronologie[],7,TRUE)</f>
        <v>0</v>
      </c>
      <c r="D795" s="6">
        <f>VLOOKUP($B795,Chronologie[],8,TRUE)</f>
        <v>0</v>
      </c>
      <c r="E795" s="240">
        <f>VLOOKUP($B795,Chronologie[],9,TRUE)</f>
        <v>0</v>
      </c>
      <c r="F795" s="6">
        <f>VLOOKUP($B795,Chronologie[],COLUMN(F796)-2,TRUE)</f>
        <v>0</v>
      </c>
      <c r="G795" s="6">
        <f>VLOOKUP($B795,Chronologie[],COLUMN(G796)-2,TRUE)</f>
        <v>0</v>
      </c>
      <c r="H795" s="6">
        <f>VLOOKUP($B795,Chronologie[],COLUMN(H796)-2,TRUE)</f>
        <v>0</v>
      </c>
      <c r="I795" s="6" t="str">
        <f>VLOOKUP($B795,Chronologie[],2,TRUE)</f>
        <v>--</v>
      </c>
      <c r="J795" s="240">
        <f>VLOOKUP($B795,Chronologie[],3,TRUE)</f>
        <v>0</v>
      </c>
      <c r="K795" s="261"/>
      <c r="L795" s="369"/>
      <c r="M795" s="369"/>
      <c r="N795" s="369"/>
      <c r="O795" s="369"/>
      <c r="P795" s="369"/>
      <c r="Q795" s="369"/>
      <c r="R795" s="369"/>
      <c r="S795" s="369"/>
      <c r="T795" s="369"/>
      <c r="U795" s="369"/>
      <c r="V795" s="369"/>
      <c r="W795" s="369"/>
      <c r="X795" s="369"/>
      <c r="Y795" s="369"/>
      <c r="Z795" s="369"/>
      <c r="AA795" s="369"/>
      <c r="AB795" s="370"/>
      <c r="AC795" s="94" t="str">
        <f>IF(Eingabe[[#This Row],[V1]]="",IF(Eingabe[[#This Row],[Volle alternativ]]="","",Eingabe[[#This Row],[Volle alternativ]]),SUM(Eingabe[[#This Row],[V1]:[V4]]))</f>
        <v/>
      </c>
      <c r="AD795" s="262" t="str">
        <f>IF(Eingabe[[#This Row],[R1]]="",IF(Eingabe[[#This Row],[Räumer alternativ]]="","",Eingabe[[#This Row],[Räumer alternativ]]),SUM(Eingabe[[#This Row],[R1]:[R4]]))</f>
        <v/>
      </c>
      <c r="AE795" s="262" t="str">
        <f>IF(Eingabe[[#This Row],[F1]]="",IF(Eingabe[[#This Row],[Fehler alternativ]]="","",Eingabe[[#This Row],[Fehler alternativ]]),SUM(Eingabe[[#This Row],[F1]:[F4]]))</f>
        <v/>
      </c>
      <c r="AF795" s="262" t="str">
        <f>IF(Eingabe[[#This Row],[Volle]]="","",IF(Eingabe[[#This Row],[S1]]="",Eingabe[[#This Row],[Volle]]+Eingabe[[#This Row],[Räumer]],IF(Eingabe[[#This Row],[Volle]]+Eingabe[[#This Row],[Räumer]]=Eingabe[[#This Row],[S1]]+Eingabe[[#This Row],[S2]]+Eingabe[[#This Row],[S3]]+Eingabe[[#This Row],[S4]],Eingabe[[#This Row],[Volle]]+Eingabe[[#This Row],[Räumer]],"FEHLER")))</f>
        <v/>
      </c>
      <c r="AG795" s="262" t="str">
        <f>IF(Eingabe[[#This Row],[V1]]="","",Eingabe[[#This Row],[V1]]+Eingabe[[#This Row],[R1]])</f>
        <v/>
      </c>
      <c r="AH795" s="262" t="str">
        <f>IF(Eingabe[[#This Row],[V2]]="","",Eingabe[[#This Row],[V2]]+Eingabe[[#This Row],[R2]])</f>
        <v/>
      </c>
      <c r="AI795" s="262" t="str">
        <f>IF(Eingabe[[#This Row],[V3]]="","",Eingabe[[#This Row],[V3]]+Eingabe[[#This Row],[R3]])</f>
        <v/>
      </c>
      <c r="AJ795" s="262" t="str">
        <f>IF(Eingabe[[#This Row],[V4]]="","",Eingabe[[#This Row],[V4]]+Eingabe[[#This Row],[R4]])</f>
        <v/>
      </c>
      <c r="AK795" s="262" t="str">
        <f>IF(Eingabe[[#This Row],[S1P]]="","",Eingabe[[#This Row],[S1P]]+Eingabe[[#This Row],[S2P]]+Eingabe[[#This Row],[S3P]]+Eingabe[[#This Row],[S4P]])</f>
        <v/>
      </c>
      <c r="AL795" s="6" t="str">
        <f>IF(Eingabe[[#This Row],[S1P]]="","",IF(Eingabe[[#This Row],[SP]]&gt;2,1,IF(Eingabe[[#This Row],[SP]]&lt;2,0,IF(Eingabe[[#This Row],[GES]]&gt;Eingabe[[#This Row],[GEGGES]],1,IF(Eingabe[[#This Row],[GES]]=Eingabe[[#This Row],[GEGGES]],0.5,0)))))</f>
        <v/>
      </c>
      <c r="AM795" s="6" t="str">
        <f>IF(Eingabe[[#This Row],[MP]]="","",MOD(ROW(Eingabe[[#This Row],[Position]])-3,6)+1)</f>
        <v/>
      </c>
      <c r="AN795" s="6" t="e">
        <f>STANDARDIZE(Eingabe[[#This Row],[GES]],Eingabe[[#This Row],[Schnitt]],VLOOKUP(Eingabe[[#This Row],[Name]],AuswertungG[],21,FALSE))</f>
        <v>#VALUE!</v>
      </c>
      <c r="AO795" s="6" t="str">
        <f>VLOOKUP(Eingabe[[#This Row],[ID]],Chronologie[[ID]:[KW]],12,FALSE)</f>
        <v/>
      </c>
      <c r="AP795" s="95">
        <f>IF(Eingabe[[#This Row],[Wo]]="H",Eingabe[[#This Row],[Gegner]]&amp;" ["&amp;Eingabe[[#This Row],[Wo]]&amp;"]",Eingabe[[#This Row],[Ort]])</f>
        <v>0</v>
      </c>
      <c r="AQ795" s="6" t="str">
        <f>IFERROR(IF(Eingabe[[#This Row],[Wo]]="H",IF(MOD(Eingabe[[#This Row],[Position]],2)=1,Eingabe[[#This Row],[S1]],Eingabe[[#This Row],[S4]]),""),"")</f>
        <v/>
      </c>
      <c r="AR795" s="6" t="str">
        <f>IFERROR(IF(Eingabe[[#This Row],[Wo]]="H",IF(Eingabe[[#This Row],[S1]]&gt;0,IF(MOD(Eingabe[[#This Row],[Position]],2)=1,Eingabe[[#This Row],[S2]],Eingabe[[#This Row],[S3]]),""),""),"")</f>
        <v/>
      </c>
      <c r="AS795" s="6" t="str">
        <f>IFERROR(IF(Eingabe[[#This Row],[Wo]]="H",IF(Eingabe[[#This Row],[S1]]&gt;0,IF(MOD(ROW(Eingabe[[#This Row],[Heimbahn 3]]),2)=1,Eingabe[[#This Row],[S4]],Eingabe[[#This Row],[S1]]),""),""),"")</f>
        <v/>
      </c>
      <c r="AT795" s="6" t="str">
        <f>IFERROR(IF(Eingabe[[#This Row],[Wo]]="H",IF(Eingabe[[#This Row],[S1]]&gt;0,IF(MOD(ROW(Eingabe[[#This Row],[Heimbahn 4]]),2)=1,Eingabe[[#This Row],[S3]],Eingabe[[#This Row],[S2]]),""),""),"")</f>
        <v/>
      </c>
      <c r="AU795" s="88" t="str">
        <f>IF(Eingabe[[#This Row],[GES]]="","",IF(Eingabe[[#This Row],[Modus]]="L",_xlfn.RANK.EQ(Eingabe[[#This Row],[GES]],AF795:AF800),IF(Eingabe[[#This Row],[Modus]]="P",_xlfn.RANK.EQ(Eingabe[[#This Row],[GES]],AF795:AF800),"")))</f>
        <v/>
      </c>
      <c r="AV795" s="6" t="e">
        <f>VLOOKUP(Eingabe[[#This Row],[Name]],AuswertungG[],8,FALSE)</f>
        <v>#N/A</v>
      </c>
      <c r="AZ795" s="6" t="str">
        <f>IFERROR(ABS(Eingabe[[#This Row],[GES]]-Eingabe[[#This Row],[GEGGES]]),"")</f>
        <v/>
      </c>
    </row>
    <row r="796" spans="1:52" hidden="1" x14ac:dyDescent="0.3">
      <c r="B796" s="6">
        <f t="shared" si="92"/>
        <v>133</v>
      </c>
      <c r="C796" s="6">
        <f>VLOOKUP($B796,Chronologie[],7,TRUE)</f>
        <v>0</v>
      </c>
      <c r="D796" s="6">
        <f>VLOOKUP($B796,Chronologie[],8,TRUE)</f>
        <v>0</v>
      </c>
      <c r="E796" s="240">
        <f>VLOOKUP($B796,Chronologie[],9,TRUE)</f>
        <v>0</v>
      </c>
      <c r="F796" s="6">
        <f>VLOOKUP($B796,Chronologie[],COLUMN(F797)-2,TRUE)</f>
        <v>0</v>
      </c>
      <c r="G796" s="6">
        <f>VLOOKUP($B796,Chronologie[],COLUMN(G797)-2,TRUE)</f>
        <v>0</v>
      </c>
      <c r="H796" s="6">
        <f>VLOOKUP($B796,Chronologie[],COLUMN(H797)-2,TRUE)</f>
        <v>0</v>
      </c>
      <c r="I796" s="6" t="str">
        <f>VLOOKUP($B796,Chronologie[],2,TRUE)</f>
        <v>--</v>
      </c>
      <c r="J796" s="240">
        <f>VLOOKUP($B796,Chronologie[],3,TRUE)</f>
        <v>0</v>
      </c>
      <c r="K796" s="261"/>
      <c r="L796" s="369"/>
      <c r="M796" s="369"/>
      <c r="N796" s="369"/>
      <c r="O796" s="369"/>
      <c r="P796" s="369"/>
      <c r="Q796" s="369"/>
      <c r="R796" s="369"/>
      <c r="S796" s="369"/>
      <c r="T796" s="369"/>
      <c r="U796" s="369"/>
      <c r="V796" s="369"/>
      <c r="W796" s="369"/>
      <c r="X796" s="369"/>
      <c r="Y796" s="369"/>
      <c r="Z796" s="369"/>
      <c r="AA796" s="369"/>
      <c r="AB796" s="370"/>
      <c r="AC796" s="94" t="str">
        <f>IF(Eingabe[[#This Row],[V1]]="",IF(Eingabe[[#This Row],[Volle alternativ]]="","",Eingabe[[#This Row],[Volle alternativ]]),SUM(Eingabe[[#This Row],[V1]:[V4]]))</f>
        <v/>
      </c>
      <c r="AD796" s="262" t="str">
        <f>IF(Eingabe[[#This Row],[R1]]="",IF(Eingabe[[#This Row],[Räumer alternativ]]="","",Eingabe[[#This Row],[Räumer alternativ]]),SUM(Eingabe[[#This Row],[R1]:[R4]]))</f>
        <v/>
      </c>
      <c r="AE796" s="262" t="str">
        <f>IF(Eingabe[[#This Row],[F1]]="",IF(Eingabe[[#This Row],[Fehler alternativ]]="","",Eingabe[[#This Row],[Fehler alternativ]]),SUM(Eingabe[[#This Row],[F1]:[F4]]))</f>
        <v/>
      </c>
      <c r="AF796" s="262" t="str">
        <f>IF(Eingabe[[#This Row],[Volle]]="","",IF(Eingabe[[#This Row],[S1]]="",Eingabe[[#This Row],[Volle]]+Eingabe[[#This Row],[Räumer]],IF(Eingabe[[#This Row],[Volle]]+Eingabe[[#This Row],[Räumer]]=Eingabe[[#This Row],[S1]]+Eingabe[[#This Row],[S2]]+Eingabe[[#This Row],[S3]]+Eingabe[[#This Row],[S4]],Eingabe[[#This Row],[Volle]]+Eingabe[[#This Row],[Räumer]],"FEHLER")))</f>
        <v/>
      </c>
      <c r="AG796" s="262" t="str">
        <f>IF(Eingabe[[#This Row],[V1]]="","",Eingabe[[#This Row],[V1]]+Eingabe[[#This Row],[R1]])</f>
        <v/>
      </c>
      <c r="AH796" s="262" t="str">
        <f>IF(Eingabe[[#This Row],[V2]]="","",Eingabe[[#This Row],[V2]]+Eingabe[[#This Row],[R2]])</f>
        <v/>
      </c>
      <c r="AI796" s="262" t="str">
        <f>IF(Eingabe[[#This Row],[V3]]="","",Eingabe[[#This Row],[V3]]+Eingabe[[#This Row],[R3]])</f>
        <v/>
      </c>
      <c r="AJ796" s="262" t="str">
        <f>IF(Eingabe[[#This Row],[V4]]="","",Eingabe[[#This Row],[V4]]+Eingabe[[#This Row],[R4]])</f>
        <v/>
      </c>
      <c r="AK796" s="262" t="str">
        <f>IF(Eingabe[[#This Row],[S1P]]="","",Eingabe[[#This Row],[S1P]]+Eingabe[[#This Row],[S2P]]+Eingabe[[#This Row],[S3P]]+Eingabe[[#This Row],[S4P]])</f>
        <v/>
      </c>
      <c r="AL796" s="6" t="str">
        <f>IF(Eingabe[[#This Row],[S1P]]="","",IF(Eingabe[[#This Row],[SP]]&gt;2,1,IF(Eingabe[[#This Row],[SP]]&lt;2,0,IF(Eingabe[[#This Row],[GES]]&gt;Eingabe[[#This Row],[GEGGES]],1,IF(Eingabe[[#This Row],[GES]]=Eingabe[[#This Row],[GEGGES]],0.5,0)))))</f>
        <v/>
      </c>
      <c r="AM796" s="6" t="str">
        <f>IF(Eingabe[[#This Row],[MP]]="","",MOD(ROW(Eingabe[[#This Row],[Position]])-3,6)+1)</f>
        <v/>
      </c>
      <c r="AN796" s="6" t="e">
        <f>STANDARDIZE(Eingabe[[#This Row],[GES]],Eingabe[[#This Row],[Schnitt]],VLOOKUP(Eingabe[[#This Row],[Name]],AuswertungG[],21,FALSE))</f>
        <v>#VALUE!</v>
      </c>
      <c r="AO796" s="6" t="str">
        <f>VLOOKUP(Eingabe[[#This Row],[ID]],Chronologie[[ID]:[KW]],12,FALSE)</f>
        <v/>
      </c>
      <c r="AP796" s="95">
        <f>IF(Eingabe[[#This Row],[Wo]]="H",Eingabe[[#This Row],[Gegner]]&amp;" ["&amp;Eingabe[[#This Row],[Wo]]&amp;"]",Eingabe[[#This Row],[Ort]])</f>
        <v>0</v>
      </c>
      <c r="AQ796" s="6" t="str">
        <f>IFERROR(IF(Eingabe[[#This Row],[Wo]]="H",IF(MOD(Eingabe[[#This Row],[Position]],2)=1,Eingabe[[#This Row],[S1]],Eingabe[[#This Row],[S4]]),""),"")</f>
        <v/>
      </c>
      <c r="AR796" s="6" t="str">
        <f>IFERROR(IF(Eingabe[[#This Row],[Wo]]="H",IF(Eingabe[[#This Row],[S1]]&gt;0,IF(MOD(Eingabe[[#This Row],[Position]],2)=1,Eingabe[[#This Row],[S2]],Eingabe[[#This Row],[S3]]),""),""),"")</f>
        <v/>
      </c>
      <c r="AS796" s="6" t="str">
        <f>IFERROR(IF(Eingabe[[#This Row],[Wo]]="H",IF(Eingabe[[#This Row],[S1]]&gt;0,IF(MOD(ROW(Eingabe[[#This Row],[Heimbahn 3]]),2)=1,Eingabe[[#This Row],[S4]],Eingabe[[#This Row],[S1]]),""),""),"")</f>
        <v/>
      </c>
      <c r="AT796" s="6" t="str">
        <f>IFERROR(IF(Eingabe[[#This Row],[Wo]]="H",IF(Eingabe[[#This Row],[S1]]&gt;0,IF(MOD(ROW(Eingabe[[#This Row],[Heimbahn 4]]),2)=1,Eingabe[[#This Row],[S3]],Eingabe[[#This Row],[S2]]),""),""),"")</f>
        <v/>
      </c>
      <c r="AU796" s="22" t="str">
        <f>IF(Eingabe[[#This Row],[GES]]="","",IF(Eingabe[[#This Row],[Modus]]="L",_xlfn.RANK.EQ(Eingabe[[#This Row],[GES]],AF795:AF800),IF(Eingabe[[#This Row],[Modus]]="P",_xlfn.RANK.EQ(Eingabe[[#This Row],[GES]],AF795:AF800),"")))</f>
        <v/>
      </c>
      <c r="AV796" s="6" t="e">
        <f>VLOOKUP(Eingabe[[#This Row],[Name]],AuswertungG[],8,FALSE)</f>
        <v>#N/A</v>
      </c>
      <c r="AZ796" s="6" t="str">
        <f>IFERROR(ABS(Eingabe[[#This Row],[GES]]-Eingabe[[#This Row],[GEGGES]]),"")</f>
        <v/>
      </c>
    </row>
    <row r="797" spans="1:52" hidden="1" x14ac:dyDescent="0.3">
      <c r="B797" s="6">
        <f t="shared" si="92"/>
        <v>133</v>
      </c>
      <c r="C797" s="6">
        <f>VLOOKUP($B797,Chronologie[],7,TRUE)</f>
        <v>0</v>
      </c>
      <c r="D797" s="6">
        <f>VLOOKUP($B797,Chronologie[],8,TRUE)</f>
        <v>0</v>
      </c>
      <c r="E797" s="240">
        <f>VLOOKUP($B797,Chronologie[],9,TRUE)</f>
        <v>0</v>
      </c>
      <c r="F797" s="6">
        <f>VLOOKUP($B797,Chronologie[],COLUMN(F798)-2,TRUE)</f>
        <v>0</v>
      </c>
      <c r="G797" s="6">
        <f>VLOOKUP($B797,Chronologie[],COLUMN(G798)-2,TRUE)</f>
        <v>0</v>
      </c>
      <c r="H797" s="6">
        <f>VLOOKUP($B797,Chronologie[],COLUMN(H798)-2,TRUE)</f>
        <v>0</v>
      </c>
      <c r="I797" s="6" t="str">
        <f>VLOOKUP($B797,Chronologie[],2,TRUE)</f>
        <v>--</v>
      </c>
      <c r="J797" s="240">
        <f>VLOOKUP($B797,Chronologie[],3,TRUE)</f>
        <v>0</v>
      </c>
      <c r="K797" s="261"/>
      <c r="L797" s="369"/>
      <c r="M797" s="369"/>
      <c r="N797" s="369"/>
      <c r="O797" s="369"/>
      <c r="P797" s="369"/>
      <c r="Q797" s="369"/>
      <c r="R797" s="369"/>
      <c r="S797" s="369"/>
      <c r="T797" s="369"/>
      <c r="U797" s="369"/>
      <c r="V797" s="369"/>
      <c r="W797" s="369"/>
      <c r="X797" s="369"/>
      <c r="Y797" s="369"/>
      <c r="Z797" s="369"/>
      <c r="AA797" s="369"/>
      <c r="AB797" s="370"/>
      <c r="AC797" s="94" t="str">
        <f>IF(Eingabe[[#This Row],[V1]]="",IF(Eingabe[[#This Row],[Volle alternativ]]="","",Eingabe[[#This Row],[Volle alternativ]]),SUM(Eingabe[[#This Row],[V1]:[V4]]))</f>
        <v/>
      </c>
      <c r="AD797" s="262" t="str">
        <f>IF(Eingabe[[#This Row],[R1]]="",IF(Eingabe[[#This Row],[Räumer alternativ]]="","",Eingabe[[#This Row],[Räumer alternativ]]),SUM(Eingabe[[#This Row],[R1]:[R4]]))</f>
        <v/>
      </c>
      <c r="AE797" s="262" t="str">
        <f>IF(Eingabe[[#This Row],[F1]]="",IF(Eingabe[[#This Row],[Fehler alternativ]]="","",Eingabe[[#This Row],[Fehler alternativ]]),SUM(Eingabe[[#This Row],[F1]:[F4]]))</f>
        <v/>
      </c>
      <c r="AF797" s="262" t="str">
        <f>IF(Eingabe[[#This Row],[Volle]]="","",IF(Eingabe[[#This Row],[S1]]="",Eingabe[[#This Row],[Volle]]+Eingabe[[#This Row],[Räumer]],IF(Eingabe[[#This Row],[Volle]]+Eingabe[[#This Row],[Räumer]]=Eingabe[[#This Row],[S1]]+Eingabe[[#This Row],[S2]]+Eingabe[[#This Row],[S3]]+Eingabe[[#This Row],[S4]],Eingabe[[#This Row],[Volle]]+Eingabe[[#This Row],[Räumer]],"FEHLER")))</f>
        <v/>
      </c>
      <c r="AG797" s="262" t="str">
        <f>IF(Eingabe[[#This Row],[V1]]="","",Eingabe[[#This Row],[V1]]+Eingabe[[#This Row],[R1]])</f>
        <v/>
      </c>
      <c r="AH797" s="262" t="str">
        <f>IF(Eingabe[[#This Row],[V2]]="","",Eingabe[[#This Row],[V2]]+Eingabe[[#This Row],[R2]])</f>
        <v/>
      </c>
      <c r="AI797" s="262" t="str">
        <f>IF(Eingabe[[#This Row],[V3]]="","",Eingabe[[#This Row],[V3]]+Eingabe[[#This Row],[R3]])</f>
        <v/>
      </c>
      <c r="AJ797" s="262" t="str">
        <f>IF(Eingabe[[#This Row],[V4]]="","",Eingabe[[#This Row],[V4]]+Eingabe[[#This Row],[R4]])</f>
        <v/>
      </c>
      <c r="AK797" s="262" t="str">
        <f>IF(Eingabe[[#This Row],[S1P]]="","",Eingabe[[#This Row],[S1P]]+Eingabe[[#This Row],[S2P]]+Eingabe[[#This Row],[S3P]]+Eingabe[[#This Row],[S4P]])</f>
        <v/>
      </c>
      <c r="AL797" s="6" t="str">
        <f>IF(Eingabe[[#This Row],[S1P]]="","",IF(Eingabe[[#This Row],[SP]]&gt;2,1,IF(Eingabe[[#This Row],[SP]]&lt;2,0,IF(Eingabe[[#This Row],[GES]]&gt;Eingabe[[#This Row],[GEGGES]],1,IF(Eingabe[[#This Row],[GES]]=Eingabe[[#This Row],[GEGGES]],0.5,0)))))</f>
        <v/>
      </c>
      <c r="AM797" s="6" t="str">
        <f>IF(Eingabe[[#This Row],[MP]]="","",MOD(ROW(Eingabe[[#This Row],[Position]])-3,6)+1)</f>
        <v/>
      </c>
      <c r="AN797" s="6" t="e">
        <f>STANDARDIZE(Eingabe[[#This Row],[GES]],Eingabe[[#This Row],[Schnitt]],VLOOKUP(Eingabe[[#This Row],[Name]],AuswertungG[],21,FALSE))</f>
        <v>#VALUE!</v>
      </c>
      <c r="AO797" s="6" t="str">
        <f>VLOOKUP(Eingabe[[#This Row],[ID]],Chronologie[[ID]:[KW]],12,FALSE)</f>
        <v/>
      </c>
      <c r="AP797" s="95">
        <f>IF(Eingabe[[#This Row],[Wo]]="H",Eingabe[[#This Row],[Gegner]]&amp;" ["&amp;Eingabe[[#This Row],[Wo]]&amp;"]",Eingabe[[#This Row],[Ort]])</f>
        <v>0</v>
      </c>
      <c r="AQ797" s="6" t="str">
        <f>IFERROR(IF(Eingabe[[#This Row],[Wo]]="H",IF(MOD(Eingabe[[#This Row],[Position]],2)=1,Eingabe[[#This Row],[S1]],Eingabe[[#This Row],[S4]]),""),"")</f>
        <v/>
      </c>
      <c r="AR797" s="6" t="str">
        <f>IFERROR(IF(Eingabe[[#This Row],[Wo]]="H",IF(Eingabe[[#This Row],[S1]]&gt;0,IF(MOD(Eingabe[[#This Row],[Position]],2)=1,Eingabe[[#This Row],[S2]],Eingabe[[#This Row],[S3]]),""),""),"")</f>
        <v/>
      </c>
      <c r="AS797" s="6" t="str">
        <f>IFERROR(IF(Eingabe[[#This Row],[Wo]]="H",IF(Eingabe[[#This Row],[S1]]&gt;0,IF(MOD(ROW(Eingabe[[#This Row],[Heimbahn 3]]),2)=1,Eingabe[[#This Row],[S4]],Eingabe[[#This Row],[S1]]),""),""),"")</f>
        <v/>
      </c>
      <c r="AT797" s="6" t="str">
        <f>IFERROR(IF(Eingabe[[#This Row],[Wo]]="H",IF(Eingabe[[#This Row],[S1]]&gt;0,IF(MOD(ROW(Eingabe[[#This Row],[Heimbahn 4]]),2)=1,Eingabe[[#This Row],[S3]],Eingabe[[#This Row],[S2]]),""),""),"")</f>
        <v/>
      </c>
      <c r="AU797" s="22" t="str">
        <f>IF(Eingabe[[#This Row],[GES]]="","",IF(Eingabe[[#This Row],[Modus]]="L",_xlfn.RANK.EQ(Eingabe[[#This Row],[GES]],AF795:AF800),IF(Eingabe[[#This Row],[Modus]]="P",_xlfn.RANK.EQ(Eingabe[[#This Row],[GES]],AF795:AF800),"")))</f>
        <v/>
      </c>
      <c r="AV797" s="6" t="e">
        <f>VLOOKUP(Eingabe[[#This Row],[Name]],AuswertungG[],8,FALSE)</f>
        <v>#N/A</v>
      </c>
      <c r="AZ797" s="6" t="str">
        <f>IFERROR(ABS(Eingabe[[#This Row],[GES]]-Eingabe[[#This Row],[GEGGES]]),"")</f>
        <v/>
      </c>
    </row>
    <row r="798" spans="1:52" hidden="1" x14ac:dyDescent="0.3">
      <c r="B798" s="6">
        <f t="shared" si="92"/>
        <v>133</v>
      </c>
      <c r="C798" s="6">
        <f>VLOOKUP($B798,Chronologie[],7,TRUE)</f>
        <v>0</v>
      </c>
      <c r="D798" s="6">
        <f>VLOOKUP($B798,Chronologie[],8,TRUE)</f>
        <v>0</v>
      </c>
      <c r="E798" s="240">
        <f>VLOOKUP($B798,Chronologie[],9,TRUE)</f>
        <v>0</v>
      </c>
      <c r="F798" s="6">
        <f>VLOOKUP($B798,Chronologie[],COLUMN(F799)-2,TRUE)</f>
        <v>0</v>
      </c>
      <c r="G798" s="6">
        <f>VLOOKUP($B798,Chronologie[],COLUMN(G799)-2,TRUE)</f>
        <v>0</v>
      </c>
      <c r="H798" s="6">
        <f>VLOOKUP($B798,Chronologie[],COLUMN(H799)-2,TRUE)</f>
        <v>0</v>
      </c>
      <c r="I798" s="6" t="str">
        <f>VLOOKUP($B798,Chronologie[],2,TRUE)</f>
        <v>--</v>
      </c>
      <c r="J798" s="240">
        <f>VLOOKUP($B798,Chronologie[],3,TRUE)</f>
        <v>0</v>
      </c>
      <c r="K798" s="261"/>
      <c r="L798" s="369"/>
      <c r="M798" s="369"/>
      <c r="N798" s="369"/>
      <c r="O798" s="369"/>
      <c r="P798" s="369"/>
      <c r="Q798" s="369"/>
      <c r="R798" s="369"/>
      <c r="S798" s="369"/>
      <c r="T798" s="369"/>
      <c r="U798" s="369"/>
      <c r="V798" s="369"/>
      <c r="W798" s="369"/>
      <c r="X798" s="369"/>
      <c r="Y798" s="369"/>
      <c r="Z798" s="369"/>
      <c r="AA798" s="369"/>
      <c r="AB798" s="370"/>
      <c r="AC798" s="94" t="str">
        <f>IF(Eingabe[[#This Row],[V1]]="",IF(Eingabe[[#This Row],[Volle alternativ]]="","",Eingabe[[#This Row],[Volle alternativ]]),SUM(Eingabe[[#This Row],[V1]:[V4]]))</f>
        <v/>
      </c>
      <c r="AD798" s="262" t="str">
        <f>IF(Eingabe[[#This Row],[R1]]="",IF(Eingabe[[#This Row],[Räumer alternativ]]="","",Eingabe[[#This Row],[Räumer alternativ]]),SUM(Eingabe[[#This Row],[R1]:[R4]]))</f>
        <v/>
      </c>
      <c r="AE798" s="262" t="str">
        <f>IF(Eingabe[[#This Row],[F1]]="",IF(Eingabe[[#This Row],[Fehler alternativ]]="","",Eingabe[[#This Row],[Fehler alternativ]]),SUM(Eingabe[[#This Row],[F1]:[F4]]))</f>
        <v/>
      </c>
      <c r="AF798" s="262" t="str">
        <f>IF(Eingabe[[#This Row],[Volle]]="","",IF(Eingabe[[#This Row],[S1]]="",Eingabe[[#This Row],[Volle]]+Eingabe[[#This Row],[Räumer]],IF(Eingabe[[#This Row],[Volle]]+Eingabe[[#This Row],[Räumer]]=Eingabe[[#This Row],[S1]]+Eingabe[[#This Row],[S2]]+Eingabe[[#This Row],[S3]]+Eingabe[[#This Row],[S4]],Eingabe[[#This Row],[Volle]]+Eingabe[[#This Row],[Räumer]],"FEHLER")))</f>
        <v/>
      </c>
      <c r="AG798" s="262" t="str">
        <f>IF(Eingabe[[#This Row],[V1]]="","",Eingabe[[#This Row],[V1]]+Eingabe[[#This Row],[R1]])</f>
        <v/>
      </c>
      <c r="AH798" s="262" t="str">
        <f>IF(Eingabe[[#This Row],[V2]]="","",Eingabe[[#This Row],[V2]]+Eingabe[[#This Row],[R2]])</f>
        <v/>
      </c>
      <c r="AI798" s="262" t="str">
        <f>IF(Eingabe[[#This Row],[V3]]="","",Eingabe[[#This Row],[V3]]+Eingabe[[#This Row],[R3]])</f>
        <v/>
      </c>
      <c r="AJ798" s="262" t="str">
        <f>IF(Eingabe[[#This Row],[V4]]="","",Eingabe[[#This Row],[V4]]+Eingabe[[#This Row],[R4]])</f>
        <v/>
      </c>
      <c r="AK798" s="262" t="str">
        <f>IF(Eingabe[[#This Row],[S1P]]="","",Eingabe[[#This Row],[S1P]]+Eingabe[[#This Row],[S2P]]+Eingabe[[#This Row],[S3P]]+Eingabe[[#This Row],[S4P]])</f>
        <v/>
      </c>
      <c r="AL798" s="6" t="str">
        <f>IF(Eingabe[[#This Row],[S1P]]="","",IF(Eingabe[[#This Row],[SP]]&gt;2,1,IF(Eingabe[[#This Row],[SP]]&lt;2,0,IF(Eingabe[[#This Row],[GES]]&gt;Eingabe[[#This Row],[GEGGES]],1,IF(Eingabe[[#This Row],[GES]]=Eingabe[[#This Row],[GEGGES]],0.5,0)))))</f>
        <v/>
      </c>
      <c r="AM798" s="6" t="str">
        <f>IF(Eingabe[[#This Row],[MP]]="","",MOD(ROW(Eingabe[[#This Row],[Position]])-3,6)+1)</f>
        <v/>
      </c>
      <c r="AN798" s="6" t="e">
        <f>STANDARDIZE(Eingabe[[#This Row],[GES]],Eingabe[[#This Row],[Schnitt]],VLOOKUP(Eingabe[[#This Row],[Name]],AuswertungG[],21,FALSE))</f>
        <v>#VALUE!</v>
      </c>
      <c r="AO798" s="6" t="str">
        <f>VLOOKUP(Eingabe[[#This Row],[ID]],Chronologie[[ID]:[KW]],12,FALSE)</f>
        <v/>
      </c>
      <c r="AP798" s="95">
        <f>IF(Eingabe[[#This Row],[Wo]]="H",Eingabe[[#This Row],[Gegner]]&amp;" ["&amp;Eingabe[[#This Row],[Wo]]&amp;"]",Eingabe[[#This Row],[Ort]])</f>
        <v>0</v>
      </c>
      <c r="AQ798" s="6" t="str">
        <f>IFERROR(IF(Eingabe[[#This Row],[Wo]]="H",IF(MOD(Eingabe[[#This Row],[Position]],2)=1,Eingabe[[#This Row],[S1]],Eingabe[[#This Row],[S4]]),""),"")</f>
        <v/>
      </c>
      <c r="AR798" s="6" t="str">
        <f>IFERROR(IF(Eingabe[[#This Row],[Wo]]="H",IF(Eingabe[[#This Row],[S1]]&gt;0,IF(MOD(Eingabe[[#This Row],[Position]],2)=1,Eingabe[[#This Row],[S2]],Eingabe[[#This Row],[S3]]),""),""),"")</f>
        <v/>
      </c>
      <c r="AS798" s="6" t="str">
        <f>IFERROR(IF(Eingabe[[#This Row],[Wo]]="H",IF(Eingabe[[#This Row],[S1]]&gt;0,IF(MOD(ROW(Eingabe[[#This Row],[Heimbahn 3]]),2)=1,Eingabe[[#This Row],[S4]],Eingabe[[#This Row],[S1]]),""),""),"")</f>
        <v/>
      </c>
      <c r="AT798" s="6" t="str">
        <f>IFERROR(IF(Eingabe[[#This Row],[Wo]]="H",IF(Eingabe[[#This Row],[S1]]&gt;0,IF(MOD(ROW(Eingabe[[#This Row],[Heimbahn 4]]),2)=1,Eingabe[[#This Row],[S3]],Eingabe[[#This Row],[S2]]),""),""),"")</f>
        <v/>
      </c>
      <c r="AU798" s="22" t="str">
        <f>IF(Eingabe[[#This Row],[GES]]="","",IF(Eingabe[[#This Row],[Modus]]="L",_xlfn.RANK.EQ(Eingabe[[#This Row],[GES]],AF795:AF800),IF(Eingabe[[#This Row],[Modus]]="P",_xlfn.RANK.EQ(Eingabe[[#This Row],[GES]],AF795:AF800),"")))</f>
        <v/>
      </c>
      <c r="AV798" s="6" t="e">
        <f>VLOOKUP(Eingabe[[#This Row],[Name]],AuswertungG[],8,FALSE)</f>
        <v>#N/A</v>
      </c>
      <c r="AZ798" s="6" t="str">
        <f>IFERROR(ABS(Eingabe[[#This Row],[GES]]-Eingabe[[#This Row],[GEGGES]]),"")</f>
        <v/>
      </c>
    </row>
    <row r="799" spans="1:52" hidden="1" x14ac:dyDescent="0.3">
      <c r="B799" s="6">
        <f t="shared" si="92"/>
        <v>133</v>
      </c>
      <c r="C799" s="6">
        <f>VLOOKUP($B799,Chronologie[],7,TRUE)</f>
        <v>0</v>
      </c>
      <c r="D799" s="6">
        <f>VLOOKUP($B799,Chronologie[],8,TRUE)</f>
        <v>0</v>
      </c>
      <c r="E799" s="240">
        <f>VLOOKUP($B799,Chronologie[],9,TRUE)</f>
        <v>0</v>
      </c>
      <c r="F799" s="6">
        <f>VLOOKUP($B799,Chronologie[],COLUMN(F800)-2,TRUE)</f>
        <v>0</v>
      </c>
      <c r="G799" s="6">
        <f>VLOOKUP($B799,Chronologie[],COLUMN(G800)-2,TRUE)</f>
        <v>0</v>
      </c>
      <c r="H799" s="6">
        <f>VLOOKUP($B799,Chronologie[],COLUMN(H800)-2,TRUE)</f>
        <v>0</v>
      </c>
      <c r="I799" s="6" t="str">
        <f>VLOOKUP($B799,Chronologie[],2,TRUE)</f>
        <v>--</v>
      </c>
      <c r="J799" s="240">
        <f>VLOOKUP($B799,Chronologie[],3,TRUE)</f>
        <v>0</v>
      </c>
      <c r="K799" s="261"/>
      <c r="L799" s="369"/>
      <c r="M799" s="369"/>
      <c r="N799" s="369"/>
      <c r="O799" s="369"/>
      <c r="P799" s="369"/>
      <c r="Q799" s="369"/>
      <c r="R799" s="369"/>
      <c r="S799" s="369"/>
      <c r="T799" s="369"/>
      <c r="U799" s="369"/>
      <c r="V799" s="369"/>
      <c r="W799" s="369"/>
      <c r="X799" s="369"/>
      <c r="Y799" s="369"/>
      <c r="Z799" s="369"/>
      <c r="AA799" s="369"/>
      <c r="AB799" s="370"/>
      <c r="AC799" s="94" t="str">
        <f>IF(Eingabe[[#This Row],[V1]]="",IF(Eingabe[[#This Row],[Volle alternativ]]="","",Eingabe[[#This Row],[Volle alternativ]]),SUM(Eingabe[[#This Row],[V1]:[V4]]))</f>
        <v/>
      </c>
      <c r="AD799" s="262" t="str">
        <f>IF(Eingabe[[#This Row],[R1]]="",IF(Eingabe[[#This Row],[Räumer alternativ]]="","",Eingabe[[#This Row],[Räumer alternativ]]),SUM(Eingabe[[#This Row],[R1]:[R4]]))</f>
        <v/>
      </c>
      <c r="AE799" s="262" t="str">
        <f>IF(Eingabe[[#This Row],[F1]]="",IF(Eingabe[[#This Row],[Fehler alternativ]]="","",Eingabe[[#This Row],[Fehler alternativ]]),SUM(Eingabe[[#This Row],[F1]:[F4]]))</f>
        <v/>
      </c>
      <c r="AF799" s="262" t="str">
        <f>IF(Eingabe[[#This Row],[Volle]]="","",IF(Eingabe[[#This Row],[S1]]="",Eingabe[[#This Row],[Volle]]+Eingabe[[#This Row],[Räumer]],IF(Eingabe[[#This Row],[Volle]]+Eingabe[[#This Row],[Räumer]]=Eingabe[[#This Row],[S1]]+Eingabe[[#This Row],[S2]]+Eingabe[[#This Row],[S3]]+Eingabe[[#This Row],[S4]],Eingabe[[#This Row],[Volle]]+Eingabe[[#This Row],[Räumer]],"FEHLER")))</f>
        <v/>
      </c>
      <c r="AG799" s="262" t="str">
        <f>IF(Eingabe[[#This Row],[V1]]="","",Eingabe[[#This Row],[V1]]+Eingabe[[#This Row],[R1]])</f>
        <v/>
      </c>
      <c r="AH799" s="262" t="str">
        <f>IF(Eingabe[[#This Row],[V2]]="","",Eingabe[[#This Row],[V2]]+Eingabe[[#This Row],[R2]])</f>
        <v/>
      </c>
      <c r="AI799" s="262" t="str">
        <f>IF(Eingabe[[#This Row],[V3]]="","",Eingabe[[#This Row],[V3]]+Eingabe[[#This Row],[R3]])</f>
        <v/>
      </c>
      <c r="AJ799" s="262" t="str">
        <f>IF(Eingabe[[#This Row],[V4]]="","",Eingabe[[#This Row],[V4]]+Eingabe[[#This Row],[R4]])</f>
        <v/>
      </c>
      <c r="AK799" s="262" t="str">
        <f>IF(Eingabe[[#This Row],[S1P]]="","",Eingabe[[#This Row],[S1P]]+Eingabe[[#This Row],[S2P]]+Eingabe[[#This Row],[S3P]]+Eingabe[[#This Row],[S4P]])</f>
        <v/>
      </c>
      <c r="AL799" s="6" t="str">
        <f>IF(Eingabe[[#This Row],[S1P]]="","",IF(Eingabe[[#This Row],[SP]]&gt;2,1,IF(Eingabe[[#This Row],[SP]]&lt;2,0,IF(Eingabe[[#This Row],[GES]]&gt;Eingabe[[#This Row],[GEGGES]],1,IF(Eingabe[[#This Row],[GES]]=Eingabe[[#This Row],[GEGGES]],0.5,0)))))</f>
        <v/>
      </c>
      <c r="AM799" s="6" t="str">
        <f>IF(Eingabe[[#This Row],[MP]]="","",MOD(ROW(Eingabe[[#This Row],[Position]])-3,6)+1)</f>
        <v/>
      </c>
      <c r="AN799" s="6" t="e">
        <f>STANDARDIZE(Eingabe[[#This Row],[GES]],Eingabe[[#This Row],[Schnitt]],VLOOKUP(Eingabe[[#This Row],[Name]],AuswertungG[],21,FALSE))</f>
        <v>#VALUE!</v>
      </c>
      <c r="AO799" s="6" t="str">
        <f>VLOOKUP(Eingabe[[#This Row],[ID]],Chronologie[[ID]:[KW]],12,FALSE)</f>
        <v/>
      </c>
      <c r="AP799" s="95">
        <f>IF(Eingabe[[#This Row],[Wo]]="H",Eingabe[[#This Row],[Gegner]]&amp;" ["&amp;Eingabe[[#This Row],[Wo]]&amp;"]",Eingabe[[#This Row],[Ort]])</f>
        <v>0</v>
      </c>
      <c r="AQ799" s="6" t="str">
        <f>IFERROR(IF(Eingabe[[#This Row],[Wo]]="H",IF(MOD(Eingabe[[#This Row],[Position]],2)=1,Eingabe[[#This Row],[S1]],Eingabe[[#This Row],[S4]]),""),"")</f>
        <v/>
      </c>
      <c r="AR799" s="6" t="str">
        <f>IFERROR(IF(Eingabe[[#This Row],[Wo]]="H",IF(Eingabe[[#This Row],[S1]]&gt;0,IF(MOD(Eingabe[[#This Row],[Position]],2)=1,Eingabe[[#This Row],[S2]],Eingabe[[#This Row],[S3]]),""),""),"")</f>
        <v/>
      </c>
      <c r="AS799" s="6" t="str">
        <f>IFERROR(IF(Eingabe[[#This Row],[Wo]]="H",IF(Eingabe[[#This Row],[S1]]&gt;0,IF(MOD(ROW(Eingabe[[#This Row],[Heimbahn 3]]),2)=1,Eingabe[[#This Row],[S4]],Eingabe[[#This Row],[S1]]),""),""),"")</f>
        <v/>
      </c>
      <c r="AT799" s="6" t="str">
        <f>IFERROR(IF(Eingabe[[#This Row],[Wo]]="H",IF(Eingabe[[#This Row],[S1]]&gt;0,IF(MOD(ROW(Eingabe[[#This Row],[Heimbahn 4]]),2)=1,Eingabe[[#This Row],[S3]],Eingabe[[#This Row],[S2]]),""),""),"")</f>
        <v/>
      </c>
      <c r="AU799" s="22" t="str">
        <f>IF(Eingabe[[#This Row],[GES]]="","",IF(Eingabe[[#This Row],[Modus]]="L",_xlfn.RANK.EQ(Eingabe[[#This Row],[GES]],AF795:AF800),IF(Eingabe[[#This Row],[Modus]]="P",_xlfn.RANK.EQ(Eingabe[[#This Row],[GES]],AF795:AF800),"")))</f>
        <v/>
      </c>
      <c r="AV799" s="6" t="e">
        <f>VLOOKUP(Eingabe[[#This Row],[Name]],AuswertungG[],8,FALSE)</f>
        <v>#N/A</v>
      </c>
      <c r="AZ799" s="6" t="str">
        <f>IFERROR(ABS(Eingabe[[#This Row],[GES]]-Eingabe[[#This Row],[GEGGES]]),"")</f>
        <v/>
      </c>
    </row>
    <row r="800" spans="1:52" ht="16.2" hidden="1" thickBot="1" x14ac:dyDescent="0.35">
      <c r="B800" s="6">
        <f t="shared" si="92"/>
        <v>133</v>
      </c>
      <c r="C800" s="6">
        <f>VLOOKUP($B800,Chronologie[],7,TRUE)</f>
        <v>0</v>
      </c>
      <c r="D800" s="6">
        <f>VLOOKUP($B800,Chronologie[],8,TRUE)</f>
        <v>0</v>
      </c>
      <c r="E800" s="240">
        <f>VLOOKUP($B800,Chronologie[],9,TRUE)</f>
        <v>0</v>
      </c>
      <c r="F800" s="6">
        <f>VLOOKUP($B800,Chronologie[],COLUMN(F801)-2,TRUE)</f>
        <v>0</v>
      </c>
      <c r="G800" s="6">
        <f>VLOOKUP($B800,Chronologie[],COLUMN(G801)-2,TRUE)</f>
        <v>0</v>
      </c>
      <c r="H800" s="6">
        <f>VLOOKUP($B800,Chronologie[],COLUMN(H801)-2,TRUE)</f>
        <v>0</v>
      </c>
      <c r="I800" s="6" t="str">
        <f>VLOOKUP($B800,Chronologie[],2,TRUE)</f>
        <v>--</v>
      </c>
      <c r="J800" s="240">
        <f>VLOOKUP($B800,Chronologie[],3,TRUE)</f>
        <v>0</v>
      </c>
      <c r="K800" s="261"/>
      <c r="L800" s="369"/>
      <c r="M800" s="369"/>
      <c r="N800" s="369"/>
      <c r="O800" s="369"/>
      <c r="P800" s="369"/>
      <c r="Q800" s="369"/>
      <c r="R800" s="369"/>
      <c r="S800" s="369"/>
      <c r="T800" s="369"/>
      <c r="U800" s="369"/>
      <c r="V800" s="369"/>
      <c r="W800" s="369"/>
      <c r="X800" s="369"/>
      <c r="Y800" s="369"/>
      <c r="Z800" s="369"/>
      <c r="AA800" s="369"/>
      <c r="AB800" s="370"/>
      <c r="AC800" s="94" t="str">
        <f>IF(Eingabe[[#This Row],[V1]]="",IF(Eingabe[[#This Row],[Volle alternativ]]="","",Eingabe[[#This Row],[Volle alternativ]]),SUM(Eingabe[[#This Row],[V1]:[V4]]))</f>
        <v/>
      </c>
      <c r="AD800" s="262" t="str">
        <f>IF(Eingabe[[#This Row],[R1]]="",IF(Eingabe[[#This Row],[Räumer alternativ]]="","",Eingabe[[#This Row],[Räumer alternativ]]),SUM(Eingabe[[#This Row],[R1]:[R4]]))</f>
        <v/>
      </c>
      <c r="AE800" s="262" t="str">
        <f>IF(Eingabe[[#This Row],[F1]]="",IF(Eingabe[[#This Row],[Fehler alternativ]]="","",Eingabe[[#This Row],[Fehler alternativ]]),SUM(Eingabe[[#This Row],[F1]:[F4]]))</f>
        <v/>
      </c>
      <c r="AF800" s="262" t="str">
        <f>IF(Eingabe[[#This Row],[Volle]]="","",IF(Eingabe[[#This Row],[S1]]="",Eingabe[[#This Row],[Volle]]+Eingabe[[#This Row],[Räumer]],IF(Eingabe[[#This Row],[Volle]]+Eingabe[[#This Row],[Räumer]]=Eingabe[[#This Row],[S1]]+Eingabe[[#This Row],[S2]]+Eingabe[[#This Row],[S3]]+Eingabe[[#This Row],[S4]],Eingabe[[#This Row],[Volle]]+Eingabe[[#This Row],[Räumer]],"FEHLER")))</f>
        <v/>
      </c>
      <c r="AG800" s="262" t="str">
        <f>IF(Eingabe[[#This Row],[V1]]="","",Eingabe[[#This Row],[V1]]+Eingabe[[#This Row],[R1]])</f>
        <v/>
      </c>
      <c r="AH800" s="262" t="str">
        <f>IF(Eingabe[[#This Row],[V2]]="","",Eingabe[[#This Row],[V2]]+Eingabe[[#This Row],[R2]])</f>
        <v/>
      </c>
      <c r="AI800" s="262" t="str">
        <f>IF(Eingabe[[#This Row],[V3]]="","",Eingabe[[#This Row],[V3]]+Eingabe[[#This Row],[R3]])</f>
        <v/>
      </c>
      <c r="AJ800" s="262" t="str">
        <f>IF(Eingabe[[#This Row],[V4]]="","",Eingabe[[#This Row],[V4]]+Eingabe[[#This Row],[R4]])</f>
        <v/>
      </c>
      <c r="AK800" s="262" t="str">
        <f>IF(Eingabe[[#This Row],[S1P]]="","",Eingabe[[#This Row],[S1P]]+Eingabe[[#This Row],[S2P]]+Eingabe[[#This Row],[S3P]]+Eingabe[[#This Row],[S4P]])</f>
        <v/>
      </c>
      <c r="AL800" s="6" t="str">
        <f>IF(Eingabe[[#This Row],[S1P]]="","",IF(Eingabe[[#This Row],[SP]]&gt;2,1,IF(Eingabe[[#This Row],[SP]]&lt;2,0,IF(Eingabe[[#This Row],[GES]]&gt;Eingabe[[#This Row],[GEGGES]],1,IF(Eingabe[[#This Row],[GES]]=Eingabe[[#This Row],[GEGGES]],0.5,0)))))</f>
        <v/>
      </c>
      <c r="AM800" s="6" t="str">
        <f>IF(Eingabe[[#This Row],[MP]]="","",MOD(ROW(Eingabe[[#This Row],[Position]])-3,6)+1)</f>
        <v/>
      </c>
      <c r="AN800" s="6" t="e">
        <f>STANDARDIZE(Eingabe[[#This Row],[GES]],Eingabe[[#This Row],[Schnitt]],VLOOKUP(Eingabe[[#This Row],[Name]],AuswertungG[],21,FALSE))</f>
        <v>#VALUE!</v>
      </c>
      <c r="AO800" s="6" t="str">
        <f>VLOOKUP(Eingabe[[#This Row],[ID]],Chronologie[[ID]:[KW]],12,FALSE)</f>
        <v/>
      </c>
      <c r="AP800" s="95">
        <f>IF(Eingabe[[#This Row],[Wo]]="H",Eingabe[[#This Row],[Gegner]]&amp;" ["&amp;Eingabe[[#This Row],[Wo]]&amp;"]",Eingabe[[#This Row],[Ort]])</f>
        <v>0</v>
      </c>
      <c r="AQ800" s="6" t="str">
        <f>IFERROR(IF(Eingabe[[#This Row],[Wo]]="H",IF(MOD(Eingabe[[#This Row],[Position]],2)=1,Eingabe[[#This Row],[S1]],Eingabe[[#This Row],[S4]]),""),"")</f>
        <v/>
      </c>
      <c r="AR800" s="6" t="str">
        <f>IFERROR(IF(Eingabe[[#This Row],[Wo]]="H",IF(Eingabe[[#This Row],[S1]]&gt;0,IF(MOD(Eingabe[[#This Row],[Position]],2)=1,Eingabe[[#This Row],[S2]],Eingabe[[#This Row],[S3]]),""),""),"")</f>
        <v/>
      </c>
      <c r="AS800" s="6" t="str">
        <f>IFERROR(IF(Eingabe[[#This Row],[Wo]]="H",IF(Eingabe[[#This Row],[S1]]&gt;0,IF(MOD(ROW(Eingabe[[#This Row],[Heimbahn 3]]),2)=1,Eingabe[[#This Row],[S4]],Eingabe[[#This Row],[S1]]),""),""),"")</f>
        <v/>
      </c>
      <c r="AT800" s="6" t="str">
        <f>IFERROR(IF(Eingabe[[#This Row],[Wo]]="H",IF(Eingabe[[#This Row],[S1]]&gt;0,IF(MOD(ROW(Eingabe[[#This Row],[Heimbahn 4]]),2)=1,Eingabe[[#This Row],[S3]],Eingabe[[#This Row],[S2]]),""),""),"")</f>
        <v/>
      </c>
      <c r="AU800" s="89" t="str">
        <f>IF(Eingabe[[#This Row],[GES]]="","",IF(Eingabe[[#This Row],[Modus]]="L",_xlfn.RANK.EQ(Eingabe[[#This Row],[GES]],AF795:AF800),IF(Eingabe[[#This Row],[Modus]]="P",_xlfn.RANK.EQ(Eingabe[[#This Row],[GES]],AF795:AF800),"")))</f>
        <v/>
      </c>
      <c r="AV800" s="6" t="e">
        <f>VLOOKUP(Eingabe[[#This Row],[Name]],AuswertungG[],8,FALSE)</f>
        <v>#N/A</v>
      </c>
      <c r="AZ800" s="6" t="str">
        <f>IFERROR(ABS(Eingabe[[#This Row],[GES]]-Eingabe[[#This Row],[GEGGES]]),"")</f>
        <v/>
      </c>
    </row>
  </sheetData>
  <mergeCells count="135">
    <mergeCell ref="K1:AB1"/>
    <mergeCell ref="AC1:AV1"/>
    <mergeCell ref="A663:A668"/>
    <mergeCell ref="A669:A674"/>
    <mergeCell ref="A675:A680"/>
    <mergeCell ref="A681:A686"/>
    <mergeCell ref="A687:A692"/>
    <mergeCell ref="A699:A704"/>
    <mergeCell ref="A705:A710"/>
    <mergeCell ref="A639:A644"/>
    <mergeCell ref="A471:A476"/>
    <mergeCell ref="A477:A482"/>
    <mergeCell ref="A483:A488"/>
    <mergeCell ref="A441:A446"/>
    <mergeCell ref="A447:A452"/>
    <mergeCell ref="A453:A458"/>
    <mergeCell ref="A459:A464"/>
    <mergeCell ref="A465:A470"/>
    <mergeCell ref="A543:A548"/>
    <mergeCell ref="A489:A494"/>
    <mergeCell ref="A495:A500"/>
    <mergeCell ref="A501:A506"/>
    <mergeCell ref="A507:A512"/>
    <mergeCell ref="A513:A518"/>
    <mergeCell ref="A711:A716"/>
    <mergeCell ref="A693:A698"/>
    <mergeCell ref="A753:A758"/>
    <mergeCell ref="A741:A746"/>
    <mergeCell ref="A747:A752"/>
    <mergeCell ref="A717:A722"/>
    <mergeCell ref="A723:A728"/>
    <mergeCell ref="A729:A734"/>
    <mergeCell ref="A735:A740"/>
    <mergeCell ref="A783:A788"/>
    <mergeCell ref="A789:A794"/>
    <mergeCell ref="A759:A764"/>
    <mergeCell ref="A765:A770"/>
    <mergeCell ref="A771:A776"/>
    <mergeCell ref="A777:A782"/>
    <mergeCell ref="A597:A602"/>
    <mergeCell ref="A549:A554"/>
    <mergeCell ref="A555:A560"/>
    <mergeCell ref="A561:A566"/>
    <mergeCell ref="A567:A572"/>
    <mergeCell ref="A573:A578"/>
    <mergeCell ref="A579:A584"/>
    <mergeCell ref="A585:A590"/>
    <mergeCell ref="A591:A596"/>
    <mergeCell ref="A645:A650"/>
    <mergeCell ref="A651:A656"/>
    <mergeCell ref="A657:A662"/>
    <mergeCell ref="A603:A608"/>
    <mergeCell ref="A609:A614"/>
    <mergeCell ref="A615:A620"/>
    <mergeCell ref="A621:A626"/>
    <mergeCell ref="A627:A632"/>
    <mergeCell ref="A633:A638"/>
    <mergeCell ref="A519:A524"/>
    <mergeCell ref="A525:A530"/>
    <mergeCell ref="A531:A536"/>
    <mergeCell ref="A537:A542"/>
    <mergeCell ref="A411:A416"/>
    <mergeCell ref="A417:A422"/>
    <mergeCell ref="A423:A428"/>
    <mergeCell ref="A429:A434"/>
    <mergeCell ref="A435:A440"/>
    <mergeCell ref="A381:A386"/>
    <mergeCell ref="A387:A392"/>
    <mergeCell ref="A393:A398"/>
    <mergeCell ref="A399:A404"/>
    <mergeCell ref="A405:A410"/>
    <mergeCell ref="A351:A356"/>
    <mergeCell ref="A357:A362"/>
    <mergeCell ref="A363:A368"/>
    <mergeCell ref="A369:A374"/>
    <mergeCell ref="A375:A380"/>
    <mergeCell ref="A153:A158"/>
    <mergeCell ref="A321:A326"/>
    <mergeCell ref="A327:A332"/>
    <mergeCell ref="A333:A338"/>
    <mergeCell ref="A339:A344"/>
    <mergeCell ref="A345:A350"/>
    <mergeCell ref="A291:A296"/>
    <mergeCell ref="A297:A302"/>
    <mergeCell ref="A303:A308"/>
    <mergeCell ref="A309:A314"/>
    <mergeCell ref="A315:A320"/>
    <mergeCell ref="A9:A14"/>
    <mergeCell ref="A261:A266"/>
    <mergeCell ref="A267:A272"/>
    <mergeCell ref="A273:A278"/>
    <mergeCell ref="A279:A284"/>
    <mergeCell ref="A285:A290"/>
    <mergeCell ref="A21:A26"/>
    <mergeCell ref="A57:A62"/>
    <mergeCell ref="A63:A68"/>
    <mergeCell ref="A237:A242"/>
    <mergeCell ref="A243:A248"/>
    <mergeCell ref="A249:A254"/>
    <mergeCell ref="A255:A260"/>
    <mergeCell ref="A207:A212"/>
    <mergeCell ref="A213:A218"/>
    <mergeCell ref="A219:A224"/>
    <mergeCell ref="A225:A230"/>
    <mergeCell ref="A231:A236"/>
    <mergeCell ref="A177:A182"/>
    <mergeCell ref="A183:A188"/>
    <mergeCell ref="A189:A194"/>
    <mergeCell ref="A195:A200"/>
    <mergeCell ref="A201:A206"/>
    <mergeCell ref="A147:A152"/>
    <mergeCell ref="A15:A20"/>
    <mergeCell ref="A159:A164"/>
    <mergeCell ref="A165:A170"/>
    <mergeCell ref="A171:A176"/>
    <mergeCell ref="A1:J1"/>
    <mergeCell ref="A135:A140"/>
    <mergeCell ref="A141:A146"/>
    <mergeCell ref="A87:A92"/>
    <mergeCell ref="A93:A98"/>
    <mergeCell ref="A99:A104"/>
    <mergeCell ref="A105:A110"/>
    <mergeCell ref="A111:A116"/>
    <mergeCell ref="A123:A128"/>
    <mergeCell ref="A129:A134"/>
    <mergeCell ref="A117:A122"/>
    <mergeCell ref="A69:A74"/>
    <mergeCell ref="A75:A80"/>
    <mergeCell ref="A81:A86"/>
    <mergeCell ref="A27:A32"/>
    <mergeCell ref="A33:A38"/>
    <mergeCell ref="A39:A44"/>
    <mergeCell ref="A45:A50"/>
    <mergeCell ref="A51:A56"/>
    <mergeCell ref="A3:A8"/>
  </mergeCells>
  <conditionalFormatting sqref="C3:J800">
    <cfRule type="cellIs" dxfId="376" priority="37" operator="equal">
      <formula>0</formula>
    </cfRule>
  </conditionalFormatting>
  <conditionalFormatting sqref="X3:AN800 AP795:AT800">
    <cfRule type="containsBlanks" dxfId="375" priority="16">
      <formula>LEN(TRIM(X3))=0</formula>
    </cfRule>
  </conditionalFormatting>
  <conditionalFormatting sqref="AC3:AC800">
    <cfRule type="top10" dxfId="374" priority="1974" rank="1"/>
    <cfRule type="top10" dxfId="373" priority="1975" rank="2"/>
    <cfRule type="top10" dxfId="372" priority="1976" rank="3"/>
    <cfRule type="top10" dxfId="371" priority="1977" rank="10"/>
  </conditionalFormatting>
  <conditionalFormatting sqref="AC3:AE800">
    <cfRule type="top10" dxfId="370" priority="5" rank="1"/>
    <cfRule type="top10" dxfId="369" priority="6" rank="2"/>
    <cfRule type="top10" dxfId="368" priority="7" rank="3"/>
    <cfRule type="top10" dxfId="367" priority="8" rank="10"/>
  </conditionalFormatting>
  <conditionalFormatting sqref="AD3:AD800">
    <cfRule type="top10" dxfId="366" priority="1986" rank="1"/>
    <cfRule type="top10" dxfId="365" priority="1987" rank="2"/>
    <cfRule type="top10" dxfId="364" priority="1988" rank="3"/>
    <cfRule type="top10" dxfId="363" priority="1989" rank="10"/>
  </conditionalFormatting>
  <conditionalFormatting sqref="AF3:AF800">
    <cfRule type="top10" dxfId="362" priority="2001" rank="1"/>
    <cfRule type="top10" dxfId="361" priority="2002" rank="2"/>
    <cfRule type="top10" dxfId="360" priority="2003" rank="3"/>
    <cfRule type="top10" dxfId="359" priority="2004" rank="10"/>
  </conditionalFormatting>
  <conditionalFormatting sqref="AG3:AJ800">
    <cfRule type="top10" dxfId="358" priority="1" rank="1"/>
    <cfRule type="top10" dxfId="357" priority="2" rank="2"/>
    <cfRule type="top10" dxfId="356" priority="3" rank="3"/>
    <cfRule type="top10" dxfId="355" priority="4" rank="10"/>
  </conditionalFormatting>
  <conditionalFormatting sqref="AP3:AP800">
    <cfRule type="containsBlanks" dxfId="354" priority="10">
      <formula>LEN(TRIM(AP3))=0</formula>
    </cfRule>
  </conditionalFormatting>
  <conditionalFormatting sqref="AQ3:AT800">
    <cfRule type="containsBlanks" dxfId="353" priority="9">
      <formula>LEN(TRIM(AQ3))=0</formula>
    </cfRule>
  </conditionalFormatting>
  <pageMargins left="0.7" right="0.7" top="0.78740157499999996" bottom="0.78740157499999996" header="0.3" footer="0.3"/>
  <pageSetup paperSize="9" orientation="portrait" horizontalDpi="4294967293" verticalDpi="0"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1998" id="{77E7215F-600A-48AF-B9B1-A55B0C7A9B6C}">
            <x14:iconSet iconSet="3Stars" custom="1">
              <x14:cfvo type="percent">
                <xm:f>0</xm:f>
              </x14:cfvo>
              <x14:cfvo type="num" gte="0">
                <xm:f>0</xm:f>
              </x14:cfvo>
              <x14:cfvo type="num">
                <xm:f>1</xm:f>
              </x14:cfvo>
              <x14:cfIcon iconSet="3Stars" iconId="2"/>
              <x14:cfIcon iconSet="NoIcons" iconId="0"/>
              <x14:cfIcon iconSet="NoIcons" iconId="0"/>
            </x14:iconSet>
          </x14:cfRule>
          <xm:sqref>AE3:AE800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817A7E4C-E1D5-46CD-A205-140D1F39176C}">
          <x14:formula1>
            <xm:f>Übersicht!$B$3:$B$103</xm:f>
          </x14:formula1>
          <xm:sqref>K713:K764 K3:K710 K772:K800 K766:K770</xm:sqref>
        </x14:dataValidation>
      </x14:dataValidations>
    </ext>
    <ext xmlns:x15="http://schemas.microsoft.com/office/spreadsheetml/2010/11/main" uri="{3A4CF648-6AED-40f4-86FF-DC5316D8AED3}">
      <x14:slicerList xmlns:x14="http://schemas.microsoft.com/office/spreadsheetml/2009/9/main">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1F8FE-98F8-4232-89FE-3495B5A23D6F}">
  <dimension ref="B1:BU213"/>
  <sheetViews>
    <sheetView topLeftCell="N152" zoomScale="70" zoomScaleNormal="70" workbookViewId="0">
      <selection activeCell="AK174" sqref="AK174"/>
    </sheetView>
  </sheetViews>
  <sheetFormatPr baseColWidth="10" defaultRowHeight="15.6" x14ac:dyDescent="0.3"/>
  <cols>
    <col min="1" max="1" width="11.5546875" style="1"/>
    <col min="2" max="2" width="20.33203125" style="1" bestFit="1" customWidth="1"/>
    <col min="3" max="3" width="6.5546875" style="1" customWidth="1"/>
    <col min="4" max="4" width="9.21875" style="1" bestFit="1" customWidth="1"/>
    <col min="5" max="5" width="12.5546875" style="1" customWidth="1"/>
    <col min="6" max="6" width="8.33203125" style="1" bestFit="1" customWidth="1"/>
    <col min="7" max="7" width="10.6640625" style="1" bestFit="1" customWidth="1"/>
    <col min="8" max="8" width="9.33203125" style="1" bestFit="1" customWidth="1"/>
    <col min="9" max="9" width="8.33203125" style="1" bestFit="1" customWidth="1"/>
    <col min="10" max="10" width="7.109375" style="1" customWidth="1"/>
    <col min="11" max="11" width="7.109375" style="1" bestFit="1" customWidth="1"/>
    <col min="12" max="12" width="7.109375" style="1" customWidth="1"/>
    <col min="13" max="16" width="7.109375" style="1" bestFit="1" customWidth="1"/>
    <col min="17" max="17" width="9" style="1" bestFit="1" customWidth="1"/>
    <col min="18" max="19" width="7" style="1" bestFit="1" customWidth="1"/>
    <col min="20" max="20" width="11.21875" style="1" bestFit="1" customWidth="1"/>
    <col min="21" max="21" width="18.5546875" style="1" bestFit="1" customWidth="1"/>
    <col min="22" max="22" width="12.21875" style="1" bestFit="1" customWidth="1"/>
    <col min="23" max="23" width="11.5546875" style="1" customWidth="1"/>
    <col min="24" max="24" width="14" style="1" bestFit="1" customWidth="1"/>
    <col min="25" max="25" width="8.77734375" style="1" bestFit="1" customWidth="1"/>
    <col min="26" max="26" width="11.44140625" style="1" bestFit="1" customWidth="1"/>
    <col min="27" max="27" width="8.33203125" style="1" bestFit="1" customWidth="1"/>
    <col min="28" max="28" width="8" style="1" bestFit="1" customWidth="1"/>
    <col min="29" max="29" width="14.33203125" style="1" bestFit="1" customWidth="1"/>
    <col min="30" max="30" width="8" style="1" bestFit="1" customWidth="1"/>
    <col min="31" max="31" width="8.109375" style="1" bestFit="1" customWidth="1"/>
    <col min="32" max="32" width="7.6640625" style="200" bestFit="1" customWidth="1"/>
    <col min="33" max="33" width="6.44140625" style="1" bestFit="1" customWidth="1"/>
    <col min="34" max="34" width="11" style="1" bestFit="1" customWidth="1"/>
    <col min="35" max="35" width="8.109375" style="1" bestFit="1" customWidth="1"/>
    <col min="36" max="36" width="8" style="1" bestFit="1" customWidth="1"/>
    <col min="37" max="37" width="8.44140625" style="1" bestFit="1" customWidth="1"/>
    <col min="38" max="38" width="9" style="1" bestFit="1" customWidth="1"/>
    <col min="39" max="39" width="12.109375" style="1" bestFit="1" customWidth="1"/>
    <col min="40" max="40" width="8.33203125" style="1" bestFit="1" customWidth="1"/>
    <col min="41" max="41" width="10" style="1" bestFit="1" customWidth="1"/>
    <col min="42" max="42" width="8.6640625" style="1" bestFit="1" customWidth="1"/>
    <col min="43" max="43" width="5.88671875" style="1" bestFit="1" customWidth="1"/>
    <col min="44" max="44" width="6.21875" style="1" bestFit="1" customWidth="1"/>
    <col min="45" max="45" width="5.88671875" style="1" bestFit="1" customWidth="1"/>
    <col min="46" max="46" width="6.21875" style="1" bestFit="1" customWidth="1"/>
    <col min="47" max="47" width="5.88671875" style="1" bestFit="1" customWidth="1"/>
    <col min="48" max="48" width="6.21875" style="1" bestFit="1" customWidth="1"/>
    <col min="49" max="49" width="5.88671875" style="1" bestFit="1" customWidth="1"/>
    <col min="50" max="50" width="6.21875" style="1" bestFit="1" customWidth="1"/>
    <col min="51" max="51" width="10.77734375" style="1" bestFit="1" customWidth="1"/>
    <col min="52" max="52" width="8.33203125" style="1" bestFit="1" customWidth="1"/>
    <col min="53" max="54" width="5.88671875" style="1" bestFit="1" customWidth="1"/>
    <col min="55" max="55" width="14.44140625" style="1" bestFit="1" customWidth="1"/>
    <col min="56" max="56" width="8.6640625" style="1" bestFit="1" customWidth="1"/>
    <col min="57" max="57" width="8" style="1" bestFit="1" customWidth="1"/>
    <col min="58" max="58" width="8.88671875" style="1" bestFit="1" customWidth="1"/>
    <col min="59" max="59" width="10.77734375" style="1" bestFit="1" customWidth="1"/>
    <col min="60" max="62" width="8.88671875" style="1" bestFit="1" customWidth="1"/>
    <col min="63" max="63" width="11.21875" style="1" bestFit="1" customWidth="1"/>
    <col min="64" max="64" width="11.6640625" style="1" bestFit="1" customWidth="1"/>
    <col min="65" max="65" width="14.6640625" style="1" bestFit="1" customWidth="1"/>
    <col min="66" max="66" width="14.44140625" style="1" bestFit="1" customWidth="1"/>
    <col min="67" max="67" width="11.21875" style="1" bestFit="1" customWidth="1"/>
    <col min="68" max="68" width="11.6640625" style="1" bestFit="1" customWidth="1"/>
    <col min="69" max="69" width="14.6640625" style="1" bestFit="1" customWidth="1"/>
    <col min="70" max="70" width="12.21875" style="1" bestFit="1" customWidth="1"/>
    <col min="71" max="72" width="14.6640625" style="1" bestFit="1" customWidth="1"/>
    <col min="73" max="73" width="14.44140625" style="1" bestFit="1" customWidth="1"/>
    <col min="74" max="78" width="11.5546875" style="1"/>
    <col min="79" max="79" width="18.33203125" style="1" bestFit="1" customWidth="1"/>
    <col min="80" max="80" width="21.88671875" style="1" customWidth="1"/>
    <col min="81" max="16384" width="11.5546875" style="1"/>
  </cols>
  <sheetData>
    <row r="1" spans="2:58" ht="16.2" thickBot="1" x14ac:dyDescent="0.35">
      <c r="B1" s="16" t="s">
        <v>26</v>
      </c>
    </row>
    <row r="2" spans="2:58" s="2" customFormat="1" x14ac:dyDescent="0.3">
      <c r="AF2" s="201"/>
    </row>
    <row r="3" spans="2:58" ht="16.2" thickBot="1" x14ac:dyDescent="0.35">
      <c r="B3" s="24" t="s">
        <v>13</v>
      </c>
      <c r="C3" s="25" t="s">
        <v>0</v>
      </c>
      <c r="D3" s="26" t="s">
        <v>100</v>
      </c>
      <c r="E3" s="27" t="s">
        <v>42</v>
      </c>
      <c r="F3" s="27" t="s">
        <v>21</v>
      </c>
      <c r="G3" s="27" t="s">
        <v>22</v>
      </c>
      <c r="H3" s="27" t="s">
        <v>23</v>
      </c>
      <c r="I3" s="27" t="s">
        <v>39</v>
      </c>
      <c r="J3" s="27" t="s">
        <v>24</v>
      </c>
      <c r="K3" s="27" t="s">
        <v>25</v>
      </c>
      <c r="L3" s="27" t="s">
        <v>32</v>
      </c>
      <c r="M3" s="31" t="s">
        <v>33</v>
      </c>
      <c r="N3" s="31" t="s">
        <v>34</v>
      </c>
      <c r="O3" s="31" t="s">
        <v>35</v>
      </c>
      <c r="P3" s="31" t="s">
        <v>104</v>
      </c>
      <c r="Q3" s="31" t="s">
        <v>105</v>
      </c>
      <c r="R3" s="31" t="s">
        <v>106</v>
      </c>
      <c r="S3" s="31" t="s">
        <v>107</v>
      </c>
      <c r="T3" s="27" t="s">
        <v>40</v>
      </c>
      <c r="U3" s="26" t="s">
        <v>19</v>
      </c>
      <c r="V3" s="27" t="s">
        <v>43</v>
      </c>
      <c r="W3" s="27" t="s">
        <v>44</v>
      </c>
      <c r="X3" s="27" t="s">
        <v>45</v>
      </c>
      <c r="Y3" s="27" t="s">
        <v>46</v>
      </c>
      <c r="Z3" s="27" t="s">
        <v>28</v>
      </c>
      <c r="AA3" s="27" t="s">
        <v>108</v>
      </c>
      <c r="AB3" s="27" t="s">
        <v>29</v>
      </c>
      <c r="AC3" s="27" t="s">
        <v>109</v>
      </c>
      <c r="AD3" s="27" t="s">
        <v>30</v>
      </c>
      <c r="AE3" s="27" t="s">
        <v>110</v>
      </c>
      <c r="AF3" s="202" t="s">
        <v>31</v>
      </c>
      <c r="AG3" s="27" t="s">
        <v>111</v>
      </c>
      <c r="AH3" s="27" t="s">
        <v>47</v>
      </c>
      <c r="AI3" s="27" t="s">
        <v>48</v>
      </c>
      <c r="AJ3" s="27" t="s">
        <v>49</v>
      </c>
      <c r="AK3" s="27" t="s">
        <v>50</v>
      </c>
      <c r="AL3" s="24" t="s">
        <v>20</v>
      </c>
      <c r="AM3" s="27" t="s">
        <v>51</v>
      </c>
      <c r="AN3" s="27" t="s">
        <v>52</v>
      </c>
      <c r="AO3" s="27" t="s">
        <v>53</v>
      </c>
      <c r="AP3" s="27" t="s">
        <v>54</v>
      </c>
      <c r="AQ3" s="27" t="s">
        <v>55</v>
      </c>
      <c r="AR3" s="27" t="s">
        <v>115</v>
      </c>
      <c r="AS3" s="27" t="s">
        <v>56</v>
      </c>
      <c r="AT3" s="27" t="s">
        <v>114</v>
      </c>
      <c r="AU3" s="27" t="s">
        <v>57</v>
      </c>
      <c r="AV3" s="27" t="s">
        <v>113</v>
      </c>
      <c r="AW3" s="27" t="s">
        <v>58</v>
      </c>
      <c r="AX3" s="27" t="s">
        <v>112</v>
      </c>
      <c r="AY3" s="27" t="s">
        <v>59</v>
      </c>
      <c r="AZ3" s="27" t="s">
        <v>60</v>
      </c>
      <c r="BA3" s="27" t="s">
        <v>61</v>
      </c>
      <c r="BB3" s="27" t="s">
        <v>62</v>
      </c>
      <c r="BC3" s="2"/>
      <c r="BD3" s="2"/>
      <c r="BE3" s="2"/>
      <c r="BF3" s="2"/>
    </row>
    <row r="4" spans="2:58" x14ac:dyDescent="0.3">
      <c r="B4" s="7" t="str">
        <f>VLOOKUP(ROW(Gesamtzähler[[#This Row],[Name]])-3,Teamzuordnung[],2,FALSE)</f>
        <v>Anastasia Landau</v>
      </c>
      <c r="C4" s="6" t="str">
        <f>IF(Gesamtzähler[[#This Row],[Name]]="","",VLOOKUP(Gesamtzähler[[#This Row],[Name]],Teamzuordnung[[Name]:[Team]],2,TRUE))</f>
        <v>F</v>
      </c>
      <c r="D4" s="21" t="str">
        <f>IF(COUNTIFS(Eingabe[Name],Gesamtzähler[[#This Row],[Name]])=0,"",COUNTIFS(Eingabe[Name],Gesamtzähler[[#This Row],[Name]]))</f>
        <v/>
      </c>
      <c r="E4" s="6" t="str">
        <f>IF(Gesamtzähler[[#This Row],[Spiele]]="","",IF(Gesamtzähler[[#This Row],[Spiele]]-COUNTIFS(Eingabe[Name],Gesamtzähler[[#This Row],[Name]],Eingabe[MP],"")=0,"",Gesamtzähler[[#This Row],[Spiele]]-COUNTIFS(Eingabe[Name],Gesamtzähler[[#This Row],[Name]],Eingabe[MP],"")))</f>
        <v/>
      </c>
      <c r="F4" s="6" t="str">
        <f>IF(Gesamtzähler[[#This Row],[Spiele]]="","",SUMIF(Eingabe[Name],Gesamtzähler[[#This Row],[Name]],Eingabe[Volle]))</f>
        <v/>
      </c>
      <c r="G4" s="6" t="str">
        <f>IF(Gesamtzähler[[#This Row],[Spiele]]="","",SUMIF(Eingabe[Name],Gesamtzähler[[#This Row],[Name]],Eingabe[Räumer]))</f>
        <v/>
      </c>
      <c r="H4" s="6" t="str">
        <f>IF(Gesamtzähler[[#This Row],[Spiele]]="","",SUMIF(Eingabe[Name],Gesamtzähler[[#This Row],[Name]],Eingabe[Fehler]))</f>
        <v/>
      </c>
      <c r="I4" s="6" t="str">
        <f>IF(Gesamtzähler[[#This Row],[Spiele]]="","",SUMIF(Eingabe[Name],Gesamtzähler[[#This Row],[Name]],Eingabe[GES]))</f>
        <v/>
      </c>
      <c r="J4" s="6" t="str">
        <f>IF(Gesamtzähler[[#This Row],[Spiele MP]]="","",SUMIF(Eingabe[Name],Gesamtzähler[[#This Row],[Name]],Eingabe[SP]))</f>
        <v/>
      </c>
      <c r="K4" s="6" t="str">
        <f>IF(Gesamtzähler[[#This Row],[Spiele MP]]="","",SUMIF(Eingabe[Name],Gesamtzähler[[#This Row],[Name]],Eingabe[MP]))</f>
        <v/>
      </c>
      <c r="L4" s="6" t="str">
        <f>IF(Gesamtzähler[[#This Row],[Spiele MP]]="","",SUMIF(Eingabe[Name],Gesamtzähler[[#This Row],[Name]],Eingabe[S1]))</f>
        <v/>
      </c>
      <c r="M4" s="6" t="str">
        <f>IF(Gesamtzähler[[#This Row],[Spiele MP]]="","",SUMIF(Eingabe[Name],Gesamtzähler[[#This Row],[Name]],Eingabe[S2]))</f>
        <v/>
      </c>
      <c r="N4" s="6" t="str">
        <f>IF(Gesamtzähler[[#This Row],[Spiele MP]]="","",SUMIF(Eingabe[Name],Gesamtzähler[[#This Row],[Name]],Eingabe[S3]))</f>
        <v/>
      </c>
      <c r="O4" s="6" t="str">
        <f>IF(Gesamtzähler[[#This Row],[Spiele MP]]="","",SUMIF(Eingabe[Name],Gesamtzähler[[#This Row],[Name]],Eingabe[S4]))</f>
        <v/>
      </c>
      <c r="P4" s="6" t="str">
        <f>IF(Gesamtzähler[[#This Row],[Spiele MP]]="","",SUMIF(Eingabe[Name],Gesamtzähler[[#This Row],[Name]],Eingabe[S1P]))</f>
        <v/>
      </c>
      <c r="Q4" s="6" t="str">
        <f>IF(Gesamtzähler[[#This Row],[Spiele MP]]="","",SUMIF(Eingabe[Name],Gesamtzähler[[#This Row],[Name]],Eingabe[S2P]))</f>
        <v/>
      </c>
      <c r="R4" s="6" t="str">
        <f>IF(Gesamtzähler[[#This Row],[Spiele MP]]="","",SUMIF(Eingabe[Name],Gesamtzähler[[#This Row],[Name]],Eingabe[S3P]))</f>
        <v/>
      </c>
      <c r="S4" s="6" t="str">
        <f>IF(Gesamtzähler[[#This Row],[Spiele MP]]="","",SUMIF(Eingabe[Name],Gesamtzähler[[#This Row],[Name]],Eingabe[S4P]))</f>
        <v/>
      </c>
      <c r="T4" s="6" t="str">
        <f>IF(Gesamtzähler[[#This Row],[Spiele MP]]="","",SUMIF(Eingabe[Name],Gesamtzähler[[#This Row],[Name]],Eingabe[GEGGES]))</f>
        <v/>
      </c>
      <c r="U4" s="21" t="str">
        <f>IF(COUNTIFS(Eingabe[Name],Gesamtzähler[[#This Row],[Name]],Eingabe[Wo],"H")=0,"",COUNTIFS(Eingabe[Name],Gesamtzähler[[#This Row],[Name]],Eingabe[Wo],"H"))</f>
        <v/>
      </c>
      <c r="V4" s="6" t="str">
        <f>IF(Gesamtzähler[[#This Row],[Spiele H]]="","",Gesamtzähler[[#This Row],[Spiele H]]-COUNTIFS(Eingabe[Name],Gesamtzähler[[#This Row],[Name]],Eingabe[MP],"",Eingabe[Wo],"H"))</f>
        <v/>
      </c>
      <c r="W4" s="6" t="str">
        <f>IF(Gesamtzähler[[#This Row],[Spiele H]]="","",SUMIFS(Eingabe[Volle],Eingabe[Name],Gesamtzähler[[#This Row],[Name]],Eingabe[Wo],"H"))</f>
        <v/>
      </c>
      <c r="X4" s="6" t="str">
        <f>IF(Gesamtzähler[[#This Row],[Spiele H]]="","",SUMIFS(Eingabe[Räumer],Eingabe[Name],Gesamtzähler[[#This Row],[Name]],Eingabe[Wo],"H"))</f>
        <v/>
      </c>
      <c r="Y4" s="6" t="str">
        <f>IF(Gesamtzähler[[#This Row],[Spiele H]]="","",SUMIFS(Eingabe[Fehler],Eingabe[Name],Gesamtzähler[[#This Row],[Name]],Eingabe[Wo],"H"))</f>
        <v/>
      </c>
      <c r="Z4" s="6" t="str">
        <f>IF(Gesamtzähler[[#This Row],[Spiele MPH]]="","",SUMIFS(Eingabe[S1],Eingabe[Name],Gesamtzähler[[#This Row],[Name]],Eingabe[Wo],"H"))</f>
        <v/>
      </c>
      <c r="AA4" s="6" t="str">
        <f>IF(Gesamtzähler[[#This Row],[Spiele MPH]]="","",SUMIFS(Eingabe[S1P],Eingabe[Name],Gesamtzähler[[#This Row],[Name]],Eingabe[Wo],"H"))</f>
        <v/>
      </c>
      <c r="AB4" s="6" t="str">
        <f>IF(Gesamtzähler[[#This Row],[Spiele MPH]]="","",SUMIFS(Eingabe[S2],Eingabe[Name],Gesamtzähler[[#This Row],[Name]],Eingabe[Wo],"H"))</f>
        <v/>
      </c>
      <c r="AC4" s="6" t="str">
        <f>IF(Gesamtzähler[[#This Row],[Spiele MPH]]="","",SUMIFS(Eingabe[S2P],Eingabe[Name],Gesamtzähler[[#This Row],[Name]],Eingabe[Wo],"H"))</f>
        <v/>
      </c>
      <c r="AD4" s="6" t="str">
        <f>IF(Gesamtzähler[[#This Row],[Spiele MPH]]="","",SUMIFS(Eingabe[S3],Eingabe[Name],Gesamtzähler[[#This Row],[Name]],Eingabe[Wo],"H"))</f>
        <v/>
      </c>
      <c r="AE4" s="6" t="str">
        <f>IF(Gesamtzähler[[#This Row],[Spiele MPH]]="","",SUMIFS(Eingabe[S3P],Eingabe[Name],Gesamtzähler[[#This Row],[Name]],Eingabe[Wo],"H"))</f>
        <v/>
      </c>
      <c r="AF4" s="203" t="str">
        <f>IF(Gesamtzähler[[#This Row],[Spiele MPH]]="","",SUMIFS(Eingabe[S4],Eingabe[Name],Gesamtzähler[[#This Row],[Name]],Eingabe[Wo],"H"))</f>
        <v/>
      </c>
      <c r="AG4" s="6" t="str">
        <f>IF(Gesamtzähler[[#This Row],[Spiele MPH]]="","",SUMIFS(Eingabe[S4P],Eingabe[Name],Gesamtzähler[[#This Row],[Name]],Eingabe[Wo],"H"))</f>
        <v/>
      </c>
      <c r="AH4" s="6" t="str">
        <f>IF(Gesamtzähler[[#This Row],[Spiele MPH]]="","",SUMIFS(Eingabe[GEGGES],Eingabe[Name],Gesamtzähler[[#This Row],[Name]],Eingabe[Wo],"H"))</f>
        <v/>
      </c>
      <c r="AI4" s="6" t="str">
        <f>IF(Gesamtzähler[[#This Row],[Spiele H]]="","",SUMIFS(Eingabe[GES],Eingabe[Name],Gesamtzähler[[#This Row],[Name]],Eingabe[Wo],"H"))</f>
        <v/>
      </c>
      <c r="AJ4" s="6" t="str">
        <f>IF(Gesamtzähler[[#This Row],[Spiele MPH]]="","",SUMIFS(Eingabe[SP],Eingabe[Name],Gesamtzähler[[#This Row],[Name]],Eingabe[Wo],"H"))</f>
        <v/>
      </c>
      <c r="AK4" s="6" t="str">
        <f>IF(Gesamtzähler[[#This Row],[Spiele MPH]]="","",SUMIFS(Eingabe[MP],Eingabe[Name],Gesamtzähler[[#This Row],[Name]],Eingabe[Wo],"H"))</f>
        <v/>
      </c>
      <c r="AL4" s="6" t="str">
        <f>IF(COUNTIFS(Eingabe[Name],Gesamtzähler[[#This Row],[Name]],Eingabe[Wo],"A")=0,"",COUNTIFS(Eingabe[Name],Gesamtzähler[[#This Row],[Name]],Eingabe[Wo],"A"))</f>
        <v/>
      </c>
      <c r="AM4" s="6" t="str">
        <f>IF(Gesamtzähler[[#This Row],[Spiele A]]="","",Gesamtzähler[[#This Row],[Spiele A]]-COUNTIFS(Eingabe[Name],Gesamtzähler[[#This Row],[Name]],Eingabe[MP],"",Eingabe[Wo],"A"))</f>
        <v/>
      </c>
      <c r="AN4" s="6" t="str">
        <f>IF(Gesamtzähler[[#This Row],[Spiele A]]="","",SUMIFS(Eingabe[Volle],Eingabe[Name],Gesamtzähler[[#This Row],[Name]],Eingabe[Wo],"A"))</f>
        <v/>
      </c>
      <c r="AO4" s="6" t="str">
        <f>IF(Gesamtzähler[[#This Row],[Spiele A]]="","",SUMIFS(Eingabe[Räumer],Eingabe[Name],Gesamtzähler[[#This Row],[Name]],Eingabe[Wo],"A"))</f>
        <v/>
      </c>
      <c r="AP4" s="6" t="str">
        <f>IF(Gesamtzähler[[#This Row],[Spiele A]]="","",SUMIFS(Eingabe[Fehler],Eingabe[Name],Gesamtzähler[[#This Row],[Name]],Eingabe[Wo],"A"))</f>
        <v/>
      </c>
      <c r="AQ4" s="6" t="str">
        <f>IF(Gesamtzähler[[#This Row],[Spiele MPA]]="","",SUMIFS(Eingabe[S1],Eingabe[Name],Gesamtzähler[[#This Row],[Name]],Eingabe[Wo],"A"))</f>
        <v/>
      </c>
      <c r="AR4" s="6" t="str">
        <f>IF(Gesamtzähler[[#This Row],[Spiele MPA]]="","",SUMIFS(Eingabe[S1P],Eingabe[Name],Gesamtzähler[[#This Row],[Name]],Eingabe[Wo],"A"))</f>
        <v/>
      </c>
      <c r="AS4" s="6" t="str">
        <f>IF(Gesamtzähler[[#This Row],[Spiele MPA]]="","",SUMIFS(Eingabe[S2],Eingabe[Name],Gesamtzähler[[#This Row],[Name]],Eingabe[Wo],"A"))</f>
        <v/>
      </c>
      <c r="AT4" s="6" t="str">
        <f>IF(Gesamtzähler[[#This Row],[Spiele MPA]]="","",SUMIFS(Eingabe[S2P],Eingabe[Name],Gesamtzähler[[#This Row],[Name]],Eingabe[Wo],"A"))</f>
        <v/>
      </c>
      <c r="AU4" s="6" t="str">
        <f>IF(Gesamtzähler[[#This Row],[Spiele MPA]]="","",SUMIFS(Eingabe[S3],Eingabe[Name],Gesamtzähler[[#This Row],[Name]],Eingabe[Wo],"A"))</f>
        <v/>
      </c>
      <c r="AV4" s="6" t="str">
        <f>IF(Gesamtzähler[[#This Row],[Spiele MPA]]="","",SUMIFS(Eingabe[S3P],Eingabe[Name],Gesamtzähler[[#This Row],[Name]],Eingabe[Wo],"A"))</f>
        <v/>
      </c>
      <c r="AW4" s="6" t="str">
        <f>IF(Gesamtzähler[[#This Row],[Spiele MPA]]="","",SUMIFS(Eingabe[S4],Eingabe[Name],Gesamtzähler[[#This Row],[Name]],Eingabe[Wo],"A"))</f>
        <v/>
      </c>
      <c r="AX4" s="6" t="str">
        <f>IF(Gesamtzähler[[#This Row],[Spiele MPA]]="","",SUMIFS(Eingabe[S4P],Eingabe[Name],Gesamtzähler[[#This Row],[Name]],Eingabe[Wo],"A"))</f>
        <v/>
      </c>
      <c r="AY4" s="6" t="str">
        <f>IF(Gesamtzähler[[#This Row],[Spiele MPA]]="","",SUMIFS(Eingabe[GEGGES],Eingabe[Name],Gesamtzähler[[#This Row],[Name]],Eingabe[Wo],"A"))</f>
        <v/>
      </c>
      <c r="AZ4" s="6" t="str">
        <f>IF(Gesamtzähler[[#This Row],[Spiele A]]="","",SUMIFS(Eingabe[GES],Eingabe[Name],Gesamtzähler[[#This Row],[Name]],Eingabe[Wo],"A"))</f>
        <v/>
      </c>
      <c r="BA4" s="6" t="str">
        <f>IF(Gesamtzähler[[#This Row],[Spiele MPA]]="","",SUMIFS(Eingabe[SP],Eingabe[Name],Gesamtzähler[[#This Row],[Name]],Eingabe[Wo],"A"))</f>
        <v/>
      </c>
      <c r="BB4" s="6" t="str">
        <f>IF(Gesamtzähler[[#This Row],[Spiele MPA]]="","",SUMIFS(Eingabe[MP],Eingabe[Name],Gesamtzähler[[#This Row],[Name]],Eingabe[Wo],"A"))</f>
        <v/>
      </c>
      <c r="BC4" s="2"/>
      <c r="BD4" s="2"/>
      <c r="BE4" s="2"/>
      <c r="BF4" s="2"/>
    </row>
    <row r="5" spans="2:58" x14ac:dyDescent="0.3">
      <c r="B5" s="7" t="str">
        <f>VLOOKUP(ROW(Gesamtzähler[[#This Row],[Name]])-3,Teamzuordnung[],2,FALSE)</f>
        <v>Andreas Ehrlich</v>
      </c>
      <c r="C5" s="6" t="str">
        <f>IF(Gesamtzähler[[#This Row],[Name]]="","",VLOOKUP(Gesamtzähler[[#This Row],[Name]],Teamzuordnung[[Name]:[Team]],2,TRUE))</f>
        <v>D</v>
      </c>
      <c r="D5" s="21">
        <f>IF(COUNTIFS(Eingabe[Name],Gesamtzähler[[#This Row],[Name]])=0,"",COUNTIFS(Eingabe[Name],Gesamtzähler[[#This Row],[Name]]))</f>
        <v>1</v>
      </c>
      <c r="E5" s="6">
        <f>IF(Gesamtzähler[[#This Row],[Spiele]]="","",IF(Gesamtzähler[[#This Row],[Spiele]]-COUNTIFS(Eingabe[Name],Gesamtzähler[[#This Row],[Name]],Eingabe[MP],"")=0,"",Gesamtzähler[[#This Row],[Spiele]]-COUNTIFS(Eingabe[Name],Gesamtzähler[[#This Row],[Name]],Eingabe[MP],"")))</f>
        <v>1</v>
      </c>
      <c r="F5" s="6">
        <f>IF(Gesamtzähler[[#This Row],[Spiele]]="","",SUMIF(Eingabe[Name],Gesamtzähler[[#This Row],[Name]],Eingabe[Volle]))</f>
        <v>351</v>
      </c>
      <c r="G5" s="6">
        <f>IF(Gesamtzähler[[#This Row],[Spiele]]="","",SUMIF(Eingabe[Name],Gesamtzähler[[#This Row],[Name]],Eingabe[Räumer]))</f>
        <v>178</v>
      </c>
      <c r="H5" s="6">
        <f>IF(Gesamtzähler[[#This Row],[Spiele]]="","",SUMIF(Eingabe[Name],Gesamtzähler[[#This Row],[Name]],Eingabe[Fehler]))</f>
        <v>6</v>
      </c>
      <c r="I5" s="6">
        <f>IF(Gesamtzähler[[#This Row],[Spiele]]="","",SUMIF(Eingabe[Name],Gesamtzähler[[#This Row],[Name]],Eingabe[GES]))</f>
        <v>529</v>
      </c>
      <c r="J5" s="6">
        <f>IF(Gesamtzähler[[#This Row],[Spiele MP]]="","",SUMIF(Eingabe[Name],Gesamtzähler[[#This Row],[Name]],Eingabe[SP]))</f>
        <v>4</v>
      </c>
      <c r="K5" s="6">
        <f>IF(Gesamtzähler[[#This Row],[Spiele MP]]="","",SUMIF(Eingabe[Name],Gesamtzähler[[#This Row],[Name]],Eingabe[MP]))</f>
        <v>1</v>
      </c>
      <c r="L5" s="6">
        <f>IF(Gesamtzähler[[#This Row],[Spiele MP]]="","",SUMIF(Eingabe[Name],Gesamtzähler[[#This Row],[Name]],Eingabe[S1]))</f>
        <v>126</v>
      </c>
      <c r="M5" s="6">
        <f>IF(Gesamtzähler[[#This Row],[Spiele MP]]="","",SUMIF(Eingabe[Name],Gesamtzähler[[#This Row],[Name]],Eingabe[S2]))</f>
        <v>132</v>
      </c>
      <c r="N5" s="6">
        <f>IF(Gesamtzähler[[#This Row],[Spiele MP]]="","",SUMIF(Eingabe[Name],Gesamtzähler[[#This Row],[Name]],Eingabe[S3]))</f>
        <v>121</v>
      </c>
      <c r="O5" s="6">
        <f>IF(Gesamtzähler[[#This Row],[Spiele MP]]="","",SUMIF(Eingabe[Name],Gesamtzähler[[#This Row],[Name]],Eingabe[S4]))</f>
        <v>150</v>
      </c>
      <c r="P5" s="6">
        <f>IF(Gesamtzähler[[#This Row],[Spiele MP]]="","",SUMIF(Eingabe[Name],Gesamtzähler[[#This Row],[Name]],Eingabe[S1P]))</f>
        <v>1</v>
      </c>
      <c r="Q5" s="6">
        <f>IF(Gesamtzähler[[#This Row],[Spiele MP]]="","",SUMIF(Eingabe[Name],Gesamtzähler[[#This Row],[Name]],Eingabe[S2P]))</f>
        <v>1</v>
      </c>
      <c r="R5" s="6">
        <f>IF(Gesamtzähler[[#This Row],[Spiele MP]]="","",SUMIF(Eingabe[Name],Gesamtzähler[[#This Row],[Name]],Eingabe[S3P]))</f>
        <v>1</v>
      </c>
      <c r="S5" s="6">
        <f>IF(Gesamtzähler[[#This Row],[Spiele MP]]="","",SUMIF(Eingabe[Name],Gesamtzähler[[#This Row],[Name]],Eingabe[S4P]))</f>
        <v>1</v>
      </c>
      <c r="T5" s="6">
        <f>IF(Gesamtzähler[[#This Row],[Spiele MP]]="","",SUMIF(Eingabe[Name],Gesamtzähler[[#This Row],[Name]],Eingabe[GEGGES]))</f>
        <v>441</v>
      </c>
      <c r="U5" s="21">
        <f>IF(COUNTIFS(Eingabe[Name],Gesamtzähler[[#This Row],[Name]],Eingabe[Wo],"H")=0,"",COUNTIFS(Eingabe[Name],Gesamtzähler[[#This Row],[Name]],Eingabe[Wo],"H"))</f>
        <v>1</v>
      </c>
      <c r="V5" s="6">
        <f>IF(Gesamtzähler[[#This Row],[Spiele H]]="","",Gesamtzähler[[#This Row],[Spiele H]]-COUNTIFS(Eingabe[Name],Gesamtzähler[[#This Row],[Name]],Eingabe[MP],"",Eingabe[Wo],"H"))</f>
        <v>1</v>
      </c>
      <c r="W5" s="6">
        <f>IF(Gesamtzähler[[#This Row],[Spiele H]]="","",SUMIFS(Eingabe[Volle],Eingabe[Name],Gesamtzähler[[#This Row],[Name]],Eingabe[Wo],"H"))</f>
        <v>351</v>
      </c>
      <c r="X5" s="6">
        <f>IF(Gesamtzähler[[#This Row],[Spiele H]]="","",SUMIFS(Eingabe[Räumer],Eingabe[Name],Gesamtzähler[[#This Row],[Name]],Eingabe[Wo],"H"))</f>
        <v>178</v>
      </c>
      <c r="Y5" s="6">
        <f>IF(Gesamtzähler[[#This Row],[Spiele H]]="","",SUMIFS(Eingabe[Fehler],Eingabe[Name],Gesamtzähler[[#This Row],[Name]],Eingabe[Wo],"H"))</f>
        <v>6</v>
      </c>
      <c r="Z5" s="6">
        <f>IF(Gesamtzähler[[#This Row],[Spiele MPH]]="","",SUMIFS(Eingabe[S1],Eingabe[Name],Gesamtzähler[[#This Row],[Name]],Eingabe[Wo],"H"))</f>
        <v>126</v>
      </c>
      <c r="AA5" s="6">
        <f>IF(Gesamtzähler[[#This Row],[Spiele MPH]]="","",SUMIFS(Eingabe[S1P],Eingabe[Name],Gesamtzähler[[#This Row],[Name]],Eingabe[Wo],"H"))</f>
        <v>1</v>
      </c>
      <c r="AB5" s="6">
        <f>IF(Gesamtzähler[[#This Row],[Spiele MPH]]="","",SUMIFS(Eingabe[S2],Eingabe[Name],Gesamtzähler[[#This Row],[Name]],Eingabe[Wo],"H"))</f>
        <v>132</v>
      </c>
      <c r="AC5" s="6">
        <f>IF(Gesamtzähler[[#This Row],[Spiele MPH]]="","",SUMIFS(Eingabe[S2P],Eingabe[Name],Gesamtzähler[[#This Row],[Name]],Eingabe[Wo],"H"))</f>
        <v>1</v>
      </c>
      <c r="AD5" s="6">
        <f>IF(Gesamtzähler[[#This Row],[Spiele MPH]]="","",SUMIFS(Eingabe[S3],Eingabe[Name],Gesamtzähler[[#This Row],[Name]],Eingabe[Wo],"H"))</f>
        <v>121</v>
      </c>
      <c r="AE5" s="6">
        <f>IF(Gesamtzähler[[#This Row],[Spiele MPH]]="","",SUMIFS(Eingabe[S3P],Eingabe[Name],Gesamtzähler[[#This Row],[Name]],Eingabe[Wo],"H"))</f>
        <v>1</v>
      </c>
      <c r="AF5" s="203">
        <f>IF(Gesamtzähler[[#This Row],[Spiele MPH]]="","",SUMIFS(Eingabe[S4],Eingabe[Name],Gesamtzähler[[#This Row],[Name]],Eingabe[Wo],"H"))</f>
        <v>150</v>
      </c>
      <c r="AG5" s="6">
        <f>IF(Gesamtzähler[[#This Row],[Spiele MPH]]="","",SUMIFS(Eingabe[S4P],Eingabe[Name],Gesamtzähler[[#This Row],[Name]],Eingabe[Wo],"H"))</f>
        <v>1</v>
      </c>
      <c r="AH5" s="6">
        <f>IF(Gesamtzähler[[#This Row],[Spiele MPH]]="","",SUMIFS(Eingabe[GEGGES],Eingabe[Name],Gesamtzähler[[#This Row],[Name]],Eingabe[Wo],"H"))</f>
        <v>441</v>
      </c>
      <c r="AI5" s="6">
        <f>IF(Gesamtzähler[[#This Row],[Spiele H]]="","",SUMIFS(Eingabe[GES],Eingabe[Name],Gesamtzähler[[#This Row],[Name]],Eingabe[Wo],"H"))</f>
        <v>529</v>
      </c>
      <c r="AJ5" s="6">
        <f>IF(Gesamtzähler[[#This Row],[Spiele MPH]]="","",SUMIFS(Eingabe[SP],Eingabe[Name],Gesamtzähler[[#This Row],[Name]],Eingabe[Wo],"H"))</f>
        <v>4</v>
      </c>
      <c r="AK5" s="6">
        <f>IF(Gesamtzähler[[#This Row],[Spiele MPH]]="","",SUMIFS(Eingabe[MP],Eingabe[Name],Gesamtzähler[[#This Row],[Name]],Eingabe[Wo],"H"))</f>
        <v>1</v>
      </c>
      <c r="AL5" s="6" t="str">
        <f>IF(COUNTIFS(Eingabe[Name],Gesamtzähler[[#This Row],[Name]],Eingabe[Wo],"A")=0,"",COUNTIFS(Eingabe[Name],Gesamtzähler[[#This Row],[Name]],Eingabe[Wo],"A"))</f>
        <v/>
      </c>
      <c r="AM5" s="6" t="str">
        <f>IF(Gesamtzähler[[#This Row],[Spiele A]]="","",Gesamtzähler[[#This Row],[Spiele A]]-COUNTIFS(Eingabe[Name],Gesamtzähler[[#This Row],[Name]],Eingabe[MP],"",Eingabe[Wo],"A"))</f>
        <v/>
      </c>
      <c r="AN5" s="6" t="str">
        <f>IF(Gesamtzähler[[#This Row],[Spiele A]]="","",SUMIFS(Eingabe[Volle],Eingabe[Name],Gesamtzähler[[#This Row],[Name]],Eingabe[Wo],"A"))</f>
        <v/>
      </c>
      <c r="AO5" s="6" t="str">
        <f>IF(Gesamtzähler[[#This Row],[Spiele A]]="","",SUMIFS(Eingabe[Räumer],Eingabe[Name],Gesamtzähler[[#This Row],[Name]],Eingabe[Wo],"A"))</f>
        <v/>
      </c>
      <c r="AP5" s="6" t="str">
        <f>IF(Gesamtzähler[[#This Row],[Spiele A]]="","",SUMIFS(Eingabe[Fehler],Eingabe[Name],Gesamtzähler[[#This Row],[Name]],Eingabe[Wo],"A"))</f>
        <v/>
      </c>
      <c r="AQ5" s="6" t="str">
        <f>IF(Gesamtzähler[[#This Row],[Spiele MPA]]="","",SUMIFS(Eingabe[S1],Eingabe[Name],Gesamtzähler[[#This Row],[Name]],Eingabe[Wo],"A"))</f>
        <v/>
      </c>
      <c r="AR5" s="6" t="str">
        <f>IF(Gesamtzähler[[#This Row],[Spiele MPA]]="","",SUMIFS(Eingabe[S1P],Eingabe[Name],Gesamtzähler[[#This Row],[Name]],Eingabe[Wo],"A"))</f>
        <v/>
      </c>
      <c r="AS5" s="6" t="str">
        <f>IF(Gesamtzähler[[#This Row],[Spiele MPA]]="","",SUMIFS(Eingabe[S2],Eingabe[Name],Gesamtzähler[[#This Row],[Name]],Eingabe[Wo],"A"))</f>
        <v/>
      </c>
      <c r="AT5" s="6" t="str">
        <f>IF(Gesamtzähler[[#This Row],[Spiele MPA]]="","",SUMIFS(Eingabe[S2P],Eingabe[Name],Gesamtzähler[[#This Row],[Name]],Eingabe[Wo],"A"))</f>
        <v/>
      </c>
      <c r="AU5" s="6" t="str">
        <f>IF(Gesamtzähler[[#This Row],[Spiele MPA]]="","",SUMIFS(Eingabe[S3],Eingabe[Name],Gesamtzähler[[#This Row],[Name]],Eingabe[Wo],"A"))</f>
        <v/>
      </c>
      <c r="AV5" s="6" t="str">
        <f>IF(Gesamtzähler[[#This Row],[Spiele MPA]]="","",SUMIFS(Eingabe[S3P],Eingabe[Name],Gesamtzähler[[#This Row],[Name]],Eingabe[Wo],"A"))</f>
        <v/>
      </c>
      <c r="AW5" s="6" t="str">
        <f>IF(Gesamtzähler[[#This Row],[Spiele MPA]]="","",SUMIFS(Eingabe[S4],Eingabe[Name],Gesamtzähler[[#This Row],[Name]],Eingabe[Wo],"A"))</f>
        <v/>
      </c>
      <c r="AX5" s="6" t="str">
        <f>IF(Gesamtzähler[[#This Row],[Spiele MPA]]="","",SUMIFS(Eingabe[S4P],Eingabe[Name],Gesamtzähler[[#This Row],[Name]],Eingabe[Wo],"A"))</f>
        <v/>
      </c>
      <c r="AY5" s="6" t="str">
        <f>IF(Gesamtzähler[[#This Row],[Spiele MPA]]="","",SUMIFS(Eingabe[GEGGES],Eingabe[Name],Gesamtzähler[[#This Row],[Name]],Eingabe[Wo],"A"))</f>
        <v/>
      </c>
      <c r="AZ5" s="6" t="str">
        <f>IF(Gesamtzähler[[#This Row],[Spiele A]]="","",SUMIFS(Eingabe[GES],Eingabe[Name],Gesamtzähler[[#This Row],[Name]],Eingabe[Wo],"A"))</f>
        <v/>
      </c>
      <c r="BA5" s="6" t="str">
        <f>IF(Gesamtzähler[[#This Row],[Spiele MPA]]="","",SUMIFS(Eingabe[SP],Eingabe[Name],Gesamtzähler[[#This Row],[Name]],Eingabe[Wo],"A"))</f>
        <v/>
      </c>
      <c r="BB5" s="6" t="str">
        <f>IF(Gesamtzähler[[#This Row],[Spiele MPA]]="","",SUMIFS(Eingabe[MP],Eingabe[Name],Gesamtzähler[[#This Row],[Name]],Eingabe[Wo],"A"))</f>
        <v/>
      </c>
      <c r="BC5" s="6"/>
      <c r="BD5" s="6"/>
      <c r="BE5" s="6"/>
      <c r="BF5" s="6"/>
    </row>
    <row r="6" spans="2:58" x14ac:dyDescent="0.3">
      <c r="B6" s="7" t="str">
        <f>VLOOKUP(ROW(Gesamtzähler[[#This Row],[Name]])-3,Teamzuordnung[],2,FALSE)</f>
        <v>Andreas Rippin</v>
      </c>
      <c r="C6" s="6" t="str">
        <f>IF(Gesamtzähler[[#This Row],[Name]]="","",VLOOKUP(Gesamtzähler[[#This Row],[Name]],Teamzuordnung[[Name]:[Team]],2,TRUE))</f>
        <v>E</v>
      </c>
      <c r="D6" s="21">
        <f>IF(COUNTIFS(Eingabe[Name],Gesamtzähler[[#This Row],[Name]])=0,"",COUNTIFS(Eingabe[Name],Gesamtzähler[[#This Row],[Name]]))</f>
        <v>7</v>
      </c>
      <c r="E6" s="6">
        <f>IF(Gesamtzähler[[#This Row],[Spiele]]="","",IF(Gesamtzähler[[#This Row],[Spiele]]-COUNTIFS(Eingabe[Name],Gesamtzähler[[#This Row],[Name]],Eingabe[MP],"")=0,"",Gesamtzähler[[#This Row],[Spiele]]-COUNTIFS(Eingabe[Name],Gesamtzähler[[#This Row],[Name]],Eingabe[MP],"")))</f>
        <v>7</v>
      </c>
      <c r="F6" s="6">
        <f>IF(Gesamtzähler[[#This Row],[Spiele]]="","",SUMIF(Eingabe[Name],Gesamtzähler[[#This Row],[Name]],Eingabe[Volle]))</f>
        <v>2452</v>
      </c>
      <c r="G6" s="6">
        <f>IF(Gesamtzähler[[#This Row],[Spiele]]="","",SUMIF(Eingabe[Name],Gesamtzähler[[#This Row],[Name]],Eingabe[Räumer]))</f>
        <v>1103</v>
      </c>
      <c r="H6" s="6">
        <f>IF(Gesamtzähler[[#This Row],[Spiele]]="","",SUMIF(Eingabe[Name],Gesamtzähler[[#This Row],[Name]],Eingabe[Fehler]))</f>
        <v>77</v>
      </c>
      <c r="I6" s="6">
        <f>IF(Gesamtzähler[[#This Row],[Spiele]]="","",SUMIF(Eingabe[Name],Gesamtzähler[[#This Row],[Name]],Eingabe[GES]))</f>
        <v>3555</v>
      </c>
      <c r="J6" s="6">
        <f>IF(Gesamtzähler[[#This Row],[Spiele MP]]="","",SUMIF(Eingabe[Name],Gesamtzähler[[#This Row],[Name]],Eingabe[SP]))</f>
        <v>8.5</v>
      </c>
      <c r="K6" s="6">
        <f>IF(Gesamtzähler[[#This Row],[Spiele MP]]="","",SUMIF(Eingabe[Name],Gesamtzähler[[#This Row],[Name]],Eingabe[MP]))</f>
        <v>2</v>
      </c>
      <c r="L6" s="6">
        <f>IF(Gesamtzähler[[#This Row],[Spiele MP]]="","",SUMIF(Eingabe[Name],Gesamtzähler[[#This Row],[Name]],Eingabe[S1]))</f>
        <v>864</v>
      </c>
      <c r="M6" s="6">
        <f>IF(Gesamtzähler[[#This Row],[Spiele MP]]="","",SUMIF(Eingabe[Name],Gesamtzähler[[#This Row],[Name]],Eingabe[S2]))</f>
        <v>908</v>
      </c>
      <c r="N6" s="6">
        <f>IF(Gesamtzähler[[#This Row],[Spiele MP]]="","",SUMIF(Eingabe[Name],Gesamtzähler[[#This Row],[Name]],Eingabe[S3]))</f>
        <v>888</v>
      </c>
      <c r="O6" s="6">
        <f>IF(Gesamtzähler[[#This Row],[Spiele MP]]="","",SUMIF(Eingabe[Name],Gesamtzähler[[#This Row],[Name]],Eingabe[S4]))</f>
        <v>895</v>
      </c>
      <c r="P6" s="6">
        <f>IF(Gesamtzähler[[#This Row],[Spiele MP]]="","",SUMIF(Eingabe[Name],Gesamtzähler[[#This Row],[Name]],Eingabe[S1P]))</f>
        <v>3</v>
      </c>
      <c r="Q6" s="6">
        <f>IF(Gesamtzähler[[#This Row],[Spiele MP]]="","",SUMIF(Eingabe[Name],Gesamtzähler[[#This Row],[Name]],Eingabe[S2P]))</f>
        <v>2.5</v>
      </c>
      <c r="R6" s="6">
        <f>IF(Gesamtzähler[[#This Row],[Spiele MP]]="","",SUMIF(Eingabe[Name],Gesamtzähler[[#This Row],[Name]],Eingabe[S3P]))</f>
        <v>2</v>
      </c>
      <c r="S6" s="6">
        <f>IF(Gesamtzähler[[#This Row],[Spiele MP]]="","",SUMIF(Eingabe[Name],Gesamtzähler[[#This Row],[Name]],Eingabe[S4P]))</f>
        <v>1</v>
      </c>
      <c r="T6" s="6">
        <f>IF(Gesamtzähler[[#This Row],[Spiele MP]]="","",SUMIF(Eingabe[Name],Gesamtzähler[[#This Row],[Name]],Eingabe[GEGGES]))</f>
        <v>3839</v>
      </c>
      <c r="U6" s="21">
        <f>IF(COUNTIFS(Eingabe[Name],Gesamtzähler[[#This Row],[Name]],Eingabe[Wo],"H")=0,"",COUNTIFS(Eingabe[Name],Gesamtzähler[[#This Row],[Name]],Eingabe[Wo],"H"))</f>
        <v>3</v>
      </c>
      <c r="V6" s="6">
        <f>IF(Gesamtzähler[[#This Row],[Spiele H]]="","",Gesamtzähler[[#This Row],[Spiele H]]-COUNTIFS(Eingabe[Name],Gesamtzähler[[#This Row],[Name]],Eingabe[MP],"",Eingabe[Wo],"H"))</f>
        <v>3</v>
      </c>
      <c r="W6" s="6">
        <f>IF(Gesamtzähler[[#This Row],[Spiele H]]="","",SUMIFS(Eingabe[Volle],Eingabe[Name],Gesamtzähler[[#This Row],[Name]],Eingabe[Wo],"H"))</f>
        <v>1052</v>
      </c>
      <c r="X6" s="6">
        <f>IF(Gesamtzähler[[#This Row],[Spiele H]]="","",SUMIFS(Eingabe[Räumer],Eingabe[Name],Gesamtzähler[[#This Row],[Name]],Eingabe[Wo],"H"))</f>
        <v>467</v>
      </c>
      <c r="Y6" s="6">
        <f>IF(Gesamtzähler[[#This Row],[Spiele H]]="","",SUMIFS(Eingabe[Fehler],Eingabe[Name],Gesamtzähler[[#This Row],[Name]],Eingabe[Wo],"H"))</f>
        <v>31</v>
      </c>
      <c r="Z6" s="6">
        <f>IF(Gesamtzähler[[#This Row],[Spiele MPH]]="","",SUMIFS(Eingabe[S1],Eingabe[Name],Gesamtzähler[[#This Row],[Name]],Eingabe[Wo],"H"))</f>
        <v>380</v>
      </c>
      <c r="AA6" s="6">
        <f>IF(Gesamtzähler[[#This Row],[Spiele MPH]]="","",SUMIFS(Eingabe[S1P],Eingabe[Name],Gesamtzähler[[#This Row],[Name]],Eingabe[Wo],"H"))</f>
        <v>2</v>
      </c>
      <c r="AB6" s="6">
        <f>IF(Gesamtzähler[[#This Row],[Spiele MPH]]="","",SUMIFS(Eingabe[S2],Eingabe[Name],Gesamtzähler[[#This Row],[Name]],Eingabe[Wo],"H"))</f>
        <v>390</v>
      </c>
      <c r="AC6" s="6">
        <f>IF(Gesamtzähler[[#This Row],[Spiele MPH]]="","",SUMIFS(Eingabe[S2P],Eingabe[Name],Gesamtzähler[[#This Row],[Name]],Eingabe[Wo],"H"))</f>
        <v>1.5</v>
      </c>
      <c r="AD6" s="6">
        <f>IF(Gesamtzähler[[#This Row],[Spiele MPH]]="","",SUMIFS(Eingabe[S3],Eingabe[Name],Gesamtzähler[[#This Row],[Name]],Eingabe[Wo],"H"))</f>
        <v>357</v>
      </c>
      <c r="AE6" s="6">
        <f>IF(Gesamtzähler[[#This Row],[Spiele MPH]]="","",SUMIFS(Eingabe[S3P],Eingabe[Name],Gesamtzähler[[#This Row],[Name]],Eingabe[Wo],"H"))</f>
        <v>1</v>
      </c>
      <c r="AF6" s="203">
        <f>IF(Gesamtzähler[[#This Row],[Spiele MPH]]="","",SUMIFS(Eingabe[S4],Eingabe[Name],Gesamtzähler[[#This Row],[Name]],Eingabe[Wo],"H"))</f>
        <v>392</v>
      </c>
      <c r="AG6" s="6">
        <f>IF(Gesamtzähler[[#This Row],[Spiele MPH]]="","",SUMIFS(Eingabe[S4P],Eingabe[Name],Gesamtzähler[[#This Row],[Name]],Eingabe[Wo],"H"))</f>
        <v>1</v>
      </c>
      <c r="AH6" s="6">
        <f>IF(Gesamtzähler[[#This Row],[Spiele MPH]]="","",SUMIFS(Eingabe[GEGGES],Eingabe[Name],Gesamtzähler[[#This Row],[Name]],Eingabe[Wo],"H"))</f>
        <v>1550</v>
      </c>
      <c r="AI6" s="6">
        <f>IF(Gesamtzähler[[#This Row],[Spiele H]]="","",SUMIFS(Eingabe[GES],Eingabe[Name],Gesamtzähler[[#This Row],[Name]],Eingabe[Wo],"H"))</f>
        <v>1519</v>
      </c>
      <c r="AJ6" s="6">
        <f>IF(Gesamtzähler[[#This Row],[Spiele MPH]]="","",SUMIFS(Eingabe[SP],Eingabe[Name],Gesamtzähler[[#This Row],[Name]],Eingabe[Wo],"H"))</f>
        <v>5.5</v>
      </c>
      <c r="AK6" s="6">
        <f>IF(Gesamtzähler[[#This Row],[Spiele MPH]]="","",SUMIFS(Eingabe[MP],Eingabe[Name],Gesamtzähler[[#This Row],[Name]],Eingabe[Wo],"H"))</f>
        <v>2</v>
      </c>
      <c r="AL6" s="6">
        <f>IF(COUNTIFS(Eingabe[Name],Gesamtzähler[[#This Row],[Name]],Eingabe[Wo],"A")=0,"",COUNTIFS(Eingabe[Name],Gesamtzähler[[#This Row],[Name]],Eingabe[Wo],"A"))</f>
        <v>4</v>
      </c>
      <c r="AM6" s="6">
        <f>IF(Gesamtzähler[[#This Row],[Spiele A]]="","",Gesamtzähler[[#This Row],[Spiele A]]-COUNTIFS(Eingabe[Name],Gesamtzähler[[#This Row],[Name]],Eingabe[MP],"",Eingabe[Wo],"A"))</f>
        <v>4</v>
      </c>
      <c r="AN6" s="6">
        <f>IF(Gesamtzähler[[#This Row],[Spiele A]]="","",SUMIFS(Eingabe[Volle],Eingabe[Name],Gesamtzähler[[#This Row],[Name]],Eingabe[Wo],"A"))</f>
        <v>1400</v>
      </c>
      <c r="AO6" s="6">
        <f>IF(Gesamtzähler[[#This Row],[Spiele A]]="","",SUMIFS(Eingabe[Räumer],Eingabe[Name],Gesamtzähler[[#This Row],[Name]],Eingabe[Wo],"A"))</f>
        <v>636</v>
      </c>
      <c r="AP6" s="6">
        <f>IF(Gesamtzähler[[#This Row],[Spiele A]]="","",SUMIFS(Eingabe[Fehler],Eingabe[Name],Gesamtzähler[[#This Row],[Name]],Eingabe[Wo],"A"))</f>
        <v>46</v>
      </c>
      <c r="AQ6" s="6">
        <f>IF(Gesamtzähler[[#This Row],[Spiele MPA]]="","",SUMIFS(Eingabe[S1],Eingabe[Name],Gesamtzähler[[#This Row],[Name]],Eingabe[Wo],"A"))</f>
        <v>484</v>
      </c>
      <c r="AR6" s="6">
        <f>IF(Gesamtzähler[[#This Row],[Spiele MPA]]="","",SUMIFS(Eingabe[S1P],Eingabe[Name],Gesamtzähler[[#This Row],[Name]],Eingabe[Wo],"A"))</f>
        <v>1</v>
      </c>
      <c r="AS6" s="6">
        <f>IF(Gesamtzähler[[#This Row],[Spiele MPA]]="","",SUMIFS(Eingabe[S2],Eingabe[Name],Gesamtzähler[[#This Row],[Name]],Eingabe[Wo],"A"))</f>
        <v>518</v>
      </c>
      <c r="AT6" s="6">
        <f>IF(Gesamtzähler[[#This Row],[Spiele MPA]]="","",SUMIFS(Eingabe[S2P],Eingabe[Name],Gesamtzähler[[#This Row],[Name]],Eingabe[Wo],"A"))</f>
        <v>1</v>
      </c>
      <c r="AU6" s="6">
        <f>IF(Gesamtzähler[[#This Row],[Spiele MPA]]="","",SUMIFS(Eingabe[S3],Eingabe[Name],Gesamtzähler[[#This Row],[Name]],Eingabe[Wo],"A"))</f>
        <v>531</v>
      </c>
      <c r="AV6" s="6">
        <f>IF(Gesamtzähler[[#This Row],[Spiele MPA]]="","",SUMIFS(Eingabe[S3P],Eingabe[Name],Gesamtzähler[[#This Row],[Name]],Eingabe[Wo],"A"))</f>
        <v>1</v>
      </c>
      <c r="AW6" s="6">
        <f>IF(Gesamtzähler[[#This Row],[Spiele MPA]]="","",SUMIFS(Eingabe[S4],Eingabe[Name],Gesamtzähler[[#This Row],[Name]],Eingabe[Wo],"A"))</f>
        <v>503</v>
      </c>
      <c r="AX6" s="6">
        <f>IF(Gesamtzähler[[#This Row],[Spiele MPA]]="","",SUMIFS(Eingabe[S4P],Eingabe[Name],Gesamtzähler[[#This Row],[Name]],Eingabe[Wo],"A"))</f>
        <v>0</v>
      </c>
      <c r="AY6" s="6">
        <f>IF(Gesamtzähler[[#This Row],[Spiele MPA]]="","",SUMIFS(Eingabe[GEGGES],Eingabe[Name],Gesamtzähler[[#This Row],[Name]],Eingabe[Wo],"A"))</f>
        <v>2289</v>
      </c>
      <c r="AZ6" s="6">
        <f>IF(Gesamtzähler[[#This Row],[Spiele A]]="","",SUMIFS(Eingabe[GES],Eingabe[Name],Gesamtzähler[[#This Row],[Name]],Eingabe[Wo],"A"))</f>
        <v>2036</v>
      </c>
      <c r="BA6" s="6">
        <f>IF(Gesamtzähler[[#This Row],[Spiele MPA]]="","",SUMIFS(Eingabe[SP],Eingabe[Name],Gesamtzähler[[#This Row],[Name]],Eingabe[Wo],"A"))</f>
        <v>3</v>
      </c>
      <c r="BB6" s="6">
        <f>IF(Gesamtzähler[[#This Row],[Spiele MPA]]="","",SUMIFS(Eingabe[MP],Eingabe[Name],Gesamtzähler[[#This Row],[Name]],Eingabe[Wo],"A"))</f>
        <v>0</v>
      </c>
      <c r="BC6" s="6"/>
      <c r="BD6" s="6"/>
      <c r="BE6" s="6"/>
      <c r="BF6" s="6"/>
    </row>
    <row r="7" spans="2:58" x14ac:dyDescent="0.3">
      <c r="B7" s="7" t="str">
        <f>VLOOKUP(ROW(Gesamtzähler[[#This Row],[Name]])-3,Teamzuordnung[],2,FALSE)</f>
        <v>Anna Müller</v>
      </c>
      <c r="C7" s="6" t="str">
        <f>IF(Gesamtzähler[[#This Row],[Name]]="","",VLOOKUP(Gesamtzähler[[#This Row],[Name]],Teamzuordnung[[Name]:[Team]],2,TRUE))</f>
        <v>U19</v>
      </c>
      <c r="D7" s="21">
        <f>IF(COUNTIFS(Eingabe[Name],Gesamtzähler[[#This Row],[Name]])=0,"",COUNTIFS(Eingabe[Name],Gesamtzähler[[#This Row],[Name]]))</f>
        <v>13</v>
      </c>
      <c r="E7" s="6">
        <f>IF(Gesamtzähler[[#This Row],[Spiele]]="","",IF(Gesamtzähler[[#This Row],[Spiele]]-COUNTIFS(Eingabe[Name],Gesamtzähler[[#This Row],[Name]],Eingabe[MP],"")=0,"",Gesamtzähler[[#This Row],[Spiele]]-COUNTIFS(Eingabe[Name],Gesamtzähler[[#This Row],[Name]],Eingabe[MP],"")))</f>
        <v>2</v>
      </c>
      <c r="F7" s="6">
        <f>IF(Gesamtzähler[[#This Row],[Spiele]]="","",SUMIF(Eingabe[Name],Gesamtzähler[[#This Row],[Name]],Eingabe[Volle]))</f>
        <v>4489</v>
      </c>
      <c r="G7" s="6">
        <f>IF(Gesamtzähler[[#This Row],[Spiele]]="","",SUMIF(Eingabe[Name],Gesamtzähler[[#This Row],[Name]],Eingabe[Räumer]))</f>
        <v>2118</v>
      </c>
      <c r="H7" s="6">
        <f>IF(Gesamtzähler[[#This Row],[Spiele]]="","",SUMIF(Eingabe[Name],Gesamtzähler[[#This Row],[Name]],Eingabe[Fehler]))</f>
        <v>112</v>
      </c>
      <c r="I7" s="6">
        <f>IF(Gesamtzähler[[#This Row],[Spiele]]="","",SUMIF(Eingabe[Name],Gesamtzähler[[#This Row],[Name]],Eingabe[GES]))</f>
        <v>6607</v>
      </c>
      <c r="J7" s="6">
        <f>IF(Gesamtzähler[[#This Row],[Spiele MP]]="","",SUMIF(Eingabe[Name],Gesamtzähler[[#This Row],[Name]],Eingabe[SP]))</f>
        <v>7</v>
      </c>
      <c r="K7" s="6">
        <f>IF(Gesamtzähler[[#This Row],[Spiele MP]]="","",SUMIF(Eingabe[Name],Gesamtzähler[[#This Row],[Name]],Eingabe[MP]))</f>
        <v>2</v>
      </c>
      <c r="L7" s="6">
        <f>IF(Gesamtzähler[[#This Row],[Spiele MP]]="","",SUMIF(Eingabe[Name],Gesamtzähler[[#This Row],[Name]],Eingabe[S1]))</f>
        <v>1650</v>
      </c>
      <c r="M7" s="6">
        <f>IF(Gesamtzähler[[#This Row],[Spiele MP]]="","",SUMIF(Eingabe[Name],Gesamtzähler[[#This Row],[Name]],Eingabe[S2]))</f>
        <v>1687</v>
      </c>
      <c r="N7" s="6">
        <f>IF(Gesamtzähler[[#This Row],[Spiele MP]]="","",SUMIF(Eingabe[Name],Gesamtzähler[[#This Row],[Name]],Eingabe[S3]))</f>
        <v>1599</v>
      </c>
      <c r="O7" s="6">
        <f>IF(Gesamtzähler[[#This Row],[Spiele MP]]="","",SUMIF(Eingabe[Name],Gesamtzähler[[#This Row],[Name]],Eingabe[S4]))</f>
        <v>1671</v>
      </c>
      <c r="P7" s="6">
        <f>IF(Gesamtzähler[[#This Row],[Spiele MP]]="","",SUMIF(Eingabe[Name],Gesamtzähler[[#This Row],[Name]],Eingabe[S1P]))</f>
        <v>2</v>
      </c>
      <c r="Q7" s="6">
        <f>IF(Gesamtzähler[[#This Row],[Spiele MP]]="","",SUMIF(Eingabe[Name],Gesamtzähler[[#This Row],[Name]],Eingabe[S2P]))</f>
        <v>2</v>
      </c>
      <c r="R7" s="6">
        <f>IF(Gesamtzähler[[#This Row],[Spiele MP]]="","",SUMIF(Eingabe[Name],Gesamtzähler[[#This Row],[Name]],Eingabe[S3P]))</f>
        <v>2</v>
      </c>
      <c r="S7" s="6">
        <f>IF(Gesamtzähler[[#This Row],[Spiele MP]]="","",SUMIF(Eingabe[Name],Gesamtzähler[[#This Row],[Name]],Eingabe[S4P]))</f>
        <v>1</v>
      </c>
      <c r="T7" s="6">
        <f>IF(Gesamtzähler[[#This Row],[Spiele MP]]="","",SUMIF(Eingabe[Name],Gesamtzähler[[#This Row],[Name]],Eingabe[GEGGES]))</f>
        <v>925</v>
      </c>
      <c r="U7" s="21">
        <f>IF(COUNTIFS(Eingabe[Name],Gesamtzähler[[#This Row],[Name]],Eingabe[Wo],"H")=0,"",COUNTIFS(Eingabe[Name],Gesamtzähler[[#This Row],[Name]],Eingabe[Wo],"H"))</f>
        <v>5</v>
      </c>
      <c r="V7" s="6">
        <f>IF(Gesamtzähler[[#This Row],[Spiele H]]="","",Gesamtzähler[[#This Row],[Spiele H]]-COUNTIFS(Eingabe[Name],Gesamtzähler[[#This Row],[Name]],Eingabe[MP],"",Eingabe[Wo],"H"))</f>
        <v>2</v>
      </c>
      <c r="W7" s="6">
        <f>IF(Gesamtzähler[[#This Row],[Spiele H]]="","",SUMIFS(Eingabe[Volle],Eingabe[Name],Gesamtzähler[[#This Row],[Name]],Eingabe[Wo],"H"))</f>
        <v>1698</v>
      </c>
      <c r="X7" s="6">
        <f>IF(Gesamtzähler[[#This Row],[Spiele H]]="","",SUMIFS(Eingabe[Räumer],Eingabe[Name],Gesamtzähler[[#This Row],[Name]],Eingabe[Wo],"H"))</f>
        <v>860</v>
      </c>
      <c r="Y7" s="6">
        <f>IF(Gesamtzähler[[#This Row],[Spiele H]]="","",SUMIFS(Eingabe[Fehler],Eingabe[Name],Gesamtzähler[[#This Row],[Name]],Eingabe[Wo],"H"))</f>
        <v>35</v>
      </c>
      <c r="Z7" s="6">
        <f>IF(Gesamtzähler[[#This Row],[Spiele MPH]]="","",SUMIFS(Eingabe[S1],Eingabe[Name],Gesamtzähler[[#This Row],[Name]],Eingabe[Wo],"H"))</f>
        <v>637</v>
      </c>
      <c r="AA7" s="6">
        <f>IF(Gesamtzähler[[#This Row],[Spiele MPH]]="","",SUMIFS(Eingabe[S1P],Eingabe[Name],Gesamtzähler[[#This Row],[Name]],Eingabe[Wo],"H"))</f>
        <v>2</v>
      </c>
      <c r="AB7" s="6">
        <f>IF(Gesamtzähler[[#This Row],[Spiele MPH]]="","",SUMIFS(Eingabe[S2],Eingabe[Name],Gesamtzähler[[#This Row],[Name]],Eingabe[Wo],"H"))</f>
        <v>647</v>
      </c>
      <c r="AC7" s="6">
        <f>IF(Gesamtzähler[[#This Row],[Spiele MPH]]="","",SUMIFS(Eingabe[S2P],Eingabe[Name],Gesamtzähler[[#This Row],[Name]],Eingabe[Wo],"H"))</f>
        <v>2</v>
      </c>
      <c r="AD7" s="6">
        <f>IF(Gesamtzähler[[#This Row],[Spiele MPH]]="","",SUMIFS(Eingabe[S3],Eingabe[Name],Gesamtzähler[[#This Row],[Name]],Eingabe[Wo],"H"))</f>
        <v>644</v>
      </c>
      <c r="AE7" s="6">
        <f>IF(Gesamtzähler[[#This Row],[Spiele MPH]]="","",SUMIFS(Eingabe[S3P],Eingabe[Name],Gesamtzähler[[#This Row],[Name]],Eingabe[Wo],"H"))</f>
        <v>2</v>
      </c>
      <c r="AF7" s="203">
        <f>IF(Gesamtzähler[[#This Row],[Spiele MPH]]="","",SUMIFS(Eingabe[S4],Eingabe[Name],Gesamtzähler[[#This Row],[Name]],Eingabe[Wo],"H"))</f>
        <v>630</v>
      </c>
      <c r="AG7" s="6">
        <f>IF(Gesamtzähler[[#This Row],[Spiele MPH]]="","",SUMIFS(Eingabe[S4P],Eingabe[Name],Gesamtzähler[[#This Row],[Name]],Eingabe[Wo],"H"))</f>
        <v>1</v>
      </c>
      <c r="AH7" s="6">
        <f>IF(Gesamtzähler[[#This Row],[Spiele MPH]]="","",SUMIFS(Eingabe[GEGGES],Eingabe[Name],Gesamtzähler[[#This Row],[Name]],Eingabe[Wo],"H"))</f>
        <v>925</v>
      </c>
      <c r="AI7" s="6">
        <f>IF(Gesamtzähler[[#This Row],[Spiele H]]="","",SUMIFS(Eingabe[GES],Eingabe[Name],Gesamtzähler[[#This Row],[Name]],Eingabe[Wo],"H"))</f>
        <v>2558</v>
      </c>
      <c r="AJ7" s="6">
        <f>IF(Gesamtzähler[[#This Row],[Spiele MPH]]="","",SUMIFS(Eingabe[SP],Eingabe[Name],Gesamtzähler[[#This Row],[Name]],Eingabe[Wo],"H"))</f>
        <v>7</v>
      </c>
      <c r="AK7" s="6">
        <f>IF(Gesamtzähler[[#This Row],[Spiele MPH]]="","",SUMIFS(Eingabe[MP],Eingabe[Name],Gesamtzähler[[#This Row],[Name]],Eingabe[Wo],"H"))</f>
        <v>2</v>
      </c>
      <c r="AL7" s="6">
        <f>IF(COUNTIFS(Eingabe[Name],Gesamtzähler[[#This Row],[Name]],Eingabe[Wo],"A")=0,"",COUNTIFS(Eingabe[Name],Gesamtzähler[[#This Row],[Name]],Eingabe[Wo],"A"))</f>
        <v>8</v>
      </c>
      <c r="AM7" s="6">
        <f>IF(Gesamtzähler[[#This Row],[Spiele A]]="","",Gesamtzähler[[#This Row],[Spiele A]]-COUNTIFS(Eingabe[Name],Gesamtzähler[[#This Row],[Name]],Eingabe[MP],"",Eingabe[Wo],"A"))</f>
        <v>0</v>
      </c>
      <c r="AN7" s="6">
        <f>IF(Gesamtzähler[[#This Row],[Spiele A]]="","",SUMIFS(Eingabe[Volle],Eingabe[Name],Gesamtzähler[[#This Row],[Name]],Eingabe[Wo],"A"))</f>
        <v>2791</v>
      </c>
      <c r="AO7" s="6">
        <f>IF(Gesamtzähler[[#This Row],[Spiele A]]="","",SUMIFS(Eingabe[Räumer],Eingabe[Name],Gesamtzähler[[#This Row],[Name]],Eingabe[Wo],"A"))</f>
        <v>1258</v>
      </c>
      <c r="AP7" s="6">
        <f>IF(Gesamtzähler[[#This Row],[Spiele A]]="","",SUMIFS(Eingabe[Fehler],Eingabe[Name],Gesamtzähler[[#This Row],[Name]],Eingabe[Wo],"A"))</f>
        <v>77</v>
      </c>
      <c r="AQ7" s="6">
        <f>IF(Gesamtzähler[[#This Row],[Spiele MPA]]="","",SUMIFS(Eingabe[S1],Eingabe[Name],Gesamtzähler[[#This Row],[Name]],Eingabe[Wo],"A"))</f>
        <v>1013</v>
      </c>
      <c r="AR7" s="6">
        <f>IF(Gesamtzähler[[#This Row],[Spiele MPA]]="","",SUMIFS(Eingabe[S1P],Eingabe[Name],Gesamtzähler[[#This Row],[Name]],Eingabe[Wo],"A"))</f>
        <v>0</v>
      </c>
      <c r="AS7" s="6">
        <f>IF(Gesamtzähler[[#This Row],[Spiele MPA]]="","",SUMIFS(Eingabe[S2],Eingabe[Name],Gesamtzähler[[#This Row],[Name]],Eingabe[Wo],"A"))</f>
        <v>1040</v>
      </c>
      <c r="AT7" s="6">
        <f>IF(Gesamtzähler[[#This Row],[Spiele MPA]]="","",SUMIFS(Eingabe[S2P],Eingabe[Name],Gesamtzähler[[#This Row],[Name]],Eingabe[Wo],"A"))</f>
        <v>0</v>
      </c>
      <c r="AU7" s="6">
        <f>IF(Gesamtzähler[[#This Row],[Spiele MPA]]="","",SUMIFS(Eingabe[S3],Eingabe[Name],Gesamtzähler[[#This Row],[Name]],Eingabe[Wo],"A"))</f>
        <v>955</v>
      </c>
      <c r="AV7" s="6">
        <f>IF(Gesamtzähler[[#This Row],[Spiele MPA]]="","",SUMIFS(Eingabe[S3P],Eingabe[Name],Gesamtzähler[[#This Row],[Name]],Eingabe[Wo],"A"))</f>
        <v>0</v>
      </c>
      <c r="AW7" s="6">
        <f>IF(Gesamtzähler[[#This Row],[Spiele MPA]]="","",SUMIFS(Eingabe[S4],Eingabe[Name],Gesamtzähler[[#This Row],[Name]],Eingabe[Wo],"A"))</f>
        <v>1041</v>
      </c>
      <c r="AX7" s="6">
        <f>IF(Gesamtzähler[[#This Row],[Spiele MPA]]="","",SUMIFS(Eingabe[S4P],Eingabe[Name],Gesamtzähler[[#This Row],[Name]],Eingabe[Wo],"A"))</f>
        <v>0</v>
      </c>
      <c r="AY7" s="6">
        <f>IF(Gesamtzähler[[#This Row],[Spiele MPA]]="","",SUMIFS(Eingabe[GEGGES],Eingabe[Name],Gesamtzähler[[#This Row],[Name]],Eingabe[Wo],"A"))</f>
        <v>0</v>
      </c>
      <c r="AZ7" s="6">
        <f>IF(Gesamtzähler[[#This Row],[Spiele A]]="","",SUMIFS(Eingabe[GES],Eingabe[Name],Gesamtzähler[[#This Row],[Name]],Eingabe[Wo],"A"))</f>
        <v>4049</v>
      </c>
      <c r="BA7" s="6">
        <f>IF(Gesamtzähler[[#This Row],[Spiele MPA]]="","",SUMIFS(Eingabe[SP],Eingabe[Name],Gesamtzähler[[#This Row],[Name]],Eingabe[Wo],"A"))</f>
        <v>0</v>
      </c>
      <c r="BB7" s="6">
        <f>IF(Gesamtzähler[[#This Row],[Spiele MPA]]="","",SUMIFS(Eingabe[MP],Eingabe[Name],Gesamtzähler[[#This Row],[Name]],Eingabe[Wo],"A"))</f>
        <v>0</v>
      </c>
      <c r="BC7" s="6"/>
      <c r="BD7" s="6"/>
      <c r="BE7" s="6"/>
      <c r="BF7" s="6"/>
    </row>
    <row r="8" spans="2:58" x14ac:dyDescent="0.3">
      <c r="B8" s="7" t="str">
        <f>VLOOKUP(ROW(Gesamtzähler[[#This Row],[Name]])-3,Teamzuordnung[],2,FALSE)</f>
        <v>Ben Becker</v>
      </c>
      <c r="C8" s="6" t="str">
        <f>IF(Gesamtzähler[[#This Row],[Name]]="","",VLOOKUP(Gesamtzähler[[#This Row],[Name]],Teamzuordnung[[Name]:[Team]],2,TRUE))</f>
        <v>D</v>
      </c>
      <c r="D8" s="21" t="str">
        <f>IF(COUNTIFS(Eingabe[Name],Gesamtzähler[[#This Row],[Name]])=0,"",COUNTIFS(Eingabe[Name],Gesamtzähler[[#This Row],[Name]]))</f>
        <v/>
      </c>
      <c r="E8" s="6" t="str">
        <f>IF(Gesamtzähler[[#This Row],[Spiele]]="","",IF(Gesamtzähler[[#This Row],[Spiele]]-COUNTIFS(Eingabe[Name],Gesamtzähler[[#This Row],[Name]],Eingabe[MP],"")=0,"",Gesamtzähler[[#This Row],[Spiele]]-COUNTIFS(Eingabe[Name],Gesamtzähler[[#This Row],[Name]],Eingabe[MP],"")))</f>
        <v/>
      </c>
      <c r="F8" s="6" t="str">
        <f>IF(Gesamtzähler[[#This Row],[Spiele]]="","",SUMIF(Eingabe[Name],Gesamtzähler[[#This Row],[Name]],Eingabe[Volle]))</f>
        <v/>
      </c>
      <c r="G8" s="6" t="str">
        <f>IF(Gesamtzähler[[#This Row],[Spiele]]="","",SUMIF(Eingabe[Name],Gesamtzähler[[#This Row],[Name]],Eingabe[Räumer]))</f>
        <v/>
      </c>
      <c r="H8" s="6" t="str">
        <f>IF(Gesamtzähler[[#This Row],[Spiele]]="","",SUMIF(Eingabe[Name],Gesamtzähler[[#This Row],[Name]],Eingabe[Fehler]))</f>
        <v/>
      </c>
      <c r="I8" s="6" t="str">
        <f>IF(Gesamtzähler[[#This Row],[Spiele]]="","",SUMIF(Eingabe[Name],Gesamtzähler[[#This Row],[Name]],Eingabe[GES]))</f>
        <v/>
      </c>
      <c r="J8" s="6" t="str">
        <f>IF(Gesamtzähler[[#This Row],[Spiele MP]]="","",SUMIF(Eingabe[Name],Gesamtzähler[[#This Row],[Name]],Eingabe[SP]))</f>
        <v/>
      </c>
      <c r="K8" s="6" t="str">
        <f>IF(Gesamtzähler[[#This Row],[Spiele MP]]="","",SUMIF(Eingabe[Name],Gesamtzähler[[#This Row],[Name]],Eingabe[MP]))</f>
        <v/>
      </c>
      <c r="L8" s="6" t="str">
        <f>IF(Gesamtzähler[[#This Row],[Spiele MP]]="","",SUMIF(Eingabe[Name],Gesamtzähler[[#This Row],[Name]],Eingabe[S1]))</f>
        <v/>
      </c>
      <c r="M8" s="6" t="str">
        <f>IF(Gesamtzähler[[#This Row],[Spiele MP]]="","",SUMIF(Eingabe[Name],Gesamtzähler[[#This Row],[Name]],Eingabe[S2]))</f>
        <v/>
      </c>
      <c r="N8" s="6" t="str">
        <f>IF(Gesamtzähler[[#This Row],[Spiele MP]]="","",SUMIF(Eingabe[Name],Gesamtzähler[[#This Row],[Name]],Eingabe[S3]))</f>
        <v/>
      </c>
      <c r="O8" s="6" t="str">
        <f>IF(Gesamtzähler[[#This Row],[Spiele MP]]="","",SUMIF(Eingabe[Name],Gesamtzähler[[#This Row],[Name]],Eingabe[S4]))</f>
        <v/>
      </c>
      <c r="P8" s="6" t="str">
        <f>IF(Gesamtzähler[[#This Row],[Spiele MP]]="","",SUMIF(Eingabe[Name],Gesamtzähler[[#This Row],[Name]],Eingabe[S1P]))</f>
        <v/>
      </c>
      <c r="Q8" s="6" t="str">
        <f>IF(Gesamtzähler[[#This Row],[Spiele MP]]="","",SUMIF(Eingabe[Name],Gesamtzähler[[#This Row],[Name]],Eingabe[S2P]))</f>
        <v/>
      </c>
      <c r="R8" s="6" t="str">
        <f>IF(Gesamtzähler[[#This Row],[Spiele MP]]="","",SUMIF(Eingabe[Name],Gesamtzähler[[#This Row],[Name]],Eingabe[S3P]))</f>
        <v/>
      </c>
      <c r="S8" s="6" t="str">
        <f>IF(Gesamtzähler[[#This Row],[Spiele MP]]="","",SUMIF(Eingabe[Name],Gesamtzähler[[#This Row],[Name]],Eingabe[S4P]))</f>
        <v/>
      </c>
      <c r="T8" s="6" t="str">
        <f>IF(Gesamtzähler[[#This Row],[Spiele MP]]="","",SUMIF(Eingabe[Name],Gesamtzähler[[#This Row],[Name]],Eingabe[GEGGES]))</f>
        <v/>
      </c>
      <c r="U8" s="21" t="str">
        <f>IF(COUNTIFS(Eingabe[Name],Gesamtzähler[[#This Row],[Name]],Eingabe[Wo],"H")=0,"",COUNTIFS(Eingabe[Name],Gesamtzähler[[#This Row],[Name]],Eingabe[Wo],"H"))</f>
        <v/>
      </c>
      <c r="V8" s="6" t="str">
        <f>IF(Gesamtzähler[[#This Row],[Spiele H]]="","",Gesamtzähler[[#This Row],[Spiele H]]-COUNTIFS(Eingabe[Name],Gesamtzähler[[#This Row],[Name]],Eingabe[MP],"",Eingabe[Wo],"H"))</f>
        <v/>
      </c>
      <c r="W8" s="6" t="str">
        <f>IF(Gesamtzähler[[#This Row],[Spiele H]]="","",SUMIFS(Eingabe[Volle],Eingabe[Name],Gesamtzähler[[#This Row],[Name]],Eingabe[Wo],"H"))</f>
        <v/>
      </c>
      <c r="X8" s="6" t="str">
        <f>IF(Gesamtzähler[[#This Row],[Spiele H]]="","",SUMIFS(Eingabe[Räumer],Eingabe[Name],Gesamtzähler[[#This Row],[Name]],Eingabe[Wo],"H"))</f>
        <v/>
      </c>
      <c r="Y8" s="6" t="str">
        <f>IF(Gesamtzähler[[#This Row],[Spiele H]]="","",SUMIFS(Eingabe[Fehler],Eingabe[Name],Gesamtzähler[[#This Row],[Name]],Eingabe[Wo],"H"))</f>
        <v/>
      </c>
      <c r="Z8" s="6" t="str">
        <f>IF(Gesamtzähler[[#This Row],[Spiele MPH]]="","",SUMIFS(Eingabe[S1],Eingabe[Name],Gesamtzähler[[#This Row],[Name]],Eingabe[Wo],"H"))</f>
        <v/>
      </c>
      <c r="AA8" s="6" t="str">
        <f>IF(Gesamtzähler[[#This Row],[Spiele MPH]]="","",SUMIFS(Eingabe[S1P],Eingabe[Name],Gesamtzähler[[#This Row],[Name]],Eingabe[Wo],"H"))</f>
        <v/>
      </c>
      <c r="AB8" s="6" t="str">
        <f>IF(Gesamtzähler[[#This Row],[Spiele MPH]]="","",SUMIFS(Eingabe[S2],Eingabe[Name],Gesamtzähler[[#This Row],[Name]],Eingabe[Wo],"H"))</f>
        <v/>
      </c>
      <c r="AC8" s="6" t="str">
        <f>IF(Gesamtzähler[[#This Row],[Spiele MPH]]="","",SUMIFS(Eingabe[S2P],Eingabe[Name],Gesamtzähler[[#This Row],[Name]],Eingabe[Wo],"H"))</f>
        <v/>
      </c>
      <c r="AD8" s="6" t="str">
        <f>IF(Gesamtzähler[[#This Row],[Spiele MPH]]="","",SUMIFS(Eingabe[S3],Eingabe[Name],Gesamtzähler[[#This Row],[Name]],Eingabe[Wo],"H"))</f>
        <v/>
      </c>
      <c r="AE8" s="6" t="str">
        <f>IF(Gesamtzähler[[#This Row],[Spiele MPH]]="","",SUMIFS(Eingabe[S3P],Eingabe[Name],Gesamtzähler[[#This Row],[Name]],Eingabe[Wo],"H"))</f>
        <v/>
      </c>
      <c r="AF8" s="203" t="str">
        <f>IF(Gesamtzähler[[#This Row],[Spiele MPH]]="","",SUMIFS(Eingabe[S4],Eingabe[Name],Gesamtzähler[[#This Row],[Name]],Eingabe[Wo],"H"))</f>
        <v/>
      </c>
      <c r="AG8" s="6" t="str">
        <f>IF(Gesamtzähler[[#This Row],[Spiele MPH]]="","",SUMIFS(Eingabe[S4P],Eingabe[Name],Gesamtzähler[[#This Row],[Name]],Eingabe[Wo],"H"))</f>
        <v/>
      </c>
      <c r="AH8" s="6" t="str">
        <f>IF(Gesamtzähler[[#This Row],[Spiele MPH]]="","",SUMIFS(Eingabe[GEGGES],Eingabe[Name],Gesamtzähler[[#This Row],[Name]],Eingabe[Wo],"H"))</f>
        <v/>
      </c>
      <c r="AI8" s="6" t="str">
        <f>IF(Gesamtzähler[[#This Row],[Spiele H]]="","",SUMIFS(Eingabe[GES],Eingabe[Name],Gesamtzähler[[#This Row],[Name]],Eingabe[Wo],"H"))</f>
        <v/>
      </c>
      <c r="AJ8" s="6" t="str">
        <f>IF(Gesamtzähler[[#This Row],[Spiele MPH]]="","",SUMIFS(Eingabe[SP],Eingabe[Name],Gesamtzähler[[#This Row],[Name]],Eingabe[Wo],"H"))</f>
        <v/>
      </c>
      <c r="AK8" s="6" t="str">
        <f>IF(Gesamtzähler[[#This Row],[Spiele MPH]]="","",SUMIFS(Eingabe[MP],Eingabe[Name],Gesamtzähler[[#This Row],[Name]],Eingabe[Wo],"H"))</f>
        <v/>
      </c>
      <c r="AL8" s="6" t="str">
        <f>IF(COUNTIFS(Eingabe[Name],Gesamtzähler[[#This Row],[Name]],Eingabe[Wo],"A")=0,"",COUNTIFS(Eingabe[Name],Gesamtzähler[[#This Row],[Name]],Eingabe[Wo],"A"))</f>
        <v/>
      </c>
      <c r="AM8" s="6" t="str">
        <f>IF(Gesamtzähler[[#This Row],[Spiele A]]="","",Gesamtzähler[[#This Row],[Spiele A]]-COUNTIFS(Eingabe[Name],Gesamtzähler[[#This Row],[Name]],Eingabe[MP],"",Eingabe[Wo],"A"))</f>
        <v/>
      </c>
      <c r="AN8" s="6" t="str">
        <f>IF(Gesamtzähler[[#This Row],[Spiele A]]="","",SUMIFS(Eingabe[Volle],Eingabe[Name],Gesamtzähler[[#This Row],[Name]],Eingabe[Wo],"A"))</f>
        <v/>
      </c>
      <c r="AO8" s="6" t="str">
        <f>IF(Gesamtzähler[[#This Row],[Spiele A]]="","",SUMIFS(Eingabe[Räumer],Eingabe[Name],Gesamtzähler[[#This Row],[Name]],Eingabe[Wo],"A"))</f>
        <v/>
      </c>
      <c r="AP8" s="6" t="str">
        <f>IF(Gesamtzähler[[#This Row],[Spiele A]]="","",SUMIFS(Eingabe[Fehler],Eingabe[Name],Gesamtzähler[[#This Row],[Name]],Eingabe[Wo],"A"))</f>
        <v/>
      </c>
      <c r="AQ8" s="6" t="str">
        <f>IF(Gesamtzähler[[#This Row],[Spiele MPA]]="","",SUMIFS(Eingabe[S1],Eingabe[Name],Gesamtzähler[[#This Row],[Name]],Eingabe[Wo],"A"))</f>
        <v/>
      </c>
      <c r="AR8" s="6" t="str">
        <f>IF(Gesamtzähler[[#This Row],[Spiele MPA]]="","",SUMIFS(Eingabe[S1P],Eingabe[Name],Gesamtzähler[[#This Row],[Name]],Eingabe[Wo],"A"))</f>
        <v/>
      </c>
      <c r="AS8" s="6" t="str">
        <f>IF(Gesamtzähler[[#This Row],[Spiele MPA]]="","",SUMIFS(Eingabe[S2],Eingabe[Name],Gesamtzähler[[#This Row],[Name]],Eingabe[Wo],"A"))</f>
        <v/>
      </c>
      <c r="AT8" s="6" t="str">
        <f>IF(Gesamtzähler[[#This Row],[Spiele MPA]]="","",SUMIFS(Eingabe[S2P],Eingabe[Name],Gesamtzähler[[#This Row],[Name]],Eingabe[Wo],"A"))</f>
        <v/>
      </c>
      <c r="AU8" s="6" t="str">
        <f>IF(Gesamtzähler[[#This Row],[Spiele MPA]]="","",SUMIFS(Eingabe[S3],Eingabe[Name],Gesamtzähler[[#This Row],[Name]],Eingabe[Wo],"A"))</f>
        <v/>
      </c>
      <c r="AV8" s="6" t="str">
        <f>IF(Gesamtzähler[[#This Row],[Spiele MPA]]="","",SUMIFS(Eingabe[S3P],Eingabe[Name],Gesamtzähler[[#This Row],[Name]],Eingabe[Wo],"A"))</f>
        <v/>
      </c>
      <c r="AW8" s="6" t="str">
        <f>IF(Gesamtzähler[[#This Row],[Spiele MPA]]="","",SUMIFS(Eingabe[S4],Eingabe[Name],Gesamtzähler[[#This Row],[Name]],Eingabe[Wo],"A"))</f>
        <v/>
      </c>
      <c r="AX8" s="6" t="str">
        <f>IF(Gesamtzähler[[#This Row],[Spiele MPA]]="","",SUMIFS(Eingabe[S4P],Eingabe[Name],Gesamtzähler[[#This Row],[Name]],Eingabe[Wo],"A"))</f>
        <v/>
      </c>
      <c r="AY8" s="6" t="str">
        <f>IF(Gesamtzähler[[#This Row],[Spiele MPA]]="","",SUMIFS(Eingabe[GEGGES],Eingabe[Name],Gesamtzähler[[#This Row],[Name]],Eingabe[Wo],"A"))</f>
        <v/>
      </c>
      <c r="AZ8" s="6" t="str">
        <f>IF(Gesamtzähler[[#This Row],[Spiele A]]="","",SUMIFS(Eingabe[GES],Eingabe[Name],Gesamtzähler[[#This Row],[Name]],Eingabe[Wo],"A"))</f>
        <v/>
      </c>
      <c r="BA8" s="6" t="str">
        <f>IF(Gesamtzähler[[#This Row],[Spiele MPA]]="","",SUMIFS(Eingabe[SP],Eingabe[Name],Gesamtzähler[[#This Row],[Name]],Eingabe[Wo],"A"))</f>
        <v/>
      </c>
      <c r="BB8" s="6" t="str">
        <f>IF(Gesamtzähler[[#This Row],[Spiele MPA]]="","",SUMIFS(Eingabe[MP],Eingabe[Name],Gesamtzähler[[#This Row],[Name]],Eingabe[Wo],"A"))</f>
        <v/>
      </c>
      <c r="BC8" s="6"/>
      <c r="BD8" s="6"/>
      <c r="BE8" s="6"/>
      <c r="BF8" s="6"/>
    </row>
    <row r="9" spans="2:58" x14ac:dyDescent="0.3">
      <c r="B9" s="7" t="str">
        <f>VLOOKUP(ROW(Gesamtzähler[[#This Row],[Name]])-3,Teamzuordnung[],2,FALSE)</f>
        <v>Ben Böhmer</v>
      </c>
      <c r="C9" s="6" t="str">
        <f>IF(Gesamtzähler[[#This Row],[Name]]="","",VLOOKUP(Gesamtzähler[[#This Row],[Name]],Teamzuordnung[[Name]:[Team]],2,TRUE))</f>
        <v>U14</v>
      </c>
      <c r="D9" s="21">
        <f>IF(COUNTIFS(Eingabe[Name],Gesamtzähler[[#This Row],[Name]])=0,"",COUNTIFS(Eingabe[Name],Gesamtzähler[[#This Row],[Name]]))</f>
        <v>6</v>
      </c>
      <c r="E9" s="6" t="str">
        <f>IF(Gesamtzähler[[#This Row],[Spiele]]="","",IF(Gesamtzähler[[#This Row],[Spiele]]-COUNTIFS(Eingabe[Name],Gesamtzähler[[#This Row],[Name]],Eingabe[MP],"")=0,"",Gesamtzähler[[#This Row],[Spiele]]-COUNTIFS(Eingabe[Name],Gesamtzähler[[#This Row],[Name]],Eingabe[MP],"")))</f>
        <v/>
      </c>
      <c r="F9" s="6">
        <f>IF(Gesamtzähler[[#This Row],[Spiele]]="","",SUMIF(Eingabe[Name],Gesamtzähler[[#This Row],[Name]],Eingabe[Volle]))</f>
        <v>1504</v>
      </c>
      <c r="G9" s="6">
        <f>IF(Gesamtzähler[[#This Row],[Spiele]]="","",SUMIF(Eingabe[Name],Gesamtzähler[[#This Row],[Name]],Eingabe[Räumer]))</f>
        <v>476</v>
      </c>
      <c r="H9" s="6">
        <f>IF(Gesamtzähler[[#This Row],[Spiele]]="","",SUMIF(Eingabe[Name],Gesamtzähler[[#This Row],[Name]],Eingabe[Fehler]))</f>
        <v>220</v>
      </c>
      <c r="I9" s="6">
        <f>IF(Gesamtzähler[[#This Row],[Spiele]]="","",SUMIF(Eingabe[Name],Gesamtzähler[[#This Row],[Name]],Eingabe[GES]))</f>
        <v>1980</v>
      </c>
      <c r="J9" s="6" t="str">
        <f>IF(Gesamtzähler[[#This Row],[Spiele MP]]="","",SUMIF(Eingabe[Name],Gesamtzähler[[#This Row],[Name]],Eingabe[SP]))</f>
        <v/>
      </c>
      <c r="K9" s="6" t="str">
        <f>IF(Gesamtzähler[[#This Row],[Spiele MP]]="","",SUMIF(Eingabe[Name],Gesamtzähler[[#This Row],[Name]],Eingabe[MP]))</f>
        <v/>
      </c>
      <c r="L9" s="6" t="str">
        <f>IF(Gesamtzähler[[#This Row],[Spiele MP]]="","",SUMIF(Eingabe[Name],Gesamtzähler[[#This Row],[Name]],Eingabe[S1]))</f>
        <v/>
      </c>
      <c r="M9" s="6" t="str">
        <f>IF(Gesamtzähler[[#This Row],[Spiele MP]]="","",SUMIF(Eingabe[Name],Gesamtzähler[[#This Row],[Name]],Eingabe[S2]))</f>
        <v/>
      </c>
      <c r="N9" s="6" t="str">
        <f>IF(Gesamtzähler[[#This Row],[Spiele MP]]="","",SUMIF(Eingabe[Name],Gesamtzähler[[#This Row],[Name]],Eingabe[S3]))</f>
        <v/>
      </c>
      <c r="O9" s="6" t="str">
        <f>IF(Gesamtzähler[[#This Row],[Spiele MP]]="","",SUMIF(Eingabe[Name],Gesamtzähler[[#This Row],[Name]],Eingabe[S4]))</f>
        <v/>
      </c>
      <c r="P9" s="6" t="str">
        <f>IF(Gesamtzähler[[#This Row],[Spiele MP]]="","",SUMIF(Eingabe[Name],Gesamtzähler[[#This Row],[Name]],Eingabe[S1P]))</f>
        <v/>
      </c>
      <c r="Q9" s="6" t="str">
        <f>IF(Gesamtzähler[[#This Row],[Spiele MP]]="","",SUMIF(Eingabe[Name],Gesamtzähler[[#This Row],[Name]],Eingabe[S2P]))</f>
        <v/>
      </c>
      <c r="R9" s="6" t="str">
        <f>IF(Gesamtzähler[[#This Row],[Spiele MP]]="","",SUMIF(Eingabe[Name],Gesamtzähler[[#This Row],[Name]],Eingabe[S3P]))</f>
        <v/>
      </c>
      <c r="S9" s="6" t="str">
        <f>IF(Gesamtzähler[[#This Row],[Spiele MP]]="","",SUMIF(Eingabe[Name],Gesamtzähler[[#This Row],[Name]],Eingabe[S4P]))</f>
        <v/>
      </c>
      <c r="T9" s="6" t="str">
        <f>IF(Gesamtzähler[[#This Row],[Spiele MP]]="","",SUMIF(Eingabe[Name],Gesamtzähler[[#This Row],[Name]],Eingabe[GEGGES]))</f>
        <v/>
      </c>
      <c r="U9" s="21">
        <f>IF(COUNTIFS(Eingabe[Name],Gesamtzähler[[#This Row],[Name]],Eingabe[Wo],"H")=0,"",COUNTIFS(Eingabe[Name],Gesamtzähler[[#This Row],[Name]],Eingabe[Wo],"H"))</f>
        <v>2</v>
      </c>
      <c r="V9" s="6">
        <f>IF(Gesamtzähler[[#This Row],[Spiele H]]="","",Gesamtzähler[[#This Row],[Spiele H]]-COUNTIFS(Eingabe[Name],Gesamtzähler[[#This Row],[Name]],Eingabe[MP],"",Eingabe[Wo],"H"))</f>
        <v>0</v>
      </c>
      <c r="W9" s="6">
        <f>IF(Gesamtzähler[[#This Row],[Spiele H]]="","",SUMIFS(Eingabe[Volle],Eingabe[Name],Gesamtzähler[[#This Row],[Name]],Eingabe[Wo],"H"))</f>
        <v>508</v>
      </c>
      <c r="X9" s="6">
        <f>IF(Gesamtzähler[[#This Row],[Spiele H]]="","",SUMIFS(Eingabe[Räumer],Eingabe[Name],Gesamtzähler[[#This Row],[Name]],Eingabe[Wo],"H"))</f>
        <v>156</v>
      </c>
      <c r="Y9" s="6">
        <f>IF(Gesamtzähler[[#This Row],[Spiele H]]="","",SUMIFS(Eingabe[Fehler],Eingabe[Name],Gesamtzähler[[#This Row],[Name]],Eingabe[Wo],"H"))</f>
        <v>81</v>
      </c>
      <c r="Z9" s="6">
        <f>IF(Gesamtzähler[[#This Row],[Spiele MPH]]="","",SUMIFS(Eingabe[S1],Eingabe[Name],Gesamtzähler[[#This Row],[Name]],Eingabe[Wo],"H"))</f>
        <v>155</v>
      </c>
      <c r="AA9" s="6">
        <f>IF(Gesamtzähler[[#This Row],[Spiele MPH]]="","",SUMIFS(Eingabe[S1P],Eingabe[Name],Gesamtzähler[[#This Row],[Name]],Eingabe[Wo],"H"))</f>
        <v>0</v>
      </c>
      <c r="AB9" s="6">
        <f>IF(Gesamtzähler[[#This Row],[Spiele MPH]]="","",SUMIFS(Eingabe[S2],Eingabe[Name],Gesamtzähler[[#This Row],[Name]],Eingabe[Wo],"H"))</f>
        <v>187</v>
      </c>
      <c r="AC9" s="6">
        <f>IF(Gesamtzähler[[#This Row],[Spiele MPH]]="","",SUMIFS(Eingabe[S2P],Eingabe[Name],Gesamtzähler[[#This Row],[Name]],Eingabe[Wo],"H"))</f>
        <v>0</v>
      </c>
      <c r="AD9" s="6">
        <f>IF(Gesamtzähler[[#This Row],[Spiele MPH]]="","",SUMIFS(Eingabe[S3],Eingabe[Name],Gesamtzähler[[#This Row],[Name]],Eingabe[Wo],"H"))</f>
        <v>148</v>
      </c>
      <c r="AE9" s="6">
        <f>IF(Gesamtzähler[[#This Row],[Spiele MPH]]="","",SUMIFS(Eingabe[S3P],Eingabe[Name],Gesamtzähler[[#This Row],[Name]],Eingabe[Wo],"H"))</f>
        <v>0</v>
      </c>
      <c r="AF9" s="203">
        <f>IF(Gesamtzähler[[#This Row],[Spiele MPH]]="","",SUMIFS(Eingabe[S4],Eingabe[Name],Gesamtzähler[[#This Row],[Name]],Eingabe[Wo],"H"))</f>
        <v>174</v>
      </c>
      <c r="AG9" s="6">
        <f>IF(Gesamtzähler[[#This Row],[Spiele MPH]]="","",SUMIFS(Eingabe[S4P],Eingabe[Name],Gesamtzähler[[#This Row],[Name]],Eingabe[Wo],"H"))</f>
        <v>0</v>
      </c>
      <c r="AH9" s="6">
        <f>IF(Gesamtzähler[[#This Row],[Spiele MPH]]="","",SUMIFS(Eingabe[GEGGES],Eingabe[Name],Gesamtzähler[[#This Row],[Name]],Eingabe[Wo],"H"))</f>
        <v>0</v>
      </c>
      <c r="AI9" s="6">
        <f>IF(Gesamtzähler[[#This Row],[Spiele H]]="","",SUMIFS(Eingabe[GES],Eingabe[Name],Gesamtzähler[[#This Row],[Name]],Eingabe[Wo],"H"))</f>
        <v>664</v>
      </c>
      <c r="AJ9" s="6">
        <f>IF(Gesamtzähler[[#This Row],[Spiele MPH]]="","",SUMIFS(Eingabe[SP],Eingabe[Name],Gesamtzähler[[#This Row],[Name]],Eingabe[Wo],"H"))</f>
        <v>0</v>
      </c>
      <c r="AK9" s="6">
        <f>IF(Gesamtzähler[[#This Row],[Spiele MPH]]="","",SUMIFS(Eingabe[MP],Eingabe[Name],Gesamtzähler[[#This Row],[Name]],Eingabe[Wo],"H"))</f>
        <v>0</v>
      </c>
      <c r="AL9" s="6">
        <f>IF(COUNTIFS(Eingabe[Name],Gesamtzähler[[#This Row],[Name]],Eingabe[Wo],"A")=0,"",COUNTIFS(Eingabe[Name],Gesamtzähler[[#This Row],[Name]],Eingabe[Wo],"A"))</f>
        <v>4</v>
      </c>
      <c r="AM9" s="6">
        <f>IF(Gesamtzähler[[#This Row],[Spiele A]]="","",Gesamtzähler[[#This Row],[Spiele A]]-COUNTIFS(Eingabe[Name],Gesamtzähler[[#This Row],[Name]],Eingabe[MP],"",Eingabe[Wo],"A"))</f>
        <v>0</v>
      </c>
      <c r="AN9" s="6">
        <f>IF(Gesamtzähler[[#This Row],[Spiele A]]="","",SUMIFS(Eingabe[Volle],Eingabe[Name],Gesamtzähler[[#This Row],[Name]],Eingabe[Wo],"A"))</f>
        <v>996</v>
      </c>
      <c r="AO9" s="6">
        <f>IF(Gesamtzähler[[#This Row],[Spiele A]]="","",SUMIFS(Eingabe[Räumer],Eingabe[Name],Gesamtzähler[[#This Row],[Name]],Eingabe[Wo],"A"))</f>
        <v>320</v>
      </c>
      <c r="AP9" s="6">
        <f>IF(Gesamtzähler[[#This Row],[Spiele A]]="","",SUMIFS(Eingabe[Fehler],Eingabe[Name],Gesamtzähler[[#This Row],[Name]],Eingabe[Wo],"A"))</f>
        <v>139</v>
      </c>
      <c r="AQ9" s="6">
        <f>IF(Gesamtzähler[[#This Row],[Spiele MPA]]="","",SUMIFS(Eingabe[S1],Eingabe[Name],Gesamtzähler[[#This Row],[Name]],Eingabe[Wo],"A"))</f>
        <v>254</v>
      </c>
      <c r="AR9" s="6">
        <f>IF(Gesamtzähler[[#This Row],[Spiele MPA]]="","",SUMIFS(Eingabe[S1P],Eingabe[Name],Gesamtzähler[[#This Row],[Name]],Eingabe[Wo],"A"))</f>
        <v>0</v>
      </c>
      <c r="AS9" s="6">
        <f>IF(Gesamtzähler[[#This Row],[Spiele MPA]]="","",SUMIFS(Eingabe[S2],Eingabe[Name],Gesamtzähler[[#This Row],[Name]],Eingabe[Wo],"A"))</f>
        <v>279</v>
      </c>
      <c r="AT9" s="6">
        <f>IF(Gesamtzähler[[#This Row],[Spiele MPA]]="","",SUMIFS(Eingabe[S2P],Eingabe[Name],Gesamtzähler[[#This Row],[Name]],Eingabe[Wo],"A"))</f>
        <v>0</v>
      </c>
      <c r="AU9" s="6">
        <f>IF(Gesamtzähler[[#This Row],[Spiele MPA]]="","",SUMIFS(Eingabe[S3],Eingabe[Name],Gesamtzähler[[#This Row],[Name]],Eingabe[Wo],"A"))</f>
        <v>203</v>
      </c>
      <c r="AV9" s="6">
        <f>IF(Gesamtzähler[[#This Row],[Spiele MPA]]="","",SUMIFS(Eingabe[S3P],Eingabe[Name],Gesamtzähler[[#This Row],[Name]],Eingabe[Wo],"A"))</f>
        <v>0</v>
      </c>
      <c r="AW9" s="6">
        <f>IF(Gesamtzähler[[#This Row],[Spiele MPA]]="","",SUMIFS(Eingabe[S4],Eingabe[Name],Gesamtzähler[[#This Row],[Name]],Eingabe[Wo],"A"))</f>
        <v>259</v>
      </c>
      <c r="AX9" s="6">
        <f>IF(Gesamtzähler[[#This Row],[Spiele MPA]]="","",SUMIFS(Eingabe[S4P],Eingabe[Name],Gesamtzähler[[#This Row],[Name]],Eingabe[Wo],"A"))</f>
        <v>0</v>
      </c>
      <c r="AY9" s="6">
        <f>IF(Gesamtzähler[[#This Row],[Spiele MPA]]="","",SUMIFS(Eingabe[GEGGES],Eingabe[Name],Gesamtzähler[[#This Row],[Name]],Eingabe[Wo],"A"))</f>
        <v>0</v>
      </c>
      <c r="AZ9" s="6">
        <f>IF(Gesamtzähler[[#This Row],[Spiele A]]="","",SUMIFS(Eingabe[GES],Eingabe[Name],Gesamtzähler[[#This Row],[Name]],Eingabe[Wo],"A"))</f>
        <v>1316</v>
      </c>
      <c r="BA9" s="6">
        <f>IF(Gesamtzähler[[#This Row],[Spiele MPA]]="","",SUMIFS(Eingabe[SP],Eingabe[Name],Gesamtzähler[[#This Row],[Name]],Eingabe[Wo],"A"))</f>
        <v>0</v>
      </c>
      <c r="BB9" s="6">
        <f>IF(Gesamtzähler[[#This Row],[Spiele MPA]]="","",SUMIFS(Eingabe[MP],Eingabe[Name],Gesamtzähler[[#This Row],[Name]],Eingabe[Wo],"A"))</f>
        <v>0</v>
      </c>
      <c r="BC9" s="6"/>
      <c r="BD9" s="6"/>
      <c r="BE9" s="6"/>
      <c r="BF9" s="6"/>
    </row>
    <row r="10" spans="2:58" x14ac:dyDescent="0.3">
      <c r="B10" s="7" t="str">
        <f>VLOOKUP(ROW(Gesamtzähler[[#This Row],[Name]])-3,Teamzuordnung[],2,FALSE)</f>
        <v>Bruno Bergelt</v>
      </c>
      <c r="C10" s="6" t="str">
        <f>IF(Gesamtzähler[[#This Row],[Name]]="","",VLOOKUP(Gesamtzähler[[#This Row],[Name]],Teamzuordnung[[Name]:[Team]],2,TRUE))</f>
        <v>U14</v>
      </c>
      <c r="D10" s="21">
        <f>IF(COUNTIFS(Eingabe[Name],Gesamtzähler[[#This Row],[Name]])=0,"",COUNTIFS(Eingabe[Name],Gesamtzähler[[#This Row],[Name]]))</f>
        <v>5</v>
      </c>
      <c r="E10" s="6" t="str">
        <f>IF(Gesamtzähler[[#This Row],[Spiele]]="","",IF(Gesamtzähler[[#This Row],[Spiele]]-COUNTIFS(Eingabe[Name],Gesamtzähler[[#This Row],[Name]],Eingabe[MP],"")=0,"",Gesamtzähler[[#This Row],[Spiele]]-COUNTIFS(Eingabe[Name],Gesamtzähler[[#This Row],[Name]],Eingabe[MP],"")))</f>
        <v/>
      </c>
      <c r="F10" s="6">
        <f>IF(Gesamtzähler[[#This Row],[Spiele]]="","",SUMIF(Eingabe[Name],Gesamtzähler[[#This Row],[Name]],Eingabe[Volle]))</f>
        <v>1413</v>
      </c>
      <c r="G10" s="6">
        <f>IF(Gesamtzähler[[#This Row],[Spiele]]="","",SUMIF(Eingabe[Name],Gesamtzähler[[#This Row],[Name]],Eingabe[Räumer]))</f>
        <v>518</v>
      </c>
      <c r="H10" s="6">
        <f>IF(Gesamtzähler[[#This Row],[Spiele]]="","",SUMIF(Eingabe[Name],Gesamtzähler[[#This Row],[Name]],Eingabe[Fehler]))</f>
        <v>106</v>
      </c>
      <c r="I10" s="6">
        <f>IF(Gesamtzähler[[#This Row],[Spiele]]="","",SUMIF(Eingabe[Name],Gesamtzähler[[#This Row],[Name]],Eingabe[GES]))</f>
        <v>1931</v>
      </c>
      <c r="J10" s="6" t="str">
        <f>IF(Gesamtzähler[[#This Row],[Spiele MP]]="","",SUMIF(Eingabe[Name],Gesamtzähler[[#This Row],[Name]],Eingabe[SP]))</f>
        <v/>
      </c>
      <c r="K10" s="6" t="str">
        <f>IF(Gesamtzähler[[#This Row],[Spiele MP]]="","",SUMIF(Eingabe[Name],Gesamtzähler[[#This Row],[Name]],Eingabe[MP]))</f>
        <v/>
      </c>
      <c r="L10" s="6" t="str">
        <f>IF(Gesamtzähler[[#This Row],[Spiele MP]]="","",SUMIF(Eingabe[Name],Gesamtzähler[[#This Row],[Name]],Eingabe[S1]))</f>
        <v/>
      </c>
      <c r="M10" s="6" t="str">
        <f>IF(Gesamtzähler[[#This Row],[Spiele MP]]="","",SUMIF(Eingabe[Name],Gesamtzähler[[#This Row],[Name]],Eingabe[S2]))</f>
        <v/>
      </c>
      <c r="N10" s="6" t="str">
        <f>IF(Gesamtzähler[[#This Row],[Spiele MP]]="","",SUMIF(Eingabe[Name],Gesamtzähler[[#This Row],[Name]],Eingabe[S3]))</f>
        <v/>
      </c>
      <c r="O10" s="6" t="str">
        <f>IF(Gesamtzähler[[#This Row],[Spiele MP]]="","",SUMIF(Eingabe[Name],Gesamtzähler[[#This Row],[Name]],Eingabe[S4]))</f>
        <v/>
      </c>
      <c r="P10" s="6" t="str">
        <f>IF(Gesamtzähler[[#This Row],[Spiele MP]]="","",SUMIF(Eingabe[Name],Gesamtzähler[[#This Row],[Name]],Eingabe[S1P]))</f>
        <v/>
      </c>
      <c r="Q10" s="6" t="str">
        <f>IF(Gesamtzähler[[#This Row],[Spiele MP]]="","",SUMIF(Eingabe[Name],Gesamtzähler[[#This Row],[Name]],Eingabe[S2P]))</f>
        <v/>
      </c>
      <c r="R10" s="6" t="str">
        <f>IF(Gesamtzähler[[#This Row],[Spiele MP]]="","",SUMIF(Eingabe[Name],Gesamtzähler[[#This Row],[Name]],Eingabe[S3P]))</f>
        <v/>
      </c>
      <c r="S10" s="6" t="str">
        <f>IF(Gesamtzähler[[#This Row],[Spiele MP]]="","",SUMIF(Eingabe[Name],Gesamtzähler[[#This Row],[Name]],Eingabe[S4P]))</f>
        <v/>
      </c>
      <c r="T10" s="6" t="str">
        <f>IF(Gesamtzähler[[#This Row],[Spiele MP]]="","",SUMIF(Eingabe[Name],Gesamtzähler[[#This Row],[Name]],Eingabe[GEGGES]))</f>
        <v/>
      </c>
      <c r="U10" s="21">
        <f>IF(COUNTIFS(Eingabe[Name],Gesamtzähler[[#This Row],[Name]],Eingabe[Wo],"H")=0,"",COUNTIFS(Eingabe[Name],Gesamtzähler[[#This Row],[Name]],Eingabe[Wo],"H"))</f>
        <v>1</v>
      </c>
      <c r="V10" s="6">
        <f>IF(Gesamtzähler[[#This Row],[Spiele H]]="","",Gesamtzähler[[#This Row],[Spiele H]]-COUNTIFS(Eingabe[Name],Gesamtzähler[[#This Row],[Name]],Eingabe[MP],"",Eingabe[Wo],"H"))</f>
        <v>0</v>
      </c>
      <c r="W10" s="6">
        <f>IF(Gesamtzähler[[#This Row],[Spiele H]]="","",SUMIFS(Eingabe[Volle],Eingabe[Name],Gesamtzähler[[#This Row],[Name]],Eingabe[Wo],"H"))</f>
        <v>275</v>
      </c>
      <c r="X10" s="6">
        <f>IF(Gesamtzähler[[#This Row],[Spiele H]]="","",SUMIFS(Eingabe[Räumer],Eingabe[Name],Gesamtzähler[[#This Row],[Name]],Eingabe[Wo],"H"))</f>
        <v>123</v>
      </c>
      <c r="Y10" s="6">
        <f>IF(Gesamtzähler[[#This Row],[Spiele H]]="","",SUMIFS(Eingabe[Fehler],Eingabe[Name],Gesamtzähler[[#This Row],[Name]],Eingabe[Wo],"H"))</f>
        <v>18</v>
      </c>
      <c r="Z10" s="6">
        <f>IF(Gesamtzähler[[#This Row],[Spiele MPH]]="","",SUMIFS(Eingabe[S1],Eingabe[Name],Gesamtzähler[[#This Row],[Name]],Eingabe[Wo],"H"))</f>
        <v>104</v>
      </c>
      <c r="AA10" s="6">
        <f>IF(Gesamtzähler[[#This Row],[Spiele MPH]]="","",SUMIFS(Eingabe[S1P],Eingabe[Name],Gesamtzähler[[#This Row],[Name]],Eingabe[Wo],"H"))</f>
        <v>0</v>
      </c>
      <c r="AB10" s="6">
        <f>IF(Gesamtzähler[[#This Row],[Spiele MPH]]="","",SUMIFS(Eingabe[S2],Eingabe[Name],Gesamtzähler[[#This Row],[Name]],Eingabe[Wo],"H"))</f>
        <v>96</v>
      </c>
      <c r="AC10" s="6">
        <f>IF(Gesamtzähler[[#This Row],[Spiele MPH]]="","",SUMIFS(Eingabe[S2P],Eingabe[Name],Gesamtzähler[[#This Row],[Name]],Eingabe[Wo],"H"))</f>
        <v>0</v>
      </c>
      <c r="AD10" s="6">
        <f>IF(Gesamtzähler[[#This Row],[Spiele MPH]]="","",SUMIFS(Eingabe[S3],Eingabe[Name],Gesamtzähler[[#This Row],[Name]],Eingabe[Wo],"H"))</f>
        <v>101</v>
      </c>
      <c r="AE10" s="6">
        <f>IF(Gesamtzähler[[#This Row],[Spiele MPH]]="","",SUMIFS(Eingabe[S3P],Eingabe[Name],Gesamtzähler[[#This Row],[Name]],Eingabe[Wo],"H"))</f>
        <v>0</v>
      </c>
      <c r="AF10" s="203">
        <f>IF(Gesamtzähler[[#This Row],[Spiele MPH]]="","",SUMIFS(Eingabe[S4],Eingabe[Name],Gesamtzähler[[#This Row],[Name]],Eingabe[Wo],"H"))</f>
        <v>97</v>
      </c>
      <c r="AG10" s="6">
        <f>IF(Gesamtzähler[[#This Row],[Spiele MPH]]="","",SUMIFS(Eingabe[S4P],Eingabe[Name],Gesamtzähler[[#This Row],[Name]],Eingabe[Wo],"H"))</f>
        <v>0</v>
      </c>
      <c r="AH10" s="6">
        <f>IF(Gesamtzähler[[#This Row],[Spiele MPH]]="","",SUMIFS(Eingabe[GEGGES],Eingabe[Name],Gesamtzähler[[#This Row],[Name]],Eingabe[Wo],"H"))</f>
        <v>0</v>
      </c>
      <c r="AI10" s="6">
        <f>IF(Gesamtzähler[[#This Row],[Spiele H]]="","",SUMIFS(Eingabe[GES],Eingabe[Name],Gesamtzähler[[#This Row],[Name]],Eingabe[Wo],"H"))</f>
        <v>398</v>
      </c>
      <c r="AJ10" s="6">
        <f>IF(Gesamtzähler[[#This Row],[Spiele MPH]]="","",SUMIFS(Eingabe[SP],Eingabe[Name],Gesamtzähler[[#This Row],[Name]],Eingabe[Wo],"H"))</f>
        <v>0</v>
      </c>
      <c r="AK10" s="6">
        <f>IF(Gesamtzähler[[#This Row],[Spiele MPH]]="","",SUMIFS(Eingabe[MP],Eingabe[Name],Gesamtzähler[[#This Row],[Name]],Eingabe[Wo],"H"))</f>
        <v>0</v>
      </c>
      <c r="AL10" s="6">
        <f>IF(COUNTIFS(Eingabe[Name],Gesamtzähler[[#This Row],[Name]],Eingabe[Wo],"A")=0,"",COUNTIFS(Eingabe[Name],Gesamtzähler[[#This Row],[Name]],Eingabe[Wo],"A"))</f>
        <v>4</v>
      </c>
      <c r="AM10" s="6">
        <f>IF(Gesamtzähler[[#This Row],[Spiele A]]="","",Gesamtzähler[[#This Row],[Spiele A]]-COUNTIFS(Eingabe[Name],Gesamtzähler[[#This Row],[Name]],Eingabe[MP],"",Eingabe[Wo],"A"))</f>
        <v>0</v>
      </c>
      <c r="AN10" s="6">
        <f>IF(Gesamtzähler[[#This Row],[Spiele A]]="","",SUMIFS(Eingabe[Volle],Eingabe[Name],Gesamtzähler[[#This Row],[Name]],Eingabe[Wo],"A"))</f>
        <v>1138</v>
      </c>
      <c r="AO10" s="6">
        <f>IF(Gesamtzähler[[#This Row],[Spiele A]]="","",SUMIFS(Eingabe[Räumer],Eingabe[Name],Gesamtzähler[[#This Row],[Name]],Eingabe[Wo],"A"))</f>
        <v>395</v>
      </c>
      <c r="AP10" s="6">
        <f>IF(Gesamtzähler[[#This Row],[Spiele A]]="","",SUMIFS(Eingabe[Fehler],Eingabe[Name],Gesamtzähler[[#This Row],[Name]],Eingabe[Wo],"A"))</f>
        <v>88</v>
      </c>
      <c r="AQ10" s="6">
        <f>IF(Gesamtzähler[[#This Row],[Spiele MPA]]="","",SUMIFS(Eingabe[S1],Eingabe[Name],Gesamtzähler[[#This Row],[Name]],Eingabe[Wo],"A"))</f>
        <v>296</v>
      </c>
      <c r="AR10" s="6">
        <f>IF(Gesamtzähler[[#This Row],[Spiele MPA]]="","",SUMIFS(Eingabe[S1P],Eingabe[Name],Gesamtzähler[[#This Row],[Name]],Eingabe[Wo],"A"))</f>
        <v>0</v>
      </c>
      <c r="AS10" s="6">
        <f>IF(Gesamtzähler[[#This Row],[Spiele MPA]]="","",SUMIFS(Eingabe[S2],Eingabe[Name],Gesamtzähler[[#This Row],[Name]],Eingabe[Wo],"A"))</f>
        <v>290</v>
      </c>
      <c r="AT10" s="6">
        <f>IF(Gesamtzähler[[#This Row],[Spiele MPA]]="","",SUMIFS(Eingabe[S2P],Eingabe[Name],Gesamtzähler[[#This Row],[Name]],Eingabe[Wo],"A"))</f>
        <v>0</v>
      </c>
      <c r="AU10" s="6">
        <f>IF(Gesamtzähler[[#This Row],[Spiele MPA]]="","",SUMIFS(Eingabe[S3],Eingabe[Name],Gesamtzähler[[#This Row],[Name]],Eingabe[Wo],"A"))</f>
        <v>269</v>
      </c>
      <c r="AV10" s="6">
        <f>IF(Gesamtzähler[[#This Row],[Spiele MPA]]="","",SUMIFS(Eingabe[S3P],Eingabe[Name],Gesamtzähler[[#This Row],[Name]],Eingabe[Wo],"A"))</f>
        <v>0</v>
      </c>
      <c r="AW10" s="6">
        <f>IF(Gesamtzähler[[#This Row],[Spiele MPA]]="","",SUMIFS(Eingabe[S4],Eingabe[Name],Gesamtzähler[[#This Row],[Name]],Eingabe[Wo],"A"))</f>
        <v>295</v>
      </c>
      <c r="AX10" s="6">
        <f>IF(Gesamtzähler[[#This Row],[Spiele MPA]]="","",SUMIFS(Eingabe[S4P],Eingabe[Name],Gesamtzähler[[#This Row],[Name]],Eingabe[Wo],"A"))</f>
        <v>0</v>
      </c>
      <c r="AY10" s="6">
        <f>IF(Gesamtzähler[[#This Row],[Spiele MPA]]="","",SUMIFS(Eingabe[GEGGES],Eingabe[Name],Gesamtzähler[[#This Row],[Name]],Eingabe[Wo],"A"))</f>
        <v>0</v>
      </c>
      <c r="AZ10" s="6">
        <f>IF(Gesamtzähler[[#This Row],[Spiele A]]="","",SUMIFS(Eingabe[GES],Eingabe[Name],Gesamtzähler[[#This Row],[Name]],Eingabe[Wo],"A"))</f>
        <v>1533</v>
      </c>
      <c r="BA10" s="6">
        <f>IF(Gesamtzähler[[#This Row],[Spiele MPA]]="","",SUMIFS(Eingabe[SP],Eingabe[Name],Gesamtzähler[[#This Row],[Name]],Eingabe[Wo],"A"))</f>
        <v>0</v>
      </c>
      <c r="BB10" s="6">
        <f>IF(Gesamtzähler[[#This Row],[Spiele MPA]]="","",SUMIFS(Eingabe[MP],Eingabe[Name],Gesamtzähler[[#This Row],[Name]],Eingabe[Wo],"A"))</f>
        <v>0</v>
      </c>
      <c r="BC10" s="6"/>
      <c r="BD10" s="6"/>
      <c r="BE10" s="6"/>
      <c r="BF10" s="6"/>
    </row>
    <row r="11" spans="2:58" x14ac:dyDescent="0.3">
      <c r="B11" s="7" t="str">
        <f>VLOOKUP(ROW(Gesamtzähler[[#This Row],[Name]])-3,Teamzuordnung[],2,FALSE)</f>
        <v>Cora Keller</v>
      </c>
      <c r="C11" s="6" t="str">
        <f>IF(Gesamtzähler[[#This Row],[Name]]="","",VLOOKUP(Gesamtzähler[[#This Row],[Name]],Teamzuordnung[[Name]:[Team]],2,TRUE))</f>
        <v>U19</v>
      </c>
      <c r="D11" s="21">
        <f>IF(COUNTIFS(Eingabe[Name],Gesamtzähler[[#This Row],[Name]])=0,"",COUNTIFS(Eingabe[Name],Gesamtzähler[[#This Row],[Name]]))</f>
        <v>15</v>
      </c>
      <c r="E11" s="6">
        <f>IF(Gesamtzähler[[#This Row],[Spiele]]="","",IF(Gesamtzähler[[#This Row],[Spiele]]-COUNTIFS(Eingabe[Name],Gesamtzähler[[#This Row],[Name]],Eingabe[MP],"")=0,"",Gesamtzähler[[#This Row],[Spiele]]-COUNTIFS(Eingabe[Name],Gesamtzähler[[#This Row],[Name]],Eingabe[MP],"")))</f>
        <v>5</v>
      </c>
      <c r="F11" s="6">
        <f>IF(Gesamtzähler[[#This Row],[Spiele]]="","",SUMIF(Eingabe[Name],Gesamtzähler[[#This Row],[Name]],Eingabe[Volle]))</f>
        <v>5191</v>
      </c>
      <c r="G11" s="6">
        <f>IF(Gesamtzähler[[#This Row],[Spiele]]="","",SUMIF(Eingabe[Name],Gesamtzähler[[#This Row],[Name]],Eingabe[Räumer]))</f>
        <v>2317</v>
      </c>
      <c r="H11" s="6">
        <f>IF(Gesamtzähler[[#This Row],[Spiele]]="","",SUMIF(Eingabe[Name],Gesamtzähler[[#This Row],[Name]],Eingabe[Fehler]))</f>
        <v>166</v>
      </c>
      <c r="I11" s="6">
        <f>IF(Gesamtzähler[[#This Row],[Spiele]]="","",SUMIF(Eingabe[Name],Gesamtzähler[[#This Row],[Name]],Eingabe[GES]))</f>
        <v>7508</v>
      </c>
      <c r="J11" s="6">
        <f>IF(Gesamtzähler[[#This Row],[Spiele MP]]="","",SUMIF(Eingabe[Name],Gesamtzähler[[#This Row],[Name]],Eingabe[SP]))</f>
        <v>10</v>
      </c>
      <c r="K11" s="6">
        <f>IF(Gesamtzähler[[#This Row],[Spiele MP]]="","",SUMIF(Eingabe[Name],Gesamtzähler[[#This Row],[Name]],Eingabe[MP]))</f>
        <v>3</v>
      </c>
      <c r="L11" s="6">
        <f>IF(Gesamtzähler[[#This Row],[Spiele MP]]="","",SUMIF(Eingabe[Name],Gesamtzähler[[#This Row],[Name]],Eingabe[S1]))</f>
        <v>1920</v>
      </c>
      <c r="M11" s="6">
        <f>IF(Gesamtzähler[[#This Row],[Spiele MP]]="","",SUMIF(Eingabe[Name],Gesamtzähler[[#This Row],[Name]],Eingabe[S2]))</f>
        <v>1876</v>
      </c>
      <c r="N11" s="6">
        <f>IF(Gesamtzähler[[#This Row],[Spiele MP]]="","",SUMIF(Eingabe[Name],Gesamtzähler[[#This Row],[Name]],Eingabe[S3]))</f>
        <v>1857</v>
      </c>
      <c r="O11" s="6">
        <f>IF(Gesamtzähler[[#This Row],[Spiele MP]]="","",SUMIF(Eingabe[Name],Gesamtzähler[[#This Row],[Name]],Eingabe[S4]))</f>
        <v>1855</v>
      </c>
      <c r="P11" s="6">
        <f>IF(Gesamtzähler[[#This Row],[Spiele MP]]="","",SUMIF(Eingabe[Name],Gesamtzähler[[#This Row],[Name]],Eingabe[S1P]))</f>
        <v>2</v>
      </c>
      <c r="Q11" s="6">
        <f>IF(Gesamtzähler[[#This Row],[Spiele MP]]="","",SUMIF(Eingabe[Name],Gesamtzähler[[#This Row],[Name]],Eingabe[S2P]))</f>
        <v>2</v>
      </c>
      <c r="R11" s="6">
        <f>IF(Gesamtzähler[[#This Row],[Spiele MP]]="","",SUMIF(Eingabe[Name],Gesamtzähler[[#This Row],[Name]],Eingabe[S3P]))</f>
        <v>3</v>
      </c>
      <c r="S11" s="6">
        <f>IF(Gesamtzähler[[#This Row],[Spiele MP]]="","",SUMIF(Eingabe[Name],Gesamtzähler[[#This Row],[Name]],Eingabe[S4P]))</f>
        <v>3</v>
      </c>
      <c r="T11" s="6">
        <f>IF(Gesamtzähler[[#This Row],[Spiele MP]]="","",SUMIF(Eingabe[Name],Gesamtzähler[[#This Row],[Name]],Eingabe[GEGGES]))</f>
        <v>2390</v>
      </c>
      <c r="U11" s="21">
        <f>IF(COUNTIFS(Eingabe[Name],Gesamtzähler[[#This Row],[Name]],Eingabe[Wo],"H")=0,"",COUNTIFS(Eingabe[Name],Gesamtzähler[[#This Row],[Name]],Eingabe[Wo],"H"))</f>
        <v>5</v>
      </c>
      <c r="V11" s="6">
        <f>IF(Gesamtzähler[[#This Row],[Spiele H]]="","",Gesamtzähler[[#This Row],[Spiele H]]-COUNTIFS(Eingabe[Name],Gesamtzähler[[#This Row],[Name]],Eingabe[MP],"",Eingabe[Wo],"H"))</f>
        <v>2</v>
      </c>
      <c r="W11" s="6">
        <f>IF(Gesamtzähler[[#This Row],[Spiele H]]="","",SUMIFS(Eingabe[Volle],Eingabe[Name],Gesamtzähler[[#This Row],[Name]],Eingabe[Wo],"H"))</f>
        <v>1707</v>
      </c>
      <c r="X11" s="6">
        <f>IF(Gesamtzähler[[#This Row],[Spiele H]]="","",SUMIFS(Eingabe[Räumer],Eingabe[Name],Gesamtzähler[[#This Row],[Name]],Eingabe[Wo],"H"))</f>
        <v>781</v>
      </c>
      <c r="Y11" s="6">
        <f>IF(Gesamtzähler[[#This Row],[Spiele H]]="","",SUMIFS(Eingabe[Fehler],Eingabe[Name],Gesamtzähler[[#This Row],[Name]],Eingabe[Wo],"H"))</f>
        <v>50</v>
      </c>
      <c r="Z11" s="6">
        <f>IF(Gesamtzähler[[#This Row],[Spiele MPH]]="","",SUMIFS(Eingabe[S1],Eingabe[Name],Gesamtzähler[[#This Row],[Name]],Eingabe[Wo],"H"))</f>
        <v>621</v>
      </c>
      <c r="AA11" s="6">
        <f>IF(Gesamtzähler[[#This Row],[Spiele MPH]]="","",SUMIFS(Eingabe[S1P],Eingabe[Name],Gesamtzähler[[#This Row],[Name]],Eingabe[Wo],"H"))</f>
        <v>1</v>
      </c>
      <c r="AB11" s="6">
        <f>IF(Gesamtzähler[[#This Row],[Spiele MPH]]="","",SUMIFS(Eingabe[S2],Eingabe[Name],Gesamtzähler[[#This Row],[Name]],Eingabe[Wo],"H"))</f>
        <v>603</v>
      </c>
      <c r="AC11" s="6">
        <f>IF(Gesamtzähler[[#This Row],[Spiele MPH]]="","",SUMIFS(Eingabe[S2P],Eingabe[Name],Gesamtzähler[[#This Row],[Name]],Eingabe[Wo],"H"))</f>
        <v>0</v>
      </c>
      <c r="AD11" s="6">
        <f>IF(Gesamtzähler[[#This Row],[Spiele MPH]]="","",SUMIFS(Eingabe[S3],Eingabe[Name],Gesamtzähler[[#This Row],[Name]],Eingabe[Wo],"H"))</f>
        <v>634</v>
      </c>
      <c r="AE11" s="6">
        <f>IF(Gesamtzähler[[#This Row],[Spiele MPH]]="","",SUMIFS(Eingabe[S3P],Eingabe[Name],Gesamtzähler[[#This Row],[Name]],Eingabe[Wo],"H"))</f>
        <v>1</v>
      </c>
      <c r="AF11" s="203">
        <f>IF(Gesamtzähler[[#This Row],[Spiele MPH]]="","",SUMIFS(Eingabe[S4],Eingabe[Name],Gesamtzähler[[#This Row],[Name]],Eingabe[Wo],"H"))</f>
        <v>630</v>
      </c>
      <c r="AG11" s="6">
        <f>IF(Gesamtzähler[[#This Row],[Spiele MPH]]="","",SUMIFS(Eingabe[S4P],Eingabe[Name],Gesamtzähler[[#This Row],[Name]],Eingabe[Wo],"H"))</f>
        <v>2</v>
      </c>
      <c r="AH11" s="6">
        <f>IF(Gesamtzähler[[#This Row],[Spiele MPH]]="","",SUMIFS(Eingabe[GEGGES],Eingabe[Name],Gesamtzähler[[#This Row],[Name]],Eingabe[Wo],"H"))</f>
        <v>944</v>
      </c>
      <c r="AI11" s="6">
        <f>IF(Gesamtzähler[[#This Row],[Spiele H]]="","",SUMIFS(Eingabe[GES],Eingabe[Name],Gesamtzähler[[#This Row],[Name]],Eingabe[Wo],"H"))</f>
        <v>2488</v>
      </c>
      <c r="AJ11" s="6">
        <f>IF(Gesamtzähler[[#This Row],[Spiele MPH]]="","",SUMIFS(Eingabe[SP],Eingabe[Name],Gesamtzähler[[#This Row],[Name]],Eingabe[Wo],"H"))</f>
        <v>4</v>
      </c>
      <c r="AK11" s="6">
        <f>IF(Gesamtzähler[[#This Row],[Spiele MPH]]="","",SUMIFS(Eingabe[MP],Eingabe[Name],Gesamtzähler[[#This Row],[Name]],Eingabe[Wo],"H"))</f>
        <v>1</v>
      </c>
      <c r="AL11" s="6">
        <f>IF(COUNTIFS(Eingabe[Name],Gesamtzähler[[#This Row],[Name]],Eingabe[Wo],"A")=0,"",COUNTIFS(Eingabe[Name],Gesamtzähler[[#This Row],[Name]],Eingabe[Wo],"A"))</f>
        <v>10</v>
      </c>
      <c r="AM11" s="6">
        <f>IF(Gesamtzähler[[#This Row],[Spiele A]]="","",Gesamtzähler[[#This Row],[Spiele A]]-COUNTIFS(Eingabe[Name],Gesamtzähler[[#This Row],[Name]],Eingabe[MP],"",Eingabe[Wo],"A"))</f>
        <v>3</v>
      </c>
      <c r="AN11" s="6">
        <f>IF(Gesamtzähler[[#This Row],[Spiele A]]="","",SUMIFS(Eingabe[Volle],Eingabe[Name],Gesamtzähler[[#This Row],[Name]],Eingabe[Wo],"A"))</f>
        <v>3484</v>
      </c>
      <c r="AO11" s="6">
        <f>IF(Gesamtzähler[[#This Row],[Spiele A]]="","",SUMIFS(Eingabe[Räumer],Eingabe[Name],Gesamtzähler[[#This Row],[Name]],Eingabe[Wo],"A"))</f>
        <v>1536</v>
      </c>
      <c r="AP11" s="6">
        <f>IF(Gesamtzähler[[#This Row],[Spiele A]]="","",SUMIFS(Eingabe[Fehler],Eingabe[Name],Gesamtzähler[[#This Row],[Name]],Eingabe[Wo],"A"))</f>
        <v>116</v>
      </c>
      <c r="AQ11" s="6">
        <f>IF(Gesamtzähler[[#This Row],[Spiele MPA]]="","",SUMIFS(Eingabe[S1],Eingabe[Name],Gesamtzähler[[#This Row],[Name]],Eingabe[Wo],"A"))</f>
        <v>1299</v>
      </c>
      <c r="AR11" s="6">
        <f>IF(Gesamtzähler[[#This Row],[Spiele MPA]]="","",SUMIFS(Eingabe[S1P],Eingabe[Name],Gesamtzähler[[#This Row],[Name]],Eingabe[Wo],"A"))</f>
        <v>1</v>
      </c>
      <c r="AS11" s="6">
        <f>IF(Gesamtzähler[[#This Row],[Spiele MPA]]="","",SUMIFS(Eingabe[S2],Eingabe[Name],Gesamtzähler[[#This Row],[Name]],Eingabe[Wo],"A"))</f>
        <v>1273</v>
      </c>
      <c r="AT11" s="6">
        <f>IF(Gesamtzähler[[#This Row],[Spiele MPA]]="","",SUMIFS(Eingabe[S2P],Eingabe[Name],Gesamtzähler[[#This Row],[Name]],Eingabe[Wo],"A"))</f>
        <v>2</v>
      </c>
      <c r="AU11" s="6">
        <f>IF(Gesamtzähler[[#This Row],[Spiele MPA]]="","",SUMIFS(Eingabe[S3],Eingabe[Name],Gesamtzähler[[#This Row],[Name]],Eingabe[Wo],"A"))</f>
        <v>1223</v>
      </c>
      <c r="AV11" s="6">
        <f>IF(Gesamtzähler[[#This Row],[Spiele MPA]]="","",SUMIFS(Eingabe[S3P],Eingabe[Name],Gesamtzähler[[#This Row],[Name]],Eingabe[Wo],"A"))</f>
        <v>2</v>
      </c>
      <c r="AW11" s="6">
        <f>IF(Gesamtzähler[[#This Row],[Spiele MPA]]="","",SUMIFS(Eingabe[S4],Eingabe[Name],Gesamtzähler[[#This Row],[Name]],Eingabe[Wo],"A"))</f>
        <v>1225</v>
      </c>
      <c r="AX11" s="6">
        <f>IF(Gesamtzähler[[#This Row],[Spiele MPA]]="","",SUMIFS(Eingabe[S4P],Eingabe[Name],Gesamtzähler[[#This Row],[Name]],Eingabe[Wo],"A"))</f>
        <v>1</v>
      </c>
      <c r="AY11" s="6">
        <f>IF(Gesamtzähler[[#This Row],[Spiele MPA]]="","",SUMIFS(Eingabe[GEGGES],Eingabe[Name],Gesamtzähler[[#This Row],[Name]],Eingabe[Wo],"A"))</f>
        <v>1446</v>
      </c>
      <c r="AZ11" s="6">
        <f>IF(Gesamtzähler[[#This Row],[Spiele A]]="","",SUMIFS(Eingabe[GES],Eingabe[Name],Gesamtzähler[[#This Row],[Name]],Eingabe[Wo],"A"))</f>
        <v>5020</v>
      </c>
      <c r="BA11" s="6">
        <f>IF(Gesamtzähler[[#This Row],[Spiele MPA]]="","",SUMIFS(Eingabe[SP],Eingabe[Name],Gesamtzähler[[#This Row],[Name]],Eingabe[Wo],"A"))</f>
        <v>6</v>
      </c>
      <c r="BB11" s="6">
        <f>IF(Gesamtzähler[[#This Row],[Spiele MPA]]="","",SUMIFS(Eingabe[MP],Eingabe[Name],Gesamtzähler[[#This Row],[Name]],Eingabe[Wo],"A"))</f>
        <v>2</v>
      </c>
      <c r="BC11" s="6"/>
      <c r="BD11" s="6"/>
      <c r="BE11" s="6"/>
      <c r="BF11" s="6"/>
    </row>
    <row r="12" spans="2:58" x14ac:dyDescent="0.3">
      <c r="B12" s="7" t="str">
        <f>VLOOKUP(ROW(Gesamtzähler[[#This Row],[Name]])-3,Teamzuordnung[],2,FALSE)</f>
        <v>Dietmar Klose</v>
      </c>
      <c r="C12" s="6" t="str">
        <f>IF(Gesamtzähler[[#This Row],[Name]]="","",VLOOKUP(Gesamtzähler[[#This Row],[Name]],Teamzuordnung[[Name]:[Team]],2,TRUE))</f>
        <v>D</v>
      </c>
      <c r="D12" s="21" t="str">
        <f>IF(COUNTIFS(Eingabe[Name],Gesamtzähler[[#This Row],[Name]])=0,"",COUNTIFS(Eingabe[Name],Gesamtzähler[[#This Row],[Name]]))</f>
        <v/>
      </c>
      <c r="E12" s="6" t="str">
        <f>IF(Gesamtzähler[[#This Row],[Spiele]]="","",IF(Gesamtzähler[[#This Row],[Spiele]]-COUNTIFS(Eingabe[Name],Gesamtzähler[[#This Row],[Name]],Eingabe[MP],"")=0,"",Gesamtzähler[[#This Row],[Spiele]]-COUNTIFS(Eingabe[Name],Gesamtzähler[[#This Row],[Name]],Eingabe[MP],"")))</f>
        <v/>
      </c>
      <c r="F12" s="6" t="str">
        <f>IF(Gesamtzähler[[#This Row],[Spiele]]="","",SUMIF(Eingabe[Name],Gesamtzähler[[#This Row],[Name]],Eingabe[Volle]))</f>
        <v/>
      </c>
      <c r="G12" s="6" t="str">
        <f>IF(Gesamtzähler[[#This Row],[Spiele]]="","",SUMIF(Eingabe[Name],Gesamtzähler[[#This Row],[Name]],Eingabe[Räumer]))</f>
        <v/>
      </c>
      <c r="H12" s="6" t="str">
        <f>IF(Gesamtzähler[[#This Row],[Spiele]]="","",SUMIF(Eingabe[Name],Gesamtzähler[[#This Row],[Name]],Eingabe[Fehler]))</f>
        <v/>
      </c>
      <c r="I12" s="6" t="str">
        <f>IF(Gesamtzähler[[#This Row],[Spiele]]="","",SUMIF(Eingabe[Name],Gesamtzähler[[#This Row],[Name]],Eingabe[GES]))</f>
        <v/>
      </c>
      <c r="J12" s="6" t="str">
        <f>IF(Gesamtzähler[[#This Row],[Spiele MP]]="","",SUMIF(Eingabe[Name],Gesamtzähler[[#This Row],[Name]],Eingabe[SP]))</f>
        <v/>
      </c>
      <c r="K12" s="6" t="str">
        <f>IF(Gesamtzähler[[#This Row],[Spiele MP]]="","",SUMIF(Eingabe[Name],Gesamtzähler[[#This Row],[Name]],Eingabe[MP]))</f>
        <v/>
      </c>
      <c r="L12" s="6" t="str">
        <f>IF(Gesamtzähler[[#This Row],[Spiele MP]]="","",SUMIF(Eingabe[Name],Gesamtzähler[[#This Row],[Name]],Eingabe[S1]))</f>
        <v/>
      </c>
      <c r="M12" s="6" t="str">
        <f>IF(Gesamtzähler[[#This Row],[Spiele MP]]="","",SUMIF(Eingabe[Name],Gesamtzähler[[#This Row],[Name]],Eingabe[S2]))</f>
        <v/>
      </c>
      <c r="N12" s="6" t="str">
        <f>IF(Gesamtzähler[[#This Row],[Spiele MP]]="","",SUMIF(Eingabe[Name],Gesamtzähler[[#This Row],[Name]],Eingabe[S3]))</f>
        <v/>
      </c>
      <c r="O12" s="6" t="str">
        <f>IF(Gesamtzähler[[#This Row],[Spiele MP]]="","",SUMIF(Eingabe[Name],Gesamtzähler[[#This Row],[Name]],Eingabe[S4]))</f>
        <v/>
      </c>
      <c r="P12" s="6" t="str">
        <f>IF(Gesamtzähler[[#This Row],[Spiele MP]]="","",SUMIF(Eingabe[Name],Gesamtzähler[[#This Row],[Name]],Eingabe[S1P]))</f>
        <v/>
      </c>
      <c r="Q12" s="6" t="str">
        <f>IF(Gesamtzähler[[#This Row],[Spiele MP]]="","",SUMIF(Eingabe[Name],Gesamtzähler[[#This Row],[Name]],Eingabe[S2P]))</f>
        <v/>
      </c>
      <c r="R12" s="6" t="str">
        <f>IF(Gesamtzähler[[#This Row],[Spiele MP]]="","",SUMIF(Eingabe[Name],Gesamtzähler[[#This Row],[Name]],Eingabe[S3P]))</f>
        <v/>
      </c>
      <c r="S12" s="6" t="str">
        <f>IF(Gesamtzähler[[#This Row],[Spiele MP]]="","",SUMIF(Eingabe[Name],Gesamtzähler[[#This Row],[Name]],Eingabe[S4P]))</f>
        <v/>
      </c>
      <c r="T12" s="6" t="str">
        <f>IF(Gesamtzähler[[#This Row],[Spiele MP]]="","",SUMIF(Eingabe[Name],Gesamtzähler[[#This Row],[Name]],Eingabe[GEGGES]))</f>
        <v/>
      </c>
      <c r="U12" s="21" t="str">
        <f>IF(COUNTIFS(Eingabe[Name],Gesamtzähler[[#This Row],[Name]],Eingabe[Wo],"H")=0,"",COUNTIFS(Eingabe[Name],Gesamtzähler[[#This Row],[Name]],Eingabe[Wo],"H"))</f>
        <v/>
      </c>
      <c r="V12" s="6" t="str">
        <f>IF(Gesamtzähler[[#This Row],[Spiele H]]="","",Gesamtzähler[[#This Row],[Spiele H]]-COUNTIFS(Eingabe[Name],Gesamtzähler[[#This Row],[Name]],Eingabe[MP],"",Eingabe[Wo],"H"))</f>
        <v/>
      </c>
      <c r="W12" s="6" t="str">
        <f>IF(Gesamtzähler[[#This Row],[Spiele H]]="","",SUMIFS(Eingabe[Volle],Eingabe[Name],Gesamtzähler[[#This Row],[Name]],Eingabe[Wo],"H"))</f>
        <v/>
      </c>
      <c r="X12" s="6" t="str">
        <f>IF(Gesamtzähler[[#This Row],[Spiele H]]="","",SUMIFS(Eingabe[Räumer],Eingabe[Name],Gesamtzähler[[#This Row],[Name]],Eingabe[Wo],"H"))</f>
        <v/>
      </c>
      <c r="Y12" s="6" t="str">
        <f>IF(Gesamtzähler[[#This Row],[Spiele H]]="","",SUMIFS(Eingabe[Fehler],Eingabe[Name],Gesamtzähler[[#This Row],[Name]],Eingabe[Wo],"H"))</f>
        <v/>
      </c>
      <c r="Z12" s="6" t="str">
        <f>IF(Gesamtzähler[[#This Row],[Spiele MPH]]="","",SUMIFS(Eingabe[S1],Eingabe[Name],Gesamtzähler[[#This Row],[Name]],Eingabe[Wo],"H"))</f>
        <v/>
      </c>
      <c r="AA12" s="6" t="str">
        <f>IF(Gesamtzähler[[#This Row],[Spiele MPH]]="","",SUMIFS(Eingabe[S1P],Eingabe[Name],Gesamtzähler[[#This Row],[Name]],Eingabe[Wo],"H"))</f>
        <v/>
      </c>
      <c r="AB12" s="6" t="str">
        <f>IF(Gesamtzähler[[#This Row],[Spiele MPH]]="","",SUMIFS(Eingabe[S2],Eingabe[Name],Gesamtzähler[[#This Row],[Name]],Eingabe[Wo],"H"))</f>
        <v/>
      </c>
      <c r="AC12" s="6" t="str">
        <f>IF(Gesamtzähler[[#This Row],[Spiele MPH]]="","",SUMIFS(Eingabe[S2P],Eingabe[Name],Gesamtzähler[[#This Row],[Name]],Eingabe[Wo],"H"))</f>
        <v/>
      </c>
      <c r="AD12" s="6" t="str">
        <f>IF(Gesamtzähler[[#This Row],[Spiele MPH]]="","",SUMIFS(Eingabe[S3],Eingabe[Name],Gesamtzähler[[#This Row],[Name]],Eingabe[Wo],"H"))</f>
        <v/>
      </c>
      <c r="AE12" s="6" t="str">
        <f>IF(Gesamtzähler[[#This Row],[Spiele MPH]]="","",SUMIFS(Eingabe[S3P],Eingabe[Name],Gesamtzähler[[#This Row],[Name]],Eingabe[Wo],"H"))</f>
        <v/>
      </c>
      <c r="AF12" s="203" t="str">
        <f>IF(Gesamtzähler[[#This Row],[Spiele MPH]]="","",SUMIFS(Eingabe[S4],Eingabe[Name],Gesamtzähler[[#This Row],[Name]],Eingabe[Wo],"H"))</f>
        <v/>
      </c>
      <c r="AG12" s="6" t="str">
        <f>IF(Gesamtzähler[[#This Row],[Spiele MPH]]="","",SUMIFS(Eingabe[S4P],Eingabe[Name],Gesamtzähler[[#This Row],[Name]],Eingabe[Wo],"H"))</f>
        <v/>
      </c>
      <c r="AH12" s="6" t="str">
        <f>IF(Gesamtzähler[[#This Row],[Spiele MPH]]="","",SUMIFS(Eingabe[GEGGES],Eingabe[Name],Gesamtzähler[[#This Row],[Name]],Eingabe[Wo],"H"))</f>
        <v/>
      </c>
      <c r="AI12" s="6" t="str">
        <f>IF(Gesamtzähler[[#This Row],[Spiele H]]="","",SUMIFS(Eingabe[GES],Eingabe[Name],Gesamtzähler[[#This Row],[Name]],Eingabe[Wo],"H"))</f>
        <v/>
      </c>
      <c r="AJ12" s="6" t="str">
        <f>IF(Gesamtzähler[[#This Row],[Spiele MPH]]="","",SUMIFS(Eingabe[SP],Eingabe[Name],Gesamtzähler[[#This Row],[Name]],Eingabe[Wo],"H"))</f>
        <v/>
      </c>
      <c r="AK12" s="6" t="str">
        <f>IF(Gesamtzähler[[#This Row],[Spiele MPH]]="","",SUMIFS(Eingabe[MP],Eingabe[Name],Gesamtzähler[[#This Row],[Name]],Eingabe[Wo],"H"))</f>
        <v/>
      </c>
      <c r="AL12" s="6" t="str">
        <f>IF(COUNTIFS(Eingabe[Name],Gesamtzähler[[#This Row],[Name]],Eingabe[Wo],"A")=0,"",COUNTIFS(Eingabe[Name],Gesamtzähler[[#This Row],[Name]],Eingabe[Wo],"A"))</f>
        <v/>
      </c>
      <c r="AM12" s="6" t="str">
        <f>IF(Gesamtzähler[[#This Row],[Spiele A]]="","",Gesamtzähler[[#This Row],[Spiele A]]-COUNTIFS(Eingabe[Name],Gesamtzähler[[#This Row],[Name]],Eingabe[MP],"",Eingabe[Wo],"A"))</f>
        <v/>
      </c>
      <c r="AN12" s="6" t="str">
        <f>IF(Gesamtzähler[[#This Row],[Spiele A]]="","",SUMIFS(Eingabe[Volle],Eingabe[Name],Gesamtzähler[[#This Row],[Name]],Eingabe[Wo],"A"))</f>
        <v/>
      </c>
      <c r="AO12" s="6" t="str">
        <f>IF(Gesamtzähler[[#This Row],[Spiele A]]="","",SUMIFS(Eingabe[Räumer],Eingabe[Name],Gesamtzähler[[#This Row],[Name]],Eingabe[Wo],"A"))</f>
        <v/>
      </c>
      <c r="AP12" s="6" t="str">
        <f>IF(Gesamtzähler[[#This Row],[Spiele A]]="","",SUMIFS(Eingabe[Fehler],Eingabe[Name],Gesamtzähler[[#This Row],[Name]],Eingabe[Wo],"A"))</f>
        <v/>
      </c>
      <c r="AQ12" s="6" t="str">
        <f>IF(Gesamtzähler[[#This Row],[Spiele MPA]]="","",SUMIFS(Eingabe[S1],Eingabe[Name],Gesamtzähler[[#This Row],[Name]],Eingabe[Wo],"A"))</f>
        <v/>
      </c>
      <c r="AR12" s="6" t="str">
        <f>IF(Gesamtzähler[[#This Row],[Spiele MPA]]="","",SUMIFS(Eingabe[S1P],Eingabe[Name],Gesamtzähler[[#This Row],[Name]],Eingabe[Wo],"A"))</f>
        <v/>
      </c>
      <c r="AS12" s="6" t="str">
        <f>IF(Gesamtzähler[[#This Row],[Spiele MPA]]="","",SUMIFS(Eingabe[S2],Eingabe[Name],Gesamtzähler[[#This Row],[Name]],Eingabe[Wo],"A"))</f>
        <v/>
      </c>
      <c r="AT12" s="6" t="str">
        <f>IF(Gesamtzähler[[#This Row],[Spiele MPA]]="","",SUMIFS(Eingabe[S2P],Eingabe[Name],Gesamtzähler[[#This Row],[Name]],Eingabe[Wo],"A"))</f>
        <v/>
      </c>
      <c r="AU12" s="6" t="str">
        <f>IF(Gesamtzähler[[#This Row],[Spiele MPA]]="","",SUMIFS(Eingabe[S3],Eingabe[Name],Gesamtzähler[[#This Row],[Name]],Eingabe[Wo],"A"))</f>
        <v/>
      </c>
      <c r="AV12" s="6" t="str">
        <f>IF(Gesamtzähler[[#This Row],[Spiele MPA]]="","",SUMIFS(Eingabe[S3P],Eingabe[Name],Gesamtzähler[[#This Row],[Name]],Eingabe[Wo],"A"))</f>
        <v/>
      </c>
      <c r="AW12" s="6" t="str">
        <f>IF(Gesamtzähler[[#This Row],[Spiele MPA]]="","",SUMIFS(Eingabe[S4],Eingabe[Name],Gesamtzähler[[#This Row],[Name]],Eingabe[Wo],"A"))</f>
        <v/>
      </c>
      <c r="AX12" s="6" t="str">
        <f>IF(Gesamtzähler[[#This Row],[Spiele MPA]]="","",SUMIFS(Eingabe[S4P],Eingabe[Name],Gesamtzähler[[#This Row],[Name]],Eingabe[Wo],"A"))</f>
        <v/>
      </c>
      <c r="AY12" s="6" t="str">
        <f>IF(Gesamtzähler[[#This Row],[Spiele MPA]]="","",SUMIFS(Eingabe[GEGGES],Eingabe[Name],Gesamtzähler[[#This Row],[Name]],Eingabe[Wo],"A"))</f>
        <v/>
      </c>
      <c r="AZ12" s="6" t="str">
        <f>IF(Gesamtzähler[[#This Row],[Spiele A]]="","",SUMIFS(Eingabe[GES],Eingabe[Name],Gesamtzähler[[#This Row],[Name]],Eingabe[Wo],"A"))</f>
        <v/>
      </c>
      <c r="BA12" s="6" t="str">
        <f>IF(Gesamtzähler[[#This Row],[Spiele MPA]]="","",SUMIFS(Eingabe[SP],Eingabe[Name],Gesamtzähler[[#This Row],[Name]],Eingabe[Wo],"A"))</f>
        <v/>
      </c>
      <c r="BB12" s="6" t="str">
        <f>IF(Gesamtzähler[[#This Row],[Spiele MPA]]="","",SUMIFS(Eingabe[MP],Eingabe[Name],Gesamtzähler[[#This Row],[Name]],Eingabe[Wo],"A"))</f>
        <v/>
      </c>
      <c r="BC12" s="6"/>
      <c r="BD12" s="6"/>
      <c r="BE12" s="6"/>
      <c r="BF12" s="6"/>
    </row>
    <row r="13" spans="2:58" x14ac:dyDescent="0.3">
      <c r="B13" s="7" t="str">
        <f>VLOOKUP(ROW(Gesamtzähler[[#This Row],[Name]])-3,Teamzuordnung[],2,FALSE)</f>
        <v>Emelie Schiffel</v>
      </c>
      <c r="C13" s="6" t="str">
        <f>IF(Gesamtzähler[[#This Row],[Name]]="","",VLOOKUP(Gesamtzähler[[#This Row],[Name]],Teamzuordnung[[Name]:[Team]],2,TRUE))</f>
        <v>U14</v>
      </c>
      <c r="D13" s="21">
        <f>IF(COUNTIFS(Eingabe[Name],Gesamtzähler[[#This Row],[Name]])=0,"",COUNTIFS(Eingabe[Name],Gesamtzähler[[#This Row],[Name]]))</f>
        <v>10</v>
      </c>
      <c r="E13" s="6" t="str">
        <f>IF(Gesamtzähler[[#This Row],[Spiele]]="","",IF(Gesamtzähler[[#This Row],[Spiele]]-COUNTIFS(Eingabe[Name],Gesamtzähler[[#This Row],[Name]],Eingabe[MP],"")=0,"",Gesamtzähler[[#This Row],[Spiele]]-COUNTIFS(Eingabe[Name],Gesamtzähler[[#This Row],[Name]],Eingabe[MP],"")))</f>
        <v/>
      </c>
      <c r="F13" s="6">
        <f>IF(Gesamtzähler[[#This Row],[Spiele]]="","",SUMIF(Eingabe[Name],Gesamtzähler[[#This Row],[Name]],Eingabe[Volle]))</f>
        <v>2992</v>
      </c>
      <c r="G13" s="6">
        <f>IF(Gesamtzähler[[#This Row],[Spiele]]="","",SUMIF(Eingabe[Name],Gesamtzähler[[#This Row],[Name]],Eingabe[Räumer]))</f>
        <v>1108</v>
      </c>
      <c r="H13" s="6">
        <f>IF(Gesamtzähler[[#This Row],[Spiele]]="","",SUMIF(Eingabe[Name],Gesamtzähler[[#This Row],[Name]],Eingabe[Fehler]))</f>
        <v>221</v>
      </c>
      <c r="I13" s="6">
        <f>IF(Gesamtzähler[[#This Row],[Spiele]]="","",SUMIF(Eingabe[Name],Gesamtzähler[[#This Row],[Name]],Eingabe[GES]))</f>
        <v>4100</v>
      </c>
      <c r="J13" s="6" t="str">
        <f>IF(Gesamtzähler[[#This Row],[Spiele MP]]="","",SUMIF(Eingabe[Name],Gesamtzähler[[#This Row],[Name]],Eingabe[SP]))</f>
        <v/>
      </c>
      <c r="K13" s="6" t="str">
        <f>IF(Gesamtzähler[[#This Row],[Spiele MP]]="","",SUMIF(Eingabe[Name],Gesamtzähler[[#This Row],[Name]],Eingabe[MP]))</f>
        <v/>
      </c>
      <c r="L13" s="6" t="str">
        <f>IF(Gesamtzähler[[#This Row],[Spiele MP]]="","",SUMIF(Eingabe[Name],Gesamtzähler[[#This Row],[Name]],Eingabe[S1]))</f>
        <v/>
      </c>
      <c r="M13" s="6" t="str">
        <f>IF(Gesamtzähler[[#This Row],[Spiele MP]]="","",SUMIF(Eingabe[Name],Gesamtzähler[[#This Row],[Name]],Eingabe[S2]))</f>
        <v/>
      </c>
      <c r="N13" s="6" t="str">
        <f>IF(Gesamtzähler[[#This Row],[Spiele MP]]="","",SUMIF(Eingabe[Name],Gesamtzähler[[#This Row],[Name]],Eingabe[S3]))</f>
        <v/>
      </c>
      <c r="O13" s="6" t="str">
        <f>IF(Gesamtzähler[[#This Row],[Spiele MP]]="","",SUMIF(Eingabe[Name],Gesamtzähler[[#This Row],[Name]],Eingabe[S4]))</f>
        <v/>
      </c>
      <c r="P13" s="6" t="str">
        <f>IF(Gesamtzähler[[#This Row],[Spiele MP]]="","",SUMIF(Eingabe[Name],Gesamtzähler[[#This Row],[Name]],Eingabe[S1P]))</f>
        <v/>
      </c>
      <c r="Q13" s="6" t="str">
        <f>IF(Gesamtzähler[[#This Row],[Spiele MP]]="","",SUMIF(Eingabe[Name],Gesamtzähler[[#This Row],[Name]],Eingabe[S2P]))</f>
        <v/>
      </c>
      <c r="R13" s="6" t="str">
        <f>IF(Gesamtzähler[[#This Row],[Spiele MP]]="","",SUMIF(Eingabe[Name],Gesamtzähler[[#This Row],[Name]],Eingabe[S3P]))</f>
        <v/>
      </c>
      <c r="S13" s="6" t="str">
        <f>IF(Gesamtzähler[[#This Row],[Spiele MP]]="","",SUMIF(Eingabe[Name],Gesamtzähler[[#This Row],[Name]],Eingabe[S4P]))</f>
        <v/>
      </c>
      <c r="T13" s="6" t="str">
        <f>IF(Gesamtzähler[[#This Row],[Spiele MP]]="","",SUMIF(Eingabe[Name],Gesamtzähler[[#This Row],[Name]],Eingabe[GEGGES]))</f>
        <v/>
      </c>
      <c r="U13" s="21">
        <f>IF(COUNTIFS(Eingabe[Name],Gesamtzähler[[#This Row],[Name]],Eingabe[Wo],"H")=0,"",COUNTIFS(Eingabe[Name],Gesamtzähler[[#This Row],[Name]],Eingabe[Wo],"H"))</f>
        <v>2</v>
      </c>
      <c r="V13" s="6">
        <f>IF(Gesamtzähler[[#This Row],[Spiele H]]="","",Gesamtzähler[[#This Row],[Spiele H]]-COUNTIFS(Eingabe[Name],Gesamtzähler[[#This Row],[Name]],Eingabe[MP],"",Eingabe[Wo],"H"))</f>
        <v>0</v>
      </c>
      <c r="W13" s="6">
        <f>IF(Gesamtzähler[[#This Row],[Spiele H]]="","",SUMIFS(Eingabe[Volle],Eingabe[Name],Gesamtzähler[[#This Row],[Name]],Eingabe[Wo],"H"))</f>
        <v>576</v>
      </c>
      <c r="X13" s="6">
        <f>IF(Gesamtzähler[[#This Row],[Spiele H]]="","",SUMIFS(Eingabe[Räumer],Eingabe[Name],Gesamtzähler[[#This Row],[Name]],Eingabe[Wo],"H"))</f>
        <v>240</v>
      </c>
      <c r="Y13" s="6">
        <f>IF(Gesamtzähler[[#This Row],[Spiele H]]="","",SUMIFS(Eingabe[Fehler],Eingabe[Name],Gesamtzähler[[#This Row],[Name]],Eingabe[Wo],"H"))</f>
        <v>36</v>
      </c>
      <c r="Z13" s="6">
        <f>IF(Gesamtzähler[[#This Row],[Spiele MPH]]="","",SUMIFS(Eingabe[S1],Eingabe[Name],Gesamtzähler[[#This Row],[Name]],Eingabe[Wo],"H"))</f>
        <v>203</v>
      </c>
      <c r="AA13" s="6">
        <f>IF(Gesamtzähler[[#This Row],[Spiele MPH]]="","",SUMIFS(Eingabe[S1P],Eingabe[Name],Gesamtzähler[[#This Row],[Name]],Eingabe[Wo],"H"))</f>
        <v>0</v>
      </c>
      <c r="AB13" s="6">
        <f>IF(Gesamtzähler[[#This Row],[Spiele MPH]]="","",SUMIFS(Eingabe[S2],Eingabe[Name],Gesamtzähler[[#This Row],[Name]],Eingabe[Wo],"H"))</f>
        <v>202</v>
      </c>
      <c r="AC13" s="6">
        <f>IF(Gesamtzähler[[#This Row],[Spiele MPH]]="","",SUMIFS(Eingabe[S2P],Eingabe[Name],Gesamtzähler[[#This Row],[Name]],Eingabe[Wo],"H"))</f>
        <v>0</v>
      </c>
      <c r="AD13" s="6">
        <f>IF(Gesamtzähler[[#This Row],[Spiele MPH]]="","",SUMIFS(Eingabe[S3],Eingabe[Name],Gesamtzähler[[#This Row],[Name]],Eingabe[Wo],"H"))</f>
        <v>200</v>
      </c>
      <c r="AE13" s="6">
        <f>IF(Gesamtzähler[[#This Row],[Spiele MPH]]="","",SUMIFS(Eingabe[S3P],Eingabe[Name],Gesamtzähler[[#This Row],[Name]],Eingabe[Wo],"H"))</f>
        <v>0</v>
      </c>
      <c r="AF13" s="203">
        <f>IF(Gesamtzähler[[#This Row],[Spiele MPH]]="","",SUMIFS(Eingabe[S4],Eingabe[Name],Gesamtzähler[[#This Row],[Name]],Eingabe[Wo],"H"))</f>
        <v>211</v>
      </c>
      <c r="AG13" s="6">
        <f>IF(Gesamtzähler[[#This Row],[Spiele MPH]]="","",SUMIFS(Eingabe[S4P],Eingabe[Name],Gesamtzähler[[#This Row],[Name]],Eingabe[Wo],"H"))</f>
        <v>0</v>
      </c>
      <c r="AH13" s="6">
        <f>IF(Gesamtzähler[[#This Row],[Spiele MPH]]="","",SUMIFS(Eingabe[GEGGES],Eingabe[Name],Gesamtzähler[[#This Row],[Name]],Eingabe[Wo],"H"))</f>
        <v>0</v>
      </c>
      <c r="AI13" s="6">
        <f>IF(Gesamtzähler[[#This Row],[Spiele H]]="","",SUMIFS(Eingabe[GES],Eingabe[Name],Gesamtzähler[[#This Row],[Name]],Eingabe[Wo],"H"))</f>
        <v>816</v>
      </c>
      <c r="AJ13" s="6">
        <f>IF(Gesamtzähler[[#This Row],[Spiele MPH]]="","",SUMIFS(Eingabe[SP],Eingabe[Name],Gesamtzähler[[#This Row],[Name]],Eingabe[Wo],"H"))</f>
        <v>0</v>
      </c>
      <c r="AK13" s="6">
        <f>IF(Gesamtzähler[[#This Row],[Spiele MPH]]="","",SUMIFS(Eingabe[MP],Eingabe[Name],Gesamtzähler[[#This Row],[Name]],Eingabe[Wo],"H"))</f>
        <v>0</v>
      </c>
      <c r="AL13" s="6">
        <f>IF(COUNTIFS(Eingabe[Name],Gesamtzähler[[#This Row],[Name]],Eingabe[Wo],"A")=0,"",COUNTIFS(Eingabe[Name],Gesamtzähler[[#This Row],[Name]],Eingabe[Wo],"A"))</f>
        <v>8</v>
      </c>
      <c r="AM13" s="6">
        <f>IF(Gesamtzähler[[#This Row],[Spiele A]]="","",Gesamtzähler[[#This Row],[Spiele A]]-COUNTIFS(Eingabe[Name],Gesamtzähler[[#This Row],[Name]],Eingabe[MP],"",Eingabe[Wo],"A"))</f>
        <v>0</v>
      </c>
      <c r="AN13" s="6">
        <f>IF(Gesamtzähler[[#This Row],[Spiele A]]="","",SUMIFS(Eingabe[Volle],Eingabe[Name],Gesamtzähler[[#This Row],[Name]],Eingabe[Wo],"A"))</f>
        <v>2416</v>
      </c>
      <c r="AO13" s="6">
        <f>IF(Gesamtzähler[[#This Row],[Spiele A]]="","",SUMIFS(Eingabe[Räumer],Eingabe[Name],Gesamtzähler[[#This Row],[Name]],Eingabe[Wo],"A"))</f>
        <v>868</v>
      </c>
      <c r="AP13" s="6">
        <f>IF(Gesamtzähler[[#This Row],[Spiele A]]="","",SUMIFS(Eingabe[Fehler],Eingabe[Name],Gesamtzähler[[#This Row],[Name]],Eingabe[Wo],"A"))</f>
        <v>185</v>
      </c>
      <c r="AQ13" s="6">
        <f>IF(Gesamtzähler[[#This Row],[Spiele MPA]]="","",SUMIFS(Eingabe[S1],Eingabe[Name],Gesamtzähler[[#This Row],[Name]],Eingabe[Wo],"A"))</f>
        <v>727</v>
      </c>
      <c r="AR13" s="6">
        <f>IF(Gesamtzähler[[#This Row],[Spiele MPA]]="","",SUMIFS(Eingabe[S1P],Eingabe[Name],Gesamtzähler[[#This Row],[Name]],Eingabe[Wo],"A"))</f>
        <v>0</v>
      </c>
      <c r="AS13" s="6">
        <f>IF(Gesamtzähler[[#This Row],[Spiele MPA]]="","",SUMIFS(Eingabe[S2],Eingabe[Name],Gesamtzähler[[#This Row],[Name]],Eingabe[Wo],"A"))</f>
        <v>780</v>
      </c>
      <c r="AT13" s="6">
        <f>IF(Gesamtzähler[[#This Row],[Spiele MPA]]="","",SUMIFS(Eingabe[S2P],Eingabe[Name],Gesamtzähler[[#This Row],[Name]],Eingabe[Wo],"A"))</f>
        <v>0</v>
      </c>
      <c r="AU13" s="6">
        <f>IF(Gesamtzähler[[#This Row],[Spiele MPA]]="","",SUMIFS(Eingabe[S3],Eingabe[Name],Gesamtzähler[[#This Row],[Name]],Eingabe[Wo],"A"))</f>
        <v>663</v>
      </c>
      <c r="AV13" s="6">
        <f>IF(Gesamtzähler[[#This Row],[Spiele MPA]]="","",SUMIFS(Eingabe[S3P],Eingabe[Name],Gesamtzähler[[#This Row],[Name]],Eingabe[Wo],"A"))</f>
        <v>0</v>
      </c>
      <c r="AW13" s="6">
        <f>IF(Gesamtzähler[[#This Row],[Spiele MPA]]="","",SUMIFS(Eingabe[S4],Eingabe[Name],Gesamtzähler[[#This Row],[Name]],Eingabe[Wo],"A"))</f>
        <v>696</v>
      </c>
      <c r="AX13" s="6">
        <f>IF(Gesamtzähler[[#This Row],[Spiele MPA]]="","",SUMIFS(Eingabe[S4P],Eingabe[Name],Gesamtzähler[[#This Row],[Name]],Eingabe[Wo],"A"))</f>
        <v>0</v>
      </c>
      <c r="AY13" s="6">
        <f>IF(Gesamtzähler[[#This Row],[Spiele MPA]]="","",SUMIFS(Eingabe[GEGGES],Eingabe[Name],Gesamtzähler[[#This Row],[Name]],Eingabe[Wo],"A"))</f>
        <v>0</v>
      </c>
      <c r="AZ13" s="6">
        <f>IF(Gesamtzähler[[#This Row],[Spiele A]]="","",SUMIFS(Eingabe[GES],Eingabe[Name],Gesamtzähler[[#This Row],[Name]],Eingabe[Wo],"A"))</f>
        <v>3284</v>
      </c>
      <c r="BA13" s="6">
        <f>IF(Gesamtzähler[[#This Row],[Spiele MPA]]="","",SUMIFS(Eingabe[SP],Eingabe[Name],Gesamtzähler[[#This Row],[Name]],Eingabe[Wo],"A"))</f>
        <v>0</v>
      </c>
      <c r="BB13" s="6">
        <f>IF(Gesamtzähler[[#This Row],[Spiele MPA]]="","",SUMIFS(Eingabe[MP],Eingabe[Name],Gesamtzähler[[#This Row],[Name]],Eingabe[Wo],"A"))</f>
        <v>0</v>
      </c>
      <c r="BC13" s="6"/>
      <c r="BD13" s="6"/>
      <c r="BE13" s="6"/>
      <c r="BF13" s="6"/>
    </row>
    <row r="14" spans="2:58" x14ac:dyDescent="0.3">
      <c r="B14" s="7" t="str">
        <f>VLOOKUP(ROW(Gesamtzähler[[#This Row],[Name]])-3,Teamzuordnung[],2,FALSE)</f>
        <v>Emma Hettmann</v>
      </c>
      <c r="C14" s="6" t="str">
        <f>IF(Gesamtzähler[[#This Row],[Name]]="","",VLOOKUP(Gesamtzähler[[#This Row],[Name]],Teamzuordnung[[Name]:[Team]],2,TRUE))</f>
        <v>U19</v>
      </c>
      <c r="D14" s="21">
        <f>IF(COUNTIFS(Eingabe[Name],Gesamtzähler[[#This Row],[Name]])=0,"",COUNTIFS(Eingabe[Name],Gesamtzähler[[#This Row],[Name]]))</f>
        <v>13</v>
      </c>
      <c r="E14" s="6">
        <f>IF(Gesamtzähler[[#This Row],[Spiele]]="","",IF(Gesamtzähler[[#This Row],[Spiele]]-COUNTIFS(Eingabe[Name],Gesamtzähler[[#This Row],[Name]],Eingabe[MP],"")=0,"",Gesamtzähler[[#This Row],[Spiele]]-COUNTIFS(Eingabe[Name],Gesamtzähler[[#This Row],[Name]],Eingabe[MP],"")))</f>
        <v>1</v>
      </c>
      <c r="F14" s="6">
        <f>IF(Gesamtzähler[[#This Row],[Spiele]]="","",SUMIF(Eingabe[Name],Gesamtzähler[[#This Row],[Name]],Eingabe[Volle]))</f>
        <v>4691</v>
      </c>
      <c r="G14" s="6">
        <f>IF(Gesamtzähler[[#This Row],[Spiele]]="","",SUMIF(Eingabe[Name],Gesamtzähler[[#This Row],[Name]],Eingabe[Räumer]))</f>
        <v>2224</v>
      </c>
      <c r="H14" s="6">
        <f>IF(Gesamtzähler[[#This Row],[Spiele]]="","",SUMIF(Eingabe[Name],Gesamtzähler[[#This Row],[Name]],Eingabe[Fehler]))</f>
        <v>76</v>
      </c>
      <c r="I14" s="6">
        <f>IF(Gesamtzähler[[#This Row],[Spiele]]="","",SUMIF(Eingabe[Name],Gesamtzähler[[#This Row],[Name]],Eingabe[GES]))</f>
        <v>6915</v>
      </c>
      <c r="J14" s="6">
        <f>IF(Gesamtzähler[[#This Row],[Spiele MP]]="","",SUMIF(Eingabe[Name],Gesamtzähler[[#This Row],[Name]],Eingabe[SP]))</f>
        <v>4</v>
      </c>
      <c r="K14" s="6">
        <f>IF(Gesamtzähler[[#This Row],[Spiele MP]]="","",SUMIF(Eingabe[Name],Gesamtzähler[[#This Row],[Name]],Eingabe[MP]))</f>
        <v>1</v>
      </c>
      <c r="L14" s="6">
        <f>IF(Gesamtzähler[[#This Row],[Spiele MP]]="","",SUMIF(Eingabe[Name],Gesamtzähler[[#This Row],[Name]],Eingabe[S1]))</f>
        <v>1546</v>
      </c>
      <c r="M14" s="6">
        <f>IF(Gesamtzähler[[#This Row],[Spiele MP]]="","",SUMIF(Eingabe[Name],Gesamtzähler[[#This Row],[Name]],Eingabe[S2]))</f>
        <v>1458</v>
      </c>
      <c r="N14" s="6">
        <f>IF(Gesamtzähler[[#This Row],[Spiele MP]]="","",SUMIF(Eingabe[Name],Gesamtzähler[[#This Row],[Name]],Eingabe[S3]))</f>
        <v>1451</v>
      </c>
      <c r="O14" s="6">
        <f>IF(Gesamtzähler[[#This Row],[Spiele MP]]="","",SUMIF(Eingabe[Name],Gesamtzähler[[#This Row],[Name]],Eingabe[S4]))</f>
        <v>1442</v>
      </c>
      <c r="P14" s="6">
        <f>IF(Gesamtzähler[[#This Row],[Spiele MP]]="","",SUMIF(Eingabe[Name],Gesamtzähler[[#This Row],[Name]],Eingabe[S1P]))</f>
        <v>1</v>
      </c>
      <c r="Q14" s="6">
        <f>IF(Gesamtzähler[[#This Row],[Spiele MP]]="","",SUMIF(Eingabe[Name],Gesamtzähler[[#This Row],[Name]],Eingabe[S2P]))</f>
        <v>1</v>
      </c>
      <c r="R14" s="6">
        <f>IF(Gesamtzähler[[#This Row],[Spiele MP]]="","",SUMIF(Eingabe[Name],Gesamtzähler[[#This Row],[Name]],Eingabe[S3P]))</f>
        <v>1</v>
      </c>
      <c r="S14" s="6">
        <f>IF(Gesamtzähler[[#This Row],[Spiele MP]]="","",SUMIF(Eingabe[Name],Gesamtzähler[[#This Row],[Name]],Eingabe[S4P]))</f>
        <v>1</v>
      </c>
      <c r="T14" s="6">
        <f>IF(Gesamtzähler[[#This Row],[Spiele MP]]="","",SUMIF(Eingabe[Name],Gesamtzähler[[#This Row],[Name]],Eingabe[GEGGES]))</f>
        <v>445</v>
      </c>
      <c r="U14" s="21">
        <f>IF(COUNTIFS(Eingabe[Name],Gesamtzähler[[#This Row],[Name]],Eingabe[Wo],"H")=0,"",COUNTIFS(Eingabe[Name],Gesamtzähler[[#This Row],[Name]],Eingabe[Wo],"H"))</f>
        <v>5</v>
      </c>
      <c r="V14" s="6">
        <f>IF(Gesamtzähler[[#This Row],[Spiele H]]="","",Gesamtzähler[[#This Row],[Spiele H]]-COUNTIFS(Eingabe[Name],Gesamtzähler[[#This Row],[Name]],Eingabe[MP],"",Eingabe[Wo],"H"))</f>
        <v>1</v>
      </c>
      <c r="W14" s="6">
        <f>IF(Gesamtzähler[[#This Row],[Spiele H]]="","",SUMIFS(Eingabe[Volle],Eingabe[Name],Gesamtzähler[[#This Row],[Name]],Eingabe[Wo],"H"))</f>
        <v>1752</v>
      </c>
      <c r="X14" s="6">
        <f>IF(Gesamtzähler[[#This Row],[Spiele H]]="","",SUMIFS(Eingabe[Räumer],Eingabe[Name],Gesamtzähler[[#This Row],[Name]],Eingabe[Wo],"H"))</f>
        <v>847</v>
      </c>
      <c r="Y14" s="6">
        <f>IF(Gesamtzähler[[#This Row],[Spiele H]]="","",SUMIFS(Eingabe[Fehler],Eingabe[Name],Gesamtzähler[[#This Row],[Name]],Eingabe[Wo],"H"))</f>
        <v>38</v>
      </c>
      <c r="Z14" s="6">
        <f>IF(Gesamtzähler[[#This Row],[Spiele MPH]]="","",SUMIFS(Eingabe[S1],Eingabe[Name],Gesamtzähler[[#This Row],[Name]],Eingabe[Wo],"H"))</f>
        <v>549</v>
      </c>
      <c r="AA14" s="6">
        <f>IF(Gesamtzähler[[#This Row],[Spiele MPH]]="","",SUMIFS(Eingabe[S1P],Eingabe[Name],Gesamtzähler[[#This Row],[Name]],Eingabe[Wo],"H"))</f>
        <v>1</v>
      </c>
      <c r="AB14" s="6">
        <f>IF(Gesamtzähler[[#This Row],[Spiele MPH]]="","",SUMIFS(Eingabe[S2],Eingabe[Name],Gesamtzähler[[#This Row],[Name]],Eingabe[Wo],"H"))</f>
        <v>518</v>
      </c>
      <c r="AC14" s="6">
        <f>IF(Gesamtzähler[[#This Row],[Spiele MPH]]="","",SUMIFS(Eingabe[S2P],Eingabe[Name],Gesamtzähler[[#This Row],[Name]],Eingabe[Wo],"H"))</f>
        <v>1</v>
      </c>
      <c r="AD14" s="6">
        <f>IF(Gesamtzähler[[#This Row],[Spiele MPH]]="","",SUMIFS(Eingabe[S3],Eingabe[Name],Gesamtzähler[[#This Row],[Name]],Eingabe[Wo],"H"))</f>
        <v>514</v>
      </c>
      <c r="AE14" s="6">
        <f>IF(Gesamtzähler[[#This Row],[Spiele MPH]]="","",SUMIFS(Eingabe[S3P],Eingabe[Name],Gesamtzähler[[#This Row],[Name]],Eingabe[Wo],"H"))</f>
        <v>1</v>
      </c>
      <c r="AF14" s="203">
        <f>IF(Gesamtzähler[[#This Row],[Spiele MPH]]="","",SUMIFS(Eingabe[S4],Eingabe[Name],Gesamtzähler[[#This Row],[Name]],Eingabe[Wo],"H"))</f>
        <v>526</v>
      </c>
      <c r="AG14" s="6">
        <f>IF(Gesamtzähler[[#This Row],[Spiele MPH]]="","",SUMIFS(Eingabe[S4P],Eingabe[Name],Gesamtzähler[[#This Row],[Name]],Eingabe[Wo],"H"))</f>
        <v>1</v>
      </c>
      <c r="AH14" s="6">
        <f>IF(Gesamtzähler[[#This Row],[Spiele MPH]]="","",SUMIFS(Eingabe[GEGGES],Eingabe[Name],Gesamtzähler[[#This Row],[Name]],Eingabe[Wo],"H"))</f>
        <v>445</v>
      </c>
      <c r="AI14" s="6">
        <f>IF(Gesamtzähler[[#This Row],[Spiele H]]="","",SUMIFS(Eingabe[GES],Eingabe[Name],Gesamtzähler[[#This Row],[Name]],Eingabe[Wo],"H"))</f>
        <v>2599</v>
      </c>
      <c r="AJ14" s="6">
        <f>IF(Gesamtzähler[[#This Row],[Spiele MPH]]="","",SUMIFS(Eingabe[SP],Eingabe[Name],Gesamtzähler[[#This Row],[Name]],Eingabe[Wo],"H"))</f>
        <v>4</v>
      </c>
      <c r="AK14" s="6">
        <f>IF(Gesamtzähler[[#This Row],[Spiele MPH]]="","",SUMIFS(Eingabe[MP],Eingabe[Name],Gesamtzähler[[#This Row],[Name]],Eingabe[Wo],"H"))</f>
        <v>1</v>
      </c>
      <c r="AL14" s="6">
        <f>IF(COUNTIFS(Eingabe[Name],Gesamtzähler[[#This Row],[Name]],Eingabe[Wo],"A")=0,"",COUNTIFS(Eingabe[Name],Gesamtzähler[[#This Row],[Name]],Eingabe[Wo],"A"))</f>
        <v>8</v>
      </c>
      <c r="AM14" s="6">
        <f>IF(Gesamtzähler[[#This Row],[Spiele A]]="","",Gesamtzähler[[#This Row],[Spiele A]]-COUNTIFS(Eingabe[Name],Gesamtzähler[[#This Row],[Name]],Eingabe[MP],"",Eingabe[Wo],"A"))</f>
        <v>0</v>
      </c>
      <c r="AN14" s="6">
        <f>IF(Gesamtzähler[[#This Row],[Spiele A]]="","",SUMIFS(Eingabe[Volle],Eingabe[Name],Gesamtzähler[[#This Row],[Name]],Eingabe[Wo],"A"))</f>
        <v>2939</v>
      </c>
      <c r="AO14" s="6">
        <f>IF(Gesamtzähler[[#This Row],[Spiele A]]="","",SUMIFS(Eingabe[Räumer],Eingabe[Name],Gesamtzähler[[#This Row],[Name]],Eingabe[Wo],"A"))</f>
        <v>1377</v>
      </c>
      <c r="AP14" s="6">
        <f>IF(Gesamtzähler[[#This Row],[Spiele A]]="","",SUMIFS(Eingabe[Fehler],Eingabe[Name],Gesamtzähler[[#This Row],[Name]],Eingabe[Wo],"A"))</f>
        <v>38</v>
      </c>
      <c r="AQ14" s="6">
        <f>IF(Gesamtzähler[[#This Row],[Spiele MPA]]="","",SUMIFS(Eingabe[S1],Eingabe[Name],Gesamtzähler[[#This Row],[Name]],Eingabe[Wo],"A"))</f>
        <v>997</v>
      </c>
      <c r="AR14" s="6">
        <f>IF(Gesamtzähler[[#This Row],[Spiele MPA]]="","",SUMIFS(Eingabe[S1P],Eingabe[Name],Gesamtzähler[[#This Row],[Name]],Eingabe[Wo],"A"))</f>
        <v>0</v>
      </c>
      <c r="AS14" s="6">
        <f>IF(Gesamtzähler[[#This Row],[Spiele MPA]]="","",SUMIFS(Eingabe[S2],Eingabe[Name],Gesamtzähler[[#This Row],[Name]],Eingabe[Wo],"A"))</f>
        <v>940</v>
      </c>
      <c r="AT14" s="6">
        <f>IF(Gesamtzähler[[#This Row],[Spiele MPA]]="","",SUMIFS(Eingabe[S2P],Eingabe[Name],Gesamtzähler[[#This Row],[Name]],Eingabe[Wo],"A"))</f>
        <v>0</v>
      </c>
      <c r="AU14" s="6">
        <f>IF(Gesamtzähler[[#This Row],[Spiele MPA]]="","",SUMIFS(Eingabe[S3],Eingabe[Name],Gesamtzähler[[#This Row],[Name]],Eingabe[Wo],"A"))</f>
        <v>937</v>
      </c>
      <c r="AV14" s="6">
        <f>IF(Gesamtzähler[[#This Row],[Spiele MPA]]="","",SUMIFS(Eingabe[S3P],Eingabe[Name],Gesamtzähler[[#This Row],[Name]],Eingabe[Wo],"A"))</f>
        <v>0</v>
      </c>
      <c r="AW14" s="6">
        <f>IF(Gesamtzähler[[#This Row],[Spiele MPA]]="","",SUMIFS(Eingabe[S4],Eingabe[Name],Gesamtzähler[[#This Row],[Name]],Eingabe[Wo],"A"))</f>
        <v>916</v>
      </c>
      <c r="AX14" s="6">
        <f>IF(Gesamtzähler[[#This Row],[Spiele MPA]]="","",SUMIFS(Eingabe[S4P],Eingabe[Name],Gesamtzähler[[#This Row],[Name]],Eingabe[Wo],"A"))</f>
        <v>0</v>
      </c>
      <c r="AY14" s="6">
        <f>IF(Gesamtzähler[[#This Row],[Spiele MPA]]="","",SUMIFS(Eingabe[GEGGES],Eingabe[Name],Gesamtzähler[[#This Row],[Name]],Eingabe[Wo],"A"))</f>
        <v>0</v>
      </c>
      <c r="AZ14" s="6">
        <f>IF(Gesamtzähler[[#This Row],[Spiele A]]="","",SUMIFS(Eingabe[GES],Eingabe[Name],Gesamtzähler[[#This Row],[Name]],Eingabe[Wo],"A"))</f>
        <v>4316</v>
      </c>
      <c r="BA14" s="6">
        <f>IF(Gesamtzähler[[#This Row],[Spiele MPA]]="","",SUMIFS(Eingabe[SP],Eingabe[Name],Gesamtzähler[[#This Row],[Name]],Eingabe[Wo],"A"))</f>
        <v>0</v>
      </c>
      <c r="BB14" s="6">
        <f>IF(Gesamtzähler[[#This Row],[Spiele MPA]]="","",SUMIFS(Eingabe[MP],Eingabe[Name],Gesamtzähler[[#This Row],[Name]],Eingabe[Wo],"A"))</f>
        <v>0</v>
      </c>
      <c r="BC14" s="6"/>
      <c r="BD14" s="6"/>
      <c r="BE14" s="6"/>
      <c r="BF14" s="6"/>
    </row>
    <row r="15" spans="2:58" x14ac:dyDescent="0.3">
      <c r="B15" s="7" t="str">
        <f>VLOOKUP(ROW(Gesamtzähler[[#This Row],[Name]])-3,Teamzuordnung[],2,FALSE)</f>
        <v>Erik Krutak</v>
      </c>
      <c r="C15" s="6" t="str">
        <f>IF(Gesamtzähler[[#This Row],[Name]]="","",VLOOKUP(Gesamtzähler[[#This Row],[Name]],Teamzuordnung[[Name]:[Team]],2,TRUE))</f>
        <v>Z</v>
      </c>
      <c r="D15" s="21">
        <f>IF(COUNTIFS(Eingabe[Name],Gesamtzähler[[#This Row],[Name]])=0,"",COUNTIFS(Eingabe[Name],Gesamtzähler[[#This Row],[Name]]))</f>
        <v>12</v>
      </c>
      <c r="E15" s="6">
        <f>IF(Gesamtzähler[[#This Row],[Spiele]]="","",IF(Gesamtzähler[[#This Row],[Spiele]]-COUNTIFS(Eingabe[Name],Gesamtzähler[[#This Row],[Name]],Eingabe[MP],"")=0,"",Gesamtzähler[[#This Row],[Spiele]]-COUNTIFS(Eingabe[Name],Gesamtzähler[[#This Row],[Name]],Eingabe[MP],"")))</f>
        <v>10</v>
      </c>
      <c r="F15" s="6">
        <f>IF(Gesamtzähler[[#This Row],[Spiele]]="","",SUMIF(Eingabe[Name],Gesamtzähler[[#This Row],[Name]],Eingabe[Volle]))</f>
        <v>4256</v>
      </c>
      <c r="G15" s="6">
        <f>IF(Gesamtzähler[[#This Row],[Spiele]]="","",SUMIF(Eingabe[Name],Gesamtzähler[[#This Row],[Name]],Eingabe[Räumer]))</f>
        <v>2076</v>
      </c>
      <c r="H15" s="6">
        <f>IF(Gesamtzähler[[#This Row],[Spiele]]="","",SUMIF(Eingabe[Name],Gesamtzähler[[#This Row],[Name]],Eingabe[Fehler]))</f>
        <v>74</v>
      </c>
      <c r="I15" s="6">
        <f>IF(Gesamtzähler[[#This Row],[Spiele]]="","",SUMIF(Eingabe[Name],Gesamtzähler[[#This Row],[Name]],Eingabe[GES]))</f>
        <v>6332</v>
      </c>
      <c r="J15" s="6">
        <f>IF(Gesamtzähler[[#This Row],[Spiele MP]]="","",SUMIF(Eingabe[Name],Gesamtzähler[[#This Row],[Name]],Eingabe[SP]))</f>
        <v>19</v>
      </c>
      <c r="K15" s="6">
        <f>IF(Gesamtzähler[[#This Row],[Spiele MP]]="","",SUMIF(Eingabe[Name],Gesamtzähler[[#This Row],[Name]],Eingabe[MP]))</f>
        <v>3</v>
      </c>
      <c r="L15" s="6">
        <f>IF(Gesamtzähler[[#This Row],[Spiele MP]]="","",SUMIF(Eingabe[Name],Gesamtzähler[[#This Row],[Name]],Eingabe[S1]))</f>
        <v>1412</v>
      </c>
      <c r="M15" s="6">
        <f>IF(Gesamtzähler[[#This Row],[Spiele MP]]="","",SUMIF(Eingabe[Name],Gesamtzähler[[#This Row],[Name]],Eingabe[S2]))</f>
        <v>1405</v>
      </c>
      <c r="N15" s="6">
        <f>IF(Gesamtzähler[[#This Row],[Spiele MP]]="","",SUMIF(Eingabe[Name],Gesamtzähler[[#This Row],[Name]],Eingabe[S3]))</f>
        <v>1455</v>
      </c>
      <c r="O15" s="6">
        <f>IF(Gesamtzähler[[#This Row],[Spiele MP]]="","",SUMIF(Eingabe[Name],Gesamtzähler[[#This Row],[Name]],Eingabe[S4]))</f>
        <v>1523</v>
      </c>
      <c r="P15" s="6">
        <f>IF(Gesamtzähler[[#This Row],[Spiele MP]]="","",SUMIF(Eingabe[Name],Gesamtzähler[[#This Row],[Name]],Eingabe[S1P]))</f>
        <v>2</v>
      </c>
      <c r="Q15" s="6">
        <f>IF(Gesamtzähler[[#This Row],[Spiele MP]]="","",SUMIF(Eingabe[Name],Gesamtzähler[[#This Row],[Name]],Eingabe[S2P]))</f>
        <v>5</v>
      </c>
      <c r="R15" s="6">
        <f>IF(Gesamtzähler[[#This Row],[Spiele MP]]="","",SUMIF(Eingabe[Name],Gesamtzähler[[#This Row],[Name]],Eingabe[S3P]))</f>
        <v>5</v>
      </c>
      <c r="S15" s="6">
        <f>IF(Gesamtzähler[[#This Row],[Spiele MP]]="","",SUMIF(Eingabe[Name],Gesamtzähler[[#This Row],[Name]],Eingabe[S4P]))</f>
        <v>7</v>
      </c>
      <c r="T15" s="6">
        <f>IF(Gesamtzähler[[#This Row],[Spiele MP]]="","",SUMIF(Eingabe[Name],Gesamtzähler[[#This Row],[Name]],Eingabe[GEGGES]))</f>
        <v>5233</v>
      </c>
      <c r="U15" s="21">
        <f>IF(COUNTIFS(Eingabe[Name],Gesamtzähler[[#This Row],[Name]],Eingabe[Wo],"H")=0,"",COUNTIFS(Eingabe[Name],Gesamtzähler[[#This Row],[Name]],Eingabe[Wo],"H"))</f>
        <v>5</v>
      </c>
      <c r="V15" s="6">
        <f>IF(Gesamtzähler[[#This Row],[Spiele H]]="","",Gesamtzähler[[#This Row],[Spiele H]]-COUNTIFS(Eingabe[Name],Gesamtzähler[[#This Row],[Name]],Eingabe[MP],"",Eingabe[Wo],"H"))</f>
        <v>5</v>
      </c>
      <c r="W15" s="6">
        <f>IF(Gesamtzähler[[#This Row],[Spiele H]]="","",SUMIFS(Eingabe[Volle],Eingabe[Name],Gesamtzähler[[#This Row],[Name]],Eingabe[Wo],"H"))</f>
        <v>1786</v>
      </c>
      <c r="X15" s="6">
        <f>IF(Gesamtzähler[[#This Row],[Spiele H]]="","",SUMIFS(Eingabe[Räumer],Eingabe[Name],Gesamtzähler[[#This Row],[Name]],Eingabe[Wo],"H"))</f>
        <v>811</v>
      </c>
      <c r="Y15" s="6">
        <f>IF(Gesamtzähler[[#This Row],[Spiele H]]="","",SUMIFS(Eingabe[Fehler],Eingabe[Name],Gesamtzähler[[#This Row],[Name]],Eingabe[Wo],"H"))</f>
        <v>33</v>
      </c>
      <c r="Z15" s="6">
        <f>IF(Gesamtzähler[[#This Row],[Spiele MPH]]="","",SUMIFS(Eingabe[S1],Eingabe[Name],Gesamtzähler[[#This Row],[Name]],Eingabe[Wo],"H"))</f>
        <v>604</v>
      </c>
      <c r="AA15" s="6">
        <f>IF(Gesamtzähler[[#This Row],[Spiele MPH]]="","",SUMIFS(Eingabe[S1P],Eingabe[Name],Gesamtzähler[[#This Row],[Name]],Eingabe[Wo],"H"))</f>
        <v>1</v>
      </c>
      <c r="AB15" s="6">
        <f>IF(Gesamtzähler[[#This Row],[Spiele MPH]]="","",SUMIFS(Eingabe[S2],Eingabe[Name],Gesamtzähler[[#This Row],[Name]],Eingabe[Wo],"H"))</f>
        <v>646</v>
      </c>
      <c r="AC15" s="6">
        <f>IF(Gesamtzähler[[#This Row],[Spiele MPH]]="","",SUMIFS(Eingabe[S2P],Eingabe[Name],Gesamtzähler[[#This Row],[Name]],Eingabe[Wo],"H"))</f>
        <v>4</v>
      </c>
      <c r="AD15" s="6">
        <f>IF(Gesamtzähler[[#This Row],[Spiele MPH]]="","",SUMIFS(Eingabe[S3],Eingabe[Name],Gesamtzähler[[#This Row],[Name]],Eingabe[Wo],"H"))</f>
        <v>677</v>
      </c>
      <c r="AE15" s="6">
        <f>IF(Gesamtzähler[[#This Row],[Spiele MPH]]="","",SUMIFS(Eingabe[S3P],Eingabe[Name],Gesamtzähler[[#This Row],[Name]],Eingabe[Wo],"H"))</f>
        <v>5</v>
      </c>
      <c r="AF15" s="203">
        <f>IF(Gesamtzähler[[#This Row],[Spiele MPH]]="","",SUMIFS(Eingabe[S4],Eingabe[Name],Gesamtzähler[[#This Row],[Name]],Eingabe[Wo],"H"))</f>
        <v>670</v>
      </c>
      <c r="AG15" s="6">
        <f>IF(Gesamtzähler[[#This Row],[Spiele MPH]]="","",SUMIFS(Eingabe[S4P],Eingabe[Name],Gesamtzähler[[#This Row],[Name]],Eingabe[Wo],"H"))</f>
        <v>3</v>
      </c>
      <c r="AH15" s="6">
        <f>IF(Gesamtzähler[[#This Row],[Spiele MPH]]="","",SUMIFS(Eingabe[GEGGES],Eingabe[Name],Gesamtzähler[[#This Row],[Name]],Eingabe[Wo],"H"))</f>
        <v>2454</v>
      </c>
      <c r="AI15" s="6">
        <f>IF(Gesamtzähler[[#This Row],[Spiele H]]="","",SUMIFS(Eingabe[GES],Eingabe[Name],Gesamtzähler[[#This Row],[Name]],Eingabe[Wo],"H"))</f>
        <v>2597</v>
      </c>
      <c r="AJ15" s="6">
        <f>IF(Gesamtzähler[[#This Row],[Spiele MPH]]="","",SUMIFS(Eingabe[SP],Eingabe[Name],Gesamtzähler[[#This Row],[Name]],Eingabe[Wo],"H"))</f>
        <v>13</v>
      </c>
      <c r="AK15" s="6">
        <f>IF(Gesamtzähler[[#This Row],[Spiele MPH]]="","",SUMIFS(Eingabe[MP],Eingabe[Name],Gesamtzähler[[#This Row],[Name]],Eingabe[Wo],"H"))</f>
        <v>3</v>
      </c>
      <c r="AL15" s="6">
        <f>IF(COUNTIFS(Eingabe[Name],Gesamtzähler[[#This Row],[Name]],Eingabe[Wo],"A")=0,"",COUNTIFS(Eingabe[Name],Gesamtzähler[[#This Row],[Name]],Eingabe[Wo],"A"))</f>
        <v>7</v>
      </c>
      <c r="AM15" s="6">
        <f>IF(Gesamtzähler[[#This Row],[Spiele A]]="","",Gesamtzähler[[#This Row],[Spiele A]]-COUNTIFS(Eingabe[Name],Gesamtzähler[[#This Row],[Name]],Eingabe[MP],"",Eingabe[Wo],"A"))</f>
        <v>5</v>
      </c>
      <c r="AN15" s="6">
        <f>IF(Gesamtzähler[[#This Row],[Spiele A]]="","",SUMIFS(Eingabe[Volle],Eingabe[Name],Gesamtzähler[[#This Row],[Name]],Eingabe[Wo],"A"))</f>
        <v>2470</v>
      </c>
      <c r="AO15" s="6">
        <f>IF(Gesamtzähler[[#This Row],[Spiele A]]="","",SUMIFS(Eingabe[Räumer],Eingabe[Name],Gesamtzähler[[#This Row],[Name]],Eingabe[Wo],"A"))</f>
        <v>1265</v>
      </c>
      <c r="AP15" s="6">
        <f>IF(Gesamtzähler[[#This Row],[Spiele A]]="","",SUMIFS(Eingabe[Fehler],Eingabe[Name],Gesamtzähler[[#This Row],[Name]],Eingabe[Wo],"A"))</f>
        <v>41</v>
      </c>
      <c r="AQ15" s="6">
        <f>IF(Gesamtzähler[[#This Row],[Spiele MPA]]="","",SUMIFS(Eingabe[S1],Eingabe[Name],Gesamtzähler[[#This Row],[Name]],Eingabe[Wo],"A"))</f>
        <v>808</v>
      </c>
      <c r="AR15" s="6">
        <f>IF(Gesamtzähler[[#This Row],[Spiele MPA]]="","",SUMIFS(Eingabe[S1P],Eingabe[Name],Gesamtzähler[[#This Row],[Name]],Eingabe[Wo],"A"))</f>
        <v>1</v>
      </c>
      <c r="AS15" s="6">
        <f>IF(Gesamtzähler[[#This Row],[Spiele MPA]]="","",SUMIFS(Eingabe[S2],Eingabe[Name],Gesamtzähler[[#This Row],[Name]],Eingabe[Wo],"A"))</f>
        <v>759</v>
      </c>
      <c r="AT15" s="6">
        <f>IF(Gesamtzähler[[#This Row],[Spiele MPA]]="","",SUMIFS(Eingabe[S2P],Eingabe[Name],Gesamtzähler[[#This Row],[Name]],Eingabe[Wo],"A"))</f>
        <v>1</v>
      </c>
      <c r="AU15" s="6">
        <f>IF(Gesamtzähler[[#This Row],[Spiele MPA]]="","",SUMIFS(Eingabe[S3],Eingabe[Name],Gesamtzähler[[#This Row],[Name]],Eingabe[Wo],"A"))</f>
        <v>778</v>
      </c>
      <c r="AV15" s="6">
        <f>IF(Gesamtzähler[[#This Row],[Spiele MPA]]="","",SUMIFS(Eingabe[S3P],Eingabe[Name],Gesamtzähler[[#This Row],[Name]],Eingabe[Wo],"A"))</f>
        <v>0</v>
      </c>
      <c r="AW15" s="6">
        <f>IF(Gesamtzähler[[#This Row],[Spiele MPA]]="","",SUMIFS(Eingabe[S4],Eingabe[Name],Gesamtzähler[[#This Row],[Name]],Eingabe[Wo],"A"))</f>
        <v>853</v>
      </c>
      <c r="AX15" s="6">
        <f>IF(Gesamtzähler[[#This Row],[Spiele MPA]]="","",SUMIFS(Eingabe[S4P],Eingabe[Name],Gesamtzähler[[#This Row],[Name]],Eingabe[Wo],"A"))</f>
        <v>4</v>
      </c>
      <c r="AY15" s="6">
        <f>IF(Gesamtzähler[[#This Row],[Spiele MPA]]="","",SUMIFS(Eingabe[GEGGES],Eingabe[Name],Gesamtzähler[[#This Row],[Name]],Eingabe[Wo],"A"))</f>
        <v>2779</v>
      </c>
      <c r="AZ15" s="6">
        <f>IF(Gesamtzähler[[#This Row],[Spiele A]]="","",SUMIFS(Eingabe[GES],Eingabe[Name],Gesamtzähler[[#This Row],[Name]],Eingabe[Wo],"A"))</f>
        <v>3735</v>
      </c>
      <c r="BA15" s="6">
        <f>IF(Gesamtzähler[[#This Row],[Spiele MPA]]="","",SUMIFS(Eingabe[SP],Eingabe[Name],Gesamtzähler[[#This Row],[Name]],Eingabe[Wo],"A"))</f>
        <v>6</v>
      </c>
      <c r="BB15" s="6">
        <f>IF(Gesamtzähler[[#This Row],[Spiele MPA]]="","",SUMIFS(Eingabe[MP],Eingabe[Name],Gesamtzähler[[#This Row],[Name]],Eingabe[Wo],"A"))</f>
        <v>0</v>
      </c>
      <c r="BC15" s="6"/>
      <c r="BD15" s="6"/>
      <c r="BE15" s="6"/>
      <c r="BF15" s="6"/>
    </row>
    <row r="16" spans="2:58" x14ac:dyDescent="0.3">
      <c r="B16" s="7" t="str">
        <f>VLOOKUP(ROW(Gesamtzähler[[#This Row],[Name]])-3,Teamzuordnung[],2,FALSE)</f>
        <v>Florian Jäger</v>
      </c>
      <c r="C16" s="6" t="str">
        <f>IF(Gesamtzähler[[#This Row],[Name]]="","",VLOOKUP(Gesamtzähler[[#This Row],[Name]],Teamzuordnung[[Name]:[Team]],2,TRUE))</f>
        <v>D</v>
      </c>
      <c r="D16" s="21">
        <f>IF(COUNTIFS(Eingabe[Name],Gesamtzähler[[#This Row],[Name]])=0,"",COUNTIFS(Eingabe[Name],Gesamtzähler[[#This Row],[Name]]))</f>
        <v>2</v>
      </c>
      <c r="E16" s="6">
        <f>IF(Gesamtzähler[[#This Row],[Spiele]]="","",IF(Gesamtzähler[[#This Row],[Spiele]]-COUNTIFS(Eingabe[Name],Gesamtzähler[[#This Row],[Name]],Eingabe[MP],"")=0,"",Gesamtzähler[[#This Row],[Spiele]]-COUNTIFS(Eingabe[Name],Gesamtzähler[[#This Row],[Name]],Eingabe[MP],"")))</f>
        <v>2</v>
      </c>
      <c r="F16" s="6">
        <f>IF(Gesamtzähler[[#This Row],[Spiele]]="","",SUMIF(Eingabe[Name],Gesamtzähler[[#This Row],[Name]],Eingabe[Volle]))</f>
        <v>649</v>
      </c>
      <c r="G16" s="6">
        <f>IF(Gesamtzähler[[#This Row],[Spiele]]="","",SUMIF(Eingabe[Name],Gesamtzähler[[#This Row],[Name]],Eingabe[Räumer]))</f>
        <v>334</v>
      </c>
      <c r="H16" s="6">
        <f>IF(Gesamtzähler[[#This Row],[Spiele]]="","",SUMIF(Eingabe[Name],Gesamtzähler[[#This Row],[Name]],Eingabe[Fehler]))</f>
        <v>14</v>
      </c>
      <c r="I16" s="6">
        <f>IF(Gesamtzähler[[#This Row],[Spiele]]="","",SUMIF(Eingabe[Name],Gesamtzähler[[#This Row],[Name]],Eingabe[GES]))</f>
        <v>983</v>
      </c>
      <c r="J16" s="6">
        <f>IF(Gesamtzähler[[#This Row],[Spiele MP]]="","",SUMIF(Eingabe[Name],Gesamtzähler[[#This Row],[Name]],Eingabe[SP]))</f>
        <v>6</v>
      </c>
      <c r="K16" s="6">
        <f>IF(Gesamtzähler[[#This Row],[Spiele MP]]="","",SUMIF(Eingabe[Name],Gesamtzähler[[#This Row],[Name]],Eingabe[MP]))</f>
        <v>2</v>
      </c>
      <c r="L16" s="6">
        <f>IF(Gesamtzähler[[#This Row],[Spiele MP]]="","",SUMIF(Eingabe[Name],Gesamtzähler[[#This Row],[Name]],Eingabe[S1]))</f>
        <v>258</v>
      </c>
      <c r="M16" s="6">
        <f>IF(Gesamtzähler[[#This Row],[Spiele MP]]="","",SUMIF(Eingabe[Name],Gesamtzähler[[#This Row],[Name]],Eingabe[S2]))</f>
        <v>256</v>
      </c>
      <c r="N16" s="6">
        <f>IF(Gesamtzähler[[#This Row],[Spiele MP]]="","",SUMIF(Eingabe[Name],Gesamtzähler[[#This Row],[Name]],Eingabe[S3]))</f>
        <v>247</v>
      </c>
      <c r="O16" s="6">
        <f>IF(Gesamtzähler[[#This Row],[Spiele MP]]="","",SUMIF(Eingabe[Name],Gesamtzähler[[#This Row],[Name]],Eingabe[S4]))</f>
        <v>222</v>
      </c>
      <c r="P16" s="6">
        <f>IF(Gesamtzähler[[#This Row],[Spiele MP]]="","",SUMIF(Eingabe[Name],Gesamtzähler[[#This Row],[Name]],Eingabe[S1P]))</f>
        <v>2</v>
      </c>
      <c r="Q16" s="6">
        <f>IF(Gesamtzähler[[#This Row],[Spiele MP]]="","",SUMIF(Eingabe[Name],Gesamtzähler[[#This Row],[Name]],Eingabe[S2P]))</f>
        <v>2</v>
      </c>
      <c r="R16" s="6">
        <f>IF(Gesamtzähler[[#This Row],[Spiele MP]]="","",SUMIF(Eingabe[Name],Gesamtzähler[[#This Row],[Name]],Eingabe[S3P]))</f>
        <v>2</v>
      </c>
      <c r="S16" s="6">
        <f>IF(Gesamtzähler[[#This Row],[Spiele MP]]="","",SUMIF(Eingabe[Name],Gesamtzähler[[#This Row],[Name]],Eingabe[S4P]))</f>
        <v>0</v>
      </c>
      <c r="T16" s="6">
        <f>IF(Gesamtzähler[[#This Row],[Spiele MP]]="","",SUMIF(Eingabe[Name],Gesamtzähler[[#This Row],[Name]],Eingabe[GEGGES]))</f>
        <v>946</v>
      </c>
      <c r="U16" s="21">
        <f>IF(COUNTIFS(Eingabe[Name],Gesamtzähler[[#This Row],[Name]],Eingabe[Wo],"H")=0,"",COUNTIFS(Eingabe[Name],Gesamtzähler[[#This Row],[Name]],Eingabe[Wo],"H"))</f>
        <v>1</v>
      </c>
      <c r="V16" s="6">
        <f>IF(Gesamtzähler[[#This Row],[Spiele H]]="","",Gesamtzähler[[#This Row],[Spiele H]]-COUNTIFS(Eingabe[Name],Gesamtzähler[[#This Row],[Name]],Eingabe[MP],"",Eingabe[Wo],"H"))</f>
        <v>1</v>
      </c>
      <c r="W16" s="6">
        <f>IF(Gesamtzähler[[#This Row],[Spiele H]]="","",SUMIFS(Eingabe[Volle],Eingabe[Name],Gesamtzähler[[#This Row],[Name]],Eingabe[Wo],"H"))</f>
        <v>324</v>
      </c>
      <c r="X16" s="6">
        <f>IF(Gesamtzähler[[#This Row],[Spiele H]]="","",SUMIFS(Eingabe[Räumer],Eingabe[Name],Gesamtzähler[[#This Row],[Name]],Eingabe[Wo],"H"))</f>
        <v>148</v>
      </c>
      <c r="Y16" s="6">
        <f>IF(Gesamtzähler[[#This Row],[Spiele H]]="","",SUMIFS(Eingabe[Fehler],Eingabe[Name],Gesamtzähler[[#This Row],[Name]],Eingabe[Wo],"H"))</f>
        <v>10</v>
      </c>
      <c r="Z16" s="6">
        <f>IF(Gesamtzähler[[#This Row],[Spiele MPH]]="","",SUMIFS(Eingabe[S1],Eingabe[Name],Gesamtzähler[[#This Row],[Name]],Eingabe[Wo],"H"))</f>
        <v>121</v>
      </c>
      <c r="AA16" s="6">
        <f>IF(Gesamtzähler[[#This Row],[Spiele MPH]]="","",SUMIFS(Eingabe[S1P],Eingabe[Name],Gesamtzähler[[#This Row],[Name]],Eingabe[Wo],"H"))</f>
        <v>1</v>
      </c>
      <c r="AB16" s="6">
        <f>IF(Gesamtzähler[[#This Row],[Spiele MPH]]="","",SUMIFS(Eingabe[S2],Eingabe[Name],Gesamtzähler[[#This Row],[Name]],Eingabe[Wo],"H"))</f>
        <v>122</v>
      </c>
      <c r="AC16" s="6">
        <f>IF(Gesamtzähler[[#This Row],[Spiele MPH]]="","",SUMIFS(Eingabe[S2P],Eingabe[Name],Gesamtzähler[[#This Row],[Name]],Eingabe[Wo],"H"))</f>
        <v>1</v>
      </c>
      <c r="AD16" s="6">
        <f>IF(Gesamtzähler[[#This Row],[Spiele MPH]]="","",SUMIFS(Eingabe[S3],Eingabe[Name],Gesamtzähler[[#This Row],[Name]],Eingabe[Wo],"H"))</f>
        <v>118</v>
      </c>
      <c r="AE16" s="6">
        <f>IF(Gesamtzähler[[#This Row],[Spiele MPH]]="","",SUMIFS(Eingabe[S3P],Eingabe[Name],Gesamtzähler[[#This Row],[Name]],Eingabe[Wo],"H"))</f>
        <v>1</v>
      </c>
      <c r="AF16" s="203">
        <f>IF(Gesamtzähler[[#This Row],[Spiele MPH]]="","",SUMIFS(Eingabe[S4],Eingabe[Name],Gesamtzähler[[#This Row],[Name]],Eingabe[Wo],"H"))</f>
        <v>111</v>
      </c>
      <c r="AG16" s="6">
        <f>IF(Gesamtzähler[[#This Row],[Spiele MPH]]="","",SUMIFS(Eingabe[S4P],Eingabe[Name],Gesamtzähler[[#This Row],[Name]],Eingabe[Wo],"H"))</f>
        <v>0</v>
      </c>
      <c r="AH16" s="6">
        <f>IF(Gesamtzähler[[#This Row],[Spiele MPH]]="","",SUMIFS(Eingabe[GEGGES],Eingabe[Name],Gesamtzähler[[#This Row],[Name]],Eingabe[Wo],"H"))</f>
        <v>465</v>
      </c>
      <c r="AI16" s="6">
        <f>IF(Gesamtzähler[[#This Row],[Spiele H]]="","",SUMIFS(Eingabe[GES],Eingabe[Name],Gesamtzähler[[#This Row],[Name]],Eingabe[Wo],"H"))</f>
        <v>472</v>
      </c>
      <c r="AJ16" s="6">
        <f>IF(Gesamtzähler[[#This Row],[Spiele MPH]]="","",SUMIFS(Eingabe[SP],Eingabe[Name],Gesamtzähler[[#This Row],[Name]],Eingabe[Wo],"H"))</f>
        <v>3</v>
      </c>
      <c r="AK16" s="6">
        <f>IF(Gesamtzähler[[#This Row],[Spiele MPH]]="","",SUMIFS(Eingabe[MP],Eingabe[Name],Gesamtzähler[[#This Row],[Name]],Eingabe[Wo],"H"))</f>
        <v>1</v>
      </c>
      <c r="AL16" s="6">
        <f>IF(COUNTIFS(Eingabe[Name],Gesamtzähler[[#This Row],[Name]],Eingabe[Wo],"A")=0,"",COUNTIFS(Eingabe[Name],Gesamtzähler[[#This Row],[Name]],Eingabe[Wo],"A"))</f>
        <v>1</v>
      </c>
      <c r="AM16" s="6">
        <f>IF(Gesamtzähler[[#This Row],[Spiele A]]="","",Gesamtzähler[[#This Row],[Spiele A]]-COUNTIFS(Eingabe[Name],Gesamtzähler[[#This Row],[Name]],Eingabe[MP],"",Eingabe[Wo],"A"))</f>
        <v>1</v>
      </c>
      <c r="AN16" s="6">
        <f>IF(Gesamtzähler[[#This Row],[Spiele A]]="","",SUMIFS(Eingabe[Volle],Eingabe[Name],Gesamtzähler[[#This Row],[Name]],Eingabe[Wo],"A"))</f>
        <v>325</v>
      </c>
      <c r="AO16" s="6">
        <f>IF(Gesamtzähler[[#This Row],[Spiele A]]="","",SUMIFS(Eingabe[Räumer],Eingabe[Name],Gesamtzähler[[#This Row],[Name]],Eingabe[Wo],"A"))</f>
        <v>186</v>
      </c>
      <c r="AP16" s="6">
        <f>IF(Gesamtzähler[[#This Row],[Spiele A]]="","",SUMIFS(Eingabe[Fehler],Eingabe[Name],Gesamtzähler[[#This Row],[Name]],Eingabe[Wo],"A"))</f>
        <v>4</v>
      </c>
      <c r="AQ16" s="6">
        <f>IF(Gesamtzähler[[#This Row],[Spiele MPA]]="","",SUMIFS(Eingabe[S1],Eingabe[Name],Gesamtzähler[[#This Row],[Name]],Eingabe[Wo],"A"))</f>
        <v>137</v>
      </c>
      <c r="AR16" s="6">
        <f>IF(Gesamtzähler[[#This Row],[Spiele MPA]]="","",SUMIFS(Eingabe[S1P],Eingabe[Name],Gesamtzähler[[#This Row],[Name]],Eingabe[Wo],"A"))</f>
        <v>1</v>
      </c>
      <c r="AS16" s="6">
        <f>IF(Gesamtzähler[[#This Row],[Spiele MPA]]="","",SUMIFS(Eingabe[S2],Eingabe[Name],Gesamtzähler[[#This Row],[Name]],Eingabe[Wo],"A"))</f>
        <v>134</v>
      </c>
      <c r="AT16" s="6">
        <f>IF(Gesamtzähler[[#This Row],[Spiele MPA]]="","",SUMIFS(Eingabe[S2P],Eingabe[Name],Gesamtzähler[[#This Row],[Name]],Eingabe[Wo],"A"))</f>
        <v>1</v>
      </c>
      <c r="AU16" s="6">
        <f>IF(Gesamtzähler[[#This Row],[Spiele MPA]]="","",SUMIFS(Eingabe[S3],Eingabe[Name],Gesamtzähler[[#This Row],[Name]],Eingabe[Wo],"A"))</f>
        <v>129</v>
      </c>
      <c r="AV16" s="6">
        <f>IF(Gesamtzähler[[#This Row],[Spiele MPA]]="","",SUMIFS(Eingabe[S3P],Eingabe[Name],Gesamtzähler[[#This Row],[Name]],Eingabe[Wo],"A"))</f>
        <v>1</v>
      </c>
      <c r="AW16" s="6">
        <f>IF(Gesamtzähler[[#This Row],[Spiele MPA]]="","",SUMIFS(Eingabe[S4],Eingabe[Name],Gesamtzähler[[#This Row],[Name]],Eingabe[Wo],"A"))</f>
        <v>111</v>
      </c>
      <c r="AX16" s="6">
        <f>IF(Gesamtzähler[[#This Row],[Spiele MPA]]="","",SUMIFS(Eingabe[S4P],Eingabe[Name],Gesamtzähler[[#This Row],[Name]],Eingabe[Wo],"A"))</f>
        <v>0</v>
      </c>
      <c r="AY16" s="6">
        <f>IF(Gesamtzähler[[#This Row],[Spiele MPA]]="","",SUMIFS(Eingabe[GEGGES],Eingabe[Name],Gesamtzähler[[#This Row],[Name]],Eingabe[Wo],"A"))</f>
        <v>481</v>
      </c>
      <c r="AZ16" s="6">
        <f>IF(Gesamtzähler[[#This Row],[Spiele A]]="","",SUMIFS(Eingabe[GES],Eingabe[Name],Gesamtzähler[[#This Row],[Name]],Eingabe[Wo],"A"))</f>
        <v>511</v>
      </c>
      <c r="BA16" s="6">
        <f>IF(Gesamtzähler[[#This Row],[Spiele MPA]]="","",SUMIFS(Eingabe[SP],Eingabe[Name],Gesamtzähler[[#This Row],[Name]],Eingabe[Wo],"A"))</f>
        <v>3</v>
      </c>
      <c r="BB16" s="6">
        <f>IF(Gesamtzähler[[#This Row],[Spiele MPA]]="","",SUMIFS(Eingabe[MP],Eingabe[Name],Gesamtzähler[[#This Row],[Name]],Eingabe[Wo],"A"))</f>
        <v>1</v>
      </c>
      <c r="BC16" s="6"/>
      <c r="BD16" s="6"/>
      <c r="BE16" s="6"/>
      <c r="BF16" s="6"/>
    </row>
    <row r="17" spans="2:58" x14ac:dyDescent="0.3">
      <c r="B17" s="7" t="str">
        <f>VLOOKUP(ROW(Gesamtzähler[[#This Row],[Name]])-3,Teamzuordnung[],2,FALSE)</f>
        <v>Heike Scholz</v>
      </c>
      <c r="C17" s="6" t="str">
        <f>IF(Gesamtzähler[[#This Row],[Name]]="","",VLOOKUP(Gesamtzähler[[#This Row],[Name]],Teamzuordnung[[Name]:[Team]],2,TRUE))</f>
        <v>F</v>
      </c>
      <c r="D17" s="21">
        <f>IF(COUNTIFS(Eingabe[Name],Gesamtzähler[[#This Row],[Name]])=0,"",COUNTIFS(Eingabe[Name],Gesamtzähler[[#This Row],[Name]]))</f>
        <v>9</v>
      </c>
      <c r="E17" s="6">
        <f>IF(Gesamtzähler[[#This Row],[Spiele]]="","",IF(Gesamtzähler[[#This Row],[Spiele]]-COUNTIFS(Eingabe[Name],Gesamtzähler[[#This Row],[Name]],Eingabe[MP],"")=0,"",Gesamtzähler[[#This Row],[Spiele]]-COUNTIFS(Eingabe[Name],Gesamtzähler[[#This Row],[Name]],Eingabe[MP],"")))</f>
        <v>7</v>
      </c>
      <c r="F17" s="6">
        <f>IF(Gesamtzähler[[#This Row],[Spiele]]="","",SUMIF(Eingabe[Name],Gesamtzähler[[#This Row],[Name]],Eingabe[Volle]))</f>
        <v>3147</v>
      </c>
      <c r="G17" s="6">
        <f>IF(Gesamtzähler[[#This Row],[Spiele]]="","",SUMIF(Eingabe[Name],Gesamtzähler[[#This Row],[Name]],Eingabe[Räumer]))</f>
        <v>1435</v>
      </c>
      <c r="H17" s="6">
        <f>IF(Gesamtzähler[[#This Row],[Spiele]]="","",SUMIF(Eingabe[Name],Gesamtzähler[[#This Row],[Name]],Eingabe[Fehler]))</f>
        <v>73</v>
      </c>
      <c r="I17" s="6">
        <f>IF(Gesamtzähler[[#This Row],[Spiele]]="","",SUMIF(Eingabe[Name],Gesamtzähler[[#This Row],[Name]],Eingabe[GES]))</f>
        <v>4582</v>
      </c>
      <c r="J17" s="6">
        <f>IF(Gesamtzähler[[#This Row],[Spiele MP]]="","",SUMIF(Eingabe[Name],Gesamtzähler[[#This Row],[Name]],Eingabe[SP]))</f>
        <v>15</v>
      </c>
      <c r="K17" s="6">
        <f>IF(Gesamtzähler[[#This Row],[Spiele MP]]="","",SUMIF(Eingabe[Name],Gesamtzähler[[#This Row],[Name]],Eingabe[MP]))</f>
        <v>5</v>
      </c>
      <c r="L17" s="6">
        <f>IF(Gesamtzähler[[#This Row],[Spiele MP]]="","",SUMIF(Eingabe[Name],Gesamtzähler[[#This Row],[Name]],Eingabe[S1]))</f>
        <v>1025</v>
      </c>
      <c r="M17" s="6">
        <f>IF(Gesamtzähler[[#This Row],[Spiele MP]]="","",SUMIF(Eingabe[Name],Gesamtzähler[[#This Row],[Name]],Eingabe[S2]))</f>
        <v>1026</v>
      </c>
      <c r="N17" s="6">
        <f>IF(Gesamtzähler[[#This Row],[Spiele MP]]="","",SUMIF(Eingabe[Name],Gesamtzähler[[#This Row],[Name]],Eingabe[S3]))</f>
        <v>1003</v>
      </c>
      <c r="O17" s="6">
        <f>IF(Gesamtzähler[[#This Row],[Spiele MP]]="","",SUMIF(Eingabe[Name],Gesamtzähler[[#This Row],[Name]],Eingabe[S4]))</f>
        <v>1038</v>
      </c>
      <c r="P17" s="6">
        <f>IF(Gesamtzähler[[#This Row],[Spiele MP]]="","",SUMIF(Eingabe[Name],Gesamtzähler[[#This Row],[Name]],Eingabe[S1P]))</f>
        <v>4</v>
      </c>
      <c r="Q17" s="6">
        <f>IF(Gesamtzähler[[#This Row],[Spiele MP]]="","",SUMIF(Eingabe[Name],Gesamtzähler[[#This Row],[Name]],Eingabe[S2P]))</f>
        <v>4</v>
      </c>
      <c r="R17" s="6">
        <f>IF(Gesamtzähler[[#This Row],[Spiele MP]]="","",SUMIF(Eingabe[Name],Gesamtzähler[[#This Row],[Name]],Eingabe[S3P]))</f>
        <v>3</v>
      </c>
      <c r="S17" s="6">
        <f>IF(Gesamtzähler[[#This Row],[Spiele MP]]="","",SUMIF(Eingabe[Name],Gesamtzähler[[#This Row],[Name]],Eingabe[S4P]))</f>
        <v>4</v>
      </c>
      <c r="T17" s="6">
        <f>IF(Gesamtzähler[[#This Row],[Spiele MP]]="","",SUMIF(Eingabe[Name],Gesamtzähler[[#This Row],[Name]],Eingabe[GEGGES]))</f>
        <v>3511</v>
      </c>
      <c r="U17" s="21">
        <f>IF(COUNTIFS(Eingabe[Name],Gesamtzähler[[#This Row],[Name]],Eingabe[Wo],"H")=0,"",COUNTIFS(Eingabe[Name],Gesamtzähler[[#This Row],[Name]],Eingabe[Wo],"H"))</f>
        <v>3</v>
      </c>
      <c r="V17" s="6">
        <f>IF(Gesamtzähler[[#This Row],[Spiele H]]="","",Gesamtzähler[[#This Row],[Spiele H]]-COUNTIFS(Eingabe[Name],Gesamtzähler[[#This Row],[Name]],Eingabe[MP],"",Eingabe[Wo],"H"))</f>
        <v>3</v>
      </c>
      <c r="W17" s="6">
        <f>IF(Gesamtzähler[[#This Row],[Spiele H]]="","",SUMIFS(Eingabe[Volle],Eingabe[Name],Gesamtzähler[[#This Row],[Name]],Eingabe[Wo],"H"))</f>
        <v>1059</v>
      </c>
      <c r="X17" s="6">
        <f>IF(Gesamtzähler[[#This Row],[Spiele H]]="","",SUMIFS(Eingabe[Räumer],Eingabe[Name],Gesamtzähler[[#This Row],[Name]],Eingabe[Wo],"H"))</f>
        <v>455</v>
      </c>
      <c r="Y17" s="6">
        <f>IF(Gesamtzähler[[#This Row],[Spiele H]]="","",SUMIFS(Eingabe[Fehler],Eingabe[Name],Gesamtzähler[[#This Row],[Name]],Eingabe[Wo],"H"))</f>
        <v>25</v>
      </c>
      <c r="Z17" s="6">
        <f>IF(Gesamtzähler[[#This Row],[Spiele MPH]]="","",SUMIFS(Eingabe[S1],Eingabe[Name],Gesamtzähler[[#This Row],[Name]],Eingabe[Wo],"H"))</f>
        <v>372</v>
      </c>
      <c r="AA17" s="6">
        <f>IF(Gesamtzähler[[#This Row],[Spiele MPH]]="","",SUMIFS(Eingabe[S1P],Eingabe[Name],Gesamtzähler[[#This Row],[Name]],Eingabe[Wo],"H"))</f>
        <v>2</v>
      </c>
      <c r="AB17" s="6">
        <f>IF(Gesamtzähler[[#This Row],[Spiele MPH]]="","",SUMIFS(Eingabe[S2],Eingabe[Name],Gesamtzähler[[#This Row],[Name]],Eingabe[Wo],"H"))</f>
        <v>402</v>
      </c>
      <c r="AC17" s="6">
        <f>IF(Gesamtzähler[[#This Row],[Spiele MPH]]="","",SUMIFS(Eingabe[S2P],Eingabe[Name],Gesamtzähler[[#This Row],[Name]],Eingabe[Wo],"H"))</f>
        <v>3</v>
      </c>
      <c r="AD17" s="6">
        <f>IF(Gesamtzähler[[#This Row],[Spiele MPH]]="","",SUMIFS(Eingabe[S3],Eingabe[Name],Gesamtzähler[[#This Row],[Name]],Eingabe[Wo],"H"))</f>
        <v>388</v>
      </c>
      <c r="AE17" s="6">
        <f>IF(Gesamtzähler[[#This Row],[Spiele MPH]]="","",SUMIFS(Eingabe[S3P],Eingabe[Name],Gesamtzähler[[#This Row],[Name]],Eingabe[Wo],"H"))</f>
        <v>2</v>
      </c>
      <c r="AF17" s="203">
        <f>IF(Gesamtzähler[[#This Row],[Spiele MPH]]="","",SUMIFS(Eingabe[S4],Eingabe[Name],Gesamtzähler[[#This Row],[Name]],Eingabe[Wo],"H"))</f>
        <v>352</v>
      </c>
      <c r="AG17" s="6">
        <f>IF(Gesamtzähler[[#This Row],[Spiele MPH]]="","",SUMIFS(Eingabe[S4P],Eingabe[Name],Gesamtzähler[[#This Row],[Name]],Eingabe[Wo],"H"))</f>
        <v>1</v>
      </c>
      <c r="AH17" s="6">
        <f>IF(Gesamtzähler[[#This Row],[Spiele MPH]]="","",SUMIFS(Eingabe[GEGGES],Eingabe[Name],Gesamtzähler[[#This Row],[Name]],Eingabe[Wo],"H"))</f>
        <v>1405</v>
      </c>
      <c r="AI17" s="6">
        <f>IF(Gesamtzähler[[#This Row],[Spiele H]]="","",SUMIFS(Eingabe[GES],Eingabe[Name],Gesamtzähler[[#This Row],[Name]],Eingabe[Wo],"H"))</f>
        <v>1514</v>
      </c>
      <c r="AJ17" s="6">
        <f>IF(Gesamtzähler[[#This Row],[Spiele MPH]]="","",SUMIFS(Eingabe[SP],Eingabe[Name],Gesamtzähler[[#This Row],[Name]],Eingabe[Wo],"H"))</f>
        <v>8</v>
      </c>
      <c r="AK17" s="6">
        <f>IF(Gesamtzähler[[#This Row],[Spiele MPH]]="","",SUMIFS(Eingabe[MP],Eingabe[Name],Gesamtzähler[[#This Row],[Name]],Eingabe[Wo],"H"))</f>
        <v>2</v>
      </c>
      <c r="AL17" s="6">
        <f>IF(COUNTIFS(Eingabe[Name],Gesamtzähler[[#This Row],[Name]],Eingabe[Wo],"A")=0,"",COUNTIFS(Eingabe[Name],Gesamtzähler[[#This Row],[Name]],Eingabe[Wo],"A"))</f>
        <v>6</v>
      </c>
      <c r="AM17" s="6">
        <f>IF(Gesamtzähler[[#This Row],[Spiele A]]="","",Gesamtzähler[[#This Row],[Spiele A]]-COUNTIFS(Eingabe[Name],Gesamtzähler[[#This Row],[Name]],Eingabe[MP],"",Eingabe[Wo],"A"))</f>
        <v>4</v>
      </c>
      <c r="AN17" s="6">
        <f>IF(Gesamtzähler[[#This Row],[Spiele A]]="","",SUMIFS(Eingabe[Volle],Eingabe[Name],Gesamtzähler[[#This Row],[Name]],Eingabe[Wo],"A"))</f>
        <v>2088</v>
      </c>
      <c r="AO17" s="6">
        <f>IF(Gesamtzähler[[#This Row],[Spiele A]]="","",SUMIFS(Eingabe[Räumer],Eingabe[Name],Gesamtzähler[[#This Row],[Name]],Eingabe[Wo],"A"))</f>
        <v>980</v>
      </c>
      <c r="AP17" s="6">
        <f>IF(Gesamtzähler[[#This Row],[Spiele A]]="","",SUMIFS(Eingabe[Fehler],Eingabe[Name],Gesamtzähler[[#This Row],[Name]],Eingabe[Wo],"A"))</f>
        <v>48</v>
      </c>
      <c r="AQ17" s="6">
        <f>IF(Gesamtzähler[[#This Row],[Spiele MPA]]="","",SUMIFS(Eingabe[S1],Eingabe[Name],Gesamtzähler[[#This Row],[Name]],Eingabe[Wo],"A"))</f>
        <v>653</v>
      </c>
      <c r="AR17" s="6">
        <f>IF(Gesamtzähler[[#This Row],[Spiele MPA]]="","",SUMIFS(Eingabe[S1P],Eingabe[Name],Gesamtzähler[[#This Row],[Name]],Eingabe[Wo],"A"))</f>
        <v>2</v>
      </c>
      <c r="AS17" s="6">
        <f>IF(Gesamtzähler[[#This Row],[Spiele MPA]]="","",SUMIFS(Eingabe[S2],Eingabe[Name],Gesamtzähler[[#This Row],[Name]],Eingabe[Wo],"A"))</f>
        <v>624</v>
      </c>
      <c r="AT17" s="6">
        <f>IF(Gesamtzähler[[#This Row],[Spiele MPA]]="","",SUMIFS(Eingabe[S2P],Eingabe[Name],Gesamtzähler[[#This Row],[Name]],Eingabe[Wo],"A"))</f>
        <v>1</v>
      </c>
      <c r="AU17" s="6">
        <f>IF(Gesamtzähler[[#This Row],[Spiele MPA]]="","",SUMIFS(Eingabe[S3],Eingabe[Name],Gesamtzähler[[#This Row],[Name]],Eingabe[Wo],"A"))</f>
        <v>615</v>
      </c>
      <c r="AV17" s="6">
        <f>IF(Gesamtzähler[[#This Row],[Spiele MPA]]="","",SUMIFS(Eingabe[S3P],Eingabe[Name],Gesamtzähler[[#This Row],[Name]],Eingabe[Wo],"A"))</f>
        <v>1</v>
      </c>
      <c r="AW17" s="6">
        <f>IF(Gesamtzähler[[#This Row],[Spiele MPA]]="","",SUMIFS(Eingabe[S4],Eingabe[Name],Gesamtzähler[[#This Row],[Name]],Eingabe[Wo],"A"))</f>
        <v>686</v>
      </c>
      <c r="AX17" s="6">
        <f>IF(Gesamtzähler[[#This Row],[Spiele MPA]]="","",SUMIFS(Eingabe[S4P],Eingabe[Name],Gesamtzähler[[#This Row],[Name]],Eingabe[Wo],"A"))</f>
        <v>3</v>
      </c>
      <c r="AY17" s="6">
        <f>IF(Gesamtzähler[[#This Row],[Spiele MPA]]="","",SUMIFS(Eingabe[GEGGES],Eingabe[Name],Gesamtzähler[[#This Row],[Name]],Eingabe[Wo],"A"))</f>
        <v>2106</v>
      </c>
      <c r="AZ17" s="6">
        <f>IF(Gesamtzähler[[#This Row],[Spiele A]]="","",SUMIFS(Eingabe[GES],Eingabe[Name],Gesamtzähler[[#This Row],[Name]],Eingabe[Wo],"A"))</f>
        <v>3068</v>
      </c>
      <c r="BA17" s="6">
        <f>IF(Gesamtzähler[[#This Row],[Spiele MPA]]="","",SUMIFS(Eingabe[SP],Eingabe[Name],Gesamtzähler[[#This Row],[Name]],Eingabe[Wo],"A"))</f>
        <v>7</v>
      </c>
      <c r="BB17" s="6">
        <f>IF(Gesamtzähler[[#This Row],[Spiele MPA]]="","",SUMIFS(Eingabe[MP],Eingabe[Name],Gesamtzähler[[#This Row],[Name]],Eingabe[Wo],"A"))</f>
        <v>3</v>
      </c>
      <c r="BC17" s="6"/>
      <c r="BD17" s="6"/>
      <c r="BE17" s="6"/>
      <c r="BF17" s="6"/>
    </row>
    <row r="18" spans="2:58" x14ac:dyDescent="0.3">
      <c r="B18" s="7" t="str">
        <f>VLOOKUP(ROW(Gesamtzähler[[#This Row],[Name]])-3,Teamzuordnung[],2,FALSE)</f>
        <v>Heiko Fuhrmann</v>
      </c>
      <c r="C18" s="6" t="str">
        <f>IF(Gesamtzähler[[#This Row],[Name]]="","",VLOOKUP(Gesamtzähler[[#This Row],[Name]],Teamzuordnung[[Name]:[Team]],2,TRUE))</f>
        <v>E</v>
      </c>
      <c r="D18" s="21">
        <f>IF(COUNTIFS(Eingabe[Name],Gesamtzähler[[#This Row],[Name]])=0,"",COUNTIFS(Eingabe[Name],Gesamtzähler[[#This Row],[Name]]))</f>
        <v>14</v>
      </c>
      <c r="E18" s="6">
        <f>IF(Gesamtzähler[[#This Row],[Spiele]]="","",IF(Gesamtzähler[[#This Row],[Spiele]]-COUNTIFS(Eingabe[Name],Gesamtzähler[[#This Row],[Name]],Eingabe[MP],"")=0,"",Gesamtzähler[[#This Row],[Spiele]]-COUNTIFS(Eingabe[Name],Gesamtzähler[[#This Row],[Name]],Eingabe[MP],"")))</f>
        <v>14</v>
      </c>
      <c r="F18" s="6">
        <f>IF(Gesamtzähler[[#This Row],[Spiele]]="","",SUMIF(Eingabe[Name],Gesamtzähler[[#This Row],[Name]],Eingabe[Volle]))</f>
        <v>5068</v>
      </c>
      <c r="G18" s="6">
        <f>IF(Gesamtzähler[[#This Row],[Spiele]]="","",SUMIF(Eingabe[Name],Gesamtzähler[[#This Row],[Name]],Eingabe[Räumer]))</f>
        <v>2374</v>
      </c>
      <c r="H18" s="6">
        <f>IF(Gesamtzähler[[#This Row],[Spiele]]="","",SUMIF(Eingabe[Name],Gesamtzähler[[#This Row],[Name]],Eingabe[Fehler]))</f>
        <v>73</v>
      </c>
      <c r="I18" s="6">
        <f>IF(Gesamtzähler[[#This Row],[Spiele]]="","",SUMIF(Eingabe[Name],Gesamtzähler[[#This Row],[Name]],Eingabe[GES]))</f>
        <v>7442</v>
      </c>
      <c r="J18" s="6">
        <f>IF(Gesamtzähler[[#This Row],[Spiele MP]]="","",SUMIF(Eingabe[Name],Gesamtzähler[[#This Row],[Name]],Eingabe[SP]))</f>
        <v>27</v>
      </c>
      <c r="K18" s="6">
        <f>IF(Gesamtzähler[[#This Row],[Spiele MP]]="","",SUMIF(Eingabe[Name],Gesamtzähler[[#This Row],[Name]],Eingabe[MP]))</f>
        <v>5</v>
      </c>
      <c r="L18" s="6">
        <f>IF(Gesamtzähler[[#This Row],[Spiele MP]]="","",SUMIF(Eingabe[Name],Gesamtzähler[[#This Row],[Name]],Eingabe[S1]))</f>
        <v>1939</v>
      </c>
      <c r="M18" s="6">
        <f>IF(Gesamtzähler[[#This Row],[Spiele MP]]="","",SUMIF(Eingabe[Name],Gesamtzähler[[#This Row],[Name]],Eingabe[S2]))</f>
        <v>1834</v>
      </c>
      <c r="N18" s="6">
        <f>IF(Gesamtzähler[[#This Row],[Spiele MP]]="","",SUMIF(Eingabe[Name],Gesamtzähler[[#This Row],[Name]],Eingabe[S3]))</f>
        <v>1867</v>
      </c>
      <c r="O18" s="6">
        <f>IF(Gesamtzähler[[#This Row],[Spiele MP]]="","",SUMIF(Eingabe[Name],Gesamtzähler[[#This Row],[Name]],Eingabe[S4]))</f>
        <v>1802</v>
      </c>
      <c r="P18" s="6">
        <f>IF(Gesamtzähler[[#This Row],[Spiele MP]]="","",SUMIF(Eingabe[Name],Gesamtzähler[[#This Row],[Name]],Eingabe[S1P]))</f>
        <v>11</v>
      </c>
      <c r="Q18" s="6">
        <f>IF(Gesamtzähler[[#This Row],[Spiele MP]]="","",SUMIF(Eingabe[Name],Gesamtzähler[[#This Row],[Name]],Eingabe[S2P]))</f>
        <v>5</v>
      </c>
      <c r="R18" s="6">
        <f>IF(Gesamtzähler[[#This Row],[Spiele MP]]="","",SUMIF(Eingabe[Name],Gesamtzähler[[#This Row],[Name]],Eingabe[S3P]))</f>
        <v>8</v>
      </c>
      <c r="S18" s="6">
        <f>IF(Gesamtzähler[[#This Row],[Spiele MP]]="","",SUMIF(Eingabe[Name],Gesamtzähler[[#This Row],[Name]],Eingabe[S4P]))</f>
        <v>3</v>
      </c>
      <c r="T18" s="6">
        <f>IF(Gesamtzähler[[#This Row],[Spiele MP]]="","",SUMIF(Eingabe[Name],Gesamtzähler[[#This Row],[Name]],Eingabe[GEGGES]))</f>
        <v>7109</v>
      </c>
      <c r="U18" s="21">
        <f>IF(COUNTIFS(Eingabe[Name],Gesamtzähler[[#This Row],[Name]],Eingabe[Wo],"H")=0,"",COUNTIFS(Eingabe[Name],Gesamtzähler[[#This Row],[Name]],Eingabe[Wo],"H"))</f>
        <v>8</v>
      </c>
      <c r="V18" s="6">
        <f>IF(Gesamtzähler[[#This Row],[Spiele H]]="","",Gesamtzähler[[#This Row],[Spiele H]]-COUNTIFS(Eingabe[Name],Gesamtzähler[[#This Row],[Name]],Eingabe[MP],"",Eingabe[Wo],"H"))</f>
        <v>8</v>
      </c>
      <c r="W18" s="6">
        <f>IF(Gesamtzähler[[#This Row],[Spiele H]]="","",SUMIFS(Eingabe[Volle],Eingabe[Name],Gesamtzähler[[#This Row],[Name]],Eingabe[Wo],"H"))</f>
        <v>2858</v>
      </c>
      <c r="X18" s="6">
        <f>IF(Gesamtzähler[[#This Row],[Spiele H]]="","",SUMIFS(Eingabe[Räumer],Eingabe[Name],Gesamtzähler[[#This Row],[Name]],Eingabe[Wo],"H"))</f>
        <v>1300</v>
      </c>
      <c r="Y18" s="6">
        <f>IF(Gesamtzähler[[#This Row],[Spiele H]]="","",SUMIFS(Eingabe[Fehler],Eingabe[Name],Gesamtzähler[[#This Row],[Name]],Eingabe[Wo],"H"))</f>
        <v>35</v>
      </c>
      <c r="Z18" s="6">
        <f>IF(Gesamtzähler[[#This Row],[Spiele MPH]]="","",SUMIFS(Eingabe[S1],Eingabe[Name],Gesamtzähler[[#This Row],[Name]],Eingabe[Wo],"H"))</f>
        <v>1055</v>
      </c>
      <c r="AA18" s="6">
        <f>IF(Gesamtzähler[[#This Row],[Spiele MPH]]="","",SUMIFS(Eingabe[S1P],Eingabe[Name],Gesamtzähler[[#This Row],[Name]],Eingabe[Wo],"H"))</f>
        <v>6</v>
      </c>
      <c r="AB18" s="6">
        <f>IF(Gesamtzähler[[#This Row],[Spiele MPH]]="","",SUMIFS(Eingabe[S2],Eingabe[Name],Gesamtzähler[[#This Row],[Name]],Eingabe[Wo],"H"))</f>
        <v>1053</v>
      </c>
      <c r="AC18" s="6">
        <f>IF(Gesamtzähler[[#This Row],[Spiele MPH]]="","",SUMIFS(Eingabe[S2P],Eingabe[Name],Gesamtzähler[[#This Row],[Name]],Eingabe[Wo],"H"))</f>
        <v>2</v>
      </c>
      <c r="AD18" s="6">
        <f>IF(Gesamtzähler[[#This Row],[Spiele MPH]]="","",SUMIFS(Eingabe[S3],Eingabe[Name],Gesamtzähler[[#This Row],[Name]],Eingabe[Wo],"H"))</f>
        <v>1045</v>
      </c>
      <c r="AE18" s="6">
        <f>IF(Gesamtzähler[[#This Row],[Spiele MPH]]="","",SUMIFS(Eingabe[S3P],Eingabe[Name],Gesamtzähler[[#This Row],[Name]],Eingabe[Wo],"H"))</f>
        <v>6</v>
      </c>
      <c r="AF18" s="203">
        <f>IF(Gesamtzähler[[#This Row],[Spiele MPH]]="","",SUMIFS(Eingabe[S4],Eingabe[Name],Gesamtzähler[[#This Row],[Name]],Eingabe[Wo],"H"))</f>
        <v>1005</v>
      </c>
      <c r="AG18" s="6">
        <f>IF(Gesamtzähler[[#This Row],[Spiele MPH]]="","",SUMIFS(Eingabe[S4P],Eingabe[Name],Gesamtzähler[[#This Row],[Name]],Eingabe[Wo],"H"))</f>
        <v>0</v>
      </c>
      <c r="AH18" s="6">
        <f>IF(Gesamtzähler[[#This Row],[Spiele MPH]]="","",SUMIFS(Eingabe[GEGGES],Eingabe[Name],Gesamtzähler[[#This Row],[Name]],Eingabe[Wo],"H"))</f>
        <v>3800</v>
      </c>
      <c r="AI18" s="6">
        <f>IF(Gesamtzähler[[#This Row],[Spiele H]]="","",SUMIFS(Eingabe[GES],Eingabe[Name],Gesamtzähler[[#This Row],[Name]],Eingabe[Wo],"H"))</f>
        <v>4158</v>
      </c>
      <c r="AJ18" s="6">
        <f>IF(Gesamtzähler[[#This Row],[Spiele MPH]]="","",SUMIFS(Eingabe[SP],Eingabe[Name],Gesamtzähler[[#This Row],[Name]],Eingabe[Wo],"H"))</f>
        <v>14</v>
      </c>
      <c r="AK18" s="6">
        <f>IF(Gesamtzähler[[#This Row],[Spiele MPH]]="","",SUMIFS(Eingabe[MP],Eingabe[Name],Gesamtzähler[[#This Row],[Name]],Eingabe[Wo],"H"))</f>
        <v>3</v>
      </c>
      <c r="AL18" s="6">
        <f>IF(COUNTIFS(Eingabe[Name],Gesamtzähler[[#This Row],[Name]],Eingabe[Wo],"A")=0,"",COUNTIFS(Eingabe[Name],Gesamtzähler[[#This Row],[Name]],Eingabe[Wo],"A"))</f>
        <v>6</v>
      </c>
      <c r="AM18" s="6">
        <f>IF(Gesamtzähler[[#This Row],[Spiele A]]="","",Gesamtzähler[[#This Row],[Spiele A]]-COUNTIFS(Eingabe[Name],Gesamtzähler[[#This Row],[Name]],Eingabe[MP],"",Eingabe[Wo],"A"))</f>
        <v>6</v>
      </c>
      <c r="AN18" s="6">
        <f>IF(Gesamtzähler[[#This Row],[Spiele A]]="","",SUMIFS(Eingabe[Volle],Eingabe[Name],Gesamtzähler[[#This Row],[Name]],Eingabe[Wo],"A"))</f>
        <v>2210</v>
      </c>
      <c r="AO18" s="6">
        <f>IF(Gesamtzähler[[#This Row],[Spiele A]]="","",SUMIFS(Eingabe[Räumer],Eingabe[Name],Gesamtzähler[[#This Row],[Name]],Eingabe[Wo],"A"))</f>
        <v>1074</v>
      </c>
      <c r="AP18" s="6">
        <f>IF(Gesamtzähler[[#This Row],[Spiele A]]="","",SUMIFS(Eingabe[Fehler],Eingabe[Name],Gesamtzähler[[#This Row],[Name]],Eingabe[Wo],"A"))</f>
        <v>38</v>
      </c>
      <c r="AQ18" s="6">
        <f>IF(Gesamtzähler[[#This Row],[Spiele MPA]]="","",SUMIFS(Eingabe[S1],Eingabe[Name],Gesamtzähler[[#This Row],[Name]],Eingabe[Wo],"A"))</f>
        <v>884</v>
      </c>
      <c r="AR18" s="6">
        <f>IF(Gesamtzähler[[#This Row],[Spiele MPA]]="","",SUMIFS(Eingabe[S1P],Eingabe[Name],Gesamtzähler[[#This Row],[Name]],Eingabe[Wo],"A"))</f>
        <v>5</v>
      </c>
      <c r="AS18" s="6">
        <f>IF(Gesamtzähler[[#This Row],[Spiele MPA]]="","",SUMIFS(Eingabe[S2],Eingabe[Name],Gesamtzähler[[#This Row],[Name]],Eingabe[Wo],"A"))</f>
        <v>781</v>
      </c>
      <c r="AT18" s="6">
        <f>IF(Gesamtzähler[[#This Row],[Spiele MPA]]="","",SUMIFS(Eingabe[S2P],Eingabe[Name],Gesamtzähler[[#This Row],[Name]],Eingabe[Wo],"A"))</f>
        <v>3</v>
      </c>
      <c r="AU18" s="6">
        <f>IF(Gesamtzähler[[#This Row],[Spiele MPA]]="","",SUMIFS(Eingabe[S3],Eingabe[Name],Gesamtzähler[[#This Row],[Name]],Eingabe[Wo],"A"))</f>
        <v>822</v>
      </c>
      <c r="AV18" s="6">
        <f>IF(Gesamtzähler[[#This Row],[Spiele MPA]]="","",SUMIFS(Eingabe[S3P],Eingabe[Name],Gesamtzähler[[#This Row],[Name]],Eingabe[Wo],"A"))</f>
        <v>2</v>
      </c>
      <c r="AW18" s="6">
        <f>IF(Gesamtzähler[[#This Row],[Spiele MPA]]="","",SUMIFS(Eingabe[S4],Eingabe[Name],Gesamtzähler[[#This Row],[Name]],Eingabe[Wo],"A"))</f>
        <v>797</v>
      </c>
      <c r="AX18" s="6">
        <f>IF(Gesamtzähler[[#This Row],[Spiele MPA]]="","",SUMIFS(Eingabe[S4P],Eingabe[Name],Gesamtzähler[[#This Row],[Name]],Eingabe[Wo],"A"))</f>
        <v>3</v>
      </c>
      <c r="AY18" s="6">
        <f>IF(Gesamtzähler[[#This Row],[Spiele MPA]]="","",SUMIFS(Eingabe[GEGGES],Eingabe[Name],Gesamtzähler[[#This Row],[Name]],Eingabe[Wo],"A"))</f>
        <v>3309</v>
      </c>
      <c r="AZ18" s="6">
        <f>IF(Gesamtzähler[[#This Row],[Spiele A]]="","",SUMIFS(Eingabe[GES],Eingabe[Name],Gesamtzähler[[#This Row],[Name]],Eingabe[Wo],"A"))</f>
        <v>3284</v>
      </c>
      <c r="BA18" s="6">
        <f>IF(Gesamtzähler[[#This Row],[Spiele MPA]]="","",SUMIFS(Eingabe[SP],Eingabe[Name],Gesamtzähler[[#This Row],[Name]],Eingabe[Wo],"A"))</f>
        <v>13</v>
      </c>
      <c r="BB18" s="6">
        <f>IF(Gesamtzähler[[#This Row],[Spiele MPA]]="","",SUMIFS(Eingabe[MP],Eingabe[Name],Gesamtzähler[[#This Row],[Name]],Eingabe[Wo],"A"))</f>
        <v>2</v>
      </c>
      <c r="BC18" s="6"/>
      <c r="BD18" s="6"/>
      <c r="BE18" s="6"/>
      <c r="BF18" s="6"/>
    </row>
    <row r="19" spans="2:58" x14ac:dyDescent="0.3">
      <c r="B19" s="7" t="str">
        <f>VLOOKUP(ROW(Gesamtzähler[[#This Row],[Name]])-3,Teamzuordnung[],2,FALSE)</f>
        <v>Heiko Wüstling</v>
      </c>
      <c r="C19" s="6" t="str">
        <f>IF(Gesamtzähler[[#This Row],[Name]]="","",VLOOKUP(Gesamtzähler[[#This Row],[Name]],Teamzuordnung[[Name]:[Team]],2,TRUE))</f>
        <v>D</v>
      </c>
      <c r="D19" s="21" t="str">
        <f>IF(COUNTIFS(Eingabe[Name],Gesamtzähler[[#This Row],[Name]])=0,"",COUNTIFS(Eingabe[Name],Gesamtzähler[[#This Row],[Name]]))</f>
        <v/>
      </c>
      <c r="E19" s="6" t="str">
        <f>IF(Gesamtzähler[[#This Row],[Spiele]]="","",IF(Gesamtzähler[[#This Row],[Spiele]]-COUNTIFS(Eingabe[Name],Gesamtzähler[[#This Row],[Name]],Eingabe[MP],"")=0,"",Gesamtzähler[[#This Row],[Spiele]]-COUNTIFS(Eingabe[Name],Gesamtzähler[[#This Row],[Name]],Eingabe[MP],"")))</f>
        <v/>
      </c>
      <c r="F19" s="6" t="str">
        <f>IF(Gesamtzähler[[#This Row],[Spiele]]="","",SUMIF(Eingabe[Name],Gesamtzähler[[#This Row],[Name]],Eingabe[Volle]))</f>
        <v/>
      </c>
      <c r="G19" s="6" t="str">
        <f>IF(Gesamtzähler[[#This Row],[Spiele]]="","",SUMIF(Eingabe[Name],Gesamtzähler[[#This Row],[Name]],Eingabe[Räumer]))</f>
        <v/>
      </c>
      <c r="H19" s="6" t="str">
        <f>IF(Gesamtzähler[[#This Row],[Spiele]]="","",SUMIF(Eingabe[Name],Gesamtzähler[[#This Row],[Name]],Eingabe[Fehler]))</f>
        <v/>
      </c>
      <c r="I19" s="6" t="str">
        <f>IF(Gesamtzähler[[#This Row],[Spiele]]="","",SUMIF(Eingabe[Name],Gesamtzähler[[#This Row],[Name]],Eingabe[GES]))</f>
        <v/>
      </c>
      <c r="J19" s="6" t="str">
        <f>IF(Gesamtzähler[[#This Row],[Spiele MP]]="","",SUMIF(Eingabe[Name],Gesamtzähler[[#This Row],[Name]],Eingabe[SP]))</f>
        <v/>
      </c>
      <c r="K19" s="6" t="str">
        <f>IF(Gesamtzähler[[#This Row],[Spiele MP]]="","",SUMIF(Eingabe[Name],Gesamtzähler[[#This Row],[Name]],Eingabe[MP]))</f>
        <v/>
      </c>
      <c r="L19" s="6" t="str">
        <f>IF(Gesamtzähler[[#This Row],[Spiele MP]]="","",SUMIF(Eingabe[Name],Gesamtzähler[[#This Row],[Name]],Eingabe[S1]))</f>
        <v/>
      </c>
      <c r="M19" s="6" t="str">
        <f>IF(Gesamtzähler[[#This Row],[Spiele MP]]="","",SUMIF(Eingabe[Name],Gesamtzähler[[#This Row],[Name]],Eingabe[S2]))</f>
        <v/>
      </c>
      <c r="N19" s="6" t="str">
        <f>IF(Gesamtzähler[[#This Row],[Spiele MP]]="","",SUMIF(Eingabe[Name],Gesamtzähler[[#This Row],[Name]],Eingabe[S3]))</f>
        <v/>
      </c>
      <c r="O19" s="6" t="str">
        <f>IF(Gesamtzähler[[#This Row],[Spiele MP]]="","",SUMIF(Eingabe[Name],Gesamtzähler[[#This Row],[Name]],Eingabe[S4]))</f>
        <v/>
      </c>
      <c r="P19" s="6" t="str">
        <f>IF(Gesamtzähler[[#This Row],[Spiele MP]]="","",SUMIF(Eingabe[Name],Gesamtzähler[[#This Row],[Name]],Eingabe[S1P]))</f>
        <v/>
      </c>
      <c r="Q19" s="6" t="str">
        <f>IF(Gesamtzähler[[#This Row],[Spiele MP]]="","",SUMIF(Eingabe[Name],Gesamtzähler[[#This Row],[Name]],Eingabe[S2P]))</f>
        <v/>
      </c>
      <c r="R19" s="6" t="str">
        <f>IF(Gesamtzähler[[#This Row],[Spiele MP]]="","",SUMIF(Eingabe[Name],Gesamtzähler[[#This Row],[Name]],Eingabe[S3P]))</f>
        <v/>
      </c>
      <c r="S19" s="6" t="str">
        <f>IF(Gesamtzähler[[#This Row],[Spiele MP]]="","",SUMIF(Eingabe[Name],Gesamtzähler[[#This Row],[Name]],Eingabe[S4P]))</f>
        <v/>
      </c>
      <c r="T19" s="6" t="str">
        <f>IF(Gesamtzähler[[#This Row],[Spiele MP]]="","",SUMIF(Eingabe[Name],Gesamtzähler[[#This Row],[Name]],Eingabe[GEGGES]))</f>
        <v/>
      </c>
      <c r="U19" s="21" t="str">
        <f>IF(COUNTIFS(Eingabe[Name],Gesamtzähler[[#This Row],[Name]],Eingabe[Wo],"H")=0,"",COUNTIFS(Eingabe[Name],Gesamtzähler[[#This Row],[Name]],Eingabe[Wo],"H"))</f>
        <v/>
      </c>
      <c r="V19" s="6" t="str">
        <f>IF(Gesamtzähler[[#This Row],[Spiele H]]="","",Gesamtzähler[[#This Row],[Spiele H]]-COUNTIFS(Eingabe[Name],Gesamtzähler[[#This Row],[Name]],Eingabe[MP],"",Eingabe[Wo],"H"))</f>
        <v/>
      </c>
      <c r="W19" s="6" t="str">
        <f>IF(Gesamtzähler[[#This Row],[Spiele H]]="","",SUMIFS(Eingabe[Volle],Eingabe[Name],Gesamtzähler[[#This Row],[Name]],Eingabe[Wo],"H"))</f>
        <v/>
      </c>
      <c r="X19" s="6" t="str">
        <f>IF(Gesamtzähler[[#This Row],[Spiele H]]="","",SUMIFS(Eingabe[Räumer],Eingabe[Name],Gesamtzähler[[#This Row],[Name]],Eingabe[Wo],"H"))</f>
        <v/>
      </c>
      <c r="Y19" s="6" t="str">
        <f>IF(Gesamtzähler[[#This Row],[Spiele H]]="","",SUMIFS(Eingabe[Fehler],Eingabe[Name],Gesamtzähler[[#This Row],[Name]],Eingabe[Wo],"H"))</f>
        <v/>
      </c>
      <c r="Z19" s="6" t="str">
        <f>IF(Gesamtzähler[[#This Row],[Spiele MPH]]="","",SUMIFS(Eingabe[S1],Eingabe[Name],Gesamtzähler[[#This Row],[Name]],Eingabe[Wo],"H"))</f>
        <v/>
      </c>
      <c r="AA19" s="6" t="str">
        <f>IF(Gesamtzähler[[#This Row],[Spiele MPH]]="","",SUMIFS(Eingabe[S1P],Eingabe[Name],Gesamtzähler[[#This Row],[Name]],Eingabe[Wo],"H"))</f>
        <v/>
      </c>
      <c r="AB19" s="6" t="str">
        <f>IF(Gesamtzähler[[#This Row],[Spiele MPH]]="","",SUMIFS(Eingabe[S2],Eingabe[Name],Gesamtzähler[[#This Row],[Name]],Eingabe[Wo],"H"))</f>
        <v/>
      </c>
      <c r="AC19" s="6" t="str">
        <f>IF(Gesamtzähler[[#This Row],[Spiele MPH]]="","",SUMIFS(Eingabe[S2P],Eingabe[Name],Gesamtzähler[[#This Row],[Name]],Eingabe[Wo],"H"))</f>
        <v/>
      </c>
      <c r="AD19" s="6" t="str">
        <f>IF(Gesamtzähler[[#This Row],[Spiele MPH]]="","",SUMIFS(Eingabe[S3],Eingabe[Name],Gesamtzähler[[#This Row],[Name]],Eingabe[Wo],"H"))</f>
        <v/>
      </c>
      <c r="AE19" s="6" t="str">
        <f>IF(Gesamtzähler[[#This Row],[Spiele MPH]]="","",SUMIFS(Eingabe[S3P],Eingabe[Name],Gesamtzähler[[#This Row],[Name]],Eingabe[Wo],"H"))</f>
        <v/>
      </c>
      <c r="AF19" s="203" t="str">
        <f>IF(Gesamtzähler[[#This Row],[Spiele MPH]]="","",SUMIFS(Eingabe[S4],Eingabe[Name],Gesamtzähler[[#This Row],[Name]],Eingabe[Wo],"H"))</f>
        <v/>
      </c>
      <c r="AG19" s="6" t="str">
        <f>IF(Gesamtzähler[[#This Row],[Spiele MPH]]="","",SUMIFS(Eingabe[S4P],Eingabe[Name],Gesamtzähler[[#This Row],[Name]],Eingabe[Wo],"H"))</f>
        <v/>
      </c>
      <c r="AH19" s="6" t="str">
        <f>IF(Gesamtzähler[[#This Row],[Spiele MPH]]="","",SUMIFS(Eingabe[GEGGES],Eingabe[Name],Gesamtzähler[[#This Row],[Name]],Eingabe[Wo],"H"))</f>
        <v/>
      </c>
      <c r="AI19" s="6" t="str">
        <f>IF(Gesamtzähler[[#This Row],[Spiele H]]="","",SUMIFS(Eingabe[GES],Eingabe[Name],Gesamtzähler[[#This Row],[Name]],Eingabe[Wo],"H"))</f>
        <v/>
      </c>
      <c r="AJ19" s="6" t="str">
        <f>IF(Gesamtzähler[[#This Row],[Spiele MPH]]="","",SUMIFS(Eingabe[SP],Eingabe[Name],Gesamtzähler[[#This Row],[Name]],Eingabe[Wo],"H"))</f>
        <v/>
      </c>
      <c r="AK19" s="6" t="str">
        <f>IF(Gesamtzähler[[#This Row],[Spiele MPH]]="","",SUMIFS(Eingabe[MP],Eingabe[Name],Gesamtzähler[[#This Row],[Name]],Eingabe[Wo],"H"))</f>
        <v/>
      </c>
      <c r="AL19" s="6" t="str">
        <f>IF(COUNTIFS(Eingabe[Name],Gesamtzähler[[#This Row],[Name]],Eingabe[Wo],"A")=0,"",COUNTIFS(Eingabe[Name],Gesamtzähler[[#This Row],[Name]],Eingabe[Wo],"A"))</f>
        <v/>
      </c>
      <c r="AM19" s="6" t="str">
        <f>IF(Gesamtzähler[[#This Row],[Spiele A]]="","",Gesamtzähler[[#This Row],[Spiele A]]-COUNTIFS(Eingabe[Name],Gesamtzähler[[#This Row],[Name]],Eingabe[MP],"",Eingabe[Wo],"A"))</f>
        <v/>
      </c>
      <c r="AN19" s="6" t="str">
        <f>IF(Gesamtzähler[[#This Row],[Spiele A]]="","",SUMIFS(Eingabe[Volle],Eingabe[Name],Gesamtzähler[[#This Row],[Name]],Eingabe[Wo],"A"))</f>
        <v/>
      </c>
      <c r="AO19" s="6" t="str">
        <f>IF(Gesamtzähler[[#This Row],[Spiele A]]="","",SUMIFS(Eingabe[Räumer],Eingabe[Name],Gesamtzähler[[#This Row],[Name]],Eingabe[Wo],"A"))</f>
        <v/>
      </c>
      <c r="AP19" s="6" t="str">
        <f>IF(Gesamtzähler[[#This Row],[Spiele A]]="","",SUMIFS(Eingabe[Fehler],Eingabe[Name],Gesamtzähler[[#This Row],[Name]],Eingabe[Wo],"A"))</f>
        <v/>
      </c>
      <c r="AQ19" s="6" t="str">
        <f>IF(Gesamtzähler[[#This Row],[Spiele MPA]]="","",SUMIFS(Eingabe[S1],Eingabe[Name],Gesamtzähler[[#This Row],[Name]],Eingabe[Wo],"A"))</f>
        <v/>
      </c>
      <c r="AR19" s="6" t="str">
        <f>IF(Gesamtzähler[[#This Row],[Spiele MPA]]="","",SUMIFS(Eingabe[S1P],Eingabe[Name],Gesamtzähler[[#This Row],[Name]],Eingabe[Wo],"A"))</f>
        <v/>
      </c>
      <c r="AS19" s="6" t="str">
        <f>IF(Gesamtzähler[[#This Row],[Spiele MPA]]="","",SUMIFS(Eingabe[S2],Eingabe[Name],Gesamtzähler[[#This Row],[Name]],Eingabe[Wo],"A"))</f>
        <v/>
      </c>
      <c r="AT19" s="6" t="str">
        <f>IF(Gesamtzähler[[#This Row],[Spiele MPA]]="","",SUMIFS(Eingabe[S2P],Eingabe[Name],Gesamtzähler[[#This Row],[Name]],Eingabe[Wo],"A"))</f>
        <v/>
      </c>
      <c r="AU19" s="6" t="str">
        <f>IF(Gesamtzähler[[#This Row],[Spiele MPA]]="","",SUMIFS(Eingabe[S3],Eingabe[Name],Gesamtzähler[[#This Row],[Name]],Eingabe[Wo],"A"))</f>
        <v/>
      </c>
      <c r="AV19" s="6" t="str">
        <f>IF(Gesamtzähler[[#This Row],[Spiele MPA]]="","",SUMIFS(Eingabe[S3P],Eingabe[Name],Gesamtzähler[[#This Row],[Name]],Eingabe[Wo],"A"))</f>
        <v/>
      </c>
      <c r="AW19" s="6" t="str">
        <f>IF(Gesamtzähler[[#This Row],[Spiele MPA]]="","",SUMIFS(Eingabe[S4],Eingabe[Name],Gesamtzähler[[#This Row],[Name]],Eingabe[Wo],"A"))</f>
        <v/>
      </c>
      <c r="AX19" s="6" t="str">
        <f>IF(Gesamtzähler[[#This Row],[Spiele MPA]]="","",SUMIFS(Eingabe[S4P],Eingabe[Name],Gesamtzähler[[#This Row],[Name]],Eingabe[Wo],"A"))</f>
        <v/>
      </c>
      <c r="AY19" s="6" t="str">
        <f>IF(Gesamtzähler[[#This Row],[Spiele MPA]]="","",SUMIFS(Eingabe[GEGGES],Eingabe[Name],Gesamtzähler[[#This Row],[Name]],Eingabe[Wo],"A"))</f>
        <v/>
      </c>
      <c r="AZ19" s="6" t="str">
        <f>IF(Gesamtzähler[[#This Row],[Spiele A]]="","",SUMIFS(Eingabe[GES],Eingabe[Name],Gesamtzähler[[#This Row],[Name]],Eingabe[Wo],"A"))</f>
        <v/>
      </c>
      <c r="BA19" s="6" t="str">
        <f>IF(Gesamtzähler[[#This Row],[Spiele MPA]]="","",SUMIFS(Eingabe[SP],Eingabe[Name],Gesamtzähler[[#This Row],[Name]],Eingabe[Wo],"A"))</f>
        <v/>
      </c>
      <c r="BB19" s="6" t="str">
        <f>IF(Gesamtzähler[[#This Row],[Spiele MPA]]="","",SUMIFS(Eingabe[MP],Eingabe[Name],Gesamtzähler[[#This Row],[Name]],Eingabe[Wo],"A"))</f>
        <v/>
      </c>
      <c r="BC19" s="6"/>
      <c r="BD19" s="6"/>
      <c r="BE19" s="6"/>
      <c r="BF19" s="6"/>
    </row>
    <row r="20" spans="2:58" x14ac:dyDescent="0.3">
      <c r="B20" s="7" t="str">
        <f>VLOOKUP(ROW(Gesamtzähler[[#This Row],[Name]])-3,Teamzuordnung[],2,FALSE)</f>
        <v>Jens Starke</v>
      </c>
      <c r="C20" s="6" t="str">
        <f>IF(Gesamtzähler[[#This Row],[Name]]="","",VLOOKUP(Gesamtzähler[[#This Row],[Name]],Teamzuordnung[[Name]:[Team]],2,TRUE))</f>
        <v>D</v>
      </c>
      <c r="D20" s="21">
        <f>IF(COUNTIFS(Eingabe[Name],Gesamtzähler[[#This Row],[Name]])=0,"",COUNTIFS(Eingabe[Name],Gesamtzähler[[#This Row],[Name]]))</f>
        <v>5</v>
      </c>
      <c r="E20" s="6">
        <f>IF(Gesamtzähler[[#This Row],[Spiele]]="","",IF(Gesamtzähler[[#This Row],[Spiele]]-COUNTIFS(Eingabe[Name],Gesamtzähler[[#This Row],[Name]],Eingabe[MP],"")=0,"",Gesamtzähler[[#This Row],[Spiele]]-COUNTIFS(Eingabe[Name],Gesamtzähler[[#This Row],[Name]],Eingabe[MP],"")))</f>
        <v>5</v>
      </c>
      <c r="F20" s="6">
        <f>IF(Gesamtzähler[[#This Row],[Spiele]]="","",SUMIF(Eingabe[Name],Gesamtzähler[[#This Row],[Name]],Eingabe[Volle]))</f>
        <v>1754</v>
      </c>
      <c r="G20" s="6">
        <f>IF(Gesamtzähler[[#This Row],[Spiele]]="","",SUMIF(Eingabe[Name],Gesamtzähler[[#This Row],[Name]],Eingabe[Räumer]))</f>
        <v>825</v>
      </c>
      <c r="H20" s="6">
        <f>IF(Gesamtzähler[[#This Row],[Spiele]]="","",SUMIF(Eingabe[Name],Gesamtzähler[[#This Row],[Name]],Eingabe[Fehler]))</f>
        <v>35</v>
      </c>
      <c r="I20" s="6">
        <f>IF(Gesamtzähler[[#This Row],[Spiele]]="","",SUMIF(Eingabe[Name],Gesamtzähler[[#This Row],[Name]],Eingabe[GES]))</f>
        <v>2579</v>
      </c>
      <c r="J20" s="6">
        <f>IF(Gesamtzähler[[#This Row],[Spiele MP]]="","",SUMIF(Eingabe[Name],Gesamtzähler[[#This Row],[Name]],Eingabe[SP]))</f>
        <v>9</v>
      </c>
      <c r="K20" s="6">
        <f>IF(Gesamtzähler[[#This Row],[Spiele MP]]="","",SUMIF(Eingabe[Name],Gesamtzähler[[#This Row],[Name]],Eingabe[MP]))</f>
        <v>3</v>
      </c>
      <c r="L20" s="6">
        <f>IF(Gesamtzähler[[#This Row],[Spiele MP]]="","",SUMIF(Eingabe[Name],Gesamtzähler[[#This Row],[Name]],Eingabe[S1]))</f>
        <v>644</v>
      </c>
      <c r="M20" s="6">
        <f>IF(Gesamtzähler[[#This Row],[Spiele MP]]="","",SUMIF(Eingabe[Name],Gesamtzähler[[#This Row],[Name]],Eingabe[S2]))</f>
        <v>628</v>
      </c>
      <c r="N20" s="6">
        <f>IF(Gesamtzähler[[#This Row],[Spiele MP]]="","",SUMIF(Eingabe[Name],Gesamtzähler[[#This Row],[Name]],Eingabe[S3]))</f>
        <v>642</v>
      </c>
      <c r="O20" s="6">
        <f>IF(Gesamtzähler[[#This Row],[Spiele MP]]="","",SUMIF(Eingabe[Name],Gesamtzähler[[#This Row],[Name]],Eingabe[S4]))</f>
        <v>665</v>
      </c>
      <c r="P20" s="6">
        <f>IF(Gesamtzähler[[#This Row],[Spiele MP]]="","",SUMIF(Eingabe[Name],Gesamtzähler[[#This Row],[Name]],Eingabe[S1P]))</f>
        <v>2</v>
      </c>
      <c r="Q20" s="6">
        <f>IF(Gesamtzähler[[#This Row],[Spiele MP]]="","",SUMIF(Eingabe[Name],Gesamtzähler[[#This Row],[Name]],Eingabe[S2P]))</f>
        <v>2.5</v>
      </c>
      <c r="R20" s="6">
        <f>IF(Gesamtzähler[[#This Row],[Spiele MP]]="","",SUMIF(Eingabe[Name],Gesamtzähler[[#This Row],[Name]],Eingabe[S3P]))</f>
        <v>2.5</v>
      </c>
      <c r="S20" s="6">
        <f>IF(Gesamtzähler[[#This Row],[Spiele MP]]="","",SUMIF(Eingabe[Name],Gesamtzähler[[#This Row],[Name]],Eingabe[S4P]))</f>
        <v>2</v>
      </c>
      <c r="T20" s="6">
        <f>IF(Gesamtzähler[[#This Row],[Spiele MP]]="","",SUMIF(Eingabe[Name],Gesamtzähler[[#This Row],[Name]],Eingabe[GEGGES]))</f>
        <v>2530</v>
      </c>
      <c r="U20" s="21">
        <f>IF(COUNTIFS(Eingabe[Name],Gesamtzähler[[#This Row],[Name]],Eingabe[Wo],"H")=0,"",COUNTIFS(Eingabe[Name],Gesamtzähler[[#This Row],[Name]],Eingabe[Wo],"H"))</f>
        <v>2</v>
      </c>
      <c r="V20" s="6">
        <f>IF(Gesamtzähler[[#This Row],[Spiele H]]="","",Gesamtzähler[[#This Row],[Spiele H]]-COUNTIFS(Eingabe[Name],Gesamtzähler[[#This Row],[Name]],Eingabe[MP],"",Eingabe[Wo],"H"))</f>
        <v>2</v>
      </c>
      <c r="W20" s="6">
        <f>IF(Gesamtzähler[[#This Row],[Spiele H]]="","",SUMIFS(Eingabe[Volle],Eingabe[Name],Gesamtzähler[[#This Row],[Name]],Eingabe[Wo],"H"))</f>
        <v>717</v>
      </c>
      <c r="X20" s="6">
        <f>IF(Gesamtzähler[[#This Row],[Spiele H]]="","",SUMIFS(Eingabe[Räumer],Eingabe[Name],Gesamtzähler[[#This Row],[Name]],Eingabe[Wo],"H"))</f>
        <v>340</v>
      </c>
      <c r="Y20" s="6">
        <f>IF(Gesamtzähler[[#This Row],[Spiele H]]="","",SUMIFS(Eingabe[Fehler],Eingabe[Name],Gesamtzähler[[#This Row],[Name]],Eingabe[Wo],"H"))</f>
        <v>12</v>
      </c>
      <c r="Z20" s="6">
        <f>IF(Gesamtzähler[[#This Row],[Spiele MPH]]="","",SUMIFS(Eingabe[S1],Eingabe[Name],Gesamtzähler[[#This Row],[Name]],Eingabe[Wo],"H"))</f>
        <v>283</v>
      </c>
      <c r="AA20" s="6">
        <f>IF(Gesamtzähler[[#This Row],[Spiele MPH]]="","",SUMIFS(Eingabe[S1P],Eingabe[Name],Gesamtzähler[[#This Row],[Name]],Eingabe[Wo],"H"))</f>
        <v>1</v>
      </c>
      <c r="AB20" s="6">
        <f>IF(Gesamtzähler[[#This Row],[Spiele MPH]]="","",SUMIFS(Eingabe[S2],Eingabe[Name],Gesamtzähler[[#This Row],[Name]],Eingabe[Wo],"H"))</f>
        <v>259</v>
      </c>
      <c r="AC20" s="6">
        <f>IF(Gesamtzähler[[#This Row],[Spiele MPH]]="","",SUMIFS(Eingabe[S2P],Eingabe[Name],Gesamtzähler[[#This Row],[Name]],Eingabe[Wo],"H"))</f>
        <v>1.5</v>
      </c>
      <c r="AD20" s="6">
        <f>IF(Gesamtzähler[[#This Row],[Spiele MPH]]="","",SUMIFS(Eingabe[S3],Eingabe[Name],Gesamtzähler[[#This Row],[Name]],Eingabe[Wo],"H"))</f>
        <v>253</v>
      </c>
      <c r="AE20" s="6">
        <f>IF(Gesamtzähler[[#This Row],[Spiele MPH]]="","",SUMIFS(Eingabe[S3P],Eingabe[Name],Gesamtzähler[[#This Row],[Name]],Eingabe[Wo],"H"))</f>
        <v>1</v>
      </c>
      <c r="AF20" s="203">
        <f>IF(Gesamtzähler[[#This Row],[Spiele MPH]]="","",SUMIFS(Eingabe[S4],Eingabe[Name],Gesamtzähler[[#This Row],[Name]],Eingabe[Wo],"H"))</f>
        <v>262</v>
      </c>
      <c r="AG20" s="6">
        <f>IF(Gesamtzähler[[#This Row],[Spiele MPH]]="","",SUMIFS(Eingabe[S4P],Eingabe[Name],Gesamtzähler[[#This Row],[Name]],Eingabe[Wo],"H"))</f>
        <v>1</v>
      </c>
      <c r="AH20" s="6">
        <f>IF(Gesamtzähler[[#This Row],[Spiele MPH]]="","",SUMIFS(Eingabe[GEGGES],Eingabe[Name],Gesamtzähler[[#This Row],[Name]],Eingabe[Wo],"H"))</f>
        <v>969</v>
      </c>
      <c r="AI20" s="6">
        <f>IF(Gesamtzähler[[#This Row],[Spiele H]]="","",SUMIFS(Eingabe[GES],Eingabe[Name],Gesamtzähler[[#This Row],[Name]],Eingabe[Wo],"H"))</f>
        <v>1057</v>
      </c>
      <c r="AJ20" s="6">
        <f>IF(Gesamtzähler[[#This Row],[Spiele MPH]]="","",SUMIFS(Eingabe[SP],Eingabe[Name],Gesamtzähler[[#This Row],[Name]],Eingabe[Wo],"H"))</f>
        <v>4.5</v>
      </c>
      <c r="AK20" s="6">
        <f>IF(Gesamtzähler[[#This Row],[Spiele MPH]]="","",SUMIFS(Eingabe[MP],Eingabe[Name],Gesamtzähler[[#This Row],[Name]],Eingabe[Wo],"H"))</f>
        <v>2</v>
      </c>
      <c r="AL20" s="6">
        <f>IF(COUNTIFS(Eingabe[Name],Gesamtzähler[[#This Row],[Name]],Eingabe[Wo],"A")=0,"",COUNTIFS(Eingabe[Name],Gesamtzähler[[#This Row],[Name]],Eingabe[Wo],"A"))</f>
        <v>3</v>
      </c>
      <c r="AM20" s="6">
        <f>IF(Gesamtzähler[[#This Row],[Spiele A]]="","",Gesamtzähler[[#This Row],[Spiele A]]-COUNTIFS(Eingabe[Name],Gesamtzähler[[#This Row],[Name]],Eingabe[MP],"",Eingabe[Wo],"A"))</f>
        <v>3</v>
      </c>
      <c r="AN20" s="6">
        <f>IF(Gesamtzähler[[#This Row],[Spiele A]]="","",SUMIFS(Eingabe[Volle],Eingabe[Name],Gesamtzähler[[#This Row],[Name]],Eingabe[Wo],"A"))</f>
        <v>1037</v>
      </c>
      <c r="AO20" s="6">
        <f>IF(Gesamtzähler[[#This Row],[Spiele A]]="","",SUMIFS(Eingabe[Räumer],Eingabe[Name],Gesamtzähler[[#This Row],[Name]],Eingabe[Wo],"A"))</f>
        <v>485</v>
      </c>
      <c r="AP20" s="6">
        <f>IF(Gesamtzähler[[#This Row],[Spiele A]]="","",SUMIFS(Eingabe[Fehler],Eingabe[Name],Gesamtzähler[[#This Row],[Name]],Eingabe[Wo],"A"))</f>
        <v>23</v>
      </c>
      <c r="AQ20" s="6">
        <f>IF(Gesamtzähler[[#This Row],[Spiele MPA]]="","",SUMIFS(Eingabe[S1],Eingabe[Name],Gesamtzähler[[#This Row],[Name]],Eingabe[Wo],"A"))</f>
        <v>361</v>
      </c>
      <c r="AR20" s="6">
        <f>IF(Gesamtzähler[[#This Row],[Spiele MPA]]="","",SUMIFS(Eingabe[S1P],Eingabe[Name],Gesamtzähler[[#This Row],[Name]],Eingabe[Wo],"A"))</f>
        <v>1</v>
      </c>
      <c r="AS20" s="6">
        <f>IF(Gesamtzähler[[#This Row],[Spiele MPA]]="","",SUMIFS(Eingabe[S2],Eingabe[Name],Gesamtzähler[[#This Row],[Name]],Eingabe[Wo],"A"))</f>
        <v>369</v>
      </c>
      <c r="AT20" s="6">
        <f>IF(Gesamtzähler[[#This Row],[Spiele MPA]]="","",SUMIFS(Eingabe[S2P],Eingabe[Name],Gesamtzähler[[#This Row],[Name]],Eingabe[Wo],"A"))</f>
        <v>1</v>
      </c>
      <c r="AU20" s="6">
        <f>IF(Gesamtzähler[[#This Row],[Spiele MPA]]="","",SUMIFS(Eingabe[S3],Eingabe[Name],Gesamtzähler[[#This Row],[Name]],Eingabe[Wo],"A"))</f>
        <v>389</v>
      </c>
      <c r="AV20" s="6">
        <f>IF(Gesamtzähler[[#This Row],[Spiele MPA]]="","",SUMIFS(Eingabe[S3P],Eingabe[Name],Gesamtzähler[[#This Row],[Name]],Eingabe[Wo],"A"))</f>
        <v>1.5</v>
      </c>
      <c r="AW20" s="6">
        <f>IF(Gesamtzähler[[#This Row],[Spiele MPA]]="","",SUMIFS(Eingabe[S4],Eingabe[Name],Gesamtzähler[[#This Row],[Name]],Eingabe[Wo],"A"))</f>
        <v>403</v>
      </c>
      <c r="AX20" s="6">
        <f>IF(Gesamtzähler[[#This Row],[Spiele MPA]]="","",SUMIFS(Eingabe[S4P],Eingabe[Name],Gesamtzähler[[#This Row],[Name]],Eingabe[Wo],"A"))</f>
        <v>1</v>
      </c>
      <c r="AY20" s="6">
        <f>IF(Gesamtzähler[[#This Row],[Spiele MPA]]="","",SUMIFS(Eingabe[GEGGES],Eingabe[Name],Gesamtzähler[[#This Row],[Name]],Eingabe[Wo],"A"))</f>
        <v>1561</v>
      </c>
      <c r="AZ20" s="6">
        <f>IF(Gesamtzähler[[#This Row],[Spiele A]]="","",SUMIFS(Eingabe[GES],Eingabe[Name],Gesamtzähler[[#This Row],[Name]],Eingabe[Wo],"A"))</f>
        <v>1522</v>
      </c>
      <c r="BA20" s="6">
        <f>IF(Gesamtzähler[[#This Row],[Spiele MPA]]="","",SUMIFS(Eingabe[SP],Eingabe[Name],Gesamtzähler[[#This Row],[Name]],Eingabe[Wo],"A"))</f>
        <v>4.5</v>
      </c>
      <c r="BB20" s="6">
        <f>IF(Gesamtzähler[[#This Row],[Spiele MPA]]="","",SUMIFS(Eingabe[MP],Eingabe[Name],Gesamtzähler[[#This Row],[Name]],Eingabe[Wo],"A"))</f>
        <v>1</v>
      </c>
      <c r="BC20" s="6"/>
      <c r="BD20" s="6"/>
      <c r="BE20" s="6"/>
      <c r="BF20" s="6"/>
    </row>
    <row r="21" spans="2:58" x14ac:dyDescent="0.3">
      <c r="B21" s="7" t="str">
        <f>VLOOKUP(ROW(Gesamtzähler[[#This Row],[Name]])-3,Teamzuordnung[],2,FALSE)</f>
        <v>Jörg Nötzel</v>
      </c>
      <c r="C21" s="6" t="str">
        <f>IF(Gesamtzähler[[#This Row],[Name]]="","",VLOOKUP(Gesamtzähler[[#This Row],[Name]],Teamzuordnung[[Name]:[Team]],2,TRUE))</f>
        <v>D</v>
      </c>
      <c r="D21" s="21">
        <f>IF(COUNTIFS(Eingabe[Name],Gesamtzähler[[#This Row],[Name]])=0,"",COUNTIFS(Eingabe[Name],Gesamtzähler[[#This Row],[Name]]))</f>
        <v>4</v>
      </c>
      <c r="E21" s="6">
        <f>IF(Gesamtzähler[[#This Row],[Spiele]]="","",IF(Gesamtzähler[[#This Row],[Spiele]]-COUNTIFS(Eingabe[Name],Gesamtzähler[[#This Row],[Name]],Eingabe[MP],"")=0,"",Gesamtzähler[[#This Row],[Spiele]]-COUNTIFS(Eingabe[Name],Gesamtzähler[[#This Row],[Name]],Eingabe[MP],"")))</f>
        <v>3</v>
      </c>
      <c r="F21" s="6">
        <f>IF(Gesamtzähler[[#This Row],[Spiele]]="","",SUMIF(Eingabe[Name],Gesamtzähler[[#This Row],[Name]],Eingabe[Volle]))</f>
        <v>1427</v>
      </c>
      <c r="G21" s="6">
        <f>IF(Gesamtzähler[[#This Row],[Spiele]]="","",SUMIF(Eingabe[Name],Gesamtzähler[[#This Row],[Name]],Eingabe[Räumer]))</f>
        <v>563</v>
      </c>
      <c r="H21" s="6">
        <f>IF(Gesamtzähler[[#This Row],[Spiele]]="","",SUMIF(Eingabe[Name],Gesamtzähler[[#This Row],[Name]],Eingabe[Fehler]))</f>
        <v>49</v>
      </c>
      <c r="I21" s="6">
        <f>IF(Gesamtzähler[[#This Row],[Spiele]]="","",SUMIF(Eingabe[Name],Gesamtzähler[[#This Row],[Name]],Eingabe[GES]))</f>
        <v>1990</v>
      </c>
      <c r="J21" s="6">
        <f>IF(Gesamtzähler[[#This Row],[Spiele MP]]="","",SUMIF(Eingabe[Name],Gesamtzähler[[#This Row],[Name]],Eingabe[SP]))</f>
        <v>7</v>
      </c>
      <c r="K21" s="6">
        <f>IF(Gesamtzähler[[#This Row],[Spiele MP]]="","",SUMIF(Eingabe[Name],Gesamtzähler[[#This Row],[Name]],Eingabe[MP]))</f>
        <v>2</v>
      </c>
      <c r="L21" s="6">
        <f>IF(Gesamtzähler[[#This Row],[Spiele MP]]="","",SUMIF(Eingabe[Name],Gesamtzähler[[#This Row],[Name]],Eingabe[S1]))</f>
        <v>387</v>
      </c>
      <c r="M21" s="6">
        <f>IF(Gesamtzähler[[#This Row],[Spiele MP]]="","",SUMIF(Eingabe[Name],Gesamtzähler[[#This Row],[Name]],Eingabe[S2]))</f>
        <v>366</v>
      </c>
      <c r="N21" s="6">
        <f>IF(Gesamtzähler[[#This Row],[Spiele MP]]="","",SUMIF(Eingabe[Name],Gesamtzähler[[#This Row],[Name]],Eingabe[S3]))</f>
        <v>388</v>
      </c>
      <c r="O21" s="6">
        <f>IF(Gesamtzähler[[#This Row],[Spiele MP]]="","",SUMIF(Eingabe[Name],Gesamtzähler[[#This Row],[Name]],Eingabe[S4]))</f>
        <v>407</v>
      </c>
      <c r="P21" s="6">
        <f>IF(Gesamtzähler[[#This Row],[Spiele MP]]="","",SUMIF(Eingabe[Name],Gesamtzähler[[#This Row],[Name]],Eingabe[S1P]))</f>
        <v>2</v>
      </c>
      <c r="Q21" s="6">
        <f>IF(Gesamtzähler[[#This Row],[Spiele MP]]="","",SUMIF(Eingabe[Name],Gesamtzähler[[#This Row],[Name]],Eingabe[S2P]))</f>
        <v>0</v>
      </c>
      <c r="R21" s="6">
        <f>IF(Gesamtzähler[[#This Row],[Spiele MP]]="","",SUMIF(Eingabe[Name],Gesamtzähler[[#This Row],[Name]],Eingabe[S3P]))</f>
        <v>3</v>
      </c>
      <c r="S21" s="6">
        <f>IF(Gesamtzähler[[#This Row],[Spiele MP]]="","",SUMIF(Eingabe[Name],Gesamtzähler[[#This Row],[Name]],Eingabe[S4P]))</f>
        <v>2</v>
      </c>
      <c r="T21" s="6">
        <f>IF(Gesamtzähler[[#This Row],[Spiele MP]]="","",SUMIF(Eingabe[Name],Gesamtzähler[[#This Row],[Name]],Eingabe[GEGGES]))</f>
        <v>1526</v>
      </c>
      <c r="U21" s="21">
        <f>IF(COUNTIFS(Eingabe[Name],Gesamtzähler[[#This Row],[Name]],Eingabe[Wo],"H")=0,"",COUNTIFS(Eingabe[Name],Gesamtzähler[[#This Row],[Name]],Eingabe[Wo],"H"))</f>
        <v>1</v>
      </c>
      <c r="V21" s="6">
        <f>IF(Gesamtzähler[[#This Row],[Spiele H]]="","",Gesamtzähler[[#This Row],[Spiele H]]-COUNTIFS(Eingabe[Name],Gesamtzähler[[#This Row],[Name]],Eingabe[MP],"",Eingabe[Wo],"H"))</f>
        <v>1</v>
      </c>
      <c r="W21" s="6">
        <f>IF(Gesamtzähler[[#This Row],[Spiele H]]="","",SUMIFS(Eingabe[Volle],Eingabe[Name],Gesamtzähler[[#This Row],[Name]],Eingabe[Wo],"H"))</f>
        <v>364</v>
      </c>
      <c r="X21" s="6">
        <f>IF(Gesamtzähler[[#This Row],[Spiele H]]="","",SUMIFS(Eingabe[Räumer],Eingabe[Name],Gesamtzähler[[#This Row],[Name]],Eingabe[Wo],"H"))</f>
        <v>174</v>
      </c>
      <c r="Y21" s="6">
        <f>IF(Gesamtzähler[[#This Row],[Spiele H]]="","",SUMIFS(Eingabe[Fehler],Eingabe[Name],Gesamtzähler[[#This Row],[Name]],Eingabe[Wo],"H"))</f>
        <v>6</v>
      </c>
      <c r="Z21" s="6">
        <f>IF(Gesamtzähler[[#This Row],[Spiele MPH]]="","",SUMIFS(Eingabe[S1],Eingabe[Name],Gesamtzähler[[#This Row],[Name]],Eingabe[Wo],"H"))</f>
        <v>134</v>
      </c>
      <c r="AA21" s="6">
        <f>IF(Gesamtzähler[[#This Row],[Spiele MPH]]="","",SUMIFS(Eingabe[S1P],Eingabe[Name],Gesamtzähler[[#This Row],[Name]],Eingabe[Wo],"H"))</f>
        <v>1</v>
      </c>
      <c r="AB21" s="6">
        <f>IF(Gesamtzähler[[#This Row],[Spiele MPH]]="","",SUMIFS(Eingabe[S2],Eingabe[Name],Gesamtzähler[[#This Row],[Name]],Eingabe[Wo],"H"))</f>
        <v>119</v>
      </c>
      <c r="AC21" s="6">
        <f>IF(Gesamtzähler[[#This Row],[Spiele MPH]]="","",SUMIFS(Eingabe[S2P],Eingabe[Name],Gesamtzähler[[#This Row],[Name]],Eingabe[Wo],"H"))</f>
        <v>0</v>
      </c>
      <c r="AD21" s="6">
        <f>IF(Gesamtzähler[[#This Row],[Spiele MPH]]="","",SUMIFS(Eingabe[S3],Eingabe[Name],Gesamtzähler[[#This Row],[Name]],Eingabe[Wo],"H"))</f>
        <v>133</v>
      </c>
      <c r="AE21" s="6">
        <f>IF(Gesamtzähler[[#This Row],[Spiele MPH]]="","",SUMIFS(Eingabe[S3P],Eingabe[Name],Gesamtzähler[[#This Row],[Name]],Eingabe[Wo],"H"))</f>
        <v>1</v>
      </c>
      <c r="AF21" s="203">
        <f>IF(Gesamtzähler[[#This Row],[Spiele MPH]]="","",SUMIFS(Eingabe[S4],Eingabe[Name],Gesamtzähler[[#This Row],[Name]],Eingabe[Wo],"H"))</f>
        <v>152</v>
      </c>
      <c r="AG21" s="6">
        <f>IF(Gesamtzähler[[#This Row],[Spiele MPH]]="","",SUMIFS(Eingabe[S4P],Eingabe[Name],Gesamtzähler[[#This Row],[Name]],Eingabe[Wo],"H"))</f>
        <v>1</v>
      </c>
      <c r="AH21" s="6">
        <f>IF(Gesamtzähler[[#This Row],[Spiele MPH]]="","",SUMIFS(Eingabe[GEGGES],Eingabe[Name],Gesamtzähler[[#This Row],[Name]],Eingabe[Wo],"H"))</f>
        <v>493</v>
      </c>
      <c r="AI21" s="6">
        <f>IF(Gesamtzähler[[#This Row],[Spiele H]]="","",SUMIFS(Eingabe[GES],Eingabe[Name],Gesamtzähler[[#This Row],[Name]],Eingabe[Wo],"H"))</f>
        <v>538</v>
      </c>
      <c r="AJ21" s="6">
        <f>IF(Gesamtzähler[[#This Row],[Spiele MPH]]="","",SUMIFS(Eingabe[SP],Eingabe[Name],Gesamtzähler[[#This Row],[Name]],Eingabe[Wo],"H"))</f>
        <v>3</v>
      </c>
      <c r="AK21" s="6">
        <f>IF(Gesamtzähler[[#This Row],[Spiele MPH]]="","",SUMIFS(Eingabe[MP],Eingabe[Name],Gesamtzähler[[#This Row],[Name]],Eingabe[Wo],"H"))</f>
        <v>1</v>
      </c>
      <c r="AL21" s="6">
        <f>IF(COUNTIFS(Eingabe[Name],Gesamtzähler[[#This Row],[Name]],Eingabe[Wo],"A")=0,"",COUNTIFS(Eingabe[Name],Gesamtzähler[[#This Row],[Name]],Eingabe[Wo],"A"))</f>
        <v>3</v>
      </c>
      <c r="AM21" s="6">
        <f>IF(Gesamtzähler[[#This Row],[Spiele A]]="","",Gesamtzähler[[#This Row],[Spiele A]]-COUNTIFS(Eingabe[Name],Gesamtzähler[[#This Row],[Name]],Eingabe[MP],"",Eingabe[Wo],"A"))</f>
        <v>2</v>
      </c>
      <c r="AN21" s="6">
        <f>IF(Gesamtzähler[[#This Row],[Spiele A]]="","",SUMIFS(Eingabe[Volle],Eingabe[Name],Gesamtzähler[[#This Row],[Name]],Eingabe[Wo],"A"))</f>
        <v>1063</v>
      </c>
      <c r="AO21" s="6">
        <f>IF(Gesamtzähler[[#This Row],[Spiele A]]="","",SUMIFS(Eingabe[Räumer],Eingabe[Name],Gesamtzähler[[#This Row],[Name]],Eingabe[Wo],"A"))</f>
        <v>389</v>
      </c>
      <c r="AP21" s="6">
        <f>IF(Gesamtzähler[[#This Row],[Spiele A]]="","",SUMIFS(Eingabe[Fehler],Eingabe[Name],Gesamtzähler[[#This Row],[Name]],Eingabe[Wo],"A"))</f>
        <v>43</v>
      </c>
      <c r="AQ21" s="6">
        <f>IF(Gesamtzähler[[#This Row],[Spiele MPA]]="","",SUMIFS(Eingabe[S1],Eingabe[Name],Gesamtzähler[[#This Row],[Name]],Eingabe[Wo],"A"))</f>
        <v>253</v>
      </c>
      <c r="AR21" s="6">
        <f>IF(Gesamtzähler[[#This Row],[Spiele MPA]]="","",SUMIFS(Eingabe[S1P],Eingabe[Name],Gesamtzähler[[#This Row],[Name]],Eingabe[Wo],"A"))</f>
        <v>1</v>
      </c>
      <c r="AS21" s="6">
        <f>IF(Gesamtzähler[[#This Row],[Spiele MPA]]="","",SUMIFS(Eingabe[S2],Eingabe[Name],Gesamtzähler[[#This Row],[Name]],Eingabe[Wo],"A"))</f>
        <v>247</v>
      </c>
      <c r="AT21" s="6">
        <f>IF(Gesamtzähler[[#This Row],[Spiele MPA]]="","",SUMIFS(Eingabe[S2P],Eingabe[Name],Gesamtzähler[[#This Row],[Name]],Eingabe[Wo],"A"))</f>
        <v>0</v>
      </c>
      <c r="AU21" s="6">
        <f>IF(Gesamtzähler[[#This Row],[Spiele MPA]]="","",SUMIFS(Eingabe[S3],Eingabe[Name],Gesamtzähler[[#This Row],[Name]],Eingabe[Wo],"A"))</f>
        <v>255</v>
      </c>
      <c r="AV21" s="6">
        <f>IF(Gesamtzähler[[#This Row],[Spiele MPA]]="","",SUMIFS(Eingabe[S3P],Eingabe[Name],Gesamtzähler[[#This Row],[Name]],Eingabe[Wo],"A"))</f>
        <v>2</v>
      </c>
      <c r="AW21" s="6">
        <f>IF(Gesamtzähler[[#This Row],[Spiele MPA]]="","",SUMIFS(Eingabe[S4],Eingabe[Name],Gesamtzähler[[#This Row],[Name]],Eingabe[Wo],"A"))</f>
        <v>255</v>
      </c>
      <c r="AX21" s="6">
        <f>IF(Gesamtzähler[[#This Row],[Spiele MPA]]="","",SUMIFS(Eingabe[S4P],Eingabe[Name],Gesamtzähler[[#This Row],[Name]],Eingabe[Wo],"A"))</f>
        <v>1</v>
      </c>
      <c r="AY21" s="6">
        <f>IF(Gesamtzähler[[#This Row],[Spiele MPA]]="","",SUMIFS(Eingabe[GEGGES],Eingabe[Name],Gesamtzähler[[#This Row],[Name]],Eingabe[Wo],"A"))</f>
        <v>1033</v>
      </c>
      <c r="AZ21" s="6">
        <f>IF(Gesamtzähler[[#This Row],[Spiele A]]="","",SUMIFS(Eingabe[GES],Eingabe[Name],Gesamtzähler[[#This Row],[Name]],Eingabe[Wo],"A"))</f>
        <v>1452</v>
      </c>
      <c r="BA21" s="6">
        <f>IF(Gesamtzähler[[#This Row],[Spiele MPA]]="","",SUMIFS(Eingabe[SP],Eingabe[Name],Gesamtzähler[[#This Row],[Name]],Eingabe[Wo],"A"))</f>
        <v>4</v>
      </c>
      <c r="BB21" s="6">
        <f>IF(Gesamtzähler[[#This Row],[Spiele MPA]]="","",SUMIFS(Eingabe[MP],Eingabe[Name],Gesamtzähler[[#This Row],[Name]],Eingabe[Wo],"A"))</f>
        <v>1</v>
      </c>
      <c r="BC21" s="6"/>
      <c r="BD21" s="6"/>
      <c r="BE21" s="6"/>
      <c r="BF21" s="6"/>
    </row>
    <row r="22" spans="2:58" x14ac:dyDescent="0.3">
      <c r="B22" s="7" t="str">
        <f>VLOOKUP(ROW(Gesamtzähler[[#This Row],[Name]])-3,Teamzuordnung[],2,FALSE)</f>
        <v>Katrin Fiedler</v>
      </c>
      <c r="C22" s="6" t="str">
        <f>IF(Gesamtzähler[[#This Row],[Name]]="","",VLOOKUP(Gesamtzähler[[#This Row],[Name]],Teamzuordnung[[Name]:[Team]],2,TRUE))</f>
        <v>F</v>
      </c>
      <c r="D22" s="21">
        <f>IF(COUNTIFS(Eingabe[Name],Gesamtzähler[[#This Row],[Name]])=0,"",COUNTIFS(Eingabe[Name],Gesamtzähler[[#This Row],[Name]]))</f>
        <v>3</v>
      </c>
      <c r="E22" s="6">
        <f>IF(Gesamtzähler[[#This Row],[Spiele]]="","",IF(Gesamtzähler[[#This Row],[Spiele]]-COUNTIFS(Eingabe[Name],Gesamtzähler[[#This Row],[Name]],Eingabe[MP],"")=0,"",Gesamtzähler[[#This Row],[Spiele]]-COUNTIFS(Eingabe[Name],Gesamtzähler[[#This Row],[Name]],Eingabe[MP],"")))</f>
        <v>3</v>
      </c>
      <c r="F22" s="6">
        <f>IF(Gesamtzähler[[#This Row],[Spiele]]="","",SUMIF(Eingabe[Name],Gesamtzähler[[#This Row],[Name]],Eingabe[Volle]))</f>
        <v>1074</v>
      </c>
      <c r="G22" s="6">
        <f>IF(Gesamtzähler[[#This Row],[Spiele]]="","",SUMIF(Eingabe[Name],Gesamtzähler[[#This Row],[Name]],Eingabe[Räumer]))</f>
        <v>457</v>
      </c>
      <c r="H22" s="6">
        <f>IF(Gesamtzähler[[#This Row],[Spiele]]="","",SUMIF(Eingabe[Name],Gesamtzähler[[#This Row],[Name]],Eingabe[Fehler]))</f>
        <v>33</v>
      </c>
      <c r="I22" s="6">
        <f>IF(Gesamtzähler[[#This Row],[Spiele]]="","",SUMIF(Eingabe[Name],Gesamtzähler[[#This Row],[Name]],Eingabe[GES]))</f>
        <v>1531</v>
      </c>
      <c r="J22" s="6">
        <f>IF(Gesamtzähler[[#This Row],[Spiele MP]]="","",SUMIF(Eingabe[Name],Gesamtzähler[[#This Row],[Name]],Eingabe[SP]))</f>
        <v>5</v>
      </c>
      <c r="K22" s="6">
        <f>IF(Gesamtzähler[[#This Row],[Spiele MP]]="","",SUMIF(Eingabe[Name],Gesamtzähler[[#This Row],[Name]],Eingabe[MP]))</f>
        <v>1</v>
      </c>
      <c r="L22" s="6">
        <f>IF(Gesamtzähler[[#This Row],[Spiele MP]]="","",SUMIF(Eingabe[Name],Gesamtzähler[[#This Row],[Name]],Eingabe[S1]))</f>
        <v>388</v>
      </c>
      <c r="M22" s="6">
        <f>IF(Gesamtzähler[[#This Row],[Spiele MP]]="","",SUMIF(Eingabe[Name],Gesamtzähler[[#This Row],[Name]],Eingabe[S2]))</f>
        <v>396</v>
      </c>
      <c r="N22" s="6">
        <f>IF(Gesamtzähler[[#This Row],[Spiele MP]]="","",SUMIF(Eingabe[Name],Gesamtzähler[[#This Row],[Name]],Eingabe[S3]))</f>
        <v>374</v>
      </c>
      <c r="O22" s="6">
        <f>IF(Gesamtzähler[[#This Row],[Spiele MP]]="","",SUMIF(Eingabe[Name],Gesamtzähler[[#This Row],[Name]],Eingabe[S4]))</f>
        <v>373</v>
      </c>
      <c r="P22" s="6">
        <f>IF(Gesamtzähler[[#This Row],[Spiele MP]]="","",SUMIF(Eingabe[Name],Gesamtzähler[[#This Row],[Name]],Eingabe[S1P]))</f>
        <v>1</v>
      </c>
      <c r="Q22" s="6">
        <f>IF(Gesamtzähler[[#This Row],[Spiele MP]]="","",SUMIF(Eingabe[Name],Gesamtzähler[[#This Row],[Name]],Eingabe[S2P]))</f>
        <v>1</v>
      </c>
      <c r="R22" s="6">
        <f>IF(Gesamtzähler[[#This Row],[Spiele MP]]="","",SUMIF(Eingabe[Name],Gesamtzähler[[#This Row],[Name]],Eingabe[S3P]))</f>
        <v>1</v>
      </c>
      <c r="S22" s="6">
        <f>IF(Gesamtzähler[[#This Row],[Spiele MP]]="","",SUMIF(Eingabe[Name],Gesamtzähler[[#This Row],[Name]],Eingabe[S4P]))</f>
        <v>2</v>
      </c>
      <c r="T22" s="6">
        <f>IF(Gesamtzähler[[#This Row],[Spiele MP]]="","",SUMIF(Eingabe[Name],Gesamtzähler[[#This Row],[Name]],Eingabe[GEGGES]))</f>
        <v>1606</v>
      </c>
      <c r="U22" s="21" t="str">
        <f>IF(COUNTIFS(Eingabe[Name],Gesamtzähler[[#This Row],[Name]],Eingabe[Wo],"H")=0,"",COUNTIFS(Eingabe[Name],Gesamtzähler[[#This Row],[Name]],Eingabe[Wo],"H"))</f>
        <v/>
      </c>
      <c r="V22" s="6" t="str">
        <f>IF(Gesamtzähler[[#This Row],[Spiele H]]="","",Gesamtzähler[[#This Row],[Spiele H]]-COUNTIFS(Eingabe[Name],Gesamtzähler[[#This Row],[Name]],Eingabe[MP],"",Eingabe[Wo],"H"))</f>
        <v/>
      </c>
      <c r="W22" s="6" t="str">
        <f>IF(Gesamtzähler[[#This Row],[Spiele H]]="","",SUMIFS(Eingabe[Volle],Eingabe[Name],Gesamtzähler[[#This Row],[Name]],Eingabe[Wo],"H"))</f>
        <v/>
      </c>
      <c r="X22" s="6" t="str">
        <f>IF(Gesamtzähler[[#This Row],[Spiele H]]="","",SUMIFS(Eingabe[Räumer],Eingabe[Name],Gesamtzähler[[#This Row],[Name]],Eingabe[Wo],"H"))</f>
        <v/>
      </c>
      <c r="Y22" s="6" t="str">
        <f>IF(Gesamtzähler[[#This Row],[Spiele H]]="","",SUMIFS(Eingabe[Fehler],Eingabe[Name],Gesamtzähler[[#This Row],[Name]],Eingabe[Wo],"H"))</f>
        <v/>
      </c>
      <c r="Z22" s="6" t="str">
        <f>IF(Gesamtzähler[[#This Row],[Spiele MPH]]="","",SUMIFS(Eingabe[S1],Eingabe[Name],Gesamtzähler[[#This Row],[Name]],Eingabe[Wo],"H"))</f>
        <v/>
      </c>
      <c r="AA22" s="6" t="str">
        <f>IF(Gesamtzähler[[#This Row],[Spiele MPH]]="","",SUMIFS(Eingabe[S1P],Eingabe[Name],Gesamtzähler[[#This Row],[Name]],Eingabe[Wo],"H"))</f>
        <v/>
      </c>
      <c r="AB22" s="6" t="str">
        <f>IF(Gesamtzähler[[#This Row],[Spiele MPH]]="","",SUMIFS(Eingabe[S2],Eingabe[Name],Gesamtzähler[[#This Row],[Name]],Eingabe[Wo],"H"))</f>
        <v/>
      </c>
      <c r="AC22" s="6" t="str">
        <f>IF(Gesamtzähler[[#This Row],[Spiele MPH]]="","",SUMIFS(Eingabe[S2P],Eingabe[Name],Gesamtzähler[[#This Row],[Name]],Eingabe[Wo],"H"))</f>
        <v/>
      </c>
      <c r="AD22" s="6" t="str">
        <f>IF(Gesamtzähler[[#This Row],[Spiele MPH]]="","",SUMIFS(Eingabe[S3],Eingabe[Name],Gesamtzähler[[#This Row],[Name]],Eingabe[Wo],"H"))</f>
        <v/>
      </c>
      <c r="AE22" s="6" t="str">
        <f>IF(Gesamtzähler[[#This Row],[Spiele MPH]]="","",SUMIFS(Eingabe[S3P],Eingabe[Name],Gesamtzähler[[#This Row],[Name]],Eingabe[Wo],"H"))</f>
        <v/>
      </c>
      <c r="AF22" s="203" t="str">
        <f>IF(Gesamtzähler[[#This Row],[Spiele MPH]]="","",SUMIFS(Eingabe[S4],Eingabe[Name],Gesamtzähler[[#This Row],[Name]],Eingabe[Wo],"H"))</f>
        <v/>
      </c>
      <c r="AG22" s="6" t="str">
        <f>IF(Gesamtzähler[[#This Row],[Spiele MPH]]="","",SUMIFS(Eingabe[S4P],Eingabe[Name],Gesamtzähler[[#This Row],[Name]],Eingabe[Wo],"H"))</f>
        <v/>
      </c>
      <c r="AH22" s="6" t="str">
        <f>IF(Gesamtzähler[[#This Row],[Spiele MPH]]="","",SUMIFS(Eingabe[GEGGES],Eingabe[Name],Gesamtzähler[[#This Row],[Name]],Eingabe[Wo],"H"))</f>
        <v/>
      </c>
      <c r="AI22" s="6" t="str">
        <f>IF(Gesamtzähler[[#This Row],[Spiele H]]="","",SUMIFS(Eingabe[GES],Eingabe[Name],Gesamtzähler[[#This Row],[Name]],Eingabe[Wo],"H"))</f>
        <v/>
      </c>
      <c r="AJ22" s="6" t="str">
        <f>IF(Gesamtzähler[[#This Row],[Spiele MPH]]="","",SUMIFS(Eingabe[SP],Eingabe[Name],Gesamtzähler[[#This Row],[Name]],Eingabe[Wo],"H"))</f>
        <v/>
      </c>
      <c r="AK22" s="6" t="str">
        <f>IF(Gesamtzähler[[#This Row],[Spiele MPH]]="","",SUMIFS(Eingabe[MP],Eingabe[Name],Gesamtzähler[[#This Row],[Name]],Eingabe[Wo],"H"))</f>
        <v/>
      </c>
      <c r="AL22" s="6">
        <f>IF(COUNTIFS(Eingabe[Name],Gesamtzähler[[#This Row],[Name]],Eingabe[Wo],"A")=0,"",COUNTIFS(Eingabe[Name],Gesamtzähler[[#This Row],[Name]],Eingabe[Wo],"A"))</f>
        <v>3</v>
      </c>
      <c r="AM22" s="6">
        <f>IF(Gesamtzähler[[#This Row],[Spiele A]]="","",Gesamtzähler[[#This Row],[Spiele A]]-COUNTIFS(Eingabe[Name],Gesamtzähler[[#This Row],[Name]],Eingabe[MP],"",Eingabe[Wo],"A"))</f>
        <v>3</v>
      </c>
      <c r="AN22" s="6">
        <f>IF(Gesamtzähler[[#This Row],[Spiele A]]="","",SUMIFS(Eingabe[Volle],Eingabe[Name],Gesamtzähler[[#This Row],[Name]],Eingabe[Wo],"A"))</f>
        <v>1074</v>
      </c>
      <c r="AO22" s="6">
        <f>IF(Gesamtzähler[[#This Row],[Spiele A]]="","",SUMIFS(Eingabe[Räumer],Eingabe[Name],Gesamtzähler[[#This Row],[Name]],Eingabe[Wo],"A"))</f>
        <v>457</v>
      </c>
      <c r="AP22" s="6">
        <f>IF(Gesamtzähler[[#This Row],[Spiele A]]="","",SUMIFS(Eingabe[Fehler],Eingabe[Name],Gesamtzähler[[#This Row],[Name]],Eingabe[Wo],"A"))</f>
        <v>33</v>
      </c>
      <c r="AQ22" s="6">
        <f>IF(Gesamtzähler[[#This Row],[Spiele MPA]]="","",SUMIFS(Eingabe[S1],Eingabe[Name],Gesamtzähler[[#This Row],[Name]],Eingabe[Wo],"A"))</f>
        <v>388</v>
      </c>
      <c r="AR22" s="6">
        <f>IF(Gesamtzähler[[#This Row],[Spiele MPA]]="","",SUMIFS(Eingabe[S1P],Eingabe[Name],Gesamtzähler[[#This Row],[Name]],Eingabe[Wo],"A"))</f>
        <v>1</v>
      </c>
      <c r="AS22" s="6">
        <f>IF(Gesamtzähler[[#This Row],[Spiele MPA]]="","",SUMIFS(Eingabe[S2],Eingabe[Name],Gesamtzähler[[#This Row],[Name]],Eingabe[Wo],"A"))</f>
        <v>396</v>
      </c>
      <c r="AT22" s="6">
        <f>IF(Gesamtzähler[[#This Row],[Spiele MPA]]="","",SUMIFS(Eingabe[S2P],Eingabe[Name],Gesamtzähler[[#This Row],[Name]],Eingabe[Wo],"A"))</f>
        <v>1</v>
      </c>
      <c r="AU22" s="6">
        <f>IF(Gesamtzähler[[#This Row],[Spiele MPA]]="","",SUMIFS(Eingabe[S3],Eingabe[Name],Gesamtzähler[[#This Row],[Name]],Eingabe[Wo],"A"))</f>
        <v>374</v>
      </c>
      <c r="AV22" s="6">
        <f>IF(Gesamtzähler[[#This Row],[Spiele MPA]]="","",SUMIFS(Eingabe[S3P],Eingabe[Name],Gesamtzähler[[#This Row],[Name]],Eingabe[Wo],"A"))</f>
        <v>1</v>
      </c>
      <c r="AW22" s="6">
        <f>IF(Gesamtzähler[[#This Row],[Spiele MPA]]="","",SUMIFS(Eingabe[S4],Eingabe[Name],Gesamtzähler[[#This Row],[Name]],Eingabe[Wo],"A"))</f>
        <v>373</v>
      </c>
      <c r="AX22" s="6">
        <f>IF(Gesamtzähler[[#This Row],[Spiele MPA]]="","",SUMIFS(Eingabe[S4P],Eingabe[Name],Gesamtzähler[[#This Row],[Name]],Eingabe[Wo],"A"))</f>
        <v>2</v>
      </c>
      <c r="AY22" s="6">
        <f>IF(Gesamtzähler[[#This Row],[Spiele MPA]]="","",SUMIFS(Eingabe[GEGGES],Eingabe[Name],Gesamtzähler[[#This Row],[Name]],Eingabe[Wo],"A"))</f>
        <v>1606</v>
      </c>
      <c r="AZ22" s="6">
        <f>IF(Gesamtzähler[[#This Row],[Spiele A]]="","",SUMIFS(Eingabe[GES],Eingabe[Name],Gesamtzähler[[#This Row],[Name]],Eingabe[Wo],"A"))</f>
        <v>1531</v>
      </c>
      <c r="BA22" s="6">
        <f>IF(Gesamtzähler[[#This Row],[Spiele MPA]]="","",SUMIFS(Eingabe[SP],Eingabe[Name],Gesamtzähler[[#This Row],[Name]],Eingabe[Wo],"A"))</f>
        <v>5</v>
      </c>
      <c r="BB22" s="6">
        <f>IF(Gesamtzähler[[#This Row],[Spiele MPA]]="","",SUMIFS(Eingabe[MP],Eingabe[Name],Gesamtzähler[[#This Row],[Name]],Eingabe[Wo],"A"))</f>
        <v>1</v>
      </c>
      <c r="BC22" s="6"/>
      <c r="BD22" s="6"/>
      <c r="BE22" s="6"/>
      <c r="BF22" s="6"/>
    </row>
    <row r="23" spans="2:58" x14ac:dyDescent="0.3">
      <c r="B23" s="7" t="str">
        <f>VLOOKUP(ROW(Gesamtzähler[[#This Row],[Name]])-3,Teamzuordnung[],2,FALSE)</f>
        <v>Katrin Keller</v>
      </c>
      <c r="C23" s="6" t="str">
        <f>IF(Gesamtzähler[[#This Row],[Name]]="","",VLOOKUP(Gesamtzähler[[#This Row],[Name]],Teamzuordnung[[Name]:[Team]],2,TRUE))</f>
        <v>F</v>
      </c>
      <c r="D23" s="21">
        <f>IF(COUNTIFS(Eingabe[Name],Gesamtzähler[[#This Row],[Name]])=0,"",COUNTIFS(Eingabe[Name],Gesamtzähler[[#This Row],[Name]]))</f>
        <v>9</v>
      </c>
      <c r="E23" s="6">
        <f>IF(Gesamtzähler[[#This Row],[Spiele]]="","",IF(Gesamtzähler[[#This Row],[Spiele]]-COUNTIFS(Eingabe[Name],Gesamtzähler[[#This Row],[Name]],Eingabe[MP],"")=0,"",Gesamtzähler[[#This Row],[Spiele]]-COUNTIFS(Eingabe[Name],Gesamtzähler[[#This Row],[Name]],Eingabe[MP],"")))</f>
        <v>7</v>
      </c>
      <c r="F23" s="6">
        <f>IF(Gesamtzähler[[#This Row],[Spiele]]="","",SUMIF(Eingabe[Name],Gesamtzähler[[#This Row],[Name]],Eingabe[Volle]))</f>
        <v>3012</v>
      </c>
      <c r="G23" s="6">
        <f>IF(Gesamtzähler[[#This Row],[Spiele]]="","",SUMIF(Eingabe[Name],Gesamtzähler[[#This Row],[Name]],Eingabe[Räumer]))</f>
        <v>1287</v>
      </c>
      <c r="H23" s="6">
        <f>IF(Gesamtzähler[[#This Row],[Spiele]]="","",SUMIF(Eingabe[Name],Gesamtzähler[[#This Row],[Name]],Eingabe[Fehler]))</f>
        <v>100</v>
      </c>
      <c r="I23" s="6">
        <f>IF(Gesamtzähler[[#This Row],[Spiele]]="","",SUMIF(Eingabe[Name],Gesamtzähler[[#This Row],[Name]],Eingabe[GES]))</f>
        <v>4299</v>
      </c>
      <c r="J23" s="6">
        <f>IF(Gesamtzähler[[#This Row],[Spiele MP]]="","",SUMIF(Eingabe[Name],Gesamtzähler[[#This Row],[Name]],Eingabe[SP]))</f>
        <v>13.5</v>
      </c>
      <c r="K23" s="6">
        <f>IF(Gesamtzähler[[#This Row],[Spiele MP]]="","",SUMIF(Eingabe[Name],Gesamtzähler[[#This Row],[Name]],Eingabe[MP]))</f>
        <v>4</v>
      </c>
      <c r="L23" s="6">
        <f>IF(Gesamtzähler[[#This Row],[Spiele MP]]="","",SUMIF(Eingabe[Name],Gesamtzähler[[#This Row],[Name]],Eingabe[S1]))</f>
        <v>1092</v>
      </c>
      <c r="M23" s="6">
        <f>IF(Gesamtzähler[[#This Row],[Spiele MP]]="","",SUMIF(Eingabe[Name],Gesamtzähler[[#This Row],[Name]],Eingabe[S2]))</f>
        <v>1155</v>
      </c>
      <c r="N23" s="6">
        <f>IF(Gesamtzähler[[#This Row],[Spiele MP]]="","",SUMIF(Eingabe[Name],Gesamtzähler[[#This Row],[Name]],Eingabe[S3]))</f>
        <v>1089</v>
      </c>
      <c r="O23" s="6">
        <f>IF(Gesamtzähler[[#This Row],[Spiele MP]]="","",SUMIF(Eingabe[Name],Gesamtzähler[[#This Row],[Name]],Eingabe[S4]))</f>
        <v>963</v>
      </c>
      <c r="P23" s="6">
        <f>IF(Gesamtzähler[[#This Row],[Spiele MP]]="","",SUMIF(Eingabe[Name],Gesamtzähler[[#This Row],[Name]],Eingabe[S1P]))</f>
        <v>3</v>
      </c>
      <c r="Q23" s="6">
        <f>IF(Gesamtzähler[[#This Row],[Spiele MP]]="","",SUMIF(Eingabe[Name],Gesamtzähler[[#This Row],[Name]],Eingabe[S2P]))</f>
        <v>6</v>
      </c>
      <c r="R23" s="6">
        <f>IF(Gesamtzähler[[#This Row],[Spiele MP]]="","",SUMIF(Eingabe[Name],Gesamtzähler[[#This Row],[Name]],Eingabe[S3P]))</f>
        <v>4</v>
      </c>
      <c r="S23" s="6">
        <f>IF(Gesamtzähler[[#This Row],[Spiele MP]]="","",SUMIF(Eingabe[Name],Gesamtzähler[[#This Row],[Name]],Eingabe[S4P]))</f>
        <v>0.5</v>
      </c>
      <c r="T23" s="6">
        <f>IF(Gesamtzähler[[#This Row],[Spiele MP]]="","",SUMIF(Eingabe[Name],Gesamtzähler[[#This Row],[Name]],Eingabe[GEGGES]))</f>
        <v>3553</v>
      </c>
      <c r="U23" s="21">
        <f>IF(COUNTIFS(Eingabe[Name],Gesamtzähler[[#This Row],[Name]],Eingabe[Wo],"H")=0,"",COUNTIFS(Eingabe[Name],Gesamtzähler[[#This Row],[Name]],Eingabe[Wo],"H"))</f>
        <v>2</v>
      </c>
      <c r="V23" s="6">
        <f>IF(Gesamtzähler[[#This Row],[Spiele H]]="","",Gesamtzähler[[#This Row],[Spiele H]]-COUNTIFS(Eingabe[Name],Gesamtzähler[[#This Row],[Name]],Eingabe[MP],"",Eingabe[Wo],"H"))</f>
        <v>2</v>
      </c>
      <c r="W23" s="6">
        <f>IF(Gesamtzähler[[#This Row],[Spiele H]]="","",SUMIFS(Eingabe[Volle],Eingabe[Name],Gesamtzähler[[#This Row],[Name]],Eingabe[Wo],"H"))</f>
        <v>715</v>
      </c>
      <c r="X23" s="6">
        <f>IF(Gesamtzähler[[#This Row],[Spiele H]]="","",SUMIFS(Eingabe[Räumer],Eingabe[Name],Gesamtzähler[[#This Row],[Name]],Eingabe[Wo],"H"))</f>
        <v>320</v>
      </c>
      <c r="Y23" s="6">
        <f>IF(Gesamtzähler[[#This Row],[Spiele H]]="","",SUMIFS(Eingabe[Fehler],Eingabe[Name],Gesamtzähler[[#This Row],[Name]],Eingabe[Wo],"H"))</f>
        <v>19</v>
      </c>
      <c r="Z23" s="6">
        <f>IF(Gesamtzähler[[#This Row],[Spiele MPH]]="","",SUMIFS(Eingabe[S1],Eingabe[Name],Gesamtzähler[[#This Row],[Name]],Eingabe[Wo],"H"))</f>
        <v>252</v>
      </c>
      <c r="AA23" s="6">
        <f>IF(Gesamtzähler[[#This Row],[Spiele MPH]]="","",SUMIFS(Eingabe[S1P],Eingabe[Name],Gesamtzähler[[#This Row],[Name]],Eingabe[Wo],"H"))</f>
        <v>1</v>
      </c>
      <c r="AB23" s="6">
        <f>IF(Gesamtzähler[[#This Row],[Spiele MPH]]="","",SUMIFS(Eingabe[S2],Eingabe[Name],Gesamtzähler[[#This Row],[Name]],Eingabe[Wo],"H"))</f>
        <v>261</v>
      </c>
      <c r="AC23" s="6">
        <f>IF(Gesamtzähler[[#This Row],[Spiele MPH]]="","",SUMIFS(Eingabe[S2P],Eingabe[Name],Gesamtzähler[[#This Row],[Name]],Eingabe[Wo],"H"))</f>
        <v>2</v>
      </c>
      <c r="AD23" s="6">
        <f>IF(Gesamtzähler[[#This Row],[Spiele MPH]]="","",SUMIFS(Eingabe[S3],Eingabe[Name],Gesamtzähler[[#This Row],[Name]],Eingabe[Wo],"H"))</f>
        <v>259</v>
      </c>
      <c r="AE23" s="6">
        <f>IF(Gesamtzähler[[#This Row],[Spiele MPH]]="","",SUMIFS(Eingabe[S3P],Eingabe[Name],Gesamtzähler[[#This Row],[Name]],Eingabe[Wo],"H"))</f>
        <v>2</v>
      </c>
      <c r="AF23" s="203">
        <f>IF(Gesamtzähler[[#This Row],[Spiele MPH]]="","",SUMIFS(Eingabe[S4],Eingabe[Name],Gesamtzähler[[#This Row],[Name]],Eingabe[Wo],"H"))</f>
        <v>263</v>
      </c>
      <c r="AG23" s="6">
        <f>IF(Gesamtzähler[[#This Row],[Spiele MPH]]="","",SUMIFS(Eingabe[S4P],Eingabe[Name],Gesamtzähler[[#This Row],[Name]],Eingabe[Wo],"H"))</f>
        <v>0</v>
      </c>
      <c r="AH23" s="6">
        <f>IF(Gesamtzähler[[#This Row],[Spiele MPH]]="","",SUMIFS(Eingabe[GEGGES],Eingabe[Name],Gesamtzähler[[#This Row],[Name]],Eingabe[Wo],"H"))</f>
        <v>1006</v>
      </c>
      <c r="AI23" s="6">
        <f>IF(Gesamtzähler[[#This Row],[Spiele H]]="","",SUMIFS(Eingabe[GES],Eingabe[Name],Gesamtzähler[[#This Row],[Name]],Eingabe[Wo],"H"))</f>
        <v>1035</v>
      </c>
      <c r="AJ23" s="6">
        <f>IF(Gesamtzähler[[#This Row],[Spiele MPH]]="","",SUMIFS(Eingabe[SP],Eingabe[Name],Gesamtzähler[[#This Row],[Name]],Eingabe[Wo],"H"))</f>
        <v>5</v>
      </c>
      <c r="AK23" s="6">
        <f>IF(Gesamtzähler[[#This Row],[Spiele MPH]]="","",SUMIFS(Eingabe[MP],Eingabe[Name],Gesamtzähler[[#This Row],[Name]],Eingabe[Wo],"H"))</f>
        <v>2</v>
      </c>
      <c r="AL23" s="6">
        <f>IF(COUNTIFS(Eingabe[Name],Gesamtzähler[[#This Row],[Name]],Eingabe[Wo],"A")=0,"",COUNTIFS(Eingabe[Name],Gesamtzähler[[#This Row],[Name]],Eingabe[Wo],"A"))</f>
        <v>7</v>
      </c>
      <c r="AM23" s="6">
        <f>IF(Gesamtzähler[[#This Row],[Spiele A]]="","",Gesamtzähler[[#This Row],[Spiele A]]-COUNTIFS(Eingabe[Name],Gesamtzähler[[#This Row],[Name]],Eingabe[MP],"",Eingabe[Wo],"A"))</f>
        <v>5</v>
      </c>
      <c r="AN23" s="6">
        <f>IF(Gesamtzähler[[#This Row],[Spiele A]]="","",SUMIFS(Eingabe[Volle],Eingabe[Name],Gesamtzähler[[#This Row],[Name]],Eingabe[Wo],"A"))</f>
        <v>2297</v>
      </c>
      <c r="AO23" s="6">
        <f>IF(Gesamtzähler[[#This Row],[Spiele A]]="","",SUMIFS(Eingabe[Räumer],Eingabe[Name],Gesamtzähler[[#This Row],[Name]],Eingabe[Wo],"A"))</f>
        <v>967</v>
      </c>
      <c r="AP23" s="6">
        <f>IF(Gesamtzähler[[#This Row],[Spiele A]]="","",SUMIFS(Eingabe[Fehler],Eingabe[Name],Gesamtzähler[[#This Row],[Name]],Eingabe[Wo],"A"))</f>
        <v>81</v>
      </c>
      <c r="AQ23" s="6">
        <f>IF(Gesamtzähler[[#This Row],[Spiele MPA]]="","",SUMIFS(Eingabe[S1],Eingabe[Name],Gesamtzähler[[#This Row],[Name]],Eingabe[Wo],"A"))</f>
        <v>840</v>
      </c>
      <c r="AR23" s="6">
        <f>IF(Gesamtzähler[[#This Row],[Spiele MPA]]="","",SUMIFS(Eingabe[S1P],Eingabe[Name],Gesamtzähler[[#This Row],[Name]],Eingabe[Wo],"A"))</f>
        <v>2</v>
      </c>
      <c r="AS23" s="6">
        <f>IF(Gesamtzähler[[#This Row],[Spiele MPA]]="","",SUMIFS(Eingabe[S2],Eingabe[Name],Gesamtzähler[[#This Row],[Name]],Eingabe[Wo],"A"))</f>
        <v>894</v>
      </c>
      <c r="AT23" s="6">
        <f>IF(Gesamtzähler[[#This Row],[Spiele MPA]]="","",SUMIFS(Eingabe[S2P],Eingabe[Name],Gesamtzähler[[#This Row],[Name]],Eingabe[Wo],"A"))</f>
        <v>4</v>
      </c>
      <c r="AU23" s="6">
        <f>IF(Gesamtzähler[[#This Row],[Spiele MPA]]="","",SUMIFS(Eingabe[S3],Eingabe[Name],Gesamtzähler[[#This Row],[Name]],Eingabe[Wo],"A"))</f>
        <v>830</v>
      </c>
      <c r="AV23" s="6">
        <f>IF(Gesamtzähler[[#This Row],[Spiele MPA]]="","",SUMIFS(Eingabe[S3P],Eingabe[Name],Gesamtzähler[[#This Row],[Name]],Eingabe[Wo],"A"))</f>
        <v>2</v>
      </c>
      <c r="AW23" s="6">
        <f>IF(Gesamtzähler[[#This Row],[Spiele MPA]]="","",SUMIFS(Eingabe[S4],Eingabe[Name],Gesamtzähler[[#This Row],[Name]],Eingabe[Wo],"A"))</f>
        <v>700</v>
      </c>
      <c r="AX23" s="6">
        <f>IF(Gesamtzähler[[#This Row],[Spiele MPA]]="","",SUMIFS(Eingabe[S4P],Eingabe[Name],Gesamtzähler[[#This Row],[Name]],Eingabe[Wo],"A"))</f>
        <v>0.5</v>
      </c>
      <c r="AY23" s="6">
        <f>IF(Gesamtzähler[[#This Row],[Spiele MPA]]="","",SUMIFS(Eingabe[GEGGES],Eingabe[Name],Gesamtzähler[[#This Row],[Name]],Eingabe[Wo],"A"))</f>
        <v>2547</v>
      </c>
      <c r="AZ23" s="6">
        <f>IF(Gesamtzähler[[#This Row],[Spiele A]]="","",SUMIFS(Eingabe[GES],Eingabe[Name],Gesamtzähler[[#This Row],[Name]],Eingabe[Wo],"A"))</f>
        <v>3264</v>
      </c>
      <c r="BA23" s="6">
        <f>IF(Gesamtzähler[[#This Row],[Spiele MPA]]="","",SUMIFS(Eingabe[SP],Eingabe[Name],Gesamtzähler[[#This Row],[Name]],Eingabe[Wo],"A"))</f>
        <v>8.5</v>
      </c>
      <c r="BB23" s="6">
        <f>IF(Gesamtzähler[[#This Row],[Spiele MPA]]="","",SUMIFS(Eingabe[MP],Eingabe[Name],Gesamtzähler[[#This Row],[Name]],Eingabe[Wo],"A"))</f>
        <v>2</v>
      </c>
      <c r="BC23" s="6"/>
      <c r="BD23" s="6"/>
      <c r="BE23" s="6"/>
      <c r="BF23" s="6"/>
    </row>
    <row r="24" spans="2:58" x14ac:dyDescent="0.3">
      <c r="B24" s="7" t="str">
        <f>VLOOKUP(ROW(Gesamtzähler[[#This Row],[Name]])-3,Teamzuordnung[],2,FALSE)</f>
        <v>Konrad Scheller</v>
      </c>
      <c r="C24" s="6" t="str">
        <f>IF(Gesamtzähler[[#This Row],[Name]]="","",VLOOKUP(Gesamtzähler[[#This Row],[Name]],Teamzuordnung[[Name]:[Team]],2,TRUE))</f>
        <v>D</v>
      </c>
      <c r="D24" s="21" t="str">
        <f>IF(COUNTIFS(Eingabe[Name],Gesamtzähler[[#This Row],[Name]])=0,"",COUNTIFS(Eingabe[Name],Gesamtzähler[[#This Row],[Name]]))</f>
        <v/>
      </c>
      <c r="E24" s="6" t="str">
        <f>IF(Gesamtzähler[[#This Row],[Spiele]]="","",IF(Gesamtzähler[[#This Row],[Spiele]]-COUNTIFS(Eingabe[Name],Gesamtzähler[[#This Row],[Name]],Eingabe[MP],"")=0,"",Gesamtzähler[[#This Row],[Spiele]]-COUNTIFS(Eingabe[Name],Gesamtzähler[[#This Row],[Name]],Eingabe[MP],"")))</f>
        <v/>
      </c>
      <c r="F24" s="6" t="str">
        <f>IF(Gesamtzähler[[#This Row],[Spiele]]="","",SUMIF(Eingabe[Name],Gesamtzähler[[#This Row],[Name]],Eingabe[Volle]))</f>
        <v/>
      </c>
      <c r="G24" s="6" t="str">
        <f>IF(Gesamtzähler[[#This Row],[Spiele]]="","",SUMIF(Eingabe[Name],Gesamtzähler[[#This Row],[Name]],Eingabe[Räumer]))</f>
        <v/>
      </c>
      <c r="H24" s="6" t="str">
        <f>IF(Gesamtzähler[[#This Row],[Spiele]]="","",SUMIF(Eingabe[Name],Gesamtzähler[[#This Row],[Name]],Eingabe[Fehler]))</f>
        <v/>
      </c>
      <c r="I24" s="6" t="str">
        <f>IF(Gesamtzähler[[#This Row],[Spiele]]="","",SUMIF(Eingabe[Name],Gesamtzähler[[#This Row],[Name]],Eingabe[GES]))</f>
        <v/>
      </c>
      <c r="J24" s="6" t="str">
        <f>IF(Gesamtzähler[[#This Row],[Spiele MP]]="","",SUMIF(Eingabe[Name],Gesamtzähler[[#This Row],[Name]],Eingabe[SP]))</f>
        <v/>
      </c>
      <c r="K24" s="6" t="str">
        <f>IF(Gesamtzähler[[#This Row],[Spiele MP]]="","",SUMIF(Eingabe[Name],Gesamtzähler[[#This Row],[Name]],Eingabe[MP]))</f>
        <v/>
      </c>
      <c r="L24" s="6" t="str">
        <f>IF(Gesamtzähler[[#This Row],[Spiele MP]]="","",SUMIF(Eingabe[Name],Gesamtzähler[[#This Row],[Name]],Eingabe[S1]))</f>
        <v/>
      </c>
      <c r="M24" s="6" t="str">
        <f>IF(Gesamtzähler[[#This Row],[Spiele MP]]="","",SUMIF(Eingabe[Name],Gesamtzähler[[#This Row],[Name]],Eingabe[S2]))</f>
        <v/>
      </c>
      <c r="N24" s="6" t="str">
        <f>IF(Gesamtzähler[[#This Row],[Spiele MP]]="","",SUMIF(Eingabe[Name],Gesamtzähler[[#This Row],[Name]],Eingabe[S3]))</f>
        <v/>
      </c>
      <c r="O24" s="6" t="str">
        <f>IF(Gesamtzähler[[#This Row],[Spiele MP]]="","",SUMIF(Eingabe[Name],Gesamtzähler[[#This Row],[Name]],Eingabe[S4]))</f>
        <v/>
      </c>
      <c r="P24" s="6" t="str">
        <f>IF(Gesamtzähler[[#This Row],[Spiele MP]]="","",SUMIF(Eingabe[Name],Gesamtzähler[[#This Row],[Name]],Eingabe[S1P]))</f>
        <v/>
      </c>
      <c r="Q24" s="6" t="str">
        <f>IF(Gesamtzähler[[#This Row],[Spiele MP]]="","",SUMIF(Eingabe[Name],Gesamtzähler[[#This Row],[Name]],Eingabe[S2P]))</f>
        <v/>
      </c>
      <c r="R24" s="6" t="str">
        <f>IF(Gesamtzähler[[#This Row],[Spiele MP]]="","",SUMIF(Eingabe[Name],Gesamtzähler[[#This Row],[Name]],Eingabe[S3P]))</f>
        <v/>
      </c>
      <c r="S24" s="6" t="str">
        <f>IF(Gesamtzähler[[#This Row],[Spiele MP]]="","",SUMIF(Eingabe[Name],Gesamtzähler[[#This Row],[Name]],Eingabe[S4P]))</f>
        <v/>
      </c>
      <c r="T24" s="6" t="str">
        <f>IF(Gesamtzähler[[#This Row],[Spiele MP]]="","",SUMIF(Eingabe[Name],Gesamtzähler[[#This Row],[Name]],Eingabe[GEGGES]))</f>
        <v/>
      </c>
      <c r="U24" s="21" t="str">
        <f>IF(COUNTIFS(Eingabe[Name],Gesamtzähler[[#This Row],[Name]],Eingabe[Wo],"H")=0,"",COUNTIFS(Eingabe[Name],Gesamtzähler[[#This Row],[Name]],Eingabe[Wo],"H"))</f>
        <v/>
      </c>
      <c r="V24" s="6" t="str">
        <f>IF(Gesamtzähler[[#This Row],[Spiele H]]="","",Gesamtzähler[[#This Row],[Spiele H]]-COUNTIFS(Eingabe[Name],Gesamtzähler[[#This Row],[Name]],Eingabe[MP],"",Eingabe[Wo],"H"))</f>
        <v/>
      </c>
      <c r="W24" s="6" t="str">
        <f>IF(Gesamtzähler[[#This Row],[Spiele H]]="","",SUMIFS(Eingabe[Volle],Eingabe[Name],Gesamtzähler[[#This Row],[Name]],Eingabe[Wo],"H"))</f>
        <v/>
      </c>
      <c r="X24" s="6" t="str">
        <f>IF(Gesamtzähler[[#This Row],[Spiele H]]="","",SUMIFS(Eingabe[Räumer],Eingabe[Name],Gesamtzähler[[#This Row],[Name]],Eingabe[Wo],"H"))</f>
        <v/>
      </c>
      <c r="Y24" s="6" t="str">
        <f>IF(Gesamtzähler[[#This Row],[Spiele H]]="","",SUMIFS(Eingabe[Fehler],Eingabe[Name],Gesamtzähler[[#This Row],[Name]],Eingabe[Wo],"H"))</f>
        <v/>
      </c>
      <c r="Z24" s="6" t="str">
        <f>IF(Gesamtzähler[[#This Row],[Spiele MPH]]="","",SUMIFS(Eingabe[S1],Eingabe[Name],Gesamtzähler[[#This Row],[Name]],Eingabe[Wo],"H"))</f>
        <v/>
      </c>
      <c r="AA24" s="6" t="str">
        <f>IF(Gesamtzähler[[#This Row],[Spiele MPH]]="","",SUMIFS(Eingabe[S1P],Eingabe[Name],Gesamtzähler[[#This Row],[Name]],Eingabe[Wo],"H"))</f>
        <v/>
      </c>
      <c r="AB24" s="6" t="str">
        <f>IF(Gesamtzähler[[#This Row],[Spiele MPH]]="","",SUMIFS(Eingabe[S2],Eingabe[Name],Gesamtzähler[[#This Row],[Name]],Eingabe[Wo],"H"))</f>
        <v/>
      </c>
      <c r="AC24" s="6" t="str">
        <f>IF(Gesamtzähler[[#This Row],[Spiele MPH]]="","",SUMIFS(Eingabe[S2P],Eingabe[Name],Gesamtzähler[[#This Row],[Name]],Eingabe[Wo],"H"))</f>
        <v/>
      </c>
      <c r="AD24" s="6" t="str">
        <f>IF(Gesamtzähler[[#This Row],[Spiele MPH]]="","",SUMIFS(Eingabe[S3],Eingabe[Name],Gesamtzähler[[#This Row],[Name]],Eingabe[Wo],"H"))</f>
        <v/>
      </c>
      <c r="AE24" s="6" t="str">
        <f>IF(Gesamtzähler[[#This Row],[Spiele MPH]]="","",SUMIFS(Eingabe[S3P],Eingabe[Name],Gesamtzähler[[#This Row],[Name]],Eingabe[Wo],"H"))</f>
        <v/>
      </c>
      <c r="AF24" s="203" t="str">
        <f>IF(Gesamtzähler[[#This Row],[Spiele MPH]]="","",SUMIFS(Eingabe[S4],Eingabe[Name],Gesamtzähler[[#This Row],[Name]],Eingabe[Wo],"H"))</f>
        <v/>
      </c>
      <c r="AG24" s="6" t="str">
        <f>IF(Gesamtzähler[[#This Row],[Spiele MPH]]="","",SUMIFS(Eingabe[S4P],Eingabe[Name],Gesamtzähler[[#This Row],[Name]],Eingabe[Wo],"H"))</f>
        <v/>
      </c>
      <c r="AH24" s="6" t="str">
        <f>IF(Gesamtzähler[[#This Row],[Spiele MPH]]="","",SUMIFS(Eingabe[GEGGES],Eingabe[Name],Gesamtzähler[[#This Row],[Name]],Eingabe[Wo],"H"))</f>
        <v/>
      </c>
      <c r="AI24" s="6" t="str">
        <f>IF(Gesamtzähler[[#This Row],[Spiele H]]="","",SUMIFS(Eingabe[GES],Eingabe[Name],Gesamtzähler[[#This Row],[Name]],Eingabe[Wo],"H"))</f>
        <v/>
      </c>
      <c r="AJ24" s="6" t="str">
        <f>IF(Gesamtzähler[[#This Row],[Spiele MPH]]="","",SUMIFS(Eingabe[SP],Eingabe[Name],Gesamtzähler[[#This Row],[Name]],Eingabe[Wo],"H"))</f>
        <v/>
      </c>
      <c r="AK24" s="6" t="str">
        <f>IF(Gesamtzähler[[#This Row],[Spiele MPH]]="","",SUMIFS(Eingabe[MP],Eingabe[Name],Gesamtzähler[[#This Row],[Name]],Eingabe[Wo],"H"))</f>
        <v/>
      </c>
      <c r="AL24" s="6" t="str">
        <f>IF(COUNTIFS(Eingabe[Name],Gesamtzähler[[#This Row],[Name]],Eingabe[Wo],"A")=0,"",COUNTIFS(Eingabe[Name],Gesamtzähler[[#This Row],[Name]],Eingabe[Wo],"A"))</f>
        <v/>
      </c>
      <c r="AM24" s="6" t="str">
        <f>IF(Gesamtzähler[[#This Row],[Spiele A]]="","",Gesamtzähler[[#This Row],[Spiele A]]-COUNTIFS(Eingabe[Name],Gesamtzähler[[#This Row],[Name]],Eingabe[MP],"",Eingabe[Wo],"A"))</f>
        <v/>
      </c>
      <c r="AN24" s="6" t="str">
        <f>IF(Gesamtzähler[[#This Row],[Spiele A]]="","",SUMIFS(Eingabe[Volle],Eingabe[Name],Gesamtzähler[[#This Row],[Name]],Eingabe[Wo],"A"))</f>
        <v/>
      </c>
      <c r="AO24" s="6" t="str">
        <f>IF(Gesamtzähler[[#This Row],[Spiele A]]="","",SUMIFS(Eingabe[Räumer],Eingabe[Name],Gesamtzähler[[#This Row],[Name]],Eingabe[Wo],"A"))</f>
        <v/>
      </c>
      <c r="AP24" s="6" t="str">
        <f>IF(Gesamtzähler[[#This Row],[Spiele A]]="","",SUMIFS(Eingabe[Fehler],Eingabe[Name],Gesamtzähler[[#This Row],[Name]],Eingabe[Wo],"A"))</f>
        <v/>
      </c>
      <c r="AQ24" s="6" t="str">
        <f>IF(Gesamtzähler[[#This Row],[Spiele MPA]]="","",SUMIFS(Eingabe[S1],Eingabe[Name],Gesamtzähler[[#This Row],[Name]],Eingabe[Wo],"A"))</f>
        <v/>
      </c>
      <c r="AR24" s="6" t="str">
        <f>IF(Gesamtzähler[[#This Row],[Spiele MPA]]="","",SUMIFS(Eingabe[S1P],Eingabe[Name],Gesamtzähler[[#This Row],[Name]],Eingabe[Wo],"A"))</f>
        <v/>
      </c>
      <c r="AS24" s="6" t="str">
        <f>IF(Gesamtzähler[[#This Row],[Spiele MPA]]="","",SUMIFS(Eingabe[S2],Eingabe[Name],Gesamtzähler[[#This Row],[Name]],Eingabe[Wo],"A"))</f>
        <v/>
      </c>
      <c r="AT24" s="6" t="str">
        <f>IF(Gesamtzähler[[#This Row],[Spiele MPA]]="","",SUMIFS(Eingabe[S2P],Eingabe[Name],Gesamtzähler[[#This Row],[Name]],Eingabe[Wo],"A"))</f>
        <v/>
      </c>
      <c r="AU24" s="6" t="str">
        <f>IF(Gesamtzähler[[#This Row],[Spiele MPA]]="","",SUMIFS(Eingabe[S3],Eingabe[Name],Gesamtzähler[[#This Row],[Name]],Eingabe[Wo],"A"))</f>
        <v/>
      </c>
      <c r="AV24" s="6" t="str">
        <f>IF(Gesamtzähler[[#This Row],[Spiele MPA]]="","",SUMIFS(Eingabe[S3P],Eingabe[Name],Gesamtzähler[[#This Row],[Name]],Eingabe[Wo],"A"))</f>
        <v/>
      </c>
      <c r="AW24" s="6" t="str">
        <f>IF(Gesamtzähler[[#This Row],[Spiele MPA]]="","",SUMIFS(Eingabe[S4],Eingabe[Name],Gesamtzähler[[#This Row],[Name]],Eingabe[Wo],"A"))</f>
        <v/>
      </c>
      <c r="AX24" s="6" t="str">
        <f>IF(Gesamtzähler[[#This Row],[Spiele MPA]]="","",SUMIFS(Eingabe[S4P],Eingabe[Name],Gesamtzähler[[#This Row],[Name]],Eingabe[Wo],"A"))</f>
        <v/>
      </c>
      <c r="AY24" s="6" t="str">
        <f>IF(Gesamtzähler[[#This Row],[Spiele MPA]]="","",SUMIFS(Eingabe[GEGGES],Eingabe[Name],Gesamtzähler[[#This Row],[Name]],Eingabe[Wo],"A"))</f>
        <v/>
      </c>
      <c r="AZ24" s="6" t="str">
        <f>IF(Gesamtzähler[[#This Row],[Spiele A]]="","",SUMIFS(Eingabe[GES],Eingabe[Name],Gesamtzähler[[#This Row],[Name]],Eingabe[Wo],"A"))</f>
        <v/>
      </c>
      <c r="BA24" s="6" t="str">
        <f>IF(Gesamtzähler[[#This Row],[Spiele MPA]]="","",SUMIFS(Eingabe[SP],Eingabe[Name],Gesamtzähler[[#This Row],[Name]],Eingabe[Wo],"A"))</f>
        <v/>
      </c>
      <c r="BB24" s="6" t="str">
        <f>IF(Gesamtzähler[[#This Row],[Spiele MPA]]="","",SUMIFS(Eingabe[MP],Eingabe[Name],Gesamtzähler[[#This Row],[Name]],Eingabe[Wo],"A"))</f>
        <v/>
      </c>
      <c r="BC24" s="6"/>
      <c r="BD24" s="6"/>
      <c r="BE24" s="6"/>
      <c r="BF24" s="6"/>
    </row>
    <row r="25" spans="2:58" x14ac:dyDescent="0.3">
      <c r="B25" s="7" t="str">
        <f>VLOOKUP(ROW(Gesamtzähler[[#This Row],[Name]])-3,Teamzuordnung[],2,FALSE)</f>
        <v>Lea Meinert</v>
      </c>
      <c r="C25" s="6" t="str">
        <f>IF(Gesamtzähler[[#This Row],[Name]]="","",VLOOKUP(Gesamtzähler[[#This Row],[Name]],Teamzuordnung[[Name]:[Team]],2,TRUE))</f>
        <v>F</v>
      </c>
      <c r="D25" s="21">
        <f>IF(COUNTIFS(Eingabe[Name],Gesamtzähler[[#This Row],[Name]])=0,"",COUNTIFS(Eingabe[Name],Gesamtzähler[[#This Row],[Name]]))</f>
        <v>7</v>
      </c>
      <c r="E25" s="6">
        <f>IF(Gesamtzähler[[#This Row],[Spiele]]="","",IF(Gesamtzähler[[#This Row],[Spiele]]-COUNTIFS(Eingabe[Name],Gesamtzähler[[#This Row],[Name]],Eingabe[MP],"")=0,"",Gesamtzähler[[#This Row],[Spiele]]-COUNTIFS(Eingabe[Name],Gesamtzähler[[#This Row],[Name]],Eingabe[MP],"")))</f>
        <v>5</v>
      </c>
      <c r="F25" s="6">
        <f>IF(Gesamtzähler[[#This Row],[Spiele]]="","",SUMIF(Eingabe[Name],Gesamtzähler[[#This Row],[Name]],Eingabe[Volle]))</f>
        <v>2448</v>
      </c>
      <c r="G25" s="6">
        <f>IF(Gesamtzähler[[#This Row],[Spiele]]="","",SUMIF(Eingabe[Name],Gesamtzähler[[#This Row],[Name]],Eingabe[Räumer]))</f>
        <v>1015</v>
      </c>
      <c r="H25" s="6">
        <f>IF(Gesamtzähler[[#This Row],[Spiele]]="","",SUMIF(Eingabe[Name],Gesamtzähler[[#This Row],[Name]],Eingabe[Fehler]))</f>
        <v>63</v>
      </c>
      <c r="I25" s="6">
        <f>IF(Gesamtzähler[[#This Row],[Spiele]]="","",SUMIF(Eingabe[Name],Gesamtzähler[[#This Row],[Name]],Eingabe[GES]))</f>
        <v>3463</v>
      </c>
      <c r="J25" s="6">
        <f>IF(Gesamtzähler[[#This Row],[Spiele MP]]="","",SUMIF(Eingabe[Name],Gesamtzähler[[#This Row],[Name]],Eingabe[SP]))</f>
        <v>10</v>
      </c>
      <c r="K25" s="6">
        <f>IF(Gesamtzähler[[#This Row],[Spiele MP]]="","",SUMIF(Eingabe[Name],Gesamtzähler[[#This Row],[Name]],Eingabe[MP]))</f>
        <v>2</v>
      </c>
      <c r="L25" s="6">
        <f>IF(Gesamtzähler[[#This Row],[Spiele MP]]="","",SUMIF(Eingabe[Name],Gesamtzähler[[#This Row],[Name]],Eingabe[S1]))</f>
        <v>872</v>
      </c>
      <c r="M25" s="6">
        <f>IF(Gesamtzähler[[#This Row],[Spiele MP]]="","",SUMIF(Eingabe[Name],Gesamtzähler[[#This Row],[Name]],Eingabe[S2]))</f>
        <v>830</v>
      </c>
      <c r="N25" s="6">
        <f>IF(Gesamtzähler[[#This Row],[Spiele MP]]="","",SUMIF(Eingabe[Name],Gesamtzähler[[#This Row],[Name]],Eingabe[S3]))</f>
        <v>893</v>
      </c>
      <c r="O25" s="6">
        <f>IF(Gesamtzähler[[#This Row],[Spiele MP]]="","",SUMIF(Eingabe[Name],Gesamtzähler[[#This Row],[Name]],Eingabe[S4]))</f>
        <v>868</v>
      </c>
      <c r="P25" s="6">
        <f>IF(Gesamtzähler[[#This Row],[Spiele MP]]="","",SUMIF(Eingabe[Name],Gesamtzähler[[#This Row],[Name]],Eingabe[S1P]))</f>
        <v>2</v>
      </c>
      <c r="Q25" s="6">
        <f>IF(Gesamtzähler[[#This Row],[Spiele MP]]="","",SUMIF(Eingabe[Name],Gesamtzähler[[#This Row],[Name]],Eingabe[S2P]))</f>
        <v>2</v>
      </c>
      <c r="R25" s="6">
        <f>IF(Gesamtzähler[[#This Row],[Spiele MP]]="","",SUMIF(Eingabe[Name],Gesamtzähler[[#This Row],[Name]],Eingabe[S3P]))</f>
        <v>3</v>
      </c>
      <c r="S25" s="6">
        <f>IF(Gesamtzähler[[#This Row],[Spiele MP]]="","",SUMIF(Eingabe[Name],Gesamtzähler[[#This Row],[Name]],Eingabe[S4P]))</f>
        <v>3</v>
      </c>
      <c r="T25" s="6">
        <f>IF(Gesamtzähler[[#This Row],[Spiele MP]]="","",SUMIF(Eingabe[Name],Gesamtzähler[[#This Row],[Name]],Eingabe[GEGGES]))</f>
        <v>2388</v>
      </c>
      <c r="U25" s="21">
        <f>IF(COUNTIFS(Eingabe[Name],Gesamtzähler[[#This Row],[Name]],Eingabe[Wo],"H")=0,"",COUNTIFS(Eingabe[Name],Gesamtzähler[[#This Row],[Name]],Eingabe[Wo],"H"))</f>
        <v>2</v>
      </c>
      <c r="V25" s="6">
        <f>IF(Gesamtzähler[[#This Row],[Spiele H]]="","",Gesamtzähler[[#This Row],[Spiele H]]-COUNTIFS(Eingabe[Name],Gesamtzähler[[#This Row],[Name]],Eingabe[MP],"",Eingabe[Wo],"H"))</f>
        <v>2</v>
      </c>
      <c r="W25" s="6">
        <f>IF(Gesamtzähler[[#This Row],[Spiele H]]="","",SUMIFS(Eingabe[Volle],Eingabe[Name],Gesamtzähler[[#This Row],[Name]],Eingabe[Wo],"H"))</f>
        <v>740</v>
      </c>
      <c r="X25" s="6">
        <f>IF(Gesamtzähler[[#This Row],[Spiele H]]="","",SUMIFS(Eingabe[Räumer],Eingabe[Name],Gesamtzähler[[#This Row],[Name]],Eingabe[Wo],"H"))</f>
        <v>307</v>
      </c>
      <c r="Y25" s="6">
        <f>IF(Gesamtzähler[[#This Row],[Spiele H]]="","",SUMIFS(Eingabe[Fehler],Eingabe[Name],Gesamtzähler[[#This Row],[Name]],Eingabe[Wo],"H"))</f>
        <v>18</v>
      </c>
      <c r="Z25" s="6">
        <f>IF(Gesamtzähler[[#This Row],[Spiele MPH]]="","",SUMIFS(Eingabe[S1],Eingabe[Name],Gesamtzähler[[#This Row],[Name]],Eingabe[Wo],"H"))</f>
        <v>254</v>
      </c>
      <c r="AA25" s="6">
        <f>IF(Gesamtzähler[[#This Row],[Spiele MPH]]="","",SUMIFS(Eingabe[S1P],Eingabe[Name],Gesamtzähler[[#This Row],[Name]],Eingabe[Wo],"H"))</f>
        <v>2</v>
      </c>
      <c r="AB25" s="6">
        <f>IF(Gesamtzähler[[#This Row],[Spiele MPH]]="","",SUMIFS(Eingabe[S2],Eingabe[Name],Gesamtzähler[[#This Row],[Name]],Eingabe[Wo],"H"))</f>
        <v>238</v>
      </c>
      <c r="AC25" s="6">
        <f>IF(Gesamtzähler[[#This Row],[Spiele MPH]]="","",SUMIFS(Eingabe[S2P],Eingabe[Name],Gesamtzähler[[#This Row],[Name]],Eingabe[Wo],"H"))</f>
        <v>2</v>
      </c>
      <c r="AD25" s="6">
        <f>IF(Gesamtzähler[[#This Row],[Spiele MPH]]="","",SUMIFS(Eingabe[S3],Eingabe[Name],Gesamtzähler[[#This Row],[Name]],Eingabe[Wo],"H"))</f>
        <v>281</v>
      </c>
      <c r="AE25" s="6">
        <f>IF(Gesamtzähler[[#This Row],[Spiele MPH]]="","",SUMIFS(Eingabe[S3P],Eingabe[Name],Gesamtzähler[[#This Row],[Name]],Eingabe[Wo],"H"))</f>
        <v>2</v>
      </c>
      <c r="AF25" s="203">
        <f>IF(Gesamtzähler[[#This Row],[Spiele MPH]]="","",SUMIFS(Eingabe[S4],Eingabe[Name],Gesamtzähler[[#This Row],[Name]],Eingabe[Wo],"H"))</f>
        <v>274</v>
      </c>
      <c r="AG25" s="6">
        <f>IF(Gesamtzähler[[#This Row],[Spiele MPH]]="","",SUMIFS(Eingabe[S4P],Eingabe[Name],Gesamtzähler[[#This Row],[Name]],Eingabe[Wo],"H"))</f>
        <v>2</v>
      </c>
      <c r="AH25" s="6">
        <f>IF(Gesamtzähler[[#This Row],[Spiele MPH]]="","",SUMIFS(Eingabe[GEGGES],Eingabe[Name],Gesamtzähler[[#This Row],[Name]],Eingabe[Wo],"H"))</f>
        <v>867</v>
      </c>
      <c r="AI25" s="6">
        <f>IF(Gesamtzähler[[#This Row],[Spiele H]]="","",SUMIFS(Eingabe[GES],Eingabe[Name],Gesamtzähler[[#This Row],[Name]],Eingabe[Wo],"H"))</f>
        <v>1047</v>
      </c>
      <c r="AJ25" s="6">
        <f>IF(Gesamtzähler[[#This Row],[Spiele MPH]]="","",SUMIFS(Eingabe[SP],Eingabe[Name],Gesamtzähler[[#This Row],[Name]],Eingabe[Wo],"H"))</f>
        <v>8</v>
      </c>
      <c r="AK25" s="6">
        <f>IF(Gesamtzähler[[#This Row],[Spiele MPH]]="","",SUMIFS(Eingabe[MP],Eingabe[Name],Gesamtzähler[[#This Row],[Name]],Eingabe[Wo],"H"))</f>
        <v>2</v>
      </c>
      <c r="AL25" s="6">
        <f>IF(COUNTIFS(Eingabe[Name],Gesamtzähler[[#This Row],[Name]],Eingabe[Wo],"A")=0,"",COUNTIFS(Eingabe[Name],Gesamtzähler[[#This Row],[Name]],Eingabe[Wo],"A"))</f>
        <v>5</v>
      </c>
      <c r="AM25" s="6">
        <f>IF(Gesamtzähler[[#This Row],[Spiele A]]="","",Gesamtzähler[[#This Row],[Spiele A]]-COUNTIFS(Eingabe[Name],Gesamtzähler[[#This Row],[Name]],Eingabe[MP],"",Eingabe[Wo],"A"))</f>
        <v>3</v>
      </c>
      <c r="AN25" s="6">
        <f>IF(Gesamtzähler[[#This Row],[Spiele A]]="","",SUMIFS(Eingabe[Volle],Eingabe[Name],Gesamtzähler[[#This Row],[Name]],Eingabe[Wo],"A"))</f>
        <v>1708</v>
      </c>
      <c r="AO25" s="6">
        <f>IF(Gesamtzähler[[#This Row],[Spiele A]]="","",SUMIFS(Eingabe[Räumer],Eingabe[Name],Gesamtzähler[[#This Row],[Name]],Eingabe[Wo],"A"))</f>
        <v>708</v>
      </c>
      <c r="AP25" s="6">
        <f>IF(Gesamtzähler[[#This Row],[Spiele A]]="","",SUMIFS(Eingabe[Fehler],Eingabe[Name],Gesamtzähler[[#This Row],[Name]],Eingabe[Wo],"A"))</f>
        <v>45</v>
      </c>
      <c r="AQ25" s="6">
        <f>IF(Gesamtzähler[[#This Row],[Spiele MPA]]="","",SUMIFS(Eingabe[S1],Eingabe[Name],Gesamtzähler[[#This Row],[Name]],Eingabe[Wo],"A"))</f>
        <v>618</v>
      </c>
      <c r="AR25" s="6">
        <f>IF(Gesamtzähler[[#This Row],[Spiele MPA]]="","",SUMIFS(Eingabe[S1P],Eingabe[Name],Gesamtzähler[[#This Row],[Name]],Eingabe[Wo],"A"))</f>
        <v>0</v>
      </c>
      <c r="AS25" s="6">
        <f>IF(Gesamtzähler[[#This Row],[Spiele MPA]]="","",SUMIFS(Eingabe[S2],Eingabe[Name],Gesamtzähler[[#This Row],[Name]],Eingabe[Wo],"A"))</f>
        <v>592</v>
      </c>
      <c r="AT25" s="6">
        <f>IF(Gesamtzähler[[#This Row],[Spiele MPA]]="","",SUMIFS(Eingabe[S2P],Eingabe[Name],Gesamtzähler[[#This Row],[Name]],Eingabe[Wo],"A"))</f>
        <v>0</v>
      </c>
      <c r="AU25" s="6">
        <f>IF(Gesamtzähler[[#This Row],[Spiele MPA]]="","",SUMIFS(Eingabe[S3],Eingabe[Name],Gesamtzähler[[#This Row],[Name]],Eingabe[Wo],"A"))</f>
        <v>612</v>
      </c>
      <c r="AV25" s="6">
        <f>IF(Gesamtzähler[[#This Row],[Spiele MPA]]="","",SUMIFS(Eingabe[S3P],Eingabe[Name],Gesamtzähler[[#This Row],[Name]],Eingabe[Wo],"A"))</f>
        <v>1</v>
      </c>
      <c r="AW25" s="6">
        <f>IF(Gesamtzähler[[#This Row],[Spiele MPA]]="","",SUMIFS(Eingabe[S4],Eingabe[Name],Gesamtzähler[[#This Row],[Name]],Eingabe[Wo],"A"))</f>
        <v>594</v>
      </c>
      <c r="AX25" s="6">
        <f>IF(Gesamtzähler[[#This Row],[Spiele MPA]]="","",SUMIFS(Eingabe[S4P],Eingabe[Name],Gesamtzähler[[#This Row],[Name]],Eingabe[Wo],"A"))</f>
        <v>1</v>
      </c>
      <c r="AY25" s="6">
        <f>IF(Gesamtzähler[[#This Row],[Spiele MPA]]="","",SUMIFS(Eingabe[GEGGES],Eingabe[Name],Gesamtzähler[[#This Row],[Name]],Eingabe[Wo],"A"))</f>
        <v>1521</v>
      </c>
      <c r="AZ25" s="6">
        <f>IF(Gesamtzähler[[#This Row],[Spiele A]]="","",SUMIFS(Eingabe[GES],Eingabe[Name],Gesamtzähler[[#This Row],[Name]],Eingabe[Wo],"A"))</f>
        <v>2416</v>
      </c>
      <c r="BA25" s="6">
        <f>IF(Gesamtzähler[[#This Row],[Spiele MPA]]="","",SUMIFS(Eingabe[SP],Eingabe[Name],Gesamtzähler[[#This Row],[Name]],Eingabe[Wo],"A"))</f>
        <v>2</v>
      </c>
      <c r="BB25" s="6">
        <f>IF(Gesamtzähler[[#This Row],[Spiele MPA]]="","",SUMIFS(Eingabe[MP],Eingabe[Name],Gesamtzähler[[#This Row],[Name]],Eingabe[Wo],"A"))</f>
        <v>0</v>
      </c>
      <c r="BC25" s="6"/>
      <c r="BD25" s="6"/>
      <c r="BE25" s="6"/>
      <c r="BF25" s="6"/>
    </row>
    <row r="26" spans="2:58" x14ac:dyDescent="0.3">
      <c r="B26" s="7" t="str">
        <f>VLOOKUP(ROW(Gesamtzähler[[#This Row],[Name]])-3,Teamzuordnung[],2,FALSE)</f>
        <v>Lisa Marutschke</v>
      </c>
      <c r="C26" s="6" t="str">
        <f>IF(Gesamtzähler[[#This Row],[Name]]="","",VLOOKUP(Gesamtzähler[[#This Row],[Name]],Teamzuordnung[[Name]:[Team]],2,TRUE))</f>
        <v>U14</v>
      </c>
      <c r="D26" s="21">
        <f>IF(COUNTIFS(Eingabe[Name],Gesamtzähler[[#This Row],[Name]])=0,"",COUNTIFS(Eingabe[Name],Gesamtzähler[[#This Row],[Name]]))</f>
        <v>9</v>
      </c>
      <c r="E26" s="6" t="str">
        <f>IF(Gesamtzähler[[#This Row],[Spiele]]="","",IF(Gesamtzähler[[#This Row],[Spiele]]-COUNTIFS(Eingabe[Name],Gesamtzähler[[#This Row],[Name]],Eingabe[MP],"")=0,"",Gesamtzähler[[#This Row],[Spiele]]-COUNTIFS(Eingabe[Name],Gesamtzähler[[#This Row],[Name]],Eingabe[MP],"")))</f>
        <v/>
      </c>
      <c r="F26" s="6">
        <f>IF(Gesamtzähler[[#This Row],[Spiele]]="","",SUMIF(Eingabe[Name],Gesamtzähler[[#This Row],[Name]],Eingabe[Volle]))</f>
        <v>2453</v>
      </c>
      <c r="G26" s="6">
        <f>IF(Gesamtzähler[[#This Row],[Spiele]]="","",SUMIF(Eingabe[Name],Gesamtzähler[[#This Row],[Name]],Eingabe[Räumer]))</f>
        <v>813</v>
      </c>
      <c r="H26" s="6">
        <f>IF(Gesamtzähler[[#This Row],[Spiele]]="","",SUMIF(Eingabe[Name],Gesamtzähler[[#This Row],[Name]],Eingabe[Fehler]))</f>
        <v>256</v>
      </c>
      <c r="I26" s="6">
        <f>IF(Gesamtzähler[[#This Row],[Spiele]]="","",SUMIF(Eingabe[Name],Gesamtzähler[[#This Row],[Name]],Eingabe[GES]))</f>
        <v>3266</v>
      </c>
      <c r="J26" s="6" t="str">
        <f>IF(Gesamtzähler[[#This Row],[Spiele MP]]="","",SUMIF(Eingabe[Name],Gesamtzähler[[#This Row],[Name]],Eingabe[SP]))</f>
        <v/>
      </c>
      <c r="K26" s="6" t="str">
        <f>IF(Gesamtzähler[[#This Row],[Spiele MP]]="","",SUMIF(Eingabe[Name],Gesamtzähler[[#This Row],[Name]],Eingabe[MP]))</f>
        <v/>
      </c>
      <c r="L26" s="6" t="str">
        <f>IF(Gesamtzähler[[#This Row],[Spiele MP]]="","",SUMIF(Eingabe[Name],Gesamtzähler[[#This Row],[Name]],Eingabe[S1]))</f>
        <v/>
      </c>
      <c r="M26" s="6" t="str">
        <f>IF(Gesamtzähler[[#This Row],[Spiele MP]]="","",SUMIF(Eingabe[Name],Gesamtzähler[[#This Row],[Name]],Eingabe[S2]))</f>
        <v/>
      </c>
      <c r="N26" s="6" t="str">
        <f>IF(Gesamtzähler[[#This Row],[Spiele MP]]="","",SUMIF(Eingabe[Name],Gesamtzähler[[#This Row],[Name]],Eingabe[S3]))</f>
        <v/>
      </c>
      <c r="O26" s="6" t="str">
        <f>IF(Gesamtzähler[[#This Row],[Spiele MP]]="","",SUMIF(Eingabe[Name],Gesamtzähler[[#This Row],[Name]],Eingabe[S4]))</f>
        <v/>
      </c>
      <c r="P26" s="6" t="str">
        <f>IF(Gesamtzähler[[#This Row],[Spiele MP]]="","",SUMIF(Eingabe[Name],Gesamtzähler[[#This Row],[Name]],Eingabe[S1P]))</f>
        <v/>
      </c>
      <c r="Q26" s="6" t="str">
        <f>IF(Gesamtzähler[[#This Row],[Spiele MP]]="","",SUMIF(Eingabe[Name],Gesamtzähler[[#This Row],[Name]],Eingabe[S2P]))</f>
        <v/>
      </c>
      <c r="R26" s="6" t="str">
        <f>IF(Gesamtzähler[[#This Row],[Spiele MP]]="","",SUMIF(Eingabe[Name],Gesamtzähler[[#This Row],[Name]],Eingabe[S3P]))</f>
        <v/>
      </c>
      <c r="S26" s="6" t="str">
        <f>IF(Gesamtzähler[[#This Row],[Spiele MP]]="","",SUMIF(Eingabe[Name],Gesamtzähler[[#This Row],[Name]],Eingabe[S4P]))</f>
        <v/>
      </c>
      <c r="T26" s="6" t="str">
        <f>IF(Gesamtzähler[[#This Row],[Spiele MP]]="","",SUMIF(Eingabe[Name],Gesamtzähler[[#This Row],[Name]],Eingabe[GEGGES]))</f>
        <v/>
      </c>
      <c r="U26" s="21">
        <f>IF(COUNTIFS(Eingabe[Name],Gesamtzähler[[#This Row],[Name]],Eingabe[Wo],"H")=0,"",COUNTIFS(Eingabe[Name],Gesamtzähler[[#This Row],[Name]],Eingabe[Wo],"H"))</f>
        <v>2</v>
      </c>
      <c r="V26" s="6">
        <f>IF(Gesamtzähler[[#This Row],[Spiele H]]="","",Gesamtzähler[[#This Row],[Spiele H]]-COUNTIFS(Eingabe[Name],Gesamtzähler[[#This Row],[Name]],Eingabe[MP],"",Eingabe[Wo],"H"))</f>
        <v>0</v>
      </c>
      <c r="W26" s="6">
        <f>IF(Gesamtzähler[[#This Row],[Spiele H]]="","",SUMIFS(Eingabe[Volle],Eingabe[Name],Gesamtzähler[[#This Row],[Name]],Eingabe[Wo],"H"))</f>
        <v>535</v>
      </c>
      <c r="X26" s="6">
        <f>IF(Gesamtzähler[[#This Row],[Spiele H]]="","",SUMIFS(Eingabe[Räumer],Eingabe[Name],Gesamtzähler[[#This Row],[Name]],Eingabe[Wo],"H"))</f>
        <v>187</v>
      </c>
      <c r="Y26" s="6">
        <f>IF(Gesamtzähler[[#This Row],[Spiele H]]="","",SUMIFS(Eingabe[Fehler],Eingabe[Name],Gesamtzähler[[#This Row],[Name]],Eingabe[Wo],"H"))</f>
        <v>57</v>
      </c>
      <c r="Z26" s="6">
        <f>IF(Gesamtzähler[[#This Row],[Spiele MPH]]="","",SUMIFS(Eingabe[S1],Eingabe[Name],Gesamtzähler[[#This Row],[Name]],Eingabe[Wo],"H"))</f>
        <v>177</v>
      </c>
      <c r="AA26" s="6">
        <f>IF(Gesamtzähler[[#This Row],[Spiele MPH]]="","",SUMIFS(Eingabe[S1P],Eingabe[Name],Gesamtzähler[[#This Row],[Name]],Eingabe[Wo],"H"))</f>
        <v>0</v>
      </c>
      <c r="AB26" s="6">
        <f>IF(Gesamtzähler[[#This Row],[Spiele MPH]]="","",SUMIFS(Eingabe[S2],Eingabe[Name],Gesamtzähler[[#This Row],[Name]],Eingabe[Wo],"H"))</f>
        <v>165</v>
      </c>
      <c r="AC26" s="6">
        <f>IF(Gesamtzähler[[#This Row],[Spiele MPH]]="","",SUMIFS(Eingabe[S2P],Eingabe[Name],Gesamtzähler[[#This Row],[Name]],Eingabe[Wo],"H"))</f>
        <v>0</v>
      </c>
      <c r="AD26" s="6">
        <f>IF(Gesamtzähler[[#This Row],[Spiele MPH]]="","",SUMIFS(Eingabe[S3],Eingabe[Name],Gesamtzähler[[#This Row],[Name]],Eingabe[Wo],"H"))</f>
        <v>186</v>
      </c>
      <c r="AE26" s="6">
        <f>IF(Gesamtzähler[[#This Row],[Spiele MPH]]="","",SUMIFS(Eingabe[S3P],Eingabe[Name],Gesamtzähler[[#This Row],[Name]],Eingabe[Wo],"H"))</f>
        <v>0</v>
      </c>
      <c r="AF26" s="203">
        <f>IF(Gesamtzähler[[#This Row],[Spiele MPH]]="","",SUMIFS(Eingabe[S4],Eingabe[Name],Gesamtzähler[[#This Row],[Name]],Eingabe[Wo],"H"))</f>
        <v>194</v>
      </c>
      <c r="AG26" s="6">
        <f>IF(Gesamtzähler[[#This Row],[Spiele MPH]]="","",SUMIFS(Eingabe[S4P],Eingabe[Name],Gesamtzähler[[#This Row],[Name]],Eingabe[Wo],"H"))</f>
        <v>0</v>
      </c>
      <c r="AH26" s="6">
        <f>IF(Gesamtzähler[[#This Row],[Spiele MPH]]="","",SUMIFS(Eingabe[GEGGES],Eingabe[Name],Gesamtzähler[[#This Row],[Name]],Eingabe[Wo],"H"))</f>
        <v>0</v>
      </c>
      <c r="AI26" s="6">
        <f>IF(Gesamtzähler[[#This Row],[Spiele H]]="","",SUMIFS(Eingabe[GES],Eingabe[Name],Gesamtzähler[[#This Row],[Name]],Eingabe[Wo],"H"))</f>
        <v>722</v>
      </c>
      <c r="AJ26" s="6">
        <f>IF(Gesamtzähler[[#This Row],[Spiele MPH]]="","",SUMIFS(Eingabe[SP],Eingabe[Name],Gesamtzähler[[#This Row],[Name]],Eingabe[Wo],"H"))</f>
        <v>0</v>
      </c>
      <c r="AK26" s="6">
        <f>IF(Gesamtzähler[[#This Row],[Spiele MPH]]="","",SUMIFS(Eingabe[MP],Eingabe[Name],Gesamtzähler[[#This Row],[Name]],Eingabe[Wo],"H"))</f>
        <v>0</v>
      </c>
      <c r="AL26" s="6">
        <f>IF(COUNTIFS(Eingabe[Name],Gesamtzähler[[#This Row],[Name]],Eingabe[Wo],"A")=0,"",COUNTIFS(Eingabe[Name],Gesamtzähler[[#This Row],[Name]],Eingabe[Wo],"A"))</f>
        <v>7</v>
      </c>
      <c r="AM26" s="6">
        <f>IF(Gesamtzähler[[#This Row],[Spiele A]]="","",Gesamtzähler[[#This Row],[Spiele A]]-COUNTIFS(Eingabe[Name],Gesamtzähler[[#This Row],[Name]],Eingabe[MP],"",Eingabe[Wo],"A"))</f>
        <v>0</v>
      </c>
      <c r="AN26" s="6">
        <f>IF(Gesamtzähler[[#This Row],[Spiele A]]="","",SUMIFS(Eingabe[Volle],Eingabe[Name],Gesamtzähler[[#This Row],[Name]],Eingabe[Wo],"A"))</f>
        <v>1918</v>
      </c>
      <c r="AO26" s="6">
        <f>IF(Gesamtzähler[[#This Row],[Spiele A]]="","",SUMIFS(Eingabe[Räumer],Eingabe[Name],Gesamtzähler[[#This Row],[Name]],Eingabe[Wo],"A"))</f>
        <v>626</v>
      </c>
      <c r="AP26" s="6">
        <f>IF(Gesamtzähler[[#This Row],[Spiele A]]="","",SUMIFS(Eingabe[Fehler],Eingabe[Name],Gesamtzähler[[#This Row],[Name]],Eingabe[Wo],"A"))</f>
        <v>199</v>
      </c>
      <c r="AQ26" s="6">
        <f>IF(Gesamtzähler[[#This Row],[Spiele MPA]]="","",SUMIFS(Eingabe[S1],Eingabe[Name],Gesamtzähler[[#This Row],[Name]],Eingabe[Wo],"A"))</f>
        <v>574</v>
      </c>
      <c r="AR26" s="6">
        <f>IF(Gesamtzähler[[#This Row],[Spiele MPA]]="","",SUMIFS(Eingabe[S1P],Eingabe[Name],Gesamtzähler[[#This Row],[Name]],Eingabe[Wo],"A"))</f>
        <v>0</v>
      </c>
      <c r="AS26" s="6">
        <f>IF(Gesamtzähler[[#This Row],[Spiele MPA]]="","",SUMIFS(Eingabe[S2],Eingabe[Name],Gesamtzähler[[#This Row],[Name]],Eingabe[Wo],"A"))</f>
        <v>635</v>
      </c>
      <c r="AT26" s="6">
        <f>IF(Gesamtzähler[[#This Row],[Spiele MPA]]="","",SUMIFS(Eingabe[S2P],Eingabe[Name],Gesamtzähler[[#This Row],[Name]],Eingabe[Wo],"A"))</f>
        <v>0</v>
      </c>
      <c r="AU26" s="6">
        <f>IF(Gesamtzähler[[#This Row],[Spiele MPA]]="","",SUMIFS(Eingabe[S3],Eingabe[Name],Gesamtzähler[[#This Row],[Name]],Eingabe[Wo],"A"))</f>
        <v>643</v>
      </c>
      <c r="AV26" s="6">
        <f>IF(Gesamtzähler[[#This Row],[Spiele MPA]]="","",SUMIFS(Eingabe[S3P],Eingabe[Name],Gesamtzähler[[#This Row],[Name]],Eingabe[Wo],"A"))</f>
        <v>0</v>
      </c>
      <c r="AW26" s="6">
        <f>IF(Gesamtzähler[[#This Row],[Spiele MPA]]="","",SUMIFS(Eingabe[S4],Eingabe[Name],Gesamtzähler[[#This Row],[Name]],Eingabe[Wo],"A"))</f>
        <v>692</v>
      </c>
      <c r="AX26" s="6">
        <f>IF(Gesamtzähler[[#This Row],[Spiele MPA]]="","",SUMIFS(Eingabe[S4P],Eingabe[Name],Gesamtzähler[[#This Row],[Name]],Eingabe[Wo],"A"))</f>
        <v>0</v>
      </c>
      <c r="AY26" s="6">
        <f>IF(Gesamtzähler[[#This Row],[Spiele MPA]]="","",SUMIFS(Eingabe[GEGGES],Eingabe[Name],Gesamtzähler[[#This Row],[Name]],Eingabe[Wo],"A"))</f>
        <v>0</v>
      </c>
      <c r="AZ26" s="6">
        <f>IF(Gesamtzähler[[#This Row],[Spiele A]]="","",SUMIFS(Eingabe[GES],Eingabe[Name],Gesamtzähler[[#This Row],[Name]],Eingabe[Wo],"A"))</f>
        <v>2544</v>
      </c>
      <c r="BA26" s="6">
        <f>IF(Gesamtzähler[[#This Row],[Spiele MPA]]="","",SUMIFS(Eingabe[SP],Eingabe[Name],Gesamtzähler[[#This Row],[Name]],Eingabe[Wo],"A"))</f>
        <v>0</v>
      </c>
      <c r="BB26" s="6">
        <f>IF(Gesamtzähler[[#This Row],[Spiele MPA]]="","",SUMIFS(Eingabe[MP],Eingabe[Name],Gesamtzähler[[#This Row],[Name]],Eingabe[Wo],"A"))</f>
        <v>0</v>
      </c>
      <c r="BC26" s="6"/>
      <c r="BD26" s="6"/>
      <c r="BE26" s="6"/>
      <c r="BF26" s="6"/>
    </row>
    <row r="27" spans="2:58" x14ac:dyDescent="0.3">
      <c r="B27" s="7" t="str">
        <f>VLOOKUP(ROW(Gesamtzähler[[#This Row],[Name]])-3,Teamzuordnung[],2,FALSE)</f>
        <v>Luca Landau</v>
      </c>
      <c r="C27" s="6" t="str">
        <f>IF(Gesamtzähler[[#This Row],[Name]]="","",VLOOKUP(Gesamtzähler[[#This Row],[Name]],Teamzuordnung[[Name]:[Team]],2,TRUE))</f>
        <v>D</v>
      </c>
      <c r="D27" s="21" t="str">
        <f>IF(COUNTIFS(Eingabe[Name],Gesamtzähler[[#This Row],[Name]])=0,"",COUNTIFS(Eingabe[Name],Gesamtzähler[[#This Row],[Name]]))</f>
        <v/>
      </c>
      <c r="E27" s="6" t="str">
        <f>IF(Gesamtzähler[[#This Row],[Spiele]]="","",IF(Gesamtzähler[[#This Row],[Spiele]]-COUNTIFS(Eingabe[Name],Gesamtzähler[[#This Row],[Name]],Eingabe[MP],"")=0,"",Gesamtzähler[[#This Row],[Spiele]]-COUNTIFS(Eingabe[Name],Gesamtzähler[[#This Row],[Name]],Eingabe[MP],"")))</f>
        <v/>
      </c>
      <c r="F27" s="6" t="str">
        <f>IF(Gesamtzähler[[#This Row],[Spiele]]="","",SUMIF(Eingabe[Name],Gesamtzähler[[#This Row],[Name]],Eingabe[Volle]))</f>
        <v/>
      </c>
      <c r="G27" s="6" t="str">
        <f>IF(Gesamtzähler[[#This Row],[Spiele]]="","",SUMIF(Eingabe[Name],Gesamtzähler[[#This Row],[Name]],Eingabe[Räumer]))</f>
        <v/>
      </c>
      <c r="H27" s="6" t="str">
        <f>IF(Gesamtzähler[[#This Row],[Spiele]]="","",SUMIF(Eingabe[Name],Gesamtzähler[[#This Row],[Name]],Eingabe[Fehler]))</f>
        <v/>
      </c>
      <c r="I27" s="6" t="str">
        <f>IF(Gesamtzähler[[#This Row],[Spiele]]="","",SUMIF(Eingabe[Name],Gesamtzähler[[#This Row],[Name]],Eingabe[GES]))</f>
        <v/>
      </c>
      <c r="J27" s="6" t="str">
        <f>IF(Gesamtzähler[[#This Row],[Spiele MP]]="","",SUMIF(Eingabe[Name],Gesamtzähler[[#This Row],[Name]],Eingabe[SP]))</f>
        <v/>
      </c>
      <c r="K27" s="6" t="str">
        <f>IF(Gesamtzähler[[#This Row],[Spiele MP]]="","",SUMIF(Eingabe[Name],Gesamtzähler[[#This Row],[Name]],Eingabe[MP]))</f>
        <v/>
      </c>
      <c r="L27" s="6" t="str">
        <f>IF(Gesamtzähler[[#This Row],[Spiele MP]]="","",SUMIF(Eingabe[Name],Gesamtzähler[[#This Row],[Name]],Eingabe[S1]))</f>
        <v/>
      </c>
      <c r="M27" s="6" t="str">
        <f>IF(Gesamtzähler[[#This Row],[Spiele MP]]="","",SUMIF(Eingabe[Name],Gesamtzähler[[#This Row],[Name]],Eingabe[S2]))</f>
        <v/>
      </c>
      <c r="N27" s="6" t="str">
        <f>IF(Gesamtzähler[[#This Row],[Spiele MP]]="","",SUMIF(Eingabe[Name],Gesamtzähler[[#This Row],[Name]],Eingabe[S3]))</f>
        <v/>
      </c>
      <c r="O27" s="6" t="str">
        <f>IF(Gesamtzähler[[#This Row],[Spiele MP]]="","",SUMIF(Eingabe[Name],Gesamtzähler[[#This Row],[Name]],Eingabe[S4]))</f>
        <v/>
      </c>
      <c r="P27" s="6" t="str">
        <f>IF(Gesamtzähler[[#This Row],[Spiele MP]]="","",SUMIF(Eingabe[Name],Gesamtzähler[[#This Row],[Name]],Eingabe[S1P]))</f>
        <v/>
      </c>
      <c r="Q27" s="6" t="str">
        <f>IF(Gesamtzähler[[#This Row],[Spiele MP]]="","",SUMIF(Eingabe[Name],Gesamtzähler[[#This Row],[Name]],Eingabe[S2P]))</f>
        <v/>
      </c>
      <c r="R27" s="6" t="str">
        <f>IF(Gesamtzähler[[#This Row],[Spiele MP]]="","",SUMIF(Eingabe[Name],Gesamtzähler[[#This Row],[Name]],Eingabe[S3P]))</f>
        <v/>
      </c>
      <c r="S27" s="6" t="str">
        <f>IF(Gesamtzähler[[#This Row],[Spiele MP]]="","",SUMIF(Eingabe[Name],Gesamtzähler[[#This Row],[Name]],Eingabe[S4P]))</f>
        <v/>
      </c>
      <c r="T27" s="6" t="str">
        <f>IF(Gesamtzähler[[#This Row],[Spiele MP]]="","",SUMIF(Eingabe[Name],Gesamtzähler[[#This Row],[Name]],Eingabe[GEGGES]))</f>
        <v/>
      </c>
      <c r="U27" s="21" t="str">
        <f>IF(COUNTIFS(Eingabe[Name],Gesamtzähler[[#This Row],[Name]],Eingabe[Wo],"H")=0,"",COUNTIFS(Eingabe[Name],Gesamtzähler[[#This Row],[Name]],Eingabe[Wo],"H"))</f>
        <v/>
      </c>
      <c r="V27" s="6" t="str">
        <f>IF(Gesamtzähler[[#This Row],[Spiele H]]="","",Gesamtzähler[[#This Row],[Spiele H]]-COUNTIFS(Eingabe[Name],Gesamtzähler[[#This Row],[Name]],Eingabe[MP],"",Eingabe[Wo],"H"))</f>
        <v/>
      </c>
      <c r="W27" s="6" t="str">
        <f>IF(Gesamtzähler[[#This Row],[Spiele H]]="","",SUMIFS(Eingabe[Volle],Eingabe[Name],Gesamtzähler[[#This Row],[Name]],Eingabe[Wo],"H"))</f>
        <v/>
      </c>
      <c r="X27" s="6" t="str">
        <f>IF(Gesamtzähler[[#This Row],[Spiele H]]="","",SUMIFS(Eingabe[Räumer],Eingabe[Name],Gesamtzähler[[#This Row],[Name]],Eingabe[Wo],"H"))</f>
        <v/>
      </c>
      <c r="Y27" s="6" t="str">
        <f>IF(Gesamtzähler[[#This Row],[Spiele H]]="","",SUMIFS(Eingabe[Fehler],Eingabe[Name],Gesamtzähler[[#This Row],[Name]],Eingabe[Wo],"H"))</f>
        <v/>
      </c>
      <c r="Z27" s="6" t="str">
        <f>IF(Gesamtzähler[[#This Row],[Spiele MPH]]="","",SUMIFS(Eingabe[S1],Eingabe[Name],Gesamtzähler[[#This Row],[Name]],Eingabe[Wo],"H"))</f>
        <v/>
      </c>
      <c r="AA27" s="6" t="str">
        <f>IF(Gesamtzähler[[#This Row],[Spiele MPH]]="","",SUMIFS(Eingabe[S1P],Eingabe[Name],Gesamtzähler[[#This Row],[Name]],Eingabe[Wo],"H"))</f>
        <v/>
      </c>
      <c r="AB27" s="6" t="str">
        <f>IF(Gesamtzähler[[#This Row],[Spiele MPH]]="","",SUMIFS(Eingabe[S2],Eingabe[Name],Gesamtzähler[[#This Row],[Name]],Eingabe[Wo],"H"))</f>
        <v/>
      </c>
      <c r="AC27" s="6" t="str">
        <f>IF(Gesamtzähler[[#This Row],[Spiele MPH]]="","",SUMIFS(Eingabe[S2P],Eingabe[Name],Gesamtzähler[[#This Row],[Name]],Eingabe[Wo],"H"))</f>
        <v/>
      </c>
      <c r="AD27" s="6" t="str">
        <f>IF(Gesamtzähler[[#This Row],[Spiele MPH]]="","",SUMIFS(Eingabe[S3],Eingabe[Name],Gesamtzähler[[#This Row],[Name]],Eingabe[Wo],"H"))</f>
        <v/>
      </c>
      <c r="AE27" s="6" t="str">
        <f>IF(Gesamtzähler[[#This Row],[Spiele MPH]]="","",SUMIFS(Eingabe[S3P],Eingabe[Name],Gesamtzähler[[#This Row],[Name]],Eingabe[Wo],"H"))</f>
        <v/>
      </c>
      <c r="AF27" s="203" t="str">
        <f>IF(Gesamtzähler[[#This Row],[Spiele MPH]]="","",SUMIFS(Eingabe[S4],Eingabe[Name],Gesamtzähler[[#This Row],[Name]],Eingabe[Wo],"H"))</f>
        <v/>
      </c>
      <c r="AG27" s="6" t="str">
        <f>IF(Gesamtzähler[[#This Row],[Spiele MPH]]="","",SUMIFS(Eingabe[S4P],Eingabe[Name],Gesamtzähler[[#This Row],[Name]],Eingabe[Wo],"H"))</f>
        <v/>
      </c>
      <c r="AH27" s="6" t="str">
        <f>IF(Gesamtzähler[[#This Row],[Spiele MPH]]="","",SUMIFS(Eingabe[GEGGES],Eingabe[Name],Gesamtzähler[[#This Row],[Name]],Eingabe[Wo],"H"))</f>
        <v/>
      </c>
      <c r="AI27" s="6" t="str">
        <f>IF(Gesamtzähler[[#This Row],[Spiele H]]="","",SUMIFS(Eingabe[GES],Eingabe[Name],Gesamtzähler[[#This Row],[Name]],Eingabe[Wo],"H"))</f>
        <v/>
      </c>
      <c r="AJ27" s="6" t="str">
        <f>IF(Gesamtzähler[[#This Row],[Spiele MPH]]="","",SUMIFS(Eingabe[SP],Eingabe[Name],Gesamtzähler[[#This Row],[Name]],Eingabe[Wo],"H"))</f>
        <v/>
      </c>
      <c r="AK27" s="6" t="str">
        <f>IF(Gesamtzähler[[#This Row],[Spiele MPH]]="","",SUMIFS(Eingabe[MP],Eingabe[Name],Gesamtzähler[[#This Row],[Name]],Eingabe[Wo],"H"))</f>
        <v/>
      </c>
      <c r="AL27" s="6" t="str">
        <f>IF(COUNTIFS(Eingabe[Name],Gesamtzähler[[#This Row],[Name]],Eingabe[Wo],"A")=0,"",COUNTIFS(Eingabe[Name],Gesamtzähler[[#This Row],[Name]],Eingabe[Wo],"A"))</f>
        <v/>
      </c>
      <c r="AM27" s="6" t="str">
        <f>IF(Gesamtzähler[[#This Row],[Spiele A]]="","",Gesamtzähler[[#This Row],[Spiele A]]-COUNTIFS(Eingabe[Name],Gesamtzähler[[#This Row],[Name]],Eingabe[MP],"",Eingabe[Wo],"A"))</f>
        <v/>
      </c>
      <c r="AN27" s="6" t="str">
        <f>IF(Gesamtzähler[[#This Row],[Spiele A]]="","",SUMIFS(Eingabe[Volle],Eingabe[Name],Gesamtzähler[[#This Row],[Name]],Eingabe[Wo],"A"))</f>
        <v/>
      </c>
      <c r="AO27" s="6" t="str">
        <f>IF(Gesamtzähler[[#This Row],[Spiele A]]="","",SUMIFS(Eingabe[Räumer],Eingabe[Name],Gesamtzähler[[#This Row],[Name]],Eingabe[Wo],"A"))</f>
        <v/>
      </c>
      <c r="AP27" s="6" t="str">
        <f>IF(Gesamtzähler[[#This Row],[Spiele A]]="","",SUMIFS(Eingabe[Fehler],Eingabe[Name],Gesamtzähler[[#This Row],[Name]],Eingabe[Wo],"A"))</f>
        <v/>
      </c>
      <c r="AQ27" s="6" t="str">
        <f>IF(Gesamtzähler[[#This Row],[Spiele MPA]]="","",SUMIFS(Eingabe[S1],Eingabe[Name],Gesamtzähler[[#This Row],[Name]],Eingabe[Wo],"A"))</f>
        <v/>
      </c>
      <c r="AR27" s="6" t="str">
        <f>IF(Gesamtzähler[[#This Row],[Spiele MPA]]="","",SUMIFS(Eingabe[S1P],Eingabe[Name],Gesamtzähler[[#This Row],[Name]],Eingabe[Wo],"A"))</f>
        <v/>
      </c>
      <c r="AS27" s="6" t="str">
        <f>IF(Gesamtzähler[[#This Row],[Spiele MPA]]="","",SUMIFS(Eingabe[S2],Eingabe[Name],Gesamtzähler[[#This Row],[Name]],Eingabe[Wo],"A"))</f>
        <v/>
      </c>
      <c r="AT27" s="6" t="str">
        <f>IF(Gesamtzähler[[#This Row],[Spiele MPA]]="","",SUMIFS(Eingabe[S2P],Eingabe[Name],Gesamtzähler[[#This Row],[Name]],Eingabe[Wo],"A"))</f>
        <v/>
      </c>
      <c r="AU27" s="6" t="str">
        <f>IF(Gesamtzähler[[#This Row],[Spiele MPA]]="","",SUMIFS(Eingabe[S3],Eingabe[Name],Gesamtzähler[[#This Row],[Name]],Eingabe[Wo],"A"))</f>
        <v/>
      </c>
      <c r="AV27" s="6" t="str">
        <f>IF(Gesamtzähler[[#This Row],[Spiele MPA]]="","",SUMIFS(Eingabe[S3P],Eingabe[Name],Gesamtzähler[[#This Row],[Name]],Eingabe[Wo],"A"))</f>
        <v/>
      </c>
      <c r="AW27" s="6" t="str">
        <f>IF(Gesamtzähler[[#This Row],[Spiele MPA]]="","",SUMIFS(Eingabe[S4],Eingabe[Name],Gesamtzähler[[#This Row],[Name]],Eingabe[Wo],"A"))</f>
        <v/>
      </c>
      <c r="AX27" s="6" t="str">
        <f>IF(Gesamtzähler[[#This Row],[Spiele MPA]]="","",SUMIFS(Eingabe[S4P],Eingabe[Name],Gesamtzähler[[#This Row],[Name]],Eingabe[Wo],"A"))</f>
        <v/>
      </c>
      <c r="AY27" s="6" t="str">
        <f>IF(Gesamtzähler[[#This Row],[Spiele MPA]]="","",SUMIFS(Eingabe[GEGGES],Eingabe[Name],Gesamtzähler[[#This Row],[Name]],Eingabe[Wo],"A"))</f>
        <v/>
      </c>
      <c r="AZ27" s="6" t="str">
        <f>IF(Gesamtzähler[[#This Row],[Spiele A]]="","",SUMIFS(Eingabe[GES],Eingabe[Name],Gesamtzähler[[#This Row],[Name]],Eingabe[Wo],"A"))</f>
        <v/>
      </c>
      <c r="BA27" s="6" t="str">
        <f>IF(Gesamtzähler[[#This Row],[Spiele MPA]]="","",SUMIFS(Eingabe[SP],Eingabe[Name],Gesamtzähler[[#This Row],[Name]],Eingabe[Wo],"A"))</f>
        <v/>
      </c>
      <c r="BB27" s="6" t="str">
        <f>IF(Gesamtzähler[[#This Row],[Spiele MPA]]="","",SUMIFS(Eingabe[MP],Eingabe[Name],Gesamtzähler[[#This Row],[Name]],Eingabe[Wo],"A"))</f>
        <v/>
      </c>
      <c r="BC27" s="6"/>
      <c r="BD27" s="6"/>
      <c r="BE27" s="6"/>
      <c r="BF27" s="6"/>
    </row>
    <row r="28" spans="2:58" x14ac:dyDescent="0.3">
      <c r="B28" s="7" t="str">
        <f>VLOOKUP(ROW(Gesamtzähler[[#This Row],[Name]])-3,Teamzuordnung[],2,FALSE)</f>
        <v>Madlen Baumgarten</v>
      </c>
      <c r="C28" s="6" t="str">
        <f>IF(Gesamtzähler[[#This Row],[Name]]="","",VLOOKUP(Gesamtzähler[[#This Row],[Name]],Teamzuordnung[[Name]:[Team]],2,TRUE))</f>
        <v>F</v>
      </c>
      <c r="D28" s="21">
        <f>IF(COUNTIFS(Eingabe[Name],Gesamtzähler[[#This Row],[Name]])=0,"",COUNTIFS(Eingabe[Name],Gesamtzähler[[#This Row],[Name]]))</f>
        <v>7</v>
      </c>
      <c r="E28" s="6">
        <f>IF(Gesamtzähler[[#This Row],[Spiele]]="","",IF(Gesamtzähler[[#This Row],[Spiele]]-COUNTIFS(Eingabe[Name],Gesamtzähler[[#This Row],[Name]],Eingabe[MP],"")=0,"",Gesamtzähler[[#This Row],[Spiele]]-COUNTIFS(Eingabe[Name],Gesamtzähler[[#This Row],[Name]],Eingabe[MP],"")))</f>
        <v>7</v>
      </c>
      <c r="F28" s="6">
        <f>IF(Gesamtzähler[[#This Row],[Spiele]]="","",SUMIF(Eingabe[Name],Gesamtzähler[[#This Row],[Name]],Eingabe[Volle]))</f>
        <v>2436</v>
      </c>
      <c r="G28" s="6">
        <f>IF(Gesamtzähler[[#This Row],[Spiele]]="","",SUMIF(Eingabe[Name],Gesamtzähler[[#This Row],[Name]],Eingabe[Räumer]))</f>
        <v>1139</v>
      </c>
      <c r="H28" s="6">
        <f>IF(Gesamtzähler[[#This Row],[Spiele]]="","",SUMIF(Eingabe[Name],Gesamtzähler[[#This Row],[Name]],Eingabe[Fehler]))</f>
        <v>59</v>
      </c>
      <c r="I28" s="6">
        <f>IF(Gesamtzähler[[#This Row],[Spiele]]="","",SUMIF(Eingabe[Name],Gesamtzähler[[#This Row],[Name]],Eingabe[GES]))</f>
        <v>3575</v>
      </c>
      <c r="J28" s="6">
        <f>IF(Gesamtzähler[[#This Row],[Spiele MP]]="","",SUMIF(Eingabe[Name],Gesamtzähler[[#This Row],[Name]],Eingabe[SP]))</f>
        <v>13</v>
      </c>
      <c r="K28" s="6">
        <f>IF(Gesamtzähler[[#This Row],[Spiele MP]]="","",SUMIF(Eingabe[Name],Gesamtzähler[[#This Row],[Name]],Eingabe[MP]))</f>
        <v>4</v>
      </c>
      <c r="L28" s="6">
        <f>IF(Gesamtzähler[[#This Row],[Spiele MP]]="","",SUMIF(Eingabe[Name],Gesamtzähler[[#This Row],[Name]],Eingabe[S1]))</f>
        <v>866</v>
      </c>
      <c r="M28" s="6">
        <f>IF(Gesamtzähler[[#This Row],[Spiele MP]]="","",SUMIF(Eingabe[Name],Gesamtzähler[[#This Row],[Name]],Eingabe[S2]))</f>
        <v>882</v>
      </c>
      <c r="N28" s="6">
        <f>IF(Gesamtzähler[[#This Row],[Spiele MP]]="","",SUMIF(Eingabe[Name],Gesamtzähler[[#This Row],[Name]],Eingabe[S3]))</f>
        <v>945</v>
      </c>
      <c r="O28" s="6">
        <f>IF(Gesamtzähler[[#This Row],[Spiele MP]]="","",SUMIF(Eingabe[Name],Gesamtzähler[[#This Row],[Name]],Eingabe[S4]))</f>
        <v>882</v>
      </c>
      <c r="P28" s="6">
        <f>IF(Gesamtzähler[[#This Row],[Spiele MP]]="","",SUMIF(Eingabe[Name],Gesamtzähler[[#This Row],[Name]],Eingabe[S1P]))</f>
        <v>3</v>
      </c>
      <c r="Q28" s="6">
        <f>IF(Gesamtzähler[[#This Row],[Spiele MP]]="","",SUMIF(Eingabe[Name],Gesamtzähler[[#This Row],[Name]],Eingabe[S2P]))</f>
        <v>3</v>
      </c>
      <c r="R28" s="6">
        <f>IF(Gesamtzähler[[#This Row],[Spiele MP]]="","",SUMIF(Eingabe[Name],Gesamtzähler[[#This Row],[Name]],Eingabe[S3P]))</f>
        <v>4</v>
      </c>
      <c r="S28" s="6">
        <f>IF(Gesamtzähler[[#This Row],[Spiele MP]]="","",SUMIF(Eingabe[Name],Gesamtzähler[[#This Row],[Name]],Eingabe[S4P]))</f>
        <v>3</v>
      </c>
      <c r="T28" s="6">
        <f>IF(Gesamtzähler[[#This Row],[Spiele MP]]="","",SUMIF(Eingabe[Name],Gesamtzähler[[#This Row],[Name]],Eingabe[GEGGES]))</f>
        <v>3589</v>
      </c>
      <c r="U28" s="21">
        <f>IF(COUNTIFS(Eingabe[Name],Gesamtzähler[[#This Row],[Name]],Eingabe[Wo],"H")=0,"",COUNTIFS(Eingabe[Name],Gesamtzähler[[#This Row],[Name]],Eingabe[Wo],"H"))</f>
        <v>2</v>
      </c>
      <c r="V28" s="6">
        <f>IF(Gesamtzähler[[#This Row],[Spiele H]]="","",Gesamtzähler[[#This Row],[Spiele H]]-COUNTIFS(Eingabe[Name],Gesamtzähler[[#This Row],[Name]],Eingabe[MP],"",Eingabe[Wo],"H"))</f>
        <v>2</v>
      </c>
      <c r="W28" s="6">
        <f>IF(Gesamtzähler[[#This Row],[Spiele H]]="","",SUMIFS(Eingabe[Volle],Eingabe[Name],Gesamtzähler[[#This Row],[Name]],Eingabe[Wo],"H"))</f>
        <v>673</v>
      </c>
      <c r="X28" s="6">
        <f>IF(Gesamtzähler[[#This Row],[Spiele H]]="","",SUMIFS(Eingabe[Räumer],Eingabe[Name],Gesamtzähler[[#This Row],[Name]],Eingabe[Wo],"H"))</f>
        <v>273</v>
      </c>
      <c r="Y28" s="6">
        <f>IF(Gesamtzähler[[#This Row],[Spiele H]]="","",SUMIFS(Eingabe[Fehler],Eingabe[Name],Gesamtzähler[[#This Row],[Name]],Eingabe[Wo],"H"))</f>
        <v>22</v>
      </c>
      <c r="Z28" s="6">
        <f>IF(Gesamtzähler[[#This Row],[Spiele MPH]]="","",SUMIFS(Eingabe[S1],Eingabe[Name],Gesamtzähler[[#This Row],[Name]],Eingabe[Wo],"H"))</f>
        <v>213</v>
      </c>
      <c r="AA28" s="6">
        <f>IF(Gesamtzähler[[#This Row],[Spiele MPH]]="","",SUMIFS(Eingabe[S1P],Eingabe[Name],Gesamtzähler[[#This Row],[Name]],Eingabe[Wo],"H"))</f>
        <v>0</v>
      </c>
      <c r="AB28" s="6">
        <f>IF(Gesamtzähler[[#This Row],[Spiele MPH]]="","",SUMIFS(Eingabe[S2],Eingabe[Name],Gesamtzähler[[#This Row],[Name]],Eingabe[Wo],"H"))</f>
        <v>258</v>
      </c>
      <c r="AC28" s="6">
        <f>IF(Gesamtzähler[[#This Row],[Spiele MPH]]="","",SUMIFS(Eingabe[S2P],Eingabe[Name],Gesamtzähler[[#This Row],[Name]],Eingabe[Wo],"H"))</f>
        <v>1</v>
      </c>
      <c r="AD28" s="6">
        <f>IF(Gesamtzähler[[#This Row],[Spiele MPH]]="","",SUMIFS(Eingabe[S3],Eingabe[Name],Gesamtzähler[[#This Row],[Name]],Eingabe[Wo],"H"))</f>
        <v>242</v>
      </c>
      <c r="AE28" s="6">
        <f>IF(Gesamtzähler[[#This Row],[Spiele MPH]]="","",SUMIFS(Eingabe[S3P],Eingabe[Name],Gesamtzähler[[#This Row],[Name]],Eingabe[Wo],"H"))</f>
        <v>1</v>
      </c>
      <c r="AF28" s="203">
        <f>IF(Gesamtzähler[[#This Row],[Spiele MPH]]="","",SUMIFS(Eingabe[S4],Eingabe[Name],Gesamtzähler[[#This Row],[Name]],Eingabe[Wo],"H"))</f>
        <v>233</v>
      </c>
      <c r="AG28" s="6">
        <f>IF(Gesamtzähler[[#This Row],[Spiele MPH]]="","",SUMIFS(Eingabe[S4P],Eingabe[Name],Gesamtzähler[[#This Row],[Name]],Eingabe[Wo],"H"))</f>
        <v>1</v>
      </c>
      <c r="AH28" s="6">
        <f>IF(Gesamtzähler[[#This Row],[Spiele MPH]]="","",SUMIFS(Eingabe[GEGGES],Eingabe[Name],Gesamtzähler[[#This Row],[Name]],Eingabe[Wo],"H"))</f>
        <v>950</v>
      </c>
      <c r="AI28" s="6">
        <f>IF(Gesamtzähler[[#This Row],[Spiele H]]="","",SUMIFS(Eingabe[GES],Eingabe[Name],Gesamtzähler[[#This Row],[Name]],Eingabe[Wo],"H"))</f>
        <v>946</v>
      </c>
      <c r="AJ28" s="6">
        <f>IF(Gesamtzähler[[#This Row],[Spiele MPH]]="","",SUMIFS(Eingabe[SP],Eingabe[Name],Gesamtzähler[[#This Row],[Name]],Eingabe[Wo],"H"))</f>
        <v>3</v>
      </c>
      <c r="AK28" s="6">
        <f>IF(Gesamtzähler[[#This Row],[Spiele MPH]]="","",SUMIFS(Eingabe[MP],Eingabe[Name],Gesamtzähler[[#This Row],[Name]],Eingabe[Wo],"H"))</f>
        <v>1</v>
      </c>
      <c r="AL28" s="6">
        <f>IF(COUNTIFS(Eingabe[Name],Gesamtzähler[[#This Row],[Name]],Eingabe[Wo],"A")=0,"",COUNTIFS(Eingabe[Name],Gesamtzähler[[#This Row],[Name]],Eingabe[Wo],"A"))</f>
        <v>5</v>
      </c>
      <c r="AM28" s="6">
        <f>IF(Gesamtzähler[[#This Row],[Spiele A]]="","",Gesamtzähler[[#This Row],[Spiele A]]-COUNTIFS(Eingabe[Name],Gesamtzähler[[#This Row],[Name]],Eingabe[MP],"",Eingabe[Wo],"A"))</f>
        <v>5</v>
      </c>
      <c r="AN28" s="6">
        <f>IF(Gesamtzähler[[#This Row],[Spiele A]]="","",SUMIFS(Eingabe[Volle],Eingabe[Name],Gesamtzähler[[#This Row],[Name]],Eingabe[Wo],"A"))</f>
        <v>1763</v>
      </c>
      <c r="AO28" s="6">
        <f>IF(Gesamtzähler[[#This Row],[Spiele A]]="","",SUMIFS(Eingabe[Räumer],Eingabe[Name],Gesamtzähler[[#This Row],[Name]],Eingabe[Wo],"A"))</f>
        <v>866</v>
      </c>
      <c r="AP28" s="6">
        <f>IF(Gesamtzähler[[#This Row],[Spiele A]]="","",SUMIFS(Eingabe[Fehler],Eingabe[Name],Gesamtzähler[[#This Row],[Name]],Eingabe[Wo],"A"))</f>
        <v>37</v>
      </c>
      <c r="AQ28" s="6">
        <f>IF(Gesamtzähler[[#This Row],[Spiele MPA]]="","",SUMIFS(Eingabe[S1],Eingabe[Name],Gesamtzähler[[#This Row],[Name]],Eingabe[Wo],"A"))</f>
        <v>653</v>
      </c>
      <c r="AR28" s="6">
        <f>IF(Gesamtzähler[[#This Row],[Spiele MPA]]="","",SUMIFS(Eingabe[S1P],Eingabe[Name],Gesamtzähler[[#This Row],[Name]],Eingabe[Wo],"A"))</f>
        <v>3</v>
      </c>
      <c r="AS28" s="6">
        <f>IF(Gesamtzähler[[#This Row],[Spiele MPA]]="","",SUMIFS(Eingabe[S2],Eingabe[Name],Gesamtzähler[[#This Row],[Name]],Eingabe[Wo],"A"))</f>
        <v>624</v>
      </c>
      <c r="AT28" s="6">
        <f>IF(Gesamtzähler[[#This Row],[Spiele MPA]]="","",SUMIFS(Eingabe[S2P],Eingabe[Name],Gesamtzähler[[#This Row],[Name]],Eingabe[Wo],"A"))</f>
        <v>2</v>
      </c>
      <c r="AU28" s="6">
        <f>IF(Gesamtzähler[[#This Row],[Spiele MPA]]="","",SUMIFS(Eingabe[S3],Eingabe[Name],Gesamtzähler[[#This Row],[Name]],Eingabe[Wo],"A"))</f>
        <v>703</v>
      </c>
      <c r="AV28" s="6">
        <f>IF(Gesamtzähler[[#This Row],[Spiele MPA]]="","",SUMIFS(Eingabe[S3P],Eingabe[Name],Gesamtzähler[[#This Row],[Name]],Eingabe[Wo],"A"))</f>
        <v>3</v>
      </c>
      <c r="AW28" s="6">
        <f>IF(Gesamtzähler[[#This Row],[Spiele MPA]]="","",SUMIFS(Eingabe[S4],Eingabe[Name],Gesamtzähler[[#This Row],[Name]],Eingabe[Wo],"A"))</f>
        <v>649</v>
      </c>
      <c r="AX28" s="6">
        <f>IF(Gesamtzähler[[#This Row],[Spiele MPA]]="","",SUMIFS(Eingabe[S4P],Eingabe[Name],Gesamtzähler[[#This Row],[Name]],Eingabe[Wo],"A"))</f>
        <v>2</v>
      </c>
      <c r="AY28" s="6">
        <f>IF(Gesamtzähler[[#This Row],[Spiele MPA]]="","",SUMIFS(Eingabe[GEGGES],Eingabe[Name],Gesamtzähler[[#This Row],[Name]],Eingabe[Wo],"A"))</f>
        <v>2639</v>
      </c>
      <c r="AZ28" s="6">
        <f>IF(Gesamtzähler[[#This Row],[Spiele A]]="","",SUMIFS(Eingabe[GES],Eingabe[Name],Gesamtzähler[[#This Row],[Name]],Eingabe[Wo],"A"))</f>
        <v>2629</v>
      </c>
      <c r="BA28" s="6">
        <f>IF(Gesamtzähler[[#This Row],[Spiele MPA]]="","",SUMIFS(Eingabe[SP],Eingabe[Name],Gesamtzähler[[#This Row],[Name]],Eingabe[Wo],"A"))</f>
        <v>10</v>
      </c>
      <c r="BB28" s="6">
        <f>IF(Gesamtzähler[[#This Row],[Spiele MPA]]="","",SUMIFS(Eingabe[MP],Eingabe[Name],Gesamtzähler[[#This Row],[Name]],Eingabe[Wo],"A"))</f>
        <v>3</v>
      </c>
      <c r="BC28" s="6"/>
      <c r="BD28" s="6"/>
      <c r="BE28" s="6"/>
      <c r="BF28" s="6"/>
    </row>
    <row r="29" spans="2:58" x14ac:dyDescent="0.3">
      <c r="B29" s="7" t="str">
        <f>VLOOKUP(ROW(Gesamtzähler[[#This Row],[Name]])-3,Teamzuordnung[],2,FALSE)</f>
        <v>Maik Fuhrmann</v>
      </c>
      <c r="C29" s="6" t="str">
        <f>IF(Gesamtzähler[[#This Row],[Name]]="","",VLOOKUP(Gesamtzähler[[#This Row],[Name]],Teamzuordnung[[Name]:[Team]],2,TRUE))</f>
        <v>E</v>
      </c>
      <c r="D29" s="21">
        <f>IF(COUNTIFS(Eingabe[Name],Gesamtzähler[[#This Row],[Name]])=0,"",COUNTIFS(Eingabe[Name],Gesamtzähler[[#This Row],[Name]]))</f>
        <v>15</v>
      </c>
      <c r="E29" s="6">
        <f>IF(Gesamtzähler[[#This Row],[Spiele]]="","",IF(Gesamtzähler[[#This Row],[Spiele]]-COUNTIFS(Eingabe[Name],Gesamtzähler[[#This Row],[Name]],Eingabe[MP],"")=0,"",Gesamtzähler[[#This Row],[Spiele]]-COUNTIFS(Eingabe[Name],Gesamtzähler[[#This Row],[Name]],Eingabe[MP],"")))</f>
        <v>13</v>
      </c>
      <c r="F29" s="6">
        <f>IF(Gesamtzähler[[#This Row],[Spiele]]="","",SUMIF(Eingabe[Name],Gesamtzähler[[#This Row],[Name]],Eingabe[Volle]))</f>
        <v>5456</v>
      </c>
      <c r="G29" s="6">
        <f>IF(Gesamtzähler[[#This Row],[Spiele]]="","",SUMIF(Eingabe[Name],Gesamtzähler[[#This Row],[Name]],Eingabe[Räumer]))</f>
        <v>2797</v>
      </c>
      <c r="H29" s="6">
        <f>IF(Gesamtzähler[[#This Row],[Spiele]]="","",SUMIF(Eingabe[Name],Gesamtzähler[[#This Row],[Name]],Eingabe[Fehler]))</f>
        <v>50</v>
      </c>
      <c r="I29" s="6">
        <f>IF(Gesamtzähler[[#This Row],[Spiele]]="","",SUMIF(Eingabe[Name],Gesamtzähler[[#This Row],[Name]],Eingabe[GES]))</f>
        <v>8253</v>
      </c>
      <c r="J29" s="6">
        <f>IF(Gesamtzähler[[#This Row],[Spiele MP]]="","",SUMIF(Eingabe[Name],Gesamtzähler[[#This Row],[Name]],Eingabe[SP]))</f>
        <v>33</v>
      </c>
      <c r="K29" s="6">
        <f>IF(Gesamtzähler[[#This Row],[Spiele MP]]="","",SUMIF(Eingabe[Name],Gesamtzähler[[#This Row],[Name]],Eingabe[MP]))</f>
        <v>10</v>
      </c>
      <c r="L29" s="6">
        <f>IF(Gesamtzähler[[#This Row],[Spiele MP]]="","",SUMIF(Eingabe[Name],Gesamtzähler[[#This Row],[Name]],Eingabe[S1]))</f>
        <v>1949</v>
      </c>
      <c r="M29" s="6">
        <f>IF(Gesamtzähler[[#This Row],[Spiele MP]]="","",SUMIF(Eingabe[Name],Gesamtzähler[[#This Row],[Name]],Eingabe[S2]))</f>
        <v>1930</v>
      </c>
      <c r="N29" s="6">
        <f>IF(Gesamtzähler[[#This Row],[Spiele MP]]="","",SUMIF(Eingabe[Name],Gesamtzähler[[#This Row],[Name]],Eingabe[S3]))</f>
        <v>1922</v>
      </c>
      <c r="O29" s="6">
        <f>IF(Gesamtzähler[[#This Row],[Spiele MP]]="","",SUMIF(Eingabe[Name],Gesamtzähler[[#This Row],[Name]],Eingabe[S4]))</f>
        <v>1924</v>
      </c>
      <c r="P29" s="6">
        <f>IF(Gesamtzähler[[#This Row],[Spiele MP]]="","",SUMIF(Eingabe[Name],Gesamtzähler[[#This Row],[Name]],Eingabe[S1P]))</f>
        <v>9.5</v>
      </c>
      <c r="Q29" s="6">
        <f>IF(Gesamtzähler[[#This Row],[Spiele MP]]="","",SUMIF(Eingabe[Name],Gesamtzähler[[#This Row],[Name]],Eingabe[S2P]))</f>
        <v>8</v>
      </c>
      <c r="R29" s="6">
        <f>IF(Gesamtzähler[[#This Row],[Spiele MP]]="","",SUMIF(Eingabe[Name],Gesamtzähler[[#This Row],[Name]],Eingabe[S3P]))</f>
        <v>8</v>
      </c>
      <c r="S29" s="6">
        <f>IF(Gesamtzähler[[#This Row],[Spiele MP]]="","",SUMIF(Eingabe[Name],Gesamtzähler[[#This Row],[Name]],Eingabe[S4P]))</f>
        <v>7.5</v>
      </c>
      <c r="T29" s="6">
        <f>IF(Gesamtzähler[[#This Row],[Spiele MP]]="","",SUMIF(Eingabe[Name],Gesamtzähler[[#This Row],[Name]],Eingabe[GEGGES]))</f>
        <v>6803</v>
      </c>
      <c r="U29" s="21">
        <f>IF(COUNTIFS(Eingabe[Name],Gesamtzähler[[#This Row],[Name]],Eingabe[Wo],"H")=0,"",COUNTIFS(Eingabe[Name],Gesamtzähler[[#This Row],[Name]],Eingabe[Wo],"H"))</f>
        <v>7</v>
      </c>
      <c r="V29" s="6">
        <f>IF(Gesamtzähler[[#This Row],[Spiele H]]="","",Gesamtzähler[[#This Row],[Spiele H]]-COUNTIFS(Eingabe[Name],Gesamtzähler[[#This Row],[Name]],Eingabe[MP],"",Eingabe[Wo],"H"))</f>
        <v>7</v>
      </c>
      <c r="W29" s="6">
        <f>IF(Gesamtzähler[[#This Row],[Spiele H]]="","",SUMIFS(Eingabe[Volle],Eingabe[Name],Gesamtzähler[[#This Row],[Name]],Eingabe[Wo],"H"))</f>
        <v>2497</v>
      </c>
      <c r="X29" s="6">
        <f>IF(Gesamtzähler[[#This Row],[Spiele H]]="","",SUMIFS(Eingabe[Räumer],Eingabe[Name],Gesamtzähler[[#This Row],[Name]],Eingabe[Wo],"H"))</f>
        <v>1267</v>
      </c>
      <c r="Y29" s="6">
        <f>IF(Gesamtzähler[[#This Row],[Spiele H]]="","",SUMIFS(Eingabe[Fehler],Eingabe[Name],Gesamtzähler[[#This Row],[Name]],Eingabe[Wo],"H"))</f>
        <v>23</v>
      </c>
      <c r="Z29" s="6">
        <f>IF(Gesamtzähler[[#This Row],[Spiele MPH]]="","",SUMIFS(Eingabe[S1],Eingabe[Name],Gesamtzähler[[#This Row],[Name]],Eingabe[Wo],"H"))</f>
        <v>960</v>
      </c>
      <c r="AA29" s="6">
        <f>IF(Gesamtzähler[[#This Row],[Spiele MPH]]="","",SUMIFS(Eingabe[S1P],Eingabe[Name],Gesamtzähler[[#This Row],[Name]],Eingabe[Wo],"H"))</f>
        <v>4</v>
      </c>
      <c r="AB29" s="6">
        <f>IF(Gesamtzähler[[#This Row],[Spiele MPH]]="","",SUMIFS(Eingabe[S2],Eingabe[Name],Gesamtzähler[[#This Row],[Name]],Eingabe[Wo],"H"))</f>
        <v>964</v>
      </c>
      <c r="AC29" s="6">
        <f>IF(Gesamtzähler[[#This Row],[Spiele MPH]]="","",SUMIFS(Eingabe[S2P],Eingabe[Name],Gesamtzähler[[#This Row],[Name]],Eingabe[Wo],"H"))</f>
        <v>3</v>
      </c>
      <c r="AD29" s="6">
        <f>IF(Gesamtzähler[[#This Row],[Spiele MPH]]="","",SUMIFS(Eingabe[S3],Eingabe[Name],Gesamtzähler[[#This Row],[Name]],Eingabe[Wo],"H"))</f>
        <v>936</v>
      </c>
      <c r="AE29" s="6">
        <f>IF(Gesamtzähler[[#This Row],[Spiele MPH]]="","",SUMIFS(Eingabe[S3P],Eingabe[Name],Gesamtzähler[[#This Row],[Name]],Eingabe[Wo],"H"))</f>
        <v>3</v>
      </c>
      <c r="AF29" s="203">
        <f>IF(Gesamtzähler[[#This Row],[Spiele MPH]]="","",SUMIFS(Eingabe[S4],Eingabe[Name],Gesamtzähler[[#This Row],[Name]],Eingabe[Wo],"H"))</f>
        <v>904</v>
      </c>
      <c r="AG29" s="6">
        <f>IF(Gesamtzähler[[#This Row],[Spiele MPH]]="","",SUMIFS(Eingabe[S4P],Eingabe[Name],Gesamtzähler[[#This Row],[Name]],Eingabe[Wo],"H"))</f>
        <v>2.5</v>
      </c>
      <c r="AH29" s="6">
        <f>IF(Gesamtzähler[[#This Row],[Spiele MPH]]="","",SUMIFS(Eingabe[GEGGES],Eingabe[Name],Gesamtzähler[[#This Row],[Name]],Eingabe[Wo],"H"))</f>
        <v>3681</v>
      </c>
      <c r="AI29" s="6">
        <f>IF(Gesamtzähler[[#This Row],[Spiele H]]="","",SUMIFS(Eingabe[GES],Eingabe[Name],Gesamtzähler[[#This Row],[Name]],Eingabe[Wo],"H"))</f>
        <v>3764</v>
      </c>
      <c r="AJ29" s="6">
        <f>IF(Gesamtzähler[[#This Row],[Spiele MPH]]="","",SUMIFS(Eingabe[SP],Eingabe[Name],Gesamtzähler[[#This Row],[Name]],Eingabe[Wo],"H"))</f>
        <v>12.5</v>
      </c>
      <c r="AK29" s="6">
        <f>IF(Gesamtzähler[[#This Row],[Spiele MPH]]="","",SUMIFS(Eingabe[MP],Eingabe[Name],Gesamtzähler[[#This Row],[Name]],Eingabe[Wo],"H"))</f>
        <v>4</v>
      </c>
      <c r="AL29" s="6">
        <f>IF(COUNTIFS(Eingabe[Name],Gesamtzähler[[#This Row],[Name]],Eingabe[Wo],"A")=0,"",COUNTIFS(Eingabe[Name],Gesamtzähler[[#This Row],[Name]],Eingabe[Wo],"A"))</f>
        <v>8</v>
      </c>
      <c r="AM29" s="6">
        <f>IF(Gesamtzähler[[#This Row],[Spiele A]]="","",Gesamtzähler[[#This Row],[Spiele A]]-COUNTIFS(Eingabe[Name],Gesamtzähler[[#This Row],[Name]],Eingabe[MP],"",Eingabe[Wo],"A"))</f>
        <v>6</v>
      </c>
      <c r="AN29" s="6">
        <f>IF(Gesamtzähler[[#This Row],[Spiele A]]="","",SUMIFS(Eingabe[Volle],Eingabe[Name],Gesamtzähler[[#This Row],[Name]],Eingabe[Wo],"A"))</f>
        <v>2959</v>
      </c>
      <c r="AO29" s="6">
        <f>IF(Gesamtzähler[[#This Row],[Spiele A]]="","",SUMIFS(Eingabe[Räumer],Eingabe[Name],Gesamtzähler[[#This Row],[Name]],Eingabe[Wo],"A"))</f>
        <v>1530</v>
      </c>
      <c r="AP29" s="6">
        <f>IF(Gesamtzähler[[#This Row],[Spiele A]]="","",SUMIFS(Eingabe[Fehler],Eingabe[Name],Gesamtzähler[[#This Row],[Name]],Eingabe[Wo],"A"))</f>
        <v>27</v>
      </c>
      <c r="AQ29" s="6">
        <f>IF(Gesamtzähler[[#This Row],[Spiele MPA]]="","",SUMIFS(Eingabe[S1],Eingabe[Name],Gesamtzähler[[#This Row],[Name]],Eingabe[Wo],"A"))</f>
        <v>989</v>
      </c>
      <c r="AR29" s="6">
        <f>IF(Gesamtzähler[[#This Row],[Spiele MPA]]="","",SUMIFS(Eingabe[S1P],Eingabe[Name],Gesamtzähler[[#This Row],[Name]],Eingabe[Wo],"A"))</f>
        <v>5.5</v>
      </c>
      <c r="AS29" s="6">
        <f>IF(Gesamtzähler[[#This Row],[Spiele MPA]]="","",SUMIFS(Eingabe[S2],Eingabe[Name],Gesamtzähler[[#This Row],[Name]],Eingabe[Wo],"A"))</f>
        <v>966</v>
      </c>
      <c r="AT29" s="6">
        <f>IF(Gesamtzähler[[#This Row],[Spiele MPA]]="","",SUMIFS(Eingabe[S2P],Eingabe[Name],Gesamtzähler[[#This Row],[Name]],Eingabe[Wo],"A"))</f>
        <v>5</v>
      </c>
      <c r="AU29" s="6">
        <f>IF(Gesamtzähler[[#This Row],[Spiele MPA]]="","",SUMIFS(Eingabe[S3],Eingabe[Name],Gesamtzähler[[#This Row],[Name]],Eingabe[Wo],"A"))</f>
        <v>986</v>
      </c>
      <c r="AV29" s="6">
        <f>IF(Gesamtzähler[[#This Row],[Spiele MPA]]="","",SUMIFS(Eingabe[S3P],Eingabe[Name],Gesamtzähler[[#This Row],[Name]],Eingabe[Wo],"A"))</f>
        <v>5</v>
      </c>
      <c r="AW29" s="6">
        <f>IF(Gesamtzähler[[#This Row],[Spiele MPA]]="","",SUMIFS(Eingabe[S4],Eingabe[Name],Gesamtzähler[[#This Row],[Name]],Eingabe[Wo],"A"))</f>
        <v>1020</v>
      </c>
      <c r="AX29" s="6">
        <f>IF(Gesamtzähler[[#This Row],[Spiele MPA]]="","",SUMIFS(Eingabe[S4P],Eingabe[Name],Gesamtzähler[[#This Row],[Name]],Eingabe[Wo],"A"))</f>
        <v>5</v>
      </c>
      <c r="AY29" s="6">
        <f>IF(Gesamtzähler[[#This Row],[Spiele MPA]]="","",SUMIFS(Eingabe[GEGGES],Eingabe[Name],Gesamtzähler[[#This Row],[Name]],Eingabe[Wo],"A"))</f>
        <v>3122</v>
      </c>
      <c r="AZ29" s="6">
        <f>IF(Gesamtzähler[[#This Row],[Spiele A]]="","",SUMIFS(Eingabe[GES],Eingabe[Name],Gesamtzähler[[#This Row],[Name]],Eingabe[Wo],"A"))</f>
        <v>4489</v>
      </c>
      <c r="BA29" s="6">
        <f>IF(Gesamtzähler[[#This Row],[Spiele MPA]]="","",SUMIFS(Eingabe[SP],Eingabe[Name],Gesamtzähler[[#This Row],[Name]],Eingabe[Wo],"A"))</f>
        <v>20.5</v>
      </c>
      <c r="BB29" s="6">
        <f>IF(Gesamtzähler[[#This Row],[Spiele MPA]]="","",SUMIFS(Eingabe[MP],Eingabe[Name],Gesamtzähler[[#This Row],[Name]],Eingabe[Wo],"A"))</f>
        <v>6</v>
      </c>
      <c r="BC29" s="6"/>
      <c r="BD29" s="6"/>
      <c r="BE29" s="6"/>
      <c r="BF29" s="6"/>
    </row>
    <row r="30" spans="2:58" x14ac:dyDescent="0.3">
      <c r="B30" s="7" t="str">
        <f>VLOOKUP(ROW(Gesamtzähler[[#This Row],[Name]])-3,Teamzuordnung[],2,FALSE)</f>
        <v>Marcel Giese</v>
      </c>
      <c r="C30" s="6" t="str">
        <f>IF(Gesamtzähler[[#This Row],[Name]]="","",VLOOKUP(Gesamtzähler[[#This Row],[Name]],Teamzuordnung[[Name]:[Team]],2,TRUE))</f>
        <v>D</v>
      </c>
      <c r="D30" s="21">
        <f>IF(COUNTIFS(Eingabe[Name],Gesamtzähler[[#This Row],[Name]])=0,"",COUNTIFS(Eingabe[Name],Gesamtzähler[[#This Row],[Name]]))</f>
        <v>3</v>
      </c>
      <c r="E30" s="6">
        <f>IF(Gesamtzähler[[#This Row],[Spiele]]="","",IF(Gesamtzähler[[#This Row],[Spiele]]-COUNTIFS(Eingabe[Name],Gesamtzähler[[#This Row],[Name]],Eingabe[MP],"")=0,"",Gesamtzähler[[#This Row],[Spiele]]-COUNTIFS(Eingabe[Name],Gesamtzähler[[#This Row],[Name]],Eingabe[MP],"")))</f>
        <v>2</v>
      </c>
      <c r="F30" s="6">
        <f>IF(Gesamtzähler[[#This Row],[Spiele]]="","",SUMIF(Eingabe[Name],Gesamtzähler[[#This Row],[Name]],Eingabe[Volle]))</f>
        <v>995</v>
      </c>
      <c r="G30" s="6">
        <f>IF(Gesamtzähler[[#This Row],[Spiele]]="","",SUMIF(Eingabe[Name],Gesamtzähler[[#This Row],[Name]],Eingabe[Räumer]))</f>
        <v>419</v>
      </c>
      <c r="H30" s="6">
        <f>IF(Gesamtzähler[[#This Row],[Spiele]]="","",SUMIF(Eingabe[Name],Gesamtzähler[[#This Row],[Name]],Eingabe[Fehler]))</f>
        <v>45</v>
      </c>
      <c r="I30" s="6">
        <f>IF(Gesamtzähler[[#This Row],[Spiele]]="","",SUMIF(Eingabe[Name],Gesamtzähler[[#This Row],[Name]],Eingabe[GES]))</f>
        <v>1414</v>
      </c>
      <c r="J30" s="6">
        <f>IF(Gesamtzähler[[#This Row],[Spiele MP]]="","",SUMIF(Eingabe[Name],Gesamtzähler[[#This Row],[Name]],Eingabe[SP]))</f>
        <v>3.5</v>
      </c>
      <c r="K30" s="6">
        <f>IF(Gesamtzähler[[#This Row],[Spiele MP]]="","",SUMIF(Eingabe[Name],Gesamtzähler[[#This Row],[Name]],Eingabe[MP]))</f>
        <v>1</v>
      </c>
      <c r="L30" s="6">
        <f>IF(Gesamtzähler[[#This Row],[Spiele MP]]="","",SUMIF(Eingabe[Name],Gesamtzähler[[#This Row],[Name]],Eingabe[S1]))</f>
        <v>347</v>
      </c>
      <c r="M30" s="6">
        <f>IF(Gesamtzähler[[#This Row],[Spiele MP]]="","",SUMIF(Eingabe[Name],Gesamtzähler[[#This Row],[Name]],Eingabe[S2]))</f>
        <v>358</v>
      </c>
      <c r="N30" s="6">
        <f>IF(Gesamtzähler[[#This Row],[Spiele MP]]="","",SUMIF(Eingabe[Name],Gesamtzähler[[#This Row],[Name]],Eingabe[S3]))</f>
        <v>343</v>
      </c>
      <c r="O30" s="6">
        <f>IF(Gesamtzähler[[#This Row],[Spiele MP]]="","",SUMIF(Eingabe[Name],Gesamtzähler[[#This Row],[Name]],Eingabe[S4]))</f>
        <v>366</v>
      </c>
      <c r="P30" s="6">
        <f>IF(Gesamtzähler[[#This Row],[Spiele MP]]="","",SUMIF(Eingabe[Name],Gesamtzähler[[#This Row],[Name]],Eingabe[S1P]))</f>
        <v>0.5</v>
      </c>
      <c r="Q30" s="6">
        <f>IF(Gesamtzähler[[#This Row],[Spiele MP]]="","",SUMIF(Eingabe[Name],Gesamtzähler[[#This Row],[Name]],Eingabe[S2P]))</f>
        <v>2</v>
      </c>
      <c r="R30" s="6">
        <f>IF(Gesamtzähler[[#This Row],[Spiele MP]]="","",SUMIF(Eingabe[Name],Gesamtzähler[[#This Row],[Name]],Eingabe[S3P]))</f>
        <v>0</v>
      </c>
      <c r="S30" s="6">
        <f>IF(Gesamtzähler[[#This Row],[Spiele MP]]="","",SUMIF(Eingabe[Name],Gesamtzähler[[#This Row],[Name]],Eingabe[S4P]))</f>
        <v>1</v>
      </c>
      <c r="T30" s="6">
        <f>IF(Gesamtzähler[[#This Row],[Spiele MP]]="","",SUMIF(Eingabe[Name],Gesamtzähler[[#This Row],[Name]],Eingabe[GEGGES]))</f>
        <v>1035</v>
      </c>
      <c r="U30" s="21">
        <f>IF(COUNTIFS(Eingabe[Name],Gesamtzähler[[#This Row],[Name]],Eingabe[Wo],"H")=0,"",COUNTIFS(Eingabe[Name],Gesamtzähler[[#This Row],[Name]],Eingabe[Wo],"H"))</f>
        <v>1</v>
      </c>
      <c r="V30" s="6">
        <f>IF(Gesamtzähler[[#This Row],[Spiele H]]="","",Gesamtzähler[[#This Row],[Spiele H]]-COUNTIFS(Eingabe[Name],Gesamtzähler[[#This Row],[Name]],Eingabe[MP],"",Eingabe[Wo],"H"))</f>
        <v>1</v>
      </c>
      <c r="W30" s="6">
        <f>IF(Gesamtzähler[[#This Row],[Spiele H]]="","",SUMIFS(Eingabe[Volle],Eingabe[Name],Gesamtzähler[[#This Row],[Name]],Eingabe[Wo],"H"))</f>
        <v>320</v>
      </c>
      <c r="X30" s="6">
        <f>IF(Gesamtzähler[[#This Row],[Spiele H]]="","",SUMIFS(Eingabe[Räumer],Eingabe[Name],Gesamtzähler[[#This Row],[Name]],Eingabe[Wo],"H"))</f>
        <v>134</v>
      </c>
      <c r="Y30" s="6">
        <f>IF(Gesamtzähler[[#This Row],[Spiele H]]="","",SUMIFS(Eingabe[Fehler],Eingabe[Name],Gesamtzähler[[#This Row],[Name]],Eingabe[Wo],"H"))</f>
        <v>13</v>
      </c>
      <c r="Z30" s="6">
        <f>IF(Gesamtzähler[[#This Row],[Spiele MPH]]="","",SUMIFS(Eingabe[S1],Eingabe[Name],Gesamtzähler[[#This Row],[Name]],Eingabe[Wo],"H"))</f>
        <v>123</v>
      </c>
      <c r="AA30" s="6">
        <f>IF(Gesamtzähler[[#This Row],[Spiele MPH]]="","",SUMIFS(Eingabe[S1P],Eingabe[Name],Gesamtzähler[[#This Row],[Name]],Eingabe[Wo],"H"))</f>
        <v>0</v>
      </c>
      <c r="AB30" s="6">
        <f>IF(Gesamtzähler[[#This Row],[Spiele MPH]]="","",SUMIFS(Eingabe[S2],Eingabe[Name],Gesamtzähler[[#This Row],[Name]],Eingabe[Wo],"H"))</f>
        <v>118</v>
      </c>
      <c r="AC30" s="6">
        <f>IF(Gesamtzähler[[#This Row],[Spiele MPH]]="","",SUMIFS(Eingabe[S2P],Eingabe[Name],Gesamtzähler[[#This Row],[Name]],Eingabe[Wo],"H"))</f>
        <v>1</v>
      </c>
      <c r="AD30" s="6">
        <f>IF(Gesamtzähler[[#This Row],[Spiele MPH]]="","",SUMIFS(Eingabe[S3],Eingabe[Name],Gesamtzähler[[#This Row],[Name]],Eingabe[Wo],"H"))</f>
        <v>108</v>
      </c>
      <c r="AE30" s="6">
        <f>IF(Gesamtzähler[[#This Row],[Spiele MPH]]="","",SUMIFS(Eingabe[S3P],Eingabe[Name],Gesamtzähler[[#This Row],[Name]],Eingabe[Wo],"H"))</f>
        <v>0</v>
      </c>
      <c r="AF30" s="203">
        <f>IF(Gesamtzähler[[#This Row],[Spiele MPH]]="","",SUMIFS(Eingabe[S4],Eingabe[Name],Gesamtzähler[[#This Row],[Name]],Eingabe[Wo],"H"))</f>
        <v>105</v>
      </c>
      <c r="AG30" s="6">
        <f>IF(Gesamtzähler[[#This Row],[Spiele MPH]]="","",SUMIFS(Eingabe[S4P],Eingabe[Name],Gesamtzähler[[#This Row],[Name]],Eingabe[Wo],"H"))</f>
        <v>0</v>
      </c>
      <c r="AH30" s="6">
        <f>IF(Gesamtzähler[[#This Row],[Spiele MPH]]="","",SUMIFS(Eingabe[GEGGES],Eingabe[Name],Gesamtzähler[[#This Row],[Name]],Eingabe[Wo],"H"))</f>
        <v>545</v>
      </c>
      <c r="AI30" s="6">
        <f>IF(Gesamtzähler[[#This Row],[Spiele H]]="","",SUMIFS(Eingabe[GES],Eingabe[Name],Gesamtzähler[[#This Row],[Name]],Eingabe[Wo],"H"))</f>
        <v>454</v>
      </c>
      <c r="AJ30" s="6">
        <f>IF(Gesamtzähler[[#This Row],[Spiele MPH]]="","",SUMIFS(Eingabe[SP],Eingabe[Name],Gesamtzähler[[#This Row],[Name]],Eingabe[Wo],"H"))</f>
        <v>1</v>
      </c>
      <c r="AK30" s="6">
        <f>IF(Gesamtzähler[[#This Row],[Spiele MPH]]="","",SUMIFS(Eingabe[MP],Eingabe[Name],Gesamtzähler[[#This Row],[Name]],Eingabe[Wo],"H"))</f>
        <v>0</v>
      </c>
      <c r="AL30" s="6">
        <f>IF(COUNTIFS(Eingabe[Name],Gesamtzähler[[#This Row],[Name]],Eingabe[Wo],"A")=0,"",COUNTIFS(Eingabe[Name],Gesamtzähler[[#This Row],[Name]],Eingabe[Wo],"A"))</f>
        <v>2</v>
      </c>
      <c r="AM30" s="6">
        <f>IF(Gesamtzähler[[#This Row],[Spiele A]]="","",Gesamtzähler[[#This Row],[Spiele A]]-COUNTIFS(Eingabe[Name],Gesamtzähler[[#This Row],[Name]],Eingabe[MP],"",Eingabe[Wo],"A"))</f>
        <v>1</v>
      </c>
      <c r="AN30" s="6">
        <f>IF(Gesamtzähler[[#This Row],[Spiele A]]="","",SUMIFS(Eingabe[Volle],Eingabe[Name],Gesamtzähler[[#This Row],[Name]],Eingabe[Wo],"A"))</f>
        <v>675</v>
      </c>
      <c r="AO30" s="6">
        <f>IF(Gesamtzähler[[#This Row],[Spiele A]]="","",SUMIFS(Eingabe[Räumer],Eingabe[Name],Gesamtzähler[[#This Row],[Name]],Eingabe[Wo],"A"))</f>
        <v>285</v>
      </c>
      <c r="AP30" s="6">
        <f>IF(Gesamtzähler[[#This Row],[Spiele A]]="","",SUMIFS(Eingabe[Fehler],Eingabe[Name],Gesamtzähler[[#This Row],[Name]],Eingabe[Wo],"A"))</f>
        <v>32</v>
      </c>
      <c r="AQ30" s="6">
        <f>IF(Gesamtzähler[[#This Row],[Spiele MPA]]="","",SUMIFS(Eingabe[S1],Eingabe[Name],Gesamtzähler[[#This Row],[Name]],Eingabe[Wo],"A"))</f>
        <v>224</v>
      </c>
      <c r="AR30" s="6">
        <f>IF(Gesamtzähler[[#This Row],[Spiele MPA]]="","",SUMIFS(Eingabe[S1P],Eingabe[Name],Gesamtzähler[[#This Row],[Name]],Eingabe[Wo],"A"))</f>
        <v>0.5</v>
      </c>
      <c r="AS30" s="6">
        <f>IF(Gesamtzähler[[#This Row],[Spiele MPA]]="","",SUMIFS(Eingabe[S2],Eingabe[Name],Gesamtzähler[[#This Row],[Name]],Eingabe[Wo],"A"))</f>
        <v>240</v>
      </c>
      <c r="AT30" s="6">
        <f>IF(Gesamtzähler[[#This Row],[Spiele MPA]]="","",SUMIFS(Eingabe[S2P],Eingabe[Name],Gesamtzähler[[#This Row],[Name]],Eingabe[Wo],"A"))</f>
        <v>1</v>
      </c>
      <c r="AU30" s="6">
        <f>IF(Gesamtzähler[[#This Row],[Spiele MPA]]="","",SUMIFS(Eingabe[S3],Eingabe[Name],Gesamtzähler[[#This Row],[Name]],Eingabe[Wo],"A"))</f>
        <v>235</v>
      </c>
      <c r="AV30" s="6">
        <f>IF(Gesamtzähler[[#This Row],[Spiele MPA]]="","",SUMIFS(Eingabe[S3P],Eingabe[Name],Gesamtzähler[[#This Row],[Name]],Eingabe[Wo],"A"))</f>
        <v>0</v>
      </c>
      <c r="AW30" s="6">
        <f>IF(Gesamtzähler[[#This Row],[Spiele MPA]]="","",SUMIFS(Eingabe[S4],Eingabe[Name],Gesamtzähler[[#This Row],[Name]],Eingabe[Wo],"A"))</f>
        <v>261</v>
      </c>
      <c r="AX30" s="6">
        <f>IF(Gesamtzähler[[#This Row],[Spiele MPA]]="","",SUMIFS(Eingabe[S4P],Eingabe[Name],Gesamtzähler[[#This Row],[Name]],Eingabe[Wo],"A"))</f>
        <v>1</v>
      </c>
      <c r="AY30" s="6">
        <f>IF(Gesamtzähler[[#This Row],[Spiele MPA]]="","",SUMIFS(Eingabe[GEGGES],Eingabe[Name],Gesamtzähler[[#This Row],[Name]],Eingabe[Wo],"A"))</f>
        <v>490</v>
      </c>
      <c r="AZ30" s="6">
        <f>IF(Gesamtzähler[[#This Row],[Spiele A]]="","",SUMIFS(Eingabe[GES],Eingabe[Name],Gesamtzähler[[#This Row],[Name]],Eingabe[Wo],"A"))</f>
        <v>960</v>
      </c>
      <c r="BA30" s="6">
        <f>IF(Gesamtzähler[[#This Row],[Spiele MPA]]="","",SUMIFS(Eingabe[SP],Eingabe[Name],Gesamtzähler[[#This Row],[Name]],Eingabe[Wo],"A"))</f>
        <v>2.5</v>
      </c>
      <c r="BB30" s="6">
        <f>IF(Gesamtzähler[[#This Row],[Spiele MPA]]="","",SUMIFS(Eingabe[MP],Eingabe[Name],Gesamtzähler[[#This Row],[Name]],Eingabe[Wo],"A"))</f>
        <v>1</v>
      </c>
      <c r="BC30" s="6"/>
      <c r="BD30" s="6"/>
      <c r="BE30" s="6"/>
      <c r="BF30" s="6"/>
    </row>
    <row r="31" spans="2:58" x14ac:dyDescent="0.3">
      <c r="B31" s="7" t="str">
        <f>VLOOKUP(ROW(Gesamtzähler[[#This Row],[Name]])-3,Teamzuordnung[],2,FALSE)</f>
        <v>Mario Hägemann</v>
      </c>
      <c r="C31" s="6" t="str">
        <f>IF(Gesamtzähler[[#This Row],[Name]]="","",VLOOKUP(Gesamtzähler[[#This Row],[Name]],Teamzuordnung[[Name]:[Team]],2,TRUE))</f>
        <v>Z</v>
      </c>
      <c r="D31" s="21">
        <f>IF(COUNTIFS(Eingabe[Name],Gesamtzähler[[#This Row],[Name]])=0,"",COUNTIFS(Eingabe[Name],Gesamtzähler[[#This Row],[Name]]))</f>
        <v>10</v>
      </c>
      <c r="E31" s="6">
        <f>IF(Gesamtzähler[[#This Row],[Spiele]]="","",IF(Gesamtzähler[[#This Row],[Spiele]]-COUNTIFS(Eingabe[Name],Gesamtzähler[[#This Row],[Name]],Eingabe[MP],"")=0,"",Gesamtzähler[[#This Row],[Spiele]]-COUNTIFS(Eingabe[Name],Gesamtzähler[[#This Row],[Name]],Eingabe[MP],"")))</f>
        <v>10</v>
      </c>
      <c r="F31" s="6">
        <f>IF(Gesamtzähler[[#This Row],[Spiele]]="","",SUMIF(Eingabe[Name],Gesamtzähler[[#This Row],[Name]],Eingabe[Volle]))</f>
        <v>3493</v>
      </c>
      <c r="G31" s="6">
        <f>IF(Gesamtzähler[[#This Row],[Spiele]]="","",SUMIF(Eingabe[Name],Gesamtzähler[[#This Row],[Name]],Eingabe[Räumer]))</f>
        <v>1722</v>
      </c>
      <c r="H31" s="6">
        <f>IF(Gesamtzähler[[#This Row],[Spiele]]="","",SUMIF(Eingabe[Name],Gesamtzähler[[#This Row],[Name]],Eingabe[Fehler]))</f>
        <v>60</v>
      </c>
      <c r="I31" s="6">
        <f>IF(Gesamtzähler[[#This Row],[Spiele]]="","",SUMIF(Eingabe[Name],Gesamtzähler[[#This Row],[Name]],Eingabe[GES]))</f>
        <v>5215</v>
      </c>
      <c r="J31" s="6">
        <f>IF(Gesamtzähler[[#This Row],[Spiele MP]]="","",SUMIF(Eingabe[Name],Gesamtzähler[[#This Row],[Name]],Eingabe[SP]))</f>
        <v>24</v>
      </c>
      <c r="K31" s="6">
        <f>IF(Gesamtzähler[[#This Row],[Spiele MP]]="","",SUMIF(Eingabe[Name],Gesamtzähler[[#This Row],[Name]],Eingabe[MP]))</f>
        <v>8</v>
      </c>
      <c r="L31" s="6">
        <f>IF(Gesamtzähler[[#This Row],[Spiele MP]]="","",SUMIF(Eingabe[Name],Gesamtzähler[[#This Row],[Name]],Eingabe[S1]))</f>
        <v>1352</v>
      </c>
      <c r="M31" s="6">
        <f>IF(Gesamtzähler[[#This Row],[Spiele MP]]="","",SUMIF(Eingabe[Name],Gesamtzähler[[#This Row],[Name]],Eingabe[S2]))</f>
        <v>1278</v>
      </c>
      <c r="N31" s="6">
        <f>IF(Gesamtzähler[[#This Row],[Spiele MP]]="","",SUMIF(Eingabe[Name],Gesamtzähler[[#This Row],[Name]],Eingabe[S3]))</f>
        <v>1299</v>
      </c>
      <c r="O31" s="6">
        <f>IF(Gesamtzähler[[#This Row],[Spiele MP]]="","",SUMIF(Eingabe[Name],Gesamtzähler[[#This Row],[Name]],Eingabe[S4]))</f>
        <v>1286</v>
      </c>
      <c r="P31" s="6">
        <f>IF(Gesamtzähler[[#This Row],[Spiele MP]]="","",SUMIF(Eingabe[Name],Gesamtzähler[[#This Row],[Name]],Eingabe[S1P]))</f>
        <v>6</v>
      </c>
      <c r="Q31" s="6">
        <f>IF(Gesamtzähler[[#This Row],[Spiele MP]]="","",SUMIF(Eingabe[Name],Gesamtzähler[[#This Row],[Name]],Eingabe[S2P]))</f>
        <v>6.5</v>
      </c>
      <c r="R31" s="6">
        <f>IF(Gesamtzähler[[#This Row],[Spiele MP]]="","",SUMIF(Eingabe[Name],Gesamtzähler[[#This Row],[Name]],Eingabe[S3P]))</f>
        <v>5.5</v>
      </c>
      <c r="S31" s="6">
        <f>IF(Gesamtzähler[[#This Row],[Spiele MP]]="","",SUMIF(Eingabe[Name],Gesamtzähler[[#This Row],[Name]],Eingabe[S4P]))</f>
        <v>6</v>
      </c>
      <c r="T31" s="6">
        <f>IF(Gesamtzähler[[#This Row],[Spiele MP]]="","",SUMIF(Eingabe[Name],Gesamtzähler[[#This Row],[Name]],Eingabe[GEGGES]))</f>
        <v>5113</v>
      </c>
      <c r="U31" s="21">
        <f>IF(COUNTIFS(Eingabe[Name],Gesamtzähler[[#This Row],[Name]],Eingabe[Wo],"H")=0,"",COUNTIFS(Eingabe[Name],Gesamtzähler[[#This Row],[Name]],Eingabe[Wo],"H"))</f>
        <v>5</v>
      </c>
      <c r="V31" s="6">
        <f>IF(Gesamtzähler[[#This Row],[Spiele H]]="","",Gesamtzähler[[#This Row],[Spiele H]]-COUNTIFS(Eingabe[Name],Gesamtzähler[[#This Row],[Name]],Eingabe[MP],"",Eingabe[Wo],"H"))</f>
        <v>5</v>
      </c>
      <c r="W31" s="6">
        <f>IF(Gesamtzähler[[#This Row],[Spiele H]]="","",SUMIFS(Eingabe[Volle],Eingabe[Name],Gesamtzähler[[#This Row],[Name]],Eingabe[Wo],"H"))</f>
        <v>1713</v>
      </c>
      <c r="X31" s="6">
        <f>IF(Gesamtzähler[[#This Row],[Spiele H]]="","",SUMIFS(Eingabe[Räumer],Eingabe[Name],Gesamtzähler[[#This Row],[Name]],Eingabe[Wo],"H"))</f>
        <v>844</v>
      </c>
      <c r="Y31" s="6">
        <f>IF(Gesamtzähler[[#This Row],[Spiele H]]="","",SUMIFS(Eingabe[Fehler],Eingabe[Name],Gesamtzähler[[#This Row],[Name]],Eingabe[Wo],"H"))</f>
        <v>34</v>
      </c>
      <c r="Z31" s="6">
        <f>IF(Gesamtzähler[[#This Row],[Spiele MPH]]="","",SUMIFS(Eingabe[S1],Eingabe[Name],Gesamtzähler[[#This Row],[Name]],Eingabe[Wo],"H"))</f>
        <v>672</v>
      </c>
      <c r="AA31" s="6">
        <f>IF(Gesamtzähler[[#This Row],[Spiele MPH]]="","",SUMIFS(Eingabe[S1P],Eingabe[Name],Gesamtzähler[[#This Row],[Name]],Eingabe[Wo],"H"))</f>
        <v>3</v>
      </c>
      <c r="AB31" s="6">
        <f>IF(Gesamtzähler[[#This Row],[Spiele MPH]]="","",SUMIFS(Eingabe[S2],Eingabe[Name],Gesamtzähler[[#This Row],[Name]],Eingabe[Wo],"H"))</f>
        <v>616</v>
      </c>
      <c r="AC31" s="6">
        <f>IF(Gesamtzähler[[#This Row],[Spiele MPH]]="","",SUMIFS(Eingabe[S2P],Eingabe[Name],Gesamtzähler[[#This Row],[Name]],Eingabe[Wo],"H"))</f>
        <v>3.5</v>
      </c>
      <c r="AD31" s="6">
        <f>IF(Gesamtzähler[[#This Row],[Spiele MPH]]="","",SUMIFS(Eingabe[S3],Eingabe[Name],Gesamtzähler[[#This Row],[Name]],Eingabe[Wo],"H"))</f>
        <v>650</v>
      </c>
      <c r="AE31" s="6">
        <f>IF(Gesamtzähler[[#This Row],[Spiele MPH]]="","",SUMIFS(Eingabe[S3P],Eingabe[Name],Gesamtzähler[[#This Row],[Name]],Eingabe[Wo],"H"))</f>
        <v>3</v>
      </c>
      <c r="AF31" s="203">
        <f>IF(Gesamtzähler[[#This Row],[Spiele MPH]]="","",SUMIFS(Eingabe[S4],Eingabe[Name],Gesamtzähler[[#This Row],[Name]],Eingabe[Wo],"H"))</f>
        <v>619</v>
      </c>
      <c r="AG31" s="6">
        <f>IF(Gesamtzähler[[#This Row],[Spiele MPH]]="","",SUMIFS(Eingabe[S4P],Eingabe[Name],Gesamtzähler[[#This Row],[Name]],Eingabe[Wo],"H"))</f>
        <v>2</v>
      </c>
      <c r="AH31" s="6">
        <f>IF(Gesamtzähler[[#This Row],[Spiele MPH]]="","",SUMIFS(Eingabe[GEGGES],Eingabe[Name],Gesamtzähler[[#This Row],[Name]],Eingabe[Wo],"H"))</f>
        <v>2520</v>
      </c>
      <c r="AI31" s="6">
        <f>IF(Gesamtzähler[[#This Row],[Spiele H]]="","",SUMIFS(Eingabe[GES],Eingabe[Name],Gesamtzähler[[#This Row],[Name]],Eingabe[Wo],"H"))</f>
        <v>2557</v>
      </c>
      <c r="AJ31" s="6">
        <f>IF(Gesamtzähler[[#This Row],[Spiele MPH]]="","",SUMIFS(Eingabe[SP],Eingabe[Name],Gesamtzähler[[#This Row],[Name]],Eingabe[Wo],"H"))</f>
        <v>11.5</v>
      </c>
      <c r="AK31" s="6">
        <f>IF(Gesamtzähler[[#This Row],[Spiele MPH]]="","",SUMIFS(Eingabe[MP],Eingabe[Name],Gesamtzähler[[#This Row],[Name]],Eingabe[Wo],"H"))</f>
        <v>4</v>
      </c>
      <c r="AL31" s="6">
        <f>IF(COUNTIFS(Eingabe[Name],Gesamtzähler[[#This Row],[Name]],Eingabe[Wo],"A")=0,"",COUNTIFS(Eingabe[Name],Gesamtzähler[[#This Row],[Name]],Eingabe[Wo],"A"))</f>
        <v>5</v>
      </c>
      <c r="AM31" s="6">
        <f>IF(Gesamtzähler[[#This Row],[Spiele A]]="","",Gesamtzähler[[#This Row],[Spiele A]]-COUNTIFS(Eingabe[Name],Gesamtzähler[[#This Row],[Name]],Eingabe[MP],"",Eingabe[Wo],"A"))</f>
        <v>5</v>
      </c>
      <c r="AN31" s="6">
        <f>IF(Gesamtzähler[[#This Row],[Spiele A]]="","",SUMIFS(Eingabe[Volle],Eingabe[Name],Gesamtzähler[[#This Row],[Name]],Eingabe[Wo],"A"))</f>
        <v>1780</v>
      </c>
      <c r="AO31" s="6">
        <f>IF(Gesamtzähler[[#This Row],[Spiele A]]="","",SUMIFS(Eingabe[Räumer],Eingabe[Name],Gesamtzähler[[#This Row],[Name]],Eingabe[Wo],"A"))</f>
        <v>878</v>
      </c>
      <c r="AP31" s="6">
        <f>IF(Gesamtzähler[[#This Row],[Spiele A]]="","",SUMIFS(Eingabe[Fehler],Eingabe[Name],Gesamtzähler[[#This Row],[Name]],Eingabe[Wo],"A"))</f>
        <v>26</v>
      </c>
      <c r="AQ31" s="6">
        <f>IF(Gesamtzähler[[#This Row],[Spiele MPA]]="","",SUMIFS(Eingabe[S1],Eingabe[Name],Gesamtzähler[[#This Row],[Name]],Eingabe[Wo],"A"))</f>
        <v>680</v>
      </c>
      <c r="AR31" s="6">
        <f>IF(Gesamtzähler[[#This Row],[Spiele MPA]]="","",SUMIFS(Eingabe[S1P],Eingabe[Name],Gesamtzähler[[#This Row],[Name]],Eingabe[Wo],"A"))</f>
        <v>3</v>
      </c>
      <c r="AS31" s="6">
        <f>IF(Gesamtzähler[[#This Row],[Spiele MPA]]="","",SUMIFS(Eingabe[S2],Eingabe[Name],Gesamtzähler[[#This Row],[Name]],Eingabe[Wo],"A"))</f>
        <v>662</v>
      </c>
      <c r="AT31" s="6">
        <f>IF(Gesamtzähler[[#This Row],[Spiele MPA]]="","",SUMIFS(Eingabe[S2P],Eingabe[Name],Gesamtzähler[[#This Row],[Name]],Eingabe[Wo],"A"))</f>
        <v>3</v>
      </c>
      <c r="AU31" s="6">
        <f>IF(Gesamtzähler[[#This Row],[Spiele MPA]]="","",SUMIFS(Eingabe[S3],Eingabe[Name],Gesamtzähler[[#This Row],[Name]],Eingabe[Wo],"A"))</f>
        <v>649</v>
      </c>
      <c r="AV31" s="6">
        <f>IF(Gesamtzähler[[#This Row],[Spiele MPA]]="","",SUMIFS(Eingabe[S3P],Eingabe[Name],Gesamtzähler[[#This Row],[Name]],Eingabe[Wo],"A"))</f>
        <v>2.5</v>
      </c>
      <c r="AW31" s="6">
        <f>IF(Gesamtzähler[[#This Row],[Spiele MPA]]="","",SUMIFS(Eingabe[S4],Eingabe[Name],Gesamtzähler[[#This Row],[Name]],Eingabe[Wo],"A"))</f>
        <v>667</v>
      </c>
      <c r="AX31" s="6">
        <f>IF(Gesamtzähler[[#This Row],[Spiele MPA]]="","",SUMIFS(Eingabe[S4P],Eingabe[Name],Gesamtzähler[[#This Row],[Name]],Eingabe[Wo],"A"))</f>
        <v>4</v>
      </c>
      <c r="AY31" s="6">
        <f>IF(Gesamtzähler[[#This Row],[Spiele MPA]]="","",SUMIFS(Eingabe[GEGGES],Eingabe[Name],Gesamtzähler[[#This Row],[Name]],Eingabe[Wo],"A"))</f>
        <v>2593</v>
      </c>
      <c r="AZ31" s="6">
        <f>IF(Gesamtzähler[[#This Row],[Spiele A]]="","",SUMIFS(Eingabe[GES],Eingabe[Name],Gesamtzähler[[#This Row],[Name]],Eingabe[Wo],"A"))</f>
        <v>2658</v>
      </c>
      <c r="BA31" s="6">
        <f>IF(Gesamtzähler[[#This Row],[Spiele MPA]]="","",SUMIFS(Eingabe[SP],Eingabe[Name],Gesamtzähler[[#This Row],[Name]],Eingabe[Wo],"A"))</f>
        <v>12.5</v>
      </c>
      <c r="BB31" s="6">
        <f>IF(Gesamtzähler[[#This Row],[Spiele MPA]]="","",SUMIFS(Eingabe[MP],Eingabe[Name],Gesamtzähler[[#This Row],[Name]],Eingabe[Wo],"A"))</f>
        <v>4</v>
      </c>
      <c r="BC31" s="6"/>
      <c r="BD31" s="6"/>
      <c r="BE31" s="6"/>
      <c r="BF31" s="6"/>
    </row>
    <row r="32" spans="2:58" x14ac:dyDescent="0.3">
      <c r="B32" s="7" t="str">
        <f>VLOOKUP(ROW(Gesamtzähler[[#This Row],[Name]])-3,Teamzuordnung[],2,FALSE)</f>
        <v>Markus Unvericht</v>
      </c>
      <c r="C32" s="6" t="str">
        <f>IF(Gesamtzähler[[#This Row],[Name]]="","",VLOOKUP(Gesamtzähler[[#This Row],[Name]],Teamzuordnung[[Name]:[Team]],2,TRUE))</f>
        <v>D</v>
      </c>
      <c r="D32" s="21" t="str">
        <f>IF(COUNTIFS(Eingabe[Name],Gesamtzähler[[#This Row],[Name]])=0,"",COUNTIFS(Eingabe[Name],Gesamtzähler[[#This Row],[Name]]))</f>
        <v/>
      </c>
      <c r="E32" s="6" t="str">
        <f>IF(Gesamtzähler[[#This Row],[Spiele]]="","",IF(Gesamtzähler[[#This Row],[Spiele]]-COUNTIFS(Eingabe[Name],Gesamtzähler[[#This Row],[Name]],Eingabe[MP],"")=0,"",Gesamtzähler[[#This Row],[Spiele]]-COUNTIFS(Eingabe[Name],Gesamtzähler[[#This Row],[Name]],Eingabe[MP],"")))</f>
        <v/>
      </c>
      <c r="F32" s="6" t="str">
        <f>IF(Gesamtzähler[[#This Row],[Spiele]]="","",SUMIF(Eingabe[Name],Gesamtzähler[[#This Row],[Name]],Eingabe[Volle]))</f>
        <v/>
      </c>
      <c r="G32" s="6" t="str">
        <f>IF(Gesamtzähler[[#This Row],[Spiele]]="","",SUMIF(Eingabe[Name],Gesamtzähler[[#This Row],[Name]],Eingabe[Räumer]))</f>
        <v/>
      </c>
      <c r="H32" s="6" t="str">
        <f>IF(Gesamtzähler[[#This Row],[Spiele]]="","",SUMIF(Eingabe[Name],Gesamtzähler[[#This Row],[Name]],Eingabe[Fehler]))</f>
        <v/>
      </c>
      <c r="I32" s="6" t="str">
        <f>IF(Gesamtzähler[[#This Row],[Spiele]]="","",SUMIF(Eingabe[Name],Gesamtzähler[[#This Row],[Name]],Eingabe[GES]))</f>
        <v/>
      </c>
      <c r="J32" s="6" t="str">
        <f>IF(Gesamtzähler[[#This Row],[Spiele MP]]="","",SUMIF(Eingabe[Name],Gesamtzähler[[#This Row],[Name]],Eingabe[SP]))</f>
        <v/>
      </c>
      <c r="K32" s="6" t="str">
        <f>IF(Gesamtzähler[[#This Row],[Spiele MP]]="","",SUMIF(Eingabe[Name],Gesamtzähler[[#This Row],[Name]],Eingabe[MP]))</f>
        <v/>
      </c>
      <c r="L32" s="6" t="str">
        <f>IF(Gesamtzähler[[#This Row],[Spiele MP]]="","",SUMIF(Eingabe[Name],Gesamtzähler[[#This Row],[Name]],Eingabe[S1]))</f>
        <v/>
      </c>
      <c r="M32" s="6" t="str">
        <f>IF(Gesamtzähler[[#This Row],[Spiele MP]]="","",SUMIF(Eingabe[Name],Gesamtzähler[[#This Row],[Name]],Eingabe[S2]))</f>
        <v/>
      </c>
      <c r="N32" s="6" t="str">
        <f>IF(Gesamtzähler[[#This Row],[Spiele MP]]="","",SUMIF(Eingabe[Name],Gesamtzähler[[#This Row],[Name]],Eingabe[S3]))</f>
        <v/>
      </c>
      <c r="O32" s="6" t="str">
        <f>IF(Gesamtzähler[[#This Row],[Spiele MP]]="","",SUMIF(Eingabe[Name],Gesamtzähler[[#This Row],[Name]],Eingabe[S4]))</f>
        <v/>
      </c>
      <c r="P32" s="6" t="str">
        <f>IF(Gesamtzähler[[#This Row],[Spiele MP]]="","",SUMIF(Eingabe[Name],Gesamtzähler[[#This Row],[Name]],Eingabe[S1P]))</f>
        <v/>
      </c>
      <c r="Q32" s="6" t="str">
        <f>IF(Gesamtzähler[[#This Row],[Spiele MP]]="","",SUMIF(Eingabe[Name],Gesamtzähler[[#This Row],[Name]],Eingabe[S2P]))</f>
        <v/>
      </c>
      <c r="R32" s="6" t="str">
        <f>IF(Gesamtzähler[[#This Row],[Spiele MP]]="","",SUMIF(Eingabe[Name],Gesamtzähler[[#This Row],[Name]],Eingabe[S3P]))</f>
        <v/>
      </c>
      <c r="S32" s="6" t="str">
        <f>IF(Gesamtzähler[[#This Row],[Spiele MP]]="","",SUMIF(Eingabe[Name],Gesamtzähler[[#This Row],[Name]],Eingabe[S4P]))</f>
        <v/>
      </c>
      <c r="T32" s="6" t="str">
        <f>IF(Gesamtzähler[[#This Row],[Spiele MP]]="","",SUMIF(Eingabe[Name],Gesamtzähler[[#This Row],[Name]],Eingabe[GEGGES]))</f>
        <v/>
      </c>
      <c r="U32" s="21" t="str">
        <f>IF(COUNTIFS(Eingabe[Name],Gesamtzähler[[#This Row],[Name]],Eingabe[Wo],"H")=0,"",COUNTIFS(Eingabe[Name],Gesamtzähler[[#This Row],[Name]],Eingabe[Wo],"H"))</f>
        <v/>
      </c>
      <c r="V32" s="6" t="str">
        <f>IF(Gesamtzähler[[#This Row],[Spiele H]]="","",Gesamtzähler[[#This Row],[Spiele H]]-COUNTIFS(Eingabe[Name],Gesamtzähler[[#This Row],[Name]],Eingabe[MP],"",Eingabe[Wo],"H"))</f>
        <v/>
      </c>
      <c r="W32" s="6" t="str">
        <f>IF(Gesamtzähler[[#This Row],[Spiele H]]="","",SUMIFS(Eingabe[Volle],Eingabe[Name],Gesamtzähler[[#This Row],[Name]],Eingabe[Wo],"H"))</f>
        <v/>
      </c>
      <c r="X32" s="6" t="str">
        <f>IF(Gesamtzähler[[#This Row],[Spiele H]]="","",SUMIFS(Eingabe[Räumer],Eingabe[Name],Gesamtzähler[[#This Row],[Name]],Eingabe[Wo],"H"))</f>
        <v/>
      </c>
      <c r="Y32" s="6" t="str">
        <f>IF(Gesamtzähler[[#This Row],[Spiele H]]="","",SUMIFS(Eingabe[Fehler],Eingabe[Name],Gesamtzähler[[#This Row],[Name]],Eingabe[Wo],"H"))</f>
        <v/>
      </c>
      <c r="Z32" s="6" t="str">
        <f>IF(Gesamtzähler[[#This Row],[Spiele MPH]]="","",SUMIFS(Eingabe[S1],Eingabe[Name],Gesamtzähler[[#This Row],[Name]],Eingabe[Wo],"H"))</f>
        <v/>
      </c>
      <c r="AA32" s="6" t="str">
        <f>IF(Gesamtzähler[[#This Row],[Spiele MPH]]="","",SUMIFS(Eingabe[S1P],Eingabe[Name],Gesamtzähler[[#This Row],[Name]],Eingabe[Wo],"H"))</f>
        <v/>
      </c>
      <c r="AB32" s="6" t="str">
        <f>IF(Gesamtzähler[[#This Row],[Spiele MPH]]="","",SUMIFS(Eingabe[S2],Eingabe[Name],Gesamtzähler[[#This Row],[Name]],Eingabe[Wo],"H"))</f>
        <v/>
      </c>
      <c r="AC32" s="6" t="str">
        <f>IF(Gesamtzähler[[#This Row],[Spiele MPH]]="","",SUMIFS(Eingabe[S2P],Eingabe[Name],Gesamtzähler[[#This Row],[Name]],Eingabe[Wo],"H"))</f>
        <v/>
      </c>
      <c r="AD32" s="6" t="str">
        <f>IF(Gesamtzähler[[#This Row],[Spiele MPH]]="","",SUMIFS(Eingabe[S3],Eingabe[Name],Gesamtzähler[[#This Row],[Name]],Eingabe[Wo],"H"))</f>
        <v/>
      </c>
      <c r="AE32" s="6" t="str">
        <f>IF(Gesamtzähler[[#This Row],[Spiele MPH]]="","",SUMIFS(Eingabe[S3P],Eingabe[Name],Gesamtzähler[[#This Row],[Name]],Eingabe[Wo],"H"))</f>
        <v/>
      </c>
      <c r="AF32" s="203" t="str">
        <f>IF(Gesamtzähler[[#This Row],[Spiele MPH]]="","",SUMIFS(Eingabe[S4],Eingabe[Name],Gesamtzähler[[#This Row],[Name]],Eingabe[Wo],"H"))</f>
        <v/>
      </c>
      <c r="AG32" s="6" t="str">
        <f>IF(Gesamtzähler[[#This Row],[Spiele MPH]]="","",SUMIFS(Eingabe[S4P],Eingabe[Name],Gesamtzähler[[#This Row],[Name]],Eingabe[Wo],"H"))</f>
        <v/>
      </c>
      <c r="AH32" s="6" t="str">
        <f>IF(Gesamtzähler[[#This Row],[Spiele MPH]]="","",SUMIFS(Eingabe[GEGGES],Eingabe[Name],Gesamtzähler[[#This Row],[Name]],Eingabe[Wo],"H"))</f>
        <v/>
      </c>
      <c r="AI32" s="6" t="str">
        <f>IF(Gesamtzähler[[#This Row],[Spiele H]]="","",SUMIFS(Eingabe[GES],Eingabe[Name],Gesamtzähler[[#This Row],[Name]],Eingabe[Wo],"H"))</f>
        <v/>
      </c>
      <c r="AJ32" s="6" t="str">
        <f>IF(Gesamtzähler[[#This Row],[Spiele MPH]]="","",SUMIFS(Eingabe[SP],Eingabe[Name],Gesamtzähler[[#This Row],[Name]],Eingabe[Wo],"H"))</f>
        <v/>
      </c>
      <c r="AK32" s="6" t="str">
        <f>IF(Gesamtzähler[[#This Row],[Spiele MPH]]="","",SUMIFS(Eingabe[MP],Eingabe[Name],Gesamtzähler[[#This Row],[Name]],Eingabe[Wo],"H"))</f>
        <v/>
      </c>
      <c r="AL32" s="6" t="str">
        <f>IF(COUNTIFS(Eingabe[Name],Gesamtzähler[[#This Row],[Name]],Eingabe[Wo],"A")=0,"",COUNTIFS(Eingabe[Name],Gesamtzähler[[#This Row],[Name]],Eingabe[Wo],"A"))</f>
        <v/>
      </c>
      <c r="AM32" s="6" t="str">
        <f>IF(Gesamtzähler[[#This Row],[Spiele A]]="","",Gesamtzähler[[#This Row],[Spiele A]]-COUNTIFS(Eingabe[Name],Gesamtzähler[[#This Row],[Name]],Eingabe[MP],"",Eingabe[Wo],"A"))</f>
        <v/>
      </c>
      <c r="AN32" s="6" t="str">
        <f>IF(Gesamtzähler[[#This Row],[Spiele A]]="","",SUMIFS(Eingabe[Volle],Eingabe[Name],Gesamtzähler[[#This Row],[Name]],Eingabe[Wo],"A"))</f>
        <v/>
      </c>
      <c r="AO32" s="6" t="str">
        <f>IF(Gesamtzähler[[#This Row],[Spiele A]]="","",SUMIFS(Eingabe[Räumer],Eingabe[Name],Gesamtzähler[[#This Row],[Name]],Eingabe[Wo],"A"))</f>
        <v/>
      </c>
      <c r="AP32" s="6" t="str">
        <f>IF(Gesamtzähler[[#This Row],[Spiele A]]="","",SUMIFS(Eingabe[Fehler],Eingabe[Name],Gesamtzähler[[#This Row],[Name]],Eingabe[Wo],"A"))</f>
        <v/>
      </c>
      <c r="AQ32" s="6" t="str">
        <f>IF(Gesamtzähler[[#This Row],[Spiele MPA]]="","",SUMIFS(Eingabe[S1],Eingabe[Name],Gesamtzähler[[#This Row],[Name]],Eingabe[Wo],"A"))</f>
        <v/>
      </c>
      <c r="AR32" s="6" t="str">
        <f>IF(Gesamtzähler[[#This Row],[Spiele MPA]]="","",SUMIFS(Eingabe[S1P],Eingabe[Name],Gesamtzähler[[#This Row],[Name]],Eingabe[Wo],"A"))</f>
        <v/>
      </c>
      <c r="AS32" s="6" t="str">
        <f>IF(Gesamtzähler[[#This Row],[Spiele MPA]]="","",SUMIFS(Eingabe[S2],Eingabe[Name],Gesamtzähler[[#This Row],[Name]],Eingabe[Wo],"A"))</f>
        <v/>
      </c>
      <c r="AT32" s="6" t="str">
        <f>IF(Gesamtzähler[[#This Row],[Spiele MPA]]="","",SUMIFS(Eingabe[S2P],Eingabe[Name],Gesamtzähler[[#This Row],[Name]],Eingabe[Wo],"A"))</f>
        <v/>
      </c>
      <c r="AU32" s="6" t="str">
        <f>IF(Gesamtzähler[[#This Row],[Spiele MPA]]="","",SUMIFS(Eingabe[S3],Eingabe[Name],Gesamtzähler[[#This Row],[Name]],Eingabe[Wo],"A"))</f>
        <v/>
      </c>
      <c r="AV32" s="6" t="str">
        <f>IF(Gesamtzähler[[#This Row],[Spiele MPA]]="","",SUMIFS(Eingabe[S3P],Eingabe[Name],Gesamtzähler[[#This Row],[Name]],Eingabe[Wo],"A"))</f>
        <v/>
      </c>
      <c r="AW32" s="6" t="str">
        <f>IF(Gesamtzähler[[#This Row],[Spiele MPA]]="","",SUMIFS(Eingabe[S4],Eingabe[Name],Gesamtzähler[[#This Row],[Name]],Eingabe[Wo],"A"))</f>
        <v/>
      </c>
      <c r="AX32" s="6" t="str">
        <f>IF(Gesamtzähler[[#This Row],[Spiele MPA]]="","",SUMIFS(Eingabe[S4P],Eingabe[Name],Gesamtzähler[[#This Row],[Name]],Eingabe[Wo],"A"))</f>
        <v/>
      </c>
      <c r="AY32" s="6" t="str">
        <f>IF(Gesamtzähler[[#This Row],[Spiele MPA]]="","",SUMIFS(Eingabe[GEGGES],Eingabe[Name],Gesamtzähler[[#This Row],[Name]],Eingabe[Wo],"A"))</f>
        <v/>
      </c>
      <c r="AZ32" s="6" t="str">
        <f>IF(Gesamtzähler[[#This Row],[Spiele A]]="","",SUMIFS(Eingabe[GES],Eingabe[Name],Gesamtzähler[[#This Row],[Name]],Eingabe[Wo],"A"))</f>
        <v/>
      </c>
      <c r="BA32" s="6" t="str">
        <f>IF(Gesamtzähler[[#This Row],[Spiele MPA]]="","",SUMIFS(Eingabe[SP],Eingabe[Name],Gesamtzähler[[#This Row],[Name]],Eingabe[Wo],"A"))</f>
        <v/>
      </c>
      <c r="BB32" s="6" t="str">
        <f>IF(Gesamtzähler[[#This Row],[Spiele MPA]]="","",SUMIFS(Eingabe[MP],Eingabe[Name],Gesamtzähler[[#This Row],[Name]],Eingabe[Wo],"A"))</f>
        <v/>
      </c>
      <c r="BC32" s="6"/>
      <c r="BD32" s="6"/>
      <c r="BE32" s="6"/>
      <c r="BF32" s="6"/>
    </row>
    <row r="33" spans="2:58" x14ac:dyDescent="0.3">
      <c r="B33" s="7" t="str">
        <f>VLOOKUP(ROW(Gesamtzähler[[#This Row],[Name]])-3,Teamzuordnung[],2,FALSE)</f>
        <v>Martin Börner</v>
      </c>
      <c r="C33" s="6" t="str">
        <f>IF(Gesamtzähler[[#This Row],[Name]]="","",VLOOKUP(Gesamtzähler[[#This Row],[Name]],Teamzuordnung[[Name]:[Team]],2,TRUE))</f>
        <v>Z</v>
      </c>
      <c r="D33" s="21" t="str">
        <f>IF(COUNTIFS(Eingabe[Name],Gesamtzähler[[#This Row],[Name]])=0,"",COUNTIFS(Eingabe[Name],Gesamtzähler[[#This Row],[Name]]))</f>
        <v/>
      </c>
      <c r="E33" s="6" t="str">
        <f>IF(Gesamtzähler[[#This Row],[Spiele]]="","",IF(Gesamtzähler[[#This Row],[Spiele]]-COUNTIFS(Eingabe[Name],Gesamtzähler[[#This Row],[Name]],Eingabe[MP],"")=0,"",Gesamtzähler[[#This Row],[Spiele]]-COUNTIFS(Eingabe[Name],Gesamtzähler[[#This Row],[Name]],Eingabe[MP],"")))</f>
        <v/>
      </c>
      <c r="F33" s="6" t="str">
        <f>IF(Gesamtzähler[[#This Row],[Spiele]]="","",SUMIF(Eingabe[Name],Gesamtzähler[[#This Row],[Name]],Eingabe[Volle]))</f>
        <v/>
      </c>
      <c r="G33" s="6" t="str">
        <f>IF(Gesamtzähler[[#This Row],[Spiele]]="","",SUMIF(Eingabe[Name],Gesamtzähler[[#This Row],[Name]],Eingabe[Räumer]))</f>
        <v/>
      </c>
      <c r="H33" s="6" t="str">
        <f>IF(Gesamtzähler[[#This Row],[Spiele]]="","",SUMIF(Eingabe[Name],Gesamtzähler[[#This Row],[Name]],Eingabe[Fehler]))</f>
        <v/>
      </c>
      <c r="I33" s="6" t="str">
        <f>IF(Gesamtzähler[[#This Row],[Spiele]]="","",SUMIF(Eingabe[Name],Gesamtzähler[[#This Row],[Name]],Eingabe[GES]))</f>
        <v/>
      </c>
      <c r="J33" s="6" t="str">
        <f>IF(Gesamtzähler[[#This Row],[Spiele MP]]="","",SUMIF(Eingabe[Name],Gesamtzähler[[#This Row],[Name]],Eingabe[SP]))</f>
        <v/>
      </c>
      <c r="K33" s="6" t="str">
        <f>IF(Gesamtzähler[[#This Row],[Spiele MP]]="","",SUMIF(Eingabe[Name],Gesamtzähler[[#This Row],[Name]],Eingabe[MP]))</f>
        <v/>
      </c>
      <c r="L33" s="6" t="str">
        <f>IF(Gesamtzähler[[#This Row],[Spiele MP]]="","",SUMIF(Eingabe[Name],Gesamtzähler[[#This Row],[Name]],Eingabe[S1]))</f>
        <v/>
      </c>
      <c r="M33" s="6" t="str">
        <f>IF(Gesamtzähler[[#This Row],[Spiele MP]]="","",SUMIF(Eingabe[Name],Gesamtzähler[[#This Row],[Name]],Eingabe[S2]))</f>
        <v/>
      </c>
      <c r="N33" s="6" t="str">
        <f>IF(Gesamtzähler[[#This Row],[Spiele MP]]="","",SUMIF(Eingabe[Name],Gesamtzähler[[#This Row],[Name]],Eingabe[S3]))</f>
        <v/>
      </c>
      <c r="O33" s="6" t="str">
        <f>IF(Gesamtzähler[[#This Row],[Spiele MP]]="","",SUMIF(Eingabe[Name],Gesamtzähler[[#This Row],[Name]],Eingabe[S4]))</f>
        <v/>
      </c>
      <c r="P33" s="6" t="str">
        <f>IF(Gesamtzähler[[#This Row],[Spiele MP]]="","",SUMIF(Eingabe[Name],Gesamtzähler[[#This Row],[Name]],Eingabe[S1P]))</f>
        <v/>
      </c>
      <c r="Q33" s="6" t="str">
        <f>IF(Gesamtzähler[[#This Row],[Spiele MP]]="","",SUMIF(Eingabe[Name],Gesamtzähler[[#This Row],[Name]],Eingabe[S2P]))</f>
        <v/>
      </c>
      <c r="R33" s="6" t="str">
        <f>IF(Gesamtzähler[[#This Row],[Spiele MP]]="","",SUMIF(Eingabe[Name],Gesamtzähler[[#This Row],[Name]],Eingabe[S3P]))</f>
        <v/>
      </c>
      <c r="S33" s="6" t="str">
        <f>IF(Gesamtzähler[[#This Row],[Spiele MP]]="","",SUMIF(Eingabe[Name],Gesamtzähler[[#This Row],[Name]],Eingabe[S4P]))</f>
        <v/>
      </c>
      <c r="T33" s="6" t="str">
        <f>IF(Gesamtzähler[[#This Row],[Spiele MP]]="","",SUMIF(Eingabe[Name],Gesamtzähler[[#This Row],[Name]],Eingabe[GEGGES]))</f>
        <v/>
      </c>
      <c r="U33" s="21" t="str">
        <f>IF(COUNTIFS(Eingabe[Name],Gesamtzähler[[#This Row],[Name]],Eingabe[Wo],"H")=0,"",COUNTIFS(Eingabe[Name],Gesamtzähler[[#This Row],[Name]],Eingabe[Wo],"H"))</f>
        <v/>
      </c>
      <c r="V33" s="6" t="str">
        <f>IF(Gesamtzähler[[#This Row],[Spiele H]]="","",Gesamtzähler[[#This Row],[Spiele H]]-COUNTIFS(Eingabe[Name],Gesamtzähler[[#This Row],[Name]],Eingabe[MP],"",Eingabe[Wo],"H"))</f>
        <v/>
      </c>
      <c r="W33" s="6" t="str">
        <f>IF(Gesamtzähler[[#This Row],[Spiele H]]="","",SUMIFS(Eingabe[Volle],Eingabe[Name],Gesamtzähler[[#This Row],[Name]],Eingabe[Wo],"H"))</f>
        <v/>
      </c>
      <c r="X33" s="6" t="str">
        <f>IF(Gesamtzähler[[#This Row],[Spiele H]]="","",SUMIFS(Eingabe[Räumer],Eingabe[Name],Gesamtzähler[[#This Row],[Name]],Eingabe[Wo],"H"))</f>
        <v/>
      </c>
      <c r="Y33" s="6" t="str">
        <f>IF(Gesamtzähler[[#This Row],[Spiele H]]="","",SUMIFS(Eingabe[Fehler],Eingabe[Name],Gesamtzähler[[#This Row],[Name]],Eingabe[Wo],"H"))</f>
        <v/>
      </c>
      <c r="Z33" s="6" t="str">
        <f>IF(Gesamtzähler[[#This Row],[Spiele MPH]]="","",SUMIFS(Eingabe[S1],Eingabe[Name],Gesamtzähler[[#This Row],[Name]],Eingabe[Wo],"H"))</f>
        <v/>
      </c>
      <c r="AA33" s="6" t="str">
        <f>IF(Gesamtzähler[[#This Row],[Spiele MPH]]="","",SUMIFS(Eingabe[S1P],Eingabe[Name],Gesamtzähler[[#This Row],[Name]],Eingabe[Wo],"H"))</f>
        <v/>
      </c>
      <c r="AB33" s="6" t="str">
        <f>IF(Gesamtzähler[[#This Row],[Spiele MPH]]="","",SUMIFS(Eingabe[S2],Eingabe[Name],Gesamtzähler[[#This Row],[Name]],Eingabe[Wo],"H"))</f>
        <v/>
      </c>
      <c r="AC33" s="6" t="str">
        <f>IF(Gesamtzähler[[#This Row],[Spiele MPH]]="","",SUMIFS(Eingabe[S2P],Eingabe[Name],Gesamtzähler[[#This Row],[Name]],Eingabe[Wo],"H"))</f>
        <v/>
      </c>
      <c r="AD33" s="6" t="str">
        <f>IF(Gesamtzähler[[#This Row],[Spiele MPH]]="","",SUMIFS(Eingabe[S3],Eingabe[Name],Gesamtzähler[[#This Row],[Name]],Eingabe[Wo],"H"))</f>
        <v/>
      </c>
      <c r="AE33" s="6" t="str">
        <f>IF(Gesamtzähler[[#This Row],[Spiele MPH]]="","",SUMIFS(Eingabe[S3P],Eingabe[Name],Gesamtzähler[[#This Row],[Name]],Eingabe[Wo],"H"))</f>
        <v/>
      </c>
      <c r="AF33" s="203" t="str">
        <f>IF(Gesamtzähler[[#This Row],[Spiele MPH]]="","",SUMIFS(Eingabe[S4],Eingabe[Name],Gesamtzähler[[#This Row],[Name]],Eingabe[Wo],"H"))</f>
        <v/>
      </c>
      <c r="AG33" s="6" t="str">
        <f>IF(Gesamtzähler[[#This Row],[Spiele MPH]]="","",SUMIFS(Eingabe[S4P],Eingabe[Name],Gesamtzähler[[#This Row],[Name]],Eingabe[Wo],"H"))</f>
        <v/>
      </c>
      <c r="AH33" s="6" t="str">
        <f>IF(Gesamtzähler[[#This Row],[Spiele MPH]]="","",SUMIFS(Eingabe[GEGGES],Eingabe[Name],Gesamtzähler[[#This Row],[Name]],Eingabe[Wo],"H"))</f>
        <v/>
      </c>
      <c r="AI33" s="6" t="str">
        <f>IF(Gesamtzähler[[#This Row],[Spiele H]]="","",SUMIFS(Eingabe[GES],Eingabe[Name],Gesamtzähler[[#This Row],[Name]],Eingabe[Wo],"H"))</f>
        <v/>
      </c>
      <c r="AJ33" s="6" t="str">
        <f>IF(Gesamtzähler[[#This Row],[Spiele MPH]]="","",SUMIFS(Eingabe[SP],Eingabe[Name],Gesamtzähler[[#This Row],[Name]],Eingabe[Wo],"H"))</f>
        <v/>
      </c>
      <c r="AK33" s="6" t="str">
        <f>IF(Gesamtzähler[[#This Row],[Spiele MPH]]="","",SUMIFS(Eingabe[MP],Eingabe[Name],Gesamtzähler[[#This Row],[Name]],Eingabe[Wo],"H"))</f>
        <v/>
      </c>
      <c r="AL33" s="6" t="str">
        <f>IF(COUNTIFS(Eingabe[Name],Gesamtzähler[[#This Row],[Name]],Eingabe[Wo],"A")=0,"",COUNTIFS(Eingabe[Name],Gesamtzähler[[#This Row],[Name]],Eingabe[Wo],"A"))</f>
        <v/>
      </c>
      <c r="AM33" s="6" t="str">
        <f>IF(Gesamtzähler[[#This Row],[Spiele A]]="","",Gesamtzähler[[#This Row],[Spiele A]]-COUNTIFS(Eingabe[Name],Gesamtzähler[[#This Row],[Name]],Eingabe[MP],"",Eingabe[Wo],"A"))</f>
        <v/>
      </c>
      <c r="AN33" s="6" t="str">
        <f>IF(Gesamtzähler[[#This Row],[Spiele A]]="","",SUMIFS(Eingabe[Volle],Eingabe[Name],Gesamtzähler[[#This Row],[Name]],Eingabe[Wo],"A"))</f>
        <v/>
      </c>
      <c r="AO33" s="6" t="str">
        <f>IF(Gesamtzähler[[#This Row],[Spiele A]]="","",SUMIFS(Eingabe[Räumer],Eingabe[Name],Gesamtzähler[[#This Row],[Name]],Eingabe[Wo],"A"))</f>
        <v/>
      </c>
      <c r="AP33" s="6" t="str">
        <f>IF(Gesamtzähler[[#This Row],[Spiele A]]="","",SUMIFS(Eingabe[Fehler],Eingabe[Name],Gesamtzähler[[#This Row],[Name]],Eingabe[Wo],"A"))</f>
        <v/>
      </c>
      <c r="AQ33" s="6" t="str">
        <f>IF(Gesamtzähler[[#This Row],[Spiele MPA]]="","",SUMIFS(Eingabe[S1],Eingabe[Name],Gesamtzähler[[#This Row],[Name]],Eingabe[Wo],"A"))</f>
        <v/>
      </c>
      <c r="AR33" s="6" t="str">
        <f>IF(Gesamtzähler[[#This Row],[Spiele MPA]]="","",SUMIFS(Eingabe[S1P],Eingabe[Name],Gesamtzähler[[#This Row],[Name]],Eingabe[Wo],"A"))</f>
        <v/>
      </c>
      <c r="AS33" s="6" t="str">
        <f>IF(Gesamtzähler[[#This Row],[Spiele MPA]]="","",SUMIFS(Eingabe[S2],Eingabe[Name],Gesamtzähler[[#This Row],[Name]],Eingabe[Wo],"A"))</f>
        <v/>
      </c>
      <c r="AT33" s="6" t="str">
        <f>IF(Gesamtzähler[[#This Row],[Spiele MPA]]="","",SUMIFS(Eingabe[S2P],Eingabe[Name],Gesamtzähler[[#This Row],[Name]],Eingabe[Wo],"A"))</f>
        <v/>
      </c>
      <c r="AU33" s="6" t="str">
        <f>IF(Gesamtzähler[[#This Row],[Spiele MPA]]="","",SUMIFS(Eingabe[S3],Eingabe[Name],Gesamtzähler[[#This Row],[Name]],Eingabe[Wo],"A"))</f>
        <v/>
      </c>
      <c r="AV33" s="6" t="str">
        <f>IF(Gesamtzähler[[#This Row],[Spiele MPA]]="","",SUMIFS(Eingabe[S3P],Eingabe[Name],Gesamtzähler[[#This Row],[Name]],Eingabe[Wo],"A"))</f>
        <v/>
      </c>
      <c r="AW33" s="6" t="str">
        <f>IF(Gesamtzähler[[#This Row],[Spiele MPA]]="","",SUMIFS(Eingabe[S4],Eingabe[Name],Gesamtzähler[[#This Row],[Name]],Eingabe[Wo],"A"))</f>
        <v/>
      </c>
      <c r="AX33" s="6" t="str">
        <f>IF(Gesamtzähler[[#This Row],[Spiele MPA]]="","",SUMIFS(Eingabe[S4P],Eingabe[Name],Gesamtzähler[[#This Row],[Name]],Eingabe[Wo],"A"))</f>
        <v/>
      </c>
      <c r="AY33" s="6" t="str">
        <f>IF(Gesamtzähler[[#This Row],[Spiele MPA]]="","",SUMIFS(Eingabe[GEGGES],Eingabe[Name],Gesamtzähler[[#This Row],[Name]],Eingabe[Wo],"A"))</f>
        <v/>
      </c>
      <c r="AZ33" s="6" t="str">
        <f>IF(Gesamtzähler[[#This Row],[Spiele A]]="","",SUMIFS(Eingabe[GES],Eingabe[Name],Gesamtzähler[[#This Row],[Name]],Eingabe[Wo],"A"))</f>
        <v/>
      </c>
      <c r="BA33" s="6" t="str">
        <f>IF(Gesamtzähler[[#This Row],[Spiele MPA]]="","",SUMIFS(Eingabe[SP],Eingabe[Name],Gesamtzähler[[#This Row],[Name]],Eingabe[Wo],"A"))</f>
        <v/>
      </c>
      <c r="BB33" s="6" t="str">
        <f>IF(Gesamtzähler[[#This Row],[Spiele MPA]]="","",SUMIFS(Eingabe[MP],Eingabe[Name],Gesamtzähler[[#This Row],[Name]],Eingabe[Wo],"A"))</f>
        <v/>
      </c>
      <c r="BC33" s="6"/>
      <c r="BD33" s="6"/>
      <c r="BE33" s="6"/>
      <c r="BF33" s="6"/>
    </row>
    <row r="34" spans="2:58" x14ac:dyDescent="0.3">
      <c r="B34" s="7" t="str">
        <f>VLOOKUP(ROW(Gesamtzähler[[#This Row],[Name]])-3,Teamzuordnung[],2,FALSE)</f>
        <v>Max Dost</v>
      </c>
      <c r="C34" s="6" t="str">
        <f>IF(Gesamtzähler[[#This Row],[Name]]="","",VLOOKUP(Gesamtzähler[[#This Row],[Name]],Teamzuordnung[[Name]:[Team]],2,TRUE))</f>
        <v>D</v>
      </c>
      <c r="D34" s="21" t="str">
        <f>IF(COUNTIFS(Eingabe[Name],Gesamtzähler[[#This Row],[Name]])=0,"",COUNTIFS(Eingabe[Name],Gesamtzähler[[#This Row],[Name]]))</f>
        <v/>
      </c>
      <c r="E34" s="6" t="str">
        <f>IF(Gesamtzähler[[#This Row],[Spiele]]="","",IF(Gesamtzähler[[#This Row],[Spiele]]-COUNTIFS(Eingabe[Name],Gesamtzähler[[#This Row],[Name]],Eingabe[MP],"")=0,"",Gesamtzähler[[#This Row],[Spiele]]-COUNTIFS(Eingabe[Name],Gesamtzähler[[#This Row],[Name]],Eingabe[MP],"")))</f>
        <v/>
      </c>
      <c r="F34" s="6" t="str">
        <f>IF(Gesamtzähler[[#This Row],[Spiele]]="","",SUMIF(Eingabe[Name],Gesamtzähler[[#This Row],[Name]],Eingabe[Volle]))</f>
        <v/>
      </c>
      <c r="G34" s="6" t="str">
        <f>IF(Gesamtzähler[[#This Row],[Spiele]]="","",SUMIF(Eingabe[Name],Gesamtzähler[[#This Row],[Name]],Eingabe[Räumer]))</f>
        <v/>
      </c>
      <c r="H34" s="6" t="str">
        <f>IF(Gesamtzähler[[#This Row],[Spiele]]="","",SUMIF(Eingabe[Name],Gesamtzähler[[#This Row],[Name]],Eingabe[Fehler]))</f>
        <v/>
      </c>
      <c r="I34" s="6" t="str">
        <f>IF(Gesamtzähler[[#This Row],[Spiele]]="","",SUMIF(Eingabe[Name],Gesamtzähler[[#This Row],[Name]],Eingabe[GES]))</f>
        <v/>
      </c>
      <c r="J34" s="6" t="str">
        <f>IF(Gesamtzähler[[#This Row],[Spiele MP]]="","",SUMIF(Eingabe[Name],Gesamtzähler[[#This Row],[Name]],Eingabe[SP]))</f>
        <v/>
      </c>
      <c r="K34" s="6" t="str">
        <f>IF(Gesamtzähler[[#This Row],[Spiele MP]]="","",SUMIF(Eingabe[Name],Gesamtzähler[[#This Row],[Name]],Eingabe[MP]))</f>
        <v/>
      </c>
      <c r="L34" s="6" t="str">
        <f>IF(Gesamtzähler[[#This Row],[Spiele MP]]="","",SUMIF(Eingabe[Name],Gesamtzähler[[#This Row],[Name]],Eingabe[S1]))</f>
        <v/>
      </c>
      <c r="M34" s="6" t="str">
        <f>IF(Gesamtzähler[[#This Row],[Spiele MP]]="","",SUMIF(Eingabe[Name],Gesamtzähler[[#This Row],[Name]],Eingabe[S2]))</f>
        <v/>
      </c>
      <c r="N34" s="6" t="str">
        <f>IF(Gesamtzähler[[#This Row],[Spiele MP]]="","",SUMIF(Eingabe[Name],Gesamtzähler[[#This Row],[Name]],Eingabe[S3]))</f>
        <v/>
      </c>
      <c r="O34" s="6" t="str">
        <f>IF(Gesamtzähler[[#This Row],[Spiele MP]]="","",SUMIF(Eingabe[Name],Gesamtzähler[[#This Row],[Name]],Eingabe[S4]))</f>
        <v/>
      </c>
      <c r="P34" s="6" t="str">
        <f>IF(Gesamtzähler[[#This Row],[Spiele MP]]="","",SUMIF(Eingabe[Name],Gesamtzähler[[#This Row],[Name]],Eingabe[S1P]))</f>
        <v/>
      </c>
      <c r="Q34" s="6" t="str">
        <f>IF(Gesamtzähler[[#This Row],[Spiele MP]]="","",SUMIF(Eingabe[Name],Gesamtzähler[[#This Row],[Name]],Eingabe[S2P]))</f>
        <v/>
      </c>
      <c r="R34" s="6" t="str">
        <f>IF(Gesamtzähler[[#This Row],[Spiele MP]]="","",SUMIF(Eingabe[Name],Gesamtzähler[[#This Row],[Name]],Eingabe[S3P]))</f>
        <v/>
      </c>
      <c r="S34" s="6" t="str">
        <f>IF(Gesamtzähler[[#This Row],[Spiele MP]]="","",SUMIF(Eingabe[Name],Gesamtzähler[[#This Row],[Name]],Eingabe[S4P]))</f>
        <v/>
      </c>
      <c r="T34" s="6" t="str">
        <f>IF(Gesamtzähler[[#This Row],[Spiele MP]]="","",SUMIF(Eingabe[Name],Gesamtzähler[[#This Row],[Name]],Eingabe[GEGGES]))</f>
        <v/>
      </c>
      <c r="U34" s="21" t="str">
        <f>IF(COUNTIFS(Eingabe[Name],Gesamtzähler[[#This Row],[Name]],Eingabe[Wo],"H")=0,"",COUNTIFS(Eingabe[Name],Gesamtzähler[[#This Row],[Name]],Eingabe[Wo],"H"))</f>
        <v/>
      </c>
      <c r="V34" s="6" t="str">
        <f>IF(Gesamtzähler[[#This Row],[Spiele H]]="","",Gesamtzähler[[#This Row],[Spiele H]]-COUNTIFS(Eingabe[Name],Gesamtzähler[[#This Row],[Name]],Eingabe[MP],"",Eingabe[Wo],"H"))</f>
        <v/>
      </c>
      <c r="W34" s="6" t="str">
        <f>IF(Gesamtzähler[[#This Row],[Spiele H]]="","",SUMIFS(Eingabe[Volle],Eingabe[Name],Gesamtzähler[[#This Row],[Name]],Eingabe[Wo],"H"))</f>
        <v/>
      </c>
      <c r="X34" s="6" t="str">
        <f>IF(Gesamtzähler[[#This Row],[Spiele H]]="","",SUMIFS(Eingabe[Räumer],Eingabe[Name],Gesamtzähler[[#This Row],[Name]],Eingabe[Wo],"H"))</f>
        <v/>
      </c>
      <c r="Y34" s="6" t="str">
        <f>IF(Gesamtzähler[[#This Row],[Spiele H]]="","",SUMIFS(Eingabe[Fehler],Eingabe[Name],Gesamtzähler[[#This Row],[Name]],Eingabe[Wo],"H"))</f>
        <v/>
      </c>
      <c r="Z34" s="6" t="str">
        <f>IF(Gesamtzähler[[#This Row],[Spiele MPH]]="","",SUMIFS(Eingabe[S1],Eingabe[Name],Gesamtzähler[[#This Row],[Name]],Eingabe[Wo],"H"))</f>
        <v/>
      </c>
      <c r="AA34" s="6" t="str">
        <f>IF(Gesamtzähler[[#This Row],[Spiele MPH]]="","",SUMIFS(Eingabe[S1P],Eingabe[Name],Gesamtzähler[[#This Row],[Name]],Eingabe[Wo],"H"))</f>
        <v/>
      </c>
      <c r="AB34" s="6" t="str">
        <f>IF(Gesamtzähler[[#This Row],[Spiele MPH]]="","",SUMIFS(Eingabe[S2],Eingabe[Name],Gesamtzähler[[#This Row],[Name]],Eingabe[Wo],"H"))</f>
        <v/>
      </c>
      <c r="AC34" s="6" t="str">
        <f>IF(Gesamtzähler[[#This Row],[Spiele MPH]]="","",SUMIFS(Eingabe[S2P],Eingabe[Name],Gesamtzähler[[#This Row],[Name]],Eingabe[Wo],"H"))</f>
        <v/>
      </c>
      <c r="AD34" s="6" t="str">
        <f>IF(Gesamtzähler[[#This Row],[Spiele MPH]]="","",SUMIFS(Eingabe[S3],Eingabe[Name],Gesamtzähler[[#This Row],[Name]],Eingabe[Wo],"H"))</f>
        <v/>
      </c>
      <c r="AE34" s="6" t="str">
        <f>IF(Gesamtzähler[[#This Row],[Spiele MPH]]="","",SUMIFS(Eingabe[S3P],Eingabe[Name],Gesamtzähler[[#This Row],[Name]],Eingabe[Wo],"H"))</f>
        <v/>
      </c>
      <c r="AF34" s="203" t="str">
        <f>IF(Gesamtzähler[[#This Row],[Spiele MPH]]="","",SUMIFS(Eingabe[S4],Eingabe[Name],Gesamtzähler[[#This Row],[Name]],Eingabe[Wo],"H"))</f>
        <v/>
      </c>
      <c r="AG34" s="6" t="str">
        <f>IF(Gesamtzähler[[#This Row],[Spiele MPH]]="","",SUMIFS(Eingabe[S4P],Eingabe[Name],Gesamtzähler[[#This Row],[Name]],Eingabe[Wo],"H"))</f>
        <v/>
      </c>
      <c r="AH34" s="6" t="str">
        <f>IF(Gesamtzähler[[#This Row],[Spiele MPH]]="","",SUMIFS(Eingabe[GEGGES],Eingabe[Name],Gesamtzähler[[#This Row],[Name]],Eingabe[Wo],"H"))</f>
        <v/>
      </c>
      <c r="AI34" s="6" t="str">
        <f>IF(Gesamtzähler[[#This Row],[Spiele H]]="","",SUMIFS(Eingabe[GES],Eingabe[Name],Gesamtzähler[[#This Row],[Name]],Eingabe[Wo],"H"))</f>
        <v/>
      </c>
      <c r="AJ34" s="6" t="str">
        <f>IF(Gesamtzähler[[#This Row],[Spiele MPH]]="","",SUMIFS(Eingabe[SP],Eingabe[Name],Gesamtzähler[[#This Row],[Name]],Eingabe[Wo],"H"))</f>
        <v/>
      </c>
      <c r="AK34" s="6" t="str">
        <f>IF(Gesamtzähler[[#This Row],[Spiele MPH]]="","",SUMIFS(Eingabe[MP],Eingabe[Name],Gesamtzähler[[#This Row],[Name]],Eingabe[Wo],"H"))</f>
        <v/>
      </c>
      <c r="AL34" s="6" t="str">
        <f>IF(COUNTIFS(Eingabe[Name],Gesamtzähler[[#This Row],[Name]],Eingabe[Wo],"A")=0,"",COUNTIFS(Eingabe[Name],Gesamtzähler[[#This Row],[Name]],Eingabe[Wo],"A"))</f>
        <v/>
      </c>
      <c r="AM34" s="6" t="str">
        <f>IF(Gesamtzähler[[#This Row],[Spiele A]]="","",Gesamtzähler[[#This Row],[Spiele A]]-COUNTIFS(Eingabe[Name],Gesamtzähler[[#This Row],[Name]],Eingabe[MP],"",Eingabe[Wo],"A"))</f>
        <v/>
      </c>
      <c r="AN34" s="6" t="str">
        <f>IF(Gesamtzähler[[#This Row],[Spiele A]]="","",SUMIFS(Eingabe[Volle],Eingabe[Name],Gesamtzähler[[#This Row],[Name]],Eingabe[Wo],"A"))</f>
        <v/>
      </c>
      <c r="AO34" s="6" t="str">
        <f>IF(Gesamtzähler[[#This Row],[Spiele A]]="","",SUMIFS(Eingabe[Räumer],Eingabe[Name],Gesamtzähler[[#This Row],[Name]],Eingabe[Wo],"A"))</f>
        <v/>
      </c>
      <c r="AP34" s="6" t="str">
        <f>IF(Gesamtzähler[[#This Row],[Spiele A]]="","",SUMIFS(Eingabe[Fehler],Eingabe[Name],Gesamtzähler[[#This Row],[Name]],Eingabe[Wo],"A"))</f>
        <v/>
      </c>
      <c r="AQ34" s="6" t="str">
        <f>IF(Gesamtzähler[[#This Row],[Spiele MPA]]="","",SUMIFS(Eingabe[S1],Eingabe[Name],Gesamtzähler[[#This Row],[Name]],Eingabe[Wo],"A"))</f>
        <v/>
      </c>
      <c r="AR34" s="6" t="str">
        <f>IF(Gesamtzähler[[#This Row],[Spiele MPA]]="","",SUMIFS(Eingabe[S1P],Eingabe[Name],Gesamtzähler[[#This Row],[Name]],Eingabe[Wo],"A"))</f>
        <v/>
      </c>
      <c r="AS34" s="6" t="str">
        <f>IF(Gesamtzähler[[#This Row],[Spiele MPA]]="","",SUMIFS(Eingabe[S2],Eingabe[Name],Gesamtzähler[[#This Row],[Name]],Eingabe[Wo],"A"))</f>
        <v/>
      </c>
      <c r="AT34" s="6" t="str">
        <f>IF(Gesamtzähler[[#This Row],[Spiele MPA]]="","",SUMIFS(Eingabe[S2P],Eingabe[Name],Gesamtzähler[[#This Row],[Name]],Eingabe[Wo],"A"))</f>
        <v/>
      </c>
      <c r="AU34" s="6" t="str">
        <f>IF(Gesamtzähler[[#This Row],[Spiele MPA]]="","",SUMIFS(Eingabe[S3],Eingabe[Name],Gesamtzähler[[#This Row],[Name]],Eingabe[Wo],"A"))</f>
        <v/>
      </c>
      <c r="AV34" s="6" t="str">
        <f>IF(Gesamtzähler[[#This Row],[Spiele MPA]]="","",SUMIFS(Eingabe[S3P],Eingabe[Name],Gesamtzähler[[#This Row],[Name]],Eingabe[Wo],"A"))</f>
        <v/>
      </c>
      <c r="AW34" s="6" t="str">
        <f>IF(Gesamtzähler[[#This Row],[Spiele MPA]]="","",SUMIFS(Eingabe[S4],Eingabe[Name],Gesamtzähler[[#This Row],[Name]],Eingabe[Wo],"A"))</f>
        <v/>
      </c>
      <c r="AX34" s="6" t="str">
        <f>IF(Gesamtzähler[[#This Row],[Spiele MPA]]="","",SUMIFS(Eingabe[S4P],Eingabe[Name],Gesamtzähler[[#This Row],[Name]],Eingabe[Wo],"A"))</f>
        <v/>
      </c>
      <c r="AY34" s="6" t="str">
        <f>IF(Gesamtzähler[[#This Row],[Spiele MPA]]="","",SUMIFS(Eingabe[GEGGES],Eingabe[Name],Gesamtzähler[[#This Row],[Name]],Eingabe[Wo],"A"))</f>
        <v/>
      </c>
      <c r="AZ34" s="6" t="str">
        <f>IF(Gesamtzähler[[#This Row],[Spiele A]]="","",SUMIFS(Eingabe[GES],Eingabe[Name],Gesamtzähler[[#This Row],[Name]],Eingabe[Wo],"A"))</f>
        <v/>
      </c>
      <c r="BA34" s="6" t="str">
        <f>IF(Gesamtzähler[[#This Row],[Spiele MPA]]="","",SUMIFS(Eingabe[SP],Eingabe[Name],Gesamtzähler[[#This Row],[Name]],Eingabe[Wo],"A"))</f>
        <v/>
      </c>
      <c r="BB34" s="6" t="str">
        <f>IF(Gesamtzähler[[#This Row],[Spiele MPA]]="","",SUMIFS(Eingabe[MP],Eingabe[Name],Gesamtzähler[[#This Row],[Name]],Eingabe[Wo],"A"))</f>
        <v/>
      </c>
      <c r="BC34" s="6"/>
      <c r="BD34" s="6"/>
      <c r="BE34" s="6"/>
      <c r="BF34" s="6"/>
    </row>
    <row r="35" spans="2:58" x14ac:dyDescent="0.3">
      <c r="B35" s="7" t="str">
        <f>VLOOKUP(ROW(Gesamtzähler[[#This Row],[Name]])-3,Teamzuordnung[],2,FALSE)</f>
        <v>Michael Becker</v>
      </c>
      <c r="C35" s="6" t="str">
        <f>IF(Gesamtzähler[[#This Row],[Name]]="","",VLOOKUP(Gesamtzähler[[#This Row],[Name]],Teamzuordnung[[Name]:[Team]],2,TRUE))</f>
        <v>D</v>
      </c>
      <c r="D35" s="21">
        <f>IF(COUNTIFS(Eingabe[Name],Gesamtzähler[[#This Row],[Name]])=0,"",COUNTIFS(Eingabe[Name],Gesamtzähler[[#This Row],[Name]]))</f>
        <v>1</v>
      </c>
      <c r="E35" s="6">
        <f>IF(Gesamtzähler[[#This Row],[Spiele]]="","",IF(Gesamtzähler[[#This Row],[Spiele]]-COUNTIFS(Eingabe[Name],Gesamtzähler[[#This Row],[Name]],Eingabe[MP],"")=0,"",Gesamtzähler[[#This Row],[Spiele]]-COUNTIFS(Eingabe[Name],Gesamtzähler[[#This Row],[Name]],Eingabe[MP],"")))</f>
        <v>1</v>
      </c>
      <c r="F35" s="6">
        <f>IF(Gesamtzähler[[#This Row],[Spiele]]="","",SUMIF(Eingabe[Name],Gesamtzähler[[#This Row],[Name]],Eingabe[Volle]))</f>
        <v>341</v>
      </c>
      <c r="G35" s="6">
        <f>IF(Gesamtzähler[[#This Row],[Spiele]]="","",SUMIF(Eingabe[Name],Gesamtzähler[[#This Row],[Name]],Eingabe[Räumer]))</f>
        <v>153</v>
      </c>
      <c r="H35" s="6">
        <f>IF(Gesamtzähler[[#This Row],[Spiele]]="","",SUMIF(Eingabe[Name],Gesamtzähler[[#This Row],[Name]],Eingabe[Fehler]))</f>
        <v>10</v>
      </c>
      <c r="I35" s="6">
        <f>IF(Gesamtzähler[[#This Row],[Spiele]]="","",SUMIF(Eingabe[Name],Gesamtzähler[[#This Row],[Name]],Eingabe[GES]))</f>
        <v>494</v>
      </c>
      <c r="J35" s="6">
        <f>IF(Gesamtzähler[[#This Row],[Spiele MP]]="","",SUMIF(Eingabe[Name],Gesamtzähler[[#This Row],[Name]],Eingabe[SP]))</f>
        <v>2</v>
      </c>
      <c r="K35" s="6">
        <f>IF(Gesamtzähler[[#This Row],[Spiele MP]]="","",SUMIF(Eingabe[Name],Gesamtzähler[[#This Row],[Name]],Eingabe[MP]))</f>
        <v>1</v>
      </c>
      <c r="L35" s="6">
        <f>IF(Gesamtzähler[[#This Row],[Spiele MP]]="","",SUMIF(Eingabe[Name],Gesamtzähler[[#This Row],[Name]],Eingabe[S1]))</f>
        <v>123</v>
      </c>
      <c r="M35" s="6">
        <f>IF(Gesamtzähler[[#This Row],[Spiele MP]]="","",SUMIF(Eingabe[Name],Gesamtzähler[[#This Row],[Name]],Eingabe[S2]))</f>
        <v>131</v>
      </c>
      <c r="N35" s="6">
        <f>IF(Gesamtzähler[[#This Row],[Spiele MP]]="","",SUMIF(Eingabe[Name],Gesamtzähler[[#This Row],[Name]],Eingabe[S3]))</f>
        <v>124</v>
      </c>
      <c r="O35" s="6">
        <f>IF(Gesamtzähler[[#This Row],[Spiele MP]]="","",SUMIF(Eingabe[Name],Gesamtzähler[[#This Row],[Name]],Eingabe[S4]))</f>
        <v>116</v>
      </c>
      <c r="P35" s="6">
        <f>IF(Gesamtzähler[[#This Row],[Spiele MP]]="","",SUMIF(Eingabe[Name],Gesamtzähler[[#This Row],[Name]],Eingabe[S1P]))</f>
        <v>0</v>
      </c>
      <c r="Q35" s="6">
        <f>IF(Gesamtzähler[[#This Row],[Spiele MP]]="","",SUMIF(Eingabe[Name],Gesamtzähler[[#This Row],[Name]],Eingabe[S2P]))</f>
        <v>1</v>
      </c>
      <c r="R35" s="6">
        <f>IF(Gesamtzähler[[#This Row],[Spiele MP]]="","",SUMIF(Eingabe[Name],Gesamtzähler[[#This Row],[Name]],Eingabe[S3P]))</f>
        <v>0</v>
      </c>
      <c r="S35" s="6">
        <f>IF(Gesamtzähler[[#This Row],[Spiele MP]]="","",SUMIF(Eingabe[Name],Gesamtzähler[[#This Row],[Name]],Eingabe[S4P]))</f>
        <v>1</v>
      </c>
      <c r="T35" s="6">
        <f>IF(Gesamtzähler[[#This Row],[Spiele MP]]="","",SUMIF(Eingabe[Name],Gesamtzähler[[#This Row],[Name]],Eingabe[GEGGES]))</f>
        <v>480</v>
      </c>
      <c r="U35" s="21">
        <f>IF(COUNTIFS(Eingabe[Name],Gesamtzähler[[#This Row],[Name]],Eingabe[Wo],"H")=0,"",COUNTIFS(Eingabe[Name],Gesamtzähler[[#This Row],[Name]],Eingabe[Wo],"H"))</f>
        <v>1</v>
      </c>
      <c r="V35" s="6">
        <f>IF(Gesamtzähler[[#This Row],[Spiele H]]="","",Gesamtzähler[[#This Row],[Spiele H]]-COUNTIFS(Eingabe[Name],Gesamtzähler[[#This Row],[Name]],Eingabe[MP],"",Eingabe[Wo],"H"))</f>
        <v>1</v>
      </c>
      <c r="W35" s="6">
        <f>IF(Gesamtzähler[[#This Row],[Spiele H]]="","",SUMIFS(Eingabe[Volle],Eingabe[Name],Gesamtzähler[[#This Row],[Name]],Eingabe[Wo],"H"))</f>
        <v>341</v>
      </c>
      <c r="X35" s="6">
        <f>IF(Gesamtzähler[[#This Row],[Spiele H]]="","",SUMIFS(Eingabe[Räumer],Eingabe[Name],Gesamtzähler[[#This Row],[Name]],Eingabe[Wo],"H"))</f>
        <v>153</v>
      </c>
      <c r="Y35" s="6">
        <f>IF(Gesamtzähler[[#This Row],[Spiele H]]="","",SUMIFS(Eingabe[Fehler],Eingabe[Name],Gesamtzähler[[#This Row],[Name]],Eingabe[Wo],"H"))</f>
        <v>10</v>
      </c>
      <c r="Z35" s="6">
        <f>IF(Gesamtzähler[[#This Row],[Spiele MPH]]="","",SUMIFS(Eingabe[S1],Eingabe[Name],Gesamtzähler[[#This Row],[Name]],Eingabe[Wo],"H"))</f>
        <v>123</v>
      </c>
      <c r="AA35" s="6">
        <f>IF(Gesamtzähler[[#This Row],[Spiele MPH]]="","",SUMIFS(Eingabe[S1P],Eingabe[Name],Gesamtzähler[[#This Row],[Name]],Eingabe[Wo],"H"))</f>
        <v>0</v>
      </c>
      <c r="AB35" s="6">
        <f>IF(Gesamtzähler[[#This Row],[Spiele MPH]]="","",SUMIFS(Eingabe[S2],Eingabe[Name],Gesamtzähler[[#This Row],[Name]],Eingabe[Wo],"H"))</f>
        <v>131</v>
      </c>
      <c r="AC35" s="6">
        <f>IF(Gesamtzähler[[#This Row],[Spiele MPH]]="","",SUMIFS(Eingabe[S2P],Eingabe[Name],Gesamtzähler[[#This Row],[Name]],Eingabe[Wo],"H"))</f>
        <v>1</v>
      </c>
      <c r="AD35" s="6">
        <f>IF(Gesamtzähler[[#This Row],[Spiele MPH]]="","",SUMIFS(Eingabe[S3],Eingabe[Name],Gesamtzähler[[#This Row],[Name]],Eingabe[Wo],"H"))</f>
        <v>124</v>
      </c>
      <c r="AE35" s="6">
        <f>IF(Gesamtzähler[[#This Row],[Spiele MPH]]="","",SUMIFS(Eingabe[S3P],Eingabe[Name],Gesamtzähler[[#This Row],[Name]],Eingabe[Wo],"H"))</f>
        <v>0</v>
      </c>
      <c r="AF35" s="203">
        <f>IF(Gesamtzähler[[#This Row],[Spiele MPH]]="","",SUMIFS(Eingabe[S4],Eingabe[Name],Gesamtzähler[[#This Row],[Name]],Eingabe[Wo],"H"))</f>
        <v>116</v>
      </c>
      <c r="AG35" s="6">
        <f>IF(Gesamtzähler[[#This Row],[Spiele MPH]]="","",SUMIFS(Eingabe[S4P],Eingabe[Name],Gesamtzähler[[#This Row],[Name]],Eingabe[Wo],"H"))</f>
        <v>1</v>
      </c>
      <c r="AH35" s="6">
        <f>IF(Gesamtzähler[[#This Row],[Spiele MPH]]="","",SUMIFS(Eingabe[GEGGES],Eingabe[Name],Gesamtzähler[[#This Row],[Name]],Eingabe[Wo],"H"))</f>
        <v>480</v>
      </c>
      <c r="AI35" s="6">
        <f>IF(Gesamtzähler[[#This Row],[Spiele H]]="","",SUMIFS(Eingabe[GES],Eingabe[Name],Gesamtzähler[[#This Row],[Name]],Eingabe[Wo],"H"))</f>
        <v>494</v>
      </c>
      <c r="AJ35" s="6">
        <f>IF(Gesamtzähler[[#This Row],[Spiele MPH]]="","",SUMIFS(Eingabe[SP],Eingabe[Name],Gesamtzähler[[#This Row],[Name]],Eingabe[Wo],"H"))</f>
        <v>2</v>
      </c>
      <c r="AK35" s="6">
        <f>IF(Gesamtzähler[[#This Row],[Spiele MPH]]="","",SUMIFS(Eingabe[MP],Eingabe[Name],Gesamtzähler[[#This Row],[Name]],Eingabe[Wo],"H"))</f>
        <v>1</v>
      </c>
      <c r="AL35" s="6" t="str">
        <f>IF(COUNTIFS(Eingabe[Name],Gesamtzähler[[#This Row],[Name]],Eingabe[Wo],"A")=0,"",COUNTIFS(Eingabe[Name],Gesamtzähler[[#This Row],[Name]],Eingabe[Wo],"A"))</f>
        <v/>
      </c>
      <c r="AM35" s="6" t="str">
        <f>IF(Gesamtzähler[[#This Row],[Spiele A]]="","",Gesamtzähler[[#This Row],[Spiele A]]-COUNTIFS(Eingabe[Name],Gesamtzähler[[#This Row],[Name]],Eingabe[MP],"",Eingabe[Wo],"A"))</f>
        <v/>
      </c>
      <c r="AN35" s="6" t="str">
        <f>IF(Gesamtzähler[[#This Row],[Spiele A]]="","",SUMIFS(Eingabe[Volle],Eingabe[Name],Gesamtzähler[[#This Row],[Name]],Eingabe[Wo],"A"))</f>
        <v/>
      </c>
      <c r="AO35" s="6" t="str">
        <f>IF(Gesamtzähler[[#This Row],[Spiele A]]="","",SUMIFS(Eingabe[Räumer],Eingabe[Name],Gesamtzähler[[#This Row],[Name]],Eingabe[Wo],"A"))</f>
        <v/>
      </c>
      <c r="AP35" s="6" t="str">
        <f>IF(Gesamtzähler[[#This Row],[Spiele A]]="","",SUMIFS(Eingabe[Fehler],Eingabe[Name],Gesamtzähler[[#This Row],[Name]],Eingabe[Wo],"A"))</f>
        <v/>
      </c>
      <c r="AQ35" s="6" t="str">
        <f>IF(Gesamtzähler[[#This Row],[Spiele MPA]]="","",SUMIFS(Eingabe[S1],Eingabe[Name],Gesamtzähler[[#This Row],[Name]],Eingabe[Wo],"A"))</f>
        <v/>
      </c>
      <c r="AR35" s="6" t="str">
        <f>IF(Gesamtzähler[[#This Row],[Spiele MPA]]="","",SUMIFS(Eingabe[S1P],Eingabe[Name],Gesamtzähler[[#This Row],[Name]],Eingabe[Wo],"A"))</f>
        <v/>
      </c>
      <c r="AS35" s="6" t="str">
        <f>IF(Gesamtzähler[[#This Row],[Spiele MPA]]="","",SUMIFS(Eingabe[S2],Eingabe[Name],Gesamtzähler[[#This Row],[Name]],Eingabe[Wo],"A"))</f>
        <v/>
      </c>
      <c r="AT35" s="6" t="str">
        <f>IF(Gesamtzähler[[#This Row],[Spiele MPA]]="","",SUMIFS(Eingabe[S2P],Eingabe[Name],Gesamtzähler[[#This Row],[Name]],Eingabe[Wo],"A"))</f>
        <v/>
      </c>
      <c r="AU35" s="6" t="str">
        <f>IF(Gesamtzähler[[#This Row],[Spiele MPA]]="","",SUMIFS(Eingabe[S3],Eingabe[Name],Gesamtzähler[[#This Row],[Name]],Eingabe[Wo],"A"))</f>
        <v/>
      </c>
      <c r="AV35" s="6" t="str">
        <f>IF(Gesamtzähler[[#This Row],[Spiele MPA]]="","",SUMIFS(Eingabe[S3P],Eingabe[Name],Gesamtzähler[[#This Row],[Name]],Eingabe[Wo],"A"))</f>
        <v/>
      </c>
      <c r="AW35" s="6" t="str">
        <f>IF(Gesamtzähler[[#This Row],[Spiele MPA]]="","",SUMIFS(Eingabe[S4],Eingabe[Name],Gesamtzähler[[#This Row],[Name]],Eingabe[Wo],"A"))</f>
        <v/>
      </c>
      <c r="AX35" s="6" t="str">
        <f>IF(Gesamtzähler[[#This Row],[Spiele MPA]]="","",SUMIFS(Eingabe[S4P],Eingabe[Name],Gesamtzähler[[#This Row],[Name]],Eingabe[Wo],"A"))</f>
        <v/>
      </c>
      <c r="AY35" s="6" t="str">
        <f>IF(Gesamtzähler[[#This Row],[Spiele MPA]]="","",SUMIFS(Eingabe[GEGGES],Eingabe[Name],Gesamtzähler[[#This Row],[Name]],Eingabe[Wo],"A"))</f>
        <v/>
      </c>
      <c r="AZ35" s="6" t="str">
        <f>IF(Gesamtzähler[[#This Row],[Spiele A]]="","",SUMIFS(Eingabe[GES],Eingabe[Name],Gesamtzähler[[#This Row],[Name]],Eingabe[Wo],"A"))</f>
        <v/>
      </c>
      <c r="BA35" s="6" t="str">
        <f>IF(Gesamtzähler[[#This Row],[Spiele MPA]]="","",SUMIFS(Eingabe[SP],Eingabe[Name],Gesamtzähler[[#This Row],[Name]],Eingabe[Wo],"A"))</f>
        <v/>
      </c>
      <c r="BB35" s="6" t="str">
        <f>IF(Gesamtzähler[[#This Row],[Spiele MPA]]="","",SUMIFS(Eingabe[MP],Eingabe[Name],Gesamtzähler[[#This Row],[Name]],Eingabe[Wo],"A"))</f>
        <v/>
      </c>
      <c r="BC35" s="6"/>
      <c r="BD35" s="6"/>
      <c r="BE35" s="6"/>
      <c r="BF35" s="6"/>
    </row>
    <row r="36" spans="2:58" x14ac:dyDescent="0.3">
      <c r="B36" s="7" t="str">
        <f>VLOOKUP(ROW(Gesamtzähler[[#This Row],[Name]])-3,Teamzuordnung[],2,FALSE)</f>
        <v>Michael Klose</v>
      </c>
      <c r="C36" s="6" t="str">
        <f>IF(Gesamtzähler[[#This Row],[Name]]="","",VLOOKUP(Gesamtzähler[[#This Row],[Name]],Teamzuordnung[[Name]:[Team]],2,TRUE))</f>
        <v>D</v>
      </c>
      <c r="D36" s="21" t="str">
        <f>IF(COUNTIFS(Eingabe[Name],Gesamtzähler[[#This Row],[Name]])=0,"",COUNTIFS(Eingabe[Name],Gesamtzähler[[#This Row],[Name]]))</f>
        <v/>
      </c>
      <c r="E36" s="6" t="str">
        <f>IF(Gesamtzähler[[#This Row],[Spiele]]="","",IF(Gesamtzähler[[#This Row],[Spiele]]-COUNTIFS(Eingabe[Name],Gesamtzähler[[#This Row],[Name]],Eingabe[MP],"")=0,"",Gesamtzähler[[#This Row],[Spiele]]-COUNTIFS(Eingabe[Name],Gesamtzähler[[#This Row],[Name]],Eingabe[MP],"")))</f>
        <v/>
      </c>
      <c r="F36" s="6" t="str">
        <f>IF(Gesamtzähler[[#This Row],[Spiele]]="","",SUMIF(Eingabe[Name],Gesamtzähler[[#This Row],[Name]],Eingabe[Volle]))</f>
        <v/>
      </c>
      <c r="G36" s="6" t="str">
        <f>IF(Gesamtzähler[[#This Row],[Spiele]]="","",SUMIF(Eingabe[Name],Gesamtzähler[[#This Row],[Name]],Eingabe[Räumer]))</f>
        <v/>
      </c>
      <c r="H36" s="6" t="str">
        <f>IF(Gesamtzähler[[#This Row],[Spiele]]="","",SUMIF(Eingabe[Name],Gesamtzähler[[#This Row],[Name]],Eingabe[Fehler]))</f>
        <v/>
      </c>
      <c r="I36" s="6" t="str">
        <f>IF(Gesamtzähler[[#This Row],[Spiele]]="","",SUMIF(Eingabe[Name],Gesamtzähler[[#This Row],[Name]],Eingabe[GES]))</f>
        <v/>
      </c>
      <c r="J36" s="6" t="str">
        <f>IF(Gesamtzähler[[#This Row],[Spiele MP]]="","",SUMIF(Eingabe[Name],Gesamtzähler[[#This Row],[Name]],Eingabe[SP]))</f>
        <v/>
      </c>
      <c r="K36" s="6" t="str">
        <f>IF(Gesamtzähler[[#This Row],[Spiele MP]]="","",SUMIF(Eingabe[Name],Gesamtzähler[[#This Row],[Name]],Eingabe[MP]))</f>
        <v/>
      </c>
      <c r="L36" s="6" t="str">
        <f>IF(Gesamtzähler[[#This Row],[Spiele MP]]="","",SUMIF(Eingabe[Name],Gesamtzähler[[#This Row],[Name]],Eingabe[S1]))</f>
        <v/>
      </c>
      <c r="M36" s="6" t="str">
        <f>IF(Gesamtzähler[[#This Row],[Spiele MP]]="","",SUMIF(Eingabe[Name],Gesamtzähler[[#This Row],[Name]],Eingabe[S2]))</f>
        <v/>
      </c>
      <c r="N36" s="6" t="str">
        <f>IF(Gesamtzähler[[#This Row],[Spiele MP]]="","",SUMIF(Eingabe[Name],Gesamtzähler[[#This Row],[Name]],Eingabe[S3]))</f>
        <v/>
      </c>
      <c r="O36" s="6" t="str">
        <f>IF(Gesamtzähler[[#This Row],[Spiele MP]]="","",SUMIF(Eingabe[Name],Gesamtzähler[[#This Row],[Name]],Eingabe[S4]))</f>
        <v/>
      </c>
      <c r="P36" s="6" t="str">
        <f>IF(Gesamtzähler[[#This Row],[Spiele MP]]="","",SUMIF(Eingabe[Name],Gesamtzähler[[#This Row],[Name]],Eingabe[S1P]))</f>
        <v/>
      </c>
      <c r="Q36" s="6" t="str">
        <f>IF(Gesamtzähler[[#This Row],[Spiele MP]]="","",SUMIF(Eingabe[Name],Gesamtzähler[[#This Row],[Name]],Eingabe[S2P]))</f>
        <v/>
      </c>
      <c r="R36" s="6" t="str">
        <f>IF(Gesamtzähler[[#This Row],[Spiele MP]]="","",SUMIF(Eingabe[Name],Gesamtzähler[[#This Row],[Name]],Eingabe[S3P]))</f>
        <v/>
      </c>
      <c r="S36" s="6" t="str">
        <f>IF(Gesamtzähler[[#This Row],[Spiele MP]]="","",SUMIF(Eingabe[Name],Gesamtzähler[[#This Row],[Name]],Eingabe[S4P]))</f>
        <v/>
      </c>
      <c r="T36" s="6" t="str">
        <f>IF(Gesamtzähler[[#This Row],[Spiele MP]]="","",SUMIF(Eingabe[Name],Gesamtzähler[[#This Row],[Name]],Eingabe[GEGGES]))</f>
        <v/>
      </c>
      <c r="U36" s="21" t="str">
        <f>IF(COUNTIFS(Eingabe[Name],Gesamtzähler[[#This Row],[Name]],Eingabe[Wo],"H")=0,"",COUNTIFS(Eingabe[Name],Gesamtzähler[[#This Row],[Name]],Eingabe[Wo],"H"))</f>
        <v/>
      </c>
      <c r="V36" s="6" t="str">
        <f>IF(Gesamtzähler[[#This Row],[Spiele H]]="","",Gesamtzähler[[#This Row],[Spiele H]]-COUNTIFS(Eingabe[Name],Gesamtzähler[[#This Row],[Name]],Eingabe[MP],"",Eingabe[Wo],"H"))</f>
        <v/>
      </c>
      <c r="W36" s="6" t="str">
        <f>IF(Gesamtzähler[[#This Row],[Spiele H]]="","",SUMIFS(Eingabe[Volle],Eingabe[Name],Gesamtzähler[[#This Row],[Name]],Eingabe[Wo],"H"))</f>
        <v/>
      </c>
      <c r="X36" s="6" t="str">
        <f>IF(Gesamtzähler[[#This Row],[Spiele H]]="","",SUMIFS(Eingabe[Räumer],Eingabe[Name],Gesamtzähler[[#This Row],[Name]],Eingabe[Wo],"H"))</f>
        <v/>
      </c>
      <c r="Y36" s="6" t="str">
        <f>IF(Gesamtzähler[[#This Row],[Spiele H]]="","",SUMIFS(Eingabe[Fehler],Eingabe[Name],Gesamtzähler[[#This Row],[Name]],Eingabe[Wo],"H"))</f>
        <v/>
      </c>
      <c r="Z36" s="6" t="str">
        <f>IF(Gesamtzähler[[#This Row],[Spiele MPH]]="","",SUMIFS(Eingabe[S1],Eingabe[Name],Gesamtzähler[[#This Row],[Name]],Eingabe[Wo],"H"))</f>
        <v/>
      </c>
      <c r="AA36" s="6" t="str">
        <f>IF(Gesamtzähler[[#This Row],[Spiele MPH]]="","",SUMIFS(Eingabe[S1P],Eingabe[Name],Gesamtzähler[[#This Row],[Name]],Eingabe[Wo],"H"))</f>
        <v/>
      </c>
      <c r="AB36" s="6" t="str">
        <f>IF(Gesamtzähler[[#This Row],[Spiele MPH]]="","",SUMIFS(Eingabe[S2],Eingabe[Name],Gesamtzähler[[#This Row],[Name]],Eingabe[Wo],"H"))</f>
        <v/>
      </c>
      <c r="AC36" s="6" t="str">
        <f>IF(Gesamtzähler[[#This Row],[Spiele MPH]]="","",SUMIFS(Eingabe[S2P],Eingabe[Name],Gesamtzähler[[#This Row],[Name]],Eingabe[Wo],"H"))</f>
        <v/>
      </c>
      <c r="AD36" s="6" t="str">
        <f>IF(Gesamtzähler[[#This Row],[Spiele MPH]]="","",SUMIFS(Eingabe[S3],Eingabe[Name],Gesamtzähler[[#This Row],[Name]],Eingabe[Wo],"H"))</f>
        <v/>
      </c>
      <c r="AE36" s="6" t="str">
        <f>IF(Gesamtzähler[[#This Row],[Spiele MPH]]="","",SUMIFS(Eingabe[S3P],Eingabe[Name],Gesamtzähler[[#This Row],[Name]],Eingabe[Wo],"H"))</f>
        <v/>
      </c>
      <c r="AF36" s="203" t="str">
        <f>IF(Gesamtzähler[[#This Row],[Spiele MPH]]="","",SUMIFS(Eingabe[S4],Eingabe[Name],Gesamtzähler[[#This Row],[Name]],Eingabe[Wo],"H"))</f>
        <v/>
      </c>
      <c r="AG36" s="6" t="str">
        <f>IF(Gesamtzähler[[#This Row],[Spiele MPH]]="","",SUMIFS(Eingabe[S4P],Eingabe[Name],Gesamtzähler[[#This Row],[Name]],Eingabe[Wo],"H"))</f>
        <v/>
      </c>
      <c r="AH36" s="6" t="str">
        <f>IF(Gesamtzähler[[#This Row],[Spiele MPH]]="","",SUMIFS(Eingabe[GEGGES],Eingabe[Name],Gesamtzähler[[#This Row],[Name]],Eingabe[Wo],"H"))</f>
        <v/>
      </c>
      <c r="AI36" s="6" t="str">
        <f>IF(Gesamtzähler[[#This Row],[Spiele H]]="","",SUMIFS(Eingabe[GES],Eingabe[Name],Gesamtzähler[[#This Row],[Name]],Eingabe[Wo],"H"))</f>
        <v/>
      </c>
      <c r="AJ36" s="6" t="str">
        <f>IF(Gesamtzähler[[#This Row],[Spiele MPH]]="","",SUMIFS(Eingabe[SP],Eingabe[Name],Gesamtzähler[[#This Row],[Name]],Eingabe[Wo],"H"))</f>
        <v/>
      </c>
      <c r="AK36" s="6" t="str">
        <f>IF(Gesamtzähler[[#This Row],[Spiele MPH]]="","",SUMIFS(Eingabe[MP],Eingabe[Name],Gesamtzähler[[#This Row],[Name]],Eingabe[Wo],"H"))</f>
        <v/>
      </c>
      <c r="AL36" s="6" t="str">
        <f>IF(COUNTIFS(Eingabe[Name],Gesamtzähler[[#This Row],[Name]],Eingabe[Wo],"A")=0,"",COUNTIFS(Eingabe[Name],Gesamtzähler[[#This Row],[Name]],Eingabe[Wo],"A"))</f>
        <v/>
      </c>
      <c r="AM36" s="6" t="str">
        <f>IF(Gesamtzähler[[#This Row],[Spiele A]]="","",Gesamtzähler[[#This Row],[Spiele A]]-COUNTIFS(Eingabe[Name],Gesamtzähler[[#This Row],[Name]],Eingabe[MP],"",Eingabe[Wo],"A"))</f>
        <v/>
      </c>
      <c r="AN36" s="6" t="str">
        <f>IF(Gesamtzähler[[#This Row],[Spiele A]]="","",SUMIFS(Eingabe[Volle],Eingabe[Name],Gesamtzähler[[#This Row],[Name]],Eingabe[Wo],"A"))</f>
        <v/>
      </c>
      <c r="AO36" s="6" t="str">
        <f>IF(Gesamtzähler[[#This Row],[Spiele A]]="","",SUMIFS(Eingabe[Räumer],Eingabe[Name],Gesamtzähler[[#This Row],[Name]],Eingabe[Wo],"A"))</f>
        <v/>
      </c>
      <c r="AP36" s="6" t="str">
        <f>IF(Gesamtzähler[[#This Row],[Spiele A]]="","",SUMIFS(Eingabe[Fehler],Eingabe[Name],Gesamtzähler[[#This Row],[Name]],Eingabe[Wo],"A"))</f>
        <v/>
      </c>
      <c r="AQ36" s="6" t="str">
        <f>IF(Gesamtzähler[[#This Row],[Spiele MPA]]="","",SUMIFS(Eingabe[S1],Eingabe[Name],Gesamtzähler[[#This Row],[Name]],Eingabe[Wo],"A"))</f>
        <v/>
      </c>
      <c r="AR36" s="6" t="str">
        <f>IF(Gesamtzähler[[#This Row],[Spiele MPA]]="","",SUMIFS(Eingabe[S1P],Eingabe[Name],Gesamtzähler[[#This Row],[Name]],Eingabe[Wo],"A"))</f>
        <v/>
      </c>
      <c r="AS36" s="6" t="str">
        <f>IF(Gesamtzähler[[#This Row],[Spiele MPA]]="","",SUMIFS(Eingabe[S2],Eingabe[Name],Gesamtzähler[[#This Row],[Name]],Eingabe[Wo],"A"))</f>
        <v/>
      </c>
      <c r="AT36" s="6" t="str">
        <f>IF(Gesamtzähler[[#This Row],[Spiele MPA]]="","",SUMIFS(Eingabe[S2P],Eingabe[Name],Gesamtzähler[[#This Row],[Name]],Eingabe[Wo],"A"))</f>
        <v/>
      </c>
      <c r="AU36" s="6" t="str">
        <f>IF(Gesamtzähler[[#This Row],[Spiele MPA]]="","",SUMIFS(Eingabe[S3],Eingabe[Name],Gesamtzähler[[#This Row],[Name]],Eingabe[Wo],"A"))</f>
        <v/>
      </c>
      <c r="AV36" s="6" t="str">
        <f>IF(Gesamtzähler[[#This Row],[Spiele MPA]]="","",SUMIFS(Eingabe[S3P],Eingabe[Name],Gesamtzähler[[#This Row],[Name]],Eingabe[Wo],"A"))</f>
        <v/>
      </c>
      <c r="AW36" s="6" t="str">
        <f>IF(Gesamtzähler[[#This Row],[Spiele MPA]]="","",SUMIFS(Eingabe[S4],Eingabe[Name],Gesamtzähler[[#This Row],[Name]],Eingabe[Wo],"A"))</f>
        <v/>
      </c>
      <c r="AX36" s="6" t="str">
        <f>IF(Gesamtzähler[[#This Row],[Spiele MPA]]="","",SUMIFS(Eingabe[S4P],Eingabe[Name],Gesamtzähler[[#This Row],[Name]],Eingabe[Wo],"A"))</f>
        <v/>
      </c>
      <c r="AY36" s="6" t="str">
        <f>IF(Gesamtzähler[[#This Row],[Spiele MPA]]="","",SUMIFS(Eingabe[GEGGES],Eingabe[Name],Gesamtzähler[[#This Row],[Name]],Eingabe[Wo],"A"))</f>
        <v/>
      </c>
      <c r="AZ36" s="6" t="str">
        <f>IF(Gesamtzähler[[#This Row],[Spiele A]]="","",SUMIFS(Eingabe[GES],Eingabe[Name],Gesamtzähler[[#This Row],[Name]],Eingabe[Wo],"A"))</f>
        <v/>
      </c>
      <c r="BA36" s="6" t="str">
        <f>IF(Gesamtzähler[[#This Row],[Spiele MPA]]="","",SUMIFS(Eingabe[SP],Eingabe[Name],Gesamtzähler[[#This Row],[Name]],Eingabe[Wo],"A"))</f>
        <v/>
      </c>
      <c r="BB36" s="6" t="str">
        <f>IF(Gesamtzähler[[#This Row],[Spiele MPA]]="","",SUMIFS(Eingabe[MP],Eingabe[Name],Gesamtzähler[[#This Row],[Name]],Eingabe[Wo],"A"))</f>
        <v/>
      </c>
      <c r="BC36" s="6"/>
      <c r="BD36" s="6"/>
      <c r="BE36" s="6"/>
      <c r="BF36" s="6"/>
    </row>
    <row r="37" spans="2:58" x14ac:dyDescent="0.3">
      <c r="B37" s="7" t="str">
        <f>VLOOKUP(ROW(Gesamtzähler[[#This Row],[Name]])-3,Teamzuordnung[],2,FALSE)</f>
        <v>Mick Becker</v>
      </c>
      <c r="C37" s="6" t="str">
        <f>IF(Gesamtzähler[[#This Row],[Name]]="","",VLOOKUP(Gesamtzähler[[#This Row],[Name]],Teamzuordnung[[Name]:[Team]],2,TRUE))</f>
        <v>Z</v>
      </c>
      <c r="D37" s="21">
        <f>IF(COUNTIFS(Eingabe[Name],Gesamtzähler[[#This Row],[Name]])=0,"",COUNTIFS(Eingabe[Name],Gesamtzähler[[#This Row],[Name]]))</f>
        <v>1</v>
      </c>
      <c r="E37" s="6">
        <f>IF(Gesamtzähler[[#This Row],[Spiele]]="","",IF(Gesamtzähler[[#This Row],[Spiele]]-COUNTIFS(Eingabe[Name],Gesamtzähler[[#This Row],[Name]],Eingabe[MP],"")=0,"",Gesamtzähler[[#This Row],[Spiele]]-COUNTIFS(Eingabe[Name],Gesamtzähler[[#This Row],[Name]],Eingabe[MP],"")))</f>
        <v>1</v>
      </c>
      <c r="F37" s="6">
        <f>IF(Gesamtzähler[[#This Row],[Spiele]]="","",SUMIF(Eingabe[Name],Gesamtzähler[[#This Row],[Name]],Eingabe[Volle]))</f>
        <v>362</v>
      </c>
      <c r="G37" s="6">
        <f>IF(Gesamtzähler[[#This Row],[Spiele]]="","",SUMIF(Eingabe[Name],Gesamtzähler[[#This Row],[Name]],Eingabe[Räumer]))</f>
        <v>183</v>
      </c>
      <c r="H37" s="6">
        <f>IF(Gesamtzähler[[#This Row],[Spiele]]="","",SUMIF(Eingabe[Name],Gesamtzähler[[#This Row],[Name]],Eingabe[Fehler]))</f>
        <v>9</v>
      </c>
      <c r="I37" s="6">
        <f>IF(Gesamtzähler[[#This Row],[Spiele]]="","",SUMIF(Eingabe[Name],Gesamtzähler[[#This Row],[Name]],Eingabe[GES]))</f>
        <v>545</v>
      </c>
      <c r="J37" s="6">
        <f>IF(Gesamtzähler[[#This Row],[Spiele MP]]="","",SUMIF(Eingabe[Name],Gesamtzähler[[#This Row],[Name]],Eingabe[SP]))</f>
        <v>4</v>
      </c>
      <c r="K37" s="6">
        <f>IF(Gesamtzähler[[#This Row],[Spiele MP]]="","",SUMIF(Eingabe[Name],Gesamtzähler[[#This Row],[Name]],Eingabe[MP]))</f>
        <v>1</v>
      </c>
      <c r="L37" s="6">
        <f>IF(Gesamtzähler[[#This Row],[Spiele MP]]="","",SUMIF(Eingabe[Name],Gesamtzähler[[#This Row],[Name]],Eingabe[S1]))</f>
        <v>138</v>
      </c>
      <c r="M37" s="6">
        <f>IF(Gesamtzähler[[#This Row],[Spiele MP]]="","",SUMIF(Eingabe[Name],Gesamtzähler[[#This Row],[Name]],Eingabe[S2]))</f>
        <v>126</v>
      </c>
      <c r="N37" s="6">
        <f>IF(Gesamtzähler[[#This Row],[Spiele MP]]="","",SUMIF(Eingabe[Name],Gesamtzähler[[#This Row],[Name]],Eingabe[S3]))</f>
        <v>147</v>
      </c>
      <c r="O37" s="6">
        <f>IF(Gesamtzähler[[#This Row],[Spiele MP]]="","",SUMIF(Eingabe[Name],Gesamtzähler[[#This Row],[Name]],Eingabe[S4]))</f>
        <v>134</v>
      </c>
      <c r="P37" s="6">
        <f>IF(Gesamtzähler[[#This Row],[Spiele MP]]="","",SUMIF(Eingabe[Name],Gesamtzähler[[#This Row],[Name]],Eingabe[S1P]))</f>
        <v>1</v>
      </c>
      <c r="Q37" s="6">
        <f>IF(Gesamtzähler[[#This Row],[Spiele MP]]="","",SUMIF(Eingabe[Name],Gesamtzähler[[#This Row],[Name]],Eingabe[S2P]))</f>
        <v>1</v>
      </c>
      <c r="R37" s="6">
        <f>IF(Gesamtzähler[[#This Row],[Spiele MP]]="","",SUMIF(Eingabe[Name],Gesamtzähler[[#This Row],[Name]],Eingabe[S3P]))</f>
        <v>1</v>
      </c>
      <c r="S37" s="6">
        <f>IF(Gesamtzähler[[#This Row],[Spiele MP]]="","",SUMIF(Eingabe[Name],Gesamtzähler[[#This Row],[Name]],Eingabe[S4P]))</f>
        <v>1</v>
      </c>
      <c r="T37" s="6">
        <f>IF(Gesamtzähler[[#This Row],[Spiele MP]]="","",SUMIF(Eingabe[Name],Gesamtzähler[[#This Row],[Name]],Eingabe[GEGGES]))</f>
        <v>501</v>
      </c>
      <c r="U37" s="21">
        <f>IF(COUNTIFS(Eingabe[Name],Gesamtzähler[[#This Row],[Name]],Eingabe[Wo],"H")=0,"",COUNTIFS(Eingabe[Name],Gesamtzähler[[#This Row],[Name]],Eingabe[Wo],"H"))</f>
        <v>1</v>
      </c>
      <c r="V37" s="6">
        <f>IF(Gesamtzähler[[#This Row],[Spiele H]]="","",Gesamtzähler[[#This Row],[Spiele H]]-COUNTIFS(Eingabe[Name],Gesamtzähler[[#This Row],[Name]],Eingabe[MP],"",Eingabe[Wo],"H"))</f>
        <v>1</v>
      </c>
      <c r="W37" s="6">
        <f>IF(Gesamtzähler[[#This Row],[Spiele H]]="","",SUMIFS(Eingabe[Volle],Eingabe[Name],Gesamtzähler[[#This Row],[Name]],Eingabe[Wo],"H"))</f>
        <v>362</v>
      </c>
      <c r="X37" s="6">
        <f>IF(Gesamtzähler[[#This Row],[Spiele H]]="","",SUMIFS(Eingabe[Räumer],Eingabe[Name],Gesamtzähler[[#This Row],[Name]],Eingabe[Wo],"H"))</f>
        <v>183</v>
      </c>
      <c r="Y37" s="6">
        <f>IF(Gesamtzähler[[#This Row],[Spiele H]]="","",SUMIFS(Eingabe[Fehler],Eingabe[Name],Gesamtzähler[[#This Row],[Name]],Eingabe[Wo],"H"))</f>
        <v>9</v>
      </c>
      <c r="Z37" s="6">
        <f>IF(Gesamtzähler[[#This Row],[Spiele MPH]]="","",SUMIFS(Eingabe[S1],Eingabe[Name],Gesamtzähler[[#This Row],[Name]],Eingabe[Wo],"H"))</f>
        <v>138</v>
      </c>
      <c r="AA37" s="6">
        <f>IF(Gesamtzähler[[#This Row],[Spiele MPH]]="","",SUMIFS(Eingabe[S1P],Eingabe[Name],Gesamtzähler[[#This Row],[Name]],Eingabe[Wo],"H"))</f>
        <v>1</v>
      </c>
      <c r="AB37" s="6">
        <f>IF(Gesamtzähler[[#This Row],[Spiele MPH]]="","",SUMIFS(Eingabe[S2],Eingabe[Name],Gesamtzähler[[#This Row],[Name]],Eingabe[Wo],"H"))</f>
        <v>126</v>
      </c>
      <c r="AC37" s="6">
        <f>IF(Gesamtzähler[[#This Row],[Spiele MPH]]="","",SUMIFS(Eingabe[S2P],Eingabe[Name],Gesamtzähler[[#This Row],[Name]],Eingabe[Wo],"H"))</f>
        <v>1</v>
      </c>
      <c r="AD37" s="6">
        <f>IF(Gesamtzähler[[#This Row],[Spiele MPH]]="","",SUMIFS(Eingabe[S3],Eingabe[Name],Gesamtzähler[[#This Row],[Name]],Eingabe[Wo],"H"))</f>
        <v>147</v>
      </c>
      <c r="AE37" s="6">
        <f>IF(Gesamtzähler[[#This Row],[Spiele MPH]]="","",SUMIFS(Eingabe[S3P],Eingabe[Name],Gesamtzähler[[#This Row],[Name]],Eingabe[Wo],"H"))</f>
        <v>1</v>
      </c>
      <c r="AF37" s="203">
        <f>IF(Gesamtzähler[[#This Row],[Spiele MPH]]="","",SUMIFS(Eingabe[S4],Eingabe[Name],Gesamtzähler[[#This Row],[Name]],Eingabe[Wo],"H"))</f>
        <v>134</v>
      </c>
      <c r="AG37" s="6">
        <f>IF(Gesamtzähler[[#This Row],[Spiele MPH]]="","",SUMIFS(Eingabe[S4P],Eingabe[Name],Gesamtzähler[[#This Row],[Name]],Eingabe[Wo],"H"))</f>
        <v>1</v>
      </c>
      <c r="AH37" s="6">
        <f>IF(Gesamtzähler[[#This Row],[Spiele MPH]]="","",SUMIFS(Eingabe[GEGGES],Eingabe[Name],Gesamtzähler[[#This Row],[Name]],Eingabe[Wo],"H"))</f>
        <v>501</v>
      </c>
      <c r="AI37" s="6">
        <f>IF(Gesamtzähler[[#This Row],[Spiele H]]="","",SUMIFS(Eingabe[GES],Eingabe[Name],Gesamtzähler[[#This Row],[Name]],Eingabe[Wo],"H"))</f>
        <v>545</v>
      </c>
      <c r="AJ37" s="6">
        <f>IF(Gesamtzähler[[#This Row],[Spiele MPH]]="","",SUMIFS(Eingabe[SP],Eingabe[Name],Gesamtzähler[[#This Row],[Name]],Eingabe[Wo],"H"))</f>
        <v>4</v>
      </c>
      <c r="AK37" s="6">
        <f>IF(Gesamtzähler[[#This Row],[Spiele MPH]]="","",SUMIFS(Eingabe[MP],Eingabe[Name],Gesamtzähler[[#This Row],[Name]],Eingabe[Wo],"H"))</f>
        <v>1</v>
      </c>
      <c r="AL37" s="6" t="str">
        <f>IF(COUNTIFS(Eingabe[Name],Gesamtzähler[[#This Row],[Name]],Eingabe[Wo],"A")=0,"",COUNTIFS(Eingabe[Name],Gesamtzähler[[#This Row],[Name]],Eingabe[Wo],"A"))</f>
        <v/>
      </c>
      <c r="AM37" s="6" t="str">
        <f>IF(Gesamtzähler[[#This Row],[Spiele A]]="","",Gesamtzähler[[#This Row],[Spiele A]]-COUNTIFS(Eingabe[Name],Gesamtzähler[[#This Row],[Name]],Eingabe[MP],"",Eingabe[Wo],"A"))</f>
        <v/>
      </c>
      <c r="AN37" s="6" t="str">
        <f>IF(Gesamtzähler[[#This Row],[Spiele A]]="","",SUMIFS(Eingabe[Volle],Eingabe[Name],Gesamtzähler[[#This Row],[Name]],Eingabe[Wo],"A"))</f>
        <v/>
      </c>
      <c r="AO37" s="6" t="str">
        <f>IF(Gesamtzähler[[#This Row],[Spiele A]]="","",SUMIFS(Eingabe[Räumer],Eingabe[Name],Gesamtzähler[[#This Row],[Name]],Eingabe[Wo],"A"))</f>
        <v/>
      </c>
      <c r="AP37" s="6" t="str">
        <f>IF(Gesamtzähler[[#This Row],[Spiele A]]="","",SUMIFS(Eingabe[Fehler],Eingabe[Name],Gesamtzähler[[#This Row],[Name]],Eingabe[Wo],"A"))</f>
        <v/>
      </c>
      <c r="AQ37" s="6" t="str">
        <f>IF(Gesamtzähler[[#This Row],[Spiele MPA]]="","",SUMIFS(Eingabe[S1],Eingabe[Name],Gesamtzähler[[#This Row],[Name]],Eingabe[Wo],"A"))</f>
        <v/>
      </c>
      <c r="AR37" s="6" t="str">
        <f>IF(Gesamtzähler[[#This Row],[Spiele MPA]]="","",SUMIFS(Eingabe[S1P],Eingabe[Name],Gesamtzähler[[#This Row],[Name]],Eingabe[Wo],"A"))</f>
        <v/>
      </c>
      <c r="AS37" s="6" t="str">
        <f>IF(Gesamtzähler[[#This Row],[Spiele MPA]]="","",SUMIFS(Eingabe[S2],Eingabe[Name],Gesamtzähler[[#This Row],[Name]],Eingabe[Wo],"A"))</f>
        <v/>
      </c>
      <c r="AT37" s="6" t="str">
        <f>IF(Gesamtzähler[[#This Row],[Spiele MPA]]="","",SUMIFS(Eingabe[S2P],Eingabe[Name],Gesamtzähler[[#This Row],[Name]],Eingabe[Wo],"A"))</f>
        <v/>
      </c>
      <c r="AU37" s="6" t="str">
        <f>IF(Gesamtzähler[[#This Row],[Spiele MPA]]="","",SUMIFS(Eingabe[S3],Eingabe[Name],Gesamtzähler[[#This Row],[Name]],Eingabe[Wo],"A"))</f>
        <v/>
      </c>
      <c r="AV37" s="6" t="str">
        <f>IF(Gesamtzähler[[#This Row],[Spiele MPA]]="","",SUMIFS(Eingabe[S3P],Eingabe[Name],Gesamtzähler[[#This Row],[Name]],Eingabe[Wo],"A"))</f>
        <v/>
      </c>
      <c r="AW37" s="6" t="str">
        <f>IF(Gesamtzähler[[#This Row],[Spiele MPA]]="","",SUMIFS(Eingabe[S4],Eingabe[Name],Gesamtzähler[[#This Row],[Name]],Eingabe[Wo],"A"))</f>
        <v/>
      </c>
      <c r="AX37" s="6" t="str">
        <f>IF(Gesamtzähler[[#This Row],[Spiele MPA]]="","",SUMIFS(Eingabe[S4P],Eingabe[Name],Gesamtzähler[[#This Row],[Name]],Eingabe[Wo],"A"))</f>
        <v/>
      </c>
      <c r="AY37" s="6" t="str">
        <f>IF(Gesamtzähler[[#This Row],[Spiele MPA]]="","",SUMIFS(Eingabe[GEGGES],Eingabe[Name],Gesamtzähler[[#This Row],[Name]],Eingabe[Wo],"A"))</f>
        <v/>
      </c>
      <c r="AZ37" s="6" t="str">
        <f>IF(Gesamtzähler[[#This Row],[Spiele A]]="","",SUMIFS(Eingabe[GES],Eingabe[Name],Gesamtzähler[[#This Row],[Name]],Eingabe[Wo],"A"))</f>
        <v/>
      </c>
      <c r="BA37" s="6" t="str">
        <f>IF(Gesamtzähler[[#This Row],[Spiele MPA]]="","",SUMIFS(Eingabe[SP],Eingabe[Name],Gesamtzähler[[#This Row],[Name]],Eingabe[Wo],"A"))</f>
        <v/>
      </c>
      <c r="BB37" s="6" t="str">
        <f>IF(Gesamtzähler[[#This Row],[Spiele MPA]]="","",SUMIFS(Eingabe[MP],Eingabe[Name],Gesamtzähler[[#This Row],[Name]],Eingabe[Wo],"A"))</f>
        <v/>
      </c>
      <c r="BC37" s="6"/>
      <c r="BD37" s="6"/>
      <c r="BE37" s="6"/>
      <c r="BF37" s="6"/>
    </row>
    <row r="38" spans="2:58" x14ac:dyDescent="0.3">
      <c r="B38" s="7" t="str">
        <f>VLOOKUP(ROW(Gesamtzähler[[#This Row],[Name]])-3,Teamzuordnung[],2,FALSE)</f>
        <v>Olaf Kurtze</v>
      </c>
      <c r="C38" s="6" t="str">
        <f>IF(Gesamtzähler[[#This Row],[Name]]="","",VLOOKUP(Gesamtzähler[[#This Row],[Name]],Teamzuordnung[[Name]:[Team]],2,TRUE))</f>
        <v>Z</v>
      </c>
      <c r="D38" s="21">
        <f>IF(COUNTIFS(Eingabe[Name],Gesamtzähler[[#This Row],[Name]])=0,"",COUNTIFS(Eingabe[Name],Gesamtzähler[[#This Row],[Name]]))</f>
        <v>9</v>
      </c>
      <c r="E38" s="6">
        <f>IF(Gesamtzähler[[#This Row],[Spiele]]="","",IF(Gesamtzähler[[#This Row],[Spiele]]-COUNTIFS(Eingabe[Name],Gesamtzähler[[#This Row],[Name]],Eingabe[MP],"")=0,"",Gesamtzähler[[#This Row],[Spiele]]-COUNTIFS(Eingabe[Name],Gesamtzähler[[#This Row],[Name]],Eingabe[MP],"")))</f>
        <v>9</v>
      </c>
      <c r="F38" s="6">
        <f>IF(Gesamtzähler[[#This Row],[Spiele]]="","",SUMIF(Eingabe[Name],Gesamtzähler[[#This Row],[Name]],Eingabe[Volle]))</f>
        <v>3235</v>
      </c>
      <c r="G38" s="6">
        <f>IF(Gesamtzähler[[#This Row],[Spiele]]="","",SUMIF(Eingabe[Name],Gesamtzähler[[#This Row],[Name]],Eingabe[Räumer]))</f>
        <v>1500</v>
      </c>
      <c r="H38" s="6">
        <f>IF(Gesamtzähler[[#This Row],[Spiele]]="","",SUMIF(Eingabe[Name],Gesamtzähler[[#This Row],[Name]],Eingabe[Fehler]))</f>
        <v>70</v>
      </c>
      <c r="I38" s="6">
        <f>IF(Gesamtzähler[[#This Row],[Spiele]]="","",SUMIF(Eingabe[Name],Gesamtzähler[[#This Row],[Name]],Eingabe[GES]))</f>
        <v>4735</v>
      </c>
      <c r="J38" s="6">
        <f>IF(Gesamtzähler[[#This Row],[Spiele MP]]="","",SUMIF(Eingabe[Name],Gesamtzähler[[#This Row],[Name]],Eingabe[SP]))</f>
        <v>18</v>
      </c>
      <c r="K38" s="6">
        <f>IF(Gesamtzähler[[#This Row],[Spiele MP]]="","",SUMIF(Eingabe[Name],Gesamtzähler[[#This Row],[Name]],Eingabe[MP]))</f>
        <v>4</v>
      </c>
      <c r="L38" s="6">
        <f>IF(Gesamtzähler[[#This Row],[Spiele MP]]="","",SUMIF(Eingabe[Name],Gesamtzähler[[#This Row],[Name]],Eingabe[S1]))</f>
        <v>1190</v>
      </c>
      <c r="M38" s="6">
        <f>IF(Gesamtzähler[[#This Row],[Spiele MP]]="","",SUMIF(Eingabe[Name],Gesamtzähler[[#This Row],[Name]],Eingabe[S2]))</f>
        <v>1185</v>
      </c>
      <c r="N38" s="6">
        <f>IF(Gesamtzähler[[#This Row],[Spiele MP]]="","",SUMIF(Eingabe[Name],Gesamtzähler[[#This Row],[Name]],Eingabe[S3]))</f>
        <v>1150</v>
      </c>
      <c r="O38" s="6">
        <f>IF(Gesamtzähler[[#This Row],[Spiele MP]]="","",SUMIF(Eingabe[Name],Gesamtzähler[[#This Row],[Name]],Eingabe[S4]))</f>
        <v>1210</v>
      </c>
      <c r="P38" s="6">
        <f>IF(Gesamtzähler[[#This Row],[Spiele MP]]="","",SUMIF(Eingabe[Name],Gesamtzähler[[#This Row],[Name]],Eingabe[S1P]))</f>
        <v>4</v>
      </c>
      <c r="Q38" s="6">
        <f>IF(Gesamtzähler[[#This Row],[Spiele MP]]="","",SUMIF(Eingabe[Name],Gesamtzähler[[#This Row],[Name]],Eingabe[S2P]))</f>
        <v>6</v>
      </c>
      <c r="R38" s="6">
        <f>IF(Gesamtzähler[[#This Row],[Spiele MP]]="","",SUMIF(Eingabe[Name],Gesamtzähler[[#This Row],[Name]],Eingabe[S3P]))</f>
        <v>3</v>
      </c>
      <c r="S38" s="6">
        <f>IF(Gesamtzähler[[#This Row],[Spiele MP]]="","",SUMIF(Eingabe[Name],Gesamtzähler[[#This Row],[Name]],Eingabe[S4P]))</f>
        <v>5</v>
      </c>
      <c r="T38" s="6">
        <f>IF(Gesamtzähler[[#This Row],[Spiele MP]]="","",SUMIF(Eingabe[Name],Gesamtzähler[[#This Row],[Name]],Eingabe[GEGGES]))</f>
        <v>4592</v>
      </c>
      <c r="U38" s="21">
        <f>IF(COUNTIFS(Eingabe[Name],Gesamtzähler[[#This Row],[Name]],Eingabe[Wo],"H")=0,"",COUNTIFS(Eingabe[Name],Gesamtzähler[[#This Row],[Name]],Eingabe[Wo],"H"))</f>
        <v>5</v>
      </c>
      <c r="V38" s="6">
        <f>IF(Gesamtzähler[[#This Row],[Spiele H]]="","",Gesamtzähler[[#This Row],[Spiele H]]-COUNTIFS(Eingabe[Name],Gesamtzähler[[#This Row],[Name]],Eingabe[MP],"",Eingabe[Wo],"H"))</f>
        <v>5</v>
      </c>
      <c r="W38" s="6">
        <f>IF(Gesamtzähler[[#This Row],[Spiele H]]="","",SUMIFS(Eingabe[Volle],Eingabe[Name],Gesamtzähler[[#This Row],[Name]],Eingabe[Wo],"H"))</f>
        <v>1769</v>
      </c>
      <c r="X38" s="6">
        <f>IF(Gesamtzähler[[#This Row],[Spiele H]]="","",SUMIFS(Eingabe[Räumer],Eingabe[Name],Gesamtzähler[[#This Row],[Name]],Eingabe[Wo],"H"))</f>
        <v>842</v>
      </c>
      <c r="Y38" s="6">
        <f>IF(Gesamtzähler[[#This Row],[Spiele H]]="","",SUMIFS(Eingabe[Fehler],Eingabe[Name],Gesamtzähler[[#This Row],[Name]],Eingabe[Wo],"H"))</f>
        <v>35</v>
      </c>
      <c r="Z38" s="6">
        <f>IF(Gesamtzähler[[#This Row],[Spiele MPH]]="","",SUMIFS(Eingabe[S1],Eingabe[Name],Gesamtzähler[[#This Row],[Name]],Eingabe[Wo],"H"))</f>
        <v>659</v>
      </c>
      <c r="AA38" s="6">
        <f>IF(Gesamtzähler[[#This Row],[Spiele MPH]]="","",SUMIFS(Eingabe[S1P],Eingabe[Name],Gesamtzähler[[#This Row],[Name]],Eingabe[Wo],"H"))</f>
        <v>2</v>
      </c>
      <c r="AB38" s="6">
        <f>IF(Gesamtzähler[[#This Row],[Spiele MPH]]="","",SUMIFS(Eingabe[S2],Eingabe[Name],Gesamtzähler[[#This Row],[Name]],Eingabe[Wo],"H"))</f>
        <v>658</v>
      </c>
      <c r="AC38" s="6">
        <f>IF(Gesamtzähler[[#This Row],[Spiele MPH]]="","",SUMIFS(Eingabe[S2P],Eingabe[Name],Gesamtzähler[[#This Row],[Name]],Eingabe[Wo],"H"))</f>
        <v>4</v>
      </c>
      <c r="AD38" s="6">
        <f>IF(Gesamtzähler[[#This Row],[Spiele MPH]]="","",SUMIFS(Eingabe[S3],Eingabe[Name],Gesamtzähler[[#This Row],[Name]],Eingabe[Wo],"H"))</f>
        <v>640</v>
      </c>
      <c r="AE38" s="6">
        <f>IF(Gesamtzähler[[#This Row],[Spiele MPH]]="","",SUMIFS(Eingabe[S3P],Eingabe[Name],Gesamtzähler[[#This Row],[Name]],Eingabe[Wo],"H"))</f>
        <v>2</v>
      </c>
      <c r="AF38" s="203">
        <f>IF(Gesamtzähler[[#This Row],[Spiele MPH]]="","",SUMIFS(Eingabe[S4],Eingabe[Name],Gesamtzähler[[#This Row],[Name]],Eingabe[Wo],"H"))</f>
        <v>654</v>
      </c>
      <c r="AG38" s="6">
        <f>IF(Gesamtzähler[[#This Row],[Spiele MPH]]="","",SUMIFS(Eingabe[S4P],Eingabe[Name],Gesamtzähler[[#This Row],[Name]],Eingabe[Wo],"H"))</f>
        <v>3</v>
      </c>
      <c r="AH38" s="6">
        <f>IF(Gesamtzähler[[#This Row],[Spiele MPH]]="","",SUMIFS(Eingabe[GEGGES],Eingabe[Name],Gesamtzähler[[#This Row],[Name]],Eingabe[Wo],"H"))</f>
        <v>2421</v>
      </c>
      <c r="AI38" s="6">
        <f>IF(Gesamtzähler[[#This Row],[Spiele H]]="","",SUMIFS(Eingabe[GES],Eingabe[Name],Gesamtzähler[[#This Row],[Name]],Eingabe[Wo],"H"))</f>
        <v>2611</v>
      </c>
      <c r="AJ38" s="6">
        <f>IF(Gesamtzähler[[#This Row],[Spiele MPH]]="","",SUMIFS(Eingabe[SP],Eingabe[Name],Gesamtzähler[[#This Row],[Name]],Eingabe[Wo],"H"))</f>
        <v>11</v>
      </c>
      <c r="AK38" s="6">
        <f>IF(Gesamtzähler[[#This Row],[Spiele MPH]]="","",SUMIFS(Eingabe[MP],Eingabe[Name],Gesamtzähler[[#This Row],[Name]],Eingabe[Wo],"H"))</f>
        <v>3</v>
      </c>
      <c r="AL38" s="6">
        <f>IF(COUNTIFS(Eingabe[Name],Gesamtzähler[[#This Row],[Name]],Eingabe[Wo],"A")=0,"",COUNTIFS(Eingabe[Name],Gesamtzähler[[#This Row],[Name]],Eingabe[Wo],"A"))</f>
        <v>4</v>
      </c>
      <c r="AM38" s="6">
        <f>IF(Gesamtzähler[[#This Row],[Spiele A]]="","",Gesamtzähler[[#This Row],[Spiele A]]-COUNTIFS(Eingabe[Name],Gesamtzähler[[#This Row],[Name]],Eingabe[MP],"",Eingabe[Wo],"A"))</f>
        <v>4</v>
      </c>
      <c r="AN38" s="6">
        <f>IF(Gesamtzähler[[#This Row],[Spiele A]]="","",SUMIFS(Eingabe[Volle],Eingabe[Name],Gesamtzähler[[#This Row],[Name]],Eingabe[Wo],"A"))</f>
        <v>1466</v>
      </c>
      <c r="AO38" s="6">
        <f>IF(Gesamtzähler[[#This Row],[Spiele A]]="","",SUMIFS(Eingabe[Räumer],Eingabe[Name],Gesamtzähler[[#This Row],[Name]],Eingabe[Wo],"A"))</f>
        <v>658</v>
      </c>
      <c r="AP38" s="6">
        <f>IF(Gesamtzähler[[#This Row],[Spiele A]]="","",SUMIFS(Eingabe[Fehler],Eingabe[Name],Gesamtzähler[[#This Row],[Name]],Eingabe[Wo],"A"))</f>
        <v>35</v>
      </c>
      <c r="AQ38" s="6">
        <f>IF(Gesamtzähler[[#This Row],[Spiele MPA]]="","",SUMIFS(Eingabe[S1],Eingabe[Name],Gesamtzähler[[#This Row],[Name]],Eingabe[Wo],"A"))</f>
        <v>531</v>
      </c>
      <c r="AR38" s="6">
        <f>IF(Gesamtzähler[[#This Row],[Spiele MPA]]="","",SUMIFS(Eingabe[S1P],Eingabe[Name],Gesamtzähler[[#This Row],[Name]],Eingabe[Wo],"A"))</f>
        <v>2</v>
      </c>
      <c r="AS38" s="6">
        <f>IF(Gesamtzähler[[#This Row],[Spiele MPA]]="","",SUMIFS(Eingabe[S2],Eingabe[Name],Gesamtzähler[[#This Row],[Name]],Eingabe[Wo],"A"))</f>
        <v>527</v>
      </c>
      <c r="AT38" s="6">
        <f>IF(Gesamtzähler[[#This Row],[Spiele MPA]]="","",SUMIFS(Eingabe[S2P],Eingabe[Name],Gesamtzähler[[#This Row],[Name]],Eingabe[Wo],"A"))</f>
        <v>2</v>
      </c>
      <c r="AU38" s="6">
        <f>IF(Gesamtzähler[[#This Row],[Spiele MPA]]="","",SUMIFS(Eingabe[S3],Eingabe[Name],Gesamtzähler[[#This Row],[Name]],Eingabe[Wo],"A"))</f>
        <v>510</v>
      </c>
      <c r="AV38" s="6">
        <f>IF(Gesamtzähler[[#This Row],[Spiele MPA]]="","",SUMIFS(Eingabe[S3P],Eingabe[Name],Gesamtzähler[[#This Row],[Name]],Eingabe[Wo],"A"))</f>
        <v>1</v>
      </c>
      <c r="AW38" s="6">
        <f>IF(Gesamtzähler[[#This Row],[Spiele MPA]]="","",SUMIFS(Eingabe[S4],Eingabe[Name],Gesamtzähler[[#This Row],[Name]],Eingabe[Wo],"A"))</f>
        <v>556</v>
      </c>
      <c r="AX38" s="6">
        <f>IF(Gesamtzähler[[#This Row],[Spiele MPA]]="","",SUMIFS(Eingabe[S4P],Eingabe[Name],Gesamtzähler[[#This Row],[Name]],Eingabe[Wo],"A"))</f>
        <v>2</v>
      </c>
      <c r="AY38" s="6">
        <f>IF(Gesamtzähler[[#This Row],[Spiele MPA]]="","",SUMIFS(Eingabe[GEGGES],Eingabe[Name],Gesamtzähler[[#This Row],[Name]],Eingabe[Wo],"A"))</f>
        <v>2171</v>
      </c>
      <c r="AZ38" s="6">
        <f>IF(Gesamtzähler[[#This Row],[Spiele A]]="","",SUMIFS(Eingabe[GES],Eingabe[Name],Gesamtzähler[[#This Row],[Name]],Eingabe[Wo],"A"))</f>
        <v>2124</v>
      </c>
      <c r="BA38" s="6">
        <f>IF(Gesamtzähler[[#This Row],[Spiele MPA]]="","",SUMIFS(Eingabe[SP],Eingabe[Name],Gesamtzähler[[#This Row],[Name]],Eingabe[Wo],"A"))</f>
        <v>7</v>
      </c>
      <c r="BB38" s="6">
        <f>IF(Gesamtzähler[[#This Row],[Spiele MPA]]="","",SUMIFS(Eingabe[MP],Eingabe[Name],Gesamtzähler[[#This Row],[Name]],Eingabe[Wo],"A"))</f>
        <v>1</v>
      </c>
      <c r="BC38" s="6"/>
      <c r="BD38" s="6"/>
      <c r="BE38" s="6"/>
      <c r="BF38" s="6"/>
    </row>
    <row r="39" spans="2:58" x14ac:dyDescent="0.3">
      <c r="B39" s="7" t="str">
        <f>VLOOKUP(ROW(Gesamtzähler[[#This Row],[Name]])-3,Teamzuordnung[],2,FALSE)</f>
        <v>Patrick Frenzel</v>
      </c>
      <c r="C39" s="6" t="str">
        <f>IF(Gesamtzähler[[#This Row],[Name]]="","",VLOOKUP(Gesamtzähler[[#This Row],[Name]],Teamzuordnung[[Name]:[Team]],2,TRUE))</f>
        <v>D</v>
      </c>
      <c r="D39" s="21">
        <f>IF(COUNTIFS(Eingabe[Name],Gesamtzähler[[#This Row],[Name]])=0,"",COUNTIFS(Eingabe[Name],Gesamtzähler[[#This Row],[Name]]))</f>
        <v>3</v>
      </c>
      <c r="E39" s="6">
        <f>IF(Gesamtzähler[[#This Row],[Spiele]]="","",IF(Gesamtzähler[[#This Row],[Spiele]]-COUNTIFS(Eingabe[Name],Gesamtzähler[[#This Row],[Name]],Eingabe[MP],"")=0,"",Gesamtzähler[[#This Row],[Spiele]]-COUNTIFS(Eingabe[Name],Gesamtzähler[[#This Row],[Name]],Eingabe[MP],"")))</f>
        <v>3</v>
      </c>
      <c r="F39" s="6">
        <f>IF(Gesamtzähler[[#This Row],[Spiele]]="","",SUMIF(Eingabe[Name],Gesamtzähler[[#This Row],[Name]],Eingabe[Volle]))</f>
        <v>1044</v>
      </c>
      <c r="G39" s="6">
        <f>IF(Gesamtzähler[[#This Row],[Spiele]]="","",SUMIF(Eingabe[Name],Gesamtzähler[[#This Row],[Name]],Eingabe[Räumer]))</f>
        <v>485</v>
      </c>
      <c r="H39" s="6">
        <f>IF(Gesamtzähler[[#This Row],[Spiele]]="","",SUMIF(Eingabe[Name],Gesamtzähler[[#This Row],[Name]],Eingabe[Fehler]))</f>
        <v>38</v>
      </c>
      <c r="I39" s="6">
        <f>IF(Gesamtzähler[[#This Row],[Spiele]]="","",SUMIF(Eingabe[Name],Gesamtzähler[[#This Row],[Name]],Eingabe[GES]))</f>
        <v>1529</v>
      </c>
      <c r="J39" s="6">
        <f>IF(Gesamtzähler[[#This Row],[Spiele MP]]="","",SUMIF(Eingabe[Name],Gesamtzähler[[#This Row],[Name]],Eingabe[SP]))</f>
        <v>8</v>
      </c>
      <c r="K39" s="6">
        <f>IF(Gesamtzähler[[#This Row],[Spiele MP]]="","",SUMIF(Eingabe[Name],Gesamtzähler[[#This Row],[Name]],Eingabe[MP]))</f>
        <v>2</v>
      </c>
      <c r="L39" s="6">
        <f>IF(Gesamtzähler[[#This Row],[Spiele MP]]="","",SUMIF(Eingabe[Name],Gesamtzähler[[#This Row],[Name]],Eingabe[S1]))</f>
        <v>364</v>
      </c>
      <c r="M39" s="6">
        <f>IF(Gesamtzähler[[#This Row],[Spiele MP]]="","",SUMIF(Eingabe[Name],Gesamtzähler[[#This Row],[Name]],Eingabe[S2]))</f>
        <v>371</v>
      </c>
      <c r="N39" s="6">
        <f>IF(Gesamtzähler[[#This Row],[Spiele MP]]="","",SUMIF(Eingabe[Name],Gesamtzähler[[#This Row],[Name]],Eingabe[S3]))</f>
        <v>391</v>
      </c>
      <c r="O39" s="6">
        <f>IF(Gesamtzähler[[#This Row],[Spiele MP]]="","",SUMIF(Eingabe[Name],Gesamtzähler[[#This Row],[Name]],Eingabe[S4]))</f>
        <v>403</v>
      </c>
      <c r="P39" s="6">
        <f>IF(Gesamtzähler[[#This Row],[Spiele MP]]="","",SUMIF(Eingabe[Name],Gesamtzähler[[#This Row],[Name]],Eingabe[S1P]))</f>
        <v>2</v>
      </c>
      <c r="Q39" s="6">
        <f>IF(Gesamtzähler[[#This Row],[Spiele MP]]="","",SUMIF(Eingabe[Name],Gesamtzähler[[#This Row],[Name]],Eingabe[S2P]))</f>
        <v>2</v>
      </c>
      <c r="R39" s="6">
        <f>IF(Gesamtzähler[[#This Row],[Spiele MP]]="","",SUMIF(Eingabe[Name],Gesamtzähler[[#This Row],[Name]],Eingabe[S3P]))</f>
        <v>2</v>
      </c>
      <c r="S39" s="6">
        <f>IF(Gesamtzähler[[#This Row],[Spiele MP]]="","",SUMIF(Eingabe[Name],Gesamtzähler[[#This Row],[Name]],Eingabe[S4P]))</f>
        <v>2</v>
      </c>
      <c r="T39" s="6">
        <f>IF(Gesamtzähler[[#This Row],[Spiele MP]]="","",SUMIF(Eingabe[Name],Gesamtzähler[[#This Row],[Name]],Eingabe[GEGGES]))</f>
        <v>1434</v>
      </c>
      <c r="U39" s="21">
        <f>IF(COUNTIFS(Eingabe[Name],Gesamtzähler[[#This Row],[Name]],Eingabe[Wo],"H")=0,"",COUNTIFS(Eingabe[Name],Gesamtzähler[[#This Row],[Name]],Eingabe[Wo],"H"))</f>
        <v>2</v>
      </c>
      <c r="V39" s="6">
        <f>IF(Gesamtzähler[[#This Row],[Spiele H]]="","",Gesamtzähler[[#This Row],[Spiele H]]-COUNTIFS(Eingabe[Name],Gesamtzähler[[#This Row],[Name]],Eingabe[MP],"",Eingabe[Wo],"H"))</f>
        <v>2</v>
      </c>
      <c r="W39" s="6">
        <f>IF(Gesamtzähler[[#This Row],[Spiele H]]="","",SUMIFS(Eingabe[Volle],Eingabe[Name],Gesamtzähler[[#This Row],[Name]],Eingabe[Wo],"H"))</f>
        <v>693</v>
      </c>
      <c r="X39" s="6">
        <f>IF(Gesamtzähler[[#This Row],[Spiele H]]="","",SUMIFS(Eingabe[Räumer],Eingabe[Name],Gesamtzähler[[#This Row],[Name]],Eingabe[Wo],"H"))</f>
        <v>294</v>
      </c>
      <c r="Y39" s="6">
        <f>IF(Gesamtzähler[[#This Row],[Spiele H]]="","",SUMIFS(Eingabe[Fehler],Eingabe[Name],Gesamtzähler[[#This Row],[Name]],Eingabe[Wo],"H"))</f>
        <v>26</v>
      </c>
      <c r="Z39" s="6">
        <f>IF(Gesamtzähler[[#This Row],[Spiele MPH]]="","",SUMIFS(Eingabe[S1],Eingabe[Name],Gesamtzähler[[#This Row],[Name]],Eingabe[Wo],"H"))</f>
        <v>224</v>
      </c>
      <c r="AA39" s="6">
        <f>IF(Gesamtzähler[[#This Row],[Spiele MPH]]="","",SUMIFS(Eingabe[S1P],Eingabe[Name],Gesamtzähler[[#This Row],[Name]],Eingabe[Wo],"H"))</f>
        <v>1</v>
      </c>
      <c r="AB39" s="6">
        <f>IF(Gesamtzähler[[#This Row],[Spiele MPH]]="","",SUMIFS(Eingabe[S2],Eingabe[Name],Gesamtzähler[[#This Row],[Name]],Eingabe[Wo],"H"))</f>
        <v>245</v>
      </c>
      <c r="AC39" s="6">
        <f>IF(Gesamtzähler[[#This Row],[Spiele MPH]]="","",SUMIFS(Eingabe[S2P],Eingabe[Name],Gesamtzähler[[#This Row],[Name]],Eingabe[Wo],"H"))</f>
        <v>2</v>
      </c>
      <c r="AD39" s="6">
        <f>IF(Gesamtzähler[[#This Row],[Spiele MPH]]="","",SUMIFS(Eingabe[S3],Eingabe[Name],Gesamtzähler[[#This Row],[Name]],Eingabe[Wo],"H"))</f>
        <v>261</v>
      </c>
      <c r="AE39" s="6">
        <f>IF(Gesamtzähler[[#This Row],[Spiele MPH]]="","",SUMIFS(Eingabe[S3P],Eingabe[Name],Gesamtzähler[[#This Row],[Name]],Eingabe[Wo],"H"))</f>
        <v>2</v>
      </c>
      <c r="AF39" s="203">
        <f>IF(Gesamtzähler[[#This Row],[Spiele MPH]]="","",SUMIFS(Eingabe[S4],Eingabe[Name],Gesamtzähler[[#This Row],[Name]],Eingabe[Wo],"H"))</f>
        <v>257</v>
      </c>
      <c r="AG39" s="6">
        <f>IF(Gesamtzähler[[#This Row],[Spiele MPH]]="","",SUMIFS(Eingabe[S4P],Eingabe[Name],Gesamtzähler[[#This Row],[Name]],Eingabe[Wo],"H"))</f>
        <v>1</v>
      </c>
      <c r="AH39" s="6">
        <f>IF(Gesamtzähler[[#This Row],[Spiele MPH]]="","",SUMIFS(Eingabe[GEGGES],Eingabe[Name],Gesamtzähler[[#This Row],[Name]],Eingabe[Wo],"H"))</f>
        <v>884</v>
      </c>
      <c r="AI39" s="6">
        <f>IF(Gesamtzähler[[#This Row],[Spiele H]]="","",SUMIFS(Eingabe[GES],Eingabe[Name],Gesamtzähler[[#This Row],[Name]],Eingabe[Wo],"H"))</f>
        <v>987</v>
      </c>
      <c r="AJ39" s="6">
        <f>IF(Gesamtzähler[[#This Row],[Spiele MPH]]="","",SUMIFS(Eingabe[SP],Eingabe[Name],Gesamtzähler[[#This Row],[Name]],Eingabe[Wo],"H"))</f>
        <v>6</v>
      </c>
      <c r="AK39" s="6">
        <f>IF(Gesamtzähler[[#This Row],[Spiele MPH]]="","",SUMIFS(Eingabe[MP],Eingabe[Name],Gesamtzähler[[#This Row],[Name]],Eingabe[Wo],"H"))</f>
        <v>2</v>
      </c>
      <c r="AL39" s="6">
        <f>IF(COUNTIFS(Eingabe[Name],Gesamtzähler[[#This Row],[Name]],Eingabe[Wo],"A")=0,"",COUNTIFS(Eingabe[Name],Gesamtzähler[[#This Row],[Name]],Eingabe[Wo],"A"))</f>
        <v>1</v>
      </c>
      <c r="AM39" s="6">
        <f>IF(Gesamtzähler[[#This Row],[Spiele A]]="","",Gesamtzähler[[#This Row],[Spiele A]]-COUNTIFS(Eingabe[Name],Gesamtzähler[[#This Row],[Name]],Eingabe[MP],"",Eingabe[Wo],"A"))</f>
        <v>1</v>
      </c>
      <c r="AN39" s="6">
        <f>IF(Gesamtzähler[[#This Row],[Spiele A]]="","",SUMIFS(Eingabe[Volle],Eingabe[Name],Gesamtzähler[[#This Row],[Name]],Eingabe[Wo],"A"))</f>
        <v>351</v>
      </c>
      <c r="AO39" s="6">
        <f>IF(Gesamtzähler[[#This Row],[Spiele A]]="","",SUMIFS(Eingabe[Räumer],Eingabe[Name],Gesamtzähler[[#This Row],[Name]],Eingabe[Wo],"A"))</f>
        <v>191</v>
      </c>
      <c r="AP39" s="6">
        <f>IF(Gesamtzähler[[#This Row],[Spiele A]]="","",SUMIFS(Eingabe[Fehler],Eingabe[Name],Gesamtzähler[[#This Row],[Name]],Eingabe[Wo],"A"))</f>
        <v>12</v>
      </c>
      <c r="AQ39" s="6">
        <f>IF(Gesamtzähler[[#This Row],[Spiele MPA]]="","",SUMIFS(Eingabe[S1],Eingabe[Name],Gesamtzähler[[#This Row],[Name]],Eingabe[Wo],"A"))</f>
        <v>140</v>
      </c>
      <c r="AR39" s="6">
        <f>IF(Gesamtzähler[[#This Row],[Spiele MPA]]="","",SUMIFS(Eingabe[S1P],Eingabe[Name],Gesamtzähler[[#This Row],[Name]],Eingabe[Wo],"A"))</f>
        <v>1</v>
      </c>
      <c r="AS39" s="6">
        <f>IF(Gesamtzähler[[#This Row],[Spiele MPA]]="","",SUMIFS(Eingabe[S2],Eingabe[Name],Gesamtzähler[[#This Row],[Name]],Eingabe[Wo],"A"))</f>
        <v>126</v>
      </c>
      <c r="AT39" s="6">
        <f>IF(Gesamtzähler[[#This Row],[Spiele MPA]]="","",SUMIFS(Eingabe[S2P],Eingabe[Name],Gesamtzähler[[#This Row],[Name]],Eingabe[Wo],"A"))</f>
        <v>0</v>
      </c>
      <c r="AU39" s="6">
        <f>IF(Gesamtzähler[[#This Row],[Spiele MPA]]="","",SUMIFS(Eingabe[S3],Eingabe[Name],Gesamtzähler[[#This Row],[Name]],Eingabe[Wo],"A"))</f>
        <v>130</v>
      </c>
      <c r="AV39" s="6">
        <f>IF(Gesamtzähler[[#This Row],[Spiele MPA]]="","",SUMIFS(Eingabe[S3P],Eingabe[Name],Gesamtzähler[[#This Row],[Name]],Eingabe[Wo],"A"))</f>
        <v>0</v>
      </c>
      <c r="AW39" s="6">
        <f>IF(Gesamtzähler[[#This Row],[Spiele MPA]]="","",SUMIFS(Eingabe[S4],Eingabe[Name],Gesamtzähler[[#This Row],[Name]],Eingabe[Wo],"A"))</f>
        <v>146</v>
      </c>
      <c r="AX39" s="6">
        <f>IF(Gesamtzähler[[#This Row],[Spiele MPA]]="","",SUMIFS(Eingabe[S4P],Eingabe[Name],Gesamtzähler[[#This Row],[Name]],Eingabe[Wo],"A"))</f>
        <v>1</v>
      </c>
      <c r="AY39" s="6">
        <f>IF(Gesamtzähler[[#This Row],[Spiele MPA]]="","",SUMIFS(Eingabe[GEGGES],Eingabe[Name],Gesamtzähler[[#This Row],[Name]],Eingabe[Wo],"A"))</f>
        <v>550</v>
      </c>
      <c r="AZ39" s="6">
        <f>IF(Gesamtzähler[[#This Row],[Spiele A]]="","",SUMIFS(Eingabe[GES],Eingabe[Name],Gesamtzähler[[#This Row],[Name]],Eingabe[Wo],"A"))</f>
        <v>542</v>
      </c>
      <c r="BA39" s="6">
        <f>IF(Gesamtzähler[[#This Row],[Spiele MPA]]="","",SUMIFS(Eingabe[SP],Eingabe[Name],Gesamtzähler[[#This Row],[Name]],Eingabe[Wo],"A"))</f>
        <v>2</v>
      </c>
      <c r="BB39" s="6">
        <f>IF(Gesamtzähler[[#This Row],[Spiele MPA]]="","",SUMIFS(Eingabe[MP],Eingabe[Name],Gesamtzähler[[#This Row],[Name]],Eingabe[Wo],"A"))</f>
        <v>0</v>
      </c>
      <c r="BC39" s="6"/>
      <c r="BD39" s="6"/>
      <c r="BE39" s="6"/>
      <c r="BF39" s="6"/>
    </row>
    <row r="40" spans="2:58" x14ac:dyDescent="0.3">
      <c r="B40" s="7" t="str">
        <f>VLOOKUP(ROW(Gesamtzähler[[#This Row],[Name]])-3,Teamzuordnung[],2,FALSE)</f>
        <v>Patrick Hohmann</v>
      </c>
      <c r="C40" s="6" t="str">
        <f>IF(Gesamtzähler[[#This Row],[Name]]="","",VLOOKUP(Gesamtzähler[[#This Row],[Name]],Teamzuordnung[[Name]:[Team]],2,TRUE))</f>
        <v>E</v>
      </c>
      <c r="D40" s="21">
        <f>IF(COUNTIFS(Eingabe[Name],Gesamtzähler[[#This Row],[Name]])=0,"",COUNTIFS(Eingabe[Name],Gesamtzähler[[#This Row],[Name]]))</f>
        <v>15</v>
      </c>
      <c r="E40" s="6">
        <f>IF(Gesamtzähler[[#This Row],[Spiele]]="","",IF(Gesamtzähler[[#This Row],[Spiele]]-COUNTIFS(Eingabe[Name],Gesamtzähler[[#This Row],[Name]],Eingabe[MP],"")=0,"",Gesamtzähler[[#This Row],[Spiele]]-COUNTIFS(Eingabe[Name],Gesamtzähler[[#This Row],[Name]],Eingabe[MP],"")))</f>
        <v>13</v>
      </c>
      <c r="F40" s="6">
        <f>IF(Gesamtzähler[[#This Row],[Spiele]]="","",SUMIF(Eingabe[Name],Gesamtzähler[[#This Row],[Name]],Eingabe[Volle]))</f>
        <v>5416</v>
      </c>
      <c r="G40" s="6">
        <f>IF(Gesamtzähler[[#This Row],[Spiele]]="","",SUMIF(Eingabe[Name],Gesamtzähler[[#This Row],[Name]],Eingabe[Räumer]))</f>
        <v>2502</v>
      </c>
      <c r="H40" s="6">
        <f>IF(Gesamtzähler[[#This Row],[Spiele]]="","",SUMIF(Eingabe[Name],Gesamtzähler[[#This Row],[Name]],Eingabe[Fehler]))</f>
        <v>89</v>
      </c>
      <c r="I40" s="6">
        <f>IF(Gesamtzähler[[#This Row],[Spiele]]="","",SUMIF(Eingabe[Name],Gesamtzähler[[#This Row],[Name]],Eingabe[GES]))</f>
        <v>7918</v>
      </c>
      <c r="J40" s="6">
        <f>IF(Gesamtzähler[[#This Row],[Spiele MP]]="","",SUMIF(Eingabe[Name],Gesamtzähler[[#This Row],[Name]],Eingabe[SP]))</f>
        <v>28</v>
      </c>
      <c r="K40" s="6">
        <f>IF(Gesamtzähler[[#This Row],[Spiele MP]]="","",SUMIF(Eingabe[Name],Gesamtzähler[[#This Row],[Name]],Eingabe[MP]))</f>
        <v>7.5</v>
      </c>
      <c r="L40" s="6">
        <f>IF(Gesamtzähler[[#This Row],[Spiele MP]]="","",SUMIF(Eingabe[Name],Gesamtzähler[[#This Row],[Name]],Eingabe[S1]))</f>
        <v>1827</v>
      </c>
      <c r="M40" s="6">
        <f>IF(Gesamtzähler[[#This Row],[Spiele MP]]="","",SUMIF(Eingabe[Name],Gesamtzähler[[#This Row],[Name]],Eingabe[S2]))</f>
        <v>1862</v>
      </c>
      <c r="N40" s="6">
        <f>IF(Gesamtzähler[[#This Row],[Spiele MP]]="","",SUMIF(Eingabe[Name],Gesamtzähler[[#This Row],[Name]],Eingabe[S3]))</f>
        <v>1867</v>
      </c>
      <c r="O40" s="6">
        <f>IF(Gesamtzähler[[#This Row],[Spiele MP]]="","",SUMIF(Eingabe[Name],Gesamtzähler[[#This Row],[Name]],Eingabe[S4]))</f>
        <v>1853</v>
      </c>
      <c r="P40" s="6">
        <f>IF(Gesamtzähler[[#This Row],[Spiele MP]]="","",SUMIF(Eingabe[Name],Gesamtzähler[[#This Row],[Name]],Eingabe[S1P]))</f>
        <v>10</v>
      </c>
      <c r="Q40" s="6">
        <f>IF(Gesamtzähler[[#This Row],[Spiele MP]]="","",SUMIF(Eingabe[Name],Gesamtzähler[[#This Row],[Name]],Eingabe[S2P]))</f>
        <v>5</v>
      </c>
      <c r="R40" s="6">
        <f>IF(Gesamtzähler[[#This Row],[Spiele MP]]="","",SUMIF(Eingabe[Name],Gesamtzähler[[#This Row],[Name]],Eingabe[S3P]))</f>
        <v>5</v>
      </c>
      <c r="S40" s="6">
        <f>IF(Gesamtzähler[[#This Row],[Spiele MP]]="","",SUMIF(Eingabe[Name],Gesamtzähler[[#This Row],[Name]],Eingabe[S4P]))</f>
        <v>8</v>
      </c>
      <c r="T40" s="6">
        <f>IF(Gesamtzähler[[#This Row],[Spiele MP]]="","",SUMIF(Eingabe[Name],Gesamtzähler[[#This Row],[Name]],Eingabe[GEGGES]))</f>
        <v>6850</v>
      </c>
      <c r="U40" s="21">
        <f>IF(COUNTIFS(Eingabe[Name],Gesamtzähler[[#This Row],[Name]],Eingabe[Wo],"H")=0,"",COUNTIFS(Eingabe[Name],Gesamtzähler[[#This Row],[Name]],Eingabe[Wo],"H"))</f>
        <v>9</v>
      </c>
      <c r="V40" s="6">
        <f>IF(Gesamtzähler[[#This Row],[Spiele H]]="","",Gesamtzähler[[#This Row],[Spiele H]]-COUNTIFS(Eingabe[Name],Gesamtzähler[[#This Row],[Name]],Eingabe[MP],"",Eingabe[Wo],"H"))</f>
        <v>9</v>
      </c>
      <c r="W40" s="6">
        <f>IF(Gesamtzähler[[#This Row],[Spiele H]]="","",SUMIFS(Eingabe[Volle],Eingabe[Name],Gesamtzähler[[#This Row],[Name]],Eingabe[Wo],"H"))</f>
        <v>3278</v>
      </c>
      <c r="X40" s="6">
        <f>IF(Gesamtzähler[[#This Row],[Spiele H]]="","",SUMIFS(Eingabe[Räumer],Eingabe[Name],Gesamtzähler[[#This Row],[Name]],Eingabe[Wo],"H"))</f>
        <v>1519</v>
      </c>
      <c r="Y40" s="6">
        <f>IF(Gesamtzähler[[#This Row],[Spiele H]]="","",SUMIFS(Eingabe[Fehler],Eingabe[Name],Gesamtzähler[[#This Row],[Name]],Eingabe[Wo],"H"))</f>
        <v>43</v>
      </c>
      <c r="Z40" s="6">
        <f>IF(Gesamtzähler[[#This Row],[Spiele MPH]]="","",SUMIFS(Eingabe[S1],Eingabe[Name],Gesamtzähler[[#This Row],[Name]],Eingabe[Wo],"H"))</f>
        <v>1188</v>
      </c>
      <c r="AA40" s="6">
        <f>IF(Gesamtzähler[[#This Row],[Spiele MPH]]="","",SUMIFS(Eingabe[S1P],Eingabe[Name],Gesamtzähler[[#This Row],[Name]],Eingabe[Wo],"H"))</f>
        <v>7</v>
      </c>
      <c r="AB40" s="6">
        <f>IF(Gesamtzähler[[#This Row],[Spiele MPH]]="","",SUMIFS(Eingabe[S2],Eingabe[Name],Gesamtzähler[[#This Row],[Name]],Eingabe[Wo],"H"))</f>
        <v>1176</v>
      </c>
      <c r="AC40" s="6">
        <f>IF(Gesamtzähler[[#This Row],[Spiele MPH]]="","",SUMIFS(Eingabe[S2P],Eingabe[Name],Gesamtzähler[[#This Row],[Name]],Eingabe[Wo],"H"))</f>
        <v>3</v>
      </c>
      <c r="AD40" s="6">
        <f>IF(Gesamtzähler[[#This Row],[Spiele MPH]]="","",SUMIFS(Eingabe[S3],Eingabe[Name],Gesamtzähler[[#This Row],[Name]],Eingabe[Wo],"H"))</f>
        <v>1230</v>
      </c>
      <c r="AE40" s="6">
        <f>IF(Gesamtzähler[[#This Row],[Spiele MPH]]="","",SUMIFS(Eingabe[S3P],Eingabe[Name],Gesamtzähler[[#This Row],[Name]],Eingabe[Wo],"H"))</f>
        <v>4</v>
      </c>
      <c r="AF40" s="203">
        <f>IF(Gesamtzähler[[#This Row],[Spiele MPH]]="","",SUMIFS(Eingabe[S4],Eingabe[Name],Gesamtzähler[[#This Row],[Name]],Eingabe[Wo],"H"))</f>
        <v>1203</v>
      </c>
      <c r="AG40" s="6">
        <f>IF(Gesamtzähler[[#This Row],[Spiele MPH]]="","",SUMIFS(Eingabe[S4P],Eingabe[Name],Gesamtzähler[[#This Row],[Name]],Eingabe[Wo],"H"))</f>
        <v>6</v>
      </c>
      <c r="AH40" s="6">
        <f>IF(Gesamtzähler[[#This Row],[Spiele MPH]]="","",SUMIFS(Eingabe[GEGGES],Eingabe[Name],Gesamtzähler[[#This Row],[Name]],Eingabe[Wo],"H"))</f>
        <v>4699</v>
      </c>
      <c r="AI40" s="6">
        <f>IF(Gesamtzähler[[#This Row],[Spiele H]]="","",SUMIFS(Eingabe[GES],Eingabe[Name],Gesamtzähler[[#This Row],[Name]],Eingabe[Wo],"H"))</f>
        <v>4797</v>
      </c>
      <c r="AJ40" s="6">
        <f>IF(Gesamtzähler[[#This Row],[Spiele MPH]]="","",SUMIFS(Eingabe[SP],Eingabe[Name],Gesamtzähler[[#This Row],[Name]],Eingabe[Wo],"H"))</f>
        <v>20</v>
      </c>
      <c r="AK40" s="6">
        <f>IF(Gesamtzähler[[#This Row],[Spiele MPH]]="","",SUMIFS(Eingabe[MP],Eingabe[Name],Gesamtzähler[[#This Row],[Name]],Eingabe[Wo],"H"))</f>
        <v>6</v>
      </c>
      <c r="AL40" s="6">
        <f>IF(COUNTIFS(Eingabe[Name],Gesamtzähler[[#This Row],[Name]],Eingabe[Wo],"A")=0,"",COUNTIFS(Eingabe[Name],Gesamtzähler[[#This Row],[Name]],Eingabe[Wo],"A"))</f>
        <v>6</v>
      </c>
      <c r="AM40" s="6">
        <f>IF(Gesamtzähler[[#This Row],[Spiele A]]="","",Gesamtzähler[[#This Row],[Spiele A]]-COUNTIFS(Eingabe[Name],Gesamtzähler[[#This Row],[Name]],Eingabe[MP],"",Eingabe[Wo],"A"))</f>
        <v>4</v>
      </c>
      <c r="AN40" s="6">
        <f>IF(Gesamtzähler[[#This Row],[Spiele A]]="","",SUMIFS(Eingabe[Volle],Eingabe[Name],Gesamtzähler[[#This Row],[Name]],Eingabe[Wo],"A"))</f>
        <v>2138</v>
      </c>
      <c r="AO40" s="6">
        <f>IF(Gesamtzähler[[#This Row],[Spiele A]]="","",SUMIFS(Eingabe[Räumer],Eingabe[Name],Gesamtzähler[[#This Row],[Name]],Eingabe[Wo],"A"))</f>
        <v>983</v>
      </c>
      <c r="AP40" s="6">
        <f>IF(Gesamtzähler[[#This Row],[Spiele A]]="","",SUMIFS(Eingabe[Fehler],Eingabe[Name],Gesamtzähler[[#This Row],[Name]],Eingabe[Wo],"A"))</f>
        <v>46</v>
      </c>
      <c r="AQ40" s="6">
        <f>IF(Gesamtzähler[[#This Row],[Spiele MPA]]="","",SUMIFS(Eingabe[S1],Eingabe[Name],Gesamtzähler[[#This Row],[Name]],Eingabe[Wo],"A"))</f>
        <v>639</v>
      </c>
      <c r="AR40" s="6">
        <f>IF(Gesamtzähler[[#This Row],[Spiele MPA]]="","",SUMIFS(Eingabe[S1P],Eingabe[Name],Gesamtzähler[[#This Row],[Name]],Eingabe[Wo],"A"))</f>
        <v>3</v>
      </c>
      <c r="AS40" s="6">
        <f>IF(Gesamtzähler[[#This Row],[Spiele MPA]]="","",SUMIFS(Eingabe[S2],Eingabe[Name],Gesamtzähler[[#This Row],[Name]],Eingabe[Wo],"A"))</f>
        <v>686</v>
      </c>
      <c r="AT40" s="6">
        <f>IF(Gesamtzähler[[#This Row],[Spiele MPA]]="","",SUMIFS(Eingabe[S2P],Eingabe[Name],Gesamtzähler[[#This Row],[Name]],Eingabe[Wo],"A"))</f>
        <v>2</v>
      </c>
      <c r="AU40" s="6">
        <f>IF(Gesamtzähler[[#This Row],[Spiele MPA]]="","",SUMIFS(Eingabe[S3],Eingabe[Name],Gesamtzähler[[#This Row],[Name]],Eingabe[Wo],"A"))</f>
        <v>637</v>
      </c>
      <c r="AV40" s="6">
        <f>IF(Gesamtzähler[[#This Row],[Spiele MPA]]="","",SUMIFS(Eingabe[S3P],Eingabe[Name],Gesamtzähler[[#This Row],[Name]],Eingabe[Wo],"A"))</f>
        <v>1</v>
      </c>
      <c r="AW40" s="6">
        <f>IF(Gesamtzähler[[#This Row],[Spiele MPA]]="","",SUMIFS(Eingabe[S4],Eingabe[Name],Gesamtzähler[[#This Row],[Name]],Eingabe[Wo],"A"))</f>
        <v>650</v>
      </c>
      <c r="AX40" s="6">
        <f>IF(Gesamtzähler[[#This Row],[Spiele MPA]]="","",SUMIFS(Eingabe[S4P],Eingabe[Name],Gesamtzähler[[#This Row],[Name]],Eingabe[Wo],"A"))</f>
        <v>2</v>
      </c>
      <c r="AY40" s="6">
        <f>IF(Gesamtzähler[[#This Row],[Spiele MPA]]="","",SUMIFS(Eingabe[GEGGES],Eingabe[Name],Gesamtzähler[[#This Row],[Name]],Eingabe[Wo],"A"))</f>
        <v>2151</v>
      </c>
      <c r="AZ40" s="6">
        <f>IF(Gesamtzähler[[#This Row],[Spiele A]]="","",SUMIFS(Eingabe[GES],Eingabe[Name],Gesamtzähler[[#This Row],[Name]],Eingabe[Wo],"A"))</f>
        <v>3121</v>
      </c>
      <c r="BA40" s="6">
        <f>IF(Gesamtzähler[[#This Row],[Spiele MPA]]="","",SUMIFS(Eingabe[SP],Eingabe[Name],Gesamtzähler[[#This Row],[Name]],Eingabe[Wo],"A"))</f>
        <v>8</v>
      </c>
      <c r="BB40" s="6">
        <f>IF(Gesamtzähler[[#This Row],[Spiele MPA]]="","",SUMIFS(Eingabe[MP],Eingabe[Name],Gesamtzähler[[#This Row],[Name]],Eingabe[Wo],"A"))</f>
        <v>1.5</v>
      </c>
      <c r="BC40" s="6"/>
      <c r="BD40" s="6"/>
      <c r="BE40" s="6"/>
      <c r="BF40" s="6"/>
    </row>
    <row r="41" spans="2:58" x14ac:dyDescent="0.3">
      <c r="B41" s="7" t="str">
        <f>VLOOKUP(ROW(Gesamtzähler[[#This Row],[Name]])-3,Teamzuordnung[],2,FALSE)</f>
        <v>Peter Paulmann</v>
      </c>
      <c r="C41" s="6" t="str">
        <f>IF(Gesamtzähler[[#This Row],[Name]]="","",VLOOKUP(Gesamtzähler[[#This Row],[Name]],Teamzuordnung[[Name]:[Team]],2,TRUE))</f>
        <v>D</v>
      </c>
      <c r="D41" s="21">
        <f>IF(COUNTIFS(Eingabe[Name],Gesamtzähler[[#This Row],[Name]])=0,"",COUNTIFS(Eingabe[Name],Gesamtzähler[[#This Row],[Name]]))</f>
        <v>5</v>
      </c>
      <c r="E41" s="6">
        <f>IF(Gesamtzähler[[#This Row],[Spiele]]="","",IF(Gesamtzähler[[#This Row],[Spiele]]-COUNTIFS(Eingabe[Name],Gesamtzähler[[#This Row],[Name]],Eingabe[MP],"")=0,"",Gesamtzähler[[#This Row],[Spiele]]-COUNTIFS(Eingabe[Name],Gesamtzähler[[#This Row],[Name]],Eingabe[MP],"")))</f>
        <v>3</v>
      </c>
      <c r="F41" s="6">
        <f>IF(Gesamtzähler[[#This Row],[Spiele]]="","",SUMIF(Eingabe[Name],Gesamtzähler[[#This Row],[Name]],Eingabe[Volle]))</f>
        <v>1750</v>
      </c>
      <c r="G41" s="6">
        <f>IF(Gesamtzähler[[#This Row],[Spiele]]="","",SUMIF(Eingabe[Name],Gesamtzähler[[#This Row],[Name]],Eingabe[Räumer]))</f>
        <v>825</v>
      </c>
      <c r="H41" s="6">
        <f>IF(Gesamtzähler[[#This Row],[Spiele]]="","",SUMIF(Eingabe[Name],Gesamtzähler[[#This Row],[Name]],Eingabe[Fehler]))</f>
        <v>42</v>
      </c>
      <c r="I41" s="6">
        <f>IF(Gesamtzähler[[#This Row],[Spiele]]="","",SUMIF(Eingabe[Name],Gesamtzähler[[#This Row],[Name]],Eingabe[GES]))</f>
        <v>2575</v>
      </c>
      <c r="J41" s="6">
        <f>IF(Gesamtzähler[[#This Row],[Spiele MP]]="","",SUMIF(Eingabe[Name],Gesamtzähler[[#This Row],[Name]],Eingabe[SP]))</f>
        <v>7</v>
      </c>
      <c r="K41" s="6">
        <f>IF(Gesamtzähler[[#This Row],[Spiele MP]]="","",SUMIF(Eingabe[Name],Gesamtzähler[[#This Row],[Name]],Eingabe[MP]))</f>
        <v>2</v>
      </c>
      <c r="L41" s="6">
        <f>IF(Gesamtzähler[[#This Row],[Spiele MP]]="","",SUMIF(Eingabe[Name],Gesamtzähler[[#This Row],[Name]],Eingabe[S1]))</f>
        <v>393</v>
      </c>
      <c r="M41" s="6">
        <f>IF(Gesamtzähler[[#This Row],[Spiele MP]]="","",SUMIF(Eingabe[Name],Gesamtzähler[[#This Row],[Name]],Eingabe[S2]))</f>
        <v>384</v>
      </c>
      <c r="N41" s="6">
        <f>IF(Gesamtzähler[[#This Row],[Spiele MP]]="","",SUMIF(Eingabe[Name],Gesamtzähler[[#This Row],[Name]],Eingabe[S3]))</f>
        <v>370</v>
      </c>
      <c r="O41" s="6">
        <f>IF(Gesamtzähler[[#This Row],[Spiele MP]]="","",SUMIF(Eingabe[Name],Gesamtzähler[[#This Row],[Name]],Eingabe[S4]))</f>
        <v>381</v>
      </c>
      <c r="P41" s="6">
        <f>IF(Gesamtzähler[[#This Row],[Spiele MP]]="","",SUMIF(Eingabe[Name],Gesamtzähler[[#This Row],[Name]],Eingabe[S1P]))</f>
        <v>3</v>
      </c>
      <c r="Q41" s="6">
        <f>IF(Gesamtzähler[[#This Row],[Spiele MP]]="","",SUMIF(Eingabe[Name],Gesamtzähler[[#This Row],[Name]],Eingabe[S2P]))</f>
        <v>2</v>
      </c>
      <c r="R41" s="6">
        <f>IF(Gesamtzähler[[#This Row],[Spiele MP]]="","",SUMIF(Eingabe[Name],Gesamtzähler[[#This Row],[Name]],Eingabe[S3P]))</f>
        <v>1.5</v>
      </c>
      <c r="S41" s="6">
        <f>IF(Gesamtzähler[[#This Row],[Spiele MP]]="","",SUMIF(Eingabe[Name],Gesamtzähler[[#This Row],[Name]],Eingabe[S4P]))</f>
        <v>0.5</v>
      </c>
      <c r="T41" s="6">
        <f>IF(Gesamtzähler[[#This Row],[Spiele MP]]="","",SUMIF(Eingabe[Name],Gesamtzähler[[#This Row],[Name]],Eingabe[GEGGES]))</f>
        <v>1484</v>
      </c>
      <c r="U41" s="21">
        <f>IF(COUNTIFS(Eingabe[Name],Gesamtzähler[[#This Row],[Name]],Eingabe[Wo],"H")=0,"",COUNTIFS(Eingabe[Name],Gesamtzähler[[#This Row],[Name]],Eingabe[Wo],"H"))</f>
        <v>1</v>
      </c>
      <c r="V41" s="6">
        <f>IF(Gesamtzähler[[#This Row],[Spiele H]]="","",Gesamtzähler[[#This Row],[Spiele H]]-COUNTIFS(Eingabe[Name],Gesamtzähler[[#This Row],[Name]],Eingabe[MP],"",Eingabe[Wo],"H"))</f>
        <v>1</v>
      </c>
      <c r="W41" s="6">
        <f>IF(Gesamtzähler[[#This Row],[Spiele H]]="","",SUMIFS(Eingabe[Volle],Eingabe[Name],Gesamtzähler[[#This Row],[Name]],Eingabe[Wo],"H"))</f>
        <v>349</v>
      </c>
      <c r="X41" s="6">
        <f>IF(Gesamtzähler[[#This Row],[Spiele H]]="","",SUMIFS(Eingabe[Räumer],Eingabe[Name],Gesamtzähler[[#This Row],[Name]],Eingabe[Wo],"H"))</f>
        <v>120</v>
      </c>
      <c r="Y41" s="6">
        <f>IF(Gesamtzähler[[#This Row],[Spiele H]]="","",SUMIFS(Eingabe[Fehler],Eingabe[Name],Gesamtzähler[[#This Row],[Name]],Eingabe[Wo],"H"))</f>
        <v>14</v>
      </c>
      <c r="Z41" s="6">
        <f>IF(Gesamtzähler[[#This Row],[Spiele MPH]]="","",SUMIFS(Eingabe[S1],Eingabe[Name],Gesamtzähler[[#This Row],[Name]],Eingabe[Wo],"H"))</f>
        <v>113</v>
      </c>
      <c r="AA41" s="6">
        <f>IF(Gesamtzähler[[#This Row],[Spiele MPH]]="","",SUMIFS(Eingabe[S1P],Eingabe[Name],Gesamtzähler[[#This Row],[Name]],Eingabe[Wo],"H"))</f>
        <v>1</v>
      </c>
      <c r="AB41" s="6">
        <f>IF(Gesamtzähler[[#This Row],[Spiele MPH]]="","",SUMIFS(Eingabe[S2],Eingabe[Name],Gesamtzähler[[#This Row],[Name]],Eingabe[Wo],"H"))</f>
        <v>131</v>
      </c>
      <c r="AC41" s="6">
        <f>IF(Gesamtzähler[[#This Row],[Spiele MPH]]="","",SUMIFS(Eingabe[S2P],Eingabe[Name],Gesamtzähler[[#This Row],[Name]],Eingabe[Wo],"H"))</f>
        <v>1</v>
      </c>
      <c r="AD41" s="6">
        <f>IF(Gesamtzähler[[#This Row],[Spiele MPH]]="","",SUMIFS(Eingabe[S3],Eingabe[Name],Gesamtzähler[[#This Row],[Name]],Eingabe[Wo],"H"))</f>
        <v>119</v>
      </c>
      <c r="AE41" s="6">
        <f>IF(Gesamtzähler[[#This Row],[Spiele MPH]]="","",SUMIFS(Eingabe[S3P],Eingabe[Name],Gesamtzähler[[#This Row],[Name]],Eingabe[Wo],"H"))</f>
        <v>0.5</v>
      </c>
      <c r="AF41" s="203">
        <f>IF(Gesamtzähler[[#This Row],[Spiele MPH]]="","",SUMIFS(Eingabe[S4],Eingabe[Name],Gesamtzähler[[#This Row],[Name]],Eingabe[Wo],"H"))</f>
        <v>106</v>
      </c>
      <c r="AG41" s="6">
        <f>IF(Gesamtzähler[[#This Row],[Spiele MPH]]="","",SUMIFS(Eingabe[S4P],Eingabe[Name],Gesamtzähler[[#This Row],[Name]],Eingabe[Wo],"H"))</f>
        <v>0</v>
      </c>
      <c r="AH41" s="6">
        <f>IF(Gesamtzähler[[#This Row],[Spiele MPH]]="","",SUMIFS(Eingabe[GEGGES],Eingabe[Name],Gesamtzähler[[#This Row],[Name]],Eingabe[Wo],"H"))</f>
        <v>462</v>
      </c>
      <c r="AI41" s="6">
        <f>IF(Gesamtzähler[[#This Row],[Spiele H]]="","",SUMIFS(Eingabe[GES],Eingabe[Name],Gesamtzähler[[#This Row],[Name]],Eingabe[Wo],"H"))</f>
        <v>469</v>
      </c>
      <c r="AJ41" s="6">
        <f>IF(Gesamtzähler[[#This Row],[Spiele MPH]]="","",SUMIFS(Eingabe[SP],Eingabe[Name],Gesamtzähler[[#This Row],[Name]],Eingabe[Wo],"H"))</f>
        <v>2.5</v>
      </c>
      <c r="AK41" s="6">
        <f>IF(Gesamtzähler[[#This Row],[Spiele MPH]]="","",SUMIFS(Eingabe[MP],Eingabe[Name],Gesamtzähler[[#This Row],[Name]],Eingabe[Wo],"H"))</f>
        <v>1</v>
      </c>
      <c r="AL41" s="6">
        <f>IF(COUNTIFS(Eingabe[Name],Gesamtzähler[[#This Row],[Name]],Eingabe[Wo],"A")=0,"",COUNTIFS(Eingabe[Name],Gesamtzähler[[#This Row],[Name]],Eingabe[Wo],"A"))</f>
        <v>4</v>
      </c>
      <c r="AM41" s="6">
        <f>IF(Gesamtzähler[[#This Row],[Spiele A]]="","",Gesamtzähler[[#This Row],[Spiele A]]-COUNTIFS(Eingabe[Name],Gesamtzähler[[#This Row],[Name]],Eingabe[MP],"",Eingabe[Wo],"A"))</f>
        <v>2</v>
      </c>
      <c r="AN41" s="6">
        <f>IF(Gesamtzähler[[#This Row],[Spiele A]]="","",SUMIFS(Eingabe[Volle],Eingabe[Name],Gesamtzähler[[#This Row],[Name]],Eingabe[Wo],"A"))</f>
        <v>1401</v>
      </c>
      <c r="AO41" s="6">
        <f>IF(Gesamtzähler[[#This Row],[Spiele A]]="","",SUMIFS(Eingabe[Räumer],Eingabe[Name],Gesamtzähler[[#This Row],[Name]],Eingabe[Wo],"A"))</f>
        <v>705</v>
      </c>
      <c r="AP41" s="6">
        <f>IF(Gesamtzähler[[#This Row],[Spiele A]]="","",SUMIFS(Eingabe[Fehler],Eingabe[Name],Gesamtzähler[[#This Row],[Name]],Eingabe[Wo],"A"))</f>
        <v>28</v>
      </c>
      <c r="AQ41" s="6">
        <f>IF(Gesamtzähler[[#This Row],[Spiele MPA]]="","",SUMIFS(Eingabe[S1],Eingabe[Name],Gesamtzähler[[#This Row],[Name]],Eingabe[Wo],"A"))</f>
        <v>280</v>
      </c>
      <c r="AR41" s="6">
        <f>IF(Gesamtzähler[[#This Row],[Spiele MPA]]="","",SUMIFS(Eingabe[S1P],Eingabe[Name],Gesamtzähler[[#This Row],[Name]],Eingabe[Wo],"A"))</f>
        <v>2</v>
      </c>
      <c r="AS41" s="6">
        <f>IF(Gesamtzähler[[#This Row],[Spiele MPA]]="","",SUMIFS(Eingabe[S2],Eingabe[Name],Gesamtzähler[[#This Row],[Name]],Eingabe[Wo],"A"))</f>
        <v>253</v>
      </c>
      <c r="AT41" s="6">
        <f>IF(Gesamtzähler[[#This Row],[Spiele MPA]]="","",SUMIFS(Eingabe[S2P],Eingabe[Name],Gesamtzähler[[#This Row],[Name]],Eingabe[Wo],"A"))</f>
        <v>1</v>
      </c>
      <c r="AU41" s="6">
        <f>IF(Gesamtzähler[[#This Row],[Spiele MPA]]="","",SUMIFS(Eingabe[S3],Eingabe[Name],Gesamtzähler[[#This Row],[Name]],Eingabe[Wo],"A"))</f>
        <v>251</v>
      </c>
      <c r="AV41" s="6">
        <f>IF(Gesamtzähler[[#This Row],[Spiele MPA]]="","",SUMIFS(Eingabe[S3P],Eingabe[Name],Gesamtzähler[[#This Row],[Name]],Eingabe[Wo],"A"))</f>
        <v>1</v>
      </c>
      <c r="AW41" s="6">
        <f>IF(Gesamtzähler[[#This Row],[Spiele MPA]]="","",SUMIFS(Eingabe[S4],Eingabe[Name],Gesamtzähler[[#This Row],[Name]],Eingabe[Wo],"A"))</f>
        <v>275</v>
      </c>
      <c r="AX41" s="6">
        <f>IF(Gesamtzähler[[#This Row],[Spiele MPA]]="","",SUMIFS(Eingabe[S4P],Eingabe[Name],Gesamtzähler[[#This Row],[Name]],Eingabe[Wo],"A"))</f>
        <v>0.5</v>
      </c>
      <c r="AY41" s="6">
        <f>IF(Gesamtzähler[[#This Row],[Spiele MPA]]="","",SUMIFS(Eingabe[GEGGES],Eingabe[Name],Gesamtzähler[[#This Row],[Name]],Eingabe[Wo],"A"))</f>
        <v>1022</v>
      </c>
      <c r="AZ41" s="6">
        <f>IF(Gesamtzähler[[#This Row],[Spiele A]]="","",SUMIFS(Eingabe[GES],Eingabe[Name],Gesamtzähler[[#This Row],[Name]],Eingabe[Wo],"A"))</f>
        <v>2106</v>
      </c>
      <c r="BA41" s="6">
        <f>IF(Gesamtzähler[[#This Row],[Spiele MPA]]="","",SUMIFS(Eingabe[SP],Eingabe[Name],Gesamtzähler[[#This Row],[Name]],Eingabe[Wo],"A"))</f>
        <v>4.5</v>
      </c>
      <c r="BB41" s="6">
        <f>IF(Gesamtzähler[[#This Row],[Spiele MPA]]="","",SUMIFS(Eingabe[MP],Eingabe[Name],Gesamtzähler[[#This Row],[Name]],Eingabe[Wo],"A"))</f>
        <v>1</v>
      </c>
      <c r="BC41" s="6"/>
      <c r="BD41" s="6"/>
      <c r="BE41" s="6"/>
      <c r="BF41" s="6"/>
    </row>
    <row r="42" spans="2:58" x14ac:dyDescent="0.3">
      <c r="B42" s="7" t="str">
        <f>VLOOKUP(ROW(Gesamtzähler[[#This Row],[Name]])-3,Teamzuordnung[],2,FALSE)</f>
        <v>Peter Weißling</v>
      </c>
      <c r="C42" s="6" t="str">
        <f>IF(Gesamtzähler[[#This Row],[Name]]="","",VLOOKUP(Gesamtzähler[[#This Row],[Name]],Teamzuordnung[[Name]:[Team]],2,TRUE))</f>
        <v>D</v>
      </c>
      <c r="D42" s="21">
        <f>IF(COUNTIFS(Eingabe[Name],Gesamtzähler[[#This Row],[Name]])=0,"",COUNTIFS(Eingabe[Name],Gesamtzähler[[#This Row],[Name]]))</f>
        <v>1</v>
      </c>
      <c r="E42" s="6">
        <f>IF(Gesamtzähler[[#This Row],[Spiele]]="","",IF(Gesamtzähler[[#This Row],[Spiele]]-COUNTIFS(Eingabe[Name],Gesamtzähler[[#This Row],[Name]],Eingabe[MP],"")=0,"",Gesamtzähler[[#This Row],[Spiele]]-COUNTIFS(Eingabe[Name],Gesamtzähler[[#This Row],[Name]],Eingabe[MP],"")))</f>
        <v>1</v>
      </c>
      <c r="F42" s="6">
        <f>IF(Gesamtzähler[[#This Row],[Spiele]]="","",SUMIF(Eingabe[Name],Gesamtzähler[[#This Row],[Name]],Eingabe[Volle]))</f>
        <v>342</v>
      </c>
      <c r="G42" s="6">
        <f>IF(Gesamtzähler[[#This Row],[Spiele]]="","",SUMIF(Eingabe[Name],Gesamtzähler[[#This Row],[Name]],Eingabe[Räumer]))</f>
        <v>145</v>
      </c>
      <c r="H42" s="6">
        <f>IF(Gesamtzähler[[#This Row],[Spiele]]="","",SUMIF(Eingabe[Name],Gesamtzähler[[#This Row],[Name]],Eingabe[Fehler]))</f>
        <v>8</v>
      </c>
      <c r="I42" s="6">
        <f>IF(Gesamtzähler[[#This Row],[Spiele]]="","",SUMIF(Eingabe[Name],Gesamtzähler[[#This Row],[Name]],Eingabe[GES]))</f>
        <v>487</v>
      </c>
      <c r="J42" s="6">
        <f>IF(Gesamtzähler[[#This Row],[Spiele MP]]="","",SUMIF(Eingabe[Name],Gesamtzähler[[#This Row],[Name]],Eingabe[SP]))</f>
        <v>2</v>
      </c>
      <c r="K42" s="6">
        <f>IF(Gesamtzähler[[#This Row],[Spiele MP]]="","",SUMIF(Eingabe[Name],Gesamtzähler[[#This Row],[Name]],Eingabe[MP]))</f>
        <v>1</v>
      </c>
      <c r="L42" s="6">
        <f>IF(Gesamtzähler[[#This Row],[Spiele MP]]="","",SUMIF(Eingabe[Name],Gesamtzähler[[#This Row],[Name]],Eingabe[S1]))</f>
        <v>113</v>
      </c>
      <c r="M42" s="6">
        <f>IF(Gesamtzähler[[#This Row],[Spiele MP]]="","",SUMIF(Eingabe[Name],Gesamtzähler[[#This Row],[Name]],Eingabe[S2]))</f>
        <v>138</v>
      </c>
      <c r="N42" s="6">
        <f>IF(Gesamtzähler[[#This Row],[Spiele MP]]="","",SUMIF(Eingabe[Name],Gesamtzähler[[#This Row],[Name]],Eingabe[S3]))</f>
        <v>130</v>
      </c>
      <c r="O42" s="6">
        <f>IF(Gesamtzähler[[#This Row],[Spiele MP]]="","",SUMIF(Eingabe[Name],Gesamtzähler[[#This Row],[Name]],Eingabe[S4]))</f>
        <v>106</v>
      </c>
      <c r="P42" s="6">
        <f>IF(Gesamtzähler[[#This Row],[Spiele MP]]="","",SUMIF(Eingabe[Name],Gesamtzähler[[#This Row],[Name]],Eingabe[S1P]))</f>
        <v>0</v>
      </c>
      <c r="Q42" s="6">
        <f>IF(Gesamtzähler[[#This Row],[Spiele MP]]="","",SUMIF(Eingabe[Name],Gesamtzähler[[#This Row],[Name]],Eingabe[S2P]))</f>
        <v>1</v>
      </c>
      <c r="R42" s="6">
        <f>IF(Gesamtzähler[[#This Row],[Spiele MP]]="","",SUMIF(Eingabe[Name],Gesamtzähler[[#This Row],[Name]],Eingabe[S3P]))</f>
        <v>1</v>
      </c>
      <c r="S42" s="6">
        <f>IF(Gesamtzähler[[#This Row],[Spiele MP]]="","",SUMIF(Eingabe[Name],Gesamtzähler[[#This Row],[Name]],Eingabe[S4P]))</f>
        <v>0</v>
      </c>
      <c r="T42" s="6">
        <f>IF(Gesamtzähler[[#This Row],[Spiele MP]]="","",SUMIF(Eingabe[Name],Gesamtzähler[[#This Row],[Name]],Eingabe[GEGGES]))</f>
        <v>473</v>
      </c>
      <c r="U42" s="21" t="str">
        <f>IF(COUNTIFS(Eingabe[Name],Gesamtzähler[[#This Row],[Name]],Eingabe[Wo],"H")=0,"",COUNTIFS(Eingabe[Name],Gesamtzähler[[#This Row],[Name]],Eingabe[Wo],"H"))</f>
        <v/>
      </c>
      <c r="V42" s="6" t="str">
        <f>IF(Gesamtzähler[[#This Row],[Spiele H]]="","",Gesamtzähler[[#This Row],[Spiele H]]-COUNTIFS(Eingabe[Name],Gesamtzähler[[#This Row],[Name]],Eingabe[MP],"",Eingabe[Wo],"H"))</f>
        <v/>
      </c>
      <c r="W42" s="6" t="str">
        <f>IF(Gesamtzähler[[#This Row],[Spiele H]]="","",SUMIFS(Eingabe[Volle],Eingabe[Name],Gesamtzähler[[#This Row],[Name]],Eingabe[Wo],"H"))</f>
        <v/>
      </c>
      <c r="X42" s="6" t="str">
        <f>IF(Gesamtzähler[[#This Row],[Spiele H]]="","",SUMIFS(Eingabe[Räumer],Eingabe[Name],Gesamtzähler[[#This Row],[Name]],Eingabe[Wo],"H"))</f>
        <v/>
      </c>
      <c r="Y42" s="6" t="str">
        <f>IF(Gesamtzähler[[#This Row],[Spiele H]]="","",SUMIFS(Eingabe[Fehler],Eingabe[Name],Gesamtzähler[[#This Row],[Name]],Eingabe[Wo],"H"))</f>
        <v/>
      </c>
      <c r="Z42" s="6" t="str">
        <f>IF(Gesamtzähler[[#This Row],[Spiele MPH]]="","",SUMIFS(Eingabe[S1],Eingabe[Name],Gesamtzähler[[#This Row],[Name]],Eingabe[Wo],"H"))</f>
        <v/>
      </c>
      <c r="AA42" s="6" t="str">
        <f>IF(Gesamtzähler[[#This Row],[Spiele MPH]]="","",SUMIFS(Eingabe[S1P],Eingabe[Name],Gesamtzähler[[#This Row],[Name]],Eingabe[Wo],"H"))</f>
        <v/>
      </c>
      <c r="AB42" s="6" t="str">
        <f>IF(Gesamtzähler[[#This Row],[Spiele MPH]]="","",SUMIFS(Eingabe[S2],Eingabe[Name],Gesamtzähler[[#This Row],[Name]],Eingabe[Wo],"H"))</f>
        <v/>
      </c>
      <c r="AC42" s="6" t="str">
        <f>IF(Gesamtzähler[[#This Row],[Spiele MPH]]="","",SUMIFS(Eingabe[S2P],Eingabe[Name],Gesamtzähler[[#This Row],[Name]],Eingabe[Wo],"H"))</f>
        <v/>
      </c>
      <c r="AD42" s="6" t="str">
        <f>IF(Gesamtzähler[[#This Row],[Spiele MPH]]="","",SUMIFS(Eingabe[S3],Eingabe[Name],Gesamtzähler[[#This Row],[Name]],Eingabe[Wo],"H"))</f>
        <v/>
      </c>
      <c r="AE42" s="6" t="str">
        <f>IF(Gesamtzähler[[#This Row],[Spiele MPH]]="","",SUMIFS(Eingabe[S3P],Eingabe[Name],Gesamtzähler[[#This Row],[Name]],Eingabe[Wo],"H"))</f>
        <v/>
      </c>
      <c r="AF42" s="203" t="str">
        <f>IF(Gesamtzähler[[#This Row],[Spiele MPH]]="","",SUMIFS(Eingabe[S4],Eingabe[Name],Gesamtzähler[[#This Row],[Name]],Eingabe[Wo],"H"))</f>
        <v/>
      </c>
      <c r="AG42" s="6" t="str">
        <f>IF(Gesamtzähler[[#This Row],[Spiele MPH]]="","",SUMIFS(Eingabe[S4P],Eingabe[Name],Gesamtzähler[[#This Row],[Name]],Eingabe[Wo],"H"))</f>
        <v/>
      </c>
      <c r="AH42" s="6" t="str">
        <f>IF(Gesamtzähler[[#This Row],[Spiele MPH]]="","",SUMIFS(Eingabe[GEGGES],Eingabe[Name],Gesamtzähler[[#This Row],[Name]],Eingabe[Wo],"H"))</f>
        <v/>
      </c>
      <c r="AI42" s="6" t="str">
        <f>IF(Gesamtzähler[[#This Row],[Spiele H]]="","",SUMIFS(Eingabe[GES],Eingabe[Name],Gesamtzähler[[#This Row],[Name]],Eingabe[Wo],"H"))</f>
        <v/>
      </c>
      <c r="AJ42" s="6" t="str">
        <f>IF(Gesamtzähler[[#This Row],[Spiele MPH]]="","",SUMIFS(Eingabe[SP],Eingabe[Name],Gesamtzähler[[#This Row],[Name]],Eingabe[Wo],"H"))</f>
        <v/>
      </c>
      <c r="AK42" s="6" t="str">
        <f>IF(Gesamtzähler[[#This Row],[Spiele MPH]]="","",SUMIFS(Eingabe[MP],Eingabe[Name],Gesamtzähler[[#This Row],[Name]],Eingabe[Wo],"H"))</f>
        <v/>
      </c>
      <c r="AL42" s="6">
        <f>IF(COUNTIFS(Eingabe[Name],Gesamtzähler[[#This Row],[Name]],Eingabe[Wo],"A")=0,"",COUNTIFS(Eingabe[Name],Gesamtzähler[[#This Row],[Name]],Eingabe[Wo],"A"))</f>
        <v>1</v>
      </c>
      <c r="AM42" s="6">
        <f>IF(Gesamtzähler[[#This Row],[Spiele A]]="","",Gesamtzähler[[#This Row],[Spiele A]]-COUNTIFS(Eingabe[Name],Gesamtzähler[[#This Row],[Name]],Eingabe[MP],"",Eingabe[Wo],"A"))</f>
        <v>1</v>
      </c>
      <c r="AN42" s="6">
        <f>IF(Gesamtzähler[[#This Row],[Spiele A]]="","",SUMIFS(Eingabe[Volle],Eingabe[Name],Gesamtzähler[[#This Row],[Name]],Eingabe[Wo],"A"))</f>
        <v>342</v>
      </c>
      <c r="AO42" s="6">
        <f>IF(Gesamtzähler[[#This Row],[Spiele A]]="","",SUMIFS(Eingabe[Räumer],Eingabe[Name],Gesamtzähler[[#This Row],[Name]],Eingabe[Wo],"A"))</f>
        <v>145</v>
      </c>
      <c r="AP42" s="6">
        <f>IF(Gesamtzähler[[#This Row],[Spiele A]]="","",SUMIFS(Eingabe[Fehler],Eingabe[Name],Gesamtzähler[[#This Row],[Name]],Eingabe[Wo],"A"))</f>
        <v>8</v>
      </c>
      <c r="AQ42" s="6">
        <f>IF(Gesamtzähler[[#This Row],[Spiele MPA]]="","",SUMIFS(Eingabe[S1],Eingabe[Name],Gesamtzähler[[#This Row],[Name]],Eingabe[Wo],"A"))</f>
        <v>113</v>
      </c>
      <c r="AR42" s="6">
        <f>IF(Gesamtzähler[[#This Row],[Spiele MPA]]="","",SUMIFS(Eingabe[S1P],Eingabe[Name],Gesamtzähler[[#This Row],[Name]],Eingabe[Wo],"A"))</f>
        <v>0</v>
      </c>
      <c r="AS42" s="6">
        <f>IF(Gesamtzähler[[#This Row],[Spiele MPA]]="","",SUMIFS(Eingabe[S2],Eingabe[Name],Gesamtzähler[[#This Row],[Name]],Eingabe[Wo],"A"))</f>
        <v>138</v>
      </c>
      <c r="AT42" s="6">
        <f>IF(Gesamtzähler[[#This Row],[Spiele MPA]]="","",SUMIFS(Eingabe[S2P],Eingabe[Name],Gesamtzähler[[#This Row],[Name]],Eingabe[Wo],"A"))</f>
        <v>1</v>
      </c>
      <c r="AU42" s="6">
        <f>IF(Gesamtzähler[[#This Row],[Spiele MPA]]="","",SUMIFS(Eingabe[S3],Eingabe[Name],Gesamtzähler[[#This Row],[Name]],Eingabe[Wo],"A"))</f>
        <v>130</v>
      </c>
      <c r="AV42" s="6">
        <f>IF(Gesamtzähler[[#This Row],[Spiele MPA]]="","",SUMIFS(Eingabe[S3P],Eingabe[Name],Gesamtzähler[[#This Row],[Name]],Eingabe[Wo],"A"))</f>
        <v>1</v>
      </c>
      <c r="AW42" s="6">
        <f>IF(Gesamtzähler[[#This Row],[Spiele MPA]]="","",SUMIFS(Eingabe[S4],Eingabe[Name],Gesamtzähler[[#This Row],[Name]],Eingabe[Wo],"A"))</f>
        <v>106</v>
      </c>
      <c r="AX42" s="6">
        <f>IF(Gesamtzähler[[#This Row],[Spiele MPA]]="","",SUMIFS(Eingabe[S4P],Eingabe[Name],Gesamtzähler[[#This Row],[Name]],Eingabe[Wo],"A"))</f>
        <v>0</v>
      </c>
      <c r="AY42" s="6">
        <f>IF(Gesamtzähler[[#This Row],[Spiele MPA]]="","",SUMIFS(Eingabe[GEGGES],Eingabe[Name],Gesamtzähler[[#This Row],[Name]],Eingabe[Wo],"A"))</f>
        <v>473</v>
      </c>
      <c r="AZ42" s="6">
        <f>IF(Gesamtzähler[[#This Row],[Spiele A]]="","",SUMIFS(Eingabe[GES],Eingabe[Name],Gesamtzähler[[#This Row],[Name]],Eingabe[Wo],"A"))</f>
        <v>487</v>
      </c>
      <c r="BA42" s="6">
        <f>IF(Gesamtzähler[[#This Row],[Spiele MPA]]="","",SUMIFS(Eingabe[SP],Eingabe[Name],Gesamtzähler[[#This Row],[Name]],Eingabe[Wo],"A"))</f>
        <v>2</v>
      </c>
      <c r="BB42" s="6">
        <f>IF(Gesamtzähler[[#This Row],[Spiele MPA]]="","",SUMIFS(Eingabe[MP],Eingabe[Name],Gesamtzähler[[#This Row],[Name]],Eingabe[Wo],"A"))</f>
        <v>1</v>
      </c>
      <c r="BC42" s="6"/>
      <c r="BD42" s="6"/>
      <c r="BE42" s="6"/>
      <c r="BF42" s="6"/>
    </row>
    <row r="43" spans="2:58" x14ac:dyDescent="0.3">
      <c r="B43" s="7" t="str">
        <f>VLOOKUP(ROW(Gesamtzähler[[#This Row],[Name]])-3,Teamzuordnung[],2,FALSE)</f>
        <v>Petra Kubon</v>
      </c>
      <c r="C43" s="6" t="str">
        <f>IF(Gesamtzähler[[#This Row],[Name]]="","",VLOOKUP(Gesamtzähler[[#This Row],[Name]],Teamzuordnung[[Name]:[Team]],2,TRUE))</f>
        <v>F</v>
      </c>
      <c r="D43" s="21">
        <f>IF(COUNTIFS(Eingabe[Name],Gesamtzähler[[#This Row],[Name]])=0,"",COUNTIFS(Eingabe[Name],Gesamtzähler[[#This Row],[Name]]))</f>
        <v>1</v>
      </c>
      <c r="E43" s="6">
        <f>IF(Gesamtzähler[[#This Row],[Spiele]]="","",IF(Gesamtzähler[[#This Row],[Spiele]]-COUNTIFS(Eingabe[Name],Gesamtzähler[[#This Row],[Name]],Eingabe[MP],"")=0,"",Gesamtzähler[[#This Row],[Spiele]]-COUNTIFS(Eingabe[Name],Gesamtzähler[[#This Row],[Name]],Eingabe[MP],"")))</f>
        <v>1</v>
      </c>
      <c r="F43" s="6">
        <f>IF(Gesamtzähler[[#This Row],[Spiele]]="","",SUMIF(Eingabe[Name],Gesamtzähler[[#This Row],[Name]],Eingabe[Volle]))</f>
        <v>340</v>
      </c>
      <c r="G43" s="6">
        <f>IF(Gesamtzähler[[#This Row],[Spiele]]="","",SUMIF(Eingabe[Name],Gesamtzähler[[#This Row],[Name]],Eingabe[Räumer]))</f>
        <v>137</v>
      </c>
      <c r="H43" s="6">
        <f>IF(Gesamtzähler[[#This Row],[Spiele]]="","",SUMIF(Eingabe[Name],Gesamtzähler[[#This Row],[Name]],Eingabe[Fehler]))</f>
        <v>13</v>
      </c>
      <c r="I43" s="6">
        <f>IF(Gesamtzähler[[#This Row],[Spiele]]="","",SUMIF(Eingabe[Name],Gesamtzähler[[#This Row],[Name]],Eingabe[GES]))</f>
        <v>477</v>
      </c>
      <c r="J43" s="6">
        <f>IF(Gesamtzähler[[#This Row],[Spiele MP]]="","",SUMIF(Eingabe[Name],Gesamtzähler[[#This Row],[Name]],Eingabe[SP]))</f>
        <v>2</v>
      </c>
      <c r="K43" s="6">
        <f>IF(Gesamtzähler[[#This Row],[Spiele MP]]="","",SUMIF(Eingabe[Name],Gesamtzähler[[#This Row],[Name]],Eingabe[MP]))</f>
        <v>0</v>
      </c>
      <c r="L43" s="6">
        <f>IF(Gesamtzähler[[#This Row],[Spiele MP]]="","",SUMIF(Eingabe[Name],Gesamtzähler[[#This Row],[Name]],Eingabe[S1]))</f>
        <v>117</v>
      </c>
      <c r="M43" s="6">
        <f>IF(Gesamtzähler[[#This Row],[Spiele MP]]="","",SUMIF(Eingabe[Name],Gesamtzähler[[#This Row],[Name]],Eingabe[S2]))</f>
        <v>127</v>
      </c>
      <c r="N43" s="6">
        <f>IF(Gesamtzähler[[#This Row],[Spiele MP]]="","",SUMIF(Eingabe[Name],Gesamtzähler[[#This Row],[Name]],Eingabe[S3]))</f>
        <v>115</v>
      </c>
      <c r="O43" s="6">
        <f>IF(Gesamtzähler[[#This Row],[Spiele MP]]="","",SUMIF(Eingabe[Name],Gesamtzähler[[#This Row],[Name]],Eingabe[S4]))</f>
        <v>118</v>
      </c>
      <c r="P43" s="6">
        <f>IF(Gesamtzähler[[#This Row],[Spiele MP]]="","",SUMIF(Eingabe[Name],Gesamtzähler[[#This Row],[Name]],Eingabe[S1P]))</f>
        <v>0</v>
      </c>
      <c r="Q43" s="6">
        <f>IF(Gesamtzähler[[#This Row],[Spiele MP]]="","",SUMIF(Eingabe[Name],Gesamtzähler[[#This Row],[Name]],Eingabe[S2P]))</f>
        <v>1</v>
      </c>
      <c r="R43" s="6">
        <f>IF(Gesamtzähler[[#This Row],[Spiele MP]]="","",SUMIF(Eingabe[Name],Gesamtzähler[[#This Row],[Name]],Eingabe[S3P]))</f>
        <v>0</v>
      </c>
      <c r="S43" s="6">
        <f>IF(Gesamtzähler[[#This Row],[Spiele MP]]="","",SUMIF(Eingabe[Name],Gesamtzähler[[#This Row],[Name]],Eingabe[S4P]))</f>
        <v>1</v>
      </c>
      <c r="T43" s="6">
        <f>IF(Gesamtzähler[[#This Row],[Spiele MP]]="","",SUMIF(Eingabe[Name],Gesamtzähler[[#This Row],[Name]],Eingabe[GEGGES]))</f>
        <v>485</v>
      </c>
      <c r="U43" s="21">
        <f>IF(COUNTIFS(Eingabe[Name],Gesamtzähler[[#This Row],[Name]],Eingabe[Wo],"H")=0,"",COUNTIFS(Eingabe[Name],Gesamtzähler[[#This Row],[Name]],Eingabe[Wo],"H"))</f>
        <v>1</v>
      </c>
      <c r="V43" s="6">
        <f>IF(Gesamtzähler[[#This Row],[Spiele H]]="","",Gesamtzähler[[#This Row],[Spiele H]]-COUNTIFS(Eingabe[Name],Gesamtzähler[[#This Row],[Name]],Eingabe[MP],"",Eingabe[Wo],"H"))</f>
        <v>1</v>
      </c>
      <c r="W43" s="6">
        <f>IF(Gesamtzähler[[#This Row],[Spiele H]]="","",SUMIFS(Eingabe[Volle],Eingabe[Name],Gesamtzähler[[#This Row],[Name]],Eingabe[Wo],"H"))</f>
        <v>340</v>
      </c>
      <c r="X43" s="6">
        <f>IF(Gesamtzähler[[#This Row],[Spiele H]]="","",SUMIFS(Eingabe[Räumer],Eingabe[Name],Gesamtzähler[[#This Row],[Name]],Eingabe[Wo],"H"))</f>
        <v>137</v>
      </c>
      <c r="Y43" s="6">
        <f>IF(Gesamtzähler[[#This Row],[Spiele H]]="","",SUMIFS(Eingabe[Fehler],Eingabe[Name],Gesamtzähler[[#This Row],[Name]],Eingabe[Wo],"H"))</f>
        <v>13</v>
      </c>
      <c r="Z43" s="6">
        <f>IF(Gesamtzähler[[#This Row],[Spiele MPH]]="","",SUMIFS(Eingabe[S1],Eingabe[Name],Gesamtzähler[[#This Row],[Name]],Eingabe[Wo],"H"))</f>
        <v>117</v>
      </c>
      <c r="AA43" s="6">
        <f>IF(Gesamtzähler[[#This Row],[Spiele MPH]]="","",SUMIFS(Eingabe[S1P],Eingabe[Name],Gesamtzähler[[#This Row],[Name]],Eingabe[Wo],"H"))</f>
        <v>0</v>
      </c>
      <c r="AB43" s="6">
        <f>IF(Gesamtzähler[[#This Row],[Spiele MPH]]="","",SUMIFS(Eingabe[S2],Eingabe[Name],Gesamtzähler[[#This Row],[Name]],Eingabe[Wo],"H"))</f>
        <v>127</v>
      </c>
      <c r="AC43" s="6">
        <f>IF(Gesamtzähler[[#This Row],[Spiele MPH]]="","",SUMIFS(Eingabe[S2P],Eingabe[Name],Gesamtzähler[[#This Row],[Name]],Eingabe[Wo],"H"))</f>
        <v>1</v>
      </c>
      <c r="AD43" s="6">
        <f>IF(Gesamtzähler[[#This Row],[Spiele MPH]]="","",SUMIFS(Eingabe[S3],Eingabe[Name],Gesamtzähler[[#This Row],[Name]],Eingabe[Wo],"H"))</f>
        <v>115</v>
      </c>
      <c r="AE43" s="6">
        <f>IF(Gesamtzähler[[#This Row],[Spiele MPH]]="","",SUMIFS(Eingabe[S3P],Eingabe[Name],Gesamtzähler[[#This Row],[Name]],Eingabe[Wo],"H"))</f>
        <v>0</v>
      </c>
      <c r="AF43" s="203">
        <f>IF(Gesamtzähler[[#This Row],[Spiele MPH]]="","",SUMIFS(Eingabe[S4],Eingabe[Name],Gesamtzähler[[#This Row],[Name]],Eingabe[Wo],"H"))</f>
        <v>118</v>
      </c>
      <c r="AG43" s="6">
        <f>IF(Gesamtzähler[[#This Row],[Spiele MPH]]="","",SUMIFS(Eingabe[S4P],Eingabe[Name],Gesamtzähler[[#This Row],[Name]],Eingabe[Wo],"H"))</f>
        <v>1</v>
      </c>
      <c r="AH43" s="6">
        <f>IF(Gesamtzähler[[#This Row],[Spiele MPH]]="","",SUMIFS(Eingabe[GEGGES],Eingabe[Name],Gesamtzähler[[#This Row],[Name]],Eingabe[Wo],"H"))</f>
        <v>485</v>
      </c>
      <c r="AI43" s="6">
        <f>IF(Gesamtzähler[[#This Row],[Spiele H]]="","",SUMIFS(Eingabe[GES],Eingabe[Name],Gesamtzähler[[#This Row],[Name]],Eingabe[Wo],"H"))</f>
        <v>477</v>
      </c>
      <c r="AJ43" s="6">
        <f>IF(Gesamtzähler[[#This Row],[Spiele MPH]]="","",SUMIFS(Eingabe[SP],Eingabe[Name],Gesamtzähler[[#This Row],[Name]],Eingabe[Wo],"H"))</f>
        <v>2</v>
      </c>
      <c r="AK43" s="6">
        <f>IF(Gesamtzähler[[#This Row],[Spiele MPH]]="","",SUMIFS(Eingabe[MP],Eingabe[Name],Gesamtzähler[[#This Row],[Name]],Eingabe[Wo],"H"))</f>
        <v>0</v>
      </c>
      <c r="AL43" s="6" t="str">
        <f>IF(COUNTIFS(Eingabe[Name],Gesamtzähler[[#This Row],[Name]],Eingabe[Wo],"A")=0,"",COUNTIFS(Eingabe[Name],Gesamtzähler[[#This Row],[Name]],Eingabe[Wo],"A"))</f>
        <v/>
      </c>
      <c r="AM43" s="6" t="str">
        <f>IF(Gesamtzähler[[#This Row],[Spiele A]]="","",Gesamtzähler[[#This Row],[Spiele A]]-COUNTIFS(Eingabe[Name],Gesamtzähler[[#This Row],[Name]],Eingabe[MP],"",Eingabe[Wo],"A"))</f>
        <v/>
      </c>
      <c r="AN43" s="6" t="str">
        <f>IF(Gesamtzähler[[#This Row],[Spiele A]]="","",SUMIFS(Eingabe[Volle],Eingabe[Name],Gesamtzähler[[#This Row],[Name]],Eingabe[Wo],"A"))</f>
        <v/>
      </c>
      <c r="AO43" s="6" t="str">
        <f>IF(Gesamtzähler[[#This Row],[Spiele A]]="","",SUMIFS(Eingabe[Räumer],Eingabe[Name],Gesamtzähler[[#This Row],[Name]],Eingabe[Wo],"A"))</f>
        <v/>
      </c>
      <c r="AP43" s="6" t="str">
        <f>IF(Gesamtzähler[[#This Row],[Spiele A]]="","",SUMIFS(Eingabe[Fehler],Eingabe[Name],Gesamtzähler[[#This Row],[Name]],Eingabe[Wo],"A"))</f>
        <v/>
      </c>
      <c r="AQ43" s="6" t="str">
        <f>IF(Gesamtzähler[[#This Row],[Spiele MPA]]="","",SUMIFS(Eingabe[S1],Eingabe[Name],Gesamtzähler[[#This Row],[Name]],Eingabe[Wo],"A"))</f>
        <v/>
      </c>
      <c r="AR43" s="6" t="str">
        <f>IF(Gesamtzähler[[#This Row],[Spiele MPA]]="","",SUMIFS(Eingabe[S1P],Eingabe[Name],Gesamtzähler[[#This Row],[Name]],Eingabe[Wo],"A"))</f>
        <v/>
      </c>
      <c r="AS43" s="6" t="str">
        <f>IF(Gesamtzähler[[#This Row],[Spiele MPA]]="","",SUMIFS(Eingabe[S2],Eingabe[Name],Gesamtzähler[[#This Row],[Name]],Eingabe[Wo],"A"))</f>
        <v/>
      </c>
      <c r="AT43" s="6" t="str">
        <f>IF(Gesamtzähler[[#This Row],[Spiele MPA]]="","",SUMIFS(Eingabe[S2P],Eingabe[Name],Gesamtzähler[[#This Row],[Name]],Eingabe[Wo],"A"))</f>
        <v/>
      </c>
      <c r="AU43" s="6" t="str">
        <f>IF(Gesamtzähler[[#This Row],[Spiele MPA]]="","",SUMIFS(Eingabe[S3],Eingabe[Name],Gesamtzähler[[#This Row],[Name]],Eingabe[Wo],"A"))</f>
        <v/>
      </c>
      <c r="AV43" s="6" t="str">
        <f>IF(Gesamtzähler[[#This Row],[Spiele MPA]]="","",SUMIFS(Eingabe[S3P],Eingabe[Name],Gesamtzähler[[#This Row],[Name]],Eingabe[Wo],"A"))</f>
        <v/>
      </c>
      <c r="AW43" s="6" t="str">
        <f>IF(Gesamtzähler[[#This Row],[Spiele MPA]]="","",SUMIFS(Eingabe[S4],Eingabe[Name],Gesamtzähler[[#This Row],[Name]],Eingabe[Wo],"A"))</f>
        <v/>
      </c>
      <c r="AX43" s="6" t="str">
        <f>IF(Gesamtzähler[[#This Row],[Spiele MPA]]="","",SUMIFS(Eingabe[S4P],Eingabe[Name],Gesamtzähler[[#This Row],[Name]],Eingabe[Wo],"A"))</f>
        <v/>
      </c>
      <c r="AY43" s="6" t="str">
        <f>IF(Gesamtzähler[[#This Row],[Spiele MPA]]="","",SUMIFS(Eingabe[GEGGES],Eingabe[Name],Gesamtzähler[[#This Row],[Name]],Eingabe[Wo],"A"))</f>
        <v/>
      </c>
      <c r="AZ43" s="6" t="str">
        <f>IF(Gesamtzähler[[#This Row],[Spiele A]]="","",SUMIFS(Eingabe[GES],Eingabe[Name],Gesamtzähler[[#This Row],[Name]],Eingabe[Wo],"A"))</f>
        <v/>
      </c>
      <c r="BA43" s="6" t="str">
        <f>IF(Gesamtzähler[[#This Row],[Spiele MPA]]="","",SUMIFS(Eingabe[SP],Eingabe[Name],Gesamtzähler[[#This Row],[Name]],Eingabe[Wo],"A"))</f>
        <v/>
      </c>
      <c r="BB43" s="6" t="str">
        <f>IF(Gesamtzähler[[#This Row],[Spiele MPA]]="","",SUMIFS(Eingabe[MP],Eingabe[Name],Gesamtzähler[[#This Row],[Name]],Eingabe[Wo],"A"))</f>
        <v/>
      </c>
      <c r="BC43" s="6"/>
      <c r="BD43" s="6"/>
      <c r="BE43" s="6"/>
      <c r="BF43" s="6"/>
    </row>
    <row r="44" spans="2:58" x14ac:dyDescent="0.3">
      <c r="B44" s="7" t="str">
        <f>VLOOKUP(ROW(Gesamtzähler[[#This Row],[Name]])-3,Teamzuordnung[],2,FALSE)</f>
        <v>Philipp Paulmann</v>
      </c>
      <c r="C44" s="6" t="str">
        <f>IF(Gesamtzähler[[#This Row],[Name]]="","",VLOOKUP(Gesamtzähler[[#This Row],[Name]],Teamzuordnung[[Name]:[Team]],2,TRUE))</f>
        <v>E</v>
      </c>
      <c r="D44" s="21">
        <f>IF(COUNTIFS(Eingabe[Name],Gesamtzähler[[#This Row],[Name]])=0,"",COUNTIFS(Eingabe[Name],Gesamtzähler[[#This Row],[Name]]))</f>
        <v>13</v>
      </c>
      <c r="E44" s="6">
        <f>IF(Gesamtzähler[[#This Row],[Spiele]]="","",IF(Gesamtzähler[[#This Row],[Spiele]]-COUNTIFS(Eingabe[Name],Gesamtzähler[[#This Row],[Name]],Eingabe[MP],"")=0,"",Gesamtzähler[[#This Row],[Spiele]]-COUNTIFS(Eingabe[Name],Gesamtzähler[[#This Row],[Name]],Eingabe[MP],"")))</f>
        <v>13</v>
      </c>
      <c r="F44" s="6">
        <f>IF(Gesamtzähler[[#This Row],[Spiele]]="","",SUMIF(Eingabe[Name],Gesamtzähler[[#This Row],[Name]],Eingabe[Volle]))</f>
        <v>4801</v>
      </c>
      <c r="G44" s="6">
        <f>IF(Gesamtzähler[[#This Row],[Spiele]]="","",SUMIF(Eingabe[Name],Gesamtzähler[[#This Row],[Name]],Eingabe[Räumer]))</f>
        <v>2587</v>
      </c>
      <c r="H44" s="6">
        <f>IF(Gesamtzähler[[#This Row],[Spiele]]="","",SUMIF(Eingabe[Name],Gesamtzähler[[#This Row],[Name]],Eingabe[Fehler]))</f>
        <v>36</v>
      </c>
      <c r="I44" s="6">
        <f>IF(Gesamtzähler[[#This Row],[Spiele]]="","",SUMIF(Eingabe[Name],Gesamtzähler[[#This Row],[Name]],Eingabe[GES]))</f>
        <v>7388</v>
      </c>
      <c r="J44" s="6">
        <f>IF(Gesamtzähler[[#This Row],[Spiele MP]]="","",SUMIF(Eingabe[Name],Gesamtzähler[[#This Row],[Name]],Eingabe[SP]))</f>
        <v>29.5</v>
      </c>
      <c r="K44" s="6">
        <f>IF(Gesamtzähler[[#This Row],[Spiele MP]]="","",SUMIF(Eingabe[Name],Gesamtzähler[[#This Row],[Name]],Eingabe[MP]))</f>
        <v>8</v>
      </c>
      <c r="L44" s="6">
        <f>IF(Gesamtzähler[[#This Row],[Spiele MP]]="","",SUMIF(Eingabe[Name],Gesamtzähler[[#This Row],[Name]],Eingabe[S1]))</f>
        <v>1909</v>
      </c>
      <c r="M44" s="6">
        <f>IF(Gesamtzähler[[#This Row],[Spiele MP]]="","",SUMIF(Eingabe[Name],Gesamtzähler[[#This Row],[Name]],Eingabe[S2]))</f>
        <v>1809</v>
      </c>
      <c r="N44" s="6">
        <f>IF(Gesamtzähler[[#This Row],[Spiele MP]]="","",SUMIF(Eingabe[Name],Gesamtzähler[[#This Row],[Name]],Eingabe[S3]))</f>
        <v>1842</v>
      </c>
      <c r="O44" s="6">
        <f>IF(Gesamtzähler[[#This Row],[Spiele MP]]="","",SUMIF(Eingabe[Name],Gesamtzähler[[#This Row],[Name]],Eingabe[S4]))</f>
        <v>1828</v>
      </c>
      <c r="P44" s="6">
        <f>IF(Gesamtzähler[[#This Row],[Spiele MP]]="","",SUMIF(Eingabe[Name],Gesamtzähler[[#This Row],[Name]],Eingabe[S1P]))</f>
        <v>9.5</v>
      </c>
      <c r="Q44" s="6">
        <f>IF(Gesamtzähler[[#This Row],[Spiele MP]]="","",SUMIF(Eingabe[Name],Gesamtzähler[[#This Row],[Name]],Eingabe[S2P]))</f>
        <v>7.5</v>
      </c>
      <c r="R44" s="6">
        <f>IF(Gesamtzähler[[#This Row],[Spiele MP]]="","",SUMIF(Eingabe[Name],Gesamtzähler[[#This Row],[Name]],Eingabe[S3P]))</f>
        <v>6</v>
      </c>
      <c r="S44" s="6">
        <f>IF(Gesamtzähler[[#This Row],[Spiele MP]]="","",SUMIF(Eingabe[Name],Gesamtzähler[[#This Row],[Name]],Eingabe[S4P]))</f>
        <v>6.5</v>
      </c>
      <c r="T44" s="6">
        <f>IF(Gesamtzähler[[#This Row],[Spiele MP]]="","",SUMIF(Eingabe[Name],Gesamtzähler[[#This Row],[Name]],Eingabe[GEGGES]))</f>
        <v>7101</v>
      </c>
      <c r="U44" s="21">
        <f>IF(COUNTIFS(Eingabe[Name],Gesamtzähler[[#This Row],[Name]],Eingabe[Wo],"H")=0,"",COUNTIFS(Eingabe[Name],Gesamtzähler[[#This Row],[Name]],Eingabe[Wo],"H"))</f>
        <v>8</v>
      </c>
      <c r="V44" s="6">
        <f>IF(Gesamtzähler[[#This Row],[Spiele H]]="","",Gesamtzähler[[#This Row],[Spiele H]]-COUNTIFS(Eingabe[Name],Gesamtzähler[[#This Row],[Name]],Eingabe[MP],"",Eingabe[Wo],"H"))</f>
        <v>8</v>
      </c>
      <c r="W44" s="6">
        <f>IF(Gesamtzähler[[#This Row],[Spiele H]]="","",SUMIFS(Eingabe[Volle],Eingabe[Name],Gesamtzähler[[#This Row],[Name]],Eingabe[Wo],"H"))</f>
        <v>2963</v>
      </c>
      <c r="X44" s="6">
        <f>IF(Gesamtzähler[[#This Row],[Spiele H]]="","",SUMIFS(Eingabe[Räumer],Eingabe[Name],Gesamtzähler[[#This Row],[Name]],Eingabe[Wo],"H"))</f>
        <v>1597</v>
      </c>
      <c r="Y44" s="6">
        <f>IF(Gesamtzähler[[#This Row],[Spiele H]]="","",SUMIFS(Eingabe[Fehler],Eingabe[Name],Gesamtzähler[[#This Row],[Name]],Eingabe[Wo],"H"))</f>
        <v>13</v>
      </c>
      <c r="Z44" s="6">
        <f>IF(Gesamtzähler[[#This Row],[Spiele MPH]]="","",SUMIFS(Eingabe[S1],Eingabe[Name],Gesamtzähler[[#This Row],[Name]],Eingabe[Wo],"H"))</f>
        <v>1152</v>
      </c>
      <c r="AA44" s="6">
        <f>IF(Gesamtzähler[[#This Row],[Spiele MPH]]="","",SUMIFS(Eingabe[S1P],Eingabe[Name],Gesamtzähler[[#This Row],[Name]],Eingabe[Wo],"H"))</f>
        <v>6</v>
      </c>
      <c r="AB44" s="6">
        <f>IF(Gesamtzähler[[#This Row],[Spiele MPH]]="","",SUMIFS(Eingabe[S2],Eingabe[Name],Gesamtzähler[[#This Row],[Name]],Eingabe[Wo],"H"))</f>
        <v>1097</v>
      </c>
      <c r="AC44" s="6">
        <f>IF(Gesamtzähler[[#This Row],[Spiele MPH]]="","",SUMIFS(Eingabe[S2P],Eingabe[Name],Gesamtzähler[[#This Row],[Name]],Eingabe[Wo],"H"))</f>
        <v>4.5</v>
      </c>
      <c r="AD44" s="6">
        <f>IF(Gesamtzähler[[#This Row],[Spiele MPH]]="","",SUMIFS(Eingabe[S3],Eingabe[Name],Gesamtzähler[[#This Row],[Name]],Eingabe[Wo],"H"))</f>
        <v>1155</v>
      </c>
      <c r="AE44" s="6">
        <f>IF(Gesamtzähler[[#This Row],[Spiele MPH]]="","",SUMIFS(Eingabe[S3P],Eingabe[Name],Gesamtzähler[[#This Row],[Name]],Eingabe[Wo],"H"))</f>
        <v>5</v>
      </c>
      <c r="AF44" s="203">
        <f>IF(Gesamtzähler[[#This Row],[Spiele MPH]]="","",SUMIFS(Eingabe[S4],Eingabe[Name],Gesamtzähler[[#This Row],[Name]],Eingabe[Wo],"H"))</f>
        <v>1156</v>
      </c>
      <c r="AG44" s="6">
        <f>IF(Gesamtzähler[[#This Row],[Spiele MPH]]="","",SUMIFS(Eingabe[S4P],Eingabe[Name],Gesamtzähler[[#This Row],[Name]],Eingabe[Wo],"H"))</f>
        <v>5.5</v>
      </c>
      <c r="AH44" s="6">
        <f>IF(Gesamtzähler[[#This Row],[Spiele MPH]]="","",SUMIFS(Eingabe[GEGGES],Eingabe[Name],Gesamtzähler[[#This Row],[Name]],Eingabe[Wo],"H"))</f>
        <v>4232</v>
      </c>
      <c r="AI44" s="6">
        <f>IF(Gesamtzähler[[#This Row],[Spiele H]]="","",SUMIFS(Eingabe[GES],Eingabe[Name],Gesamtzähler[[#This Row],[Name]],Eingabe[Wo],"H"))</f>
        <v>4560</v>
      </c>
      <c r="AJ44" s="6">
        <f>IF(Gesamtzähler[[#This Row],[Spiele MPH]]="","",SUMIFS(Eingabe[SP],Eingabe[Name],Gesamtzähler[[#This Row],[Name]],Eingabe[Wo],"H"))</f>
        <v>21</v>
      </c>
      <c r="AK44" s="6">
        <f>IF(Gesamtzähler[[#This Row],[Spiele MPH]]="","",SUMIFS(Eingabe[MP],Eingabe[Name],Gesamtzähler[[#This Row],[Name]],Eingabe[Wo],"H"))</f>
        <v>6</v>
      </c>
      <c r="AL44" s="6">
        <f>IF(COUNTIFS(Eingabe[Name],Gesamtzähler[[#This Row],[Name]],Eingabe[Wo],"A")=0,"",COUNTIFS(Eingabe[Name],Gesamtzähler[[#This Row],[Name]],Eingabe[Wo],"A"))</f>
        <v>5</v>
      </c>
      <c r="AM44" s="6">
        <f>IF(Gesamtzähler[[#This Row],[Spiele A]]="","",Gesamtzähler[[#This Row],[Spiele A]]-COUNTIFS(Eingabe[Name],Gesamtzähler[[#This Row],[Name]],Eingabe[MP],"",Eingabe[Wo],"A"))</f>
        <v>5</v>
      </c>
      <c r="AN44" s="6">
        <f>IF(Gesamtzähler[[#This Row],[Spiele A]]="","",SUMIFS(Eingabe[Volle],Eingabe[Name],Gesamtzähler[[#This Row],[Name]],Eingabe[Wo],"A"))</f>
        <v>1838</v>
      </c>
      <c r="AO44" s="6">
        <f>IF(Gesamtzähler[[#This Row],[Spiele A]]="","",SUMIFS(Eingabe[Räumer],Eingabe[Name],Gesamtzähler[[#This Row],[Name]],Eingabe[Wo],"A"))</f>
        <v>990</v>
      </c>
      <c r="AP44" s="6">
        <f>IF(Gesamtzähler[[#This Row],[Spiele A]]="","",SUMIFS(Eingabe[Fehler],Eingabe[Name],Gesamtzähler[[#This Row],[Name]],Eingabe[Wo],"A"))</f>
        <v>23</v>
      </c>
      <c r="AQ44" s="6">
        <f>IF(Gesamtzähler[[#This Row],[Spiele MPA]]="","",SUMIFS(Eingabe[S1],Eingabe[Name],Gesamtzähler[[#This Row],[Name]],Eingabe[Wo],"A"))</f>
        <v>757</v>
      </c>
      <c r="AR44" s="6">
        <f>IF(Gesamtzähler[[#This Row],[Spiele MPA]]="","",SUMIFS(Eingabe[S1P],Eingabe[Name],Gesamtzähler[[#This Row],[Name]],Eingabe[Wo],"A"))</f>
        <v>3.5</v>
      </c>
      <c r="AS44" s="6">
        <f>IF(Gesamtzähler[[#This Row],[Spiele MPA]]="","",SUMIFS(Eingabe[S2],Eingabe[Name],Gesamtzähler[[#This Row],[Name]],Eingabe[Wo],"A"))</f>
        <v>712</v>
      </c>
      <c r="AT44" s="6">
        <f>IF(Gesamtzähler[[#This Row],[Spiele MPA]]="","",SUMIFS(Eingabe[S2P],Eingabe[Name],Gesamtzähler[[#This Row],[Name]],Eingabe[Wo],"A"))</f>
        <v>3</v>
      </c>
      <c r="AU44" s="6">
        <f>IF(Gesamtzähler[[#This Row],[Spiele MPA]]="","",SUMIFS(Eingabe[S3],Eingabe[Name],Gesamtzähler[[#This Row],[Name]],Eingabe[Wo],"A"))</f>
        <v>687</v>
      </c>
      <c r="AV44" s="6">
        <f>IF(Gesamtzähler[[#This Row],[Spiele MPA]]="","",SUMIFS(Eingabe[S3P],Eingabe[Name],Gesamtzähler[[#This Row],[Name]],Eingabe[Wo],"A"))</f>
        <v>1</v>
      </c>
      <c r="AW44" s="6">
        <f>IF(Gesamtzähler[[#This Row],[Spiele MPA]]="","",SUMIFS(Eingabe[S4],Eingabe[Name],Gesamtzähler[[#This Row],[Name]],Eingabe[Wo],"A"))</f>
        <v>672</v>
      </c>
      <c r="AX44" s="6">
        <f>IF(Gesamtzähler[[#This Row],[Spiele MPA]]="","",SUMIFS(Eingabe[S4P],Eingabe[Name],Gesamtzähler[[#This Row],[Name]],Eingabe[Wo],"A"))</f>
        <v>1</v>
      </c>
      <c r="AY44" s="6">
        <f>IF(Gesamtzähler[[#This Row],[Spiele MPA]]="","",SUMIFS(Eingabe[GEGGES],Eingabe[Name],Gesamtzähler[[#This Row],[Name]],Eingabe[Wo],"A"))</f>
        <v>2869</v>
      </c>
      <c r="AZ44" s="6">
        <f>IF(Gesamtzähler[[#This Row],[Spiele A]]="","",SUMIFS(Eingabe[GES],Eingabe[Name],Gesamtzähler[[#This Row],[Name]],Eingabe[Wo],"A"))</f>
        <v>2828</v>
      </c>
      <c r="BA44" s="6">
        <f>IF(Gesamtzähler[[#This Row],[Spiele MPA]]="","",SUMIFS(Eingabe[SP],Eingabe[Name],Gesamtzähler[[#This Row],[Name]],Eingabe[Wo],"A"))</f>
        <v>8.5</v>
      </c>
      <c r="BB44" s="6">
        <f>IF(Gesamtzähler[[#This Row],[Spiele MPA]]="","",SUMIFS(Eingabe[MP],Eingabe[Name],Gesamtzähler[[#This Row],[Name]],Eingabe[Wo],"A"))</f>
        <v>2</v>
      </c>
      <c r="BC44" s="6"/>
      <c r="BD44" s="6"/>
      <c r="BE44" s="6"/>
      <c r="BF44" s="6"/>
    </row>
    <row r="45" spans="2:58" x14ac:dyDescent="0.3">
      <c r="B45" s="7" t="str">
        <f>VLOOKUP(ROW(Gesamtzähler[[#This Row],[Name]])-3,Teamzuordnung[],2,FALSE)</f>
        <v>Pia Wätzig</v>
      </c>
      <c r="C45" s="6" t="str">
        <f>IF(Gesamtzähler[[#This Row],[Name]]="","",VLOOKUP(Gesamtzähler[[#This Row],[Name]],Teamzuordnung[[Name]:[Team]],2,TRUE))</f>
        <v>U19</v>
      </c>
      <c r="D45" s="21">
        <f>IF(COUNTIFS(Eingabe[Name],Gesamtzähler[[#This Row],[Name]])=0,"",COUNTIFS(Eingabe[Name],Gesamtzähler[[#This Row],[Name]]))</f>
        <v>12</v>
      </c>
      <c r="E45" s="6">
        <f>IF(Gesamtzähler[[#This Row],[Spiele]]="","",IF(Gesamtzähler[[#This Row],[Spiele]]-COUNTIFS(Eingabe[Name],Gesamtzähler[[#This Row],[Name]],Eingabe[MP],"")=0,"",Gesamtzähler[[#This Row],[Spiele]]-COUNTIFS(Eingabe[Name],Gesamtzähler[[#This Row],[Name]],Eingabe[MP],"")))</f>
        <v>2</v>
      </c>
      <c r="F45" s="6">
        <f>IF(Gesamtzähler[[#This Row],[Spiele]]="","",SUMIF(Eingabe[Name],Gesamtzähler[[#This Row],[Name]],Eingabe[Volle]))</f>
        <v>3923</v>
      </c>
      <c r="G45" s="6">
        <f>IF(Gesamtzähler[[#This Row],[Spiele]]="","",SUMIF(Eingabe[Name],Gesamtzähler[[#This Row],[Name]],Eingabe[Räumer]))</f>
        <v>1606</v>
      </c>
      <c r="H45" s="6">
        <f>IF(Gesamtzähler[[#This Row],[Spiele]]="","",SUMIF(Eingabe[Name],Gesamtzähler[[#This Row],[Name]],Eingabe[Fehler]))</f>
        <v>181</v>
      </c>
      <c r="I45" s="6">
        <f>IF(Gesamtzähler[[#This Row],[Spiele]]="","",SUMIF(Eingabe[Name],Gesamtzähler[[#This Row],[Name]],Eingabe[GES]))</f>
        <v>5529</v>
      </c>
      <c r="J45" s="6">
        <f>IF(Gesamtzähler[[#This Row],[Spiele MP]]="","",SUMIF(Eingabe[Name],Gesamtzähler[[#This Row],[Name]],Eingabe[SP]))</f>
        <v>1</v>
      </c>
      <c r="K45" s="6">
        <f>IF(Gesamtzähler[[#This Row],[Spiele MP]]="","",SUMIF(Eingabe[Name],Gesamtzähler[[#This Row],[Name]],Eingabe[MP]))</f>
        <v>0</v>
      </c>
      <c r="L45" s="6">
        <f>IF(Gesamtzähler[[#This Row],[Spiele MP]]="","",SUMIF(Eingabe[Name],Gesamtzähler[[#This Row],[Name]],Eingabe[S1]))</f>
        <v>1382</v>
      </c>
      <c r="M45" s="6">
        <f>IF(Gesamtzähler[[#This Row],[Spiele MP]]="","",SUMIF(Eingabe[Name],Gesamtzähler[[#This Row],[Name]],Eingabe[S2]))</f>
        <v>1408</v>
      </c>
      <c r="N45" s="6">
        <f>IF(Gesamtzähler[[#This Row],[Spiele MP]]="","",SUMIF(Eingabe[Name],Gesamtzähler[[#This Row],[Name]],Eingabe[S3]))</f>
        <v>1362</v>
      </c>
      <c r="O45" s="6">
        <f>IF(Gesamtzähler[[#This Row],[Spiele MP]]="","",SUMIF(Eingabe[Name],Gesamtzähler[[#This Row],[Name]],Eingabe[S4]))</f>
        <v>1377</v>
      </c>
      <c r="P45" s="6">
        <f>IF(Gesamtzähler[[#This Row],[Spiele MP]]="","",SUMIF(Eingabe[Name],Gesamtzähler[[#This Row],[Name]],Eingabe[S1P]))</f>
        <v>0</v>
      </c>
      <c r="Q45" s="6">
        <f>IF(Gesamtzähler[[#This Row],[Spiele MP]]="","",SUMIF(Eingabe[Name],Gesamtzähler[[#This Row],[Name]],Eingabe[S2P]))</f>
        <v>0</v>
      </c>
      <c r="R45" s="6">
        <f>IF(Gesamtzähler[[#This Row],[Spiele MP]]="","",SUMIF(Eingabe[Name],Gesamtzähler[[#This Row],[Name]],Eingabe[S3P]))</f>
        <v>0</v>
      </c>
      <c r="S45" s="6">
        <f>IF(Gesamtzähler[[#This Row],[Spiele MP]]="","",SUMIF(Eingabe[Name],Gesamtzähler[[#This Row],[Name]],Eingabe[S4P]))</f>
        <v>1</v>
      </c>
      <c r="T45" s="6">
        <f>IF(Gesamtzähler[[#This Row],[Spiele MP]]="","",SUMIF(Eingabe[Name],Gesamtzähler[[#This Row],[Name]],Eingabe[GEGGES]))</f>
        <v>1078</v>
      </c>
      <c r="U45" s="21">
        <f>IF(COUNTIFS(Eingabe[Name],Gesamtzähler[[#This Row],[Name]],Eingabe[Wo],"H")=0,"",COUNTIFS(Eingabe[Name],Gesamtzähler[[#This Row],[Name]],Eingabe[Wo],"H"))</f>
        <v>3</v>
      </c>
      <c r="V45" s="6">
        <f>IF(Gesamtzähler[[#This Row],[Spiele H]]="","",Gesamtzähler[[#This Row],[Spiele H]]-COUNTIFS(Eingabe[Name],Gesamtzähler[[#This Row],[Name]],Eingabe[MP],"",Eingabe[Wo],"H"))</f>
        <v>0</v>
      </c>
      <c r="W45" s="6">
        <f>IF(Gesamtzähler[[#This Row],[Spiele H]]="","",SUMIFS(Eingabe[Volle],Eingabe[Name],Gesamtzähler[[#This Row],[Name]],Eingabe[Wo],"H"))</f>
        <v>945</v>
      </c>
      <c r="X45" s="6">
        <f>IF(Gesamtzähler[[#This Row],[Spiele H]]="","",SUMIFS(Eingabe[Räumer],Eingabe[Name],Gesamtzähler[[#This Row],[Name]],Eingabe[Wo],"H"))</f>
        <v>384</v>
      </c>
      <c r="Y45" s="6">
        <f>IF(Gesamtzähler[[#This Row],[Spiele H]]="","",SUMIFS(Eingabe[Fehler],Eingabe[Name],Gesamtzähler[[#This Row],[Name]],Eingabe[Wo],"H"))</f>
        <v>44</v>
      </c>
      <c r="Z45" s="6">
        <f>IF(Gesamtzähler[[#This Row],[Spiele MPH]]="","",SUMIFS(Eingabe[S1],Eingabe[Name],Gesamtzähler[[#This Row],[Name]],Eingabe[Wo],"H"))</f>
        <v>315</v>
      </c>
      <c r="AA45" s="6">
        <f>IF(Gesamtzähler[[#This Row],[Spiele MPH]]="","",SUMIFS(Eingabe[S1P],Eingabe[Name],Gesamtzähler[[#This Row],[Name]],Eingabe[Wo],"H"))</f>
        <v>0</v>
      </c>
      <c r="AB45" s="6">
        <f>IF(Gesamtzähler[[#This Row],[Spiele MPH]]="","",SUMIFS(Eingabe[S2],Eingabe[Name],Gesamtzähler[[#This Row],[Name]],Eingabe[Wo],"H"))</f>
        <v>333</v>
      </c>
      <c r="AC45" s="6">
        <f>IF(Gesamtzähler[[#This Row],[Spiele MPH]]="","",SUMIFS(Eingabe[S2P],Eingabe[Name],Gesamtzähler[[#This Row],[Name]],Eingabe[Wo],"H"))</f>
        <v>0</v>
      </c>
      <c r="AD45" s="6">
        <f>IF(Gesamtzähler[[#This Row],[Spiele MPH]]="","",SUMIFS(Eingabe[S3],Eingabe[Name],Gesamtzähler[[#This Row],[Name]],Eingabe[Wo],"H"))</f>
        <v>355</v>
      </c>
      <c r="AE45" s="6">
        <f>IF(Gesamtzähler[[#This Row],[Spiele MPH]]="","",SUMIFS(Eingabe[S3P],Eingabe[Name],Gesamtzähler[[#This Row],[Name]],Eingabe[Wo],"H"))</f>
        <v>0</v>
      </c>
      <c r="AF45" s="203">
        <f>IF(Gesamtzähler[[#This Row],[Spiele MPH]]="","",SUMIFS(Eingabe[S4],Eingabe[Name],Gesamtzähler[[#This Row],[Name]],Eingabe[Wo],"H"))</f>
        <v>326</v>
      </c>
      <c r="AG45" s="6">
        <f>IF(Gesamtzähler[[#This Row],[Spiele MPH]]="","",SUMIFS(Eingabe[S4P],Eingabe[Name],Gesamtzähler[[#This Row],[Name]],Eingabe[Wo],"H"))</f>
        <v>0</v>
      </c>
      <c r="AH45" s="6">
        <f>IF(Gesamtzähler[[#This Row],[Spiele MPH]]="","",SUMIFS(Eingabe[GEGGES],Eingabe[Name],Gesamtzähler[[#This Row],[Name]],Eingabe[Wo],"H"))</f>
        <v>0</v>
      </c>
      <c r="AI45" s="6">
        <f>IF(Gesamtzähler[[#This Row],[Spiele H]]="","",SUMIFS(Eingabe[GES],Eingabe[Name],Gesamtzähler[[#This Row],[Name]],Eingabe[Wo],"H"))</f>
        <v>1329</v>
      </c>
      <c r="AJ45" s="6">
        <f>IF(Gesamtzähler[[#This Row],[Spiele MPH]]="","",SUMIFS(Eingabe[SP],Eingabe[Name],Gesamtzähler[[#This Row],[Name]],Eingabe[Wo],"H"))</f>
        <v>0</v>
      </c>
      <c r="AK45" s="6">
        <f>IF(Gesamtzähler[[#This Row],[Spiele MPH]]="","",SUMIFS(Eingabe[MP],Eingabe[Name],Gesamtzähler[[#This Row],[Name]],Eingabe[Wo],"H"))</f>
        <v>0</v>
      </c>
      <c r="AL45" s="6">
        <f>IF(COUNTIFS(Eingabe[Name],Gesamtzähler[[#This Row],[Name]],Eingabe[Wo],"A")=0,"",COUNTIFS(Eingabe[Name],Gesamtzähler[[#This Row],[Name]],Eingabe[Wo],"A"))</f>
        <v>9</v>
      </c>
      <c r="AM45" s="6">
        <f>IF(Gesamtzähler[[#This Row],[Spiele A]]="","",Gesamtzähler[[#This Row],[Spiele A]]-COUNTIFS(Eingabe[Name],Gesamtzähler[[#This Row],[Name]],Eingabe[MP],"",Eingabe[Wo],"A"))</f>
        <v>2</v>
      </c>
      <c r="AN45" s="6">
        <f>IF(Gesamtzähler[[#This Row],[Spiele A]]="","",SUMIFS(Eingabe[Volle],Eingabe[Name],Gesamtzähler[[#This Row],[Name]],Eingabe[Wo],"A"))</f>
        <v>2978</v>
      </c>
      <c r="AO45" s="6">
        <f>IF(Gesamtzähler[[#This Row],[Spiele A]]="","",SUMIFS(Eingabe[Räumer],Eingabe[Name],Gesamtzähler[[#This Row],[Name]],Eingabe[Wo],"A"))</f>
        <v>1222</v>
      </c>
      <c r="AP45" s="6">
        <f>IF(Gesamtzähler[[#This Row],[Spiele A]]="","",SUMIFS(Eingabe[Fehler],Eingabe[Name],Gesamtzähler[[#This Row],[Name]],Eingabe[Wo],"A"))</f>
        <v>137</v>
      </c>
      <c r="AQ45" s="6">
        <f>IF(Gesamtzähler[[#This Row],[Spiele MPA]]="","",SUMIFS(Eingabe[S1],Eingabe[Name],Gesamtzähler[[#This Row],[Name]],Eingabe[Wo],"A"))</f>
        <v>1067</v>
      </c>
      <c r="AR45" s="6">
        <f>IF(Gesamtzähler[[#This Row],[Spiele MPA]]="","",SUMIFS(Eingabe[S1P],Eingabe[Name],Gesamtzähler[[#This Row],[Name]],Eingabe[Wo],"A"))</f>
        <v>0</v>
      </c>
      <c r="AS45" s="6">
        <f>IF(Gesamtzähler[[#This Row],[Spiele MPA]]="","",SUMIFS(Eingabe[S2],Eingabe[Name],Gesamtzähler[[#This Row],[Name]],Eingabe[Wo],"A"))</f>
        <v>1075</v>
      </c>
      <c r="AT45" s="6">
        <f>IF(Gesamtzähler[[#This Row],[Spiele MPA]]="","",SUMIFS(Eingabe[S2P],Eingabe[Name],Gesamtzähler[[#This Row],[Name]],Eingabe[Wo],"A"))</f>
        <v>0</v>
      </c>
      <c r="AU45" s="6">
        <f>IF(Gesamtzähler[[#This Row],[Spiele MPA]]="","",SUMIFS(Eingabe[S3],Eingabe[Name],Gesamtzähler[[#This Row],[Name]],Eingabe[Wo],"A"))</f>
        <v>1007</v>
      </c>
      <c r="AV45" s="6">
        <f>IF(Gesamtzähler[[#This Row],[Spiele MPA]]="","",SUMIFS(Eingabe[S3P],Eingabe[Name],Gesamtzähler[[#This Row],[Name]],Eingabe[Wo],"A"))</f>
        <v>0</v>
      </c>
      <c r="AW45" s="6">
        <f>IF(Gesamtzähler[[#This Row],[Spiele MPA]]="","",SUMIFS(Eingabe[S4],Eingabe[Name],Gesamtzähler[[#This Row],[Name]],Eingabe[Wo],"A"))</f>
        <v>1051</v>
      </c>
      <c r="AX45" s="6">
        <f>IF(Gesamtzähler[[#This Row],[Spiele MPA]]="","",SUMIFS(Eingabe[S4P],Eingabe[Name],Gesamtzähler[[#This Row],[Name]],Eingabe[Wo],"A"))</f>
        <v>1</v>
      </c>
      <c r="AY45" s="6">
        <f>IF(Gesamtzähler[[#This Row],[Spiele MPA]]="","",SUMIFS(Eingabe[GEGGES],Eingabe[Name],Gesamtzähler[[#This Row],[Name]],Eingabe[Wo],"A"))</f>
        <v>1078</v>
      </c>
      <c r="AZ45" s="6">
        <f>IF(Gesamtzähler[[#This Row],[Spiele A]]="","",SUMIFS(Eingabe[GES],Eingabe[Name],Gesamtzähler[[#This Row],[Name]],Eingabe[Wo],"A"))</f>
        <v>4200</v>
      </c>
      <c r="BA45" s="6">
        <f>IF(Gesamtzähler[[#This Row],[Spiele MPA]]="","",SUMIFS(Eingabe[SP],Eingabe[Name],Gesamtzähler[[#This Row],[Name]],Eingabe[Wo],"A"))</f>
        <v>1</v>
      </c>
      <c r="BB45" s="6">
        <f>IF(Gesamtzähler[[#This Row],[Spiele MPA]]="","",SUMIFS(Eingabe[MP],Eingabe[Name],Gesamtzähler[[#This Row],[Name]],Eingabe[Wo],"A"))</f>
        <v>0</v>
      </c>
      <c r="BC45" s="6"/>
      <c r="BD45" s="6"/>
      <c r="BE45" s="6"/>
      <c r="BF45" s="6"/>
    </row>
    <row r="46" spans="2:58" x14ac:dyDescent="0.3">
      <c r="B46" s="7" t="str">
        <f>VLOOKUP(ROW(Gesamtzähler[[#This Row],[Name]])-3,Teamzuordnung[],2,FALSE)</f>
        <v>Sophia Stirl</v>
      </c>
      <c r="C46" s="6" t="str">
        <f>IF(Gesamtzähler[[#This Row],[Name]]="","",VLOOKUP(Gesamtzähler[[#This Row],[Name]],Teamzuordnung[[Name]:[Team]],2,TRUE))</f>
        <v>U14</v>
      </c>
      <c r="D46" s="21">
        <f>IF(COUNTIFS(Eingabe[Name],Gesamtzähler[[#This Row],[Name]])=0,"",COUNTIFS(Eingabe[Name],Gesamtzähler[[#This Row],[Name]]))</f>
        <v>9</v>
      </c>
      <c r="E46" s="6" t="str">
        <f>IF(Gesamtzähler[[#This Row],[Spiele]]="","",IF(Gesamtzähler[[#This Row],[Spiele]]-COUNTIFS(Eingabe[Name],Gesamtzähler[[#This Row],[Name]],Eingabe[MP],"")=0,"",Gesamtzähler[[#This Row],[Spiele]]-COUNTIFS(Eingabe[Name],Gesamtzähler[[#This Row],[Name]],Eingabe[MP],"")))</f>
        <v/>
      </c>
      <c r="F46" s="6">
        <f>IF(Gesamtzähler[[#This Row],[Spiele]]="","",SUMIF(Eingabe[Name],Gesamtzähler[[#This Row],[Name]],Eingabe[Volle]))</f>
        <v>2602</v>
      </c>
      <c r="G46" s="6">
        <f>IF(Gesamtzähler[[#This Row],[Spiele]]="","",SUMIF(Eingabe[Name],Gesamtzähler[[#This Row],[Name]],Eingabe[Räumer]))</f>
        <v>871</v>
      </c>
      <c r="H46" s="6">
        <f>IF(Gesamtzähler[[#This Row],[Spiele]]="","",SUMIF(Eingabe[Name],Gesamtzähler[[#This Row],[Name]],Eingabe[Fehler]))</f>
        <v>218</v>
      </c>
      <c r="I46" s="6">
        <f>IF(Gesamtzähler[[#This Row],[Spiele]]="","",SUMIF(Eingabe[Name],Gesamtzähler[[#This Row],[Name]],Eingabe[GES]))</f>
        <v>3473</v>
      </c>
      <c r="J46" s="6" t="str">
        <f>IF(Gesamtzähler[[#This Row],[Spiele MP]]="","",SUMIF(Eingabe[Name],Gesamtzähler[[#This Row],[Name]],Eingabe[SP]))</f>
        <v/>
      </c>
      <c r="K46" s="6" t="str">
        <f>IF(Gesamtzähler[[#This Row],[Spiele MP]]="","",SUMIF(Eingabe[Name],Gesamtzähler[[#This Row],[Name]],Eingabe[MP]))</f>
        <v/>
      </c>
      <c r="L46" s="6" t="str">
        <f>IF(Gesamtzähler[[#This Row],[Spiele MP]]="","",SUMIF(Eingabe[Name],Gesamtzähler[[#This Row],[Name]],Eingabe[S1]))</f>
        <v/>
      </c>
      <c r="M46" s="6" t="str">
        <f>IF(Gesamtzähler[[#This Row],[Spiele MP]]="","",SUMIF(Eingabe[Name],Gesamtzähler[[#This Row],[Name]],Eingabe[S2]))</f>
        <v/>
      </c>
      <c r="N46" s="6" t="str">
        <f>IF(Gesamtzähler[[#This Row],[Spiele MP]]="","",SUMIF(Eingabe[Name],Gesamtzähler[[#This Row],[Name]],Eingabe[S3]))</f>
        <v/>
      </c>
      <c r="O46" s="6" t="str">
        <f>IF(Gesamtzähler[[#This Row],[Spiele MP]]="","",SUMIF(Eingabe[Name],Gesamtzähler[[#This Row],[Name]],Eingabe[S4]))</f>
        <v/>
      </c>
      <c r="P46" s="6" t="str">
        <f>IF(Gesamtzähler[[#This Row],[Spiele MP]]="","",SUMIF(Eingabe[Name],Gesamtzähler[[#This Row],[Name]],Eingabe[S1P]))</f>
        <v/>
      </c>
      <c r="Q46" s="6" t="str">
        <f>IF(Gesamtzähler[[#This Row],[Spiele MP]]="","",SUMIF(Eingabe[Name],Gesamtzähler[[#This Row],[Name]],Eingabe[S2P]))</f>
        <v/>
      </c>
      <c r="R46" s="6" t="str">
        <f>IF(Gesamtzähler[[#This Row],[Spiele MP]]="","",SUMIF(Eingabe[Name],Gesamtzähler[[#This Row],[Name]],Eingabe[S3P]))</f>
        <v/>
      </c>
      <c r="S46" s="6" t="str">
        <f>IF(Gesamtzähler[[#This Row],[Spiele MP]]="","",SUMIF(Eingabe[Name],Gesamtzähler[[#This Row],[Name]],Eingabe[S4P]))</f>
        <v/>
      </c>
      <c r="T46" s="6" t="str">
        <f>IF(Gesamtzähler[[#This Row],[Spiele MP]]="","",SUMIF(Eingabe[Name],Gesamtzähler[[#This Row],[Name]],Eingabe[GEGGES]))</f>
        <v/>
      </c>
      <c r="U46" s="21">
        <f>IF(COUNTIFS(Eingabe[Name],Gesamtzähler[[#This Row],[Name]],Eingabe[Wo],"H")=0,"",COUNTIFS(Eingabe[Name],Gesamtzähler[[#This Row],[Name]],Eingabe[Wo],"H"))</f>
        <v>3</v>
      </c>
      <c r="V46" s="6">
        <f>IF(Gesamtzähler[[#This Row],[Spiele H]]="","",Gesamtzähler[[#This Row],[Spiele H]]-COUNTIFS(Eingabe[Name],Gesamtzähler[[#This Row],[Name]],Eingabe[MP],"",Eingabe[Wo],"H"))</f>
        <v>0</v>
      </c>
      <c r="W46" s="6">
        <f>IF(Gesamtzähler[[#This Row],[Spiele H]]="","",SUMIFS(Eingabe[Volle],Eingabe[Name],Gesamtzähler[[#This Row],[Name]],Eingabe[Wo],"H"))</f>
        <v>825</v>
      </c>
      <c r="X46" s="6">
        <f>IF(Gesamtzähler[[#This Row],[Spiele H]]="","",SUMIFS(Eingabe[Räumer],Eingabe[Name],Gesamtzähler[[#This Row],[Name]],Eingabe[Wo],"H"))</f>
        <v>302</v>
      </c>
      <c r="Y46" s="6">
        <f>IF(Gesamtzähler[[#This Row],[Spiele H]]="","",SUMIFS(Eingabe[Fehler],Eingabe[Name],Gesamtzähler[[#This Row],[Name]],Eingabe[Wo],"H"))</f>
        <v>69</v>
      </c>
      <c r="Z46" s="6">
        <f>IF(Gesamtzähler[[#This Row],[Spiele MPH]]="","",SUMIFS(Eingabe[S1],Eingabe[Name],Gesamtzähler[[#This Row],[Name]],Eingabe[Wo],"H"))</f>
        <v>265</v>
      </c>
      <c r="AA46" s="6">
        <f>IF(Gesamtzähler[[#This Row],[Spiele MPH]]="","",SUMIFS(Eingabe[S1P],Eingabe[Name],Gesamtzähler[[#This Row],[Name]],Eingabe[Wo],"H"))</f>
        <v>0</v>
      </c>
      <c r="AB46" s="6">
        <f>IF(Gesamtzähler[[#This Row],[Spiele MPH]]="","",SUMIFS(Eingabe[S2],Eingabe[Name],Gesamtzähler[[#This Row],[Name]],Eingabe[Wo],"H"))</f>
        <v>290</v>
      </c>
      <c r="AC46" s="6">
        <f>IF(Gesamtzähler[[#This Row],[Spiele MPH]]="","",SUMIFS(Eingabe[S2P],Eingabe[Name],Gesamtzähler[[#This Row],[Name]],Eingabe[Wo],"H"))</f>
        <v>0</v>
      </c>
      <c r="AD46" s="6">
        <f>IF(Gesamtzähler[[#This Row],[Spiele MPH]]="","",SUMIFS(Eingabe[S3],Eingabe[Name],Gesamtzähler[[#This Row],[Name]],Eingabe[Wo],"H"))</f>
        <v>281</v>
      </c>
      <c r="AE46" s="6">
        <f>IF(Gesamtzähler[[#This Row],[Spiele MPH]]="","",SUMIFS(Eingabe[S3P],Eingabe[Name],Gesamtzähler[[#This Row],[Name]],Eingabe[Wo],"H"))</f>
        <v>0</v>
      </c>
      <c r="AF46" s="203">
        <f>IF(Gesamtzähler[[#This Row],[Spiele MPH]]="","",SUMIFS(Eingabe[S4],Eingabe[Name],Gesamtzähler[[#This Row],[Name]],Eingabe[Wo],"H"))</f>
        <v>291</v>
      </c>
      <c r="AG46" s="6">
        <f>IF(Gesamtzähler[[#This Row],[Spiele MPH]]="","",SUMIFS(Eingabe[S4P],Eingabe[Name],Gesamtzähler[[#This Row],[Name]],Eingabe[Wo],"H"))</f>
        <v>0</v>
      </c>
      <c r="AH46" s="6">
        <f>IF(Gesamtzähler[[#This Row],[Spiele MPH]]="","",SUMIFS(Eingabe[GEGGES],Eingabe[Name],Gesamtzähler[[#This Row],[Name]],Eingabe[Wo],"H"))</f>
        <v>0</v>
      </c>
      <c r="AI46" s="6">
        <f>IF(Gesamtzähler[[#This Row],[Spiele H]]="","",SUMIFS(Eingabe[GES],Eingabe[Name],Gesamtzähler[[#This Row],[Name]],Eingabe[Wo],"H"))</f>
        <v>1127</v>
      </c>
      <c r="AJ46" s="6">
        <f>IF(Gesamtzähler[[#This Row],[Spiele MPH]]="","",SUMIFS(Eingabe[SP],Eingabe[Name],Gesamtzähler[[#This Row],[Name]],Eingabe[Wo],"H"))</f>
        <v>0</v>
      </c>
      <c r="AK46" s="6">
        <f>IF(Gesamtzähler[[#This Row],[Spiele MPH]]="","",SUMIFS(Eingabe[MP],Eingabe[Name],Gesamtzähler[[#This Row],[Name]],Eingabe[Wo],"H"))</f>
        <v>0</v>
      </c>
      <c r="AL46" s="6">
        <f>IF(COUNTIFS(Eingabe[Name],Gesamtzähler[[#This Row],[Name]],Eingabe[Wo],"A")=0,"",COUNTIFS(Eingabe[Name],Gesamtzähler[[#This Row],[Name]],Eingabe[Wo],"A"))</f>
        <v>6</v>
      </c>
      <c r="AM46" s="6">
        <f>IF(Gesamtzähler[[#This Row],[Spiele A]]="","",Gesamtzähler[[#This Row],[Spiele A]]-COUNTIFS(Eingabe[Name],Gesamtzähler[[#This Row],[Name]],Eingabe[MP],"",Eingabe[Wo],"A"))</f>
        <v>0</v>
      </c>
      <c r="AN46" s="6">
        <f>IF(Gesamtzähler[[#This Row],[Spiele A]]="","",SUMIFS(Eingabe[Volle],Eingabe[Name],Gesamtzähler[[#This Row],[Name]],Eingabe[Wo],"A"))</f>
        <v>1777</v>
      </c>
      <c r="AO46" s="6">
        <f>IF(Gesamtzähler[[#This Row],[Spiele A]]="","",SUMIFS(Eingabe[Räumer],Eingabe[Name],Gesamtzähler[[#This Row],[Name]],Eingabe[Wo],"A"))</f>
        <v>569</v>
      </c>
      <c r="AP46" s="6">
        <f>IF(Gesamtzähler[[#This Row],[Spiele A]]="","",SUMIFS(Eingabe[Fehler],Eingabe[Name],Gesamtzähler[[#This Row],[Name]],Eingabe[Wo],"A"))</f>
        <v>149</v>
      </c>
      <c r="AQ46" s="6">
        <f>IF(Gesamtzähler[[#This Row],[Spiele MPA]]="","",SUMIFS(Eingabe[S1],Eingabe[Name],Gesamtzähler[[#This Row],[Name]],Eingabe[Wo],"A"))</f>
        <v>576</v>
      </c>
      <c r="AR46" s="6">
        <f>IF(Gesamtzähler[[#This Row],[Spiele MPA]]="","",SUMIFS(Eingabe[S1P],Eingabe[Name],Gesamtzähler[[#This Row],[Name]],Eingabe[Wo],"A"))</f>
        <v>0</v>
      </c>
      <c r="AS46" s="6">
        <f>IF(Gesamtzähler[[#This Row],[Spiele MPA]]="","",SUMIFS(Eingabe[S2],Eingabe[Name],Gesamtzähler[[#This Row],[Name]],Eingabe[Wo],"A"))</f>
        <v>606</v>
      </c>
      <c r="AT46" s="6">
        <f>IF(Gesamtzähler[[#This Row],[Spiele MPA]]="","",SUMIFS(Eingabe[S2P],Eingabe[Name],Gesamtzähler[[#This Row],[Name]],Eingabe[Wo],"A"))</f>
        <v>0</v>
      </c>
      <c r="AU46" s="6">
        <f>IF(Gesamtzähler[[#This Row],[Spiele MPA]]="","",SUMIFS(Eingabe[S3],Eingabe[Name],Gesamtzähler[[#This Row],[Name]],Eingabe[Wo],"A"))</f>
        <v>572</v>
      </c>
      <c r="AV46" s="6">
        <f>IF(Gesamtzähler[[#This Row],[Spiele MPA]]="","",SUMIFS(Eingabe[S3P],Eingabe[Name],Gesamtzähler[[#This Row],[Name]],Eingabe[Wo],"A"))</f>
        <v>0</v>
      </c>
      <c r="AW46" s="6">
        <f>IF(Gesamtzähler[[#This Row],[Spiele MPA]]="","",SUMIFS(Eingabe[S4],Eingabe[Name],Gesamtzähler[[#This Row],[Name]],Eingabe[Wo],"A"))</f>
        <v>592</v>
      </c>
      <c r="AX46" s="6">
        <f>IF(Gesamtzähler[[#This Row],[Spiele MPA]]="","",SUMIFS(Eingabe[S4P],Eingabe[Name],Gesamtzähler[[#This Row],[Name]],Eingabe[Wo],"A"))</f>
        <v>0</v>
      </c>
      <c r="AY46" s="6">
        <f>IF(Gesamtzähler[[#This Row],[Spiele MPA]]="","",SUMIFS(Eingabe[GEGGES],Eingabe[Name],Gesamtzähler[[#This Row],[Name]],Eingabe[Wo],"A"))</f>
        <v>0</v>
      </c>
      <c r="AZ46" s="6">
        <f>IF(Gesamtzähler[[#This Row],[Spiele A]]="","",SUMIFS(Eingabe[GES],Eingabe[Name],Gesamtzähler[[#This Row],[Name]],Eingabe[Wo],"A"))</f>
        <v>2346</v>
      </c>
      <c r="BA46" s="6">
        <f>IF(Gesamtzähler[[#This Row],[Spiele MPA]]="","",SUMIFS(Eingabe[SP],Eingabe[Name],Gesamtzähler[[#This Row],[Name]],Eingabe[Wo],"A"))</f>
        <v>0</v>
      </c>
      <c r="BB46" s="6">
        <f>IF(Gesamtzähler[[#This Row],[Spiele MPA]]="","",SUMIFS(Eingabe[MP],Eingabe[Name],Gesamtzähler[[#This Row],[Name]],Eingabe[Wo],"A"))</f>
        <v>0</v>
      </c>
      <c r="BC46" s="6"/>
      <c r="BD46" s="6"/>
      <c r="BE46" s="6"/>
      <c r="BF46" s="6"/>
    </row>
    <row r="47" spans="2:58" x14ac:dyDescent="0.3">
      <c r="B47" s="7" t="str">
        <f>VLOOKUP(ROW(Gesamtzähler[[#This Row],[Name]])-3,Teamzuordnung[],2,FALSE)</f>
        <v>Stefan Teuber</v>
      </c>
      <c r="C47" s="6" t="str">
        <f>IF(Gesamtzähler[[#This Row],[Name]]="","",VLOOKUP(Gesamtzähler[[#This Row],[Name]],Teamzuordnung[[Name]:[Team]],2,TRUE))</f>
        <v>E</v>
      </c>
      <c r="D47" s="21">
        <f>IF(COUNTIFS(Eingabe[Name],Gesamtzähler[[#This Row],[Name]])=0,"",COUNTIFS(Eingabe[Name],Gesamtzähler[[#This Row],[Name]]))</f>
        <v>14</v>
      </c>
      <c r="E47" s="6">
        <f>IF(Gesamtzähler[[#This Row],[Spiele]]="","",IF(Gesamtzähler[[#This Row],[Spiele]]-COUNTIFS(Eingabe[Name],Gesamtzähler[[#This Row],[Name]],Eingabe[MP],"")=0,"",Gesamtzähler[[#This Row],[Spiele]]-COUNTIFS(Eingabe[Name],Gesamtzähler[[#This Row],[Name]],Eingabe[MP],"")))</f>
        <v>14</v>
      </c>
      <c r="F47" s="6">
        <f>IF(Gesamtzähler[[#This Row],[Spiele]]="","",SUMIF(Eingabe[Name],Gesamtzähler[[#This Row],[Name]],Eingabe[Volle]))</f>
        <v>4975</v>
      </c>
      <c r="G47" s="6">
        <f>IF(Gesamtzähler[[#This Row],[Spiele]]="","",SUMIF(Eingabe[Name],Gesamtzähler[[#This Row],[Name]],Eingabe[Räumer]))</f>
        <v>2394</v>
      </c>
      <c r="H47" s="6">
        <f>IF(Gesamtzähler[[#This Row],[Spiele]]="","",SUMIF(Eingabe[Name],Gesamtzähler[[#This Row],[Name]],Eingabe[Fehler]))</f>
        <v>83</v>
      </c>
      <c r="I47" s="6">
        <f>IF(Gesamtzähler[[#This Row],[Spiele]]="","",SUMIF(Eingabe[Name],Gesamtzähler[[#This Row],[Name]],Eingabe[GES]))</f>
        <v>7369</v>
      </c>
      <c r="J47" s="6">
        <f>IF(Gesamtzähler[[#This Row],[Spiele MP]]="","",SUMIF(Eingabe[Name],Gesamtzähler[[#This Row],[Name]],Eingabe[SP]))</f>
        <v>23.5</v>
      </c>
      <c r="K47" s="6">
        <f>IF(Gesamtzähler[[#This Row],[Spiele MP]]="","",SUMIF(Eingabe[Name],Gesamtzähler[[#This Row],[Name]],Eingabe[MP]))</f>
        <v>4</v>
      </c>
      <c r="L47" s="6">
        <f>IF(Gesamtzähler[[#This Row],[Spiele MP]]="","",SUMIF(Eingabe[Name],Gesamtzähler[[#This Row],[Name]],Eingabe[S1]))</f>
        <v>1853</v>
      </c>
      <c r="M47" s="6">
        <f>IF(Gesamtzähler[[#This Row],[Spiele MP]]="","",SUMIF(Eingabe[Name],Gesamtzähler[[#This Row],[Name]],Eingabe[S2]))</f>
        <v>1840</v>
      </c>
      <c r="N47" s="6">
        <f>IF(Gesamtzähler[[#This Row],[Spiele MP]]="","",SUMIF(Eingabe[Name],Gesamtzähler[[#This Row],[Name]],Eingabe[S3]))</f>
        <v>1841</v>
      </c>
      <c r="O47" s="6">
        <f>IF(Gesamtzähler[[#This Row],[Spiele MP]]="","",SUMIF(Eingabe[Name],Gesamtzähler[[#This Row],[Name]],Eingabe[S4]))</f>
        <v>1835</v>
      </c>
      <c r="P47" s="6">
        <f>IF(Gesamtzähler[[#This Row],[Spiele MP]]="","",SUMIF(Eingabe[Name],Gesamtzähler[[#This Row],[Name]],Eingabe[S1P]))</f>
        <v>5</v>
      </c>
      <c r="Q47" s="6">
        <f>IF(Gesamtzähler[[#This Row],[Spiele MP]]="","",SUMIF(Eingabe[Name],Gesamtzähler[[#This Row],[Name]],Eingabe[S2P]))</f>
        <v>8</v>
      </c>
      <c r="R47" s="6">
        <f>IF(Gesamtzähler[[#This Row],[Spiele MP]]="","",SUMIF(Eingabe[Name],Gesamtzähler[[#This Row],[Name]],Eingabe[S3P]))</f>
        <v>4</v>
      </c>
      <c r="S47" s="6">
        <f>IF(Gesamtzähler[[#This Row],[Spiele MP]]="","",SUMIF(Eingabe[Name],Gesamtzähler[[#This Row],[Name]],Eingabe[S4P]))</f>
        <v>6.5</v>
      </c>
      <c r="T47" s="6">
        <f>IF(Gesamtzähler[[#This Row],[Spiele MP]]="","",SUMIF(Eingabe[Name],Gesamtzähler[[#This Row],[Name]],Eingabe[GEGGES]))</f>
        <v>7499</v>
      </c>
      <c r="U47" s="21">
        <f>IF(COUNTIFS(Eingabe[Name],Gesamtzähler[[#This Row],[Name]],Eingabe[Wo],"H")=0,"",COUNTIFS(Eingabe[Name],Gesamtzähler[[#This Row],[Name]],Eingabe[Wo],"H"))</f>
        <v>9</v>
      </c>
      <c r="V47" s="6">
        <f>IF(Gesamtzähler[[#This Row],[Spiele H]]="","",Gesamtzähler[[#This Row],[Spiele H]]-COUNTIFS(Eingabe[Name],Gesamtzähler[[#This Row],[Name]],Eingabe[MP],"",Eingabe[Wo],"H"))</f>
        <v>9</v>
      </c>
      <c r="W47" s="6">
        <f>IF(Gesamtzähler[[#This Row],[Spiele H]]="","",SUMIFS(Eingabe[Volle],Eingabe[Name],Gesamtzähler[[#This Row],[Name]],Eingabe[Wo],"H"))</f>
        <v>3133</v>
      </c>
      <c r="X47" s="6">
        <f>IF(Gesamtzähler[[#This Row],[Spiele H]]="","",SUMIFS(Eingabe[Räumer],Eingabe[Name],Gesamtzähler[[#This Row],[Name]],Eingabe[Wo],"H"))</f>
        <v>1509</v>
      </c>
      <c r="Y47" s="6">
        <f>IF(Gesamtzähler[[#This Row],[Spiele H]]="","",SUMIFS(Eingabe[Fehler],Eingabe[Name],Gesamtzähler[[#This Row],[Name]],Eingabe[Wo],"H"))</f>
        <v>51</v>
      </c>
      <c r="Z47" s="6">
        <f>IF(Gesamtzähler[[#This Row],[Spiele MPH]]="","",SUMIFS(Eingabe[S1],Eingabe[Name],Gesamtzähler[[#This Row],[Name]],Eingabe[Wo],"H"))</f>
        <v>1172</v>
      </c>
      <c r="AA47" s="6">
        <f>IF(Gesamtzähler[[#This Row],[Spiele MPH]]="","",SUMIFS(Eingabe[S1P],Eingabe[Name],Gesamtzähler[[#This Row],[Name]],Eingabe[Wo],"H"))</f>
        <v>2.5</v>
      </c>
      <c r="AB47" s="6">
        <f>IF(Gesamtzähler[[#This Row],[Spiele MPH]]="","",SUMIFS(Eingabe[S2],Eingabe[Name],Gesamtzähler[[#This Row],[Name]],Eingabe[Wo],"H"))</f>
        <v>1150</v>
      </c>
      <c r="AC47" s="6">
        <f>IF(Gesamtzähler[[#This Row],[Spiele MPH]]="","",SUMIFS(Eingabe[S2P],Eingabe[Name],Gesamtzähler[[#This Row],[Name]],Eingabe[Wo],"H"))</f>
        <v>4</v>
      </c>
      <c r="AD47" s="6">
        <f>IF(Gesamtzähler[[#This Row],[Spiele MPH]]="","",SUMIFS(Eingabe[S3],Eingabe[Name],Gesamtzähler[[#This Row],[Name]],Eingabe[Wo],"H"))</f>
        <v>1176</v>
      </c>
      <c r="AE47" s="6">
        <f>IF(Gesamtzähler[[#This Row],[Spiele MPH]]="","",SUMIFS(Eingabe[S3P],Eingabe[Name],Gesamtzähler[[#This Row],[Name]],Eingabe[Wo],"H"))</f>
        <v>2</v>
      </c>
      <c r="AF47" s="203">
        <f>IF(Gesamtzähler[[#This Row],[Spiele MPH]]="","",SUMIFS(Eingabe[S4],Eingabe[Name],Gesamtzähler[[#This Row],[Name]],Eingabe[Wo],"H"))</f>
        <v>1144</v>
      </c>
      <c r="AG47" s="6">
        <f>IF(Gesamtzähler[[#This Row],[Spiele MPH]]="","",SUMIFS(Eingabe[S4P],Eingabe[Name],Gesamtzähler[[#This Row],[Name]],Eingabe[Wo],"H"))</f>
        <v>4.5</v>
      </c>
      <c r="AH47" s="6">
        <f>IF(Gesamtzähler[[#This Row],[Spiele MPH]]="","",SUMIFS(Eingabe[GEGGES],Eingabe[Name],Gesamtzähler[[#This Row],[Name]],Eingabe[Wo],"H"))</f>
        <v>4744</v>
      </c>
      <c r="AI47" s="6">
        <f>IF(Gesamtzähler[[#This Row],[Spiele H]]="","",SUMIFS(Eingabe[GES],Eingabe[Name],Gesamtzähler[[#This Row],[Name]],Eingabe[Wo],"H"))</f>
        <v>4642</v>
      </c>
      <c r="AJ47" s="6">
        <f>IF(Gesamtzähler[[#This Row],[Spiele MPH]]="","",SUMIFS(Eingabe[SP],Eingabe[Name],Gesamtzähler[[#This Row],[Name]],Eingabe[Wo],"H"))</f>
        <v>13</v>
      </c>
      <c r="AK47" s="6">
        <f>IF(Gesamtzähler[[#This Row],[Spiele MPH]]="","",SUMIFS(Eingabe[MP],Eingabe[Name],Gesamtzähler[[#This Row],[Name]],Eingabe[Wo],"H"))</f>
        <v>2</v>
      </c>
      <c r="AL47" s="6">
        <f>IF(COUNTIFS(Eingabe[Name],Gesamtzähler[[#This Row],[Name]],Eingabe[Wo],"A")=0,"",COUNTIFS(Eingabe[Name],Gesamtzähler[[#This Row],[Name]],Eingabe[Wo],"A"))</f>
        <v>5</v>
      </c>
      <c r="AM47" s="6">
        <f>IF(Gesamtzähler[[#This Row],[Spiele A]]="","",Gesamtzähler[[#This Row],[Spiele A]]-COUNTIFS(Eingabe[Name],Gesamtzähler[[#This Row],[Name]],Eingabe[MP],"",Eingabe[Wo],"A"))</f>
        <v>5</v>
      </c>
      <c r="AN47" s="6">
        <f>IF(Gesamtzähler[[#This Row],[Spiele A]]="","",SUMIFS(Eingabe[Volle],Eingabe[Name],Gesamtzähler[[#This Row],[Name]],Eingabe[Wo],"A"))</f>
        <v>1842</v>
      </c>
      <c r="AO47" s="6">
        <f>IF(Gesamtzähler[[#This Row],[Spiele A]]="","",SUMIFS(Eingabe[Räumer],Eingabe[Name],Gesamtzähler[[#This Row],[Name]],Eingabe[Wo],"A"))</f>
        <v>885</v>
      </c>
      <c r="AP47" s="6">
        <f>IF(Gesamtzähler[[#This Row],[Spiele A]]="","",SUMIFS(Eingabe[Fehler],Eingabe[Name],Gesamtzähler[[#This Row],[Name]],Eingabe[Wo],"A"))</f>
        <v>32</v>
      </c>
      <c r="AQ47" s="6">
        <f>IF(Gesamtzähler[[#This Row],[Spiele MPA]]="","",SUMIFS(Eingabe[S1],Eingabe[Name],Gesamtzähler[[#This Row],[Name]],Eingabe[Wo],"A"))</f>
        <v>681</v>
      </c>
      <c r="AR47" s="6">
        <f>IF(Gesamtzähler[[#This Row],[Spiele MPA]]="","",SUMIFS(Eingabe[S1P],Eingabe[Name],Gesamtzähler[[#This Row],[Name]],Eingabe[Wo],"A"))</f>
        <v>2.5</v>
      </c>
      <c r="AS47" s="6">
        <f>IF(Gesamtzähler[[#This Row],[Spiele MPA]]="","",SUMIFS(Eingabe[S2],Eingabe[Name],Gesamtzähler[[#This Row],[Name]],Eingabe[Wo],"A"))</f>
        <v>690</v>
      </c>
      <c r="AT47" s="6">
        <f>IF(Gesamtzähler[[#This Row],[Spiele MPA]]="","",SUMIFS(Eingabe[S2P],Eingabe[Name],Gesamtzähler[[#This Row],[Name]],Eingabe[Wo],"A"))</f>
        <v>4</v>
      </c>
      <c r="AU47" s="6">
        <f>IF(Gesamtzähler[[#This Row],[Spiele MPA]]="","",SUMIFS(Eingabe[S3],Eingabe[Name],Gesamtzähler[[#This Row],[Name]],Eingabe[Wo],"A"))</f>
        <v>665</v>
      </c>
      <c r="AV47" s="6">
        <f>IF(Gesamtzähler[[#This Row],[Spiele MPA]]="","",SUMIFS(Eingabe[S3P],Eingabe[Name],Gesamtzähler[[#This Row],[Name]],Eingabe[Wo],"A"))</f>
        <v>2</v>
      </c>
      <c r="AW47" s="6">
        <f>IF(Gesamtzähler[[#This Row],[Spiele MPA]]="","",SUMIFS(Eingabe[S4],Eingabe[Name],Gesamtzähler[[#This Row],[Name]],Eingabe[Wo],"A"))</f>
        <v>691</v>
      </c>
      <c r="AX47" s="6">
        <f>IF(Gesamtzähler[[#This Row],[Spiele MPA]]="","",SUMIFS(Eingabe[S4P],Eingabe[Name],Gesamtzähler[[#This Row],[Name]],Eingabe[Wo],"A"))</f>
        <v>2</v>
      </c>
      <c r="AY47" s="6">
        <f>IF(Gesamtzähler[[#This Row],[Spiele MPA]]="","",SUMIFS(Eingabe[GEGGES],Eingabe[Name],Gesamtzähler[[#This Row],[Name]],Eingabe[Wo],"A"))</f>
        <v>2755</v>
      </c>
      <c r="AZ47" s="6">
        <f>IF(Gesamtzähler[[#This Row],[Spiele A]]="","",SUMIFS(Eingabe[GES],Eingabe[Name],Gesamtzähler[[#This Row],[Name]],Eingabe[Wo],"A"))</f>
        <v>2727</v>
      </c>
      <c r="BA47" s="6">
        <f>IF(Gesamtzähler[[#This Row],[Spiele MPA]]="","",SUMIFS(Eingabe[SP],Eingabe[Name],Gesamtzähler[[#This Row],[Name]],Eingabe[Wo],"A"))</f>
        <v>10.5</v>
      </c>
      <c r="BB47" s="6">
        <f>IF(Gesamtzähler[[#This Row],[Spiele MPA]]="","",SUMIFS(Eingabe[MP],Eingabe[Name],Gesamtzähler[[#This Row],[Name]],Eingabe[Wo],"A"))</f>
        <v>2</v>
      </c>
      <c r="BC47" s="6"/>
      <c r="BD47" s="6"/>
      <c r="BE47" s="6"/>
      <c r="BF47" s="6"/>
    </row>
    <row r="48" spans="2:58" x14ac:dyDescent="0.3">
      <c r="B48" s="7" t="str">
        <f>VLOOKUP(ROW(Gesamtzähler[[#This Row],[Name]])-3,Teamzuordnung[],2,FALSE)</f>
        <v>Stefan Ulbricht</v>
      </c>
      <c r="C48" s="6" t="str">
        <f>IF(Gesamtzähler[[#This Row],[Name]]="","",VLOOKUP(Gesamtzähler[[#This Row],[Name]],Teamzuordnung[[Name]:[Team]],2,TRUE))</f>
        <v>Z</v>
      </c>
      <c r="D48" s="21">
        <f>IF(COUNTIFS(Eingabe[Name],Gesamtzähler[[#This Row],[Name]])=0,"",COUNTIFS(Eingabe[Name],Gesamtzähler[[#This Row],[Name]]))</f>
        <v>7</v>
      </c>
      <c r="E48" s="6">
        <f>IF(Gesamtzähler[[#This Row],[Spiele]]="","",IF(Gesamtzähler[[#This Row],[Spiele]]-COUNTIFS(Eingabe[Name],Gesamtzähler[[#This Row],[Name]],Eingabe[MP],"")=0,"",Gesamtzähler[[#This Row],[Spiele]]-COUNTIFS(Eingabe[Name],Gesamtzähler[[#This Row],[Name]],Eingabe[MP],"")))</f>
        <v>7</v>
      </c>
      <c r="F48" s="6">
        <f>IF(Gesamtzähler[[#This Row],[Spiele]]="","",SUMIF(Eingabe[Name],Gesamtzähler[[#This Row],[Name]],Eingabe[Volle]))</f>
        <v>2438</v>
      </c>
      <c r="G48" s="6">
        <f>IF(Gesamtzähler[[#This Row],[Spiele]]="","",SUMIF(Eingabe[Name],Gesamtzähler[[#This Row],[Name]],Eingabe[Räumer]))</f>
        <v>1164</v>
      </c>
      <c r="H48" s="6">
        <f>IF(Gesamtzähler[[#This Row],[Spiele]]="","",SUMIF(Eingabe[Name],Gesamtzähler[[#This Row],[Name]],Eingabe[Fehler]))</f>
        <v>64</v>
      </c>
      <c r="I48" s="6">
        <f>IF(Gesamtzähler[[#This Row],[Spiele]]="","",SUMIF(Eingabe[Name],Gesamtzähler[[#This Row],[Name]],Eingabe[GES]))</f>
        <v>3602</v>
      </c>
      <c r="J48" s="6">
        <f>IF(Gesamtzähler[[#This Row],[Spiele MP]]="","",SUMIF(Eingabe[Name],Gesamtzähler[[#This Row],[Name]],Eingabe[SP]))</f>
        <v>14</v>
      </c>
      <c r="K48" s="6">
        <f>IF(Gesamtzähler[[#This Row],[Spiele MP]]="","",SUMIF(Eingabe[Name],Gesamtzähler[[#This Row],[Name]],Eingabe[MP]))</f>
        <v>3</v>
      </c>
      <c r="L48" s="6">
        <f>IF(Gesamtzähler[[#This Row],[Spiele MP]]="","",SUMIF(Eingabe[Name],Gesamtzähler[[#This Row],[Name]],Eingabe[S1]))</f>
        <v>857</v>
      </c>
      <c r="M48" s="6">
        <f>IF(Gesamtzähler[[#This Row],[Spiele MP]]="","",SUMIF(Eingabe[Name],Gesamtzähler[[#This Row],[Name]],Eingabe[S2]))</f>
        <v>930</v>
      </c>
      <c r="N48" s="6">
        <f>IF(Gesamtzähler[[#This Row],[Spiele MP]]="","",SUMIF(Eingabe[Name],Gesamtzähler[[#This Row],[Name]],Eingabe[S3]))</f>
        <v>904</v>
      </c>
      <c r="O48" s="6">
        <f>IF(Gesamtzähler[[#This Row],[Spiele MP]]="","",SUMIF(Eingabe[Name],Gesamtzähler[[#This Row],[Name]],Eingabe[S4]))</f>
        <v>911</v>
      </c>
      <c r="P48" s="6">
        <f>IF(Gesamtzähler[[#This Row],[Spiele MP]]="","",SUMIF(Eingabe[Name],Gesamtzähler[[#This Row],[Name]],Eingabe[S1P]))</f>
        <v>2</v>
      </c>
      <c r="Q48" s="6">
        <f>IF(Gesamtzähler[[#This Row],[Spiele MP]]="","",SUMIF(Eingabe[Name],Gesamtzähler[[#This Row],[Name]],Eingabe[S2P]))</f>
        <v>5</v>
      </c>
      <c r="R48" s="6">
        <f>IF(Gesamtzähler[[#This Row],[Spiele MP]]="","",SUMIF(Eingabe[Name],Gesamtzähler[[#This Row],[Name]],Eingabe[S3P]))</f>
        <v>4</v>
      </c>
      <c r="S48" s="6">
        <f>IF(Gesamtzähler[[#This Row],[Spiele MP]]="","",SUMIF(Eingabe[Name],Gesamtzähler[[#This Row],[Name]],Eingabe[S4P]))</f>
        <v>3</v>
      </c>
      <c r="T48" s="6">
        <f>IF(Gesamtzähler[[#This Row],[Spiele MP]]="","",SUMIF(Eingabe[Name],Gesamtzähler[[#This Row],[Name]],Eingabe[GEGGES]))</f>
        <v>3509</v>
      </c>
      <c r="U48" s="21">
        <f>IF(COUNTIFS(Eingabe[Name],Gesamtzähler[[#This Row],[Name]],Eingabe[Wo],"H")=0,"",COUNTIFS(Eingabe[Name],Gesamtzähler[[#This Row],[Name]],Eingabe[Wo],"H"))</f>
        <v>3</v>
      </c>
      <c r="V48" s="6">
        <f>IF(Gesamtzähler[[#This Row],[Spiele H]]="","",Gesamtzähler[[#This Row],[Spiele H]]-COUNTIFS(Eingabe[Name],Gesamtzähler[[#This Row],[Name]],Eingabe[MP],"",Eingabe[Wo],"H"))</f>
        <v>3</v>
      </c>
      <c r="W48" s="6">
        <f>IF(Gesamtzähler[[#This Row],[Spiele H]]="","",SUMIFS(Eingabe[Volle],Eingabe[Name],Gesamtzähler[[#This Row],[Name]],Eingabe[Wo],"H"))</f>
        <v>1022</v>
      </c>
      <c r="X48" s="6">
        <f>IF(Gesamtzähler[[#This Row],[Spiele H]]="","",SUMIFS(Eingabe[Räumer],Eingabe[Name],Gesamtzähler[[#This Row],[Name]],Eingabe[Wo],"H"))</f>
        <v>413</v>
      </c>
      <c r="Y48" s="6">
        <f>IF(Gesamtzähler[[#This Row],[Spiele H]]="","",SUMIFS(Eingabe[Fehler],Eingabe[Name],Gesamtzähler[[#This Row],[Name]],Eingabe[Wo],"H"))</f>
        <v>39</v>
      </c>
      <c r="Z48" s="6">
        <f>IF(Gesamtzähler[[#This Row],[Spiele MPH]]="","",SUMIFS(Eingabe[S1],Eingabe[Name],Gesamtzähler[[#This Row],[Name]],Eingabe[Wo],"H"))</f>
        <v>336</v>
      </c>
      <c r="AA48" s="6">
        <f>IF(Gesamtzähler[[#This Row],[Spiele MPH]]="","",SUMIFS(Eingabe[S1P],Eingabe[Name],Gesamtzähler[[#This Row],[Name]],Eingabe[Wo],"H"))</f>
        <v>0</v>
      </c>
      <c r="AB48" s="6">
        <f>IF(Gesamtzähler[[#This Row],[Spiele MPH]]="","",SUMIFS(Eingabe[S2],Eingabe[Name],Gesamtzähler[[#This Row],[Name]],Eingabe[Wo],"H"))</f>
        <v>393</v>
      </c>
      <c r="AC48" s="6">
        <f>IF(Gesamtzähler[[#This Row],[Spiele MPH]]="","",SUMIFS(Eingabe[S2P],Eingabe[Name],Gesamtzähler[[#This Row],[Name]],Eingabe[Wo],"H"))</f>
        <v>2</v>
      </c>
      <c r="AD48" s="6">
        <f>IF(Gesamtzähler[[#This Row],[Spiele MPH]]="","",SUMIFS(Eingabe[S3],Eingabe[Name],Gesamtzähler[[#This Row],[Name]],Eingabe[Wo],"H"))</f>
        <v>348</v>
      </c>
      <c r="AE48" s="6">
        <f>IF(Gesamtzähler[[#This Row],[Spiele MPH]]="","",SUMIFS(Eingabe[S3P],Eingabe[Name],Gesamtzähler[[#This Row],[Name]],Eingabe[Wo],"H"))</f>
        <v>1</v>
      </c>
      <c r="AF48" s="203">
        <f>IF(Gesamtzähler[[#This Row],[Spiele MPH]]="","",SUMIFS(Eingabe[S4],Eingabe[Name],Gesamtzähler[[#This Row],[Name]],Eingabe[Wo],"H"))</f>
        <v>358</v>
      </c>
      <c r="AG48" s="6">
        <f>IF(Gesamtzähler[[#This Row],[Spiele MPH]]="","",SUMIFS(Eingabe[S4P],Eingabe[Name],Gesamtzähler[[#This Row],[Name]],Eingabe[Wo],"H"))</f>
        <v>0</v>
      </c>
      <c r="AH48" s="6">
        <f>IF(Gesamtzähler[[#This Row],[Spiele MPH]]="","",SUMIFS(Eingabe[GEGGES],Eingabe[Name],Gesamtzähler[[#This Row],[Name]],Eingabe[Wo],"H"))</f>
        <v>1551</v>
      </c>
      <c r="AI48" s="6">
        <f>IF(Gesamtzähler[[#This Row],[Spiele H]]="","",SUMIFS(Eingabe[GES],Eingabe[Name],Gesamtzähler[[#This Row],[Name]],Eingabe[Wo],"H"))</f>
        <v>1435</v>
      </c>
      <c r="AJ48" s="6">
        <f>IF(Gesamtzähler[[#This Row],[Spiele MPH]]="","",SUMIFS(Eingabe[SP],Eingabe[Name],Gesamtzähler[[#This Row],[Name]],Eingabe[Wo],"H"))</f>
        <v>3</v>
      </c>
      <c r="AK48" s="6">
        <f>IF(Gesamtzähler[[#This Row],[Spiele MPH]]="","",SUMIFS(Eingabe[MP],Eingabe[Name],Gesamtzähler[[#This Row],[Name]],Eingabe[Wo],"H"))</f>
        <v>0</v>
      </c>
      <c r="AL48" s="6">
        <f>IF(COUNTIFS(Eingabe[Name],Gesamtzähler[[#This Row],[Name]],Eingabe[Wo],"A")=0,"",COUNTIFS(Eingabe[Name],Gesamtzähler[[#This Row],[Name]],Eingabe[Wo],"A"))</f>
        <v>4</v>
      </c>
      <c r="AM48" s="6">
        <f>IF(Gesamtzähler[[#This Row],[Spiele A]]="","",Gesamtzähler[[#This Row],[Spiele A]]-COUNTIFS(Eingabe[Name],Gesamtzähler[[#This Row],[Name]],Eingabe[MP],"",Eingabe[Wo],"A"))</f>
        <v>4</v>
      </c>
      <c r="AN48" s="6">
        <f>IF(Gesamtzähler[[#This Row],[Spiele A]]="","",SUMIFS(Eingabe[Volle],Eingabe[Name],Gesamtzähler[[#This Row],[Name]],Eingabe[Wo],"A"))</f>
        <v>1416</v>
      </c>
      <c r="AO48" s="6">
        <f>IF(Gesamtzähler[[#This Row],[Spiele A]]="","",SUMIFS(Eingabe[Räumer],Eingabe[Name],Gesamtzähler[[#This Row],[Name]],Eingabe[Wo],"A"))</f>
        <v>751</v>
      </c>
      <c r="AP48" s="6">
        <f>IF(Gesamtzähler[[#This Row],[Spiele A]]="","",SUMIFS(Eingabe[Fehler],Eingabe[Name],Gesamtzähler[[#This Row],[Name]],Eingabe[Wo],"A"))</f>
        <v>25</v>
      </c>
      <c r="AQ48" s="6">
        <f>IF(Gesamtzähler[[#This Row],[Spiele MPA]]="","",SUMIFS(Eingabe[S1],Eingabe[Name],Gesamtzähler[[#This Row],[Name]],Eingabe[Wo],"A"))</f>
        <v>521</v>
      </c>
      <c r="AR48" s="6">
        <f>IF(Gesamtzähler[[#This Row],[Spiele MPA]]="","",SUMIFS(Eingabe[S1P],Eingabe[Name],Gesamtzähler[[#This Row],[Name]],Eingabe[Wo],"A"))</f>
        <v>2</v>
      </c>
      <c r="AS48" s="6">
        <f>IF(Gesamtzähler[[#This Row],[Spiele MPA]]="","",SUMIFS(Eingabe[S2],Eingabe[Name],Gesamtzähler[[#This Row],[Name]],Eingabe[Wo],"A"))</f>
        <v>537</v>
      </c>
      <c r="AT48" s="6">
        <f>IF(Gesamtzähler[[#This Row],[Spiele MPA]]="","",SUMIFS(Eingabe[S2P],Eingabe[Name],Gesamtzähler[[#This Row],[Name]],Eingabe[Wo],"A"))</f>
        <v>3</v>
      </c>
      <c r="AU48" s="6">
        <f>IF(Gesamtzähler[[#This Row],[Spiele MPA]]="","",SUMIFS(Eingabe[S3],Eingabe[Name],Gesamtzähler[[#This Row],[Name]],Eingabe[Wo],"A"))</f>
        <v>556</v>
      </c>
      <c r="AV48" s="6">
        <f>IF(Gesamtzähler[[#This Row],[Spiele MPA]]="","",SUMIFS(Eingabe[S3P],Eingabe[Name],Gesamtzähler[[#This Row],[Name]],Eingabe[Wo],"A"))</f>
        <v>3</v>
      </c>
      <c r="AW48" s="6">
        <f>IF(Gesamtzähler[[#This Row],[Spiele MPA]]="","",SUMIFS(Eingabe[S4],Eingabe[Name],Gesamtzähler[[#This Row],[Name]],Eingabe[Wo],"A"))</f>
        <v>553</v>
      </c>
      <c r="AX48" s="6">
        <f>IF(Gesamtzähler[[#This Row],[Spiele MPA]]="","",SUMIFS(Eingabe[S4P],Eingabe[Name],Gesamtzähler[[#This Row],[Name]],Eingabe[Wo],"A"))</f>
        <v>3</v>
      </c>
      <c r="AY48" s="6">
        <f>IF(Gesamtzähler[[#This Row],[Spiele MPA]]="","",SUMIFS(Eingabe[GEGGES],Eingabe[Name],Gesamtzähler[[#This Row],[Name]],Eingabe[Wo],"A"))</f>
        <v>1958</v>
      </c>
      <c r="AZ48" s="6">
        <f>IF(Gesamtzähler[[#This Row],[Spiele A]]="","",SUMIFS(Eingabe[GES],Eingabe[Name],Gesamtzähler[[#This Row],[Name]],Eingabe[Wo],"A"))</f>
        <v>2167</v>
      </c>
      <c r="BA48" s="6">
        <f>IF(Gesamtzähler[[#This Row],[Spiele MPA]]="","",SUMIFS(Eingabe[SP],Eingabe[Name],Gesamtzähler[[#This Row],[Name]],Eingabe[Wo],"A"))</f>
        <v>11</v>
      </c>
      <c r="BB48" s="6">
        <f>IF(Gesamtzähler[[#This Row],[Spiele MPA]]="","",SUMIFS(Eingabe[MP],Eingabe[Name],Gesamtzähler[[#This Row],[Name]],Eingabe[Wo],"A"))</f>
        <v>3</v>
      </c>
      <c r="BC48" s="6"/>
      <c r="BD48" s="6"/>
      <c r="BE48" s="6"/>
      <c r="BF48" s="6"/>
    </row>
    <row r="49" spans="2:73" x14ac:dyDescent="0.3">
      <c r="B49" s="7" t="str">
        <f>VLOOKUP(ROW(Gesamtzähler[[#This Row],[Name]])-3,Teamzuordnung[],2,FALSE)</f>
        <v>Sylke Schmidt</v>
      </c>
      <c r="C49" s="6" t="str">
        <f>IF(Gesamtzähler[[#This Row],[Name]]="","",VLOOKUP(Gesamtzähler[[#This Row],[Name]],Teamzuordnung[[Name]:[Team]],2,TRUE))</f>
        <v>F</v>
      </c>
      <c r="D49" s="21">
        <f>IF(COUNTIFS(Eingabe[Name],Gesamtzähler[[#This Row],[Name]])=0,"",COUNTIFS(Eingabe[Name],Gesamtzähler[[#This Row],[Name]]))</f>
        <v>7</v>
      </c>
      <c r="E49" s="6">
        <f>IF(Gesamtzähler[[#This Row],[Spiele]]="","",IF(Gesamtzähler[[#This Row],[Spiele]]-COUNTIFS(Eingabe[Name],Gesamtzähler[[#This Row],[Name]],Eingabe[MP],"")=0,"",Gesamtzähler[[#This Row],[Spiele]]-COUNTIFS(Eingabe[Name],Gesamtzähler[[#This Row],[Name]],Eingabe[MP],"")))</f>
        <v>7</v>
      </c>
      <c r="F49" s="6">
        <f>IF(Gesamtzähler[[#This Row],[Spiele]]="","",SUMIF(Eingabe[Name],Gesamtzähler[[#This Row],[Name]],Eingabe[Volle]))</f>
        <v>2520</v>
      </c>
      <c r="G49" s="6">
        <f>IF(Gesamtzähler[[#This Row],[Spiele]]="","",SUMIF(Eingabe[Name],Gesamtzähler[[#This Row],[Name]],Eingabe[Räumer]))</f>
        <v>1123</v>
      </c>
      <c r="H49" s="6">
        <f>IF(Gesamtzähler[[#This Row],[Spiele]]="","",SUMIF(Eingabe[Name],Gesamtzähler[[#This Row],[Name]],Eingabe[Fehler]))</f>
        <v>62</v>
      </c>
      <c r="I49" s="6">
        <f>IF(Gesamtzähler[[#This Row],[Spiele]]="","",SUMIF(Eingabe[Name],Gesamtzähler[[#This Row],[Name]],Eingabe[GES]))</f>
        <v>3643</v>
      </c>
      <c r="J49" s="6">
        <f>IF(Gesamtzähler[[#This Row],[Spiele MP]]="","",SUMIF(Eingabe[Name],Gesamtzähler[[#This Row],[Name]],Eingabe[SP]))</f>
        <v>19</v>
      </c>
      <c r="K49" s="6">
        <f>IF(Gesamtzähler[[#This Row],[Spiele MP]]="","",SUMIF(Eingabe[Name],Gesamtzähler[[#This Row],[Name]],Eingabe[MP]))</f>
        <v>6</v>
      </c>
      <c r="L49" s="6">
        <f>IF(Gesamtzähler[[#This Row],[Spiele MP]]="","",SUMIF(Eingabe[Name],Gesamtzähler[[#This Row],[Name]],Eingabe[S1]))</f>
        <v>915</v>
      </c>
      <c r="M49" s="6">
        <f>IF(Gesamtzähler[[#This Row],[Spiele MP]]="","",SUMIF(Eingabe[Name],Gesamtzähler[[#This Row],[Name]],Eingabe[S2]))</f>
        <v>917</v>
      </c>
      <c r="N49" s="6">
        <f>IF(Gesamtzähler[[#This Row],[Spiele MP]]="","",SUMIF(Eingabe[Name],Gesamtzähler[[#This Row],[Name]],Eingabe[S3]))</f>
        <v>893</v>
      </c>
      <c r="O49" s="6">
        <f>IF(Gesamtzähler[[#This Row],[Spiele MP]]="","",SUMIF(Eingabe[Name],Gesamtzähler[[#This Row],[Name]],Eingabe[S4]))</f>
        <v>918</v>
      </c>
      <c r="P49" s="6">
        <f>IF(Gesamtzähler[[#This Row],[Spiele MP]]="","",SUMIF(Eingabe[Name],Gesamtzähler[[#This Row],[Name]],Eingabe[S1P]))</f>
        <v>5</v>
      </c>
      <c r="Q49" s="6">
        <f>IF(Gesamtzähler[[#This Row],[Spiele MP]]="","",SUMIF(Eingabe[Name],Gesamtzähler[[#This Row],[Name]],Eingabe[S2P]))</f>
        <v>5</v>
      </c>
      <c r="R49" s="6">
        <f>IF(Gesamtzähler[[#This Row],[Spiele MP]]="","",SUMIF(Eingabe[Name],Gesamtzähler[[#This Row],[Name]],Eingabe[S3P]))</f>
        <v>4</v>
      </c>
      <c r="S49" s="6">
        <f>IF(Gesamtzähler[[#This Row],[Spiele MP]]="","",SUMIF(Eingabe[Name],Gesamtzähler[[#This Row],[Name]],Eingabe[S4P]))</f>
        <v>5</v>
      </c>
      <c r="T49" s="6">
        <f>IF(Gesamtzähler[[#This Row],[Spiele MP]]="","",SUMIF(Eingabe[Name],Gesamtzähler[[#This Row],[Name]],Eingabe[GEGGES]))</f>
        <v>3395</v>
      </c>
      <c r="U49" s="21">
        <f>IF(COUNTIFS(Eingabe[Name],Gesamtzähler[[#This Row],[Name]],Eingabe[Wo],"H")=0,"",COUNTIFS(Eingabe[Name],Gesamtzähler[[#This Row],[Name]],Eingabe[Wo],"H"))</f>
        <v>3</v>
      </c>
      <c r="V49" s="6">
        <f>IF(Gesamtzähler[[#This Row],[Spiele H]]="","",Gesamtzähler[[#This Row],[Spiele H]]-COUNTIFS(Eingabe[Name],Gesamtzähler[[#This Row],[Name]],Eingabe[MP],"",Eingabe[Wo],"H"))</f>
        <v>3</v>
      </c>
      <c r="W49" s="6">
        <f>IF(Gesamtzähler[[#This Row],[Spiele H]]="","",SUMIFS(Eingabe[Volle],Eingabe[Name],Gesamtzähler[[#This Row],[Name]],Eingabe[Wo],"H"))</f>
        <v>1054</v>
      </c>
      <c r="X49" s="6">
        <f>IF(Gesamtzähler[[#This Row],[Spiele H]]="","",SUMIFS(Eingabe[Räumer],Eingabe[Name],Gesamtzähler[[#This Row],[Name]],Eingabe[Wo],"H"))</f>
        <v>492</v>
      </c>
      <c r="Y49" s="6">
        <f>IF(Gesamtzähler[[#This Row],[Spiele H]]="","",SUMIFS(Eingabe[Fehler],Eingabe[Name],Gesamtzähler[[#This Row],[Name]],Eingabe[Wo],"H"))</f>
        <v>18</v>
      </c>
      <c r="Z49" s="6">
        <f>IF(Gesamtzähler[[#This Row],[Spiele MPH]]="","",SUMIFS(Eingabe[S1],Eingabe[Name],Gesamtzähler[[#This Row],[Name]],Eingabe[Wo],"H"))</f>
        <v>390</v>
      </c>
      <c r="AA49" s="6">
        <f>IF(Gesamtzähler[[#This Row],[Spiele MPH]]="","",SUMIFS(Eingabe[S1P],Eingabe[Name],Gesamtzähler[[#This Row],[Name]],Eingabe[Wo],"H"))</f>
        <v>2</v>
      </c>
      <c r="AB49" s="6">
        <f>IF(Gesamtzähler[[#This Row],[Spiele MPH]]="","",SUMIFS(Eingabe[S2],Eingabe[Name],Gesamtzähler[[#This Row],[Name]],Eingabe[Wo],"H"))</f>
        <v>364</v>
      </c>
      <c r="AC49" s="6">
        <f>IF(Gesamtzähler[[#This Row],[Spiele MPH]]="","",SUMIFS(Eingabe[S2P],Eingabe[Name],Gesamtzähler[[#This Row],[Name]],Eingabe[Wo],"H"))</f>
        <v>3</v>
      </c>
      <c r="AD49" s="6">
        <f>IF(Gesamtzähler[[#This Row],[Spiele MPH]]="","",SUMIFS(Eingabe[S3],Eingabe[Name],Gesamtzähler[[#This Row],[Name]],Eingabe[Wo],"H"))</f>
        <v>382</v>
      </c>
      <c r="AE49" s="6">
        <f>IF(Gesamtzähler[[#This Row],[Spiele MPH]]="","",SUMIFS(Eingabe[S3P],Eingabe[Name],Gesamtzähler[[#This Row],[Name]],Eingabe[Wo],"H"))</f>
        <v>2</v>
      </c>
      <c r="AF49" s="203">
        <f>IF(Gesamtzähler[[#This Row],[Spiele MPH]]="","",SUMIFS(Eingabe[S4],Eingabe[Name],Gesamtzähler[[#This Row],[Name]],Eingabe[Wo],"H"))</f>
        <v>410</v>
      </c>
      <c r="AG49" s="6">
        <f>IF(Gesamtzähler[[#This Row],[Spiele MPH]]="","",SUMIFS(Eingabe[S4P],Eingabe[Name],Gesamtzähler[[#This Row],[Name]],Eingabe[Wo],"H"))</f>
        <v>3</v>
      </c>
      <c r="AH49" s="6">
        <f>IF(Gesamtzähler[[#This Row],[Spiele MPH]]="","",SUMIFS(Eingabe[GEGGES],Eingabe[Name],Gesamtzähler[[#This Row],[Name]],Eingabe[Wo],"H"))</f>
        <v>1380</v>
      </c>
      <c r="AI49" s="6">
        <f>IF(Gesamtzähler[[#This Row],[Spiele H]]="","",SUMIFS(Eingabe[GES],Eingabe[Name],Gesamtzähler[[#This Row],[Name]],Eingabe[Wo],"H"))</f>
        <v>1546</v>
      </c>
      <c r="AJ49" s="6">
        <f>IF(Gesamtzähler[[#This Row],[Spiele MPH]]="","",SUMIFS(Eingabe[SP],Eingabe[Name],Gesamtzähler[[#This Row],[Name]],Eingabe[Wo],"H"))</f>
        <v>10</v>
      </c>
      <c r="AK49" s="6">
        <f>IF(Gesamtzähler[[#This Row],[Spiele MPH]]="","",SUMIFS(Eingabe[MP],Eingabe[Name],Gesamtzähler[[#This Row],[Name]],Eingabe[Wo],"H"))</f>
        <v>3</v>
      </c>
      <c r="AL49" s="6">
        <f>IF(COUNTIFS(Eingabe[Name],Gesamtzähler[[#This Row],[Name]],Eingabe[Wo],"A")=0,"",COUNTIFS(Eingabe[Name],Gesamtzähler[[#This Row],[Name]],Eingabe[Wo],"A"))</f>
        <v>4</v>
      </c>
      <c r="AM49" s="6">
        <f>IF(Gesamtzähler[[#This Row],[Spiele A]]="","",Gesamtzähler[[#This Row],[Spiele A]]-COUNTIFS(Eingabe[Name],Gesamtzähler[[#This Row],[Name]],Eingabe[MP],"",Eingabe[Wo],"A"))</f>
        <v>4</v>
      </c>
      <c r="AN49" s="6">
        <f>IF(Gesamtzähler[[#This Row],[Spiele A]]="","",SUMIFS(Eingabe[Volle],Eingabe[Name],Gesamtzähler[[#This Row],[Name]],Eingabe[Wo],"A"))</f>
        <v>1466</v>
      </c>
      <c r="AO49" s="6">
        <f>IF(Gesamtzähler[[#This Row],[Spiele A]]="","",SUMIFS(Eingabe[Räumer],Eingabe[Name],Gesamtzähler[[#This Row],[Name]],Eingabe[Wo],"A"))</f>
        <v>631</v>
      </c>
      <c r="AP49" s="6">
        <f>IF(Gesamtzähler[[#This Row],[Spiele A]]="","",SUMIFS(Eingabe[Fehler],Eingabe[Name],Gesamtzähler[[#This Row],[Name]],Eingabe[Wo],"A"))</f>
        <v>44</v>
      </c>
      <c r="AQ49" s="6">
        <f>IF(Gesamtzähler[[#This Row],[Spiele MPA]]="","",SUMIFS(Eingabe[S1],Eingabe[Name],Gesamtzähler[[#This Row],[Name]],Eingabe[Wo],"A"))</f>
        <v>525</v>
      </c>
      <c r="AR49" s="6">
        <f>IF(Gesamtzähler[[#This Row],[Spiele MPA]]="","",SUMIFS(Eingabe[S1P],Eingabe[Name],Gesamtzähler[[#This Row],[Name]],Eingabe[Wo],"A"))</f>
        <v>3</v>
      </c>
      <c r="AS49" s="6">
        <f>IF(Gesamtzähler[[#This Row],[Spiele MPA]]="","",SUMIFS(Eingabe[S2],Eingabe[Name],Gesamtzähler[[#This Row],[Name]],Eingabe[Wo],"A"))</f>
        <v>553</v>
      </c>
      <c r="AT49" s="6">
        <f>IF(Gesamtzähler[[#This Row],[Spiele MPA]]="","",SUMIFS(Eingabe[S2P],Eingabe[Name],Gesamtzähler[[#This Row],[Name]],Eingabe[Wo],"A"))</f>
        <v>2</v>
      </c>
      <c r="AU49" s="6">
        <f>IF(Gesamtzähler[[#This Row],[Spiele MPA]]="","",SUMIFS(Eingabe[S3],Eingabe[Name],Gesamtzähler[[#This Row],[Name]],Eingabe[Wo],"A"))</f>
        <v>511</v>
      </c>
      <c r="AV49" s="6">
        <f>IF(Gesamtzähler[[#This Row],[Spiele MPA]]="","",SUMIFS(Eingabe[S3P],Eingabe[Name],Gesamtzähler[[#This Row],[Name]],Eingabe[Wo],"A"))</f>
        <v>2</v>
      </c>
      <c r="AW49" s="6">
        <f>IF(Gesamtzähler[[#This Row],[Spiele MPA]]="","",SUMIFS(Eingabe[S4],Eingabe[Name],Gesamtzähler[[#This Row],[Name]],Eingabe[Wo],"A"))</f>
        <v>508</v>
      </c>
      <c r="AX49" s="6">
        <f>IF(Gesamtzähler[[#This Row],[Spiele MPA]]="","",SUMIFS(Eingabe[S4P],Eingabe[Name],Gesamtzähler[[#This Row],[Name]],Eingabe[Wo],"A"))</f>
        <v>2</v>
      </c>
      <c r="AY49" s="6">
        <f>IF(Gesamtzähler[[#This Row],[Spiele MPA]]="","",SUMIFS(Eingabe[GEGGES],Eingabe[Name],Gesamtzähler[[#This Row],[Name]],Eingabe[Wo],"A"))</f>
        <v>2015</v>
      </c>
      <c r="AZ49" s="6">
        <f>IF(Gesamtzähler[[#This Row],[Spiele A]]="","",SUMIFS(Eingabe[GES],Eingabe[Name],Gesamtzähler[[#This Row],[Name]],Eingabe[Wo],"A"))</f>
        <v>2097</v>
      </c>
      <c r="BA49" s="6">
        <f>IF(Gesamtzähler[[#This Row],[Spiele MPA]]="","",SUMIFS(Eingabe[SP],Eingabe[Name],Gesamtzähler[[#This Row],[Name]],Eingabe[Wo],"A"))</f>
        <v>9</v>
      </c>
      <c r="BB49" s="6">
        <f>IF(Gesamtzähler[[#This Row],[Spiele MPA]]="","",SUMIFS(Eingabe[MP],Eingabe[Name],Gesamtzähler[[#This Row],[Name]],Eingabe[Wo],"A"))</f>
        <v>3</v>
      </c>
      <c r="BC49" s="6"/>
      <c r="BD49" s="6"/>
      <c r="BE49" s="6"/>
      <c r="BF49" s="6"/>
    </row>
    <row r="50" spans="2:73" x14ac:dyDescent="0.3">
      <c r="B50" s="7" t="str">
        <f>VLOOKUP(ROW(Gesamtzähler[[#This Row],[Name]])-3,Teamzuordnung[],2,FALSE)</f>
        <v>Tim Becker</v>
      </c>
      <c r="C50" s="6" t="str">
        <f>IF(Gesamtzähler[[#This Row],[Name]]="","",VLOOKUP(Gesamtzähler[[#This Row],[Name]],Teamzuordnung[[Name]:[Team]],2,TRUE))</f>
        <v>E</v>
      </c>
      <c r="D50" s="21">
        <f>IF(COUNTIFS(Eingabe[Name],Gesamtzähler[[#This Row],[Name]])=0,"",COUNTIFS(Eingabe[Name],Gesamtzähler[[#This Row],[Name]]))</f>
        <v>12</v>
      </c>
      <c r="E50" s="6">
        <f>IF(Gesamtzähler[[#This Row],[Spiele]]="","",IF(Gesamtzähler[[#This Row],[Spiele]]-COUNTIFS(Eingabe[Name],Gesamtzähler[[#This Row],[Name]],Eingabe[MP],"")=0,"",Gesamtzähler[[#This Row],[Spiele]]-COUNTIFS(Eingabe[Name],Gesamtzähler[[#This Row],[Name]],Eingabe[MP],"")))</f>
        <v>12</v>
      </c>
      <c r="F50" s="6">
        <f>IF(Gesamtzähler[[#This Row],[Spiele]]="","",SUMIF(Eingabe[Name],Gesamtzähler[[#This Row],[Name]],Eingabe[Volle]))</f>
        <v>4325</v>
      </c>
      <c r="G50" s="6">
        <f>IF(Gesamtzähler[[#This Row],[Spiele]]="","",SUMIF(Eingabe[Name],Gesamtzähler[[#This Row],[Name]],Eingabe[Räumer]))</f>
        <v>2020</v>
      </c>
      <c r="H50" s="6">
        <f>IF(Gesamtzähler[[#This Row],[Spiele]]="","",SUMIF(Eingabe[Name],Gesamtzähler[[#This Row],[Name]],Eingabe[Fehler]))</f>
        <v>51</v>
      </c>
      <c r="I50" s="6">
        <f>IF(Gesamtzähler[[#This Row],[Spiele]]="","",SUMIF(Eingabe[Name],Gesamtzähler[[#This Row],[Name]],Eingabe[GES]))</f>
        <v>6345</v>
      </c>
      <c r="J50" s="6">
        <f>IF(Gesamtzähler[[#This Row],[Spiele MP]]="","",SUMIF(Eingabe[Name],Gesamtzähler[[#This Row],[Name]],Eingabe[SP]))</f>
        <v>32.5</v>
      </c>
      <c r="K50" s="6">
        <f>IF(Gesamtzähler[[#This Row],[Spiele MP]]="","",SUMIF(Eingabe[Name],Gesamtzähler[[#This Row],[Name]],Eingabe[MP]))</f>
        <v>10</v>
      </c>
      <c r="L50" s="6">
        <f>IF(Gesamtzähler[[#This Row],[Spiele MP]]="","",SUMIF(Eingabe[Name],Gesamtzähler[[#This Row],[Name]],Eingabe[S1]))</f>
        <v>1551</v>
      </c>
      <c r="M50" s="6">
        <f>IF(Gesamtzähler[[#This Row],[Spiele MP]]="","",SUMIF(Eingabe[Name],Gesamtzähler[[#This Row],[Name]],Eingabe[S2]))</f>
        <v>1559</v>
      </c>
      <c r="N50" s="6">
        <f>IF(Gesamtzähler[[#This Row],[Spiele MP]]="","",SUMIF(Eingabe[Name],Gesamtzähler[[#This Row],[Name]],Eingabe[S3]))</f>
        <v>1601</v>
      </c>
      <c r="O50" s="6">
        <f>IF(Gesamtzähler[[#This Row],[Spiele MP]]="","",SUMIF(Eingabe[Name],Gesamtzähler[[#This Row],[Name]],Eingabe[S4]))</f>
        <v>1634</v>
      </c>
      <c r="P50" s="6">
        <f>IF(Gesamtzähler[[#This Row],[Spiele MP]]="","",SUMIF(Eingabe[Name],Gesamtzähler[[#This Row],[Name]],Eingabe[S1P]))</f>
        <v>5.5</v>
      </c>
      <c r="Q50" s="6">
        <f>IF(Gesamtzähler[[#This Row],[Spiele MP]]="","",SUMIF(Eingabe[Name],Gesamtzähler[[#This Row],[Name]],Eingabe[S2P]))</f>
        <v>9</v>
      </c>
      <c r="R50" s="6">
        <f>IF(Gesamtzähler[[#This Row],[Spiele MP]]="","",SUMIF(Eingabe[Name],Gesamtzähler[[#This Row],[Name]],Eingabe[S3P]))</f>
        <v>9</v>
      </c>
      <c r="S50" s="6">
        <f>IF(Gesamtzähler[[#This Row],[Spiele MP]]="","",SUMIF(Eingabe[Name],Gesamtzähler[[#This Row],[Name]],Eingabe[S4P]))</f>
        <v>9</v>
      </c>
      <c r="T50" s="6">
        <f>IF(Gesamtzähler[[#This Row],[Spiele MP]]="","",SUMIF(Eingabe[Name],Gesamtzähler[[#This Row],[Name]],Eingabe[GEGGES]))</f>
        <v>6216</v>
      </c>
      <c r="U50" s="21">
        <f>IF(COUNTIFS(Eingabe[Name],Gesamtzähler[[#This Row],[Name]],Eingabe[Wo],"H")=0,"",COUNTIFS(Eingabe[Name],Gesamtzähler[[#This Row],[Name]],Eingabe[Wo],"H"))</f>
        <v>9</v>
      </c>
      <c r="V50" s="6">
        <f>IF(Gesamtzähler[[#This Row],[Spiele H]]="","",Gesamtzähler[[#This Row],[Spiele H]]-COUNTIFS(Eingabe[Name],Gesamtzähler[[#This Row],[Name]],Eingabe[MP],"",Eingabe[Wo],"H"))</f>
        <v>9</v>
      </c>
      <c r="W50" s="6">
        <f>IF(Gesamtzähler[[#This Row],[Spiele H]]="","",SUMIFS(Eingabe[Volle],Eingabe[Name],Gesamtzähler[[#This Row],[Name]],Eingabe[Wo],"H"))</f>
        <v>3231</v>
      </c>
      <c r="X50" s="6">
        <f>IF(Gesamtzähler[[#This Row],[Spiele H]]="","",SUMIFS(Eingabe[Räumer],Eingabe[Name],Gesamtzähler[[#This Row],[Name]],Eingabe[Wo],"H"))</f>
        <v>1534</v>
      </c>
      <c r="Y50" s="6">
        <f>IF(Gesamtzähler[[#This Row],[Spiele H]]="","",SUMIFS(Eingabe[Fehler],Eingabe[Name],Gesamtzähler[[#This Row],[Name]],Eingabe[Wo],"H"))</f>
        <v>32</v>
      </c>
      <c r="Z50" s="6">
        <f>IF(Gesamtzähler[[#This Row],[Spiele MPH]]="","",SUMIFS(Eingabe[S1],Eingabe[Name],Gesamtzähler[[#This Row],[Name]],Eingabe[Wo],"H"))</f>
        <v>1185</v>
      </c>
      <c r="AA50" s="6">
        <f>IF(Gesamtzähler[[#This Row],[Spiele MPH]]="","",SUMIFS(Eingabe[S1P],Eingabe[Name],Gesamtzähler[[#This Row],[Name]],Eingabe[Wo],"H"))</f>
        <v>5</v>
      </c>
      <c r="AB50" s="6">
        <f>IF(Gesamtzähler[[#This Row],[Spiele MPH]]="","",SUMIFS(Eingabe[S2],Eingabe[Name],Gesamtzähler[[#This Row],[Name]],Eingabe[Wo],"H"))</f>
        <v>1146</v>
      </c>
      <c r="AC50" s="6">
        <f>IF(Gesamtzähler[[#This Row],[Spiele MPH]]="","",SUMIFS(Eingabe[S2P],Eingabe[Name],Gesamtzähler[[#This Row],[Name]],Eingabe[Wo],"H"))</f>
        <v>7</v>
      </c>
      <c r="AD50" s="6">
        <f>IF(Gesamtzähler[[#This Row],[Spiele MPH]]="","",SUMIFS(Eingabe[S3],Eingabe[Name],Gesamtzähler[[#This Row],[Name]],Eingabe[Wo],"H"))</f>
        <v>1198</v>
      </c>
      <c r="AE50" s="6">
        <f>IF(Gesamtzähler[[#This Row],[Spiele MPH]]="","",SUMIFS(Eingabe[S3P],Eingabe[Name],Gesamtzähler[[#This Row],[Name]],Eingabe[Wo],"H"))</f>
        <v>8</v>
      </c>
      <c r="AF50" s="203">
        <f>IF(Gesamtzähler[[#This Row],[Spiele MPH]]="","",SUMIFS(Eingabe[S4],Eingabe[Name],Gesamtzähler[[#This Row],[Name]],Eingabe[Wo],"H"))</f>
        <v>1236</v>
      </c>
      <c r="AG50" s="6">
        <f>IF(Gesamtzähler[[#This Row],[Spiele MPH]]="","",SUMIFS(Eingabe[S4P],Eingabe[Name],Gesamtzähler[[#This Row],[Name]],Eingabe[Wo],"H"))</f>
        <v>7</v>
      </c>
      <c r="AH50" s="6">
        <f>IF(Gesamtzähler[[#This Row],[Spiele MPH]]="","",SUMIFS(Eingabe[GEGGES],Eingabe[Name],Gesamtzähler[[#This Row],[Name]],Eingabe[Wo],"H"))</f>
        <v>4578</v>
      </c>
      <c r="AI50" s="6">
        <f>IF(Gesamtzähler[[#This Row],[Spiele H]]="","",SUMIFS(Eingabe[GES],Eingabe[Name],Gesamtzähler[[#This Row],[Name]],Eingabe[Wo],"H"))</f>
        <v>4765</v>
      </c>
      <c r="AJ50" s="6">
        <f>IF(Gesamtzähler[[#This Row],[Spiele MPH]]="","",SUMIFS(Eingabe[SP],Eingabe[Name],Gesamtzähler[[#This Row],[Name]],Eingabe[Wo],"H"))</f>
        <v>27</v>
      </c>
      <c r="AK50" s="6">
        <f>IF(Gesamtzähler[[#This Row],[Spiele MPH]]="","",SUMIFS(Eingabe[MP],Eingabe[Name],Gesamtzähler[[#This Row],[Name]],Eingabe[Wo],"H"))</f>
        <v>9</v>
      </c>
      <c r="AL50" s="6">
        <f>IF(COUNTIFS(Eingabe[Name],Gesamtzähler[[#This Row],[Name]],Eingabe[Wo],"A")=0,"",COUNTIFS(Eingabe[Name],Gesamtzähler[[#This Row],[Name]],Eingabe[Wo],"A"))</f>
        <v>3</v>
      </c>
      <c r="AM50" s="6">
        <f>IF(Gesamtzähler[[#This Row],[Spiele A]]="","",Gesamtzähler[[#This Row],[Spiele A]]-COUNTIFS(Eingabe[Name],Gesamtzähler[[#This Row],[Name]],Eingabe[MP],"",Eingabe[Wo],"A"))</f>
        <v>3</v>
      </c>
      <c r="AN50" s="6">
        <f>IF(Gesamtzähler[[#This Row],[Spiele A]]="","",SUMIFS(Eingabe[Volle],Eingabe[Name],Gesamtzähler[[#This Row],[Name]],Eingabe[Wo],"A"))</f>
        <v>1094</v>
      </c>
      <c r="AO50" s="6">
        <f>IF(Gesamtzähler[[#This Row],[Spiele A]]="","",SUMIFS(Eingabe[Räumer],Eingabe[Name],Gesamtzähler[[#This Row],[Name]],Eingabe[Wo],"A"))</f>
        <v>486</v>
      </c>
      <c r="AP50" s="6">
        <f>IF(Gesamtzähler[[#This Row],[Spiele A]]="","",SUMIFS(Eingabe[Fehler],Eingabe[Name],Gesamtzähler[[#This Row],[Name]],Eingabe[Wo],"A"))</f>
        <v>19</v>
      </c>
      <c r="AQ50" s="6">
        <f>IF(Gesamtzähler[[#This Row],[Spiele MPA]]="","",SUMIFS(Eingabe[S1],Eingabe[Name],Gesamtzähler[[#This Row],[Name]],Eingabe[Wo],"A"))</f>
        <v>366</v>
      </c>
      <c r="AR50" s="6">
        <f>IF(Gesamtzähler[[#This Row],[Spiele MPA]]="","",SUMIFS(Eingabe[S1P],Eingabe[Name],Gesamtzähler[[#This Row],[Name]],Eingabe[Wo],"A"))</f>
        <v>0.5</v>
      </c>
      <c r="AS50" s="6">
        <f>IF(Gesamtzähler[[#This Row],[Spiele MPA]]="","",SUMIFS(Eingabe[S2],Eingabe[Name],Gesamtzähler[[#This Row],[Name]],Eingabe[Wo],"A"))</f>
        <v>413</v>
      </c>
      <c r="AT50" s="6">
        <f>IF(Gesamtzähler[[#This Row],[Spiele MPA]]="","",SUMIFS(Eingabe[S2P],Eingabe[Name],Gesamtzähler[[#This Row],[Name]],Eingabe[Wo],"A"))</f>
        <v>2</v>
      </c>
      <c r="AU50" s="6">
        <f>IF(Gesamtzähler[[#This Row],[Spiele MPA]]="","",SUMIFS(Eingabe[S3],Eingabe[Name],Gesamtzähler[[#This Row],[Name]],Eingabe[Wo],"A"))</f>
        <v>403</v>
      </c>
      <c r="AV50" s="6">
        <f>IF(Gesamtzähler[[#This Row],[Spiele MPA]]="","",SUMIFS(Eingabe[S3P],Eingabe[Name],Gesamtzähler[[#This Row],[Name]],Eingabe[Wo],"A"))</f>
        <v>1</v>
      </c>
      <c r="AW50" s="6">
        <f>IF(Gesamtzähler[[#This Row],[Spiele MPA]]="","",SUMIFS(Eingabe[S4],Eingabe[Name],Gesamtzähler[[#This Row],[Name]],Eingabe[Wo],"A"))</f>
        <v>398</v>
      </c>
      <c r="AX50" s="6">
        <f>IF(Gesamtzähler[[#This Row],[Spiele MPA]]="","",SUMIFS(Eingabe[S4P],Eingabe[Name],Gesamtzähler[[#This Row],[Name]],Eingabe[Wo],"A"))</f>
        <v>2</v>
      </c>
      <c r="AY50" s="6">
        <f>IF(Gesamtzähler[[#This Row],[Spiele MPA]]="","",SUMIFS(Eingabe[GEGGES],Eingabe[Name],Gesamtzähler[[#This Row],[Name]],Eingabe[Wo],"A"))</f>
        <v>1638</v>
      </c>
      <c r="AZ50" s="6">
        <f>IF(Gesamtzähler[[#This Row],[Spiele A]]="","",SUMIFS(Eingabe[GES],Eingabe[Name],Gesamtzähler[[#This Row],[Name]],Eingabe[Wo],"A"))</f>
        <v>1580</v>
      </c>
      <c r="BA50" s="6">
        <f>IF(Gesamtzähler[[#This Row],[Spiele MPA]]="","",SUMIFS(Eingabe[SP],Eingabe[Name],Gesamtzähler[[#This Row],[Name]],Eingabe[Wo],"A"))</f>
        <v>5.5</v>
      </c>
      <c r="BB50" s="6">
        <f>IF(Gesamtzähler[[#This Row],[Spiele MPA]]="","",SUMIFS(Eingabe[MP],Eingabe[Name],Gesamtzähler[[#This Row],[Name]],Eingabe[Wo],"A"))</f>
        <v>1</v>
      </c>
      <c r="BC50" s="6"/>
      <c r="BD50" s="6"/>
      <c r="BE50" s="6"/>
      <c r="BF50" s="6"/>
    </row>
    <row r="51" spans="2:73" x14ac:dyDescent="0.3">
      <c r="B51" s="7" t="str">
        <f>VLOOKUP(ROW(Gesamtzähler[[#This Row],[Name]])-3,Teamzuordnung[],2,FALSE)</f>
        <v>Tim Beger</v>
      </c>
      <c r="C51" s="6" t="str">
        <f>IF(Gesamtzähler[[#This Row],[Name]]="","",VLOOKUP(Gesamtzähler[[#This Row],[Name]],Teamzuordnung[[Name]:[Team]],2,TRUE))</f>
        <v>Z</v>
      </c>
      <c r="D51" s="21">
        <f>IF(COUNTIFS(Eingabe[Name],Gesamtzähler[[#This Row],[Name]])=0,"",COUNTIFS(Eingabe[Name],Gesamtzähler[[#This Row],[Name]]))</f>
        <v>12</v>
      </c>
      <c r="E51" s="6">
        <f>IF(Gesamtzähler[[#This Row],[Spiele]]="","",IF(Gesamtzähler[[#This Row],[Spiele]]-COUNTIFS(Eingabe[Name],Gesamtzähler[[#This Row],[Name]],Eingabe[MP],"")=0,"",Gesamtzähler[[#This Row],[Spiele]]-COUNTIFS(Eingabe[Name],Gesamtzähler[[#This Row],[Name]],Eingabe[MP],"")))</f>
        <v>10</v>
      </c>
      <c r="F51" s="6">
        <f>IF(Gesamtzähler[[#This Row],[Spiele]]="","",SUMIF(Eingabe[Name],Gesamtzähler[[#This Row],[Name]],Eingabe[Volle]))</f>
        <v>4339</v>
      </c>
      <c r="G51" s="6">
        <f>IF(Gesamtzähler[[#This Row],[Spiele]]="","",SUMIF(Eingabe[Name],Gesamtzähler[[#This Row],[Name]],Eingabe[Räumer]))</f>
        <v>2049</v>
      </c>
      <c r="H51" s="6">
        <f>IF(Gesamtzähler[[#This Row],[Spiele]]="","",SUMIF(Eingabe[Name],Gesamtzähler[[#This Row],[Name]],Eingabe[Fehler]))</f>
        <v>91</v>
      </c>
      <c r="I51" s="6">
        <f>IF(Gesamtzähler[[#This Row],[Spiele]]="","",SUMIF(Eingabe[Name],Gesamtzähler[[#This Row],[Name]],Eingabe[GES]))</f>
        <v>6388</v>
      </c>
      <c r="J51" s="6">
        <f>IF(Gesamtzähler[[#This Row],[Spiele MP]]="","",SUMIF(Eingabe[Name],Gesamtzähler[[#This Row],[Name]],Eingabe[SP]))</f>
        <v>22</v>
      </c>
      <c r="K51" s="6">
        <f>IF(Gesamtzähler[[#This Row],[Spiele MP]]="","",SUMIF(Eingabe[Name],Gesamtzähler[[#This Row],[Name]],Eingabe[MP]))</f>
        <v>6</v>
      </c>
      <c r="L51" s="6">
        <f>IF(Gesamtzähler[[#This Row],[Spiele MP]]="","",SUMIF(Eingabe[Name],Gesamtzähler[[#This Row],[Name]],Eingabe[S1]))</f>
        <v>1485</v>
      </c>
      <c r="M51" s="6">
        <f>IF(Gesamtzähler[[#This Row],[Spiele MP]]="","",SUMIF(Eingabe[Name],Gesamtzähler[[#This Row],[Name]],Eingabe[S2]))</f>
        <v>1415</v>
      </c>
      <c r="N51" s="6">
        <f>IF(Gesamtzähler[[#This Row],[Spiele MP]]="","",SUMIF(Eingabe[Name],Gesamtzähler[[#This Row],[Name]],Eingabe[S3]))</f>
        <v>1444</v>
      </c>
      <c r="O51" s="6">
        <f>IF(Gesamtzähler[[#This Row],[Spiele MP]]="","",SUMIF(Eingabe[Name],Gesamtzähler[[#This Row],[Name]],Eingabe[S4]))</f>
        <v>1480</v>
      </c>
      <c r="P51" s="6">
        <f>IF(Gesamtzähler[[#This Row],[Spiele MP]]="","",SUMIF(Eingabe[Name],Gesamtzähler[[#This Row],[Name]],Eingabe[S1P]))</f>
        <v>8.5</v>
      </c>
      <c r="Q51" s="6">
        <f>IF(Gesamtzähler[[#This Row],[Spiele MP]]="","",SUMIF(Eingabe[Name],Gesamtzähler[[#This Row],[Name]],Eingabe[S2P]))</f>
        <v>3</v>
      </c>
      <c r="R51" s="6">
        <f>IF(Gesamtzähler[[#This Row],[Spiele MP]]="","",SUMIF(Eingabe[Name],Gesamtzähler[[#This Row],[Name]],Eingabe[S3P]))</f>
        <v>6</v>
      </c>
      <c r="S51" s="6">
        <f>IF(Gesamtzähler[[#This Row],[Spiele MP]]="","",SUMIF(Eingabe[Name],Gesamtzähler[[#This Row],[Name]],Eingabe[S4P]))</f>
        <v>4.5</v>
      </c>
      <c r="T51" s="6">
        <f>IF(Gesamtzähler[[#This Row],[Spiele MP]]="","",SUMIF(Eingabe[Name],Gesamtzähler[[#This Row],[Name]],Eingabe[GEGGES]))</f>
        <v>5189</v>
      </c>
      <c r="U51" s="21">
        <f>IF(COUNTIFS(Eingabe[Name],Gesamtzähler[[#This Row],[Name]],Eingabe[Wo],"H")=0,"",COUNTIFS(Eingabe[Name],Gesamtzähler[[#This Row],[Name]],Eingabe[Wo],"H"))</f>
        <v>5</v>
      </c>
      <c r="V51" s="6">
        <f>IF(Gesamtzähler[[#This Row],[Spiele H]]="","",Gesamtzähler[[#This Row],[Spiele H]]-COUNTIFS(Eingabe[Name],Gesamtzähler[[#This Row],[Name]],Eingabe[MP],"",Eingabe[Wo],"H"))</f>
        <v>5</v>
      </c>
      <c r="W51" s="6">
        <f>IF(Gesamtzähler[[#This Row],[Spiele H]]="","",SUMIFS(Eingabe[Volle],Eingabe[Name],Gesamtzähler[[#This Row],[Name]],Eingabe[Wo],"H"))</f>
        <v>1765</v>
      </c>
      <c r="X51" s="6">
        <f>IF(Gesamtzähler[[#This Row],[Spiele H]]="","",SUMIFS(Eingabe[Räumer],Eingabe[Name],Gesamtzähler[[#This Row],[Name]],Eingabe[Wo],"H"))</f>
        <v>800</v>
      </c>
      <c r="Y51" s="6">
        <f>IF(Gesamtzähler[[#This Row],[Spiele H]]="","",SUMIFS(Eingabe[Fehler],Eingabe[Name],Gesamtzähler[[#This Row],[Name]],Eingabe[Wo],"H"))</f>
        <v>38</v>
      </c>
      <c r="Z51" s="6">
        <f>IF(Gesamtzähler[[#This Row],[Spiele MPH]]="","",SUMIFS(Eingabe[S1],Eingabe[Name],Gesamtzähler[[#This Row],[Name]],Eingabe[Wo],"H"))</f>
        <v>632</v>
      </c>
      <c r="AA51" s="6">
        <f>IF(Gesamtzähler[[#This Row],[Spiele MPH]]="","",SUMIFS(Eingabe[S1P],Eingabe[Name],Gesamtzähler[[#This Row],[Name]],Eingabe[Wo],"H"))</f>
        <v>4.5</v>
      </c>
      <c r="AB51" s="6">
        <f>IF(Gesamtzähler[[#This Row],[Spiele MPH]]="","",SUMIFS(Eingabe[S2],Eingabe[Name],Gesamtzähler[[#This Row],[Name]],Eingabe[Wo],"H"))</f>
        <v>632</v>
      </c>
      <c r="AC51" s="6">
        <f>IF(Gesamtzähler[[#This Row],[Spiele MPH]]="","",SUMIFS(Eingabe[S2P],Eingabe[Name],Gesamtzähler[[#This Row],[Name]],Eingabe[Wo],"H"))</f>
        <v>2</v>
      </c>
      <c r="AD51" s="6">
        <f>IF(Gesamtzähler[[#This Row],[Spiele MPH]]="","",SUMIFS(Eingabe[S3],Eingabe[Name],Gesamtzähler[[#This Row],[Name]],Eingabe[Wo],"H"))</f>
        <v>663</v>
      </c>
      <c r="AE51" s="6">
        <f>IF(Gesamtzähler[[#This Row],[Spiele MPH]]="","",SUMIFS(Eingabe[S3P],Eingabe[Name],Gesamtzähler[[#This Row],[Name]],Eingabe[Wo],"H"))</f>
        <v>4</v>
      </c>
      <c r="AF51" s="203">
        <f>IF(Gesamtzähler[[#This Row],[Spiele MPH]]="","",SUMIFS(Eingabe[S4],Eingabe[Name],Gesamtzähler[[#This Row],[Name]],Eingabe[Wo],"H"))</f>
        <v>638</v>
      </c>
      <c r="AG51" s="6">
        <f>IF(Gesamtzähler[[#This Row],[Spiele MPH]]="","",SUMIFS(Eingabe[S4P],Eingabe[Name],Gesamtzähler[[#This Row],[Name]],Eingabe[Wo],"H"))</f>
        <v>2</v>
      </c>
      <c r="AH51" s="6">
        <f>IF(Gesamtzähler[[#This Row],[Spiele MPH]]="","",SUMIFS(Eingabe[GEGGES],Eingabe[Name],Gesamtzähler[[#This Row],[Name]],Eingabe[Wo],"H"))</f>
        <v>2475</v>
      </c>
      <c r="AI51" s="6">
        <f>IF(Gesamtzähler[[#This Row],[Spiele H]]="","",SUMIFS(Eingabe[GES],Eingabe[Name],Gesamtzähler[[#This Row],[Name]],Eingabe[Wo],"H"))</f>
        <v>2565</v>
      </c>
      <c r="AJ51" s="6">
        <f>IF(Gesamtzähler[[#This Row],[Spiele MPH]]="","",SUMIFS(Eingabe[SP],Eingabe[Name],Gesamtzähler[[#This Row],[Name]],Eingabe[Wo],"H"))</f>
        <v>12.5</v>
      </c>
      <c r="AK51" s="6">
        <f>IF(Gesamtzähler[[#This Row],[Spiele MPH]]="","",SUMIFS(Eingabe[MP],Eingabe[Name],Gesamtzähler[[#This Row],[Name]],Eingabe[Wo],"H"))</f>
        <v>3</v>
      </c>
      <c r="AL51" s="6">
        <f>IF(COUNTIFS(Eingabe[Name],Gesamtzähler[[#This Row],[Name]],Eingabe[Wo],"A")=0,"",COUNTIFS(Eingabe[Name],Gesamtzähler[[#This Row],[Name]],Eingabe[Wo],"A"))</f>
        <v>7</v>
      </c>
      <c r="AM51" s="6">
        <f>IF(Gesamtzähler[[#This Row],[Spiele A]]="","",Gesamtzähler[[#This Row],[Spiele A]]-COUNTIFS(Eingabe[Name],Gesamtzähler[[#This Row],[Name]],Eingabe[MP],"",Eingabe[Wo],"A"))</f>
        <v>5</v>
      </c>
      <c r="AN51" s="6">
        <f>IF(Gesamtzähler[[#This Row],[Spiele A]]="","",SUMIFS(Eingabe[Volle],Eingabe[Name],Gesamtzähler[[#This Row],[Name]],Eingabe[Wo],"A"))</f>
        <v>2574</v>
      </c>
      <c r="AO51" s="6">
        <f>IF(Gesamtzähler[[#This Row],[Spiele A]]="","",SUMIFS(Eingabe[Räumer],Eingabe[Name],Gesamtzähler[[#This Row],[Name]],Eingabe[Wo],"A"))</f>
        <v>1249</v>
      </c>
      <c r="AP51" s="6">
        <f>IF(Gesamtzähler[[#This Row],[Spiele A]]="","",SUMIFS(Eingabe[Fehler],Eingabe[Name],Gesamtzähler[[#This Row],[Name]],Eingabe[Wo],"A"))</f>
        <v>53</v>
      </c>
      <c r="AQ51" s="6">
        <f>IF(Gesamtzähler[[#This Row],[Spiele MPA]]="","",SUMIFS(Eingabe[S1],Eingabe[Name],Gesamtzähler[[#This Row],[Name]],Eingabe[Wo],"A"))</f>
        <v>853</v>
      </c>
      <c r="AR51" s="6">
        <f>IF(Gesamtzähler[[#This Row],[Spiele MPA]]="","",SUMIFS(Eingabe[S1P],Eingabe[Name],Gesamtzähler[[#This Row],[Name]],Eingabe[Wo],"A"))</f>
        <v>4</v>
      </c>
      <c r="AS51" s="6">
        <f>IF(Gesamtzähler[[#This Row],[Spiele MPA]]="","",SUMIFS(Eingabe[S2],Eingabe[Name],Gesamtzähler[[#This Row],[Name]],Eingabe[Wo],"A"))</f>
        <v>783</v>
      </c>
      <c r="AT51" s="6">
        <f>IF(Gesamtzähler[[#This Row],[Spiele MPA]]="","",SUMIFS(Eingabe[S2P],Eingabe[Name],Gesamtzähler[[#This Row],[Name]],Eingabe[Wo],"A"))</f>
        <v>1</v>
      </c>
      <c r="AU51" s="6">
        <f>IF(Gesamtzähler[[#This Row],[Spiele MPA]]="","",SUMIFS(Eingabe[S3],Eingabe[Name],Gesamtzähler[[#This Row],[Name]],Eingabe[Wo],"A"))</f>
        <v>781</v>
      </c>
      <c r="AV51" s="6">
        <f>IF(Gesamtzähler[[#This Row],[Spiele MPA]]="","",SUMIFS(Eingabe[S3P],Eingabe[Name],Gesamtzähler[[#This Row],[Name]],Eingabe[Wo],"A"))</f>
        <v>2</v>
      </c>
      <c r="AW51" s="6">
        <f>IF(Gesamtzähler[[#This Row],[Spiele MPA]]="","",SUMIFS(Eingabe[S4],Eingabe[Name],Gesamtzähler[[#This Row],[Name]],Eingabe[Wo],"A"))</f>
        <v>842</v>
      </c>
      <c r="AX51" s="6">
        <f>IF(Gesamtzähler[[#This Row],[Spiele MPA]]="","",SUMIFS(Eingabe[S4P],Eingabe[Name],Gesamtzähler[[#This Row],[Name]],Eingabe[Wo],"A"))</f>
        <v>2.5</v>
      </c>
      <c r="AY51" s="6">
        <f>IF(Gesamtzähler[[#This Row],[Spiele MPA]]="","",SUMIFS(Eingabe[GEGGES],Eingabe[Name],Gesamtzähler[[#This Row],[Name]],Eingabe[Wo],"A"))</f>
        <v>2714</v>
      </c>
      <c r="AZ51" s="6">
        <f>IF(Gesamtzähler[[#This Row],[Spiele A]]="","",SUMIFS(Eingabe[GES],Eingabe[Name],Gesamtzähler[[#This Row],[Name]],Eingabe[Wo],"A"))</f>
        <v>3823</v>
      </c>
      <c r="BA51" s="6">
        <f>IF(Gesamtzähler[[#This Row],[Spiele MPA]]="","",SUMIFS(Eingabe[SP],Eingabe[Name],Gesamtzähler[[#This Row],[Name]],Eingabe[Wo],"A"))</f>
        <v>9.5</v>
      </c>
      <c r="BB51" s="6">
        <f>IF(Gesamtzähler[[#This Row],[Spiele MPA]]="","",SUMIFS(Eingabe[MP],Eingabe[Name],Gesamtzähler[[#This Row],[Name]],Eingabe[Wo],"A"))</f>
        <v>3</v>
      </c>
      <c r="BC51" s="6"/>
      <c r="BD51" s="6"/>
      <c r="BE51" s="6"/>
      <c r="BF51" s="6"/>
    </row>
    <row r="52" spans="2:73" x14ac:dyDescent="0.3">
      <c r="B52" s="7" t="str">
        <f>VLOOKUP(ROW(Gesamtzähler[[#This Row],[Name]])-3,Teamzuordnung[],2,FALSE)</f>
        <v>Ulli Baumgarten</v>
      </c>
      <c r="C52" s="6" t="str">
        <f>IF(Gesamtzähler[[#This Row],[Name]]="","",VLOOKUP(Gesamtzähler[[#This Row],[Name]],Teamzuordnung[[Name]:[Team]],2,TRUE))</f>
        <v>D</v>
      </c>
      <c r="D52" s="21">
        <f>IF(COUNTIFS(Eingabe[Name],Gesamtzähler[[#This Row],[Name]])=0,"",COUNTIFS(Eingabe[Name],Gesamtzähler[[#This Row],[Name]]))</f>
        <v>3</v>
      </c>
      <c r="E52" s="6">
        <f>IF(Gesamtzähler[[#This Row],[Spiele]]="","",IF(Gesamtzähler[[#This Row],[Spiele]]-COUNTIFS(Eingabe[Name],Gesamtzähler[[#This Row],[Name]],Eingabe[MP],"")=0,"",Gesamtzähler[[#This Row],[Spiele]]-COUNTIFS(Eingabe[Name],Gesamtzähler[[#This Row],[Name]],Eingabe[MP],"")))</f>
        <v>3</v>
      </c>
      <c r="F52" s="6">
        <f>IF(Gesamtzähler[[#This Row],[Spiele]]="","",SUMIF(Eingabe[Name],Gesamtzähler[[#This Row],[Name]],Eingabe[Volle]))</f>
        <v>1082</v>
      </c>
      <c r="G52" s="6">
        <f>IF(Gesamtzähler[[#This Row],[Spiele]]="","",SUMIF(Eingabe[Name],Gesamtzähler[[#This Row],[Name]],Eingabe[Räumer]))</f>
        <v>416</v>
      </c>
      <c r="H52" s="6">
        <f>IF(Gesamtzähler[[#This Row],[Spiele]]="","",SUMIF(Eingabe[Name],Gesamtzähler[[#This Row],[Name]],Eingabe[Fehler]))</f>
        <v>30</v>
      </c>
      <c r="I52" s="6">
        <f>IF(Gesamtzähler[[#This Row],[Spiele]]="","",SUMIF(Eingabe[Name],Gesamtzähler[[#This Row],[Name]],Eingabe[GES]))</f>
        <v>1498</v>
      </c>
      <c r="J52" s="6">
        <f>IF(Gesamtzähler[[#This Row],[Spiele MP]]="","",SUMIF(Eingabe[Name],Gesamtzähler[[#This Row],[Name]],Eingabe[SP]))</f>
        <v>6</v>
      </c>
      <c r="K52" s="6">
        <f>IF(Gesamtzähler[[#This Row],[Spiele MP]]="","",SUMIF(Eingabe[Name],Gesamtzähler[[#This Row],[Name]],Eingabe[MP]))</f>
        <v>2</v>
      </c>
      <c r="L52" s="6">
        <f>IF(Gesamtzähler[[#This Row],[Spiele MP]]="","",SUMIF(Eingabe[Name],Gesamtzähler[[#This Row],[Name]],Eingabe[S1]))</f>
        <v>366</v>
      </c>
      <c r="M52" s="6">
        <f>IF(Gesamtzähler[[#This Row],[Spiele MP]]="","",SUMIF(Eingabe[Name],Gesamtzähler[[#This Row],[Name]],Eingabe[S2]))</f>
        <v>378</v>
      </c>
      <c r="N52" s="6">
        <f>IF(Gesamtzähler[[#This Row],[Spiele MP]]="","",SUMIF(Eingabe[Name],Gesamtzähler[[#This Row],[Name]],Eingabe[S3]))</f>
        <v>385</v>
      </c>
      <c r="O52" s="6">
        <f>IF(Gesamtzähler[[#This Row],[Spiele MP]]="","",SUMIF(Eingabe[Name],Gesamtzähler[[#This Row],[Name]],Eingabe[S4]))</f>
        <v>369</v>
      </c>
      <c r="P52" s="6">
        <f>IF(Gesamtzähler[[#This Row],[Spiele MP]]="","",SUMIF(Eingabe[Name],Gesamtzähler[[#This Row],[Name]],Eingabe[S1P]))</f>
        <v>1</v>
      </c>
      <c r="Q52" s="6">
        <f>IF(Gesamtzähler[[#This Row],[Spiele MP]]="","",SUMIF(Eingabe[Name],Gesamtzähler[[#This Row],[Name]],Eingabe[S2P]))</f>
        <v>2</v>
      </c>
      <c r="R52" s="6">
        <f>IF(Gesamtzähler[[#This Row],[Spiele MP]]="","",SUMIF(Eingabe[Name],Gesamtzähler[[#This Row],[Name]],Eingabe[S3P]))</f>
        <v>2</v>
      </c>
      <c r="S52" s="6">
        <f>IF(Gesamtzähler[[#This Row],[Spiele MP]]="","",SUMIF(Eingabe[Name],Gesamtzähler[[#This Row],[Name]],Eingabe[S4P]))</f>
        <v>1</v>
      </c>
      <c r="T52" s="6">
        <f>IF(Gesamtzähler[[#This Row],[Spiele MP]]="","",SUMIF(Eingabe[Name],Gesamtzähler[[#This Row],[Name]],Eingabe[GEGGES]))</f>
        <v>1497</v>
      </c>
      <c r="U52" s="21" t="str">
        <f>IF(COUNTIFS(Eingabe[Name],Gesamtzähler[[#This Row],[Name]],Eingabe[Wo],"H")=0,"",COUNTIFS(Eingabe[Name],Gesamtzähler[[#This Row],[Name]],Eingabe[Wo],"H"))</f>
        <v/>
      </c>
      <c r="V52" s="6" t="str">
        <f>IF(Gesamtzähler[[#This Row],[Spiele H]]="","",Gesamtzähler[[#This Row],[Spiele H]]-COUNTIFS(Eingabe[Name],Gesamtzähler[[#This Row],[Name]],Eingabe[MP],"",Eingabe[Wo],"H"))</f>
        <v/>
      </c>
      <c r="W52" s="6" t="str">
        <f>IF(Gesamtzähler[[#This Row],[Spiele H]]="","",SUMIFS(Eingabe[Volle],Eingabe[Name],Gesamtzähler[[#This Row],[Name]],Eingabe[Wo],"H"))</f>
        <v/>
      </c>
      <c r="X52" s="6" t="str">
        <f>IF(Gesamtzähler[[#This Row],[Spiele H]]="","",SUMIFS(Eingabe[Räumer],Eingabe[Name],Gesamtzähler[[#This Row],[Name]],Eingabe[Wo],"H"))</f>
        <v/>
      </c>
      <c r="Y52" s="6" t="str">
        <f>IF(Gesamtzähler[[#This Row],[Spiele H]]="","",SUMIFS(Eingabe[Fehler],Eingabe[Name],Gesamtzähler[[#This Row],[Name]],Eingabe[Wo],"H"))</f>
        <v/>
      </c>
      <c r="Z52" s="6" t="str">
        <f>IF(Gesamtzähler[[#This Row],[Spiele MPH]]="","",SUMIFS(Eingabe[S1],Eingabe[Name],Gesamtzähler[[#This Row],[Name]],Eingabe[Wo],"H"))</f>
        <v/>
      </c>
      <c r="AA52" s="6" t="str">
        <f>IF(Gesamtzähler[[#This Row],[Spiele MPH]]="","",SUMIFS(Eingabe[S1P],Eingabe[Name],Gesamtzähler[[#This Row],[Name]],Eingabe[Wo],"H"))</f>
        <v/>
      </c>
      <c r="AB52" s="6" t="str">
        <f>IF(Gesamtzähler[[#This Row],[Spiele MPH]]="","",SUMIFS(Eingabe[S2],Eingabe[Name],Gesamtzähler[[#This Row],[Name]],Eingabe[Wo],"H"))</f>
        <v/>
      </c>
      <c r="AC52" s="6" t="str">
        <f>IF(Gesamtzähler[[#This Row],[Spiele MPH]]="","",SUMIFS(Eingabe[S2P],Eingabe[Name],Gesamtzähler[[#This Row],[Name]],Eingabe[Wo],"H"))</f>
        <v/>
      </c>
      <c r="AD52" s="6" t="str">
        <f>IF(Gesamtzähler[[#This Row],[Spiele MPH]]="","",SUMIFS(Eingabe[S3],Eingabe[Name],Gesamtzähler[[#This Row],[Name]],Eingabe[Wo],"H"))</f>
        <v/>
      </c>
      <c r="AE52" s="6" t="str">
        <f>IF(Gesamtzähler[[#This Row],[Spiele MPH]]="","",SUMIFS(Eingabe[S3P],Eingabe[Name],Gesamtzähler[[#This Row],[Name]],Eingabe[Wo],"H"))</f>
        <v/>
      </c>
      <c r="AF52" s="203" t="str">
        <f>IF(Gesamtzähler[[#This Row],[Spiele MPH]]="","",SUMIFS(Eingabe[S4],Eingabe[Name],Gesamtzähler[[#This Row],[Name]],Eingabe[Wo],"H"))</f>
        <v/>
      </c>
      <c r="AG52" s="6" t="str">
        <f>IF(Gesamtzähler[[#This Row],[Spiele MPH]]="","",SUMIFS(Eingabe[S4P],Eingabe[Name],Gesamtzähler[[#This Row],[Name]],Eingabe[Wo],"H"))</f>
        <v/>
      </c>
      <c r="AH52" s="6" t="str">
        <f>IF(Gesamtzähler[[#This Row],[Spiele MPH]]="","",SUMIFS(Eingabe[GEGGES],Eingabe[Name],Gesamtzähler[[#This Row],[Name]],Eingabe[Wo],"H"))</f>
        <v/>
      </c>
      <c r="AI52" s="6" t="str">
        <f>IF(Gesamtzähler[[#This Row],[Spiele H]]="","",SUMIFS(Eingabe[GES],Eingabe[Name],Gesamtzähler[[#This Row],[Name]],Eingabe[Wo],"H"))</f>
        <v/>
      </c>
      <c r="AJ52" s="6" t="str">
        <f>IF(Gesamtzähler[[#This Row],[Spiele MPH]]="","",SUMIFS(Eingabe[SP],Eingabe[Name],Gesamtzähler[[#This Row],[Name]],Eingabe[Wo],"H"))</f>
        <v/>
      </c>
      <c r="AK52" s="6" t="str">
        <f>IF(Gesamtzähler[[#This Row],[Spiele MPH]]="","",SUMIFS(Eingabe[MP],Eingabe[Name],Gesamtzähler[[#This Row],[Name]],Eingabe[Wo],"H"))</f>
        <v/>
      </c>
      <c r="AL52" s="6">
        <f>IF(COUNTIFS(Eingabe[Name],Gesamtzähler[[#This Row],[Name]],Eingabe[Wo],"A")=0,"",COUNTIFS(Eingabe[Name],Gesamtzähler[[#This Row],[Name]],Eingabe[Wo],"A"))</f>
        <v>3</v>
      </c>
      <c r="AM52" s="6">
        <f>IF(Gesamtzähler[[#This Row],[Spiele A]]="","",Gesamtzähler[[#This Row],[Spiele A]]-COUNTIFS(Eingabe[Name],Gesamtzähler[[#This Row],[Name]],Eingabe[MP],"",Eingabe[Wo],"A"))</f>
        <v>3</v>
      </c>
      <c r="AN52" s="6">
        <f>IF(Gesamtzähler[[#This Row],[Spiele A]]="","",SUMIFS(Eingabe[Volle],Eingabe[Name],Gesamtzähler[[#This Row],[Name]],Eingabe[Wo],"A"))</f>
        <v>1082</v>
      </c>
      <c r="AO52" s="6">
        <f>IF(Gesamtzähler[[#This Row],[Spiele A]]="","",SUMIFS(Eingabe[Räumer],Eingabe[Name],Gesamtzähler[[#This Row],[Name]],Eingabe[Wo],"A"))</f>
        <v>416</v>
      </c>
      <c r="AP52" s="6">
        <f>IF(Gesamtzähler[[#This Row],[Spiele A]]="","",SUMIFS(Eingabe[Fehler],Eingabe[Name],Gesamtzähler[[#This Row],[Name]],Eingabe[Wo],"A"))</f>
        <v>30</v>
      </c>
      <c r="AQ52" s="6">
        <f>IF(Gesamtzähler[[#This Row],[Spiele MPA]]="","",SUMIFS(Eingabe[S1],Eingabe[Name],Gesamtzähler[[#This Row],[Name]],Eingabe[Wo],"A"))</f>
        <v>366</v>
      </c>
      <c r="AR52" s="6">
        <f>IF(Gesamtzähler[[#This Row],[Spiele MPA]]="","",SUMIFS(Eingabe[S1P],Eingabe[Name],Gesamtzähler[[#This Row],[Name]],Eingabe[Wo],"A"))</f>
        <v>1</v>
      </c>
      <c r="AS52" s="6">
        <f>IF(Gesamtzähler[[#This Row],[Spiele MPA]]="","",SUMIFS(Eingabe[S2],Eingabe[Name],Gesamtzähler[[#This Row],[Name]],Eingabe[Wo],"A"))</f>
        <v>378</v>
      </c>
      <c r="AT52" s="6">
        <f>IF(Gesamtzähler[[#This Row],[Spiele MPA]]="","",SUMIFS(Eingabe[S2P],Eingabe[Name],Gesamtzähler[[#This Row],[Name]],Eingabe[Wo],"A"))</f>
        <v>2</v>
      </c>
      <c r="AU52" s="6">
        <f>IF(Gesamtzähler[[#This Row],[Spiele MPA]]="","",SUMIFS(Eingabe[S3],Eingabe[Name],Gesamtzähler[[#This Row],[Name]],Eingabe[Wo],"A"))</f>
        <v>385</v>
      </c>
      <c r="AV52" s="6">
        <f>IF(Gesamtzähler[[#This Row],[Spiele MPA]]="","",SUMIFS(Eingabe[S3P],Eingabe[Name],Gesamtzähler[[#This Row],[Name]],Eingabe[Wo],"A"))</f>
        <v>2</v>
      </c>
      <c r="AW52" s="6">
        <f>IF(Gesamtzähler[[#This Row],[Spiele MPA]]="","",SUMIFS(Eingabe[S4],Eingabe[Name],Gesamtzähler[[#This Row],[Name]],Eingabe[Wo],"A"))</f>
        <v>369</v>
      </c>
      <c r="AX52" s="6">
        <f>IF(Gesamtzähler[[#This Row],[Spiele MPA]]="","",SUMIFS(Eingabe[S4P],Eingabe[Name],Gesamtzähler[[#This Row],[Name]],Eingabe[Wo],"A"))</f>
        <v>1</v>
      </c>
      <c r="AY52" s="6">
        <f>IF(Gesamtzähler[[#This Row],[Spiele MPA]]="","",SUMIFS(Eingabe[GEGGES],Eingabe[Name],Gesamtzähler[[#This Row],[Name]],Eingabe[Wo],"A"))</f>
        <v>1497</v>
      </c>
      <c r="AZ52" s="6">
        <f>IF(Gesamtzähler[[#This Row],[Spiele A]]="","",SUMIFS(Eingabe[GES],Eingabe[Name],Gesamtzähler[[#This Row],[Name]],Eingabe[Wo],"A"))</f>
        <v>1498</v>
      </c>
      <c r="BA52" s="6">
        <f>IF(Gesamtzähler[[#This Row],[Spiele MPA]]="","",SUMIFS(Eingabe[SP],Eingabe[Name],Gesamtzähler[[#This Row],[Name]],Eingabe[Wo],"A"))</f>
        <v>6</v>
      </c>
      <c r="BB52" s="6">
        <f>IF(Gesamtzähler[[#This Row],[Spiele MPA]]="","",SUMIFS(Eingabe[MP],Eingabe[Name],Gesamtzähler[[#This Row],[Name]],Eingabe[Wo],"A"))</f>
        <v>2</v>
      </c>
      <c r="BC52" s="6"/>
      <c r="BD52" s="6"/>
      <c r="BE52" s="6"/>
      <c r="BF52" s="6"/>
    </row>
    <row r="53" spans="2:73" ht="16.2" thickBot="1" x14ac:dyDescent="0.35">
      <c r="B53" s="7" t="str">
        <f>VLOOKUP(ROW(Gesamtzähler[[#This Row],[Name]])-3,Teamzuordnung[],2,FALSE)</f>
        <v>Uwe Zippack</v>
      </c>
      <c r="C53" s="6" t="str">
        <f>IF(Gesamtzähler[[#This Row],[Name]]="","",VLOOKUP(Gesamtzähler[[#This Row],[Name]],Teamzuordnung[[Name]:[Team]],2,TRUE))</f>
        <v>Z</v>
      </c>
      <c r="D53" s="21">
        <f>IF(COUNTIFS(Eingabe[Name],Gesamtzähler[[#This Row],[Name]])=0,"",COUNTIFS(Eingabe[Name],Gesamtzähler[[#This Row],[Name]]))</f>
        <v>10</v>
      </c>
      <c r="E53" s="6">
        <f>IF(Gesamtzähler[[#This Row],[Spiele]]="","",IF(Gesamtzähler[[#This Row],[Spiele]]-COUNTIFS(Eingabe[Name],Gesamtzähler[[#This Row],[Name]],Eingabe[MP],"")=0,"",Gesamtzähler[[#This Row],[Spiele]]-COUNTIFS(Eingabe[Name],Gesamtzähler[[#This Row],[Name]],Eingabe[MP],"")))</f>
        <v>10</v>
      </c>
      <c r="F53" s="6">
        <f>IF(Gesamtzähler[[#This Row],[Spiele]]="","",SUMIF(Eingabe[Name],Gesamtzähler[[#This Row],[Name]],Eingabe[Volle]))</f>
        <v>3513</v>
      </c>
      <c r="G53" s="6">
        <f>IF(Gesamtzähler[[#This Row],[Spiele]]="","",SUMIF(Eingabe[Name],Gesamtzähler[[#This Row],[Name]],Eingabe[Räumer]))</f>
        <v>1733</v>
      </c>
      <c r="H53" s="6">
        <f>IF(Gesamtzähler[[#This Row],[Spiele]]="","",SUMIF(Eingabe[Name],Gesamtzähler[[#This Row],[Name]],Eingabe[Fehler]))</f>
        <v>46</v>
      </c>
      <c r="I53" s="6">
        <f>IF(Gesamtzähler[[#This Row],[Spiele]]="","",SUMIF(Eingabe[Name],Gesamtzähler[[#This Row],[Name]],Eingabe[GES]))</f>
        <v>5246</v>
      </c>
      <c r="J53" s="6">
        <f>IF(Gesamtzähler[[#This Row],[Spiele MP]]="","",SUMIF(Eingabe[Name],Gesamtzähler[[#This Row],[Name]],Eingabe[SP]))</f>
        <v>20</v>
      </c>
      <c r="K53" s="6">
        <f>IF(Gesamtzähler[[#This Row],[Spiele MP]]="","",SUMIF(Eingabe[Name],Gesamtzähler[[#This Row],[Name]],Eingabe[MP]))</f>
        <v>5</v>
      </c>
      <c r="L53" s="6">
        <f>IF(Gesamtzähler[[#This Row],[Spiele MP]]="","",SUMIF(Eingabe[Name],Gesamtzähler[[#This Row],[Name]],Eingabe[S1]))</f>
        <v>1347</v>
      </c>
      <c r="M53" s="6">
        <f>IF(Gesamtzähler[[#This Row],[Spiele MP]]="","",SUMIF(Eingabe[Name],Gesamtzähler[[#This Row],[Name]],Eingabe[S2]))</f>
        <v>1270</v>
      </c>
      <c r="N53" s="6">
        <f>IF(Gesamtzähler[[#This Row],[Spiele MP]]="","",SUMIF(Eingabe[Name],Gesamtzähler[[#This Row],[Name]],Eingabe[S3]))</f>
        <v>1290</v>
      </c>
      <c r="O53" s="6">
        <f>IF(Gesamtzähler[[#This Row],[Spiele MP]]="","",SUMIF(Eingabe[Name],Gesamtzähler[[#This Row],[Name]],Eingabe[S4]))</f>
        <v>1339</v>
      </c>
      <c r="P53" s="6">
        <f>IF(Gesamtzähler[[#This Row],[Spiele MP]]="","",SUMIF(Eingabe[Name],Gesamtzähler[[#This Row],[Name]],Eingabe[S1P]))</f>
        <v>6</v>
      </c>
      <c r="Q53" s="6">
        <f>IF(Gesamtzähler[[#This Row],[Spiele MP]]="","",SUMIF(Eingabe[Name],Gesamtzähler[[#This Row],[Name]],Eingabe[S2P]))</f>
        <v>2</v>
      </c>
      <c r="R53" s="6">
        <f>IF(Gesamtzähler[[#This Row],[Spiele MP]]="","",SUMIF(Eingabe[Name],Gesamtzähler[[#This Row],[Name]],Eingabe[S3P]))</f>
        <v>6</v>
      </c>
      <c r="S53" s="6">
        <f>IF(Gesamtzähler[[#This Row],[Spiele MP]]="","",SUMIF(Eingabe[Name],Gesamtzähler[[#This Row],[Name]],Eingabe[S4P]))</f>
        <v>6</v>
      </c>
      <c r="T53" s="6">
        <f>IF(Gesamtzähler[[#This Row],[Spiele MP]]="","",SUMIF(Eingabe[Name],Gesamtzähler[[#This Row],[Name]],Eingabe[GEGGES]))</f>
        <v>5283</v>
      </c>
      <c r="U53" s="21">
        <f>IF(COUNTIFS(Eingabe[Name],Gesamtzähler[[#This Row],[Name]],Eingabe[Wo],"H")=0,"",COUNTIFS(Eingabe[Name],Gesamtzähler[[#This Row],[Name]],Eingabe[Wo],"H"))</f>
        <v>5</v>
      </c>
      <c r="V53" s="6">
        <f>IF(Gesamtzähler[[#This Row],[Spiele H]]="","",Gesamtzähler[[#This Row],[Spiele H]]-COUNTIFS(Eingabe[Name],Gesamtzähler[[#This Row],[Name]],Eingabe[MP],"",Eingabe[Wo],"H"))</f>
        <v>5</v>
      </c>
      <c r="W53" s="6">
        <f>IF(Gesamtzähler[[#This Row],[Spiele H]]="","",SUMIFS(Eingabe[Volle],Eingabe[Name],Gesamtzähler[[#This Row],[Name]],Eingabe[Wo],"H"))</f>
        <v>1728</v>
      </c>
      <c r="X53" s="6">
        <f>IF(Gesamtzähler[[#This Row],[Spiele H]]="","",SUMIFS(Eingabe[Räumer],Eingabe[Name],Gesamtzähler[[#This Row],[Name]],Eingabe[Wo],"H"))</f>
        <v>828</v>
      </c>
      <c r="Y53" s="6">
        <f>IF(Gesamtzähler[[#This Row],[Spiele H]]="","",SUMIFS(Eingabe[Fehler],Eingabe[Name],Gesamtzähler[[#This Row],[Name]],Eingabe[Wo],"H"))</f>
        <v>24</v>
      </c>
      <c r="Z53" s="6">
        <f>IF(Gesamtzähler[[#This Row],[Spiele MPH]]="","",SUMIFS(Eingabe[S1],Eingabe[Name],Gesamtzähler[[#This Row],[Name]],Eingabe[Wo],"H"))</f>
        <v>652</v>
      </c>
      <c r="AA53" s="6">
        <f>IF(Gesamtzähler[[#This Row],[Spiele MPH]]="","",SUMIFS(Eingabe[S1P],Eingabe[Name],Gesamtzähler[[#This Row],[Name]],Eingabe[Wo],"H"))</f>
        <v>3</v>
      </c>
      <c r="AB53" s="6">
        <f>IF(Gesamtzähler[[#This Row],[Spiele MPH]]="","",SUMIFS(Eingabe[S2],Eingabe[Name],Gesamtzähler[[#This Row],[Name]],Eingabe[Wo],"H"))</f>
        <v>621</v>
      </c>
      <c r="AC53" s="6">
        <f>IF(Gesamtzähler[[#This Row],[Spiele MPH]]="","",SUMIFS(Eingabe[S2P],Eingabe[Name],Gesamtzähler[[#This Row],[Name]],Eingabe[Wo],"H"))</f>
        <v>1</v>
      </c>
      <c r="AD53" s="6">
        <f>IF(Gesamtzähler[[#This Row],[Spiele MPH]]="","",SUMIFS(Eingabe[S3],Eingabe[Name],Gesamtzähler[[#This Row],[Name]],Eingabe[Wo],"H"))</f>
        <v>643</v>
      </c>
      <c r="AE53" s="6">
        <f>IF(Gesamtzähler[[#This Row],[Spiele MPH]]="","",SUMIFS(Eingabe[S3P],Eingabe[Name],Gesamtzähler[[#This Row],[Name]],Eingabe[Wo],"H"))</f>
        <v>3</v>
      </c>
      <c r="AF53" s="203">
        <f>IF(Gesamtzähler[[#This Row],[Spiele MPH]]="","",SUMIFS(Eingabe[S4],Eingabe[Name],Gesamtzähler[[#This Row],[Name]],Eingabe[Wo],"H"))</f>
        <v>640</v>
      </c>
      <c r="AG53" s="6">
        <f>IF(Gesamtzähler[[#This Row],[Spiele MPH]]="","",SUMIFS(Eingabe[S4P],Eingabe[Name],Gesamtzähler[[#This Row],[Name]],Eingabe[Wo],"H"))</f>
        <v>2</v>
      </c>
      <c r="AH53" s="6">
        <f>IF(Gesamtzähler[[#This Row],[Spiele MPH]]="","",SUMIFS(Eingabe[GEGGES],Eingabe[Name],Gesamtzähler[[#This Row],[Name]],Eingabe[Wo],"H"))</f>
        <v>2588</v>
      </c>
      <c r="AI53" s="6">
        <f>IF(Gesamtzähler[[#This Row],[Spiele H]]="","",SUMIFS(Eingabe[GES],Eingabe[Name],Gesamtzähler[[#This Row],[Name]],Eingabe[Wo],"H"))</f>
        <v>2556</v>
      </c>
      <c r="AJ53" s="6">
        <f>IF(Gesamtzähler[[#This Row],[Spiele MPH]]="","",SUMIFS(Eingabe[SP],Eingabe[Name],Gesamtzähler[[#This Row],[Name]],Eingabe[Wo],"H"))</f>
        <v>9</v>
      </c>
      <c r="AK53" s="6">
        <f>IF(Gesamtzähler[[#This Row],[Spiele MPH]]="","",SUMIFS(Eingabe[MP],Eingabe[Name],Gesamtzähler[[#This Row],[Name]],Eingabe[Wo],"H"))</f>
        <v>2</v>
      </c>
      <c r="AL53" s="6">
        <f>IF(COUNTIFS(Eingabe[Name],Gesamtzähler[[#This Row],[Name]],Eingabe[Wo],"A")=0,"",COUNTIFS(Eingabe[Name],Gesamtzähler[[#This Row],[Name]],Eingabe[Wo],"A"))</f>
        <v>5</v>
      </c>
      <c r="AM53" s="6">
        <f>IF(Gesamtzähler[[#This Row],[Spiele A]]="","",Gesamtzähler[[#This Row],[Spiele A]]-COUNTIFS(Eingabe[Name],Gesamtzähler[[#This Row],[Name]],Eingabe[MP],"",Eingabe[Wo],"A"))</f>
        <v>5</v>
      </c>
      <c r="AN53" s="6">
        <f>IF(Gesamtzähler[[#This Row],[Spiele A]]="","",SUMIFS(Eingabe[Volle],Eingabe[Name],Gesamtzähler[[#This Row],[Name]],Eingabe[Wo],"A"))</f>
        <v>1785</v>
      </c>
      <c r="AO53" s="6">
        <f>IF(Gesamtzähler[[#This Row],[Spiele A]]="","",SUMIFS(Eingabe[Räumer],Eingabe[Name],Gesamtzähler[[#This Row],[Name]],Eingabe[Wo],"A"))</f>
        <v>905</v>
      </c>
      <c r="AP53" s="6">
        <f>IF(Gesamtzähler[[#This Row],[Spiele A]]="","",SUMIFS(Eingabe[Fehler],Eingabe[Name],Gesamtzähler[[#This Row],[Name]],Eingabe[Wo],"A"))</f>
        <v>22</v>
      </c>
      <c r="AQ53" s="6">
        <f>IF(Gesamtzähler[[#This Row],[Spiele MPA]]="","",SUMIFS(Eingabe[S1],Eingabe[Name],Gesamtzähler[[#This Row],[Name]],Eingabe[Wo],"A"))</f>
        <v>695</v>
      </c>
      <c r="AR53" s="6">
        <f>IF(Gesamtzähler[[#This Row],[Spiele MPA]]="","",SUMIFS(Eingabe[S1P],Eingabe[Name],Gesamtzähler[[#This Row],[Name]],Eingabe[Wo],"A"))</f>
        <v>3</v>
      </c>
      <c r="AS53" s="6">
        <f>IF(Gesamtzähler[[#This Row],[Spiele MPA]]="","",SUMIFS(Eingabe[S2],Eingabe[Name],Gesamtzähler[[#This Row],[Name]],Eingabe[Wo],"A"))</f>
        <v>649</v>
      </c>
      <c r="AT53" s="6">
        <f>IF(Gesamtzähler[[#This Row],[Spiele MPA]]="","",SUMIFS(Eingabe[S2P],Eingabe[Name],Gesamtzähler[[#This Row],[Name]],Eingabe[Wo],"A"))</f>
        <v>1</v>
      </c>
      <c r="AU53" s="6">
        <f>IF(Gesamtzähler[[#This Row],[Spiele MPA]]="","",SUMIFS(Eingabe[S3],Eingabe[Name],Gesamtzähler[[#This Row],[Name]],Eingabe[Wo],"A"))</f>
        <v>647</v>
      </c>
      <c r="AV53" s="6">
        <f>IF(Gesamtzähler[[#This Row],[Spiele MPA]]="","",SUMIFS(Eingabe[S3P],Eingabe[Name],Gesamtzähler[[#This Row],[Name]],Eingabe[Wo],"A"))</f>
        <v>3</v>
      </c>
      <c r="AW53" s="6">
        <f>IF(Gesamtzähler[[#This Row],[Spiele MPA]]="","",SUMIFS(Eingabe[S4],Eingabe[Name],Gesamtzähler[[#This Row],[Name]],Eingabe[Wo],"A"))</f>
        <v>699</v>
      </c>
      <c r="AX53" s="6">
        <f>IF(Gesamtzähler[[#This Row],[Spiele MPA]]="","",SUMIFS(Eingabe[S4P],Eingabe[Name],Gesamtzähler[[#This Row],[Name]],Eingabe[Wo],"A"))</f>
        <v>4</v>
      </c>
      <c r="AY53" s="6">
        <f>IF(Gesamtzähler[[#This Row],[Spiele MPA]]="","",SUMIFS(Eingabe[GEGGES],Eingabe[Name],Gesamtzähler[[#This Row],[Name]],Eingabe[Wo],"A"))</f>
        <v>2695</v>
      </c>
      <c r="AZ53" s="6">
        <f>IF(Gesamtzähler[[#This Row],[Spiele A]]="","",SUMIFS(Eingabe[GES],Eingabe[Name],Gesamtzähler[[#This Row],[Name]],Eingabe[Wo],"A"))</f>
        <v>2690</v>
      </c>
      <c r="BA53" s="6">
        <f>IF(Gesamtzähler[[#This Row],[Spiele MPA]]="","",SUMIFS(Eingabe[SP],Eingabe[Name],Gesamtzähler[[#This Row],[Name]],Eingabe[Wo],"A"))</f>
        <v>11</v>
      </c>
      <c r="BB53" s="6">
        <f>IF(Gesamtzähler[[#This Row],[Spiele MPA]]="","",SUMIFS(Eingabe[MP],Eingabe[Name],Gesamtzähler[[#This Row],[Name]],Eingabe[Wo],"A"))</f>
        <v>3</v>
      </c>
      <c r="BC53" s="6"/>
      <c r="BD53" s="6"/>
      <c r="BE53" s="6"/>
      <c r="BF53" s="6"/>
    </row>
    <row r="54" spans="2:73" ht="16.2" thickBot="1" x14ac:dyDescent="0.35">
      <c r="B54" s="28" t="s">
        <v>26</v>
      </c>
      <c r="C54" s="29"/>
      <c r="D54" s="28">
        <f>SUBTOTAL(109,Gesamtzähler[Spiele])</f>
        <v>314</v>
      </c>
      <c r="E54" s="30">
        <f>SUBTOTAL(109,Gesamtzähler[Spiele MP])</f>
        <v>214</v>
      </c>
      <c r="F54" s="30">
        <f>SUBTOTAL(109,Gesamtzähler[Volle])</f>
        <v>108099</v>
      </c>
      <c r="G54" s="30">
        <f>SUBTOTAL(109,Gesamtzähler[Räumer])</f>
        <v>49191</v>
      </c>
      <c r="H54" s="30">
        <f>SUBTOTAL(109,Gesamtzähler[Fehler])</f>
        <v>3109</v>
      </c>
      <c r="I54" s="30">
        <f>SUBTOTAL(109,Gesamtzähler[GES])</f>
        <v>157290</v>
      </c>
      <c r="J54" s="30">
        <f>SUBTOTAL(109,Gesamtzähler[SP])</f>
        <v>457</v>
      </c>
      <c r="K54" s="30">
        <f>SUBTOTAL(109,Gesamtzähler[MP])</f>
        <v>121.5</v>
      </c>
      <c r="L54" s="30">
        <f>SUBTOTAL(109,Gesamtzähler[S1])</f>
        <v>34567</v>
      </c>
      <c r="M54" s="30">
        <f>SUBTOTAL(109,Gesamtzähler[S2])</f>
        <v>34255</v>
      </c>
      <c r="N54" s="30">
        <f>SUBTOTAL(109,Gesamtzähler[S3])</f>
        <v>34239</v>
      </c>
      <c r="O54" s="30">
        <f>SUBTOTAL(109,Gesamtzähler[S4])</f>
        <v>34344</v>
      </c>
      <c r="P54" s="30">
        <f>SUBTOTAL(109,Gesamtzähler[S1P])</f>
        <v>119.5</v>
      </c>
      <c r="Q54" s="30">
        <f>SUBTOTAL(109,Gesamtzähler[S2P])</f>
        <v>116</v>
      </c>
      <c r="R54" s="30">
        <f>SUBTOTAL(109,Gesamtzähler[S3P])</f>
        <v>112.5</v>
      </c>
      <c r="S54" s="30">
        <f>SUBTOTAL(109,Gesamtzähler[S4P])</f>
        <v>109</v>
      </c>
      <c r="T54" s="30">
        <f>SUBTOTAL(109,Gesamtzähler[GEGGES])</f>
        <v>110048</v>
      </c>
      <c r="U54" s="6">
        <f>SUBTOTAL(109,Gesamtzähler[Spiele H])</f>
        <v>133</v>
      </c>
      <c r="V54" s="6">
        <f>SUBTOTAL(109,Gesamtzähler[Spiele MPH])</f>
        <v>110</v>
      </c>
      <c r="W54" s="6">
        <f>SUBTOTAL(109,Gesamtzähler[VolleH])</f>
        <v>46018</v>
      </c>
      <c r="X54" s="6">
        <f>SUBTOTAL(109,Gesamtzähler[RäumerH])</f>
        <v>21319</v>
      </c>
      <c r="Y54" s="6">
        <f>SUBTOTAL(109,Gesamtzähler[FehlerH])</f>
        <v>1080</v>
      </c>
      <c r="Z54" s="6"/>
      <c r="AA54" s="6">
        <f>SUBTOTAL(109,Gesamtzähler[S1PH])</f>
        <v>64</v>
      </c>
      <c r="AB54" s="6"/>
      <c r="AC54" s="6">
        <f>SUBTOTAL(109,Gesamtzähler[S2PH])</f>
        <v>66</v>
      </c>
      <c r="AD54" s="6"/>
      <c r="AE54" s="6">
        <f>SUBTOTAL(109,Gesamtzähler[S3PH])</f>
        <v>67.5</v>
      </c>
      <c r="AF54" s="203"/>
      <c r="AG54" s="6">
        <f>SUBTOTAL(109,Gesamtzähler[S4PH])</f>
        <v>56.5</v>
      </c>
      <c r="AH54" s="6">
        <f>SUBTOTAL(109,Gesamtzähler[GEGGESH])</f>
        <v>54940</v>
      </c>
      <c r="AI54" s="6">
        <f>SUBTOTAL(109,Gesamtzähler[GESH])</f>
        <v>67337</v>
      </c>
      <c r="AJ54" s="6">
        <f>SUBTOTAL(109,Gesamtzähler[SPH])</f>
        <v>254</v>
      </c>
      <c r="AK54" s="6">
        <f>SUBTOTAL(109,Gesamtzähler[MPH])</f>
        <v>71</v>
      </c>
      <c r="AL54" s="6">
        <f>SUBTOTAL(109,Gesamtzähler[Spiele A])</f>
        <v>181</v>
      </c>
      <c r="AM54" s="6">
        <f>SUBTOTAL(109,Gesamtzähler[Spiele MPA])</f>
        <v>104</v>
      </c>
      <c r="AN54" s="6">
        <f>SUBTOTAL(109,Gesamtzähler[VolleA])</f>
        <v>62081</v>
      </c>
      <c r="AO54" s="6">
        <f>SUBTOTAL(109,Gesamtzähler[RäumerA])</f>
        <v>27872</v>
      </c>
      <c r="AP54" s="6">
        <f>SUBTOTAL(109,Gesamtzähler[FehlerA])</f>
        <v>2029</v>
      </c>
      <c r="AQ54" s="6"/>
      <c r="AR54" s="6">
        <f>SUBTOTAL(109,Gesamtzähler[S1PA])</f>
        <v>55.5</v>
      </c>
      <c r="AS54" s="6"/>
      <c r="AT54" s="6">
        <f>SUBTOTAL(109,Gesamtzähler[S2PA])</f>
        <v>50</v>
      </c>
      <c r="AU54" s="6"/>
      <c r="AV54" s="6">
        <f>SUBTOTAL(109,Gesamtzähler[S3PA])</f>
        <v>45</v>
      </c>
      <c r="AW54" s="6"/>
      <c r="AX54" s="6">
        <f>SUBTOTAL(109,Gesamtzähler[S4PA])</f>
        <v>52.5</v>
      </c>
      <c r="AY54" s="6">
        <f>SUBTOTAL(109,Gesamtzähler[GEGGESA])</f>
        <v>55108</v>
      </c>
      <c r="AZ54" s="6">
        <f>SUBTOTAL(109,Gesamtzähler[GESA])</f>
        <v>89953</v>
      </c>
      <c r="BA54" s="6">
        <f>SUBTOTAL(109,Gesamtzähler[SPA])</f>
        <v>203</v>
      </c>
      <c r="BB54" s="6">
        <f>SUBTOTAL(109,Gesamtzähler[MPA])</f>
        <v>50.5</v>
      </c>
      <c r="BC54" s="6"/>
      <c r="BD54" s="6"/>
      <c r="BE54" s="6"/>
      <c r="BF54" s="6"/>
    </row>
    <row r="55" spans="2:73" ht="16.2" thickBot="1" x14ac:dyDescent="0.35">
      <c r="B55" s="28"/>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203"/>
      <c r="AG55" s="6"/>
      <c r="AH55" s="6"/>
      <c r="AI55" s="6"/>
      <c r="AJ55" s="6"/>
      <c r="AK55" s="6"/>
      <c r="AL55" s="6"/>
      <c r="AM55" s="6"/>
      <c r="AN55" s="6"/>
      <c r="AO55" s="6"/>
      <c r="AP55" s="6"/>
      <c r="AQ55" s="6"/>
      <c r="AR55" s="6"/>
      <c r="AS55" s="6"/>
      <c r="AT55" s="6"/>
      <c r="AU55" s="6"/>
      <c r="AV55" s="6"/>
      <c r="AW55" s="6"/>
      <c r="AX55" s="6"/>
      <c r="AY55" s="6"/>
      <c r="AZ55" s="6"/>
      <c r="BA55" s="6"/>
      <c r="BB55" s="6"/>
      <c r="BC55" s="6"/>
      <c r="BD55" s="6"/>
      <c r="BE55" s="6"/>
    </row>
    <row r="56" spans="2:73" ht="16.2" thickBot="1" x14ac:dyDescent="0.35">
      <c r="B56" s="16" t="s">
        <v>304</v>
      </c>
      <c r="C56" s="2">
        <v>2</v>
      </c>
      <c r="D56" s="2">
        <v>3</v>
      </c>
      <c r="E56" s="2">
        <v>4</v>
      </c>
      <c r="F56" s="2">
        <v>5</v>
      </c>
      <c r="G56" s="2">
        <v>6</v>
      </c>
      <c r="H56" s="2">
        <v>7</v>
      </c>
      <c r="I56" s="2">
        <v>8</v>
      </c>
      <c r="J56" s="2">
        <v>9</v>
      </c>
      <c r="K56" s="2">
        <v>10</v>
      </c>
      <c r="L56" s="2">
        <v>11</v>
      </c>
      <c r="M56" s="2">
        <v>12</v>
      </c>
      <c r="N56" s="2">
        <v>13</v>
      </c>
      <c r="O56" s="2">
        <v>14</v>
      </c>
      <c r="P56" s="2">
        <v>15</v>
      </c>
      <c r="Q56" s="2">
        <v>16</v>
      </c>
      <c r="R56" s="2">
        <v>17</v>
      </c>
      <c r="S56" s="2">
        <v>18</v>
      </c>
      <c r="T56" s="2">
        <v>19</v>
      </c>
      <c r="U56" s="2">
        <v>20</v>
      </c>
      <c r="V56" s="2">
        <v>21</v>
      </c>
      <c r="W56" s="2">
        <v>22</v>
      </c>
      <c r="X56" s="2">
        <v>23</v>
      </c>
      <c r="Y56" s="2">
        <v>24</v>
      </c>
      <c r="Z56" s="2">
        <v>25</v>
      </c>
      <c r="AA56" s="2">
        <v>26</v>
      </c>
      <c r="AB56" s="2">
        <v>27</v>
      </c>
      <c r="AC56" s="2">
        <v>28</v>
      </c>
      <c r="AD56" s="2">
        <v>29</v>
      </c>
      <c r="AE56" s="2">
        <v>30</v>
      </c>
      <c r="AF56" s="2">
        <v>31</v>
      </c>
      <c r="AG56" s="2">
        <v>32</v>
      </c>
      <c r="AH56" s="2">
        <v>33</v>
      </c>
      <c r="AI56" s="2">
        <v>34</v>
      </c>
      <c r="AJ56" s="2">
        <v>35</v>
      </c>
      <c r="AK56" s="2">
        <v>36</v>
      </c>
      <c r="AL56" s="2">
        <v>37</v>
      </c>
      <c r="AM56" s="46"/>
      <c r="AN56" s="46"/>
      <c r="AO56" s="46"/>
      <c r="AP56" s="46"/>
      <c r="AQ56" s="46"/>
      <c r="AR56" s="46"/>
      <c r="AS56" s="46"/>
      <c r="AT56" s="46"/>
      <c r="AU56" s="46"/>
      <c r="AV56" s="46"/>
      <c r="AW56" s="46"/>
      <c r="AX56" s="46"/>
      <c r="AY56" s="46"/>
      <c r="AZ56" s="46"/>
      <c r="BA56" s="46"/>
      <c r="BB56" s="46"/>
      <c r="BC56" s="46"/>
      <c r="BD56" s="46"/>
      <c r="BE56" s="46"/>
      <c r="BF56" s="46"/>
      <c r="BG56" s="46"/>
      <c r="BH56" s="46"/>
      <c r="BI56" s="46"/>
      <c r="BJ56" s="46"/>
      <c r="BK56" s="46"/>
      <c r="BL56" s="46"/>
      <c r="BM56" s="46"/>
      <c r="BN56" s="46"/>
      <c r="BO56" s="46"/>
      <c r="BP56" s="46"/>
      <c r="BQ56" s="46"/>
      <c r="BR56" s="46"/>
      <c r="BS56" s="46"/>
      <c r="BT56" s="46"/>
      <c r="BU56" s="46"/>
    </row>
    <row r="57" spans="2:73" ht="31.8" thickBot="1" x14ac:dyDescent="0.35">
      <c r="B57" s="24" t="s">
        <v>13</v>
      </c>
      <c r="C57" s="25" t="s">
        <v>0</v>
      </c>
      <c r="D57" s="26" t="s">
        <v>100</v>
      </c>
      <c r="E57" s="270" t="s">
        <v>42</v>
      </c>
      <c r="F57" s="27" t="s">
        <v>21</v>
      </c>
      <c r="G57" s="27" t="s">
        <v>22</v>
      </c>
      <c r="H57" s="27" t="s">
        <v>23</v>
      </c>
      <c r="I57" s="27" t="s">
        <v>39</v>
      </c>
      <c r="J57" s="27" t="s">
        <v>24</v>
      </c>
      <c r="K57" s="27" t="s">
        <v>25</v>
      </c>
      <c r="L57" s="27" t="s">
        <v>32</v>
      </c>
      <c r="M57" s="31" t="s">
        <v>33</v>
      </c>
      <c r="N57" s="31" t="s">
        <v>34</v>
      </c>
      <c r="O57" s="31" t="s">
        <v>35</v>
      </c>
      <c r="P57" s="31" t="s">
        <v>104</v>
      </c>
      <c r="Q57" s="31" t="s">
        <v>105</v>
      </c>
      <c r="R57" s="31" t="s">
        <v>106</v>
      </c>
      <c r="S57" s="31" t="s">
        <v>107</v>
      </c>
      <c r="T57" s="269" t="s">
        <v>450</v>
      </c>
      <c r="U57" s="269" t="s">
        <v>451</v>
      </c>
      <c r="V57" s="31" t="s">
        <v>196</v>
      </c>
      <c r="W57" s="27" t="s">
        <v>40</v>
      </c>
      <c r="X57" s="27" t="s">
        <v>103</v>
      </c>
      <c r="Y57" s="27" t="s">
        <v>271</v>
      </c>
      <c r="Z57" s="27" t="s">
        <v>67</v>
      </c>
      <c r="AA57" s="27" t="s">
        <v>278</v>
      </c>
      <c r="AB57" s="202" t="s">
        <v>430</v>
      </c>
      <c r="AC57" s="27" t="s">
        <v>758</v>
      </c>
      <c r="AD57" s="27" t="s">
        <v>777</v>
      </c>
      <c r="AE57" s="27" t="s">
        <v>759</v>
      </c>
      <c r="AF57" s="27" t="s">
        <v>760</v>
      </c>
      <c r="AG57" s="27" t="s">
        <v>761</v>
      </c>
      <c r="AH57" s="27" t="s">
        <v>762</v>
      </c>
      <c r="AI57" s="27" t="s">
        <v>766</v>
      </c>
      <c r="AJ57" s="27" t="s">
        <v>783</v>
      </c>
      <c r="AK57" s="27" t="s">
        <v>786</v>
      </c>
      <c r="AL57" s="27" t="s">
        <v>787</v>
      </c>
    </row>
    <row r="58" spans="2:73" x14ac:dyDescent="0.3">
      <c r="B58" s="285" t="str">
        <f t="shared" ref="B58:B67" si="0">B4</f>
        <v>Anastasia Landau</v>
      </c>
      <c r="C58" s="119" t="str">
        <f>IF(AuswertungG[[#This Row],[Name]]="","",VLOOKUP(AuswertungG[[#This Row],[Name]],Teamzuordnung[[Name]:[Team]],2,TRUE))</f>
        <v>F</v>
      </c>
      <c r="D58" s="120">
        <f>COUNTIFS(Eingabe[Name],AuswertungG[[#This Row],[Name]])</f>
        <v>0</v>
      </c>
      <c r="E58" s="116" t="str">
        <f>IF(AuswertungG[[#This Row],[Spiele]]="","",IF(AuswertungG[[#This Row],[Spiele]]-COUNTIFS(Eingabe[Name],AuswertungG[[#This Row],[Name]],Eingabe[MP],"")=0,"",AuswertungG[[#This Row],[Spiele]]-COUNTIFS(Eingabe[Name],AuswertungG[[#This Row],[Name]],Eingabe[MP],"")))</f>
        <v/>
      </c>
      <c r="F58" s="117" t="str">
        <f>IF(AuswertungG[[#This Row],[Spiele]]=0,"",ROUND(AVERAGEIFS(Eingabe[Volle],Eingabe[Name],AuswertungG[[#This Row],[Name]]),0))</f>
        <v/>
      </c>
      <c r="G58" s="117" t="str">
        <f>IF(AuswertungG[[#This Row],[Spiele]]=0,"",ROUND(AVERAGEIFS(Eingabe[Räumer],Eingabe[Name],AuswertungG[[#This Row],[Name]]),0))</f>
        <v/>
      </c>
      <c r="H58" s="123" t="str">
        <f>IF(AuswertungG[[#This Row],[Spiele]]=0,"",ROUND(AVERAGEIFS(Eingabe[Fehler],Eingabe[Name],AuswertungG[[#This Row],[Name]]),1))</f>
        <v/>
      </c>
      <c r="I58" s="117" t="str">
        <f>IF(AuswertungG[[#This Row],[Spiele]]=0,"",ROUND(AVERAGEIFS(Eingabe[GES],Eingabe[Name],AuswertungG[[#This Row],[Name]]),0))</f>
        <v/>
      </c>
      <c r="J58" s="123" t="str">
        <f>IF(AuswertungG[[#This Row],[Spiele MP]]="","",ROUND(AVERAGEIFS(Eingabe[SP],Eingabe[Name],AuswertungG[[#This Row],[Name]]),1))</f>
        <v/>
      </c>
      <c r="K58" s="121" t="str">
        <f>IF(AuswertungG[[#This Row],[Spiele MP]]="","",ROUND(AVERAGEIFS(Eingabe[MP],Eingabe[Name],AuswertungG[[#This Row],[Name]]),2))</f>
        <v/>
      </c>
      <c r="L58" s="117" t="str">
        <f>IFERROR(ROUND(AVERAGEIFS(Eingabe[S1],Eingabe[Name],AuswertungG[[#This Row],[Name]]),0),"")</f>
        <v/>
      </c>
      <c r="M58" s="268" t="str">
        <f>IFERROR(ROUND(AVERAGEIFS(Eingabe[S2],Eingabe[Name],AuswertungG[[#This Row],[Name]]),0),"")</f>
        <v/>
      </c>
      <c r="N58" s="117" t="str">
        <f>IFERROR(ROUND(AVERAGEIFS(Eingabe[S3],Eingabe[Name],AuswertungG[[#This Row],[Name]]),0),"")</f>
        <v/>
      </c>
      <c r="O58" s="268" t="str">
        <f>IFERROR(ROUND(AVERAGEIFS(Eingabe[S3],Eingabe[Name],AuswertungG[[#This Row],[Name]]),0),"")</f>
        <v/>
      </c>
      <c r="P58" s="121" t="str">
        <f>IF(AuswertungG[[#This Row],[Spiele MP]]="","",ROUND(AVERAGEIFS(Eingabe[S1P],Eingabe[Name],AuswertungG[[#This Row],[Name]]),2))</f>
        <v/>
      </c>
      <c r="Q58" s="121" t="str">
        <f>IF(AuswertungG[[#This Row],[Spiele MP]]="","",ROUND(AVERAGEIFS(Eingabe[S2P],Eingabe[Name],AuswertungG[[#This Row],[Name]]),2))</f>
        <v/>
      </c>
      <c r="R58" s="121" t="str">
        <f>IF(AuswertungG[[#This Row],[Spiele MP]]="","",ROUND(AVERAGEIFS(Eingabe[S3P],Eingabe[Name],AuswertungG[[#This Row],[Name]]),2))</f>
        <v/>
      </c>
      <c r="S58" s="121" t="str">
        <f>IF(AuswertungG[[#This Row],[Spiele MP]]="","",ROUND(AVERAGEIFS(Eingabe[S4P],Eingabe[Name],AuswertungG[[#This Row],[Name]]),2))</f>
        <v/>
      </c>
      <c r="T58" s="267" t="str" cm="1">
        <f t="array" ref="T58">IF(AuswertungG[[#This Row],[Spiele]]="","",IF(AuswertungG[[#This Row],[Spiele]]&lt;2,"",ROUND(SLOPE(_xlfn._xlws.FILTER(Eingabe[GES],Eingabe[Name]=AuswertungG[[#This Row],[Name]]),_xlfn._xlws.FILTER(Eingabe[KW],Eingabe[Name]=AuswertungG[[#This Row],[Name]])),2)))</f>
        <v/>
      </c>
      <c r="U58" s="267" t="str" cm="1">
        <f t="array" ref="U58">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58" s="117" t="str" cm="1">
        <f t="array" ref="V58">IF(AuswertungG[[#This Row],[Spiele]]="","",IF(AuswertungG[[#This Row],[Spiele]]&lt;2,"",ROUND(_xlfn.STDEV.P(_xlfn._xlws.FILTER(Eingabe[GES],Eingabe[Name]=AuswertungG[[#This Row],[Name]])),0)))</f>
        <v/>
      </c>
      <c r="W58" s="117" t="str">
        <f>IF(AuswertungG[[#This Row],[Spiele MP]]="","",ROUND(AVERAGEIFS(Eingabe[GEGGES],Eingabe[Name],AuswertungG[[#This Row],[Name]]),0))</f>
        <v/>
      </c>
      <c r="X58" s="116" t="str">
        <f>VLOOKUP(AuswertungG[[#This Row],[Name]],PositionG[],21,FALSE)</f>
        <v/>
      </c>
      <c r="Y58" s="116" t="str">
        <f>VLOOKUP(AuswertungG[[#This Row],[Name]],PositionG[],22,FALSE)</f>
        <v/>
      </c>
      <c r="Z58" s="116" t="str">
        <f>VLOOKUP(AuswertungG[[#This Row],[Name]],PositionG[],23,FALSE)</f>
        <v/>
      </c>
      <c r="AA58" s="121" t="str">
        <f>IF(AuswertungG[[#This Row],[Spiele MP]]="","",ROUND(VLOOKUP(AuswertungG[[#This Row],[Name]],PositionG[],24,FALSE),2))</f>
        <v/>
      </c>
      <c r="AB58" s="123" t="str">
        <f>IF(AuswertungG[[#This Row],[Spiele]]=0,"",ROUND(AVERAGEIFS(Eingabe[Rang],Eingabe[Name],AuswertungG[[#This Row],[Name]]),1))</f>
        <v/>
      </c>
      <c r="AC58" s="123" t="str" cm="1">
        <f t="array" ref="AC58">IFERROR(ROUND(MEDIAN(_xlfn._xlws.FILTER(Eingabe[GES],Eingabe[Name]=AuswertungG[[#This Row],[Name]])),0),"")</f>
        <v/>
      </c>
      <c r="AD58" s="121" t="str">
        <f>IFERROR(AuswertungG[[#This Row],[STABW]]/AuswertungG[[#This Row],[GES]],"")</f>
        <v/>
      </c>
      <c r="AE58" s="123" t="str" cm="1">
        <f t="array" ref="AE58">IFERROR(ROUND(_xlfn.QUARTILE.INC(_xlfn._xlws.FILTER(Eingabe[GES],Eingabe[Name]=AuswertungG[[#This Row],[Name]]),3)-_xlfn.QUARTILE.INC(_xlfn._xlws.FILTER(Eingabe[GES],Eingabe[Name]=AuswertungG[[#This Row],[Name]]),1),0),"")</f>
        <v/>
      </c>
      <c r="AF58" s="123" t="str">
        <f>IFERROR(1/AuswertungG[[#This Row],[VK]],"")</f>
        <v/>
      </c>
      <c r="AG58" s="123" t="str">
        <f>IFERROR(AuswertungG[[#This Row],[Volle]]/AuswertungG[[#This Row],[Räumer]]-2,"")</f>
        <v/>
      </c>
      <c r="AH58" s="117" t="str">
        <f>IFERROR(ROUND((AuswertungG[[#This Row],[Spiele]]*60)/(AuswertungG[[#This Row],[Fehler]]*AuswertungG[[#This Row],[Spiele]]),0),"")</f>
        <v/>
      </c>
      <c r="AI58" s="123" t="str" cm="1">
        <f t="array" ref="AI58">IFERROR((AVERAGE(_xlfn._xlws.FILTER(_xlfn._xlws.FILTER(Eingabe[GES],Eingabe[Name]=AuswertungG[[#This Row],[Name]]),ABS(_xlfn._xlws.FILTER(Eingabe[GEGGES],Eingabe[Name]=AuswertungG[[#This Row],[Name]])-_xlfn._xlws.FILTER(Eingabe[GES],Eingabe[Name]=AuswertungG[[#This Row],[Name]]))&lt;15))-AuswertungG[[#This Row],[GES]])/AuswertungG[[#This Row],[STABW]],"")</f>
        <v/>
      </c>
      <c r="AJ58" s="267" t="str">
        <f>IFERROR(ROUND(AVERAGEIFS(Eingabe[MP],Eingabe[Diff],"&lt;15",Eingabe[Name],AuswertungG[[#This Row],[Name]])-AuswertungG[[#This Row],[MP]],2),"")</f>
        <v/>
      </c>
      <c r="AK58" s="117" t="str" cm="1">
        <f t="array" ref="AK58">IFERROR(ROUND(AVERAGE(_xlfn._xlws.FILTER(Eingabe[GES],(Eingabe[Name]=AuswertungG[[#This Row],[Name]])*(Eingabe[GEGGES]&gt;(AuswertungG[[#This Row],[GES]]+20))))-AuswertungG[[#This Row],[GES]],0),"")</f>
        <v/>
      </c>
      <c r="AL58" s="117" t="str" cm="1">
        <f t="array" ref="AL58">IFERROR(ROUND(AVERAGE(_xlfn._xlws.FILTER(Eingabe[GES],(Eingabe[Name]=AuswertungG[[#This Row],[Name]])*(Eingabe[GEGGES]&lt;(AuswertungG[[#This Row],[GES]]-20))))-AuswertungG[[#This Row],[GES]],0),"")</f>
        <v/>
      </c>
    </row>
    <row r="59" spans="2:73" x14ac:dyDescent="0.3">
      <c r="B59" s="285" t="str">
        <f t="shared" si="0"/>
        <v>Andreas Ehrlich</v>
      </c>
      <c r="C59" s="119" t="str">
        <f>IF(AuswertungG[[#This Row],[Name]]="","",VLOOKUP(AuswertungG[[#This Row],[Name]],Teamzuordnung[[Name]:[Team]],2,TRUE))</f>
        <v>D</v>
      </c>
      <c r="D59" s="122">
        <f>COUNTIFS(Eingabe[Name],AuswertungG[[#This Row],[Name]])</f>
        <v>1</v>
      </c>
      <c r="E59" s="117">
        <f>IF(AuswertungG[[#This Row],[Spiele]]="","",IF(AuswertungG[[#This Row],[Spiele]]-COUNTIFS(Eingabe[Name],AuswertungG[[#This Row],[Name]],Eingabe[MP],"")=0,"",AuswertungG[[#This Row],[Spiele]]-COUNTIFS(Eingabe[Name],AuswertungG[[#This Row],[Name]],Eingabe[MP],"")))</f>
        <v>1</v>
      </c>
      <c r="F59" s="117">
        <f>IF(AuswertungG[[#This Row],[Spiele]]=0,"",ROUND(AVERAGEIFS(Eingabe[Volle],Eingabe[Name],AuswertungG[[#This Row],[Name]]),0))</f>
        <v>351</v>
      </c>
      <c r="G59" s="117">
        <f>IF(AuswertungG[[#This Row],[Spiele]]=0,"",ROUND(AVERAGEIFS(Eingabe[Räumer],Eingabe[Name],AuswertungG[[#This Row],[Name]]),0))</f>
        <v>178</v>
      </c>
      <c r="H59" s="123">
        <f>IF(AuswertungG[[#This Row],[Spiele]]=0,"",ROUND(AVERAGEIFS(Eingabe[Fehler],Eingabe[Name],AuswertungG[[#This Row],[Name]]),1))</f>
        <v>6</v>
      </c>
      <c r="I59" s="117">
        <f>IF(AuswertungG[[#This Row],[Spiele]]=0,"",ROUND(AVERAGEIFS(Eingabe[GES],Eingabe[Name],AuswertungG[[#This Row],[Name]]),0))</f>
        <v>529</v>
      </c>
      <c r="J59" s="123">
        <f>IF(AuswertungG[[#This Row],[Spiele MP]]="","",ROUND(AVERAGEIFS(Eingabe[SP],Eingabe[Name],AuswertungG[[#This Row],[Name]]),1))</f>
        <v>4</v>
      </c>
      <c r="K59" s="121">
        <f>IF(AuswertungG[[#This Row],[Spiele MP]]="","",ROUND(AVERAGEIFS(Eingabe[MP],Eingabe[Name],AuswertungG[[#This Row],[Name]]),2))</f>
        <v>1</v>
      </c>
      <c r="L59" s="117">
        <f>IFERROR(ROUND(AVERAGEIFS(Eingabe[S1],Eingabe[Name],AuswertungG[[#This Row],[Name]]),0),"")</f>
        <v>126</v>
      </c>
      <c r="M59" s="268">
        <f>IFERROR(ROUND(AVERAGEIFS(Eingabe[S2],Eingabe[Name],AuswertungG[[#This Row],[Name]]),0),"")</f>
        <v>132</v>
      </c>
      <c r="N59" s="117">
        <f>IFERROR(ROUND(AVERAGEIFS(Eingabe[S3],Eingabe[Name],AuswertungG[[#This Row],[Name]]),0),"")</f>
        <v>121</v>
      </c>
      <c r="O59" s="268">
        <f>IFERROR(ROUND(AVERAGEIFS(Eingabe[S3],Eingabe[Name],AuswertungG[[#This Row],[Name]]),0),"")</f>
        <v>121</v>
      </c>
      <c r="P59" s="121">
        <f>IF(AuswertungG[[#This Row],[Spiele MP]]="","",ROUND(AVERAGEIFS(Eingabe[S1P],Eingabe[Name],AuswertungG[[#This Row],[Name]]),2))</f>
        <v>1</v>
      </c>
      <c r="Q59" s="121">
        <f>IF(AuswertungG[[#This Row],[Spiele MP]]="","",ROUND(AVERAGEIFS(Eingabe[S2P],Eingabe[Name],AuswertungG[[#This Row],[Name]]),2))</f>
        <v>1</v>
      </c>
      <c r="R59" s="121">
        <f>IF(AuswertungG[[#This Row],[Spiele MP]]="","",ROUND(AVERAGEIFS(Eingabe[S3P],Eingabe[Name],AuswertungG[[#This Row],[Name]]),2))</f>
        <v>1</v>
      </c>
      <c r="S59" s="121">
        <f>IF(AuswertungG[[#This Row],[Spiele MP]]="","",ROUND(AVERAGEIFS(Eingabe[S4P],Eingabe[Name],AuswertungG[[#This Row],[Name]]),2))</f>
        <v>1</v>
      </c>
      <c r="T59" s="267" t="str" cm="1">
        <f t="array" ref="T59">IF(AuswertungG[[#This Row],[Spiele]]="","",IF(AuswertungG[[#This Row],[Spiele]]&lt;2,"",ROUND(SLOPE(_xlfn._xlws.FILTER(Eingabe[GES],Eingabe[Name]=AuswertungG[[#This Row],[Name]]),_xlfn._xlws.FILTER(Eingabe[KW],Eingabe[Name]=AuswertungG[[#This Row],[Name]])),2)))</f>
        <v/>
      </c>
      <c r="U59" s="267" t="str" cm="1">
        <f t="array" ref="U59">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59" s="117" t="str" cm="1">
        <f t="array" ref="V59">IF(AuswertungG[[#This Row],[Spiele]]="","",IF(AuswertungG[[#This Row],[Spiele]]&lt;2,"",ROUND(_xlfn.STDEV.P(_xlfn._xlws.FILTER(Eingabe[GES],Eingabe[Name]=AuswertungG[[#This Row],[Name]])),0)))</f>
        <v/>
      </c>
      <c r="W59" s="117">
        <f>IF(AuswertungG[[#This Row],[Spiele MP]]="","",ROUND(AVERAGEIFS(Eingabe[GEGGES],Eingabe[Name],AuswertungG[[#This Row],[Name]]),0))</f>
        <v>441</v>
      </c>
      <c r="X59" s="123" t="str">
        <f>VLOOKUP(AuswertungG[[#This Row],[Name]],PositionG[],21,FALSE)</f>
        <v>[3]</v>
      </c>
      <c r="Y59" s="123">
        <f>VLOOKUP(AuswertungG[[#This Row],[Name]],PositionG[],22,FALSE)</f>
        <v>1</v>
      </c>
      <c r="Z59" s="123" t="str">
        <f>VLOOKUP(AuswertungG[[#This Row],[Name]],PositionG[],23,FALSE)</f>
        <v>[3]</v>
      </c>
      <c r="AA59" s="121">
        <f>IF(AuswertungG[[#This Row],[Spiele MP]]="","",ROUND(VLOOKUP(AuswertungG[[#This Row],[Name]],PositionG[],24,FALSE),2))</f>
        <v>1</v>
      </c>
      <c r="AB59" s="123">
        <f>IF(AuswertungG[[#This Row],[Spiele]]=0,"",ROUND(AVERAGEIFS(Eingabe[Rang],Eingabe[Name],AuswertungG[[#This Row],[Name]]),1))</f>
        <v>2</v>
      </c>
      <c r="AC59" s="123" cm="1">
        <f t="array" ref="AC59">IFERROR(ROUND(MEDIAN(_xlfn._xlws.FILTER(Eingabe[GES],Eingabe[Name]=AuswertungG[[#This Row],[Name]])),0),"")</f>
        <v>529</v>
      </c>
      <c r="AD59" s="121" t="str">
        <f>IFERROR(AuswertungG[[#This Row],[STABW]]/AuswertungG[[#This Row],[GES]],"")</f>
        <v/>
      </c>
      <c r="AE59" s="123" cm="1">
        <f t="array" ref="AE59">IFERROR(ROUND(_xlfn.QUARTILE.INC(_xlfn._xlws.FILTER(Eingabe[GES],Eingabe[Name]=AuswertungG[[#This Row],[Name]]),3)-_xlfn.QUARTILE.INC(_xlfn._xlws.FILTER(Eingabe[GES],Eingabe[Name]=AuswertungG[[#This Row],[Name]]),1),0),"")</f>
        <v>0</v>
      </c>
      <c r="AF59" s="123" t="str">
        <f>IFERROR(1/AuswertungG[[#This Row],[VK]],"")</f>
        <v/>
      </c>
      <c r="AG59" s="123">
        <f>IFERROR(AuswertungG[[#This Row],[Volle]]/AuswertungG[[#This Row],[Räumer]]-2,"")</f>
        <v>-2.8089887640449396E-2</v>
      </c>
      <c r="AH59" s="117">
        <f>IFERROR(ROUND((AuswertungG[[#This Row],[Spiele]]*60)/(AuswertungG[[#This Row],[Fehler]]*AuswertungG[[#This Row],[Spiele]]),0),"")</f>
        <v>10</v>
      </c>
      <c r="AI59" s="123" t="str" cm="1">
        <f t="array" ref="AI59">IFERROR((AVERAGE(_xlfn._xlws.FILTER(_xlfn._xlws.FILTER(Eingabe[GES],Eingabe[Name]=AuswertungG[[#This Row],[Name]]),ABS(_xlfn._xlws.FILTER(Eingabe[GEGGES],Eingabe[Name]=AuswertungG[[#This Row],[Name]])-_xlfn._xlws.FILTER(Eingabe[GES],Eingabe[Name]=AuswertungG[[#This Row],[Name]]))&lt;15))-AuswertungG[[#This Row],[GES]])/AuswertungG[[#This Row],[STABW]],"")</f>
        <v/>
      </c>
      <c r="AJ59" s="267" t="str">
        <f>IFERROR(ROUND(AVERAGEIFS(Eingabe[MP],Eingabe[Diff],"&lt;15",Eingabe[Name],AuswertungG[[#This Row],[Name]])-AuswertungG[[#This Row],[MP]],2),"")</f>
        <v/>
      </c>
      <c r="AK59" s="117" t="str" cm="1">
        <f t="array" ref="AK59">IFERROR(ROUND(AVERAGE(_xlfn._xlws.FILTER(Eingabe[GES],(Eingabe[Name]=AuswertungG[[#This Row],[Name]])*(Eingabe[GEGGES]&gt;(AuswertungG[[#This Row],[GES]]+20))))-AuswertungG[[#This Row],[GES]],0),"")</f>
        <v/>
      </c>
      <c r="AL59" s="117" cm="1">
        <f t="array" ref="AL59">IFERROR(ROUND(AVERAGE(_xlfn._xlws.FILTER(Eingabe[GES],(Eingabe[Name]=AuswertungG[[#This Row],[Name]])*(Eingabe[GEGGES]&lt;(AuswertungG[[#This Row],[GES]]-20))))-AuswertungG[[#This Row],[GES]],0),"")</f>
        <v>0</v>
      </c>
    </row>
    <row r="60" spans="2:73" x14ac:dyDescent="0.3">
      <c r="B60" s="285" t="str">
        <f t="shared" si="0"/>
        <v>Andreas Rippin</v>
      </c>
      <c r="C60" s="119" t="str">
        <f>IF(AuswertungG[[#This Row],[Name]]="","",VLOOKUP(AuswertungG[[#This Row],[Name]],Teamzuordnung[[Name]:[Team]],2,TRUE))</f>
        <v>E</v>
      </c>
      <c r="D60" s="122">
        <f>COUNTIFS(Eingabe[Name],AuswertungG[[#This Row],[Name]])</f>
        <v>7</v>
      </c>
      <c r="E60" s="117">
        <f>IF(AuswertungG[[#This Row],[Spiele]]="","",IF(AuswertungG[[#This Row],[Spiele]]-COUNTIFS(Eingabe[Name],AuswertungG[[#This Row],[Name]],Eingabe[MP],"")=0,"",AuswertungG[[#This Row],[Spiele]]-COUNTIFS(Eingabe[Name],AuswertungG[[#This Row],[Name]],Eingabe[MP],"")))</f>
        <v>7</v>
      </c>
      <c r="F60" s="117">
        <f>IF(AuswertungG[[#This Row],[Spiele]]=0,"",ROUND(AVERAGEIFS(Eingabe[Volle],Eingabe[Name],AuswertungG[[#This Row],[Name]]),0))</f>
        <v>350</v>
      </c>
      <c r="G60" s="117">
        <f>IF(AuswertungG[[#This Row],[Spiele]]=0,"",ROUND(AVERAGEIFS(Eingabe[Räumer],Eingabe[Name],AuswertungG[[#This Row],[Name]]),0))</f>
        <v>158</v>
      </c>
      <c r="H60" s="123">
        <f>IF(AuswertungG[[#This Row],[Spiele]]=0,"",ROUND(AVERAGEIFS(Eingabe[Fehler],Eingabe[Name],AuswertungG[[#This Row],[Name]]),1))</f>
        <v>11</v>
      </c>
      <c r="I60" s="117">
        <f>IF(AuswertungG[[#This Row],[Spiele]]=0,"",ROUND(AVERAGEIFS(Eingabe[GES],Eingabe[Name],AuswertungG[[#This Row],[Name]]),0))</f>
        <v>508</v>
      </c>
      <c r="J60" s="123">
        <f>IF(AuswertungG[[#This Row],[Spiele MP]]="","",ROUND(AVERAGEIFS(Eingabe[SP],Eingabe[Name],AuswertungG[[#This Row],[Name]]),1))</f>
        <v>1.2</v>
      </c>
      <c r="K60" s="121">
        <f>IF(AuswertungG[[#This Row],[Spiele MP]]="","",ROUND(AVERAGEIFS(Eingabe[MP],Eingabe[Name],AuswertungG[[#This Row],[Name]]),2))</f>
        <v>0.28999999999999998</v>
      </c>
      <c r="L60" s="117">
        <f>IFERROR(ROUND(AVERAGEIFS(Eingabe[S1],Eingabe[Name],AuswertungG[[#This Row],[Name]]),0),"")</f>
        <v>123</v>
      </c>
      <c r="M60" s="268">
        <f>IFERROR(ROUND(AVERAGEIFS(Eingabe[S2],Eingabe[Name],AuswertungG[[#This Row],[Name]]),0),"")</f>
        <v>130</v>
      </c>
      <c r="N60" s="117">
        <f>IFERROR(ROUND(AVERAGEIFS(Eingabe[S3],Eingabe[Name],AuswertungG[[#This Row],[Name]]),0),"")</f>
        <v>127</v>
      </c>
      <c r="O60" s="268">
        <f>IFERROR(ROUND(AVERAGEIFS(Eingabe[S3],Eingabe[Name],AuswertungG[[#This Row],[Name]]),0),"")</f>
        <v>127</v>
      </c>
      <c r="P60" s="121">
        <f>IF(AuswertungG[[#This Row],[Spiele MP]]="","",ROUND(AVERAGEIFS(Eingabe[S1P],Eingabe[Name],AuswertungG[[#This Row],[Name]]),2))</f>
        <v>0.43</v>
      </c>
      <c r="Q60" s="121">
        <f>IF(AuswertungG[[#This Row],[Spiele MP]]="","",ROUND(AVERAGEIFS(Eingabe[S2P],Eingabe[Name],AuswertungG[[#This Row],[Name]]),2))</f>
        <v>0.36</v>
      </c>
      <c r="R60" s="121">
        <f>IF(AuswertungG[[#This Row],[Spiele MP]]="","",ROUND(AVERAGEIFS(Eingabe[S3P],Eingabe[Name],AuswertungG[[#This Row],[Name]]),2))</f>
        <v>0.28999999999999998</v>
      </c>
      <c r="S60" s="121">
        <f>IF(AuswertungG[[#This Row],[Spiele MP]]="","",ROUND(AVERAGEIFS(Eingabe[S4P],Eingabe[Name],AuswertungG[[#This Row],[Name]]),2))</f>
        <v>0.14000000000000001</v>
      </c>
      <c r="T60" s="267" cm="1">
        <f t="array" ref="T60">IF(AuswertungG[[#This Row],[Spiele]]="","",IF(AuswertungG[[#This Row],[Spiele]]&lt;2,"",ROUND(SLOPE(_xlfn._xlws.FILTER(Eingabe[GES],Eingabe[Name]=AuswertungG[[#This Row],[Name]]),_xlfn._xlws.FILTER(Eingabe[KW],Eingabe[Name]=AuswertungG[[#This Row],[Name]])),2)))</f>
        <v>3.97</v>
      </c>
      <c r="U60" s="267" cm="1">
        <f t="array" ref="U60">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-3.27</v>
      </c>
      <c r="V60" s="117" cm="1">
        <f t="array" ref="V60">IF(AuswertungG[[#This Row],[Spiele]]="","",IF(AuswertungG[[#This Row],[Spiele]]&lt;2,"",ROUND(_xlfn.STDEV.P(_xlfn._xlws.FILTER(Eingabe[GES],Eingabe[Name]=AuswertungG[[#This Row],[Name]])),0)))</f>
        <v>31</v>
      </c>
      <c r="W60" s="117">
        <f>IF(AuswertungG[[#This Row],[Spiele MP]]="","",ROUND(AVERAGEIFS(Eingabe[GEGGES],Eingabe[Name],AuswertungG[[#This Row],[Name]]),0))</f>
        <v>548</v>
      </c>
      <c r="X60" s="123" t="str">
        <f>VLOOKUP(AuswertungG[[#This Row],[Name]],PositionG[],21,FALSE)</f>
        <v>[2]</v>
      </c>
      <c r="Y60" s="123">
        <f>VLOOKUP(AuswertungG[[#This Row],[Name]],PositionG[],22,FALSE)</f>
        <v>3</v>
      </c>
      <c r="Z60" s="123" t="str">
        <f>VLOOKUP(AuswertungG[[#This Row],[Name]],PositionG[],23,FALSE)</f>
        <v>[1]</v>
      </c>
      <c r="AA60" s="121">
        <f>IF(AuswertungG[[#This Row],[Spiele MP]]="","",ROUND(VLOOKUP(AuswertungG[[#This Row],[Name]],PositionG[],24,FALSE),2))</f>
        <v>0.5</v>
      </c>
      <c r="AB60" s="123">
        <f>IF(AuswertungG[[#This Row],[Spiele]]=0,"",ROUND(AVERAGEIFS(Eingabe[Rang],Eingabe[Name],AuswertungG[[#This Row],[Name]]),1))</f>
        <v>5.3</v>
      </c>
      <c r="AC60" s="123" cm="1">
        <f t="array" ref="AC60">IFERROR(ROUND(MEDIAN(_xlfn._xlws.FILTER(Eingabe[GES],Eingabe[Name]=AuswertungG[[#This Row],[Name]])),0),"")</f>
        <v>507</v>
      </c>
      <c r="AD60" s="121">
        <f>IFERROR(AuswertungG[[#This Row],[STABW]]/AuswertungG[[#This Row],[GES]],"")</f>
        <v>6.1023622047244097E-2</v>
      </c>
      <c r="AE60" s="123" cm="1">
        <f t="array" ref="AE60">IFERROR(ROUND(_xlfn.QUARTILE.INC(_xlfn._xlws.FILTER(Eingabe[GES],Eingabe[Name]=AuswertungG[[#This Row],[Name]]),3)-_xlfn.QUARTILE.INC(_xlfn._xlws.FILTER(Eingabe[GES],Eingabe[Name]=AuswertungG[[#This Row],[Name]]),1),0),"")</f>
        <v>41</v>
      </c>
      <c r="AF60" s="123">
        <f>IFERROR(1/AuswertungG[[#This Row],[VK]],"")</f>
        <v>16.387096774193548</v>
      </c>
      <c r="AG60" s="123">
        <f>IFERROR(AuswertungG[[#This Row],[Volle]]/AuswertungG[[#This Row],[Räumer]]-2,"")</f>
        <v>0.21518987341772133</v>
      </c>
      <c r="AH60" s="117">
        <f>IFERROR(ROUND((AuswertungG[[#This Row],[Spiele]]*60)/(AuswertungG[[#This Row],[Fehler]]*AuswertungG[[#This Row],[Spiele]]),0),"")</f>
        <v>5</v>
      </c>
      <c r="AI60" s="123" cm="1">
        <f t="array" ref="AI60">IFERROR((AVERAGE(_xlfn._xlws.FILTER(_xlfn._xlws.FILTER(Eingabe[GES],Eingabe[Name]=AuswertungG[[#This Row],[Name]]),ABS(_xlfn._xlws.FILTER(Eingabe[GEGGES],Eingabe[Name]=AuswertungG[[#This Row],[Name]])-_xlfn._xlws.FILTER(Eingabe[GES],Eingabe[Name]=AuswertungG[[#This Row],[Name]]))&lt;15))-AuswertungG[[#This Row],[GES]])/AuswertungG[[#This Row],[STABW]],"")</f>
        <v>-6.4516129032258063E-2</v>
      </c>
      <c r="AJ60" s="267">
        <f>IFERROR(ROUND(AVERAGEIFS(Eingabe[MP],Eingabe[Diff],"&lt;15",Eingabe[Name],AuswertungG[[#This Row],[Name]])-AuswertungG[[#This Row],[MP]],2),"")</f>
        <v>0.71</v>
      </c>
      <c r="AK60" s="117" cm="1">
        <f t="array" ref="AK60">IFERROR(ROUND(AVERAGE(_xlfn._xlws.FILTER(Eingabe[GES],(Eingabe[Name]=AuswertungG[[#This Row],[Name]])*(Eingabe[GEGGES]&gt;(AuswertungG[[#This Row],[GES]]+20))))-AuswertungG[[#This Row],[GES]],0),"")</f>
        <v>1</v>
      </c>
      <c r="AL60" s="117" t="str" cm="1">
        <f t="array" ref="AL60">IFERROR(ROUND(AVERAGE(_xlfn._xlws.FILTER(Eingabe[GES],(Eingabe[Name]=AuswertungG[[#This Row],[Name]])*(Eingabe[GEGGES]&lt;(AuswertungG[[#This Row],[GES]]-20))))-AuswertungG[[#This Row],[GES]],0),"")</f>
        <v/>
      </c>
    </row>
    <row r="61" spans="2:73" x14ac:dyDescent="0.3">
      <c r="B61" s="285" t="str">
        <f t="shared" si="0"/>
        <v>Anna Müller</v>
      </c>
      <c r="C61" s="119" t="str">
        <f>IF(AuswertungG[[#This Row],[Name]]="","",VLOOKUP(AuswertungG[[#This Row],[Name]],Teamzuordnung[[Name]:[Team]],2,TRUE))</f>
        <v>U19</v>
      </c>
      <c r="D61" s="122">
        <f>COUNTIFS(Eingabe[Name],AuswertungG[[#This Row],[Name]])</f>
        <v>13</v>
      </c>
      <c r="E61" s="117">
        <f>IF(AuswertungG[[#This Row],[Spiele]]="","",IF(AuswertungG[[#This Row],[Spiele]]-COUNTIFS(Eingabe[Name],AuswertungG[[#This Row],[Name]],Eingabe[MP],"")=0,"",AuswertungG[[#This Row],[Spiele]]-COUNTIFS(Eingabe[Name],AuswertungG[[#This Row],[Name]],Eingabe[MP],"")))</f>
        <v>2</v>
      </c>
      <c r="F61" s="117">
        <f>IF(AuswertungG[[#This Row],[Spiele]]=0,"",ROUND(AVERAGEIFS(Eingabe[Volle],Eingabe[Name],AuswertungG[[#This Row],[Name]]),0))</f>
        <v>345</v>
      </c>
      <c r="G61" s="117">
        <f>IF(AuswertungG[[#This Row],[Spiele]]=0,"",ROUND(AVERAGEIFS(Eingabe[Räumer],Eingabe[Name],AuswertungG[[#This Row],[Name]]),0))</f>
        <v>163</v>
      </c>
      <c r="H61" s="123">
        <f>IF(AuswertungG[[#This Row],[Spiele]]=0,"",ROUND(AVERAGEIFS(Eingabe[Fehler],Eingabe[Name],AuswertungG[[#This Row],[Name]]),1))</f>
        <v>8.6</v>
      </c>
      <c r="I61" s="117">
        <f>IF(AuswertungG[[#This Row],[Spiele]]=0,"",ROUND(AVERAGEIFS(Eingabe[GES],Eingabe[Name],AuswertungG[[#This Row],[Name]]),0))</f>
        <v>508</v>
      </c>
      <c r="J61" s="123">
        <f>IF(AuswertungG[[#This Row],[Spiele MP]]="","",ROUND(AVERAGEIFS(Eingabe[SP],Eingabe[Name],AuswertungG[[#This Row],[Name]]),1))</f>
        <v>3.5</v>
      </c>
      <c r="K61" s="121">
        <f>IF(AuswertungG[[#This Row],[Spiele MP]]="","",ROUND(AVERAGEIFS(Eingabe[MP],Eingabe[Name],AuswertungG[[#This Row],[Name]]),2))</f>
        <v>1</v>
      </c>
      <c r="L61" s="117">
        <f>IFERROR(ROUND(AVERAGEIFS(Eingabe[S1],Eingabe[Name],AuswertungG[[#This Row],[Name]]),0),"")</f>
        <v>127</v>
      </c>
      <c r="M61" s="268">
        <f>IFERROR(ROUND(AVERAGEIFS(Eingabe[S2],Eingabe[Name],AuswertungG[[#This Row],[Name]]),0),"")</f>
        <v>130</v>
      </c>
      <c r="N61" s="117">
        <f>IFERROR(ROUND(AVERAGEIFS(Eingabe[S3],Eingabe[Name],AuswertungG[[#This Row],[Name]]),0),"")</f>
        <v>123</v>
      </c>
      <c r="O61" s="268">
        <f>IFERROR(ROUND(AVERAGEIFS(Eingabe[S3],Eingabe[Name],AuswertungG[[#This Row],[Name]]),0),"")</f>
        <v>123</v>
      </c>
      <c r="P61" s="121">
        <f>IF(AuswertungG[[#This Row],[Spiele MP]]="","",ROUND(AVERAGEIFS(Eingabe[S1P],Eingabe[Name],AuswertungG[[#This Row],[Name]]),2))</f>
        <v>1</v>
      </c>
      <c r="Q61" s="121">
        <f>IF(AuswertungG[[#This Row],[Spiele MP]]="","",ROUND(AVERAGEIFS(Eingabe[S2P],Eingabe[Name],AuswertungG[[#This Row],[Name]]),2))</f>
        <v>1</v>
      </c>
      <c r="R61" s="121">
        <f>IF(AuswertungG[[#This Row],[Spiele MP]]="","",ROUND(AVERAGEIFS(Eingabe[S3P],Eingabe[Name],AuswertungG[[#This Row],[Name]]),2))</f>
        <v>1</v>
      </c>
      <c r="S61" s="121">
        <f>IF(AuswertungG[[#This Row],[Spiele MP]]="","",ROUND(AVERAGEIFS(Eingabe[S4P],Eingabe[Name],AuswertungG[[#This Row],[Name]]),2))</f>
        <v>0.5</v>
      </c>
      <c r="T61" s="267" cm="1">
        <f t="array" ref="T61">IF(AuswertungG[[#This Row],[Spiele]]="","",IF(AuswertungG[[#This Row],[Spiele]]&lt;2,"",ROUND(SLOPE(_xlfn._xlws.FILTER(Eingabe[GES],Eingabe[Name]=AuswertungG[[#This Row],[Name]]),_xlfn._xlws.FILTER(Eingabe[KW],Eingabe[Name]=AuswertungG[[#This Row],[Name]])),2)))</f>
        <v>0.15</v>
      </c>
      <c r="U61" s="267" cm="1">
        <f t="array" ref="U61">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1.21</v>
      </c>
      <c r="V61" s="117" cm="1">
        <f t="array" ref="V61">IF(AuswertungG[[#This Row],[Spiele]]="","",IF(AuswertungG[[#This Row],[Spiele]]&lt;2,"",ROUND(_xlfn.STDEV.P(_xlfn._xlws.FILTER(Eingabe[GES],Eingabe[Name]=AuswertungG[[#This Row],[Name]])),0)))</f>
        <v>20</v>
      </c>
      <c r="W61" s="117">
        <f>IF(AuswertungG[[#This Row],[Spiele MP]]="","",ROUND(AVERAGEIFS(Eingabe[GEGGES],Eingabe[Name],AuswertungG[[#This Row],[Name]]),0))</f>
        <v>463</v>
      </c>
      <c r="X61" s="123" t="str">
        <f>VLOOKUP(AuswertungG[[#This Row],[Name]],PositionG[],21,FALSE)</f>
        <v>[1][3]</v>
      </c>
      <c r="Y61" s="123">
        <f>VLOOKUP(AuswertungG[[#This Row],[Name]],PositionG[],22,FALSE)</f>
        <v>1</v>
      </c>
      <c r="Z61" s="123" t="str">
        <f>VLOOKUP(AuswertungG[[#This Row],[Name]],PositionG[],23,FALSE)</f>
        <v>[1][3]</v>
      </c>
      <c r="AA61" s="121">
        <f>IF(AuswertungG[[#This Row],[Spiele MP]]="","",ROUND(VLOOKUP(AuswertungG[[#This Row],[Name]],PositionG[],24,FALSE),2))</f>
        <v>1</v>
      </c>
      <c r="AB61" s="123">
        <f>IF(AuswertungG[[#This Row],[Spiele]]=0,"",ROUND(AVERAGEIFS(Eingabe[Rang],Eingabe[Name],AuswertungG[[#This Row],[Name]]),1))</f>
        <v>2.1</v>
      </c>
      <c r="AC61" s="123" cm="1">
        <f t="array" ref="AC61">IFERROR(ROUND(MEDIAN(_xlfn._xlws.FILTER(Eingabe[GES],Eingabe[Name]=AuswertungG[[#This Row],[Name]])),0),"")</f>
        <v>506</v>
      </c>
      <c r="AD61" s="121">
        <f>IFERROR(AuswertungG[[#This Row],[STABW]]/AuswertungG[[#This Row],[GES]],"")</f>
        <v>3.937007874015748E-2</v>
      </c>
      <c r="AE61" s="123" cm="1">
        <f t="array" ref="AE61">IFERROR(ROUND(_xlfn.QUARTILE.INC(_xlfn._xlws.FILTER(Eingabe[GES],Eingabe[Name]=AuswertungG[[#This Row],[Name]]),3)-_xlfn.QUARTILE.INC(_xlfn._xlws.FILTER(Eingabe[GES],Eingabe[Name]=AuswertungG[[#This Row],[Name]]),1),0),"")</f>
        <v>13</v>
      </c>
      <c r="AF61" s="123">
        <f>IFERROR(1/AuswertungG[[#This Row],[VK]],"")</f>
        <v>25.4</v>
      </c>
      <c r="AG61" s="123">
        <f>IFERROR(AuswertungG[[#This Row],[Volle]]/AuswertungG[[#This Row],[Räumer]]-2,"")</f>
        <v>0.11656441717791433</v>
      </c>
      <c r="AH61" s="117">
        <f>IFERROR(ROUND((AuswertungG[[#This Row],[Spiele]]*60)/(AuswertungG[[#This Row],[Fehler]]*AuswertungG[[#This Row],[Spiele]]),0),"")</f>
        <v>7</v>
      </c>
      <c r="AI61" s="123" t="str" cm="1">
        <f t="array" ref="AI61">IFERROR((AVERAGE(_xlfn._xlws.FILTER(_xlfn._xlws.FILTER(Eingabe[GES],Eingabe[Name]=AuswertungG[[#This Row],[Name]]),ABS(_xlfn._xlws.FILTER(Eingabe[GEGGES],Eingabe[Name]=AuswertungG[[#This Row],[Name]])-_xlfn._xlws.FILTER(Eingabe[GES],Eingabe[Name]=AuswertungG[[#This Row],[Name]]))&lt;15))-AuswertungG[[#This Row],[GES]])/AuswertungG[[#This Row],[STABW]],"")</f>
        <v/>
      </c>
      <c r="AJ61" s="267" t="str">
        <f>IFERROR(ROUND(AVERAGEIFS(Eingabe[MP],Eingabe[Diff],"&lt;15",Eingabe[Name],AuswertungG[[#This Row],[Name]])-AuswertungG[[#This Row],[MP]],2),"")</f>
        <v/>
      </c>
      <c r="AK61" s="117" t="str" cm="1">
        <f t="array" ref="AK61">IFERROR(ROUND(AVERAGE(_xlfn._xlws.FILTER(Eingabe[GES],(Eingabe[Name]=AuswertungG[[#This Row],[Name]])*(Eingabe[GEGGES]&gt;(AuswertungG[[#This Row],[GES]]+20))))-AuswertungG[[#This Row],[GES]],0),"")</f>
        <v/>
      </c>
      <c r="AL61" s="117" cm="1">
        <f t="array" ref="AL61">IFERROR(ROUND(AVERAGE(_xlfn._xlws.FILTER(Eingabe[GES],(Eingabe[Name]=AuswertungG[[#This Row],[Name]])*(Eingabe[GEGGES]&lt;(AuswertungG[[#This Row],[GES]]-20))))-AuswertungG[[#This Row],[GES]],0),"")</f>
        <v>0</v>
      </c>
    </row>
    <row r="62" spans="2:73" x14ac:dyDescent="0.3">
      <c r="B62" s="285" t="str">
        <f t="shared" si="0"/>
        <v>Ben Becker</v>
      </c>
      <c r="C62" s="119" t="str">
        <f>IF(AuswertungG[[#This Row],[Name]]="","",VLOOKUP(AuswertungG[[#This Row],[Name]],Teamzuordnung[[Name]:[Team]],2,TRUE))</f>
        <v>D</v>
      </c>
      <c r="D62" s="122">
        <f>COUNTIFS(Eingabe[Name],AuswertungG[[#This Row],[Name]])</f>
        <v>0</v>
      </c>
      <c r="E62" s="117" t="str">
        <f>IF(AuswertungG[[#This Row],[Spiele]]="","",IF(AuswertungG[[#This Row],[Spiele]]-COUNTIFS(Eingabe[Name],AuswertungG[[#This Row],[Name]],Eingabe[MP],"")=0,"",AuswertungG[[#This Row],[Spiele]]-COUNTIFS(Eingabe[Name],AuswertungG[[#This Row],[Name]],Eingabe[MP],"")))</f>
        <v/>
      </c>
      <c r="F62" s="117" t="str">
        <f>IF(AuswertungG[[#This Row],[Spiele]]=0,"",ROUND(AVERAGEIFS(Eingabe[Volle],Eingabe[Name],AuswertungG[[#This Row],[Name]]),0))</f>
        <v/>
      </c>
      <c r="G62" s="117" t="str">
        <f>IF(AuswertungG[[#This Row],[Spiele]]=0,"",ROUND(AVERAGEIFS(Eingabe[Räumer],Eingabe[Name],AuswertungG[[#This Row],[Name]]),0))</f>
        <v/>
      </c>
      <c r="H62" s="123" t="str">
        <f>IF(AuswertungG[[#This Row],[Spiele]]=0,"",ROUND(AVERAGEIFS(Eingabe[Fehler],Eingabe[Name],AuswertungG[[#This Row],[Name]]),1))</f>
        <v/>
      </c>
      <c r="I62" s="117" t="str">
        <f>IF(AuswertungG[[#This Row],[Spiele]]=0,"",ROUND(AVERAGEIFS(Eingabe[GES],Eingabe[Name],AuswertungG[[#This Row],[Name]]),0))</f>
        <v/>
      </c>
      <c r="J62" s="123" t="str">
        <f>IF(AuswertungG[[#This Row],[Spiele MP]]="","",ROUND(AVERAGEIFS(Eingabe[SP],Eingabe[Name],AuswertungG[[#This Row],[Name]]),1))</f>
        <v/>
      </c>
      <c r="K62" s="121" t="str">
        <f>IF(AuswertungG[[#This Row],[Spiele MP]]="","",ROUND(AVERAGEIFS(Eingabe[MP],Eingabe[Name],AuswertungG[[#This Row],[Name]]),2))</f>
        <v/>
      </c>
      <c r="L62" s="117" t="str">
        <f>IFERROR(ROUND(AVERAGEIFS(Eingabe[S1],Eingabe[Name],AuswertungG[[#This Row],[Name]]),0),"")</f>
        <v/>
      </c>
      <c r="M62" s="268" t="str">
        <f>IFERROR(ROUND(AVERAGEIFS(Eingabe[S2],Eingabe[Name],AuswertungG[[#This Row],[Name]]),0),"")</f>
        <v/>
      </c>
      <c r="N62" s="117" t="str">
        <f>IFERROR(ROUND(AVERAGEIFS(Eingabe[S3],Eingabe[Name],AuswertungG[[#This Row],[Name]]),0),"")</f>
        <v/>
      </c>
      <c r="O62" s="268" t="str">
        <f>IFERROR(ROUND(AVERAGEIFS(Eingabe[S3],Eingabe[Name],AuswertungG[[#This Row],[Name]]),0),"")</f>
        <v/>
      </c>
      <c r="P62" s="121" t="str">
        <f>IF(AuswertungG[[#This Row],[Spiele MP]]="","",ROUND(AVERAGEIFS(Eingabe[S1P],Eingabe[Name],AuswertungG[[#This Row],[Name]]),2))</f>
        <v/>
      </c>
      <c r="Q62" s="121" t="str">
        <f>IF(AuswertungG[[#This Row],[Spiele MP]]="","",ROUND(AVERAGEIFS(Eingabe[S2P],Eingabe[Name],AuswertungG[[#This Row],[Name]]),2))</f>
        <v/>
      </c>
      <c r="R62" s="121" t="str">
        <f>IF(AuswertungG[[#This Row],[Spiele MP]]="","",ROUND(AVERAGEIFS(Eingabe[S3P],Eingabe[Name],AuswertungG[[#This Row],[Name]]),2))</f>
        <v/>
      </c>
      <c r="S62" s="121" t="str">
        <f>IF(AuswertungG[[#This Row],[Spiele MP]]="","",ROUND(AVERAGEIFS(Eingabe[S4P],Eingabe[Name],AuswertungG[[#This Row],[Name]]),2))</f>
        <v/>
      </c>
      <c r="T62" s="267" t="str" cm="1">
        <f t="array" ref="T62">IF(AuswertungG[[#This Row],[Spiele]]="","",IF(AuswertungG[[#This Row],[Spiele]]&lt;2,"",ROUND(SLOPE(_xlfn._xlws.FILTER(Eingabe[GES],Eingabe[Name]=AuswertungG[[#This Row],[Name]]),_xlfn._xlws.FILTER(Eingabe[KW],Eingabe[Name]=AuswertungG[[#This Row],[Name]])),2)))</f>
        <v/>
      </c>
      <c r="U62" s="267" t="str" cm="1">
        <f t="array" ref="U62">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62" s="117" t="str" cm="1">
        <f t="array" ref="V62">IF(AuswertungG[[#This Row],[Spiele]]="","",IF(AuswertungG[[#This Row],[Spiele]]&lt;2,"",ROUND(_xlfn.STDEV.P(_xlfn._xlws.FILTER(Eingabe[GES],Eingabe[Name]=AuswertungG[[#This Row],[Name]])),0)))</f>
        <v/>
      </c>
      <c r="W62" s="117" t="str">
        <f>IF(AuswertungG[[#This Row],[Spiele MP]]="","",ROUND(AVERAGEIFS(Eingabe[GEGGES],Eingabe[Name],AuswertungG[[#This Row],[Name]]),0))</f>
        <v/>
      </c>
      <c r="X62" s="123" t="str">
        <f>VLOOKUP(AuswertungG[[#This Row],[Name]],PositionG[],21,FALSE)</f>
        <v/>
      </c>
      <c r="Y62" s="123" t="str">
        <f>VLOOKUP(AuswertungG[[#This Row],[Name]],PositionG[],22,FALSE)</f>
        <v/>
      </c>
      <c r="Z62" s="123" t="str">
        <f>VLOOKUP(AuswertungG[[#This Row],[Name]],PositionG[],23,FALSE)</f>
        <v/>
      </c>
      <c r="AA62" s="121" t="str">
        <f>IF(AuswertungG[[#This Row],[Spiele MP]]="","",ROUND(VLOOKUP(AuswertungG[[#This Row],[Name]],PositionG[],24,FALSE),2))</f>
        <v/>
      </c>
      <c r="AB62" s="123" t="str">
        <f>IF(AuswertungG[[#This Row],[Spiele]]=0,"",ROUND(AVERAGEIFS(Eingabe[Rang],Eingabe[Name],AuswertungG[[#This Row],[Name]]),1))</f>
        <v/>
      </c>
      <c r="AC62" s="123" t="str" cm="1">
        <f t="array" ref="AC62">IFERROR(ROUND(MEDIAN(_xlfn._xlws.FILTER(Eingabe[GES],Eingabe[Name]=AuswertungG[[#This Row],[Name]])),0),"")</f>
        <v/>
      </c>
      <c r="AD62" s="121" t="str">
        <f>IFERROR(AuswertungG[[#This Row],[STABW]]/AuswertungG[[#This Row],[GES]],"")</f>
        <v/>
      </c>
      <c r="AE62" s="123" t="str" cm="1">
        <f t="array" ref="AE62">IFERROR(ROUND(_xlfn.QUARTILE.INC(_xlfn._xlws.FILTER(Eingabe[GES],Eingabe[Name]=AuswertungG[[#This Row],[Name]]),3)-_xlfn.QUARTILE.INC(_xlfn._xlws.FILTER(Eingabe[GES],Eingabe[Name]=AuswertungG[[#This Row],[Name]]),1),0),"")</f>
        <v/>
      </c>
      <c r="AF62" s="123" t="str">
        <f>IFERROR(1/AuswertungG[[#This Row],[VK]],"")</f>
        <v/>
      </c>
      <c r="AG62" s="123" t="str">
        <f>IFERROR(AuswertungG[[#This Row],[Volle]]/AuswertungG[[#This Row],[Räumer]]-2,"")</f>
        <v/>
      </c>
      <c r="AH62" s="117" t="str">
        <f>IFERROR(ROUND((AuswertungG[[#This Row],[Spiele]]*60)/(AuswertungG[[#This Row],[Fehler]]*AuswertungG[[#This Row],[Spiele]]),0),"")</f>
        <v/>
      </c>
      <c r="AI62" s="123" t="str" cm="1">
        <f t="array" ref="AI62">IFERROR((AVERAGE(_xlfn._xlws.FILTER(_xlfn._xlws.FILTER(Eingabe[GES],Eingabe[Name]=AuswertungG[[#This Row],[Name]]),ABS(_xlfn._xlws.FILTER(Eingabe[GEGGES],Eingabe[Name]=AuswertungG[[#This Row],[Name]])-_xlfn._xlws.FILTER(Eingabe[GES],Eingabe[Name]=AuswertungG[[#This Row],[Name]]))&lt;15))-AuswertungG[[#This Row],[GES]])/AuswertungG[[#This Row],[STABW]],"")</f>
        <v/>
      </c>
      <c r="AJ62" s="267" t="str">
        <f>IFERROR(ROUND(AVERAGEIFS(Eingabe[MP],Eingabe[Diff],"&lt;15",Eingabe[Name],AuswertungG[[#This Row],[Name]])-AuswertungG[[#This Row],[MP]],2),"")</f>
        <v/>
      </c>
      <c r="AK62" s="117" t="str" cm="1">
        <f t="array" ref="AK62">IFERROR(ROUND(AVERAGE(_xlfn._xlws.FILTER(Eingabe[GES],(Eingabe[Name]=AuswertungG[[#This Row],[Name]])*(Eingabe[GEGGES]&gt;(AuswertungG[[#This Row],[GES]]+20))))-AuswertungG[[#This Row],[GES]],0),"")</f>
        <v/>
      </c>
      <c r="AL62" s="117" t="str" cm="1">
        <f t="array" ref="AL62">IFERROR(ROUND(AVERAGE(_xlfn._xlws.FILTER(Eingabe[GES],(Eingabe[Name]=AuswertungG[[#This Row],[Name]])*(Eingabe[GEGGES]&lt;(AuswertungG[[#This Row],[GES]]-20))))-AuswertungG[[#This Row],[GES]],0),"")</f>
        <v/>
      </c>
    </row>
    <row r="63" spans="2:73" x14ac:dyDescent="0.3">
      <c r="B63" s="285" t="str">
        <f t="shared" si="0"/>
        <v>Ben Böhmer</v>
      </c>
      <c r="C63" s="119" t="str">
        <f>IF(AuswertungG[[#This Row],[Name]]="","",VLOOKUP(AuswertungG[[#This Row],[Name]],Teamzuordnung[[Name]:[Team]],2,TRUE))</f>
        <v>U14</v>
      </c>
      <c r="D63" s="122">
        <f>COUNTIFS(Eingabe[Name],AuswertungG[[#This Row],[Name]])</f>
        <v>6</v>
      </c>
      <c r="E63" s="117" t="str">
        <f>IF(AuswertungG[[#This Row],[Spiele]]="","",IF(AuswertungG[[#This Row],[Spiele]]-COUNTIFS(Eingabe[Name],AuswertungG[[#This Row],[Name]],Eingabe[MP],"")=0,"",AuswertungG[[#This Row],[Spiele]]-COUNTIFS(Eingabe[Name],AuswertungG[[#This Row],[Name]],Eingabe[MP],"")))</f>
        <v/>
      </c>
      <c r="F63" s="117">
        <f>IF(AuswertungG[[#This Row],[Spiele]]=0,"",ROUND(AVERAGEIFS(Eingabe[Volle],Eingabe[Name],AuswertungG[[#This Row],[Name]]),0))</f>
        <v>251</v>
      </c>
      <c r="G63" s="117">
        <f>IF(AuswertungG[[#This Row],[Spiele]]=0,"",ROUND(AVERAGEIFS(Eingabe[Räumer],Eingabe[Name],AuswertungG[[#This Row],[Name]]),0))</f>
        <v>79</v>
      </c>
      <c r="H63" s="123">
        <f>IF(AuswertungG[[#This Row],[Spiele]]=0,"",ROUND(AVERAGEIFS(Eingabe[Fehler],Eingabe[Name],AuswertungG[[#This Row],[Name]]),1))</f>
        <v>36.700000000000003</v>
      </c>
      <c r="I63" s="117">
        <f>IF(AuswertungG[[#This Row],[Spiele]]=0,"",ROUND(AVERAGEIFS(Eingabe[GES],Eingabe[Name],AuswertungG[[#This Row],[Name]]),0))</f>
        <v>330</v>
      </c>
      <c r="J63" s="123" t="str">
        <f>IF(AuswertungG[[#This Row],[Spiele MP]]="","",ROUND(AVERAGEIFS(Eingabe[SP],Eingabe[Name],AuswertungG[[#This Row],[Name]]),1))</f>
        <v/>
      </c>
      <c r="K63" s="121" t="str">
        <f>IF(AuswertungG[[#This Row],[Spiele MP]]="","",ROUND(AVERAGEIFS(Eingabe[MP],Eingabe[Name],AuswertungG[[#This Row],[Name]]),2))</f>
        <v/>
      </c>
      <c r="L63" s="117">
        <f>IFERROR(ROUND(AVERAGEIFS(Eingabe[S1],Eingabe[Name],AuswertungG[[#This Row],[Name]]),0),"")</f>
        <v>82</v>
      </c>
      <c r="M63" s="268">
        <f>IFERROR(ROUND(AVERAGEIFS(Eingabe[S2],Eingabe[Name],AuswertungG[[#This Row],[Name]]),0),"")</f>
        <v>93</v>
      </c>
      <c r="N63" s="117">
        <f>IFERROR(ROUND(AVERAGEIFS(Eingabe[S3],Eingabe[Name],AuswertungG[[#This Row],[Name]]),0),"")</f>
        <v>70</v>
      </c>
      <c r="O63" s="268">
        <f>IFERROR(ROUND(AVERAGEIFS(Eingabe[S3],Eingabe[Name],AuswertungG[[#This Row],[Name]]),0),"")</f>
        <v>70</v>
      </c>
      <c r="P63" s="121" t="str">
        <f>IF(AuswertungG[[#This Row],[Spiele MP]]="","",ROUND(AVERAGEIFS(Eingabe[S1P],Eingabe[Name],AuswertungG[[#This Row],[Name]]),2))</f>
        <v/>
      </c>
      <c r="Q63" s="121" t="str">
        <f>IF(AuswertungG[[#This Row],[Spiele MP]]="","",ROUND(AVERAGEIFS(Eingabe[S2P],Eingabe[Name],AuswertungG[[#This Row],[Name]]),2))</f>
        <v/>
      </c>
      <c r="R63" s="121" t="str">
        <f>IF(AuswertungG[[#This Row],[Spiele MP]]="","",ROUND(AVERAGEIFS(Eingabe[S3P],Eingabe[Name],AuswertungG[[#This Row],[Name]]),2))</f>
        <v/>
      </c>
      <c r="S63" s="121" t="str">
        <f>IF(AuswertungG[[#This Row],[Spiele MP]]="","",ROUND(AVERAGEIFS(Eingabe[S4P],Eingabe[Name],AuswertungG[[#This Row],[Name]]),2))</f>
        <v/>
      </c>
      <c r="T63" s="267" cm="1">
        <f t="array" ref="T63">IF(AuswertungG[[#This Row],[Spiele]]="","",IF(AuswertungG[[#This Row],[Spiele]]&lt;2,"",ROUND(SLOPE(_xlfn._xlws.FILTER(Eingabe[GES],Eingabe[Name]=AuswertungG[[#This Row],[Name]]),_xlfn._xlws.FILTER(Eingabe[KW],Eingabe[Name]=AuswertungG[[#This Row],[Name]])),2)))</f>
        <v>1.04</v>
      </c>
      <c r="U63" s="267" cm="1">
        <f t="array" ref="U63">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2.13</v>
      </c>
      <c r="V63" s="117" cm="1">
        <f t="array" ref="V63">IF(AuswertungG[[#This Row],[Spiele]]="","",IF(AuswertungG[[#This Row],[Spiele]]&lt;2,"",ROUND(_xlfn.STDEV.P(_xlfn._xlws.FILTER(Eingabe[GES],Eingabe[Name]=AuswertungG[[#This Row],[Name]])),0)))</f>
        <v>17</v>
      </c>
      <c r="W63" s="117" t="str">
        <f>IF(AuswertungG[[#This Row],[Spiele MP]]="","",ROUND(AVERAGEIFS(Eingabe[GEGGES],Eingabe[Name],AuswertungG[[#This Row],[Name]]),0))</f>
        <v/>
      </c>
      <c r="X63" s="123" t="str">
        <f>VLOOKUP(AuswertungG[[#This Row],[Name]],PositionG[],21,FALSE)</f>
        <v/>
      </c>
      <c r="Y63" s="123" t="str">
        <f>VLOOKUP(AuswertungG[[#This Row],[Name]],PositionG[],22,FALSE)</f>
        <v/>
      </c>
      <c r="Z63" s="123" t="str">
        <f>VLOOKUP(AuswertungG[[#This Row],[Name]],PositionG[],23,FALSE)</f>
        <v/>
      </c>
      <c r="AA63" s="121" t="str">
        <f>IF(AuswertungG[[#This Row],[Spiele MP]]="","",ROUND(VLOOKUP(AuswertungG[[#This Row],[Name]],PositionG[],24,FALSE),2))</f>
        <v/>
      </c>
      <c r="AB63" s="123">
        <f>IF(AuswertungG[[#This Row],[Spiele]]=0,"",ROUND(AVERAGEIFS(Eingabe[Rang],Eingabe[Name],AuswertungG[[#This Row],[Name]]),1))</f>
        <v>3.8</v>
      </c>
      <c r="AC63" s="123" cm="1">
        <f t="array" ref="AC63">IFERROR(ROUND(MEDIAN(_xlfn._xlws.FILTER(Eingabe[GES],Eingabe[Name]=AuswertungG[[#This Row],[Name]])),0),"")</f>
        <v>332</v>
      </c>
      <c r="AD63" s="121">
        <f>IFERROR(AuswertungG[[#This Row],[STABW]]/AuswertungG[[#This Row],[GES]],"")</f>
        <v>5.1515151515151514E-2</v>
      </c>
      <c r="AE63" s="123" cm="1">
        <f t="array" ref="AE63">IFERROR(ROUND(_xlfn.QUARTILE.INC(_xlfn._xlws.FILTER(Eingabe[GES],Eingabe[Name]=AuswertungG[[#This Row],[Name]]),3)-_xlfn.QUARTILE.INC(_xlfn._xlws.FILTER(Eingabe[GES],Eingabe[Name]=AuswertungG[[#This Row],[Name]]),1),0),"")</f>
        <v>22</v>
      </c>
      <c r="AF63" s="123">
        <f>IFERROR(1/AuswertungG[[#This Row],[VK]],"")</f>
        <v>19.411764705882355</v>
      </c>
      <c r="AG63" s="123">
        <f>IFERROR(AuswertungG[[#This Row],[Volle]]/AuswertungG[[#This Row],[Räumer]]-2,"")</f>
        <v>1.1772151898734178</v>
      </c>
      <c r="AH63" s="117">
        <f>IFERROR(ROUND((AuswertungG[[#This Row],[Spiele]]*60)/(AuswertungG[[#This Row],[Fehler]]*AuswertungG[[#This Row],[Spiele]]),0),"")</f>
        <v>2</v>
      </c>
      <c r="AI63" s="123" t="str" cm="1">
        <f t="array" ref="AI63">IFERROR((AVERAGE(_xlfn._xlws.FILTER(_xlfn._xlws.FILTER(Eingabe[GES],Eingabe[Name]=AuswertungG[[#This Row],[Name]]),ABS(_xlfn._xlws.FILTER(Eingabe[GEGGES],Eingabe[Name]=AuswertungG[[#This Row],[Name]])-_xlfn._xlws.FILTER(Eingabe[GES],Eingabe[Name]=AuswertungG[[#This Row],[Name]]))&lt;15))-AuswertungG[[#This Row],[GES]])/AuswertungG[[#This Row],[STABW]],"")</f>
        <v/>
      </c>
      <c r="AJ63" s="267" t="str">
        <f>IFERROR(ROUND(AVERAGEIFS(Eingabe[MP],Eingabe[Diff],"&lt;15",Eingabe[Name],AuswertungG[[#This Row],[Name]])-AuswertungG[[#This Row],[MP]],2),"")</f>
        <v/>
      </c>
      <c r="AK63" s="117" t="str" cm="1">
        <f t="array" ref="AK63">IFERROR(ROUND(AVERAGE(_xlfn._xlws.FILTER(Eingabe[GES],(Eingabe[Name]=AuswertungG[[#This Row],[Name]])*(Eingabe[GEGGES]&gt;(AuswertungG[[#This Row],[GES]]+20))))-AuswertungG[[#This Row],[GES]],0),"")</f>
        <v/>
      </c>
      <c r="AL63" s="117" cm="1">
        <f t="array" ref="AL63">IFERROR(ROUND(AVERAGE(_xlfn._xlws.FILTER(Eingabe[GES],(Eingabe[Name]=AuswertungG[[#This Row],[Name]])*(Eingabe[GEGGES]&lt;(AuswertungG[[#This Row],[GES]]-20))))-AuswertungG[[#This Row],[GES]],0),"")</f>
        <v>0</v>
      </c>
    </row>
    <row r="64" spans="2:73" x14ac:dyDescent="0.3">
      <c r="B64" s="285" t="str">
        <f t="shared" si="0"/>
        <v>Bruno Bergelt</v>
      </c>
      <c r="C64" s="119" t="str">
        <f>IF(AuswertungG[[#This Row],[Name]]="","",VLOOKUP(AuswertungG[[#This Row],[Name]],Teamzuordnung[[Name]:[Team]],2,TRUE))</f>
        <v>U14</v>
      </c>
      <c r="D64" s="122">
        <f>COUNTIFS(Eingabe[Name],AuswertungG[[#This Row],[Name]])</f>
        <v>5</v>
      </c>
      <c r="E64" s="117" t="str">
        <f>IF(AuswertungG[[#This Row],[Spiele]]="","",IF(AuswertungG[[#This Row],[Spiele]]-COUNTIFS(Eingabe[Name],AuswertungG[[#This Row],[Name]],Eingabe[MP],"")=0,"",AuswertungG[[#This Row],[Spiele]]-COUNTIFS(Eingabe[Name],AuswertungG[[#This Row],[Name]],Eingabe[MP],"")))</f>
        <v/>
      </c>
      <c r="F64" s="117">
        <f>IF(AuswertungG[[#This Row],[Spiele]]=0,"",ROUND(AVERAGEIFS(Eingabe[Volle],Eingabe[Name],AuswertungG[[#This Row],[Name]]),0))</f>
        <v>283</v>
      </c>
      <c r="G64" s="117">
        <f>IF(AuswertungG[[#This Row],[Spiele]]=0,"",ROUND(AVERAGEIFS(Eingabe[Räumer],Eingabe[Name],AuswertungG[[#This Row],[Name]]),0))</f>
        <v>104</v>
      </c>
      <c r="H64" s="123">
        <f>IF(AuswertungG[[#This Row],[Spiele]]=0,"",ROUND(AVERAGEIFS(Eingabe[Fehler],Eingabe[Name],AuswertungG[[#This Row],[Name]]),1))</f>
        <v>21.2</v>
      </c>
      <c r="I64" s="117">
        <f>IF(AuswertungG[[#This Row],[Spiele]]=0,"",ROUND(AVERAGEIFS(Eingabe[GES],Eingabe[Name],AuswertungG[[#This Row],[Name]]),0))</f>
        <v>386</v>
      </c>
      <c r="J64" s="123" t="str">
        <f>IF(AuswertungG[[#This Row],[Spiele MP]]="","",ROUND(AVERAGEIFS(Eingabe[SP],Eingabe[Name],AuswertungG[[#This Row],[Name]]),1))</f>
        <v/>
      </c>
      <c r="K64" s="121" t="str">
        <f>IF(AuswertungG[[#This Row],[Spiele MP]]="","",ROUND(AVERAGEIFS(Eingabe[MP],Eingabe[Name],AuswertungG[[#This Row],[Name]]),2))</f>
        <v/>
      </c>
      <c r="L64" s="117">
        <f>IFERROR(ROUND(AVERAGEIFS(Eingabe[S1],Eingabe[Name],AuswertungG[[#This Row],[Name]]),0),"")</f>
        <v>100</v>
      </c>
      <c r="M64" s="268">
        <f>IFERROR(ROUND(AVERAGEIFS(Eingabe[S2],Eingabe[Name],AuswertungG[[#This Row],[Name]]),0),"")</f>
        <v>97</v>
      </c>
      <c r="N64" s="117">
        <f>IFERROR(ROUND(AVERAGEIFS(Eingabe[S3],Eingabe[Name],AuswertungG[[#This Row],[Name]]),0),"")</f>
        <v>93</v>
      </c>
      <c r="O64" s="268">
        <f>IFERROR(ROUND(AVERAGEIFS(Eingabe[S3],Eingabe[Name],AuswertungG[[#This Row],[Name]]),0),"")</f>
        <v>93</v>
      </c>
      <c r="P64" s="121" t="str">
        <f>IF(AuswertungG[[#This Row],[Spiele MP]]="","",ROUND(AVERAGEIFS(Eingabe[S1P],Eingabe[Name],AuswertungG[[#This Row],[Name]]),2))</f>
        <v/>
      </c>
      <c r="Q64" s="121" t="str">
        <f>IF(AuswertungG[[#This Row],[Spiele MP]]="","",ROUND(AVERAGEIFS(Eingabe[S2P],Eingabe[Name],AuswertungG[[#This Row],[Name]]),2))</f>
        <v/>
      </c>
      <c r="R64" s="121" t="str">
        <f>IF(AuswertungG[[#This Row],[Spiele MP]]="","",ROUND(AVERAGEIFS(Eingabe[S3P],Eingabe[Name],AuswertungG[[#This Row],[Name]]),2))</f>
        <v/>
      </c>
      <c r="S64" s="121" t="str">
        <f>IF(AuswertungG[[#This Row],[Spiele MP]]="","",ROUND(AVERAGEIFS(Eingabe[S4P],Eingabe[Name],AuswertungG[[#This Row],[Name]]),2))</f>
        <v/>
      </c>
      <c r="T64" s="267" cm="1">
        <f t="array" ref="T64">IF(AuswertungG[[#This Row],[Spiele]]="","",IF(AuswertungG[[#This Row],[Spiele]]&lt;2,"",ROUND(SLOPE(_xlfn._xlws.FILTER(Eingabe[GES],Eingabe[Name]=AuswertungG[[#This Row],[Name]]),_xlfn._xlws.FILTER(Eingabe[KW],Eingabe[Name]=AuswertungG[[#This Row],[Name]])),2)))</f>
        <v>1.84</v>
      </c>
      <c r="U64" s="267" cm="1">
        <f t="array" ref="U64">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-0.81</v>
      </c>
      <c r="V64" s="117" cm="1">
        <f t="array" ref="V64">IF(AuswertungG[[#This Row],[Spiele]]="","",IF(AuswertungG[[#This Row],[Spiele]]&lt;2,"",ROUND(_xlfn.STDEV.P(_xlfn._xlws.FILTER(Eingabe[GES],Eingabe[Name]=AuswertungG[[#This Row],[Name]])),0)))</f>
        <v>13</v>
      </c>
      <c r="W64" s="117" t="str">
        <f>IF(AuswertungG[[#This Row],[Spiele MP]]="","",ROUND(AVERAGEIFS(Eingabe[GEGGES],Eingabe[Name],AuswertungG[[#This Row],[Name]]),0))</f>
        <v/>
      </c>
      <c r="X64" s="123" t="str">
        <f>VLOOKUP(AuswertungG[[#This Row],[Name]],PositionG[],21,FALSE)</f>
        <v/>
      </c>
      <c r="Y64" s="123" t="str">
        <f>VLOOKUP(AuswertungG[[#This Row],[Name]],PositionG[],22,FALSE)</f>
        <v/>
      </c>
      <c r="Z64" s="123" t="str">
        <f>VLOOKUP(AuswertungG[[#This Row],[Name]],PositionG[],23,FALSE)</f>
        <v/>
      </c>
      <c r="AA64" s="121" t="str">
        <f>IF(AuswertungG[[#This Row],[Spiele MP]]="","",ROUND(VLOOKUP(AuswertungG[[#This Row],[Name]],PositionG[],24,FALSE),2))</f>
        <v/>
      </c>
      <c r="AB64" s="123">
        <f>IF(AuswertungG[[#This Row],[Spiele]]=0,"",ROUND(AVERAGEIFS(Eingabe[Rang],Eingabe[Name],AuswertungG[[#This Row],[Name]]),1))</f>
        <v>2</v>
      </c>
      <c r="AC64" s="123" cm="1">
        <f t="array" ref="AC64">IFERROR(ROUND(MEDIAN(_xlfn._xlws.FILTER(Eingabe[GES],Eingabe[Name]=AuswertungG[[#This Row],[Name]])),0),"")</f>
        <v>390</v>
      </c>
      <c r="AD64" s="121">
        <f>IFERROR(AuswertungG[[#This Row],[STABW]]/AuswertungG[[#This Row],[GES]],"")</f>
        <v>3.367875647668394E-2</v>
      </c>
      <c r="AE64" s="123" cm="1">
        <f t="array" ref="AE64">IFERROR(ROUND(_xlfn.QUARTILE.INC(_xlfn._xlws.FILTER(Eingabe[GES],Eingabe[Name]=AuswertungG[[#This Row],[Name]]),3)-_xlfn.QUARTILE.INC(_xlfn._xlws.FILTER(Eingabe[GES],Eingabe[Name]=AuswertungG[[#This Row],[Name]]),1),0),"")</f>
        <v>14</v>
      </c>
      <c r="AF64" s="123">
        <f>IFERROR(1/AuswertungG[[#This Row],[VK]],"")</f>
        <v>29.69230769230769</v>
      </c>
      <c r="AG64" s="123">
        <f>IFERROR(AuswertungG[[#This Row],[Volle]]/AuswertungG[[#This Row],[Räumer]]-2,"")</f>
        <v>0.72115384615384626</v>
      </c>
      <c r="AH64" s="117">
        <f>IFERROR(ROUND((AuswertungG[[#This Row],[Spiele]]*60)/(AuswertungG[[#This Row],[Fehler]]*AuswertungG[[#This Row],[Spiele]]),0),"")</f>
        <v>3</v>
      </c>
      <c r="AI64" s="123" t="str" cm="1">
        <f t="array" ref="AI64">IFERROR((AVERAGE(_xlfn._xlws.FILTER(_xlfn._xlws.FILTER(Eingabe[GES],Eingabe[Name]=AuswertungG[[#This Row],[Name]]),ABS(_xlfn._xlws.FILTER(Eingabe[GEGGES],Eingabe[Name]=AuswertungG[[#This Row],[Name]])-_xlfn._xlws.FILTER(Eingabe[GES],Eingabe[Name]=AuswertungG[[#This Row],[Name]]))&lt;15))-AuswertungG[[#This Row],[GES]])/AuswertungG[[#This Row],[STABW]],"")</f>
        <v/>
      </c>
      <c r="AJ64" s="267" t="str">
        <f>IFERROR(ROUND(AVERAGEIFS(Eingabe[MP],Eingabe[Diff],"&lt;15",Eingabe[Name],AuswertungG[[#This Row],[Name]])-AuswertungG[[#This Row],[MP]],2),"")</f>
        <v/>
      </c>
      <c r="AK64" s="117" t="str" cm="1">
        <f t="array" ref="AK64">IFERROR(ROUND(AVERAGE(_xlfn._xlws.FILTER(Eingabe[GES],(Eingabe[Name]=AuswertungG[[#This Row],[Name]])*(Eingabe[GEGGES]&gt;(AuswertungG[[#This Row],[GES]]+20))))-AuswertungG[[#This Row],[GES]],0),"")</f>
        <v/>
      </c>
      <c r="AL64" s="117" cm="1">
        <f t="array" ref="AL64">IFERROR(ROUND(AVERAGE(_xlfn._xlws.FILTER(Eingabe[GES],(Eingabe[Name]=AuswertungG[[#This Row],[Name]])*(Eingabe[GEGGES]&lt;(AuswertungG[[#This Row],[GES]]-20))))-AuswertungG[[#This Row],[GES]],0),"")</f>
        <v>0</v>
      </c>
    </row>
    <row r="65" spans="2:38" x14ac:dyDescent="0.3">
      <c r="B65" s="285" t="str">
        <f t="shared" si="0"/>
        <v>Cora Keller</v>
      </c>
      <c r="C65" s="119" t="str">
        <f>IF(AuswertungG[[#This Row],[Name]]="","",VLOOKUP(AuswertungG[[#This Row],[Name]],Teamzuordnung[[Name]:[Team]],2,TRUE))</f>
        <v>U19</v>
      </c>
      <c r="D65" s="122">
        <f>COUNTIFS(Eingabe[Name],AuswertungG[[#This Row],[Name]])</f>
        <v>15</v>
      </c>
      <c r="E65" s="117">
        <f>IF(AuswertungG[[#This Row],[Spiele]]="","",IF(AuswertungG[[#This Row],[Spiele]]-COUNTIFS(Eingabe[Name],AuswertungG[[#This Row],[Name]],Eingabe[MP],"")=0,"",AuswertungG[[#This Row],[Spiele]]-COUNTIFS(Eingabe[Name],AuswertungG[[#This Row],[Name]],Eingabe[MP],"")))</f>
        <v>5</v>
      </c>
      <c r="F65" s="117">
        <f>IF(AuswertungG[[#This Row],[Spiele]]=0,"",ROUND(AVERAGEIFS(Eingabe[Volle],Eingabe[Name],AuswertungG[[#This Row],[Name]]),0))</f>
        <v>346</v>
      </c>
      <c r="G65" s="117">
        <f>IF(AuswertungG[[#This Row],[Spiele]]=0,"",ROUND(AVERAGEIFS(Eingabe[Räumer],Eingabe[Name],AuswertungG[[#This Row],[Name]]),0))</f>
        <v>154</v>
      </c>
      <c r="H65" s="123">
        <f>IF(AuswertungG[[#This Row],[Spiele]]=0,"",ROUND(AVERAGEIFS(Eingabe[Fehler],Eingabe[Name],AuswertungG[[#This Row],[Name]]),1))</f>
        <v>11.1</v>
      </c>
      <c r="I65" s="117">
        <f>IF(AuswertungG[[#This Row],[Spiele]]=0,"",ROUND(AVERAGEIFS(Eingabe[GES],Eingabe[Name],AuswertungG[[#This Row],[Name]]),0))</f>
        <v>501</v>
      </c>
      <c r="J65" s="123">
        <f>IF(AuswertungG[[#This Row],[Spiele MP]]="","",ROUND(AVERAGEIFS(Eingabe[SP],Eingabe[Name],AuswertungG[[#This Row],[Name]]),1))</f>
        <v>2</v>
      </c>
      <c r="K65" s="121">
        <f>IF(AuswertungG[[#This Row],[Spiele MP]]="","",ROUND(AVERAGEIFS(Eingabe[MP],Eingabe[Name],AuswertungG[[#This Row],[Name]]),2))</f>
        <v>0.6</v>
      </c>
      <c r="L65" s="117">
        <f>IFERROR(ROUND(AVERAGEIFS(Eingabe[S1],Eingabe[Name],AuswertungG[[#This Row],[Name]]),0),"")</f>
        <v>128</v>
      </c>
      <c r="M65" s="268">
        <f>IFERROR(ROUND(AVERAGEIFS(Eingabe[S2],Eingabe[Name],AuswertungG[[#This Row],[Name]]),0),"")</f>
        <v>125</v>
      </c>
      <c r="N65" s="117">
        <f>IFERROR(ROUND(AVERAGEIFS(Eingabe[S3],Eingabe[Name],AuswertungG[[#This Row],[Name]]),0),"")</f>
        <v>124</v>
      </c>
      <c r="O65" s="268">
        <f>IFERROR(ROUND(AVERAGEIFS(Eingabe[S3],Eingabe[Name],AuswertungG[[#This Row],[Name]]),0),"")</f>
        <v>124</v>
      </c>
      <c r="P65" s="121">
        <f>IF(AuswertungG[[#This Row],[Spiele MP]]="","",ROUND(AVERAGEIFS(Eingabe[S1P],Eingabe[Name],AuswertungG[[#This Row],[Name]]),2))</f>
        <v>0.4</v>
      </c>
      <c r="Q65" s="121">
        <f>IF(AuswertungG[[#This Row],[Spiele MP]]="","",ROUND(AVERAGEIFS(Eingabe[S2P],Eingabe[Name],AuswertungG[[#This Row],[Name]]),2))</f>
        <v>0.4</v>
      </c>
      <c r="R65" s="121">
        <f>IF(AuswertungG[[#This Row],[Spiele MP]]="","",ROUND(AVERAGEIFS(Eingabe[S3P],Eingabe[Name],AuswertungG[[#This Row],[Name]]),2))</f>
        <v>0.6</v>
      </c>
      <c r="S65" s="121">
        <f>IF(AuswertungG[[#This Row],[Spiele MP]]="","",ROUND(AVERAGEIFS(Eingabe[S4P],Eingabe[Name],AuswertungG[[#This Row],[Name]]),2))</f>
        <v>0.6</v>
      </c>
      <c r="T65" s="267" cm="1">
        <f t="array" ref="T65">IF(AuswertungG[[#This Row],[Spiele]]="","",IF(AuswertungG[[#This Row],[Spiele]]&lt;2,"",ROUND(SLOPE(_xlfn._xlws.FILTER(Eingabe[GES],Eingabe[Name]=AuswertungG[[#This Row],[Name]]),_xlfn._xlws.FILTER(Eingabe[KW],Eingabe[Name]=AuswertungG[[#This Row],[Name]])),2)))</f>
        <v>0.19</v>
      </c>
      <c r="U65" s="267" cm="1">
        <f t="array" ref="U65">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-3.93</v>
      </c>
      <c r="V65" s="117" cm="1">
        <f t="array" ref="V65">IF(AuswertungG[[#This Row],[Spiele]]="","",IF(AuswertungG[[#This Row],[Spiele]]&lt;2,"",ROUND(_xlfn.STDEV.P(_xlfn._xlws.FILTER(Eingabe[GES],Eingabe[Name]=AuswertungG[[#This Row],[Name]])),0)))</f>
        <v>31</v>
      </c>
      <c r="W65" s="117">
        <f>IF(AuswertungG[[#This Row],[Spiele MP]]="","",ROUND(AVERAGEIFS(Eingabe[GEGGES],Eingabe[Name],AuswertungG[[#This Row],[Name]]),0))</f>
        <v>478</v>
      </c>
      <c r="X65" s="123" t="str">
        <f>VLOOKUP(AuswertungG[[#This Row],[Name]],PositionG[],21,FALSE)</f>
        <v>[1][2]</v>
      </c>
      <c r="Y65" s="123">
        <f>VLOOKUP(AuswertungG[[#This Row],[Name]],PositionG[],22,FALSE)</f>
        <v>2</v>
      </c>
      <c r="Z65" s="123" t="str">
        <f>VLOOKUP(AuswertungG[[#This Row],[Name]],PositionG[],23,FALSE)</f>
        <v>[3]</v>
      </c>
      <c r="AA65" s="121">
        <f>IF(AuswertungG[[#This Row],[Spiele MP]]="","",ROUND(VLOOKUP(AuswertungG[[#This Row],[Name]],PositionG[],24,FALSE),2))</f>
        <v>1</v>
      </c>
      <c r="AB65" s="123">
        <f>IF(AuswertungG[[#This Row],[Spiele]]=0,"",ROUND(AVERAGEIFS(Eingabe[Rang],Eingabe[Name],AuswertungG[[#This Row],[Name]]),1))</f>
        <v>2.8</v>
      </c>
      <c r="AC65" s="123" cm="1">
        <f t="array" ref="AC65">IFERROR(ROUND(MEDIAN(_xlfn._xlws.FILTER(Eingabe[GES],Eingabe[Name]=AuswertungG[[#This Row],[Name]])),0),"")</f>
        <v>512</v>
      </c>
      <c r="AD65" s="121">
        <f>IFERROR(AuswertungG[[#This Row],[STABW]]/AuswertungG[[#This Row],[GES]],"")</f>
        <v>6.1876247504990017E-2</v>
      </c>
      <c r="AE65" s="123" cm="1">
        <f t="array" ref="AE65">IFERROR(ROUND(_xlfn.QUARTILE.INC(_xlfn._xlws.FILTER(Eingabe[GES],Eingabe[Name]=AuswertungG[[#This Row],[Name]]),3)-_xlfn.QUARTILE.INC(_xlfn._xlws.FILTER(Eingabe[GES],Eingabe[Name]=AuswertungG[[#This Row],[Name]]),1),0),"")</f>
        <v>45</v>
      </c>
      <c r="AF65" s="123">
        <f>IFERROR(1/AuswertungG[[#This Row],[VK]],"")</f>
        <v>16.161290322580644</v>
      </c>
      <c r="AG65" s="123">
        <f>IFERROR(AuswertungG[[#This Row],[Volle]]/AuswertungG[[#This Row],[Räumer]]-2,"")</f>
        <v>0.24675324675324672</v>
      </c>
      <c r="AH65" s="117">
        <f>IFERROR(ROUND((AuswertungG[[#This Row],[Spiele]]*60)/(AuswertungG[[#This Row],[Fehler]]*AuswertungG[[#This Row],[Spiele]]),0),"")</f>
        <v>5</v>
      </c>
      <c r="AI65" s="123" t="str" cm="1">
        <f t="array" ref="AI65">IFERROR((AVERAGE(_xlfn._xlws.FILTER(_xlfn._xlws.FILTER(Eingabe[GES],Eingabe[Name]=AuswertungG[[#This Row],[Name]]),ABS(_xlfn._xlws.FILTER(Eingabe[GEGGES],Eingabe[Name]=AuswertungG[[#This Row],[Name]])-_xlfn._xlws.FILTER(Eingabe[GES],Eingabe[Name]=AuswertungG[[#This Row],[Name]]))&lt;15))-AuswertungG[[#This Row],[GES]])/AuswertungG[[#This Row],[STABW]],"")</f>
        <v/>
      </c>
      <c r="AJ65" s="267" t="str">
        <f>IFERROR(ROUND(AVERAGEIFS(Eingabe[MP],Eingabe[Diff],"&lt;15",Eingabe[Name],AuswertungG[[#This Row],[Name]])-AuswertungG[[#This Row],[MP]],2),"")</f>
        <v/>
      </c>
      <c r="AK65" s="117" t="str" cm="1">
        <f t="array" ref="AK65">IFERROR(ROUND(AVERAGE(_xlfn._xlws.FILTER(Eingabe[GES],(Eingabe[Name]=AuswertungG[[#This Row],[Name]])*(Eingabe[GEGGES]&gt;(AuswertungG[[#This Row],[GES]]+20))))-AuswertungG[[#This Row],[GES]],0),"")</f>
        <v/>
      </c>
      <c r="AL65" s="117" cm="1">
        <f t="array" ref="AL65">IFERROR(ROUND(AVERAGE(_xlfn._xlws.FILTER(Eingabe[GES],(Eingabe[Name]=AuswertungG[[#This Row],[Name]])*(Eingabe[GEGGES]&lt;(AuswertungG[[#This Row],[GES]]-20))))-AuswertungG[[#This Row],[GES]],0),"")</f>
        <v>7</v>
      </c>
    </row>
    <row r="66" spans="2:38" x14ac:dyDescent="0.3">
      <c r="B66" s="285" t="str">
        <f t="shared" si="0"/>
        <v>Dietmar Klose</v>
      </c>
      <c r="C66" s="119" t="str">
        <f>IF(AuswertungG[[#This Row],[Name]]="","",VLOOKUP(AuswertungG[[#This Row],[Name]],Teamzuordnung[[Name]:[Team]],2,TRUE))</f>
        <v>D</v>
      </c>
      <c r="D66" s="122">
        <f>COUNTIFS(Eingabe[Name],AuswertungG[[#This Row],[Name]])</f>
        <v>0</v>
      </c>
      <c r="E66" s="117" t="str">
        <f>IF(AuswertungG[[#This Row],[Spiele]]="","",IF(AuswertungG[[#This Row],[Spiele]]-COUNTIFS(Eingabe[Name],AuswertungG[[#This Row],[Name]],Eingabe[MP],"")=0,"",AuswertungG[[#This Row],[Spiele]]-COUNTIFS(Eingabe[Name],AuswertungG[[#This Row],[Name]],Eingabe[MP],"")))</f>
        <v/>
      </c>
      <c r="F66" s="117" t="str">
        <f>IF(AuswertungG[[#This Row],[Spiele]]=0,"",ROUND(AVERAGEIFS(Eingabe[Volle],Eingabe[Name],AuswertungG[[#This Row],[Name]]),0))</f>
        <v/>
      </c>
      <c r="G66" s="117" t="str">
        <f>IF(AuswertungG[[#This Row],[Spiele]]=0,"",ROUND(AVERAGEIFS(Eingabe[Räumer],Eingabe[Name],AuswertungG[[#This Row],[Name]]),0))</f>
        <v/>
      </c>
      <c r="H66" s="123" t="str">
        <f>IF(AuswertungG[[#This Row],[Spiele]]=0,"",ROUND(AVERAGEIFS(Eingabe[Fehler],Eingabe[Name],AuswertungG[[#This Row],[Name]]),1))</f>
        <v/>
      </c>
      <c r="I66" s="117" t="str">
        <f>IF(AuswertungG[[#This Row],[Spiele]]=0,"",ROUND(AVERAGEIFS(Eingabe[GES],Eingabe[Name],AuswertungG[[#This Row],[Name]]),0))</f>
        <v/>
      </c>
      <c r="J66" s="123" t="str">
        <f>IF(AuswertungG[[#This Row],[Spiele MP]]="","",ROUND(AVERAGEIFS(Eingabe[SP],Eingabe[Name],AuswertungG[[#This Row],[Name]]),1))</f>
        <v/>
      </c>
      <c r="K66" s="121" t="str">
        <f>IF(AuswertungG[[#This Row],[Spiele MP]]="","",ROUND(AVERAGEIFS(Eingabe[MP],Eingabe[Name],AuswertungG[[#This Row],[Name]]),2))</f>
        <v/>
      </c>
      <c r="L66" s="117" t="str">
        <f>IFERROR(ROUND(AVERAGEIFS(Eingabe[S1],Eingabe[Name],AuswertungG[[#This Row],[Name]]),0),"")</f>
        <v/>
      </c>
      <c r="M66" s="268" t="str">
        <f>IFERROR(ROUND(AVERAGEIFS(Eingabe[S2],Eingabe[Name],AuswertungG[[#This Row],[Name]]),0),"")</f>
        <v/>
      </c>
      <c r="N66" s="117" t="str">
        <f>IFERROR(ROUND(AVERAGEIFS(Eingabe[S3],Eingabe[Name],AuswertungG[[#This Row],[Name]]),0),"")</f>
        <v/>
      </c>
      <c r="O66" s="268" t="str">
        <f>IFERROR(ROUND(AVERAGEIFS(Eingabe[S3],Eingabe[Name],AuswertungG[[#This Row],[Name]]),0),"")</f>
        <v/>
      </c>
      <c r="P66" s="121" t="str">
        <f>IF(AuswertungG[[#This Row],[Spiele MP]]="","",ROUND(AVERAGEIFS(Eingabe[S1P],Eingabe[Name],AuswertungG[[#This Row],[Name]]),2))</f>
        <v/>
      </c>
      <c r="Q66" s="121" t="str">
        <f>IF(AuswertungG[[#This Row],[Spiele MP]]="","",ROUND(AVERAGEIFS(Eingabe[S2P],Eingabe[Name],AuswertungG[[#This Row],[Name]]),2))</f>
        <v/>
      </c>
      <c r="R66" s="121" t="str">
        <f>IF(AuswertungG[[#This Row],[Spiele MP]]="","",ROUND(AVERAGEIFS(Eingabe[S3P],Eingabe[Name],AuswertungG[[#This Row],[Name]]),2))</f>
        <v/>
      </c>
      <c r="S66" s="121" t="str">
        <f>IF(AuswertungG[[#This Row],[Spiele MP]]="","",ROUND(AVERAGEIFS(Eingabe[S4P],Eingabe[Name],AuswertungG[[#This Row],[Name]]),2))</f>
        <v/>
      </c>
      <c r="T66" s="267" t="str" cm="1">
        <f t="array" ref="T66">IF(AuswertungG[[#This Row],[Spiele]]="","",IF(AuswertungG[[#This Row],[Spiele]]&lt;2,"",ROUND(SLOPE(_xlfn._xlws.FILTER(Eingabe[GES],Eingabe[Name]=AuswertungG[[#This Row],[Name]]),_xlfn._xlws.FILTER(Eingabe[KW],Eingabe[Name]=AuswertungG[[#This Row],[Name]])),2)))</f>
        <v/>
      </c>
      <c r="U66" s="267" t="str" cm="1">
        <f t="array" ref="U66">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66" s="117" t="str" cm="1">
        <f t="array" ref="V66">IF(AuswertungG[[#This Row],[Spiele]]="","",IF(AuswertungG[[#This Row],[Spiele]]&lt;2,"",ROUND(_xlfn.STDEV.P(_xlfn._xlws.FILTER(Eingabe[GES],Eingabe[Name]=AuswertungG[[#This Row],[Name]])),0)))</f>
        <v/>
      </c>
      <c r="W66" s="117" t="str">
        <f>IF(AuswertungG[[#This Row],[Spiele MP]]="","",ROUND(AVERAGEIFS(Eingabe[GEGGES],Eingabe[Name],AuswertungG[[#This Row],[Name]]),0))</f>
        <v/>
      </c>
      <c r="X66" s="123" t="str">
        <f>VLOOKUP(AuswertungG[[#This Row],[Name]],PositionG[],21,FALSE)</f>
        <v/>
      </c>
      <c r="Y66" s="123" t="str">
        <f>VLOOKUP(AuswertungG[[#This Row],[Name]],PositionG[],22,FALSE)</f>
        <v/>
      </c>
      <c r="Z66" s="123" t="str">
        <f>VLOOKUP(AuswertungG[[#This Row],[Name]],PositionG[],23,FALSE)</f>
        <v/>
      </c>
      <c r="AA66" s="121" t="str">
        <f>IF(AuswertungG[[#This Row],[Spiele MP]]="","",ROUND(VLOOKUP(AuswertungG[[#This Row],[Name]],PositionG[],24,FALSE),2))</f>
        <v/>
      </c>
      <c r="AB66" s="123" t="str">
        <f>IF(AuswertungG[[#This Row],[Spiele]]=0,"",ROUND(AVERAGEIFS(Eingabe[Rang],Eingabe[Name],AuswertungG[[#This Row],[Name]]),1))</f>
        <v/>
      </c>
      <c r="AC66" s="123" t="str" cm="1">
        <f t="array" ref="AC66">IFERROR(ROUND(MEDIAN(_xlfn._xlws.FILTER(Eingabe[GES],Eingabe[Name]=AuswertungG[[#This Row],[Name]])),0),"")</f>
        <v/>
      </c>
      <c r="AD66" s="121" t="str">
        <f>IFERROR(AuswertungG[[#This Row],[STABW]]/AuswertungG[[#This Row],[GES]],"")</f>
        <v/>
      </c>
      <c r="AE66" s="123" t="str" cm="1">
        <f t="array" ref="AE66">IFERROR(ROUND(_xlfn.QUARTILE.INC(_xlfn._xlws.FILTER(Eingabe[GES],Eingabe[Name]=AuswertungG[[#This Row],[Name]]),3)-_xlfn.QUARTILE.INC(_xlfn._xlws.FILTER(Eingabe[GES],Eingabe[Name]=AuswertungG[[#This Row],[Name]]),1),0),"")</f>
        <v/>
      </c>
      <c r="AF66" s="123" t="str">
        <f>IFERROR(1/AuswertungG[[#This Row],[VK]],"")</f>
        <v/>
      </c>
      <c r="AG66" s="123" t="str">
        <f>IFERROR(AuswertungG[[#This Row],[Volle]]/AuswertungG[[#This Row],[Räumer]]-2,"")</f>
        <v/>
      </c>
      <c r="AH66" s="117" t="str">
        <f>IFERROR(ROUND((AuswertungG[[#This Row],[Spiele]]*60)/(AuswertungG[[#This Row],[Fehler]]*AuswertungG[[#This Row],[Spiele]]),0),"")</f>
        <v/>
      </c>
      <c r="AI66" s="123" t="str" cm="1">
        <f t="array" ref="AI66">IFERROR((AVERAGE(_xlfn._xlws.FILTER(_xlfn._xlws.FILTER(Eingabe[GES],Eingabe[Name]=AuswertungG[[#This Row],[Name]]),ABS(_xlfn._xlws.FILTER(Eingabe[GEGGES],Eingabe[Name]=AuswertungG[[#This Row],[Name]])-_xlfn._xlws.FILTER(Eingabe[GES],Eingabe[Name]=AuswertungG[[#This Row],[Name]]))&lt;15))-AuswertungG[[#This Row],[GES]])/AuswertungG[[#This Row],[STABW]],"")</f>
        <v/>
      </c>
      <c r="AJ66" s="267" t="str">
        <f>IFERROR(ROUND(AVERAGEIFS(Eingabe[MP],Eingabe[Diff],"&lt;15",Eingabe[Name],AuswertungG[[#This Row],[Name]])-AuswertungG[[#This Row],[MP]],2),"")</f>
        <v/>
      </c>
      <c r="AK66" s="117" t="str" cm="1">
        <f t="array" ref="AK66">IFERROR(ROUND(AVERAGE(_xlfn._xlws.FILTER(Eingabe[GES],(Eingabe[Name]=AuswertungG[[#This Row],[Name]])*(Eingabe[GEGGES]&gt;(AuswertungG[[#This Row],[GES]]+20))))-AuswertungG[[#This Row],[GES]],0),"")</f>
        <v/>
      </c>
      <c r="AL66" s="117" t="str" cm="1">
        <f t="array" ref="AL66">IFERROR(ROUND(AVERAGE(_xlfn._xlws.FILTER(Eingabe[GES],(Eingabe[Name]=AuswertungG[[#This Row],[Name]])*(Eingabe[GEGGES]&lt;(AuswertungG[[#This Row],[GES]]-20))))-AuswertungG[[#This Row],[GES]],0),"")</f>
        <v/>
      </c>
    </row>
    <row r="67" spans="2:38" x14ac:dyDescent="0.3">
      <c r="B67" s="285" t="str">
        <f t="shared" si="0"/>
        <v>Emelie Schiffel</v>
      </c>
      <c r="C67" s="119" t="str">
        <f>IF(AuswertungG[[#This Row],[Name]]="","",VLOOKUP(AuswertungG[[#This Row],[Name]],Teamzuordnung[[Name]:[Team]],2,TRUE))</f>
        <v>U14</v>
      </c>
      <c r="D67" s="122">
        <f>COUNTIFS(Eingabe[Name],AuswertungG[[#This Row],[Name]])</f>
        <v>10</v>
      </c>
      <c r="E67" s="117" t="str">
        <f>IF(AuswertungG[[#This Row],[Spiele]]="","",IF(AuswertungG[[#This Row],[Spiele]]-COUNTIFS(Eingabe[Name],AuswertungG[[#This Row],[Name]],Eingabe[MP],"")=0,"",AuswertungG[[#This Row],[Spiele]]-COUNTIFS(Eingabe[Name],AuswertungG[[#This Row],[Name]],Eingabe[MP],"")))</f>
        <v/>
      </c>
      <c r="F67" s="117">
        <f>IF(AuswertungG[[#This Row],[Spiele]]=0,"",ROUND(AVERAGEIFS(Eingabe[Volle],Eingabe[Name],AuswertungG[[#This Row],[Name]]),0))</f>
        <v>299</v>
      </c>
      <c r="G67" s="117">
        <f>IF(AuswertungG[[#This Row],[Spiele]]=0,"",ROUND(AVERAGEIFS(Eingabe[Räumer],Eingabe[Name],AuswertungG[[#This Row],[Name]]),0))</f>
        <v>111</v>
      </c>
      <c r="H67" s="123">
        <f>IF(AuswertungG[[#This Row],[Spiele]]=0,"",ROUND(AVERAGEIFS(Eingabe[Fehler],Eingabe[Name],AuswertungG[[#This Row],[Name]]),1))</f>
        <v>22.1</v>
      </c>
      <c r="I67" s="117">
        <f>IF(AuswertungG[[#This Row],[Spiele]]=0,"",ROUND(AVERAGEIFS(Eingabe[GES],Eingabe[Name],AuswertungG[[#This Row],[Name]]),0))</f>
        <v>410</v>
      </c>
      <c r="J67" s="123" t="str">
        <f>IF(AuswertungG[[#This Row],[Spiele MP]]="","",ROUND(AVERAGEIFS(Eingabe[SP],Eingabe[Name],AuswertungG[[#This Row],[Name]]),1))</f>
        <v/>
      </c>
      <c r="K67" s="121" t="str">
        <f>IF(AuswertungG[[#This Row],[Spiele MP]]="","",ROUND(AVERAGEIFS(Eingabe[MP],Eingabe[Name],AuswertungG[[#This Row],[Name]]),2))</f>
        <v/>
      </c>
      <c r="L67" s="117">
        <f>IFERROR(ROUND(AVERAGEIFS(Eingabe[S1],Eingabe[Name],AuswertungG[[#This Row],[Name]]),0),"")</f>
        <v>103</v>
      </c>
      <c r="M67" s="268">
        <f>IFERROR(ROUND(AVERAGEIFS(Eingabe[S2],Eingabe[Name],AuswertungG[[#This Row],[Name]]),0),"")</f>
        <v>109</v>
      </c>
      <c r="N67" s="117">
        <f>IFERROR(ROUND(AVERAGEIFS(Eingabe[S3],Eingabe[Name],AuswertungG[[#This Row],[Name]]),0),"")</f>
        <v>96</v>
      </c>
      <c r="O67" s="268">
        <f>IFERROR(ROUND(AVERAGEIFS(Eingabe[S3],Eingabe[Name],AuswertungG[[#This Row],[Name]]),0),"")</f>
        <v>96</v>
      </c>
      <c r="P67" s="121" t="str">
        <f>IF(AuswertungG[[#This Row],[Spiele MP]]="","",ROUND(AVERAGEIFS(Eingabe[S1P],Eingabe[Name],AuswertungG[[#This Row],[Name]]),2))</f>
        <v/>
      </c>
      <c r="Q67" s="121" t="str">
        <f>IF(AuswertungG[[#This Row],[Spiele MP]]="","",ROUND(AVERAGEIFS(Eingabe[S2P],Eingabe[Name],AuswertungG[[#This Row],[Name]]),2))</f>
        <v/>
      </c>
      <c r="R67" s="121" t="str">
        <f>IF(AuswertungG[[#This Row],[Spiele MP]]="","",ROUND(AVERAGEIFS(Eingabe[S3P],Eingabe[Name],AuswertungG[[#This Row],[Name]]),2))</f>
        <v/>
      </c>
      <c r="S67" s="121" t="str">
        <f>IF(AuswertungG[[#This Row],[Spiele MP]]="","",ROUND(AVERAGEIFS(Eingabe[S4P],Eingabe[Name],AuswertungG[[#This Row],[Name]]),2))</f>
        <v/>
      </c>
      <c r="T67" s="267" cm="1">
        <f t="array" ref="T67">IF(AuswertungG[[#This Row],[Spiele]]="","",IF(AuswertungG[[#This Row],[Spiele]]&lt;2,"",ROUND(SLOPE(_xlfn._xlws.FILTER(Eingabe[GES],Eingabe[Name]=AuswertungG[[#This Row],[Name]]),_xlfn._xlws.FILTER(Eingabe[KW],Eingabe[Name]=AuswertungG[[#This Row],[Name]])),2)))</f>
        <v>-1.22</v>
      </c>
      <c r="U67" s="267" cm="1">
        <f t="array" ref="U67">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14.5</v>
      </c>
      <c r="V67" s="117" cm="1">
        <f t="array" ref="V67">IF(AuswertungG[[#This Row],[Spiele]]="","",IF(AuswertungG[[#This Row],[Spiele]]&lt;2,"",ROUND(_xlfn.STDEV.P(_xlfn._xlws.FILTER(Eingabe[GES],Eingabe[Name]=AuswertungG[[#This Row],[Name]])),0)))</f>
        <v>39</v>
      </c>
      <c r="W67" s="117" t="str">
        <f>IF(AuswertungG[[#This Row],[Spiele MP]]="","",ROUND(AVERAGEIFS(Eingabe[GEGGES],Eingabe[Name],AuswertungG[[#This Row],[Name]]),0))</f>
        <v/>
      </c>
      <c r="X67" s="123" t="str">
        <f>VLOOKUP(AuswertungG[[#This Row],[Name]],PositionG[],21,FALSE)</f>
        <v/>
      </c>
      <c r="Y67" s="123" t="str">
        <f>VLOOKUP(AuswertungG[[#This Row],[Name]],PositionG[],22,FALSE)</f>
        <v/>
      </c>
      <c r="Z67" s="123" t="str">
        <f>VLOOKUP(AuswertungG[[#This Row],[Name]],PositionG[],23,FALSE)</f>
        <v/>
      </c>
      <c r="AA67" s="121" t="str">
        <f>IF(AuswertungG[[#This Row],[Spiele MP]]="","",ROUND(VLOOKUP(AuswertungG[[#This Row],[Name]],PositionG[],24,FALSE),2))</f>
        <v/>
      </c>
      <c r="AB67" s="123">
        <f>IF(AuswertungG[[#This Row],[Spiele]]=0,"",ROUND(AVERAGEIFS(Eingabe[Rang],Eingabe[Name],AuswertungG[[#This Row],[Name]]),1))</f>
        <v>1.8</v>
      </c>
      <c r="AC67" s="123" cm="1">
        <f t="array" ref="AC67">IFERROR(ROUND(MEDIAN(_xlfn._xlws.FILTER(Eingabe[GES],Eingabe[Name]=AuswertungG[[#This Row],[Name]])),0),"")</f>
        <v>422</v>
      </c>
      <c r="AD67" s="121">
        <f>IFERROR(AuswertungG[[#This Row],[STABW]]/AuswertungG[[#This Row],[GES]],"")</f>
        <v>9.5121951219512196E-2</v>
      </c>
      <c r="AE67" s="123" cm="1">
        <f t="array" ref="AE67">IFERROR(ROUND(_xlfn.QUARTILE.INC(_xlfn._xlws.FILTER(Eingabe[GES],Eingabe[Name]=AuswertungG[[#This Row],[Name]]),3)-_xlfn.QUARTILE.INC(_xlfn._xlws.FILTER(Eingabe[GES],Eingabe[Name]=AuswertungG[[#This Row],[Name]]),1),0),"")</f>
        <v>39</v>
      </c>
      <c r="AF67" s="123">
        <f>IFERROR(1/AuswertungG[[#This Row],[VK]],"")</f>
        <v>10.512820512820513</v>
      </c>
      <c r="AG67" s="123">
        <f>IFERROR(AuswertungG[[#This Row],[Volle]]/AuswertungG[[#This Row],[Räumer]]-2,"")</f>
        <v>0.69369369369369371</v>
      </c>
      <c r="AH67" s="117">
        <f>IFERROR(ROUND((AuswertungG[[#This Row],[Spiele]]*60)/(AuswertungG[[#This Row],[Fehler]]*AuswertungG[[#This Row],[Spiele]]),0),"")</f>
        <v>3</v>
      </c>
      <c r="AI67" s="123" t="str" cm="1">
        <f t="array" ref="AI67">IFERROR((AVERAGE(_xlfn._xlws.FILTER(_xlfn._xlws.FILTER(Eingabe[GES],Eingabe[Name]=AuswertungG[[#This Row],[Name]]),ABS(_xlfn._xlws.FILTER(Eingabe[GEGGES],Eingabe[Name]=AuswertungG[[#This Row],[Name]])-_xlfn._xlws.FILTER(Eingabe[GES],Eingabe[Name]=AuswertungG[[#This Row],[Name]]))&lt;15))-AuswertungG[[#This Row],[GES]])/AuswertungG[[#This Row],[STABW]],"")</f>
        <v/>
      </c>
      <c r="AJ67" s="267" t="str">
        <f>IFERROR(ROUND(AVERAGEIFS(Eingabe[MP],Eingabe[Diff],"&lt;15",Eingabe[Name],AuswertungG[[#This Row],[Name]])-AuswertungG[[#This Row],[MP]],2),"")</f>
        <v/>
      </c>
      <c r="AK67" s="117" t="str" cm="1">
        <f t="array" ref="AK67">IFERROR(ROUND(AVERAGE(_xlfn._xlws.FILTER(Eingabe[GES],(Eingabe[Name]=AuswertungG[[#This Row],[Name]])*(Eingabe[GEGGES]&gt;(AuswertungG[[#This Row],[GES]]+20))))-AuswertungG[[#This Row],[GES]],0),"")</f>
        <v/>
      </c>
      <c r="AL67" s="117" cm="1">
        <f t="array" ref="AL67">IFERROR(ROUND(AVERAGE(_xlfn._xlws.FILTER(Eingabe[GES],(Eingabe[Name]=AuswertungG[[#This Row],[Name]])*(Eingabe[GEGGES]&lt;(AuswertungG[[#This Row],[GES]]-20))))-AuswertungG[[#This Row],[GES]],0),"")</f>
        <v>0</v>
      </c>
    </row>
    <row r="68" spans="2:38" x14ac:dyDescent="0.3">
      <c r="B68" s="285" t="str">
        <f t="shared" ref="B68:B107" si="1">B14</f>
        <v>Emma Hettmann</v>
      </c>
      <c r="C68" s="119" t="str">
        <f>IF(AuswertungG[[#This Row],[Name]]="","",VLOOKUP(AuswertungG[[#This Row],[Name]],Teamzuordnung[[Name]:[Team]],2,TRUE))</f>
        <v>U19</v>
      </c>
      <c r="D68" s="122">
        <f>COUNTIFS(Eingabe[Name],AuswertungG[[#This Row],[Name]])</f>
        <v>13</v>
      </c>
      <c r="E68" s="117">
        <f>IF(AuswertungG[[#This Row],[Spiele]]="","",IF(AuswertungG[[#This Row],[Spiele]]-COUNTIFS(Eingabe[Name],AuswertungG[[#This Row],[Name]],Eingabe[MP],"")=0,"",AuswertungG[[#This Row],[Spiele]]-COUNTIFS(Eingabe[Name],AuswertungG[[#This Row],[Name]],Eingabe[MP],"")))</f>
        <v>1</v>
      </c>
      <c r="F68" s="117">
        <f>IF(AuswertungG[[#This Row],[Spiele]]=0,"",ROUND(AVERAGEIFS(Eingabe[Volle],Eingabe[Name],AuswertungG[[#This Row],[Name]]),0))</f>
        <v>361</v>
      </c>
      <c r="G68" s="117">
        <f>IF(AuswertungG[[#This Row],[Spiele]]=0,"",ROUND(AVERAGEIFS(Eingabe[Räumer],Eingabe[Name],AuswertungG[[#This Row],[Name]]),0))</f>
        <v>171</v>
      </c>
      <c r="H68" s="123">
        <f>IF(AuswertungG[[#This Row],[Spiele]]=0,"",ROUND(AVERAGEIFS(Eingabe[Fehler],Eingabe[Name],AuswertungG[[#This Row],[Name]]),1))</f>
        <v>5.8</v>
      </c>
      <c r="I68" s="117">
        <f>IF(AuswertungG[[#This Row],[Spiele]]=0,"",ROUND(AVERAGEIFS(Eingabe[GES],Eingabe[Name],AuswertungG[[#This Row],[Name]]),0))</f>
        <v>532</v>
      </c>
      <c r="J68" s="123">
        <f>IF(AuswertungG[[#This Row],[Spiele MP]]="","",ROUND(AVERAGEIFS(Eingabe[SP],Eingabe[Name],AuswertungG[[#This Row],[Name]]),1))</f>
        <v>4</v>
      </c>
      <c r="K68" s="121">
        <f>IF(AuswertungG[[#This Row],[Spiele MP]]="","",ROUND(AVERAGEIFS(Eingabe[MP],Eingabe[Name],AuswertungG[[#This Row],[Name]]),2))</f>
        <v>1</v>
      </c>
      <c r="L68" s="117">
        <f>IFERROR(ROUND(AVERAGEIFS(Eingabe[S1],Eingabe[Name],AuswertungG[[#This Row],[Name]]),0),"")</f>
        <v>141</v>
      </c>
      <c r="M68" s="268">
        <f>IFERROR(ROUND(AVERAGEIFS(Eingabe[S2],Eingabe[Name],AuswertungG[[#This Row],[Name]]),0),"")</f>
        <v>133</v>
      </c>
      <c r="N68" s="117">
        <f>IFERROR(ROUND(AVERAGEIFS(Eingabe[S3],Eingabe[Name],AuswertungG[[#This Row],[Name]]),0),"")</f>
        <v>132</v>
      </c>
      <c r="O68" s="268">
        <f>IFERROR(ROUND(AVERAGEIFS(Eingabe[S3],Eingabe[Name],AuswertungG[[#This Row],[Name]]),0),"")</f>
        <v>132</v>
      </c>
      <c r="P68" s="121">
        <f>IF(AuswertungG[[#This Row],[Spiele MP]]="","",ROUND(AVERAGEIFS(Eingabe[S1P],Eingabe[Name],AuswertungG[[#This Row],[Name]]),2))</f>
        <v>1</v>
      </c>
      <c r="Q68" s="121">
        <f>IF(AuswertungG[[#This Row],[Spiele MP]]="","",ROUND(AVERAGEIFS(Eingabe[S2P],Eingabe[Name],AuswertungG[[#This Row],[Name]]),2))</f>
        <v>1</v>
      </c>
      <c r="R68" s="121">
        <f>IF(AuswertungG[[#This Row],[Spiele MP]]="","",ROUND(AVERAGEIFS(Eingabe[S3P],Eingabe[Name],AuswertungG[[#This Row],[Name]]),2))</f>
        <v>1</v>
      </c>
      <c r="S68" s="121">
        <f>IF(AuswertungG[[#This Row],[Spiele MP]]="","",ROUND(AVERAGEIFS(Eingabe[S4P],Eingabe[Name],AuswertungG[[#This Row],[Name]]),2))</f>
        <v>1</v>
      </c>
      <c r="T68" s="267" cm="1">
        <f t="array" ref="T68">IF(AuswertungG[[#This Row],[Spiele]]="","",IF(AuswertungG[[#This Row],[Spiele]]&lt;2,"",ROUND(SLOPE(_xlfn._xlws.FILTER(Eingabe[GES],Eingabe[Name]=AuswertungG[[#This Row],[Name]]),_xlfn._xlws.FILTER(Eingabe[KW],Eingabe[Name]=AuswertungG[[#This Row],[Name]])),2)))</f>
        <v>0.74</v>
      </c>
      <c r="U68" s="267" cm="1">
        <f t="array" ref="U68">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-0.23</v>
      </c>
      <c r="V68" s="117" cm="1">
        <f t="array" ref="V68">IF(AuswertungG[[#This Row],[Spiele]]="","",IF(AuswertungG[[#This Row],[Spiele]]&lt;2,"",ROUND(_xlfn.STDEV.P(_xlfn._xlws.FILTER(Eingabe[GES],Eingabe[Name]=AuswertungG[[#This Row],[Name]])),0)))</f>
        <v>25</v>
      </c>
      <c r="W68" s="117">
        <f>IF(AuswertungG[[#This Row],[Spiele MP]]="","",ROUND(AVERAGEIFS(Eingabe[GEGGES],Eingabe[Name],AuswertungG[[#This Row],[Name]]),0))</f>
        <v>445</v>
      </c>
      <c r="X68" s="123" t="str">
        <f>VLOOKUP(AuswertungG[[#This Row],[Name]],PositionG[],21,FALSE)</f>
        <v>[3]</v>
      </c>
      <c r="Y68" s="123">
        <f>VLOOKUP(AuswertungG[[#This Row],[Name]],PositionG[],22,FALSE)</f>
        <v>1</v>
      </c>
      <c r="Z68" s="123" t="str">
        <f>VLOOKUP(AuswertungG[[#This Row],[Name]],PositionG[],23,FALSE)</f>
        <v>[3]</v>
      </c>
      <c r="AA68" s="121">
        <f>IF(AuswertungG[[#This Row],[Spiele MP]]="","",ROUND(VLOOKUP(AuswertungG[[#This Row],[Name]],PositionG[],24,FALSE),2))</f>
        <v>1</v>
      </c>
      <c r="AB68" s="123">
        <f>IF(AuswertungG[[#This Row],[Spiele]]=0,"",ROUND(AVERAGEIFS(Eingabe[Rang],Eingabe[Name],AuswertungG[[#This Row],[Name]]),1))</f>
        <v>1.3</v>
      </c>
      <c r="AC68" s="123" cm="1">
        <f t="array" ref="AC68">IFERROR(ROUND(MEDIAN(_xlfn._xlws.FILTER(Eingabe[GES],Eingabe[Name]=AuswertungG[[#This Row],[Name]])),0),"")</f>
        <v>533</v>
      </c>
      <c r="AD68" s="121">
        <f>IFERROR(AuswertungG[[#This Row],[STABW]]/AuswertungG[[#This Row],[GES]],"")</f>
        <v>4.6992481203007516E-2</v>
      </c>
      <c r="AE68" s="123" cm="1">
        <f t="array" ref="AE68">IFERROR(ROUND(_xlfn.QUARTILE.INC(_xlfn._xlws.FILTER(Eingabe[GES],Eingabe[Name]=AuswertungG[[#This Row],[Name]]),3)-_xlfn.QUARTILE.INC(_xlfn._xlws.FILTER(Eingabe[GES],Eingabe[Name]=AuswertungG[[#This Row],[Name]]),1),0),"")</f>
        <v>21</v>
      </c>
      <c r="AF68" s="123">
        <f>IFERROR(1/AuswertungG[[#This Row],[VK]],"")</f>
        <v>21.28</v>
      </c>
      <c r="AG68" s="123">
        <f>IFERROR(AuswertungG[[#This Row],[Volle]]/AuswertungG[[#This Row],[Räumer]]-2,"")</f>
        <v>0.11111111111111116</v>
      </c>
      <c r="AH68" s="117">
        <f>IFERROR(ROUND((AuswertungG[[#This Row],[Spiele]]*60)/(AuswertungG[[#This Row],[Fehler]]*AuswertungG[[#This Row],[Spiele]]),0),"")</f>
        <v>10</v>
      </c>
      <c r="AI68" s="123" t="str" cm="1">
        <f t="array" ref="AI68">IFERROR((AVERAGE(_xlfn._xlws.FILTER(_xlfn._xlws.FILTER(Eingabe[GES],Eingabe[Name]=AuswertungG[[#This Row],[Name]]),ABS(_xlfn._xlws.FILTER(Eingabe[GEGGES],Eingabe[Name]=AuswertungG[[#This Row],[Name]])-_xlfn._xlws.FILTER(Eingabe[GES],Eingabe[Name]=AuswertungG[[#This Row],[Name]]))&lt;15))-AuswertungG[[#This Row],[GES]])/AuswertungG[[#This Row],[STABW]],"")</f>
        <v/>
      </c>
      <c r="AJ68" s="267" t="str">
        <f>IFERROR(ROUND(AVERAGEIFS(Eingabe[MP],Eingabe[Diff],"&lt;15",Eingabe[Name],AuswertungG[[#This Row],[Name]])-AuswertungG[[#This Row],[MP]],2),"")</f>
        <v/>
      </c>
      <c r="AK68" s="117" t="str" cm="1">
        <f t="array" ref="AK68">IFERROR(ROUND(AVERAGE(_xlfn._xlws.FILTER(Eingabe[GES],(Eingabe[Name]=AuswertungG[[#This Row],[Name]])*(Eingabe[GEGGES]&gt;(AuswertungG[[#This Row],[GES]]+20))))-AuswertungG[[#This Row],[GES]],0),"")</f>
        <v/>
      </c>
      <c r="AL68" s="117" cm="1">
        <f t="array" ref="AL68">IFERROR(ROUND(AVERAGE(_xlfn._xlws.FILTER(Eingabe[GES],(Eingabe[Name]=AuswertungG[[#This Row],[Name]])*(Eingabe[GEGGES]&lt;(AuswertungG[[#This Row],[GES]]-20))))-AuswertungG[[#This Row],[GES]],0),"")</f>
        <v>0</v>
      </c>
    </row>
    <row r="69" spans="2:38" x14ac:dyDescent="0.3">
      <c r="B69" s="285" t="str">
        <f t="shared" si="1"/>
        <v>Erik Krutak</v>
      </c>
      <c r="C69" s="119" t="str">
        <f>IF(AuswertungG[[#This Row],[Name]]="","",VLOOKUP(AuswertungG[[#This Row],[Name]],Teamzuordnung[[Name]:[Team]],2,TRUE))</f>
        <v>Z</v>
      </c>
      <c r="D69" s="122">
        <f>COUNTIFS(Eingabe[Name],AuswertungG[[#This Row],[Name]])</f>
        <v>12</v>
      </c>
      <c r="E69" s="117">
        <f>IF(AuswertungG[[#This Row],[Spiele]]="","",IF(AuswertungG[[#This Row],[Spiele]]-COUNTIFS(Eingabe[Name],AuswertungG[[#This Row],[Name]],Eingabe[MP],"")=0,"",AuswertungG[[#This Row],[Spiele]]-COUNTIFS(Eingabe[Name],AuswertungG[[#This Row],[Name]],Eingabe[MP],"")))</f>
        <v>10</v>
      </c>
      <c r="F69" s="117">
        <f>IF(AuswertungG[[#This Row],[Spiele]]=0,"",ROUND(AVERAGEIFS(Eingabe[Volle],Eingabe[Name],AuswertungG[[#This Row],[Name]]),0))</f>
        <v>355</v>
      </c>
      <c r="G69" s="117">
        <f>IF(AuswertungG[[#This Row],[Spiele]]=0,"",ROUND(AVERAGEIFS(Eingabe[Räumer],Eingabe[Name],AuswertungG[[#This Row],[Name]]),0))</f>
        <v>173</v>
      </c>
      <c r="H69" s="123">
        <f>IF(AuswertungG[[#This Row],[Spiele]]=0,"",ROUND(AVERAGEIFS(Eingabe[Fehler],Eingabe[Name],AuswertungG[[#This Row],[Name]]),1))</f>
        <v>6.2</v>
      </c>
      <c r="I69" s="117">
        <f>IF(AuswertungG[[#This Row],[Spiele]]=0,"",ROUND(AVERAGEIFS(Eingabe[GES],Eingabe[Name],AuswertungG[[#This Row],[Name]]),0))</f>
        <v>528</v>
      </c>
      <c r="J69" s="123">
        <f>IF(AuswertungG[[#This Row],[Spiele MP]]="","",ROUND(AVERAGEIFS(Eingabe[SP],Eingabe[Name],AuswertungG[[#This Row],[Name]]),1))</f>
        <v>1.9</v>
      </c>
      <c r="K69" s="121">
        <f>IF(AuswertungG[[#This Row],[Spiele MP]]="","",ROUND(AVERAGEIFS(Eingabe[MP],Eingabe[Name],AuswertungG[[#This Row],[Name]]),2))</f>
        <v>0.3</v>
      </c>
      <c r="L69" s="117">
        <f>IFERROR(ROUND(AVERAGEIFS(Eingabe[S1],Eingabe[Name],AuswertungG[[#This Row],[Name]]),0),"")</f>
        <v>128</v>
      </c>
      <c r="M69" s="268">
        <f>IFERROR(ROUND(AVERAGEIFS(Eingabe[S2],Eingabe[Name],AuswertungG[[#This Row],[Name]]),0),"")</f>
        <v>128</v>
      </c>
      <c r="N69" s="117">
        <f>IFERROR(ROUND(AVERAGEIFS(Eingabe[S3],Eingabe[Name],AuswertungG[[#This Row],[Name]]),0),"")</f>
        <v>132</v>
      </c>
      <c r="O69" s="268">
        <f>IFERROR(ROUND(AVERAGEIFS(Eingabe[S3],Eingabe[Name],AuswertungG[[#This Row],[Name]]),0),"")</f>
        <v>132</v>
      </c>
      <c r="P69" s="121">
        <f>IF(AuswertungG[[#This Row],[Spiele MP]]="","",ROUND(AVERAGEIFS(Eingabe[S1P],Eingabe[Name],AuswertungG[[#This Row],[Name]]),2))</f>
        <v>0.2</v>
      </c>
      <c r="Q69" s="121">
        <f>IF(AuswertungG[[#This Row],[Spiele MP]]="","",ROUND(AVERAGEIFS(Eingabe[S2P],Eingabe[Name],AuswertungG[[#This Row],[Name]]),2))</f>
        <v>0.5</v>
      </c>
      <c r="R69" s="121">
        <f>IF(AuswertungG[[#This Row],[Spiele MP]]="","",ROUND(AVERAGEIFS(Eingabe[S3P],Eingabe[Name],AuswertungG[[#This Row],[Name]]),2))</f>
        <v>0.5</v>
      </c>
      <c r="S69" s="121">
        <f>IF(AuswertungG[[#This Row],[Spiele MP]]="","",ROUND(AVERAGEIFS(Eingabe[S4P],Eingabe[Name],AuswertungG[[#This Row],[Name]]),2))</f>
        <v>0.7</v>
      </c>
      <c r="T69" s="267" cm="1">
        <f t="array" ref="T69">IF(AuswertungG[[#This Row],[Spiele]]="","",IF(AuswertungG[[#This Row],[Spiele]]&lt;2,"",ROUND(SLOPE(_xlfn._xlws.FILTER(Eingabe[GES],Eingabe[Name]=AuswertungG[[#This Row],[Name]]),_xlfn._xlws.FILTER(Eingabe[KW],Eingabe[Name]=AuswertungG[[#This Row],[Name]])),2)))</f>
        <v>-0.06</v>
      </c>
      <c r="U69" s="267" cm="1">
        <f t="array" ref="U69">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-1.57</v>
      </c>
      <c r="V69" s="117" cm="1">
        <f t="array" ref="V69">IF(AuswertungG[[#This Row],[Spiele]]="","",IF(AuswertungG[[#This Row],[Spiele]]&lt;2,"",ROUND(_xlfn.STDEV.P(_xlfn._xlws.FILTER(Eingabe[GES],Eingabe[Name]=AuswertungG[[#This Row],[Name]])),0)))</f>
        <v>20</v>
      </c>
      <c r="W69" s="117">
        <f>IF(AuswertungG[[#This Row],[Spiele MP]]="","",ROUND(AVERAGEIFS(Eingabe[GEGGES],Eingabe[Name],AuswertungG[[#This Row],[Name]]),0))</f>
        <v>523</v>
      </c>
      <c r="X69" s="123" t="str">
        <f>VLOOKUP(AuswertungG[[#This Row],[Name]],PositionG[],21,FALSE)</f>
        <v>[6]</v>
      </c>
      <c r="Y69" s="123">
        <f>VLOOKUP(AuswertungG[[#This Row],[Name]],PositionG[],22,FALSE)</f>
        <v>4</v>
      </c>
      <c r="Z69" s="123" t="str">
        <f>VLOOKUP(AuswertungG[[#This Row],[Name]],PositionG[],23,FALSE)</f>
        <v>[3][6]</v>
      </c>
      <c r="AA69" s="121">
        <f>IF(AuswertungG[[#This Row],[Spiele MP]]="","",ROUND(VLOOKUP(AuswertungG[[#This Row],[Name]],PositionG[],24,FALSE),2))</f>
        <v>0.5</v>
      </c>
      <c r="AB69" s="123">
        <f>IF(AuswertungG[[#This Row],[Spiele]]=0,"",ROUND(AVERAGEIFS(Eingabe[Rang],Eingabe[Name],AuswertungG[[#This Row],[Name]]),1))</f>
        <v>3.5</v>
      </c>
      <c r="AC69" s="123" cm="1">
        <f t="array" ref="AC69">IFERROR(ROUND(MEDIAN(_xlfn._xlws.FILTER(Eingabe[GES],Eingabe[Name]=AuswertungG[[#This Row],[Name]])),0),"")</f>
        <v>527</v>
      </c>
      <c r="AD69" s="121">
        <f>IFERROR(AuswertungG[[#This Row],[STABW]]/AuswertungG[[#This Row],[GES]],"")</f>
        <v>3.787878787878788E-2</v>
      </c>
      <c r="AE69" s="123" cm="1">
        <f t="array" ref="AE69">IFERROR(ROUND(_xlfn.QUARTILE.INC(_xlfn._xlws.FILTER(Eingabe[GES],Eingabe[Name]=AuswertungG[[#This Row],[Name]]),3)-_xlfn.QUARTILE.INC(_xlfn._xlws.FILTER(Eingabe[GES],Eingabe[Name]=AuswertungG[[#This Row],[Name]]),1),0),"")</f>
        <v>24</v>
      </c>
      <c r="AF69" s="123">
        <f>IFERROR(1/AuswertungG[[#This Row],[VK]],"")</f>
        <v>26.4</v>
      </c>
      <c r="AG69" s="123">
        <f>IFERROR(AuswertungG[[#This Row],[Volle]]/AuswertungG[[#This Row],[Räumer]]-2,"")</f>
        <v>5.2023121387283044E-2</v>
      </c>
      <c r="AH69" s="117">
        <f>IFERROR(ROUND((AuswertungG[[#This Row],[Spiele]]*60)/(AuswertungG[[#This Row],[Fehler]]*AuswertungG[[#This Row],[Spiele]]),0),"")</f>
        <v>10</v>
      </c>
      <c r="AI69" s="123" cm="1">
        <f t="array" ref="AI69">IFERROR((AVERAGE(_xlfn._xlws.FILTER(_xlfn._xlws.FILTER(Eingabe[GES],Eingabe[Name]=AuswertungG[[#This Row],[Name]]),ABS(_xlfn._xlws.FILTER(Eingabe[GEGGES],Eingabe[Name]=AuswertungG[[#This Row],[Name]])-_xlfn._xlws.FILTER(Eingabe[GES],Eingabe[Name]=AuswertungG[[#This Row],[Name]]))&lt;15))-AuswertungG[[#This Row],[GES]])/AuswertungG[[#This Row],[STABW]],"")</f>
        <v>-0.23999999999999772</v>
      </c>
      <c r="AJ69" s="267">
        <f>IFERROR(ROUND(AVERAGEIFS(Eingabe[MP],Eingabe[Diff],"&lt;15",Eingabe[Name],AuswertungG[[#This Row],[Name]])-AuswertungG[[#This Row],[MP]],2),"")</f>
        <v>-0.1</v>
      </c>
      <c r="AK69" s="117" cm="1">
        <f t="array" ref="AK69">IFERROR(ROUND(AVERAGE(_xlfn._xlws.FILTER(Eingabe[GES],(Eingabe[Name]=AuswertungG[[#This Row],[Name]])*(Eingabe[GEGGES]&gt;(AuswertungG[[#This Row],[GES]]+20))))-AuswertungG[[#This Row],[GES]],0),"")</f>
        <v>19</v>
      </c>
      <c r="AL69" s="117" cm="1">
        <f t="array" ref="AL69">IFERROR(ROUND(AVERAGE(_xlfn._xlws.FILTER(Eingabe[GES],(Eingabe[Name]=AuswertungG[[#This Row],[Name]])*(Eingabe[GEGGES]&lt;(AuswertungG[[#This Row],[GES]]-20))))-AuswertungG[[#This Row],[GES]],0),"")</f>
        <v>-1</v>
      </c>
    </row>
    <row r="70" spans="2:38" x14ac:dyDescent="0.3">
      <c r="B70" s="285" t="str">
        <f t="shared" si="1"/>
        <v>Florian Jäger</v>
      </c>
      <c r="C70" s="119" t="str">
        <f>IF(AuswertungG[[#This Row],[Name]]="","",VLOOKUP(AuswertungG[[#This Row],[Name]],Teamzuordnung[[Name]:[Team]],2,TRUE))</f>
        <v>D</v>
      </c>
      <c r="D70" s="122">
        <f>COUNTIFS(Eingabe[Name],AuswertungG[[#This Row],[Name]])</f>
        <v>2</v>
      </c>
      <c r="E70" s="117">
        <f>IF(AuswertungG[[#This Row],[Spiele]]="","",IF(AuswertungG[[#This Row],[Spiele]]-COUNTIFS(Eingabe[Name],AuswertungG[[#This Row],[Name]],Eingabe[MP],"")=0,"",AuswertungG[[#This Row],[Spiele]]-COUNTIFS(Eingabe[Name],AuswertungG[[#This Row],[Name]],Eingabe[MP],"")))</f>
        <v>2</v>
      </c>
      <c r="F70" s="117">
        <f>IF(AuswertungG[[#This Row],[Spiele]]=0,"",ROUND(AVERAGEIFS(Eingabe[Volle],Eingabe[Name],AuswertungG[[#This Row],[Name]]),0))</f>
        <v>325</v>
      </c>
      <c r="G70" s="117">
        <f>IF(AuswertungG[[#This Row],[Spiele]]=0,"",ROUND(AVERAGEIFS(Eingabe[Räumer],Eingabe[Name],AuswertungG[[#This Row],[Name]]),0))</f>
        <v>167</v>
      </c>
      <c r="H70" s="123">
        <f>IF(AuswertungG[[#This Row],[Spiele]]=0,"",ROUND(AVERAGEIFS(Eingabe[Fehler],Eingabe[Name],AuswertungG[[#This Row],[Name]]),1))</f>
        <v>7</v>
      </c>
      <c r="I70" s="117">
        <f>IF(AuswertungG[[#This Row],[Spiele]]=0,"",ROUND(AVERAGEIFS(Eingabe[GES],Eingabe[Name],AuswertungG[[#This Row],[Name]]),0))</f>
        <v>492</v>
      </c>
      <c r="J70" s="123">
        <f>IF(AuswertungG[[#This Row],[Spiele MP]]="","",ROUND(AVERAGEIFS(Eingabe[SP],Eingabe[Name],AuswertungG[[#This Row],[Name]]),1))</f>
        <v>3</v>
      </c>
      <c r="K70" s="121">
        <f>IF(AuswertungG[[#This Row],[Spiele MP]]="","",ROUND(AVERAGEIFS(Eingabe[MP],Eingabe[Name],AuswertungG[[#This Row],[Name]]),2))</f>
        <v>1</v>
      </c>
      <c r="L70" s="117">
        <f>IFERROR(ROUND(AVERAGEIFS(Eingabe[S1],Eingabe[Name],AuswertungG[[#This Row],[Name]]),0),"")</f>
        <v>129</v>
      </c>
      <c r="M70" s="268">
        <f>IFERROR(ROUND(AVERAGEIFS(Eingabe[S2],Eingabe[Name],AuswertungG[[#This Row],[Name]]),0),"")</f>
        <v>128</v>
      </c>
      <c r="N70" s="117">
        <f>IFERROR(ROUND(AVERAGEIFS(Eingabe[S3],Eingabe[Name],AuswertungG[[#This Row],[Name]]),0),"")</f>
        <v>124</v>
      </c>
      <c r="O70" s="268">
        <f>IFERROR(ROUND(AVERAGEIFS(Eingabe[S3],Eingabe[Name],AuswertungG[[#This Row],[Name]]),0),"")</f>
        <v>124</v>
      </c>
      <c r="P70" s="121">
        <f>IF(AuswertungG[[#This Row],[Spiele MP]]="","",ROUND(AVERAGEIFS(Eingabe[S1P],Eingabe[Name],AuswertungG[[#This Row],[Name]]),2))</f>
        <v>1</v>
      </c>
      <c r="Q70" s="121">
        <f>IF(AuswertungG[[#This Row],[Spiele MP]]="","",ROUND(AVERAGEIFS(Eingabe[S2P],Eingabe[Name],AuswertungG[[#This Row],[Name]]),2))</f>
        <v>1</v>
      </c>
      <c r="R70" s="121">
        <f>IF(AuswertungG[[#This Row],[Spiele MP]]="","",ROUND(AVERAGEIFS(Eingabe[S3P],Eingabe[Name],AuswertungG[[#This Row],[Name]]),2))</f>
        <v>1</v>
      </c>
      <c r="S70" s="121">
        <f>IF(AuswertungG[[#This Row],[Spiele MP]]="","",ROUND(AVERAGEIFS(Eingabe[S4P],Eingabe[Name],AuswertungG[[#This Row],[Name]]),2))</f>
        <v>0</v>
      </c>
      <c r="T70" s="267" cm="1">
        <f t="array" ref="T70">IF(AuswertungG[[#This Row],[Spiele]]="","",IF(AuswertungG[[#This Row],[Spiele]]&lt;2,"",ROUND(SLOPE(_xlfn._xlws.FILTER(Eingabe[GES],Eingabe[Name]=AuswertungG[[#This Row],[Name]]),_xlfn._xlws.FILTER(Eingabe[KW],Eingabe[Name]=AuswertungG[[#This Row],[Name]])),2)))</f>
        <v>-19.5</v>
      </c>
      <c r="U70" s="267" cm="1">
        <f t="array" ref="U70">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-19.5</v>
      </c>
      <c r="V70" s="117" cm="1">
        <f t="array" ref="V70">IF(AuswertungG[[#This Row],[Spiele]]="","",IF(AuswertungG[[#This Row],[Spiele]]&lt;2,"",ROUND(_xlfn.STDEV.P(_xlfn._xlws.FILTER(Eingabe[GES],Eingabe[Name]=AuswertungG[[#This Row],[Name]])),0)))</f>
        <v>20</v>
      </c>
      <c r="W70" s="117">
        <f>IF(AuswertungG[[#This Row],[Spiele MP]]="","",ROUND(AVERAGEIFS(Eingabe[GEGGES],Eingabe[Name],AuswertungG[[#This Row],[Name]]),0))</f>
        <v>473</v>
      </c>
      <c r="X70" s="123" t="str">
        <f>VLOOKUP(AuswertungG[[#This Row],[Name]],PositionG[],21,FALSE)</f>
        <v>[6]</v>
      </c>
      <c r="Y70" s="123">
        <f>VLOOKUP(AuswertungG[[#This Row],[Name]],PositionG[],22,FALSE)</f>
        <v>2</v>
      </c>
      <c r="Z70" s="123" t="str">
        <f>VLOOKUP(AuswertungG[[#This Row],[Name]],PositionG[],23,FALSE)</f>
        <v>[6]</v>
      </c>
      <c r="AA70" s="121">
        <f>IF(AuswertungG[[#This Row],[Spiele MP]]="","",ROUND(VLOOKUP(AuswertungG[[#This Row],[Name]],PositionG[],24,FALSE),2))</f>
        <v>1</v>
      </c>
      <c r="AB70" s="123">
        <f>IF(AuswertungG[[#This Row],[Spiele]]=0,"",ROUND(AVERAGEIFS(Eingabe[Rang],Eingabe[Name],AuswertungG[[#This Row],[Name]]),1))</f>
        <v>3</v>
      </c>
      <c r="AC70" s="123" cm="1">
        <f t="array" ref="AC70">IFERROR(ROUND(MEDIAN(_xlfn._xlws.FILTER(Eingabe[GES],Eingabe[Name]=AuswertungG[[#This Row],[Name]])),0),"")</f>
        <v>492</v>
      </c>
      <c r="AD70" s="121">
        <f>IFERROR(AuswertungG[[#This Row],[STABW]]/AuswertungG[[#This Row],[GES]],"")</f>
        <v>4.065040650406504E-2</v>
      </c>
      <c r="AE70" s="123" cm="1">
        <f t="array" ref="AE70">IFERROR(ROUND(_xlfn.QUARTILE.INC(_xlfn._xlws.FILTER(Eingabe[GES],Eingabe[Name]=AuswertungG[[#This Row],[Name]]),3)-_xlfn.QUARTILE.INC(_xlfn._xlws.FILTER(Eingabe[GES],Eingabe[Name]=AuswertungG[[#This Row],[Name]]),1),0),"")</f>
        <v>20</v>
      </c>
      <c r="AF70" s="123">
        <f>IFERROR(1/AuswertungG[[#This Row],[VK]],"")</f>
        <v>24.6</v>
      </c>
      <c r="AG70" s="123">
        <f>IFERROR(AuswertungG[[#This Row],[Volle]]/AuswertungG[[#This Row],[Räumer]]-2,"")</f>
        <v>-5.3892215568862367E-2</v>
      </c>
      <c r="AH70" s="117">
        <f>IFERROR(ROUND((AuswertungG[[#This Row],[Spiele]]*60)/(AuswertungG[[#This Row],[Fehler]]*AuswertungG[[#This Row],[Spiele]]),0),"")</f>
        <v>9</v>
      </c>
      <c r="AI70" s="123" cm="1">
        <f t="array" ref="AI70">IFERROR((AVERAGE(_xlfn._xlws.FILTER(_xlfn._xlws.FILTER(Eingabe[GES],Eingabe[Name]=AuswertungG[[#This Row],[Name]]),ABS(_xlfn._xlws.FILTER(Eingabe[GEGGES],Eingabe[Name]=AuswertungG[[#This Row],[Name]])-_xlfn._xlws.FILTER(Eingabe[GES],Eingabe[Name]=AuswertungG[[#This Row],[Name]]))&lt;15))-AuswertungG[[#This Row],[GES]])/AuswertungG[[#This Row],[STABW]],"")</f>
        <v>-1</v>
      </c>
      <c r="AJ70" s="267">
        <f>IFERROR(ROUND(AVERAGEIFS(Eingabe[MP],Eingabe[Diff],"&lt;15",Eingabe[Name],AuswertungG[[#This Row],[Name]])-AuswertungG[[#This Row],[MP]],2),"")</f>
        <v>0</v>
      </c>
      <c r="AK70" s="117" t="str" cm="1">
        <f t="array" ref="AK70">IFERROR(ROUND(AVERAGE(_xlfn._xlws.FILTER(Eingabe[GES],(Eingabe[Name]=AuswertungG[[#This Row],[Name]])*(Eingabe[GEGGES]&gt;(AuswertungG[[#This Row],[GES]]+20))))-AuswertungG[[#This Row],[GES]],0),"")</f>
        <v/>
      </c>
      <c r="AL70" s="117" cm="1">
        <f t="array" ref="AL70">IFERROR(ROUND(AVERAGE(_xlfn._xlws.FILTER(Eingabe[GES],(Eingabe[Name]=AuswertungG[[#This Row],[Name]])*(Eingabe[GEGGES]&lt;(AuswertungG[[#This Row],[GES]]-20))))-AuswertungG[[#This Row],[GES]],0),"")</f>
        <v>-20</v>
      </c>
    </row>
    <row r="71" spans="2:38" x14ac:dyDescent="0.3">
      <c r="B71" s="285" t="str">
        <f t="shared" si="1"/>
        <v>Heike Scholz</v>
      </c>
      <c r="C71" s="119" t="str">
        <f>IF(AuswertungG[[#This Row],[Name]]="","",VLOOKUP(AuswertungG[[#This Row],[Name]],Teamzuordnung[[Name]:[Team]],2,TRUE))</f>
        <v>F</v>
      </c>
      <c r="D71" s="122">
        <f>COUNTIFS(Eingabe[Name],AuswertungG[[#This Row],[Name]])</f>
        <v>9</v>
      </c>
      <c r="E71" s="117">
        <f>IF(AuswertungG[[#This Row],[Spiele]]="","",IF(AuswertungG[[#This Row],[Spiele]]-COUNTIFS(Eingabe[Name],AuswertungG[[#This Row],[Name]],Eingabe[MP],"")=0,"",AuswertungG[[#This Row],[Spiele]]-COUNTIFS(Eingabe[Name],AuswertungG[[#This Row],[Name]],Eingabe[MP],"")))</f>
        <v>7</v>
      </c>
      <c r="F71" s="117">
        <f>IF(AuswertungG[[#This Row],[Spiele]]=0,"",ROUND(AVERAGEIFS(Eingabe[Volle],Eingabe[Name],AuswertungG[[#This Row],[Name]]),0))</f>
        <v>350</v>
      </c>
      <c r="G71" s="117">
        <f>IF(AuswertungG[[#This Row],[Spiele]]=0,"",ROUND(AVERAGEIFS(Eingabe[Räumer],Eingabe[Name],AuswertungG[[#This Row],[Name]]),0))</f>
        <v>159</v>
      </c>
      <c r="H71" s="123">
        <f>IF(AuswertungG[[#This Row],[Spiele]]=0,"",ROUND(AVERAGEIFS(Eingabe[Fehler],Eingabe[Name],AuswertungG[[#This Row],[Name]]),1))</f>
        <v>8.1</v>
      </c>
      <c r="I71" s="117">
        <f>IF(AuswertungG[[#This Row],[Spiele]]=0,"",ROUND(AVERAGEIFS(Eingabe[GES],Eingabe[Name],AuswertungG[[#This Row],[Name]]),0))</f>
        <v>509</v>
      </c>
      <c r="J71" s="123">
        <f>IF(AuswertungG[[#This Row],[Spiele MP]]="","",ROUND(AVERAGEIFS(Eingabe[SP],Eingabe[Name],AuswertungG[[#This Row],[Name]]),1))</f>
        <v>2.1</v>
      </c>
      <c r="K71" s="121">
        <f>IF(AuswertungG[[#This Row],[Spiele MP]]="","",ROUND(AVERAGEIFS(Eingabe[MP],Eingabe[Name],AuswertungG[[#This Row],[Name]]),2))</f>
        <v>0.71</v>
      </c>
      <c r="L71" s="117">
        <f>IFERROR(ROUND(AVERAGEIFS(Eingabe[S1],Eingabe[Name],AuswertungG[[#This Row],[Name]]),0),"")</f>
        <v>128</v>
      </c>
      <c r="M71" s="268">
        <f>IFERROR(ROUND(AVERAGEIFS(Eingabe[S2],Eingabe[Name],AuswertungG[[#This Row],[Name]]),0),"")</f>
        <v>128</v>
      </c>
      <c r="N71" s="117">
        <f>IFERROR(ROUND(AVERAGEIFS(Eingabe[S3],Eingabe[Name],AuswertungG[[#This Row],[Name]]),0),"")</f>
        <v>125</v>
      </c>
      <c r="O71" s="268">
        <f>IFERROR(ROUND(AVERAGEIFS(Eingabe[S3],Eingabe[Name],AuswertungG[[#This Row],[Name]]),0),"")</f>
        <v>125</v>
      </c>
      <c r="P71" s="121">
        <f>IF(AuswertungG[[#This Row],[Spiele MP]]="","",ROUND(AVERAGEIFS(Eingabe[S1P],Eingabe[Name],AuswertungG[[#This Row],[Name]]),2))</f>
        <v>0.56999999999999995</v>
      </c>
      <c r="Q71" s="121">
        <f>IF(AuswertungG[[#This Row],[Spiele MP]]="","",ROUND(AVERAGEIFS(Eingabe[S2P],Eingabe[Name],AuswertungG[[#This Row],[Name]]),2))</f>
        <v>0.56999999999999995</v>
      </c>
      <c r="R71" s="121">
        <f>IF(AuswertungG[[#This Row],[Spiele MP]]="","",ROUND(AVERAGEIFS(Eingabe[S3P],Eingabe[Name],AuswertungG[[#This Row],[Name]]),2))</f>
        <v>0.43</v>
      </c>
      <c r="S71" s="121">
        <f>IF(AuswertungG[[#This Row],[Spiele MP]]="","",ROUND(AVERAGEIFS(Eingabe[S4P],Eingabe[Name],AuswertungG[[#This Row],[Name]]),2))</f>
        <v>0.56999999999999995</v>
      </c>
      <c r="T71" s="267" cm="1">
        <f t="array" ref="T71">IF(AuswertungG[[#This Row],[Spiele]]="","",IF(AuswertungG[[#This Row],[Spiele]]&lt;2,"",ROUND(SLOPE(_xlfn._xlws.FILTER(Eingabe[GES],Eingabe[Name]=AuswertungG[[#This Row],[Name]]),_xlfn._xlws.FILTER(Eingabe[KW],Eingabe[Name]=AuswertungG[[#This Row],[Name]])),2)))</f>
        <v>0.39</v>
      </c>
      <c r="U71" s="267" cm="1">
        <f t="array" ref="U71">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9.57</v>
      </c>
      <c r="V71" s="117" cm="1">
        <f t="array" ref="V71">IF(AuswertungG[[#This Row],[Spiele]]="","",IF(AuswertungG[[#This Row],[Spiele]]&lt;2,"",ROUND(_xlfn.STDEV.P(_xlfn._xlws.FILTER(Eingabe[GES],Eingabe[Name]=AuswertungG[[#This Row],[Name]])),0)))</f>
        <v>12</v>
      </c>
      <c r="W71" s="117">
        <f>IF(AuswertungG[[#This Row],[Spiele MP]]="","",ROUND(AVERAGEIFS(Eingabe[GEGGES],Eingabe[Name],AuswertungG[[#This Row],[Name]]),0))</f>
        <v>502</v>
      </c>
      <c r="X71" s="123" t="str">
        <f>VLOOKUP(AuswertungG[[#This Row],[Name]],PositionG[],21,FALSE)</f>
        <v>[4]</v>
      </c>
      <c r="Y71" s="123">
        <f>VLOOKUP(AuswertungG[[#This Row],[Name]],PositionG[],22,FALSE)</f>
        <v>4</v>
      </c>
      <c r="Z71" s="123" t="str">
        <f>VLOOKUP(AuswertungG[[#This Row],[Name]],PositionG[],23,FALSE)</f>
        <v>[2][3]</v>
      </c>
      <c r="AA71" s="121">
        <f>IF(AuswertungG[[#This Row],[Spiele MP]]="","",ROUND(VLOOKUP(AuswertungG[[#This Row],[Name]],PositionG[],24,FALSE),2))</f>
        <v>1</v>
      </c>
      <c r="AB71" s="123">
        <f>IF(AuswertungG[[#This Row],[Spiele]]=0,"",ROUND(AVERAGEIFS(Eingabe[Rang],Eingabe[Name],AuswertungG[[#This Row],[Name]]),1))</f>
        <v>3</v>
      </c>
      <c r="AC71" s="123" cm="1">
        <f t="array" ref="AC71">IFERROR(ROUND(MEDIAN(_xlfn._xlws.FILTER(Eingabe[GES],Eingabe[Name]=AuswertungG[[#This Row],[Name]])),0),"")</f>
        <v>506</v>
      </c>
      <c r="AD71" s="121">
        <f>IFERROR(AuswertungG[[#This Row],[STABW]]/AuswertungG[[#This Row],[GES]],"")</f>
        <v>2.3575638506876228E-2</v>
      </c>
      <c r="AE71" s="123" cm="1">
        <f t="array" ref="AE71">IFERROR(ROUND(_xlfn.QUARTILE.INC(_xlfn._xlws.FILTER(Eingabe[GES],Eingabe[Name]=AuswertungG[[#This Row],[Name]]),3)-_xlfn.QUARTILE.INC(_xlfn._xlws.FILTER(Eingabe[GES],Eingabe[Name]=AuswertungG[[#This Row],[Name]]),1),0),"")</f>
        <v>6</v>
      </c>
      <c r="AF71" s="123">
        <f>IFERROR(1/AuswertungG[[#This Row],[VK]],"")</f>
        <v>42.416666666666664</v>
      </c>
      <c r="AG71" s="123">
        <f>IFERROR(AuswertungG[[#This Row],[Volle]]/AuswertungG[[#This Row],[Räumer]]-2,"")</f>
        <v>0.20125786163522008</v>
      </c>
      <c r="AH71" s="117">
        <f>IFERROR(ROUND((AuswertungG[[#This Row],[Spiele]]*60)/(AuswertungG[[#This Row],[Fehler]]*AuswertungG[[#This Row],[Spiele]]),0),"")</f>
        <v>7</v>
      </c>
      <c r="AI71" s="123" cm="1">
        <f t="array" ref="AI71">IFERROR((AVERAGE(_xlfn._xlws.FILTER(_xlfn._xlws.FILTER(Eingabe[GES],Eingabe[Name]=AuswertungG[[#This Row],[Name]]),ABS(_xlfn._xlws.FILTER(Eingabe[GEGGES],Eingabe[Name]=AuswertungG[[#This Row],[Name]])-_xlfn._xlws.FILTER(Eingabe[GES],Eingabe[Name]=AuswertungG[[#This Row],[Name]]))&lt;15))-AuswertungG[[#This Row],[GES]])/AuswertungG[[#This Row],[STABW]],"")</f>
        <v>-0.16666666666666666</v>
      </c>
      <c r="AJ71" s="267">
        <f>IFERROR(ROUND(AVERAGEIFS(Eingabe[MP],Eingabe[Diff],"&lt;15",Eingabe[Name],AuswertungG[[#This Row],[Name]])-AuswertungG[[#This Row],[MP]],2),"")</f>
        <v>-0.04</v>
      </c>
      <c r="AK71" s="117" cm="1">
        <f t="array" ref="AK71">IFERROR(ROUND(AVERAGE(_xlfn._xlws.FILTER(Eingabe[GES],(Eingabe[Name]=AuswertungG[[#This Row],[Name]])*(Eingabe[GEGGES]&gt;(AuswertungG[[#This Row],[GES]]+20))))-AuswertungG[[#This Row],[GES]],0),"")</f>
        <v>0</v>
      </c>
      <c r="AL71" s="117" cm="1">
        <f t="array" ref="AL71">IFERROR(ROUND(AVERAGE(_xlfn._xlws.FILTER(Eingabe[GES],(Eingabe[Name]=AuswertungG[[#This Row],[Name]])*(Eingabe[GEGGES]&lt;(AuswertungG[[#This Row],[GES]]-20))))-AuswertungG[[#This Row],[GES]],0),"")</f>
        <v>-6</v>
      </c>
    </row>
    <row r="72" spans="2:38" x14ac:dyDescent="0.3">
      <c r="B72" s="285" t="str">
        <f t="shared" si="1"/>
        <v>Heiko Fuhrmann</v>
      </c>
      <c r="C72" s="119" t="str">
        <f>IF(AuswertungG[[#This Row],[Name]]="","",VLOOKUP(AuswertungG[[#This Row],[Name]],Teamzuordnung[[Name]:[Team]],2,TRUE))</f>
        <v>E</v>
      </c>
      <c r="D72" s="122">
        <f>COUNTIFS(Eingabe[Name],AuswertungG[[#This Row],[Name]])</f>
        <v>14</v>
      </c>
      <c r="E72" s="117">
        <f>IF(AuswertungG[[#This Row],[Spiele]]="","",IF(AuswertungG[[#This Row],[Spiele]]-COUNTIFS(Eingabe[Name],AuswertungG[[#This Row],[Name]],Eingabe[MP],"")=0,"",AuswertungG[[#This Row],[Spiele]]-COUNTIFS(Eingabe[Name],AuswertungG[[#This Row],[Name]],Eingabe[MP],"")))</f>
        <v>14</v>
      </c>
      <c r="F72" s="117">
        <f>IF(AuswertungG[[#This Row],[Spiele]]=0,"",ROUND(AVERAGEIFS(Eingabe[Volle],Eingabe[Name],AuswertungG[[#This Row],[Name]]),0))</f>
        <v>362</v>
      </c>
      <c r="G72" s="117">
        <f>IF(AuswertungG[[#This Row],[Spiele]]=0,"",ROUND(AVERAGEIFS(Eingabe[Räumer],Eingabe[Name],AuswertungG[[#This Row],[Name]]),0))</f>
        <v>170</v>
      </c>
      <c r="H72" s="123">
        <f>IF(AuswertungG[[#This Row],[Spiele]]=0,"",ROUND(AVERAGEIFS(Eingabe[Fehler],Eingabe[Name],AuswertungG[[#This Row],[Name]]),1))</f>
        <v>5.2</v>
      </c>
      <c r="I72" s="117">
        <f>IF(AuswertungG[[#This Row],[Spiele]]=0,"",ROUND(AVERAGEIFS(Eingabe[GES],Eingabe[Name],AuswertungG[[#This Row],[Name]]),0))</f>
        <v>532</v>
      </c>
      <c r="J72" s="123">
        <f>IF(AuswertungG[[#This Row],[Spiele MP]]="","",ROUND(AVERAGEIFS(Eingabe[SP],Eingabe[Name],AuswertungG[[#This Row],[Name]]),1))</f>
        <v>1.9</v>
      </c>
      <c r="K72" s="121">
        <f>IF(AuswertungG[[#This Row],[Spiele MP]]="","",ROUND(AVERAGEIFS(Eingabe[MP],Eingabe[Name],AuswertungG[[#This Row],[Name]]),2))</f>
        <v>0.36</v>
      </c>
      <c r="L72" s="117">
        <f>IFERROR(ROUND(AVERAGEIFS(Eingabe[S1],Eingabe[Name],AuswertungG[[#This Row],[Name]]),0),"")</f>
        <v>139</v>
      </c>
      <c r="M72" s="268">
        <f>IFERROR(ROUND(AVERAGEIFS(Eingabe[S2],Eingabe[Name],AuswertungG[[#This Row],[Name]]),0),"")</f>
        <v>131</v>
      </c>
      <c r="N72" s="117">
        <f>IFERROR(ROUND(AVERAGEIFS(Eingabe[S3],Eingabe[Name],AuswertungG[[#This Row],[Name]]),0),"")</f>
        <v>133</v>
      </c>
      <c r="O72" s="268">
        <f>IFERROR(ROUND(AVERAGEIFS(Eingabe[S3],Eingabe[Name],AuswertungG[[#This Row],[Name]]),0),"")</f>
        <v>133</v>
      </c>
      <c r="P72" s="121">
        <f>IF(AuswertungG[[#This Row],[Spiele MP]]="","",ROUND(AVERAGEIFS(Eingabe[S1P],Eingabe[Name],AuswertungG[[#This Row],[Name]]),2))</f>
        <v>0.79</v>
      </c>
      <c r="Q72" s="121">
        <f>IF(AuswertungG[[#This Row],[Spiele MP]]="","",ROUND(AVERAGEIFS(Eingabe[S2P],Eingabe[Name],AuswertungG[[#This Row],[Name]]),2))</f>
        <v>0.36</v>
      </c>
      <c r="R72" s="121">
        <f>IF(AuswertungG[[#This Row],[Spiele MP]]="","",ROUND(AVERAGEIFS(Eingabe[S3P],Eingabe[Name],AuswertungG[[#This Row],[Name]]),2))</f>
        <v>0.56999999999999995</v>
      </c>
      <c r="S72" s="121">
        <f>IF(AuswertungG[[#This Row],[Spiele MP]]="","",ROUND(AVERAGEIFS(Eingabe[S4P],Eingabe[Name],AuswertungG[[#This Row],[Name]]),2))</f>
        <v>0.21</v>
      </c>
      <c r="T72" s="267" cm="1">
        <f t="array" ref="T72">IF(AuswertungG[[#This Row],[Spiele]]="","",IF(AuswertungG[[#This Row],[Spiele]]&lt;2,"",ROUND(SLOPE(_xlfn._xlws.FILTER(Eingabe[GES],Eingabe[Name]=AuswertungG[[#This Row],[Name]]),_xlfn._xlws.FILTER(Eingabe[KW],Eingabe[Name]=AuswertungG[[#This Row],[Name]])),2)))</f>
        <v>1.65</v>
      </c>
      <c r="U72" s="267" cm="1">
        <f t="array" ref="U72">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-4.46</v>
      </c>
      <c r="V72" s="117" cm="1">
        <f t="array" ref="V72">IF(AuswertungG[[#This Row],[Spiele]]="","",IF(AuswertungG[[#This Row],[Spiele]]&lt;2,"",ROUND(_xlfn.STDEV.P(_xlfn._xlws.FILTER(Eingabe[GES],Eingabe[Name]=AuswertungG[[#This Row],[Name]])),0)))</f>
        <v>24</v>
      </c>
      <c r="W72" s="117">
        <f>IF(AuswertungG[[#This Row],[Spiele MP]]="","",ROUND(AVERAGEIFS(Eingabe[GEGGES],Eingabe[Name],AuswertungG[[#This Row],[Name]]),0))</f>
        <v>508</v>
      </c>
      <c r="X72" s="123" t="str">
        <f>VLOOKUP(AuswertungG[[#This Row],[Name]],PositionG[],21,FALSE)</f>
        <v>[6]</v>
      </c>
      <c r="Y72" s="123">
        <f>VLOOKUP(AuswertungG[[#This Row],[Name]],PositionG[],22,FALSE)</f>
        <v>9</v>
      </c>
      <c r="Z72" s="123" t="str">
        <f>VLOOKUP(AuswertungG[[#This Row],[Name]],PositionG[],23,FALSE)</f>
        <v>[2]</v>
      </c>
      <c r="AA72" s="121">
        <f>IF(AuswertungG[[#This Row],[Spiele MP]]="","",ROUND(VLOOKUP(AuswertungG[[#This Row],[Name]],PositionG[],24,FALSE),2))</f>
        <v>1</v>
      </c>
      <c r="AB72" s="123">
        <f>IF(AuswertungG[[#This Row],[Spiele]]=0,"",ROUND(AVERAGEIFS(Eingabe[Rang],Eingabe[Name],AuswertungG[[#This Row],[Name]]),1))</f>
        <v>3.5</v>
      </c>
      <c r="AC72" s="123" cm="1">
        <f t="array" ref="AC72">IFERROR(ROUND(MEDIAN(_xlfn._xlws.FILTER(Eingabe[GES],Eingabe[Name]=AuswertungG[[#This Row],[Name]])),0),"")</f>
        <v>527</v>
      </c>
      <c r="AD72" s="121">
        <f>IFERROR(AuswertungG[[#This Row],[STABW]]/AuswertungG[[#This Row],[GES]],"")</f>
        <v>4.5112781954887216E-2</v>
      </c>
      <c r="AE72" s="123" cm="1">
        <f t="array" ref="AE72">IFERROR(ROUND(_xlfn.QUARTILE.INC(_xlfn._xlws.FILTER(Eingabe[GES],Eingabe[Name]=AuswertungG[[#This Row],[Name]]),3)-_xlfn.QUARTILE.INC(_xlfn._xlws.FILTER(Eingabe[GES],Eingabe[Name]=AuswertungG[[#This Row],[Name]]),1),0),"")</f>
        <v>26</v>
      </c>
      <c r="AF72" s="123">
        <f>IFERROR(1/AuswertungG[[#This Row],[VK]],"")</f>
        <v>22.166666666666668</v>
      </c>
      <c r="AG72" s="123">
        <f>IFERROR(AuswertungG[[#This Row],[Volle]]/AuswertungG[[#This Row],[Räumer]]-2,"")</f>
        <v>0.12941176470588234</v>
      </c>
      <c r="AH72" s="117">
        <f>IFERROR(ROUND((AuswertungG[[#This Row],[Spiele]]*60)/(AuswertungG[[#This Row],[Fehler]]*AuswertungG[[#This Row],[Spiele]]),0),"")</f>
        <v>12</v>
      </c>
      <c r="AI72" s="123" cm="1">
        <f t="array" ref="AI72">IFERROR((AVERAGE(_xlfn._xlws.FILTER(_xlfn._xlws.FILTER(Eingabe[GES],Eingabe[Name]=AuswertungG[[#This Row],[Name]]),ABS(_xlfn._xlws.FILTER(Eingabe[GEGGES],Eingabe[Name]=AuswertungG[[#This Row],[Name]])-_xlfn._xlws.FILTER(Eingabe[GES],Eingabe[Name]=AuswertungG[[#This Row],[Name]]))&lt;15))-AuswertungG[[#This Row],[GES]])/AuswertungG[[#This Row],[STABW]],"")</f>
        <v>-0.70833333333333337</v>
      </c>
      <c r="AJ72" s="267">
        <f>IFERROR(ROUND(AVERAGEIFS(Eingabe[MP],Eingabe[Diff],"&lt;15",Eingabe[Name],AuswertungG[[#This Row],[Name]])-AuswertungG[[#This Row],[MP]],2),"")</f>
        <v>-0.11</v>
      </c>
      <c r="AK72" s="117" cm="1">
        <f t="array" ref="AK72">IFERROR(ROUND(AVERAGE(_xlfn._xlws.FILTER(Eingabe[GES],(Eingabe[Name]=AuswertungG[[#This Row],[Name]])*(Eingabe[GEGGES]&gt;(AuswertungG[[#This Row],[GES]]+20))))-AuswertungG[[#This Row],[GES]],0),"")</f>
        <v>27</v>
      </c>
      <c r="AL72" s="117" cm="1">
        <f t="array" ref="AL72">IFERROR(ROUND(AVERAGE(_xlfn._xlws.FILTER(Eingabe[GES],(Eingabe[Name]=AuswertungG[[#This Row],[Name]])*(Eingabe[GEGGES]&lt;(AuswertungG[[#This Row],[GES]]-20))))-AuswertungG[[#This Row],[GES]],0),"")</f>
        <v>6</v>
      </c>
    </row>
    <row r="73" spans="2:38" x14ac:dyDescent="0.3">
      <c r="B73" s="285" t="str">
        <f t="shared" si="1"/>
        <v>Heiko Wüstling</v>
      </c>
      <c r="C73" s="119" t="str">
        <f>IF(AuswertungG[[#This Row],[Name]]="","",VLOOKUP(AuswertungG[[#This Row],[Name]],Teamzuordnung[[Name]:[Team]],2,TRUE))</f>
        <v>D</v>
      </c>
      <c r="D73" s="122">
        <f>COUNTIFS(Eingabe[Name],AuswertungG[[#This Row],[Name]])</f>
        <v>0</v>
      </c>
      <c r="E73" s="117" t="str">
        <f>IF(AuswertungG[[#This Row],[Spiele]]="","",IF(AuswertungG[[#This Row],[Spiele]]-COUNTIFS(Eingabe[Name],AuswertungG[[#This Row],[Name]],Eingabe[MP],"")=0,"",AuswertungG[[#This Row],[Spiele]]-COUNTIFS(Eingabe[Name],AuswertungG[[#This Row],[Name]],Eingabe[MP],"")))</f>
        <v/>
      </c>
      <c r="F73" s="117" t="str">
        <f>IF(AuswertungG[[#This Row],[Spiele]]=0,"",ROUND(AVERAGEIFS(Eingabe[Volle],Eingabe[Name],AuswertungG[[#This Row],[Name]]),0))</f>
        <v/>
      </c>
      <c r="G73" s="117" t="str">
        <f>IF(AuswertungG[[#This Row],[Spiele]]=0,"",ROUND(AVERAGEIFS(Eingabe[Räumer],Eingabe[Name],AuswertungG[[#This Row],[Name]]),0))</f>
        <v/>
      </c>
      <c r="H73" s="123" t="str">
        <f>IF(AuswertungG[[#This Row],[Spiele]]=0,"",ROUND(AVERAGEIFS(Eingabe[Fehler],Eingabe[Name],AuswertungG[[#This Row],[Name]]),1))</f>
        <v/>
      </c>
      <c r="I73" s="117" t="str">
        <f>IF(AuswertungG[[#This Row],[Spiele]]=0,"",ROUND(AVERAGEIFS(Eingabe[GES],Eingabe[Name],AuswertungG[[#This Row],[Name]]),0))</f>
        <v/>
      </c>
      <c r="J73" s="123" t="str">
        <f>IF(AuswertungG[[#This Row],[Spiele MP]]="","",ROUND(AVERAGEIFS(Eingabe[SP],Eingabe[Name],AuswertungG[[#This Row],[Name]]),1))</f>
        <v/>
      </c>
      <c r="K73" s="121" t="str">
        <f>IF(AuswertungG[[#This Row],[Spiele MP]]="","",ROUND(AVERAGEIFS(Eingabe[MP],Eingabe[Name],AuswertungG[[#This Row],[Name]]),2))</f>
        <v/>
      </c>
      <c r="L73" s="117" t="str">
        <f>IFERROR(ROUND(AVERAGEIFS(Eingabe[S1],Eingabe[Name],AuswertungG[[#This Row],[Name]]),0),"")</f>
        <v/>
      </c>
      <c r="M73" s="268" t="str">
        <f>IFERROR(ROUND(AVERAGEIFS(Eingabe[S2],Eingabe[Name],AuswertungG[[#This Row],[Name]]),0),"")</f>
        <v/>
      </c>
      <c r="N73" s="117" t="str">
        <f>IFERROR(ROUND(AVERAGEIFS(Eingabe[S3],Eingabe[Name],AuswertungG[[#This Row],[Name]]),0),"")</f>
        <v/>
      </c>
      <c r="O73" s="268" t="str">
        <f>IFERROR(ROUND(AVERAGEIFS(Eingabe[S3],Eingabe[Name],AuswertungG[[#This Row],[Name]]),0),"")</f>
        <v/>
      </c>
      <c r="P73" s="121" t="str">
        <f>IF(AuswertungG[[#This Row],[Spiele MP]]="","",ROUND(AVERAGEIFS(Eingabe[S1P],Eingabe[Name],AuswertungG[[#This Row],[Name]]),2))</f>
        <v/>
      </c>
      <c r="Q73" s="121" t="str">
        <f>IF(AuswertungG[[#This Row],[Spiele MP]]="","",ROUND(AVERAGEIFS(Eingabe[S2P],Eingabe[Name],AuswertungG[[#This Row],[Name]]),2))</f>
        <v/>
      </c>
      <c r="R73" s="121" t="str">
        <f>IF(AuswertungG[[#This Row],[Spiele MP]]="","",ROUND(AVERAGEIFS(Eingabe[S3P],Eingabe[Name],AuswertungG[[#This Row],[Name]]),2))</f>
        <v/>
      </c>
      <c r="S73" s="121" t="str">
        <f>IF(AuswertungG[[#This Row],[Spiele MP]]="","",ROUND(AVERAGEIFS(Eingabe[S4P],Eingabe[Name],AuswertungG[[#This Row],[Name]]),2))</f>
        <v/>
      </c>
      <c r="T73" s="267" t="str" cm="1">
        <f t="array" ref="T73">IF(AuswertungG[[#This Row],[Spiele]]="","",IF(AuswertungG[[#This Row],[Spiele]]&lt;2,"",ROUND(SLOPE(_xlfn._xlws.FILTER(Eingabe[GES],Eingabe[Name]=AuswertungG[[#This Row],[Name]]),_xlfn._xlws.FILTER(Eingabe[KW],Eingabe[Name]=AuswertungG[[#This Row],[Name]])),2)))</f>
        <v/>
      </c>
      <c r="U73" s="267" t="str" cm="1">
        <f t="array" ref="U73">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73" s="117" t="str" cm="1">
        <f t="array" ref="V73">IF(AuswertungG[[#This Row],[Spiele]]="","",IF(AuswertungG[[#This Row],[Spiele]]&lt;2,"",ROUND(_xlfn.STDEV.P(_xlfn._xlws.FILTER(Eingabe[GES],Eingabe[Name]=AuswertungG[[#This Row],[Name]])),0)))</f>
        <v/>
      </c>
      <c r="W73" s="117" t="str">
        <f>IF(AuswertungG[[#This Row],[Spiele MP]]="","",ROUND(AVERAGEIFS(Eingabe[GEGGES],Eingabe[Name],AuswertungG[[#This Row],[Name]]),0))</f>
        <v/>
      </c>
      <c r="X73" s="123" t="str">
        <f>VLOOKUP(AuswertungG[[#This Row],[Name]],PositionG[],21,FALSE)</f>
        <v/>
      </c>
      <c r="Y73" s="123" t="str">
        <f>VLOOKUP(AuswertungG[[#This Row],[Name]],PositionG[],22,FALSE)</f>
        <v/>
      </c>
      <c r="Z73" s="123" t="str">
        <f>VLOOKUP(AuswertungG[[#This Row],[Name]],PositionG[],23,FALSE)</f>
        <v/>
      </c>
      <c r="AA73" s="121" t="str">
        <f>IF(AuswertungG[[#This Row],[Spiele MP]]="","",ROUND(VLOOKUP(AuswertungG[[#This Row],[Name]],PositionG[],24,FALSE),2))</f>
        <v/>
      </c>
      <c r="AB73" s="123" t="str">
        <f>IF(AuswertungG[[#This Row],[Spiele]]=0,"",ROUND(AVERAGEIFS(Eingabe[Rang],Eingabe[Name],AuswertungG[[#This Row],[Name]]),1))</f>
        <v/>
      </c>
      <c r="AC73" s="123" t="str" cm="1">
        <f t="array" ref="AC73">IFERROR(ROUND(MEDIAN(_xlfn._xlws.FILTER(Eingabe[GES],Eingabe[Name]=AuswertungG[[#This Row],[Name]])),0),"")</f>
        <v/>
      </c>
      <c r="AD73" s="121" t="str">
        <f>IFERROR(AuswertungG[[#This Row],[STABW]]/AuswertungG[[#This Row],[GES]],"")</f>
        <v/>
      </c>
      <c r="AE73" s="123" t="str" cm="1">
        <f t="array" ref="AE73">IFERROR(ROUND(_xlfn.QUARTILE.INC(_xlfn._xlws.FILTER(Eingabe[GES],Eingabe[Name]=AuswertungG[[#This Row],[Name]]),3)-_xlfn.QUARTILE.INC(_xlfn._xlws.FILTER(Eingabe[GES],Eingabe[Name]=AuswertungG[[#This Row],[Name]]),1),0),"")</f>
        <v/>
      </c>
      <c r="AF73" s="123" t="str">
        <f>IFERROR(1/AuswertungG[[#This Row],[VK]],"")</f>
        <v/>
      </c>
      <c r="AG73" s="123" t="str">
        <f>IFERROR(AuswertungG[[#This Row],[Volle]]/AuswertungG[[#This Row],[Räumer]]-2,"")</f>
        <v/>
      </c>
      <c r="AH73" s="117" t="str">
        <f>IFERROR(ROUND((AuswertungG[[#This Row],[Spiele]]*60)/(AuswertungG[[#This Row],[Fehler]]*AuswertungG[[#This Row],[Spiele]]),0),"")</f>
        <v/>
      </c>
      <c r="AI73" s="123" t="str" cm="1">
        <f t="array" ref="AI73">IFERROR((AVERAGE(_xlfn._xlws.FILTER(_xlfn._xlws.FILTER(Eingabe[GES],Eingabe[Name]=AuswertungG[[#This Row],[Name]]),ABS(_xlfn._xlws.FILTER(Eingabe[GEGGES],Eingabe[Name]=AuswertungG[[#This Row],[Name]])-_xlfn._xlws.FILTER(Eingabe[GES],Eingabe[Name]=AuswertungG[[#This Row],[Name]]))&lt;15))-AuswertungG[[#This Row],[GES]])/AuswertungG[[#This Row],[STABW]],"")</f>
        <v/>
      </c>
      <c r="AJ73" s="267" t="str">
        <f>IFERROR(ROUND(AVERAGEIFS(Eingabe[MP],Eingabe[Diff],"&lt;15",Eingabe[Name],AuswertungG[[#This Row],[Name]])-AuswertungG[[#This Row],[MP]],2),"")</f>
        <v/>
      </c>
      <c r="AK73" s="117" t="str" cm="1">
        <f t="array" ref="AK73">IFERROR(ROUND(AVERAGE(_xlfn._xlws.FILTER(Eingabe[GES],(Eingabe[Name]=AuswertungG[[#This Row],[Name]])*(Eingabe[GEGGES]&gt;(AuswertungG[[#This Row],[GES]]+20))))-AuswertungG[[#This Row],[GES]],0),"")</f>
        <v/>
      </c>
      <c r="AL73" s="117" t="str" cm="1">
        <f t="array" ref="AL73">IFERROR(ROUND(AVERAGE(_xlfn._xlws.FILTER(Eingabe[GES],(Eingabe[Name]=AuswertungG[[#This Row],[Name]])*(Eingabe[GEGGES]&lt;(AuswertungG[[#This Row],[GES]]-20))))-AuswertungG[[#This Row],[GES]],0),"")</f>
        <v/>
      </c>
    </row>
    <row r="74" spans="2:38" x14ac:dyDescent="0.3">
      <c r="B74" s="285" t="str">
        <f t="shared" si="1"/>
        <v>Jens Starke</v>
      </c>
      <c r="C74" s="119" t="str">
        <f>IF(AuswertungG[[#This Row],[Name]]="","",VLOOKUP(AuswertungG[[#This Row],[Name]],Teamzuordnung[[Name]:[Team]],2,TRUE))</f>
        <v>D</v>
      </c>
      <c r="D74" s="122">
        <f>COUNTIFS(Eingabe[Name],AuswertungG[[#This Row],[Name]])</f>
        <v>5</v>
      </c>
      <c r="E74" s="117">
        <f>IF(AuswertungG[[#This Row],[Spiele]]="","",IF(AuswertungG[[#This Row],[Spiele]]-COUNTIFS(Eingabe[Name],AuswertungG[[#This Row],[Name]],Eingabe[MP],"")=0,"",AuswertungG[[#This Row],[Spiele]]-COUNTIFS(Eingabe[Name],AuswertungG[[#This Row],[Name]],Eingabe[MP],"")))</f>
        <v>5</v>
      </c>
      <c r="F74" s="117">
        <f>IF(AuswertungG[[#This Row],[Spiele]]=0,"",ROUND(AVERAGEIFS(Eingabe[Volle],Eingabe[Name],AuswertungG[[#This Row],[Name]]),0))</f>
        <v>351</v>
      </c>
      <c r="G74" s="117">
        <f>IF(AuswertungG[[#This Row],[Spiele]]=0,"",ROUND(AVERAGEIFS(Eingabe[Räumer],Eingabe[Name],AuswertungG[[#This Row],[Name]]),0))</f>
        <v>165</v>
      </c>
      <c r="H74" s="123">
        <f>IF(AuswertungG[[#This Row],[Spiele]]=0,"",ROUND(AVERAGEIFS(Eingabe[Fehler],Eingabe[Name],AuswertungG[[#This Row],[Name]]),1))</f>
        <v>7</v>
      </c>
      <c r="I74" s="117">
        <f>IF(AuswertungG[[#This Row],[Spiele]]=0,"",ROUND(AVERAGEIFS(Eingabe[GES],Eingabe[Name],AuswertungG[[#This Row],[Name]]),0))</f>
        <v>516</v>
      </c>
      <c r="J74" s="123">
        <f>IF(AuswertungG[[#This Row],[Spiele MP]]="","",ROUND(AVERAGEIFS(Eingabe[SP],Eingabe[Name],AuswertungG[[#This Row],[Name]]),1))</f>
        <v>1.8</v>
      </c>
      <c r="K74" s="121">
        <f>IF(AuswertungG[[#This Row],[Spiele MP]]="","",ROUND(AVERAGEIFS(Eingabe[MP],Eingabe[Name],AuswertungG[[#This Row],[Name]]),2))</f>
        <v>0.6</v>
      </c>
      <c r="L74" s="117">
        <f>IFERROR(ROUND(AVERAGEIFS(Eingabe[S1],Eingabe[Name],AuswertungG[[#This Row],[Name]]),0),"")</f>
        <v>129</v>
      </c>
      <c r="M74" s="268">
        <f>IFERROR(ROUND(AVERAGEIFS(Eingabe[S2],Eingabe[Name],AuswertungG[[#This Row],[Name]]),0),"")</f>
        <v>126</v>
      </c>
      <c r="N74" s="117">
        <f>IFERROR(ROUND(AVERAGEIFS(Eingabe[S3],Eingabe[Name],AuswertungG[[#This Row],[Name]]),0),"")</f>
        <v>128</v>
      </c>
      <c r="O74" s="268">
        <f>IFERROR(ROUND(AVERAGEIFS(Eingabe[S3],Eingabe[Name],AuswertungG[[#This Row],[Name]]),0),"")</f>
        <v>128</v>
      </c>
      <c r="P74" s="121">
        <f>IF(AuswertungG[[#This Row],[Spiele MP]]="","",ROUND(AVERAGEIFS(Eingabe[S1P],Eingabe[Name],AuswertungG[[#This Row],[Name]]),2))</f>
        <v>0.4</v>
      </c>
      <c r="Q74" s="121">
        <f>IF(AuswertungG[[#This Row],[Spiele MP]]="","",ROUND(AVERAGEIFS(Eingabe[S2P],Eingabe[Name],AuswertungG[[#This Row],[Name]]),2))</f>
        <v>0.5</v>
      </c>
      <c r="R74" s="121">
        <f>IF(AuswertungG[[#This Row],[Spiele MP]]="","",ROUND(AVERAGEIFS(Eingabe[S3P],Eingabe[Name],AuswertungG[[#This Row],[Name]]),2))</f>
        <v>0.5</v>
      </c>
      <c r="S74" s="121">
        <f>IF(AuswertungG[[#This Row],[Spiele MP]]="","",ROUND(AVERAGEIFS(Eingabe[S4P],Eingabe[Name],AuswertungG[[#This Row],[Name]]),2))</f>
        <v>0.4</v>
      </c>
      <c r="T74" s="267" cm="1">
        <f t="array" ref="T74">IF(AuswertungG[[#This Row],[Spiele]]="","",IF(AuswertungG[[#This Row],[Spiele]]&lt;2,"",ROUND(SLOPE(_xlfn._xlws.FILTER(Eingabe[GES],Eingabe[Name]=AuswertungG[[#This Row],[Name]]),_xlfn._xlws.FILTER(Eingabe[KW],Eingabe[Name]=AuswertungG[[#This Row],[Name]])),2)))</f>
        <v>-1.29</v>
      </c>
      <c r="U74" s="267" cm="1">
        <f t="array" ref="U74">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-2.04</v>
      </c>
      <c r="V74" s="117" cm="1">
        <f t="array" ref="V74">IF(AuswertungG[[#This Row],[Spiele]]="","",IF(AuswertungG[[#This Row],[Spiele]]&lt;2,"",ROUND(_xlfn.STDEV.P(_xlfn._xlws.FILTER(Eingabe[GES],Eingabe[Name]=AuswertungG[[#This Row],[Name]])),0)))</f>
        <v>19</v>
      </c>
      <c r="W74" s="117">
        <f>IF(AuswertungG[[#This Row],[Spiele MP]]="","",ROUND(AVERAGEIFS(Eingabe[GEGGES],Eingabe[Name],AuswertungG[[#This Row],[Name]]),0))</f>
        <v>506</v>
      </c>
      <c r="X74" s="123" t="str">
        <f>VLOOKUP(AuswertungG[[#This Row],[Name]],PositionG[],21,FALSE)</f>
        <v>[4]</v>
      </c>
      <c r="Y74" s="123">
        <f>VLOOKUP(AuswertungG[[#This Row],[Name]],PositionG[],22,FALSE)</f>
        <v>2</v>
      </c>
      <c r="Z74" s="123" t="str">
        <f>VLOOKUP(AuswertungG[[#This Row],[Name]],PositionG[],23,FALSE)</f>
        <v>[2][4]</v>
      </c>
      <c r="AA74" s="121">
        <f>IF(AuswertungG[[#This Row],[Spiele MP]]="","",ROUND(VLOOKUP(AuswertungG[[#This Row],[Name]],PositionG[],24,FALSE),2))</f>
        <v>1</v>
      </c>
      <c r="AB74" s="123">
        <f>IF(AuswertungG[[#This Row],[Spiele]]=0,"",ROUND(AVERAGEIFS(Eingabe[Rang],Eingabe[Name],AuswertungG[[#This Row],[Name]]),1))</f>
        <v>2.8</v>
      </c>
      <c r="AC74" s="123" cm="1">
        <f t="array" ref="AC74">IFERROR(ROUND(MEDIAN(_xlfn._xlws.FILTER(Eingabe[GES],Eingabe[Name]=AuswertungG[[#This Row],[Name]])),0),"")</f>
        <v>512</v>
      </c>
      <c r="AD74" s="121">
        <f>IFERROR(AuswertungG[[#This Row],[STABW]]/AuswertungG[[#This Row],[GES]],"")</f>
        <v>3.6821705426356592E-2</v>
      </c>
      <c r="AE74" s="123" cm="1">
        <f t="array" ref="AE74">IFERROR(ROUND(_xlfn.QUARTILE.INC(_xlfn._xlws.FILTER(Eingabe[GES],Eingabe[Name]=AuswertungG[[#This Row],[Name]]),3)-_xlfn.QUARTILE.INC(_xlfn._xlws.FILTER(Eingabe[GES],Eingabe[Name]=AuswertungG[[#This Row],[Name]]),1),0),"")</f>
        <v>12</v>
      </c>
      <c r="AF74" s="123">
        <f>IFERROR(1/AuswertungG[[#This Row],[VK]],"")</f>
        <v>27.157894736842103</v>
      </c>
      <c r="AG74" s="123">
        <f>IFERROR(AuswertungG[[#This Row],[Volle]]/AuswertungG[[#This Row],[Räumer]]-2,"")</f>
        <v>0.12727272727272743</v>
      </c>
      <c r="AH74" s="117">
        <f>IFERROR(ROUND((AuswertungG[[#This Row],[Spiele]]*60)/(AuswertungG[[#This Row],[Fehler]]*AuswertungG[[#This Row],[Spiele]]),0),"")</f>
        <v>9</v>
      </c>
      <c r="AI74" s="123" t="str" cm="1">
        <f t="array" ref="AI74">IFERROR((AVERAGE(_xlfn._xlws.FILTER(_xlfn._xlws.FILTER(Eingabe[GES],Eingabe[Name]=AuswertungG[[#This Row],[Name]]),ABS(_xlfn._xlws.FILTER(Eingabe[GEGGES],Eingabe[Name]=AuswertungG[[#This Row],[Name]])-_xlfn._xlws.FILTER(Eingabe[GES],Eingabe[Name]=AuswertungG[[#This Row],[Name]]))&lt;15))-AuswertungG[[#This Row],[GES]])/AuswertungG[[#This Row],[STABW]],"")</f>
        <v/>
      </c>
      <c r="AJ74" s="267" t="str">
        <f>IFERROR(ROUND(AVERAGEIFS(Eingabe[MP],Eingabe[Diff],"&lt;15",Eingabe[Name],AuswertungG[[#This Row],[Name]])-AuswertungG[[#This Row],[MP]],2),"")</f>
        <v/>
      </c>
      <c r="AK74" s="117" cm="1">
        <f t="array" ref="AK74">IFERROR(ROUND(AVERAGE(_xlfn._xlws.FILTER(Eingabe[GES],(Eingabe[Name]=AuswertungG[[#This Row],[Name]])*(Eingabe[GEGGES]&gt;(AuswertungG[[#This Row],[GES]]+20))))-AuswertungG[[#This Row],[GES]],0),"")</f>
        <v>4</v>
      </c>
      <c r="AL74" s="117" cm="1">
        <f t="array" ref="AL74">IFERROR(ROUND(AVERAGE(_xlfn._xlws.FILTER(Eingabe[GES],(Eingabe[Name]=AuswertungG[[#This Row],[Name]])*(Eingabe[GEGGES]&lt;(AuswertungG[[#This Row],[GES]]-20))))-AuswertungG[[#This Row],[GES]],0),"")</f>
        <v>-17</v>
      </c>
    </row>
    <row r="75" spans="2:38" x14ac:dyDescent="0.3">
      <c r="B75" s="285" t="str">
        <f t="shared" si="1"/>
        <v>Jörg Nötzel</v>
      </c>
      <c r="C75" s="119" t="str">
        <f>IF(AuswertungG[[#This Row],[Name]]="","",VLOOKUP(AuswertungG[[#This Row],[Name]],Teamzuordnung[[Name]:[Team]],2,TRUE))</f>
        <v>D</v>
      </c>
      <c r="D75" s="120">
        <f>COUNTIFS(Eingabe[Name],AuswertungG[[#This Row],[Name]])</f>
        <v>4</v>
      </c>
      <c r="E75" s="116">
        <f>IF(AuswertungG[[#This Row],[Spiele]]="","",IF(AuswertungG[[#This Row],[Spiele]]-COUNTIFS(Eingabe[Name],AuswertungG[[#This Row],[Name]],Eingabe[MP],"")=0,"",AuswertungG[[#This Row],[Spiele]]-COUNTIFS(Eingabe[Name],AuswertungG[[#This Row],[Name]],Eingabe[MP],"")))</f>
        <v>3</v>
      </c>
      <c r="F75" s="117">
        <f>IF(AuswertungG[[#This Row],[Spiele]]=0,"",ROUND(AVERAGEIFS(Eingabe[Volle],Eingabe[Name],AuswertungG[[#This Row],[Name]]),0))</f>
        <v>357</v>
      </c>
      <c r="G75" s="117">
        <f>IF(AuswertungG[[#This Row],[Spiele]]=0,"",ROUND(AVERAGEIFS(Eingabe[Räumer],Eingabe[Name],AuswertungG[[#This Row],[Name]]),0))</f>
        <v>141</v>
      </c>
      <c r="H75" s="123">
        <f>IF(AuswertungG[[#This Row],[Spiele]]=0,"",ROUND(AVERAGEIFS(Eingabe[Fehler],Eingabe[Name],AuswertungG[[#This Row],[Name]]),1))</f>
        <v>12.3</v>
      </c>
      <c r="I75" s="117">
        <f>IF(AuswertungG[[#This Row],[Spiele]]=0,"",ROUND(AVERAGEIFS(Eingabe[GES],Eingabe[Name],AuswertungG[[#This Row],[Name]]),0))</f>
        <v>498</v>
      </c>
      <c r="J75" s="123">
        <f>IF(AuswertungG[[#This Row],[Spiele MP]]="","",ROUND(AVERAGEIFS(Eingabe[SP],Eingabe[Name],AuswertungG[[#This Row],[Name]]),1))</f>
        <v>2.2999999999999998</v>
      </c>
      <c r="K75" s="121">
        <f>IF(AuswertungG[[#This Row],[Spiele MP]]="","",ROUND(AVERAGEIFS(Eingabe[MP],Eingabe[Name],AuswertungG[[#This Row],[Name]]),2))</f>
        <v>0.67</v>
      </c>
      <c r="L75" s="117">
        <f>IFERROR(ROUND(AVERAGEIFS(Eingabe[S1],Eingabe[Name],AuswertungG[[#This Row],[Name]]),0),"")</f>
        <v>129</v>
      </c>
      <c r="M75" s="268">
        <f>IFERROR(ROUND(AVERAGEIFS(Eingabe[S2],Eingabe[Name],AuswertungG[[#This Row],[Name]]),0),"")</f>
        <v>122</v>
      </c>
      <c r="N75" s="117">
        <f>IFERROR(ROUND(AVERAGEIFS(Eingabe[S3],Eingabe[Name],AuswertungG[[#This Row],[Name]]),0),"")</f>
        <v>129</v>
      </c>
      <c r="O75" s="268">
        <f>IFERROR(ROUND(AVERAGEIFS(Eingabe[S3],Eingabe[Name],AuswertungG[[#This Row],[Name]]),0),"")</f>
        <v>129</v>
      </c>
      <c r="P75" s="121">
        <f>IF(AuswertungG[[#This Row],[Spiele MP]]="","",ROUND(AVERAGEIFS(Eingabe[S1P],Eingabe[Name],AuswertungG[[#This Row],[Name]]),2))</f>
        <v>0.67</v>
      </c>
      <c r="Q75" s="121">
        <f>IF(AuswertungG[[#This Row],[Spiele MP]]="","",ROUND(AVERAGEIFS(Eingabe[S2P],Eingabe[Name],AuswertungG[[#This Row],[Name]]),2))</f>
        <v>0</v>
      </c>
      <c r="R75" s="121">
        <f>IF(AuswertungG[[#This Row],[Spiele MP]]="","",ROUND(AVERAGEIFS(Eingabe[S3P],Eingabe[Name],AuswertungG[[#This Row],[Name]]),2))</f>
        <v>1</v>
      </c>
      <c r="S75" s="121">
        <f>IF(AuswertungG[[#This Row],[Spiele MP]]="","",ROUND(AVERAGEIFS(Eingabe[S4P],Eingabe[Name],AuswertungG[[#This Row],[Name]]),2))</f>
        <v>0.67</v>
      </c>
      <c r="T75" s="267" cm="1">
        <f t="array" ref="T75">IF(AuswertungG[[#This Row],[Spiele]]="","",IF(AuswertungG[[#This Row],[Spiele]]&lt;2,"",ROUND(SLOPE(_xlfn._xlws.FILTER(Eingabe[GES],Eingabe[Name]=AuswertungG[[#This Row],[Name]]),_xlfn._xlws.FILTER(Eingabe[KW],Eingabe[Name]=AuswertungG[[#This Row],[Name]])),2)))</f>
        <v>-2.39</v>
      </c>
      <c r="U75" s="267" cm="1">
        <f t="array" ref="U75">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-4.75</v>
      </c>
      <c r="V75" s="117" cm="1">
        <f t="array" ref="V75">IF(AuswertungG[[#This Row],[Spiele]]="","",IF(AuswertungG[[#This Row],[Spiele]]&lt;2,"",ROUND(_xlfn.STDEV.P(_xlfn._xlws.FILTER(Eingabe[GES],Eingabe[Name]=AuswertungG[[#This Row],[Name]])),0)))</f>
        <v>35</v>
      </c>
      <c r="W75" s="117">
        <f>IF(AuswertungG[[#This Row],[Spiele MP]]="","",ROUND(AVERAGEIFS(Eingabe[GEGGES],Eingabe[Name],AuswertungG[[#This Row],[Name]]),0))</f>
        <v>509</v>
      </c>
      <c r="X75" s="117" t="str">
        <f>VLOOKUP(AuswertungG[[#This Row],[Name]],PositionG[],21,FALSE)</f>
        <v>[2][3][6]</v>
      </c>
      <c r="Y75" s="117">
        <f>VLOOKUP(AuswertungG[[#This Row],[Name]],PositionG[],22,FALSE)</f>
        <v>1</v>
      </c>
      <c r="Z75" s="117" t="str">
        <f>VLOOKUP(AuswertungG[[#This Row],[Name]],PositionG[],23,FALSE)</f>
        <v>[2][6]</v>
      </c>
      <c r="AA75" s="121">
        <f>IF(AuswertungG[[#This Row],[Spiele MP]]="","",ROUND(VLOOKUP(AuswertungG[[#This Row],[Name]],PositionG[],24,FALSE),2))</f>
        <v>1</v>
      </c>
      <c r="AB75" s="123">
        <f>IF(AuswertungG[[#This Row],[Spiele]]=0,"",ROUND(AVERAGEIFS(Eingabe[Rang],Eingabe[Name],AuswertungG[[#This Row],[Name]]),1))</f>
        <v>3.7</v>
      </c>
      <c r="AC75" s="123" cm="1">
        <f t="array" ref="AC75">IFERROR(ROUND(MEDIAN(_xlfn._xlws.FILTER(Eingabe[GES],Eingabe[Name]=AuswertungG[[#This Row],[Name]])),0),"")</f>
        <v>505</v>
      </c>
      <c r="AD75" s="121">
        <f>IFERROR(AuswertungG[[#This Row],[STABW]]/AuswertungG[[#This Row],[GES]],"")</f>
        <v>7.0281124497991967E-2</v>
      </c>
      <c r="AE75" s="123" cm="1">
        <f t="array" ref="AE75">IFERROR(ROUND(_xlfn.QUARTILE.INC(_xlfn._xlws.FILTER(Eingabe[GES],Eingabe[Name]=AuswertungG[[#This Row],[Name]]),3)-_xlfn.QUARTILE.INC(_xlfn._xlws.FILTER(Eingabe[GES],Eingabe[Name]=AuswertungG[[#This Row],[Name]]),1),0),"")</f>
        <v>27</v>
      </c>
      <c r="AF75" s="123">
        <f>IFERROR(1/AuswertungG[[#This Row],[VK]],"")</f>
        <v>14.22857142857143</v>
      </c>
      <c r="AG75" s="123">
        <f>IFERROR(AuswertungG[[#This Row],[Volle]]/AuswertungG[[#This Row],[Räumer]]-2,"")</f>
        <v>0.53191489361702127</v>
      </c>
      <c r="AH75" s="117">
        <f>IFERROR(ROUND((AuswertungG[[#This Row],[Spiele]]*60)/(AuswertungG[[#This Row],[Fehler]]*AuswertungG[[#This Row],[Spiele]]),0),"")</f>
        <v>5</v>
      </c>
      <c r="AI75" s="123" cm="1">
        <f t="array" ref="AI75">IFERROR((AVERAGE(_xlfn._xlws.FILTER(_xlfn._xlws.FILTER(Eingabe[GES],Eingabe[Name]=AuswertungG[[#This Row],[Name]]),ABS(_xlfn._xlws.FILTER(Eingabe[GEGGES],Eingabe[Name]=AuswertungG[[#This Row],[Name]])-_xlfn._xlws.FILTER(Eingabe[GES],Eingabe[Name]=AuswertungG[[#This Row],[Name]]))&lt;15))-AuswertungG[[#This Row],[GES]])/AuswertungG[[#This Row],[STABW]],"")</f>
        <v>0.25714285714285712</v>
      </c>
      <c r="AJ75" s="267">
        <f>IFERROR(ROUND(AVERAGEIFS(Eingabe[MP],Eingabe[Diff],"&lt;15",Eingabe[Name],AuswertungG[[#This Row],[Name]])-AuswertungG[[#This Row],[MP]],2),"")</f>
        <v>0.33</v>
      </c>
      <c r="AK75" s="117" cm="1">
        <f t="array" ref="AK75">IFERROR(ROUND(AVERAGE(_xlfn._xlws.FILTER(Eingabe[GES],(Eingabe[Name]=AuswertungG[[#This Row],[Name]])*(Eingabe[GEGGES]&gt;(AuswertungG[[#This Row],[GES]]+20))))-AuswertungG[[#This Row],[GES]],0),"")</f>
        <v>5</v>
      </c>
      <c r="AL75" s="117" cm="1">
        <f t="array" ref="AL75">IFERROR(ROUND(AVERAGE(_xlfn._xlws.FILTER(Eingabe[GES],(Eingabe[Name]=AuswertungG[[#This Row],[Name]])*(Eingabe[GEGGES]&lt;(AuswertungG[[#This Row],[GES]]-20))))-AuswertungG[[#This Row],[GES]],0),"")</f>
        <v>-56</v>
      </c>
    </row>
    <row r="76" spans="2:38" x14ac:dyDescent="0.3">
      <c r="B76" s="285" t="str">
        <f t="shared" si="1"/>
        <v>Katrin Fiedler</v>
      </c>
      <c r="C76" s="119" t="str">
        <f>IF(AuswertungG[[#This Row],[Name]]="","",VLOOKUP(AuswertungG[[#This Row],[Name]],Teamzuordnung[[Name]:[Team]],2,TRUE))</f>
        <v>F</v>
      </c>
      <c r="D76" s="122">
        <f>COUNTIFS(Eingabe[Name],AuswertungG[[#This Row],[Name]])</f>
        <v>3</v>
      </c>
      <c r="E76" s="117">
        <f>IF(AuswertungG[[#This Row],[Spiele]]="","",IF(AuswertungG[[#This Row],[Spiele]]-COUNTIFS(Eingabe[Name],AuswertungG[[#This Row],[Name]],Eingabe[MP],"")=0,"",AuswertungG[[#This Row],[Spiele]]-COUNTIFS(Eingabe[Name],AuswertungG[[#This Row],[Name]],Eingabe[MP],"")))</f>
        <v>3</v>
      </c>
      <c r="F76" s="117">
        <f>IF(AuswertungG[[#This Row],[Spiele]]=0,"",ROUND(AVERAGEIFS(Eingabe[Volle],Eingabe[Name],AuswertungG[[#This Row],[Name]]),0))</f>
        <v>358</v>
      </c>
      <c r="G76" s="117">
        <f>IF(AuswertungG[[#This Row],[Spiele]]=0,"",ROUND(AVERAGEIFS(Eingabe[Räumer],Eingabe[Name],AuswertungG[[#This Row],[Name]]),0))</f>
        <v>152</v>
      </c>
      <c r="H76" s="123">
        <f>IF(AuswertungG[[#This Row],[Spiele]]=0,"",ROUND(AVERAGEIFS(Eingabe[Fehler],Eingabe[Name],AuswertungG[[#This Row],[Name]]),1))</f>
        <v>11</v>
      </c>
      <c r="I76" s="117">
        <f>IF(AuswertungG[[#This Row],[Spiele]]=0,"",ROUND(AVERAGEIFS(Eingabe[GES],Eingabe[Name],AuswertungG[[#This Row],[Name]]),0))</f>
        <v>510</v>
      </c>
      <c r="J76" s="123">
        <f>IF(AuswertungG[[#This Row],[Spiele MP]]="","",ROUND(AVERAGEIFS(Eingabe[SP],Eingabe[Name],AuswertungG[[#This Row],[Name]]),1))</f>
        <v>1.7</v>
      </c>
      <c r="K76" s="121">
        <f>IF(AuswertungG[[#This Row],[Spiele MP]]="","",ROUND(AVERAGEIFS(Eingabe[MP],Eingabe[Name],AuswertungG[[#This Row],[Name]]),2))</f>
        <v>0.33</v>
      </c>
      <c r="L76" s="117">
        <f>IFERROR(ROUND(AVERAGEIFS(Eingabe[S1],Eingabe[Name],AuswertungG[[#This Row],[Name]]),0),"")</f>
        <v>129</v>
      </c>
      <c r="M76" s="268">
        <f>IFERROR(ROUND(AVERAGEIFS(Eingabe[S2],Eingabe[Name],AuswertungG[[#This Row],[Name]]),0),"")</f>
        <v>132</v>
      </c>
      <c r="N76" s="117">
        <f>IFERROR(ROUND(AVERAGEIFS(Eingabe[S3],Eingabe[Name],AuswertungG[[#This Row],[Name]]),0),"")</f>
        <v>125</v>
      </c>
      <c r="O76" s="268">
        <f>IFERROR(ROUND(AVERAGEIFS(Eingabe[S3],Eingabe[Name],AuswertungG[[#This Row],[Name]]),0),"")</f>
        <v>125</v>
      </c>
      <c r="P76" s="121">
        <f>IF(AuswertungG[[#This Row],[Spiele MP]]="","",ROUND(AVERAGEIFS(Eingabe[S1P],Eingabe[Name],AuswertungG[[#This Row],[Name]]),2))</f>
        <v>0.33</v>
      </c>
      <c r="Q76" s="121">
        <f>IF(AuswertungG[[#This Row],[Spiele MP]]="","",ROUND(AVERAGEIFS(Eingabe[S2P],Eingabe[Name],AuswertungG[[#This Row],[Name]]),2))</f>
        <v>0.33</v>
      </c>
      <c r="R76" s="121">
        <f>IF(AuswertungG[[#This Row],[Spiele MP]]="","",ROUND(AVERAGEIFS(Eingabe[S3P],Eingabe[Name],AuswertungG[[#This Row],[Name]]),2))</f>
        <v>0.33</v>
      </c>
      <c r="S76" s="121">
        <f>IF(AuswertungG[[#This Row],[Spiele MP]]="","",ROUND(AVERAGEIFS(Eingabe[S4P],Eingabe[Name],AuswertungG[[#This Row],[Name]]),2))</f>
        <v>0.67</v>
      </c>
      <c r="T76" s="267" cm="1">
        <f t="array" ref="T76">IF(AuswertungG[[#This Row],[Spiele]]="","",IF(AuswertungG[[#This Row],[Spiele]]&lt;2,"",ROUND(SLOPE(_xlfn._xlws.FILTER(Eingabe[GES],Eingabe[Name]=AuswertungG[[#This Row],[Name]]),_xlfn._xlws.FILTER(Eingabe[KW],Eingabe[Name]=AuswertungG[[#This Row],[Name]])),2)))</f>
        <v>3.3</v>
      </c>
      <c r="U76" s="267" cm="1">
        <f t="array" ref="U76">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3.3</v>
      </c>
      <c r="V76" s="117" cm="1">
        <f t="array" ref="V76">IF(AuswertungG[[#This Row],[Spiele]]="","",IF(AuswertungG[[#This Row],[Spiele]]&lt;2,"",ROUND(_xlfn.STDEV.P(_xlfn._xlws.FILTER(Eingabe[GES],Eingabe[Name]=AuswertungG[[#This Row],[Name]])),0)))</f>
        <v>29</v>
      </c>
      <c r="W76" s="117">
        <f>IF(AuswertungG[[#This Row],[Spiele MP]]="","",ROUND(AVERAGEIFS(Eingabe[GEGGES],Eingabe[Name],AuswertungG[[#This Row],[Name]]),0))</f>
        <v>535</v>
      </c>
      <c r="X76" s="123" t="str">
        <f>VLOOKUP(AuswertungG[[#This Row],[Name]],PositionG[],21,FALSE)</f>
        <v>[6]</v>
      </c>
      <c r="Y76" s="123">
        <f>VLOOKUP(AuswertungG[[#This Row],[Name]],PositionG[],22,FALSE)</f>
        <v>2</v>
      </c>
      <c r="Z76" s="123" t="str">
        <f>VLOOKUP(AuswertungG[[#This Row],[Name]],PositionG[],23,FALSE)</f>
        <v>[6]</v>
      </c>
      <c r="AA76" s="121">
        <f>IF(AuswertungG[[#This Row],[Spiele MP]]="","",ROUND(VLOOKUP(AuswertungG[[#This Row],[Name]],PositionG[],24,FALSE),2))</f>
        <v>0.5</v>
      </c>
      <c r="AB76" s="123">
        <f>IF(AuswertungG[[#This Row],[Spiele]]=0,"",ROUND(AVERAGEIFS(Eingabe[Rang],Eingabe[Name],AuswertungG[[#This Row],[Name]]),1))</f>
        <v>3.3</v>
      </c>
      <c r="AC76" s="123" cm="1">
        <f t="array" ref="AC76">IFERROR(ROUND(MEDIAN(_xlfn._xlws.FILTER(Eingabe[GES],Eingabe[Name]=AuswertungG[[#This Row],[Name]])),0),"")</f>
        <v>521</v>
      </c>
      <c r="AD76" s="121">
        <f>IFERROR(AuswertungG[[#This Row],[STABW]]/AuswertungG[[#This Row],[GES]],"")</f>
        <v>5.6862745098039215E-2</v>
      </c>
      <c r="AE76" s="123" cm="1">
        <f t="array" ref="AE76">IFERROR(ROUND(_xlfn.QUARTILE.INC(_xlfn._xlws.FILTER(Eingabe[GES],Eingabe[Name]=AuswertungG[[#This Row],[Name]]),3)-_xlfn.QUARTILE.INC(_xlfn._xlws.FILTER(Eingabe[GES],Eingabe[Name]=AuswertungG[[#This Row],[Name]]),1),0),"")</f>
        <v>34</v>
      </c>
      <c r="AF76" s="123">
        <f>IFERROR(1/AuswertungG[[#This Row],[VK]],"")</f>
        <v>17.586206896551726</v>
      </c>
      <c r="AG76" s="123">
        <f>IFERROR(AuswertungG[[#This Row],[Volle]]/AuswertungG[[#This Row],[Räumer]]-2,"")</f>
        <v>0.35526315789473673</v>
      </c>
      <c r="AH76" s="117">
        <f>IFERROR(ROUND((AuswertungG[[#This Row],[Spiele]]*60)/(AuswertungG[[#This Row],[Fehler]]*AuswertungG[[#This Row],[Spiele]]),0),"")</f>
        <v>5</v>
      </c>
      <c r="AI76" s="123" cm="1">
        <f t="array" ref="AI76">IFERROR((AVERAGE(_xlfn._xlws.FILTER(_xlfn._xlws.FILTER(Eingabe[GES],Eingabe[Name]=AuswertungG[[#This Row],[Name]]),ABS(_xlfn._xlws.FILTER(Eingabe[GEGGES],Eingabe[Name]=AuswertungG[[#This Row],[Name]])-_xlfn._xlws.FILTER(Eingabe[GES],Eingabe[Name]=AuswertungG[[#This Row],[Name]]))&lt;15))-AuswertungG[[#This Row],[GES]])/AuswertungG[[#This Row],[STABW]],"")</f>
        <v>0.37931034482758619</v>
      </c>
      <c r="AJ76" s="267">
        <f>IFERROR(ROUND(AVERAGEIFS(Eingabe[MP],Eingabe[Diff],"&lt;15",Eingabe[Name],AuswertungG[[#This Row],[Name]])-AuswertungG[[#This Row],[MP]],2),"")</f>
        <v>0.67</v>
      </c>
      <c r="AK76" s="117" cm="1">
        <f t="array" ref="AK76">IFERROR(ROUND(AVERAGE(_xlfn._xlws.FILTER(Eingabe[GES],(Eingabe[Name]=AuswertungG[[#This Row],[Name]])*(Eingabe[GEGGES]&gt;(AuswertungG[[#This Row],[GES]]+20))))-AuswertungG[[#This Row],[GES]],0),"")</f>
        <v>29</v>
      </c>
      <c r="AL76" s="117" t="str" cm="1">
        <f t="array" ref="AL76">IFERROR(ROUND(AVERAGE(_xlfn._xlws.FILTER(Eingabe[GES],(Eingabe[Name]=AuswertungG[[#This Row],[Name]])*(Eingabe[GEGGES]&lt;(AuswertungG[[#This Row],[GES]]-20))))-AuswertungG[[#This Row],[GES]],0),"")</f>
        <v/>
      </c>
    </row>
    <row r="77" spans="2:38" x14ac:dyDescent="0.3">
      <c r="B77" s="285" t="str">
        <f t="shared" si="1"/>
        <v>Katrin Keller</v>
      </c>
      <c r="C77" s="119" t="str">
        <f>IF(AuswertungG[[#This Row],[Name]]="","",VLOOKUP(AuswertungG[[#This Row],[Name]],Teamzuordnung[[Name]:[Team]],2,TRUE))</f>
        <v>F</v>
      </c>
      <c r="D77" s="122">
        <f>COUNTIFS(Eingabe[Name],AuswertungG[[#This Row],[Name]])</f>
        <v>9</v>
      </c>
      <c r="E77" s="117">
        <f>IF(AuswertungG[[#This Row],[Spiele]]="","",IF(AuswertungG[[#This Row],[Spiele]]-COUNTIFS(Eingabe[Name],AuswertungG[[#This Row],[Name]],Eingabe[MP],"")=0,"",AuswertungG[[#This Row],[Spiele]]-COUNTIFS(Eingabe[Name],AuswertungG[[#This Row],[Name]],Eingabe[MP],"")))</f>
        <v>7</v>
      </c>
      <c r="F77" s="117">
        <f>IF(AuswertungG[[#This Row],[Spiele]]=0,"",ROUND(AVERAGEIFS(Eingabe[Volle],Eingabe[Name],AuswertungG[[#This Row],[Name]]),0))</f>
        <v>335</v>
      </c>
      <c r="G77" s="117">
        <f>IF(AuswertungG[[#This Row],[Spiele]]=0,"",ROUND(AVERAGEIFS(Eingabe[Räumer],Eingabe[Name],AuswertungG[[#This Row],[Name]]),0))</f>
        <v>143</v>
      </c>
      <c r="H77" s="123">
        <f>IF(AuswertungG[[#This Row],[Spiele]]=0,"",ROUND(AVERAGEIFS(Eingabe[Fehler],Eingabe[Name],AuswertungG[[#This Row],[Name]]),1))</f>
        <v>11.1</v>
      </c>
      <c r="I77" s="117">
        <f>IF(AuswertungG[[#This Row],[Spiele]]=0,"",ROUND(AVERAGEIFS(Eingabe[GES],Eingabe[Name],AuswertungG[[#This Row],[Name]]),0))</f>
        <v>478</v>
      </c>
      <c r="J77" s="123">
        <f>IF(AuswertungG[[#This Row],[Spiele MP]]="","",ROUND(AVERAGEIFS(Eingabe[SP],Eingabe[Name],AuswertungG[[#This Row],[Name]]),1))</f>
        <v>1.9</v>
      </c>
      <c r="K77" s="121">
        <f>IF(AuswertungG[[#This Row],[Spiele MP]]="","",ROUND(AVERAGEIFS(Eingabe[MP],Eingabe[Name],AuswertungG[[#This Row],[Name]]),2))</f>
        <v>0.56999999999999995</v>
      </c>
      <c r="L77" s="117">
        <f>IFERROR(ROUND(AVERAGEIFS(Eingabe[S1],Eingabe[Name],AuswertungG[[#This Row],[Name]]),0),"")</f>
        <v>121</v>
      </c>
      <c r="M77" s="268">
        <f>IFERROR(ROUND(AVERAGEIFS(Eingabe[S2],Eingabe[Name],AuswertungG[[#This Row],[Name]]),0),"")</f>
        <v>128</v>
      </c>
      <c r="N77" s="117">
        <f>IFERROR(ROUND(AVERAGEIFS(Eingabe[S3],Eingabe[Name],AuswertungG[[#This Row],[Name]]),0),"")</f>
        <v>121</v>
      </c>
      <c r="O77" s="268">
        <f>IFERROR(ROUND(AVERAGEIFS(Eingabe[S3],Eingabe[Name],AuswertungG[[#This Row],[Name]]),0),"")</f>
        <v>121</v>
      </c>
      <c r="P77" s="121">
        <f>IF(AuswertungG[[#This Row],[Spiele MP]]="","",ROUND(AVERAGEIFS(Eingabe[S1P],Eingabe[Name],AuswertungG[[#This Row],[Name]]),2))</f>
        <v>0.43</v>
      </c>
      <c r="Q77" s="121">
        <f>IF(AuswertungG[[#This Row],[Spiele MP]]="","",ROUND(AVERAGEIFS(Eingabe[S2P],Eingabe[Name],AuswertungG[[#This Row],[Name]]),2))</f>
        <v>0.86</v>
      </c>
      <c r="R77" s="121">
        <f>IF(AuswertungG[[#This Row],[Spiele MP]]="","",ROUND(AVERAGEIFS(Eingabe[S3P],Eingabe[Name],AuswertungG[[#This Row],[Name]]),2))</f>
        <v>0.56999999999999995</v>
      </c>
      <c r="S77" s="121">
        <f>IF(AuswertungG[[#This Row],[Spiele MP]]="","",ROUND(AVERAGEIFS(Eingabe[S4P],Eingabe[Name],AuswertungG[[#This Row],[Name]]),2))</f>
        <v>7.0000000000000007E-2</v>
      </c>
      <c r="T77" s="267" cm="1">
        <f t="array" ref="T77">IF(AuswertungG[[#This Row],[Spiele]]="","",IF(AuswertungG[[#This Row],[Spiele]]&lt;2,"",ROUND(SLOPE(_xlfn._xlws.FILTER(Eingabe[GES],Eingabe[Name]=AuswertungG[[#This Row],[Name]]),_xlfn._xlws.FILTER(Eingabe[KW],Eingabe[Name]=AuswertungG[[#This Row],[Name]])),2)))</f>
        <v>0.2</v>
      </c>
      <c r="U77" s="267" cm="1">
        <f t="array" ref="U77">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27.14</v>
      </c>
      <c r="V77" s="117" cm="1">
        <f t="array" ref="V77">IF(AuswertungG[[#This Row],[Spiele]]="","",IF(AuswertungG[[#This Row],[Spiele]]&lt;2,"",ROUND(_xlfn.STDEV.P(_xlfn._xlws.FILTER(Eingabe[GES],Eingabe[Name]=AuswertungG[[#This Row],[Name]])),0)))</f>
        <v>44</v>
      </c>
      <c r="W77" s="117">
        <f>IF(AuswertungG[[#This Row],[Spiele MP]]="","",ROUND(AVERAGEIFS(Eingabe[GEGGES],Eingabe[Name],AuswertungG[[#This Row],[Name]]),0))</f>
        <v>508</v>
      </c>
      <c r="X77" s="123" t="str">
        <f>VLOOKUP(AuswertungG[[#This Row],[Name]],PositionG[],21,FALSE)</f>
        <v>[3]</v>
      </c>
      <c r="Y77" s="123">
        <f>VLOOKUP(AuswertungG[[#This Row],[Name]],PositionG[],22,FALSE)</f>
        <v>3</v>
      </c>
      <c r="Z77" s="123" t="str">
        <f>VLOOKUP(AuswertungG[[#This Row],[Name]],PositionG[],23,FALSE)</f>
        <v>[1]</v>
      </c>
      <c r="AA77" s="121">
        <f>IF(AuswertungG[[#This Row],[Spiele MP]]="","",ROUND(VLOOKUP(AuswertungG[[#This Row],[Name]],PositionG[],24,FALSE),2))</f>
        <v>1</v>
      </c>
      <c r="AB77" s="123">
        <f>IF(AuswertungG[[#This Row],[Spiele]]=0,"",ROUND(AVERAGEIFS(Eingabe[Rang],Eingabe[Name],AuswertungG[[#This Row],[Name]]),1))</f>
        <v>4</v>
      </c>
      <c r="AC77" s="123" cm="1">
        <f t="array" ref="AC77">IFERROR(ROUND(MEDIAN(_xlfn._xlws.FILTER(Eingabe[GES],Eingabe[Name]=AuswertungG[[#This Row],[Name]])),0),"")</f>
        <v>498</v>
      </c>
      <c r="AD77" s="121">
        <f>IFERROR(AuswertungG[[#This Row],[STABW]]/AuswertungG[[#This Row],[GES]],"")</f>
        <v>9.2050209205020925E-2</v>
      </c>
      <c r="AE77" s="123" cm="1">
        <f t="array" ref="AE77">IFERROR(ROUND(_xlfn.QUARTILE.INC(_xlfn._xlws.FILTER(Eingabe[GES],Eingabe[Name]=AuswertungG[[#This Row],[Name]]),3)-_xlfn.QUARTILE.INC(_xlfn._xlws.FILTER(Eingabe[GES],Eingabe[Name]=AuswertungG[[#This Row],[Name]]),1),0),"")</f>
        <v>39</v>
      </c>
      <c r="AF77" s="123">
        <f>IFERROR(1/AuswertungG[[#This Row],[VK]],"")</f>
        <v>10.863636363636363</v>
      </c>
      <c r="AG77" s="123">
        <f>IFERROR(AuswertungG[[#This Row],[Volle]]/AuswertungG[[#This Row],[Räumer]]-2,"")</f>
        <v>0.34265734265734249</v>
      </c>
      <c r="AH77" s="117">
        <f>IFERROR(ROUND((AuswertungG[[#This Row],[Spiele]]*60)/(AuswertungG[[#This Row],[Fehler]]*AuswertungG[[#This Row],[Spiele]]),0),"")</f>
        <v>5</v>
      </c>
      <c r="AI77" s="123" cm="1">
        <f t="array" ref="AI77">IFERROR((AVERAGE(_xlfn._xlws.FILTER(_xlfn._xlws.FILTER(Eingabe[GES],Eingabe[Name]=AuswertungG[[#This Row],[Name]]),ABS(_xlfn._xlws.FILTER(Eingabe[GEGGES],Eingabe[Name]=AuswertungG[[#This Row],[Name]])-_xlfn._xlws.FILTER(Eingabe[GES],Eingabe[Name]=AuswertungG[[#This Row],[Name]]))&lt;15))-AuswertungG[[#This Row],[GES]])/AuswertungG[[#This Row],[STABW]],"")</f>
        <v>0.31818181818181818</v>
      </c>
      <c r="AJ77" s="267">
        <f>IFERROR(ROUND(AVERAGEIFS(Eingabe[MP],Eingabe[Diff],"&lt;15",Eingabe[Name],AuswertungG[[#This Row],[Name]])-AuswertungG[[#This Row],[MP]],2),"")</f>
        <v>0.1</v>
      </c>
      <c r="AK77" s="117" cm="1">
        <f t="array" ref="AK77">IFERROR(ROUND(AVERAGE(_xlfn._xlws.FILTER(Eingabe[GES],(Eingabe[Name]=AuswertungG[[#This Row],[Name]])*(Eingabe[GEGGES]&gt;(AuswertungG[[#This Row],[GES]]+20))))-AuswertungG[[#This Row],[GES]],0),"")</f>
        <v>28</v>
      </c>
      <c r="AL77" s="117" cm="1">
        <f t="array" ref="AL77">IFERROR(ROUND(AVERAGE(_xlfn._xlws.FILTER(Eingabe[GES],(Eingabe[Name]=AuswertungG[[#This Row],[Name]])*(Eingabe[GEGGES]&lt;(AuswertungG[[#This Row],[GES]]-20))))-AuswertungG[[#This Row],[GES]],0),"")</f>
        <v>-20</v>
      </c>
    </row>
    <row r="78" spans="2:38" x14ac:dyDescent="0.3">
      <c r="B78" s="285" t="str">
        <f t="shared" si="1"/>
        <v>Konrad Scheller</v>
      </c>
      <c r="C78" s="119" t="str">
        <f>IF(AuswertungG[[#This Row],[Name]]="","",VLOOKUP(AuswertungG[[#This Row],[Name]],Teamzuordnung[[Name]:[Team]],2,TRUE))</f>
        <v>D</v>
      </c>
      <c r="D78" s="122">
        <f>COUNTIFS(Eingabe[Name],AuswertungG[[#This Row],[Name]])</f>
        <v>0</v>
      </c>
      <c r="E78" s="117" t="str">
        <f>IF(AuswertungG[[#This Row],[Spiele]]="","",IF(AuswertungG[[#This Row],[Spiele]]-COUNTIFS(Eingabe[Name],AuswertungG[[#This Row],[Name]],Eingabe[MP],"")=0,"",AuswertungG[[#This Row],[Spiele]]-COUNTIFS(Eingabe[Name],AuswertungG[[#This Row],[Name]],Eingabe[MP],"")))</f>
        <v/>
      </c>
      <c r="F78" s="117" t="str">
        <f>IF(AuswertungG[[#This Row],[Spiele]]=0,"",ROUND(AVERAGEIFS(Eingabe[Volle],Eingabe[Name],AuswertungG[[#This Row],[Name]]),0))</f>
        <v/>
      </c>
      <c r="G78" s="117" t="str">
        <f>IF(AuswertungG[[#This Row],[Spiele]]=0,"",ROUND(AVERAGEIFS(Eingabe[Räumer],Eingabe[Name],AuswertungG[[#This Row],[Name]]),0))</f>
        <v/>
      </c>
      <c r="H78" s="123" t="str">
        <f>IF(AuswertungG[[#This Row],[Spiele]]=0,"",ROUND(AVERAGEIFS(Eingabe[Fehler],Eingabe[Name],AuswertungG[[#This Row],[Name]]),1))</f>
        <v/>
      </c>
      <c r="I78" s="117" t="str">
        <f>IF(AuswertungG[[#This Row],[Spiele]]=0,"",ROUND(AVERAGEIFS(Eingabe[GES],Eingabe[Name],AuswertungG[[#This Row],[Name]]),0))</f>
        <v/>
      </c>
      <c r="J78" s="123" t="str">
        <f>IF(AuswertungG[[#This Row],[Spiele MP]]="","",ROUND(AVERAGEIFS(Eingabe[SP],Eingabe[Name],AuswertungG[[#This Row],[Name]]),1))</f>
        <v/>
      </c>
      <c r="K78" s="121" t="str">
        <f>IF(AuswertungG[[#This Row],[Spiele MP]]="","",ROUND(AVERAGEIFS(Eingabe[MP],Eingabe[Name],AuswertungG[[#This Row],[Name]]),2))</f>
        <v/>
      </c>
      <c r="L78" s="117" t="str">
        <f>IFERROR(ROUND(AVERAGEIFS(Eingabe[S1],Eingabe[Name],AuswertungG[[#This Row],[Name]]),0),"")</f>
        <v/>
      </c>
      <c r="M78" s="268" t="str">
        <f>IFERROR(ROUND(AVERAGEIFS(Eingabe[S2],Eingabe[Name],AuswertungG[[#This Row],[Name]]),0),"")</f>
        <v/>
      </c>
      <c r="N78" s="117" t="str">
        <f>IFERROR(ROUND(AVERAGEIFS(Eingabe[S3],Eingabe[Name],AuswertungG[[#This Row],[Name]]),0),"")</f>
        <v/>
      </c>
      <c r="O78" s="268" t="str">
        <f>IFERROR(ROUND(AVERAGEIFS(Eingabe[S3],Eingabe[Name],AuswertungG[[#This Row],[Name]]),0),"")</f>
        <v/>
      </c>
      <c r="P78" s="121" t="str">
        <f>IF(AuswertungG[[#This Row],[Spiele MP]]="","",ROUND(AVERAGEIFS(Eingabe[S1P],Eingabe[Name],AuswertungG[[#This Row],[Name]]),2))</f>
        <v/>
      </c>
      <c r="Q78" s="121" t="str">
        <f>IF(AuswertungG[[#This Row],[Spiele MP]]="","",ROUND(AVERAGEIFS(Eingabe[S2P],Eingabe[Name],AuswertungG[[#This Row],[Name]]),2))</f>
        <v/>
      </c>
      <c r="R78" s="121" t="str">
        <f>IF(AuswertungG[[#This Row],[Spiele MP]]="","",ROUND(AVERAGEIFS(Eingabe[S3P],Eingabe[Name],AuswertungG[[#This Row],[Name]]),2))</f>
        <v/>
      </c>
      <c r="S78" s="121" t="str">
        <f>IF(AuswertungG[[#This Row],[Spiele MP]]="","",ROUND(AVERAGEIFS(Eingabe[S4P],Eingabe[Name],AuswertungG[[#This Row],[Name]]),2))</f>
        <v/>
      </c>
      <c r="T78" s="267" t="str" cm="1">
        <f t="array" ref="T78">IF(AuswertungG[[#This Row],[Spiele]]="","",IF(AuswertungG[[#This Row],[Spiele]]&lt;2,"",ROUND(SLOPE(_xlfn._xlws.FILTER(Eingabe[GES],Eingabe[Name]=AuswertungG[[#This Row],[Name]]),_xlfn._xlws.FILTER(Eingabe[KW],Eingabe[Name]=AuswertungG[[#This Row],[Name]])),2)))</f>
        <v/>
      </c>
      <c r="U78" s="267" t="str" cm="1">
        <f t="array" ref="U78">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78" s="117" t="str" cm="1">
        <f t="array" ref="V78">IF(AuswertungG[[#This Row],[Spiele]]="","",IF(AuswertungG[[#This Row],[Spiele]]&lt;2,"",ROUND(_xlfn.STDEV.P(_xlfn._xlws.FILTER(Eingabe[GES],Eingabe[Name]=AuswertungG[[#This Row],[Name]])),0)))</f>
        <v/>
      </c>
      <c r="W78" s="117" t="str">
        <f>IF(AuswertungG[[#This Row],[Spiele MP]]="","",ROUND(AVERAGEIFS(Eingabe[GEGGES],Eingabe[Name],AuswertungG[[#This Row],[Name]]),0))</f>
        <v/>
      </c>
      <c r="X78" s="123" t="str">
        <f>VLOOKUP(AuswertungG[[#This Row],[Name]],PositionG[],21,FALSE)</f>
        <v/>
      </c>
      <c r="Y78" s="123" t="str">
        <f>VLOOKUP(AuswertungG[[#This Row],[Name]],PositionG[],22,FALSE)</f>
        <v/>
      </c>
      <c r="Z78" s="123" t="str">
        <f>VLOOKUP(AuswertungG[[#This Row],[Name]],PositionG[],23,FALSE)</f>
        <v/>
      </c>
      <c r="AA78" s="121" t="str">
        <f>IF(AuswertungG[[#This Row],[Spiele MP]]="","",ROUND(VLOOKUP(AuswertungG[[#This Row],[Name]],PositionG[],24,FALSE),2))</f>
        <v/>
      </c>
      <c r="AB78" s="123" t="str">
        <f>IF(AuswertungG[[#This Row],[Spiele]]=0,"",ROUND(AVERAGEIFS(Eingabe[Rang],Eingabe[Name],AuswertungG[[#This Row],[Name]]),1))</f>
        <v/>
      </c>
      <c r="AC78" s="123" t="str" cm="1">
        <f t="array" ref="AC78">IFERROR(ROUND(MEDIAN(_xlfn._xlws.FILTER(Eingabe[GES],Eingabe[Name]=AuswertungG[[#This Row],[Name]])),0),"")</f>
        <v/>
      </c>
      <c r="AD78" s="121" t="str">
        <f>IFERROR(AuswertungG[[#This Row],[STABW]]/AuswertungG[[#This Row],[GES]],"")</f>
        <v/>
      </c>
      <c r="AE78" s="123" t="str" cm="1">
        <f t="array" ref="AE78">IFERROR(ROUND(_xlfn.QUARTILE.INC(_xlfn._xlws.FILTER(Eingabe[GES],Eingabe[Name]=AuswertungG[[#This Row],[Name]]),3)-_xlfn.QUARTILE.INC(_xlfn._xlws.FILTER(Eingabe[GES],Eingabe[Name]=AuswertungG[[#This Row],[Name]]),1),0),"")</f>
        <v/>
      </c>
      <c r="AF78" s="123" t="str">
        <f>IFERROR(1/AuswertungG[[#This Row],[VK]],"")</f>
        <v/>
      </c>
      <c r="AG78" s="123" t="str">
        <f>IFERROR(AuswertungG[[#This Row],[Volle]]/AuswertungG[[#This Row],[Räumer]]-2,"")</f>
        <v/>
      </c>
      <c r="AH78" s="117" t="str">
        <f>IFERROR(ROUND((AuswertungG[[#This Row],[Spiele]]*60)/(AuswertungG[[#This Row],[Fehler]]*AuswertungG[[#This Row],[Spiele]]),0),"")</f>
        <v/>
      </c>
      <c r="AI78" s="123" t="str" cm="1">
        <f t="array" ref="AI78">IFERROR((AVERAGE(_xlfn._xlws.FILTER(_xlfn._xlws.FILTER(Eingabe[GES],Eingabe[Name]=AuswertungG[[#This Row],[Name]]),ABS(_xlfn._xlws.FILTER(Eingabe[GEGGES],Eingabe[Name]=AuswertungG[[#This Row],[Name]])-_xlfn._xlws.FILTER(Eingabe[GES],Eingabe[Name]=AuswertungG[[#This Row],[Name]]))&lt;15))-AuswertungG[[#This Row],[GES]])/AuswertungG[[#This Row],[STABW]],"")</f>
        <v/>
      </c>
      <c r="AJ78" s="267" t="str">
        <f>IFERROR(ROUND(AVERAGEIFS(Eingabe[MP],Eingabe[Diff],"&lt;15",Eingabe[Name],AuswertungG[[#This Row],[Name]])-AuswertungG[[#This Row],[MP]],2),"")</f>
        <v/>
      </c>
      <c r="AK78" s="117" t="str" cm="1">
        <f t="array" ref="AK78">IFERROR(ROUND(AVERAGE(_xlfn._xlws.FILTER(Eingabe[GES],(Eingabe[Name]=AuswertungG[[#This Row],[Name]])*(Eingabe[GEGGES]&gt;(AuswertungG[[#This Row],[GES]]+20))))-AuswertungG[[#This Row],[GES]],0),"")</f>
        <v/>
      </c>
      <c r="AL78" s="117" t="str" cm="1">
        <f t="array" ref="AL78">IFERROR(ROUND(AVERAGE(_xlfn._xlws.FILTER(Eingabe[GES],(Eingabe[Name]=AuswertungG[[#This Row],[Name]])*(Eingabe[GEGGES]&lt;(AuswertungG[[#This Row],[GES]]-20))))-AuswertungG[[#This Row],[GES]],0),"")</f>
        <v/>
      </c>
    </row>
    <row r="79" spans="2:38" x14ac:dyDescent="0.3">
      <c r="B79" s="285" t="str">
        <f t="shared" si="1"/>
        <v>Lea Meinert</v>
      </c>
      <c r="C79" s="119" t="str">
        <f>IF(AuswertungG[[#This Row],[Name]]="","",VLOOKUP(AuswertungG[[#This Row],[Name]],Teamzuordnung[[Name]:[Team]],2,TRUE))</f>
        <v>F</v>
      </c>
      <c r="D79" s="122">
        <f>COUNTIFS(Eingabe[Name],AuswertungG[[#This Row],[Name]])</f>
        <v>7</v>
      </c>
      <c r="E79" s="117">
        <f>IF(AuswertungG[[#This Row],[Spiele]]="","",IF(AuswertungG[[#This Row],[Spiele]]-COUNTIFS(Eingabe[Name],AuswertungG[[#This Row],[Name]],Eingabe[MP],"")=0,"",AuswertungG[[#This Row],[Spiele]]-COUNTIFS(Eingabe[Name],AuswertungG[[#This Row],[Name]],Eingabe[MP],"")))</f>
        <v>5</v>
      </c>
      <c r="F79" s="117">
        <f>IF(AuswertungG[[#This Row],[Spiele]]=0,"",ROUND(AVERAGEIFS(Eingabe[Volle],Eingabe[Name],AuswertungG[[#This Row],[Name]]),0))</f>
        <v>350</v>
      </c>
      <c r="G79" s="117">
        <f>IF(AuswertungG[[#This Row],[Spiele]]=0,"",ROUND(AVERAGEIFS(Eingabe[Räumer],Eingabe[Name],AuswertungG[[#This Row],[Name]]),0))</f>
        <v>145</v>
      </c>
      <c r="H79" s="123">
        <f>IF(AuswertungG[[#This Row],[Spiele]]=0,"",ROUND(AVERAGEIFS(Eingabe[Fehler],Eingabe[Name],AuswertungG[[#This Row],[Name]]),1))</f>
        <v>9</v>
      </c>
      <c r="I79" s="117">
        <f>IF(AuswertungG[[#This Row],[Spiele]]=0,"",ROUND(AVERAGEIFS(Eingabe[GES],Eingabe[Name],AuswertungG[[#This Row],[Name]]),0))</f>
        <v>495</v>
      </c>
      <c r="J79" s="123">
        <f>IF(AuswertungG[[#This Row],[Spiele MP]]="","",ROUND(AVERAGEIFS(Eingabe[SP],Eingabe[Name],AuswertungG[[#This Row],[Name]]),1))</f>
        <v>2</v>
      </c>
      <c r="K79" s="121">
        <f>IF(AuswertungG[[#This Row],[Spiele MP]]="","",ROUND(AVERAGEIFS(Eingabe[MP],Eingabe[Name],AuswertungG[[#This Row],[Name]]),2))</f>
        <v>0.4</v>
      </c>
      <c r="L79" s="117">
        <f>IFERROR(ROUND(AVERAGEIFS(Eingabe[S1],Eingabe[Name],AuswertungG[[#This Row],[Name]]),0),"")</f>
        <v>125</v>
      </c>
      <c r="M79" s="268">
        <f>IFERROR(ROUND(AVERAGEIFS(Eingabe[S2],Eingabe[Name],AuswertungG[[#This Row],[Name]]),0),"")</f>
        <v>119</v>
      </c>
      <c r="N79" s="117">
        <f>IFERROR(ROUND(AVERAGEIFS(Eingabe[S3],Eingabe[Name],AuswertungG[[#This Row],[Name]]),0),"")</f>
        <v>128</v>
      </c>
      <c r="O79" s="268">
        <f>IFERROR(ROUND(AVERAGEIFS(Eingabe[S3],Eingabe[Name],AuswertungG[[#This Row],[Name]]),0),"")</f>
        <v>128</v>
      </c>
      <c r="P79" s="121">
        <f>IF(AuswertungG[[#This Row],[Spiele MP]]="","",ROUND(AVERAGEIFS(Eingabe[S1P],Eingabe[Name],AuswertungG[[#This Row],[Name]]),2))</f>
        <v>0.4</v>
      </c>
      <c r="Q79" s="121">
        <f>IF(AuswertungG[[#This Row],[Spiele MP]]="","",ROUND(AVERAGEIFS(Eingabe[S2P],Eingabe[Name],AuswertungG[[#This Row],[Name]]),2))</f>
        <v>0.4</v>
      </c>
      <c r="R79" s="121">
        <f>IF(AuswertungG[[#This Row],[Spiele MP]]="","",ROUND(AVERAGEIFS(Eingabe[S3P],Eingabe[Name],AuswertungG[[#This Row],[Name]]),2))</f>
        <v>0.6</v>
      </c>
      <c r="S79" s="121">
        <f>IF(AuswertungG[[#This Row],[Spiele MP]]="","",ROUND(AVERAGEIFS(Eingabe[S4P],Eingabe[Name],AuswertungG[[#This Row],[Name]]),2))</f>
        <v>0.6</v>
      </c>
      <c r="T79" s="267" cm="1">
        <f t="array" ref="T79">IF(AuswertungG[[#This Row],[Spiele]]="","",IF(AuswertungG[[#This Row],[Spiele]]&lt;2,"",ROUND(SLOPE(_xlfn._xlws.FILTER(Eingabe[GES],Eingabe[Name]=AuswertungG[[#This Row],[Name]]),_xlfn._xlws.FILTER(Eingabe[KW],Eingabe[Name]=AuswertungG[[#This Row],[Name]])),2)))</f>
        <v>2.21</v>
      </c>
      <c r="U79" s="267" cm="1">
        <f t="array" ref="U79">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-20.14</v>
      </c>
      <c r="V79" s="117" cm="1">
        <f t="array" ref="V79">IF(AuswertungG[[#This Row],[Spiele]]="","",IF(AuswertungG[[#This Row],[Spiele]]&lt;2,"",ROUND(_xlfn.STDEV.P(_xlfn._xlws.FILTER(Eingabe[GES],Eingabe[Name]=AuswertungG[[#This Row],[Name]])),0)))</f>
        <v>34</v>
      </c>
      <c r="W79" s="117">
        <f>IF(AuswertungG[[#This Row],[Spiele MP]]="","",ROUND(AVERAGEIFS(Eingabe[GEGGES],Eingabe[Name],AuswertungG[[#This Row],[Name]]),0))</f>
        <v>478</v>
      </c>
      <c r="X79" s="123" t="str">
        <f>VLOOKUP(AuswertungG[[#This Row],[Name]],PositionG[],21,FALSE)</f>
        <v>[1][2]</v>
      </c>
      <c r="Y79" s="123">
        <f>VLOOKUP(AuswertungG[[#This Row],[Name]],PositionG[],22,FALSE)</f>
        <v>2</v>
      </c>
      <c r="Z79" s="123" t="str">
        <f>VLOOKUP(AuswertungG[[#This Row],[Name]],PositionG[],23,FALSE)</f>
        <v>[4]</v>
      </c>
      <c r="AA79" s="121">
        <f>IF(AuswertungG[[#This Row],[Spiele MP]]="","",ROUND(VLOOKUP(AuswertungG[[#This Row],[Name]],PositionG[],24,FALSE),2))</f>
        <v>1</v>
      </c>
      <c r="AB79" s="123">
        <f>IF(AuswertungG[[#This Row],[Spiele]]=0,"",ROUND(AVERAGEIFS(Eingabe[Rang],Eingabe[Name],AuswertungG[[#This Row],[Name]]),1))</f>
        <v>4.4000000000000004</v>
      </c>
      <c r="AC79" s="123" cm="1">
        <f t="array" ref="AC79">IFERROR(ROUND(MEDIAN(_xlfn._xlws.FILTER(Eingabe[GES],Eingabe[Name]=AuswertungG[[#This Row],[Name]])),0),"")</f>
        <v>484</v>
      </c>
      <c r="AD79" s="121">
        <f>IFERROR(AuswertungG[[#This Row],[STABW]]/AuswertungG[[#This Row],[GES]],"")</f>
        <v>6.8686868686868685E-2</v>
      </c>
      <c r="AE79" s="123" cm="1">
        <f t="array" ref="AE79">IFERROR(ROUND(_xlfn.QUARTILE.INC(_xlfn._xlws.FILTER(Eingabe[GES],Eingabe[Name]=AuswertungG[[#This Row],[Name]]),3)-_xlfn.QUARTILE.INC(_xlfn._xlws.FILTER(Eingabe[GES],Eingabe[Name]=AuswertungG[[#This Row],[Name]]),1),0),"")</f>
        <v>35</v>
      </c>
      <c r="AF79" s="123">
        <f>IFERROR(1/AuswertungG[[#This Row],[VK]],"")</f>
        <v>14.558823529411764</v>
      </c>
      <c r="AG79" s="123">
        <f>IFERROR(AuswertungG[[#This Row],[Volle]]/AuswertungG[[#This Row],[Räumer]]-2,"")</f>
        <v>0.4137931034482758</v>
      </c>
      <c r="AH79" s="117">
        <f>IFERROR(ROUND((AuswertungG[[#This Row],[Spiele]]*60)/(AuswertungG[[#This Row],[Fehler]]*AuswertungG[[#This Row],[Spiele]]),0),"")</f>
        <v>7</v>
      </c>
      <c r="AI79" s="123" t="str" cm="1">
        <f t="array" ref="AI79">IFERROR((AVERAGE(_xlfn._xlws.FILTER(_xlfn._xlws.FILTER(Eingabe[GES],Eingabe[Name]=AuswertungG[[#This Row],[Name]]),ABS(_xlfn._xlws.FILTER(Eingabe[GEGGES],Eingabe[Name]=AuswertungG[[#This Row],[Name]])-_xlfn._xlws.FILTER(Eingabe[GES],Eingabe[Name]=AuswertungG[[#This Row],[Name]]))&lt;15))-AuswertungG[[#This Row],[GES]])/AuswertungG[[#This Row],[STABW]],"")</f>
        <v/>
      </c>
      <c r="AJ79" s="267" t="str">
        <f>IFERROR(ROUND(AVERAGEIFS(Eingabe[MP],Eingabe[Diff],"&lt;15",Eingabe[Name],AuswertungG[[#This Row],[Name]])-AuswertungG[[#This Row],[MP]],2),"")</f>
        <v/>
      </c>
      <c r="AK79" s="117" cm="1">
        <f t="array" ref="AK79">IFERROR(ROUND(AVERAGE(_xlfn._xlws.FILTER(Eingabe[GES],(Eingabe[Name]=AuswertungG[[#This Row],[Name]])*(Eingabe[GEGGES]&gt;(AuswertungG[[#This Row],[GES]]+20))))-AuswertungG[[#This Row],[GES]],0),"")</f>
        <v>-15</v>
      </c>
      <c r="AL79" s="117" cm="1">
        <f t="array" ref="AL79">IFERROR(ROUND(AVERAGE(_xlfn._xlws.FILTER(Eingabe[GES],(Eingabe[Name]=AuswertungG[[#This Row],[Name]])*(Eingabe[GEGGES]&lt;(AuswertungG[[#This Row],[GES]]-20))))-AuswertungG[[#This Row],[GES]],0),"")</f>
        <v>20</v>
      </c>
    </row>
    <row r="80" spans="2:38" x14ac:dyDescent="0.3">
      <c r="B80" s="285" t="str">
        <f t="shared" si="1"/>
        <v>Lisa Marutschke</v>
      </c>
      <c r="C80" s="119" t="str">
        <f>IF(AuswertungG[[#This Row],[Name]]="","",VLOOKUP(AuswertungG[[#This Row],[Name]],Teamzuordnung[[Name]:[Team]],2,TRUE))</f>
        <v>U14</v>
      </c>
      <c r="D80" s="122">
        <f>COUNTIFS(Eingabe[Name],AuswertungG[[#This Row],[Name]])</f>
        <v>9</v>
      </c>
      <c r="E80" s="117" t="str">
        <f>IF(AuswertungG[[#This Row],[Spiele]]="","",IF(AuswertungG[[#This Row],[Spiele]]-COUNTIFS(Eingabe[Name],AuswertungG[[#This Row],[Name]],Eingabe[MP],"")=0,"",AuswertungG[[#This Row],[Spiele]]-COUNTIFS(Eingabe[Name],AuswertungG[[#This Row],[Name]],Eingabe[MP],"")))</f>
        <v/>
      </c>
      <c r="F80" s="117">
        <f>IF(AuswertungG[[#This Row],[Spiele]]=0,"",ROUND(AVERAGEIFS(Eingabe[Volle],Eingabe[Name],AuswertungG[[#This Row],[Name]]),0))</f>
        <v>273</v>
      </c>
      <c r="G80" s="117">
        <f>IF(AuswertungG[[#This Row],[Spiele]]=0,"",ROUND(AVERAGEIFS(Eingabe[Räumer],Eingabe[Name],AuswertungG[[#This Row],[Name]]),0))</f>
        <v>90</v>
      </c>
      <c r="H80" s="123">
        <f>IF(AuswertungG[[#This Row],[Spiele]]=0,"",ROUND(AVERAGEIFS(Eingabe[Fehler],Eingabe[Name],AuswertungG[[#This Row],[Name]]),1))</f>
        <v>28.4</v>
      </c>
      <c r="I80" s="117">
        <f>IF(AuswertungG[[#This Row],[Spiele]]=0,"",ROUND(AVERAGEIFS(Eingabe[GES],Eingabe[Name],AuswertungG[[#This Row],[Name]]),0))</f>
        <v>363</v>
      </c>
      <c r="J80" s="123" t="str">
        <f>IF(AuswertungG[[#This Row],[Spiele MP]]="","",ROUND(AVERAGEIFS(Eingabe[SP],Eingabe[Name],AuswertungG[[#This Row],[Name]]),1))</f>
        <v/>
      </c>
      <c r="K80" s="121" t="str">
        <f>IF(AuswertungG[[#This Row],[Spiele MP]]="","",ROUND(AVERAGEIFS(Eingabe[MP],Eingabe[Name],AuswertungG[[#This Row],[Name]]),2))</f>
        <v/>
      </c>
      <c r="L80" s="117">
        <f>IFERROR(ROUND(AVERAGEIFS(Eingabe[S1],Eingabe[Name],AuswertungG[[#This Row],[Name]]),0),"")</f>
        <v>83</v>
      </c>
      <c r="M80" s="268">
        <f>IFERROR(ROUND(AVERAGEIFS(Eingabe[S2],Eingabe[Name],AuswertungG[[#This Row],[Name]]),0),"")</f>
        <v>89</v>
      </c>
      <c r="N80" s="117">
        <f>IFERROR(ROUND(AVERAGEIFS(Eingabe[S3],Eingabe[Name],AuswertungG[[#This Row],[Name]]),0),"")</f>
        <v>92</v>
      </c>
      <c r="O80" s="268">
        <f>IFERROR(ROUND(AVERAGEIFS(Eingabe[S3],Eingabe[Name],AuswertungG[[#This Row],[Name]]),0),"")</f>
        <v>92</v>
      </c>
      <c r="P80" s="121" t="str">
        <f>IF(AuswertungG[[#This Row],[Spiele MP]]="","",ROUND(AVERAGEIFS(Eingabe[S1P],Eingabe[Name],AuswertungG[[#This Row],[Name]]),2))</f>
        <v/>
      </c>
      <c r="Q80" s="121" t="str">
        <f>IF(AuswertungG[[#This Row],[Spiele MP]]="","",ROUND(AVERAGEIFS(Eingabe[S2P],Eingabe[Name],AuswertungG[[#This Row],[Name]]),2))</f>
        <v/>
      </c>
      <c r="R80" s="121" t="str">
        <f>IF(AuswertungG[[#This Row],[Spiele MP]]="","",ROUND(AVERAGEIFS(Eingabe[S3P],Eingabe[Name],AuswertungG[[#This Row],[Name]]),2))</f>
        <v/>
      </c>
      <c r="S80" s="121" t="str">
        <f>IF(AuswertungG[[#This Row],[Spiele MP]]="","",ROUND(AVERAGEIFS(Eingabe[S4P],Eingabe[Name],AuswertungG[[#This Row],[Name]]),2))</f>
        <v/>
      </c>
      <c r="T80" s="267" cm="1">
        <f t="array" ref="T80">IF(AuswertungG[[#This Row],[Spiele]]="","",IF(AuswertungG[[#This Row],[Spiele]]&lt;2,"",ROUND(SLOPE(_xlfn._xlws.FILTER(Eingabe[GES],Eingabe[Name]=AuswertungG[[#This Row],[Name]]),_xlfn._xlws.FILTER(Eingabe[KW],Eingabe[Name]=AuswertungG[[#This Row],[Name]])),2)))</f>
        <v>0.14000000000000001</v>
      </c>
      <c r="U80" s="267" cm="1">
        <f t="array" ref="U80">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5.64</v>
      </c>
      <c r="V80" s="117" cm="1">
        <f t="array" ref="V80">IF(AuswertungG[[#This Row],[Spiele]]="","",IF(AuswertungG[[#This Row],[Spiele]]&lt;2,"",ROUND(_xlfn.STDEV.P(_xlfn._xlws.FILTER(Eingabe[GES],Eingabe[Name]=AuswertungG[[#This Row],[Name]])),0)))</f>
        <v>23</v>
      </c>
      <c r="W80" s="117" t="str">
        <f>IF(AuswertungG[[#This Row],[Spiele MP]]="","",ROUND(AVERAGEIFS(Eingabe[GEGGES],Eingabe[Name],AuswertungG[[#This Row],[Name]]),0))</f>
        <v/>
      </c>
      <c r="X80" s="123" t="str">
        <f>VLOOKUP(AuswertungG[[#This Row],[Name]],PositionG[],21,FALSE)</f>
        <v/>
      </c>
      <c r="Y80" s="123" t="str">
        <f>VLOOKUP(AuswertungG[[#This Row],[Name]],PositionG[],22,FALSE)</f>
        <v/>
      </c>
      <c r="Z80" s="123" t="str">
        <f>VLOOKUP(AuswertungG[[#This Row],[Name]],PositionG[],23,FALSE)</f>
        <v/>
      </c>
      <c r="AA80" s="121" t="str">
        <f>IF(AuswertungG[[#This Row],[Spiele MP]]="","",ROUND(VLOOKUP(AuswertungG[[#This Row],[Name]],PositionG[],24,FALSE),2))</f>
        <v/>
      </c>
      <c r="AB80" s="123">
        <f>IF(AuswertungG[[#This Row],[Spiele]]=0,"",ROUND(AVERAGEIFS(Eingabe[Rang],Eingabe[Name],AuswertungG[[#This Row],[Name]]),1))</f>
        <v>3</v>
      </c>
      <c r="AC80" s="123" cm="1">
        <f t="array" ref="AC80">IFERROR(ROUND(MEDIAN(_xlfn._xlws.FILTER(Eingabe[GES],Eingabe[Name]=AuswertungG[[#This Row],[Name]])),0),"")</f>
        <v>374</v>
      </c>
      <c r="AD80" s="121">
        <f>IFERROR(AuswertungG[[#This Row],[STABW]]/AuswertungG[[#This Row],[GES]],"")</f>
        <v>6.3360881542699726E-2</v>
      </c>
      <c r="AE80" s="123" cm="1">
        <f t="array" ref="AE80">IFERROR(ROUND(_xlfn.QUARTILE.INC(_xlfn._xlws.FILTER(Eingabe[GES],Eingabe[Name]=AuswertungG[[#This Row],[Name]]),3)-_xlfn.QUARTILE.INC(_xlfn._xlws.FILTER(Eingabe[GES],Eingabe[Name]=AuswertungG[[#This Row],[Name]]),1),0),"")</f>
        <v>31</v>
      </c>
      <c r="AF80" s="123">
        <f>IFERROR(1/AuswertungG[[#This Row],[VK]],"")</f>
        <v>15.782608695652174</v>
      </c>
      <c r="AG80" s="123">
        <f>IFERROR(AuswertungG[[#This Row],[Volle]]/AuswertungG[[#This Row],[Räumer]]-2,"")</f>
        <v>1.0333333333333332</v>
      </c>
      <c r="AH80" s="117">
        <f>IFERROR(ROUND((AuswertungG[[#This Row],[Spiele]]*60)/(AuswertungG[[#This Row],[Fehler]]*AuswertungG[[#This Row],[Spiele]]),0),"")</f>
        <v>2</v>
      </c>
      <c r="AI80" s="123" t="str" cm="1">
        <f t="array" ref="AI80">IFERROR((AVERAGE(_xlfn._xlws.FILTER(_xlfn._xlws.FILTER(Eingabe[GES],Eingabe[Name]=AuswertungG[[#This Row],[Name]]),ABS(_xlfn._xlws.FILTER(Eingabe[GEGGES],Eingabe[Name]=AuswertungG[[#This Row],[Name]])-_xlfn._xlws.FILTER(Eingabe[GES],Eingabe[Name]=AuswertungG[[#This Row],[Name]]))&lt;15))-AuswertungG[[#This Row],[GES]])/AuswertungG[[#This Row],[STABW]],"")</f>
        <v/>
      </c>
      <c r="AJ80" s="267" t="str">
        <f>IFERROR(ROUND(AVERAGEIFS(Eingabe[MP],Eingabe[Diff],"&lt;15",Eingabe[Name],AuswertungG[[#This Row],[Name]])-AuswertungG[[#This Row],[MP]],2),"")</f>
        <v/>
      </c>
      <c r="AK80" s="117" t="str" cm="1">
        <f t="array" ref="AK80">IFERROR(ROUND(AVERAGE(_xlfn._xlws.FILTER(Eingabe[GES],(Eingabe[Name]=AuswertungG[[#This Row],[Name]])*(Eingabe[GEGGES]&gt;(AuswertungG[[#This Row],[GES]]+20))))-AuswertungG[[#This Row],[GES]],0),"")</f>
        <v/>
      </c>
      <c r="AL80" s="117" cm="1">
        <f t="array" ref="AL80">IFERROR(ROUND(AVERAGE(_xlfn._xlws.FILTER(Eingabe[GES],(Eingabe[Name]=AuswertungG[[#This Row],[Name]])*(Eingabe[GEGGES]&lt;(AuswertungG[[#This Row],[GES]]-20))))-AuswertungG[[#This Row],[GES]],0),"")</f>
        <v>0</v>
      </c>
    </row>
    <row r="81" spans="2:38" x14ac:dyDescent="0.3">
      <c r="B81" s="285" t="str">
        <f t="shared" si="1"/>
        <v>Luca Landau</v>
      </c>
      <c r="C81" s="119" t="str">
        <f>IF(AuswertungG[[#This Row],[Name]]="","",VLOOKUP(AuswertungG[[#This Row],[Name]],Teamzuordnung[[Name]:[Team]],2,TRUE))</f>
        <v>D</v>
      </c>
      <c r="D81" s="122">
        <f>COUNTIFS(Eingabe[Name],AuswertungG[[#This Row],[Name]])</f>
        <v>0</v>
      </c>
      <c r="E81" s="117" t="str">
        <f>IF(AuswertungG[[#This Row],[Spiele]]="","",IF(AuswertungG[[#This Row],[Spiele]]-COUNTIFS(Eingabe[Name],AuswertungG[[#This Row],[Name]],Eingabe[MP],"")=0,"",AuswertungG[[#This Row],[Spiele]]-COUNTIFS(Eingabe[Name],AuswertungG[[#This Row],[Name]],Eingabe[MP],"")))</f>
        <v/>
      </c>
      <c r="F81" s="117" t="str">
        <f>IF(AuswertungG[[#This Row],[Spiele]]=0,"",ROUND(AVERAGEIFS(Eingabe[Volle],Eingabe[Name],AuswertungG[[#This Row],[Name]]),0))</f>
        <v/>
      </c>
      <c r="G81" s="117" t="str">
        <f>IF(AuswertungG[[#This Row],[Spiele]]=0,"",ROUND(AVERAGEIFS(Eingabe[Räumer],Eingabe[Name],AuswertungG[[#This Row],[Name]]),0))</f>
        <v/>
      </c>
      <c r="H81" s="123" t="str">
        <f>IF(AuswertungG[[#This Row],[Spiele]]=0,"",ROUND(AVERAGEIFS(Eingabe[Fehler],Eingabe[Name],AuswertungG[[#This Row],[Name]]),1))</f>
        <v/>
      </c>
      <c r="I81" s="117" t="str">
        <f>IF(AuswertungG[[#This Row],[Spiele]]=0,"",ROUND(AVERAGEIFS(Eingabe[GES],Eingabe[Name],AuswertungG[[#This Row],[Name]]),0))</f>
        <v/>
      </c>
      <c r="J81" s="123" t="str">
        <f>IF(AuswertungG[[#This Row],[Spiele MP]]="","",ROUND(AVERAGEIFS(Eingabe[SP],Eingabe[Name],AuswertungG[[#This Row],[Name]]),1))</f>
        <v/>
      </c>
      <c r="K81" s="121" t="str">
        <f>IF(AuswertungG[[#This Row],[Spiele MP]]="","",ROUND(AVERAGEIFS(Eingabe[MP],Eingabe[Name],AuswertungG[[#This Row],[Name]]),2))</f>
        <v/>
      </c>
      <c r="L81" s="117" t="str">
        <f>IFERROR(ROUND(AVERAGEIFS(Eingabe[S1],Eingabe[Name],AuswertungG[[#This Row],[Name]]),0),"")</f>
        <v/>
      </c>
      <c r="M81" s="268" t="str">
        <f>IFERROR(ROUND(AVERAGEIFS(Eingabe[S2],Eingabe[Name],AuswertungG[[#This Row],[Name]]),0),"")</f>
        <v/>
      </c>
      <c r="N81" s="117" t="str">
        <f>IFERROR(ROUND(AVERAGEIFS(Eingabe[S3],Eingabe[Name],AuswertungG[[#This Row],[Name]]),0),"")</f>
        <v/>
      </c>
      <c r="O81" s="268" t="str">
        <f>IFERROR(ROUND(AVERAGEIFS(Eingabe[S3],Eingabe[Name],AuswertungG[[#This Row],[Name]]),0),"")</f>
        <v/>
      </c>
      <c r="P81" s="121" t="str">
        <f>IF(AuswertungG[[#This Row],[Spiele MP]]="","",ROUND(AVERAGEIFS(Eingabe[S1P],Eingabe[Name],AuswertungG[[#This Row],[Name]]),2))</f>
        <v/>
      </c>
      <c r="Q81" s="121" t="str">
        <f>IF(AuswertungG[[#This Row],[Spiele MP]]="","",ROUND(AVERAGEIFS(Eingabe[S2P],Eingabe[Name],AuswertungG[[#This Row],[Name]]),2))</f>
        <v/>
      </c>
      <c r="R81" s="121" t="str">
        <f>IF(AuswertungG[[#This Row],[Spiele MP]]="","",ROUND(AVERAGEIFS(Eingabe[S3P],Eingabe[Name],AuswertungG[[#This Row],[Name]]),2))</f>
        <v/>
      </c>
      <c r="S81" s="121" t="str">
        <f>IF(AuswertungG[[#This Row],[Spiele MP]]="","",ROUND(AVERAGEIFS(Eingabe[S4P],Eingabe[Name],AuswertungG[[#This Row],[Name]]),2))</f>
        <v/>
      </c>
      <c r="T81" s="267" t="str" cm="1">
        <f t="array" ref="T81">IF(AuswertungG[[#This Row],[Spiele]]="","",IF(AuswertungG[[#This Row],[Spiele]]&lt;2,"",ROUND(SLOPE(_xlfn._xlws.FILTER(Eingabe[GES],Eingabe[Name]=AuswertungG[[#This Row],[Name]]),_xlfn._xlws.FILTER(Eingabe[KW],Eingabe[Name]=AuswertungG[[#This Row],[Name]])),2)))</f>
        <v/>
      </c>
      <c r="U81" s="267" t="str" cm="1">
        <f t="array" ref="U81">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81" s="117" t="str" cm="1">
        <f t="array" ref="V81">IF(AuswertungG[[#This Row],[Spiele]]="","",IF(AuswertungG[[#This Row],[Spiele]]&lt;2,"",ROUND(_xlfn.STDEV.P(_xlfn._xlws.FILTER(Eingabe[GES],Eingabe[Name]=AuswertungG[[#This Row],[Name]])),0)))</f>
        <v/>
      </c>
      <c r="W81" s="117" t="str">
        <f>IF(AuswertungG[[#This Row],[Spiele MP]]="","",ROUND(AVERAGEIFS(Eingabe[GEGGES],Eingabe[Name],AuswertungG[[#This Row],[Name]]),0))</f>
        <v/>
      </c>
      <c r="X81" s="123" t="str">
        <f>VLOOKUP(AuswertungG[[#This Row],[Name]],PositionG[],21,FALSE)</f>
        <v/>
      </c>
      <c r="Y81" s="123" t="str">
        <f>VLOOKUP(AuswertungG[[#This Row],[Name]],PositionG[],22,FALSE)</f>
        <v/>
      </c>
      <c r="Z81" s="123" t="str">
        <f>VLOOKUP(AuswertungG[[#This Row],[Name]],PositionG[],23,FALSE)</f>
        <v/>
      </c>
      <c r="AA81" s="121" t="str">
        <f>IF(AuswertungG[[#This Row],[Spiele MP]]="","",ROUND(VLOOKUP(AuswertungG[[#This Row],[Name]],PositionG[],24,FALSE),2))</f>
        <v/>
      </c>
      <c r="AB81" s="123" t="str">
        <f>IF(AuswertungG[[#This Row],[Spiele]]=0,"",ROUND(AVERAGEIFS(Eingabe[Rang],Eingabe[Name],AuswertungG[[#This Row],[Name]]),1))</f>
        <v/>
      </c>
      <c r="AC81" s="123" t="str" cm="1">
        <f t="array" ref="AC81">IFERROR(ROUND(MEDIAN(_xlfn._xlws.FILTER(Eingabe[GES],Eingabe[Name]=AuswertungG[[#This Row],[Name]])),0),"")</f>
        <v/>
      </c>
      <c r="AD81" s="121" t="str">
        <f>IFERROR(AuswertungG[[#This Row],[STABW]]/AuswertungG[[#This Row],[GES]],"")</f>
        <v/>
      </c>
      <c r="AE81" s="123" t="str" cm="1">
        <f t="array" ref="AE81">IFERROR(ROUND(_xlfn.QUARTILE.INC(_xlfn._xlws.FILTER(Eingabe[GES],Eingabe[Name]=AuswertungG[[#This Row],[Name]]),3)-_xlfn.QUARTILE.INC(_xlfn._xlws.FILTER(Eingabe[GES],Eingabe[Name]=AuswertungG[[#This Row],[Name]]),1),0),"")</f>
        <v/>
      </c>
      <c r="AF81" s="123" t="str">
        <f>IFERROR(1/AuswertungG[[#This Row],[VK]],"")</f>
        <v/>
      </c>
      <c r="AG81" s="123" t="str">
        <f>IFERROR(AuswertungG[[#This Row],[Volle]]/AuswertungG[[#This Row],[Räumer]]-2,"")</f>
        <v/>
      </c>
      <c r="AH81" s="117" t="str">
        <f>IFERROR(ROUND((AuswertungG[[#This Row],[Spiele]]*60)/(AuswertungG[[#This Row],[Fehler]]*AuswertungG[[#This Row],[Spiele]]),0),"")</f>
        <v/>
      </c>
      <c r="AI81" s="123" t="str" cm="1">
        <f t="array" ref="AI81">IFERROR((AVERAGE(_xlfn._xlws.FILTER(_xlfn._xlws.FILTER(Eingabe[GES],Eingabe[Name]=AuswertungG[[#This Row],[Name]]),ABS(_xlfn._xlws.FILTER(Eingabe[GEGGES],Eingabe[Name]=AuswertungG[[#This Row],[Name]])-_xlfn._xlws.FILTER(Eingabe[GES],Eingabe[Name]=AuswertungG[[#This Row],[Name]]))&lt;15))-AuswertungG[[#This Row],[GES]])/AuswertungG[[#This Row],[STABW]],"")</f>
        <v/>
      </c>
      <c r="AJ81" s="267" t="str">
        <f>IFERROR(ROUND(AVERAGEIFS(Eingabe[MP],Eingabe[Diff],"&lt;15",Eingabe[Name],AuswertungG[[#This Row],[Name]])-AuswertungG[[#This Row],[MP]],2),"")</f>
        <v/>
      </c>
      <c r="AK81" s="117" t="str" cm="1">
        <f t="array" ref="AK81">IFERROR(ROUND(AVERAGE(_xlfn._xlws.FILTER(Eingabe[GES],(Eingabe[Name]=AuswertungG[[#This Row],[Name]])*(Eingabe[GEGGES]&gt;(AuswertungG[[#This Row],[GES]]+20))))-AuswertungG[[#This Row],[GES]],0),"")</f>
        <v/>
      </c>
      <c r="AL81" s="117" t="str" cm="1">
        <f t="array" ref="AL81">IFERROR(ROUND(AVERAGE(_xlfn._xlws.FILTER(Eingabe[GES],(Eingabe[Name]=AuswertungG[[#This Row],[Name]])*(Eingabe[GEGGES]&lt;(AuswertungG[[#This Row],[GES]]-20))))-AuswertungG[[#This Row],[GES]],0),"")</f>
        <v/>
      </c>
    </row>
    <row r="82" spans="2:38" x14ac:dyDescent="0.3">
      <c r="B82" s="285" t="str">
        <f t="shared" si="1"/>
        <v>Madlen Baumgarten</v>
      </c>
      <c r="C82" s="119" t="str">
        <f>IF(AuswertungG[[#This Row],[Name]]="","",VLOOKUP(AuswertungG[[#This Row],[Name]],Teamzuordnung[[Name]:[Team]],2,TRUE))</f>
        <v>F</v>
      </c>
      <c r="D82" s="122">
        <f>COUNTIFS(Eingabe[Name],AuswertungG[[#This Row],[Name]])</f>
        <v>7</v>
      </c>
      <c r="E82" s="117">
        <f>IF(AuswertungG[[#This Row],[Spiele]]="","",IF(AuswertungG[[#This Row],[Spiele]]-COUNTIFS(Eingabe[Name],AuswertungG[[#This Row],[Name]],Eingabe[MP],"")=0,"",AuswertungG[[#This Row],[Spiele]]-COUNTIFS(Eingabe[Name],AuswertungG[[#This Row],[Name]],Eingabe[MP],"")))</f>
        <v>7</v>
      </c>
      <c r="F82" s="117">
        <f>IF(AuswertungG[[#This Row],[Spiele]]=0,"",ROUND(AVERAGEIFS(Eingabe[Volle],Eingabe[Name],AuswertungG[[#This Row],[Name]]),0))</f>
        <v>348</v>
      </c>
      <c r="G82" s="117">
        <f>IF(AuswertungG[[#This Row],[Spiele]]=0,"",ROUND(AVERAGEIFS(Eingabe[Räumer],Eingabe[Name],AuswertungG[[#This Row],[Name]]),0))</f>
        <v>163</v>
      </c>
      <c r="H82" s="123">
        <f>IF(AuswertungG[[#This Row],[Spiele]]=0,"",ROUND(AVERAGEIFS(Eingabe[Fehler],Eingabe[Name],AuswertungG[[#This Row],[Name]]),1))</f>
        <v>8.4</v>
      </c>
      <c r="I82" s="117">
        <f>IF(AuswertungG[[#This Row],[Spiele]]=0,"",ROUND(AVERAGEIFS(Eingabe[GES],Eingabe[Name],AuswertungG[[#This Row],[Name]]),0))</f>
        <v>511</v>
      </c>
      <c r="J82" s="123">
        <f>IF(AuswertungG[[#This Row],[Spiele MP]]="","",ROUND(AVERAGEIFS(Eingabe[SP],Eingabe[Name],AuswertungG[[#This Row],[Name]]),1))</f>
        <v>1.9</v>
      </c>
      <c r="K82" s="121">
        <f>IF(AuswertungG[[#This Row],[Spiele MP]]="","",ROUND(AVERAGEIFS(Eingabe[MP],Eingabe[Name],AuswertungG[[#This Row],[Name]]),2))</f>
        <v>0.56999999999999995</v>
      </c>
      <c r="L82" s="117">
        <f>IFERROR(ROUND(AVERAGEIFS(Eingabe[S1],Eingabe[Name],AuswertungG[[#This Row],[Name]]),0),"")</f>
        <v>124</v>
      </c>
      <c r="M82" s="268">
        <f>IFERROR(ROUND(AVERAGEIFS(Eingabe[S2],Eingabe[Name],AuswertungG[[#This Row],[Name]]),0),"")</f>
        <v>126</v>
      </c>
      <c r="N82" s="117">
        <f>IFERROR(ROUND(AVERAGEIFS(Eingabe[S3],Eingabe[Name],AuswertungG[[#This Row],[Name]]),0),"")</f>
        <v>135</v>
      </c>
      <c r="O82" s="268">
        <f>IFERROR(ROUND(AVERAGEIFS(Eingabe[S3],Eingabe[Name],AuswertungG[[#This Row],[Name]]),0),"")</f>
        <v>135</v>
      </c>
      <c r="P82" s="121">
        <f>IF(AuswertungG[[#This Row],[Spiele MP]]="","",ROUND(AVERAGEIFS(Eingabe[S1P],Eingabe[Name],AuswertungG[[#This Row],[Name]]),2))</f>
        <v>0.43</v>
      </c>
      <c r="Q82" s="121">
        <f>IF(AuswertungG[[#This Row],[Spiele MP]]="","",ROUND(AVERAGEIFS(Eingabe[S2P],Eingabe[Name],AuswertungG[[#This Row],[Name]]),2))</f>
        <v>0.43</v>
      </c>
      <c r="R82" s="121">
        <f>IF(AuswertungG[[#This Row],[Spiele MP]]="","",ROUND(AVERAGEIFS(Eingabe[S3P],Eingabe[Name],AuswertungG[[#This Row],[Name]]),2))</f>
        <v>0.56999999999999995</v>
      </c>
      <c r="S82" s="121">
        <f>IF(AuswertungG[[#This Row],[Spiele MP]]="","",ROUND(AVERAGEIFS(Eingabe[S4P],Eingabe[Name],AuswertungG[[#This Row],[Name]]),2))</f>
        <v>0.43</v>
      </c>
      <c r="T82" s="267" cm="1">
        <f t="array" ref="T82">IF(AuswertungG[[#This Row],[Spiele]]="","",IF(AuswertungG[[#This Row],[Spiele]]&lt;2,"",ROUND(SLOPE(_xlfn._xlws.FILTER(Eingabe[GES],Eingabe[Name]=AuswertungG[[#This Row],[Name]]),_xlfn._xlws.FILTER(Eingabe[KW],Eingabe[Name]=AuswertungG[[#This Row],[Name]])),2)))</f>
        <v>-0.71</v>
      </c>
      <c r="U82" s="267" cm="1">
        <f t="array" ref="U82">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-3.95</v>
      </c>
      <c r="V82" s="117" cm="1">
        <f t="array" ref="V82">IF(AuswertungG[[#This Row],[Spiele]]="","",IF(AuswertungG[[#This Row],[Spiele]]&lt;2,"",ROUND(_xlfn.STDEV.P(_xlfn._xlws.FILTER(Eingabe[GES],Eingabe[Name]=AuswertungG[[#This Row],[Name]])),0)))</f>
        <v>30</v>
      </c>
      <c r="W82" s="117">
        <f>IF(AuswertungG[[#This Row],[Spiele MP]]="","",ROUND(AVERAGEIFS(Eingabe[GEGGES],Eingabe[Name],AuswertungG[[#This Row],[Name]]),0))</f>
        <v>513</v>
      </c>
      <c r="X82" s="123" t="str">
        <f>VLOOKUP(AuswertungG[[#This Row],[Name]],PositionG[],21,FALSE)</f>
        <v>[5]</v>
      </c>
      <c r="Y82" s="123">
        <f>VLOOKUP(AuswertungG[[#This Row],[Name]],PositionG[],22,FALSE)</f>
        <v>5</v>
      </c>
      <c r="Z82" s="123" t="str">
        <f>VLOOKUP(AuswertungG[[#This Row],[Name]],PositionG[],23,FALSE)</f>
        <v>[2]</v>
      </c>
      <c r="AA82" s="121">
        <f>IF(AuswertungG[[#This Row],[Spiele MP]]="","",ROUND(VLOOKUP(AuswertungG[[#This Row],[Name]],PositionG[],24,FALSE),2))</f>
        <v>1</v>
      </c>
      <c r="AB82" s="123">
        <f>IF(AuswertungG[[#This Row],[Spiele]]=0,"",ROUND(AVERAGEIFS(Eingabe[Rang],Eingabe[Name],AuswertungG[[#This Row],[Name]]),1))</f>
        <v>3.1</v>
      </c>
      <c r="AC82" s="123" cm="1">
        <f t="array" ref="AC82">IFERROR(ROUND(MEDIAN(_xlfn._xlws.FILTER(Eingabe[GES],Eingabe[Name]=AuswertungG[[#This Row],[Name]])),0),"")</f>
        <v>508</v>
      </c>
      <c r="AD82" s="121">
        <f>IFERROR(AuswertungG[[#This Row],[STABW]]/AuswertungG[[#This Row],[GES]],"")</f>
        <v>5.8708414872798431E-2</v>
      </c>
      <c r="AE82" s="123" cm="1">
        <f t="array" ref="AE82">IFERROR(ROUND(_xlfn.QUARTILE.INC(_xlfn._xlws.FILTER(Eingabe[GES],Eingabe[Name]=AuswertungG[[#This Row],[Name]]),3)-_xlfn.QUARTILE.INC(_xlfn._xlws.FILTER(Eingabe[GES],Eingabe[Name]=AuswertungG[[#This Row],[Name]]),1),0),"")</f>
        <v>41</v>
      </c>
      <c r="AF82" s="123">
        <f>IFERROR(1/AuswertungG[[#This Row],[VK]],"")</f>
        <v>17.033333333333335</v>
      </c>
      <c r="AG82" s="123">
        <f>IFERROR(AuswertungG[[#This Row],[Volle]]/AuswertungG[[#This Row],[Räumer]]-2,"")</f>
        <v>0.13496932515337434</v>
      </c>
      <c r="AH82" s="117">
        <f>IFERROR(ROUND((AuswertungG[[#This Row],[Spiele]]*60)/(AuswertungG[[#This Row],[Fehler]]*AuswertungG[[#This Row],[Spiele]]),0),"")</f>
        <v>7</v>
      </c>
      <c r="AI82" s="123" cm="1">
        <f t="array" ref="AI82">IFERROR((AVERAGE(_xlfn._xlws.FILTER(_xlfn._xlws.FILTER(Eingabe[GES],Eingabe[Name]=AuswertungG[[#This Row],[Name]]),ABS(_xlfn._xlws.FILTER(Eingabe[GEGGES],Eingabe[Name]=AuswertungG[[#This Row],[Name]])-_xlfn._xlws.FILTER(Eingabe[GES],Eingabe[Name]=AuswertungG[[#This Row],[Name]]))&lt;15))-AuswertungG[[#This Row],[GES]])/AuswertungG[[#This Row],[STABW]],"")</f>
        <v>0.49333333333333179</v>
      </c>
      <c r="AJ82" s="267">
        <f>IFERROR(ROUND(AVERAGEIFS(Eingabe[MP],Eingabe[Diff],"&lt;15",Eingabe[Name],AuswertungG[[#This Row],[Name]])-AuswertungG[[#This Row],[MP]],2),"")</f>
        <v>0.03</v>
      </c>
      <c r="AK82" s="117" cm="1">
        <f t="array" ref="AK82">IFERROR(ROUND(AVERAGE(_xlfn._xlws.FILTER(Eingabe[GES],(Eingabe[Name]=AuswertungG[[#This Row],[Name]])*(Eingabe[GEGGES]&gt;(AuswertungG[[#This Row],[GES]]+20))))-AuswertungG[[#This Row],[GES]],0),"")</f>
        <v>36</v>
      </c>
      <c r="AL82" s="117" cm="1">
        <f t="array" ref="AL82">IFERROR(ROUND(AVERAGE(_xlfn._xlws.FILTER(Eingabe[GES],(Eingabe[Name]=AuswertungG[[#This Row],[Name]])*(Eingabe[GEGGES]&lt;(AuswertungG[[#This Row],[GES]]-20))))-AuswertungG[[#This Row],[GES]],0),"")</f>
        <v>-48</v>
      </c>
    </row>
    <row r="83" spans="2:38" x14ac:dyDescent="0.3">
      <c r="B83" s="285" t="str">
        <f t="shared" si="1"/>
        <v>Maik Fuhrmann</v>
      </c>
      <c r="C83" s="119" t="str">
        <f>IF(AuswertungG[[#This Row],[Name]]="","",VLOOKUP(AuswertungG[[#This Row],[Name]],Teamzuordnung[[Name]:[Team]],2,TRUE))</f>
        <v>E</v>
      </c>
      <c r="D83" s="122">
        <f>COUNTIFS(Eingabe[Name],AuswertungG[[#This Row],[Name]])</f>
        <v>15</v>
      </c>
      <c r="E83" s="117">
        <f>IF(AuswertungG[[#This Row],[Spiele]]="","",IF(AuswertungG[[#This Row],[Spiele]]-COUNTIFS(Eingabe[Name],AuswertungG[[#This Row],[Name]],Eingabe[MP],"")=0,"",AuswertungG[[#This Row],[Spiele]]-COUNTIFS(Eingabe[Name],AuswertungG[[#This Row],[Name]],Eingabe[MP],"")))</f>
        <v>13</v>
      </c>
      <c r="F83" s="117">
        <f>IF(AuswertungG[[#This Row],[Spiele]]=0,"",ROUND(AVERAGEIFS(Eingabe[Volle],Eingabe[Name],AuswertungG[[#This Row],[Name]]),0))</f>
        <v>364</v>
      </c>
      <c r="G83" s="117">
        <f>IF(AuswertungG[[#This Row],[Spiele]]=0,"",ROUND(AVERAGEIFS(Eingabe[Räumer],Eingabe[Name],AuswertungG[[#This Row],[Name]]),0))</f>
        <v>186</v>
      </c>
      <c r="H83" s="123">
        <f>IF(AuswertungG[[#This Row],[Spiele]]=0,"",ROUND(AVERAGEIFS(Eingabe[Fehler],Eingabe[Name],AuswertungG[[#This Row],[Name]]),1))</f>
        <v>3.3</v>
      </c>
      <c r="I83" s="117">
        <f>IF(AuswertungG[[#This Row],[Spiele]]=0,"",ROUND(AVERAGEIFS(Eingabe[GES],Eingabe[Name],AuswertungG[[#This Row],[Name]]),0))</f>
        <v>550</v>
      </c>
      <c r="J83" s="123">
        <f>IF(AuswertungG[[#This Row],[Spiele MP]]="","",ROUND(AVERAGEIFS(Eingabe[SP],Eingabe[Name],AuswertungG[[#This Row],[Name]]),1))</f>
        <v>2.5</v>
      </c>
      <c r="K83" s="121">
        <f>IF(AuswertungG[[#This Row],[Spiele MP]]="","",ROUND(AVERAGEIFS(Eingabe[MP],Eingabe[Name],AuswertungG[[#This Row],[Name]]),2))</f>
        <v>0.77</v>
      </c>
      <c r="L83" s="117">
        <f>IFERROR(ROUND(AVERAGEIFS(Eingabe[S1],Eingabe[Name],AuswertungG[[#This Row],[Name]]),0),"")</f>
        <v>139</v>
      </c>
      <c r="M83" s="268">
        <f>IFERROR(ROUND(AVERAGEIFS(Eingabe[S2],Eingabe[Name],AuswertungG[[#This Row],[Name]]),0),"")</f>
        <v>138</v>
      </c>
      <c r="N83" s="117">
        <f>IFERROR(ROUND(AVERAGEIFS(Eingabe[S3],Eingabe[Name],AuswertungG[[#This Row],[Name]]),0),"")</f>
        <v>137</v>
      </c>
      <c r="O83" s="268">
        <f>IFERROR(ROUND(AVERAGEIFS(Eingabe[S3],Eingabe[Name],AuswertungG[[#This Row],[Name]]),0),"")</f>
        <v>137</v>
      </c>
      <c r="P83" s="121">
        <f>IF(AuswertungG[[#This Row],[Spiele MP]]="","",ROUND(AVERAGEIFS(Eingabe[S1P],Eingabe[Name],AuswertungG[[#This Row],[Name]]),2))</f>
        <v>0.73</v>
      </c>
      <c r="Q83" s="121">
        <f>IF(AuswertungG[[#This Row],[Spiele MP]]="","",ROUND(AVERAGEIFS(Eingabe[S2P],Eingabe[Name],AuswertungG[[#This Row],[Name]]),2))</f>
        <v>0.62</v>
      </c>
      <c r="R83" s="121">
        <f>IF(AuswertungG[[#This Row],[Spiele MP]]="","",ROUND(AVERAGEIFS(Eingabe[S3P],Eingabe[Name],AuswertungG[[#This Row],[Name]]),2))</f>
        <v>0.62</v>
      </c>
      <c r="S83" s="121">
        <f>IF(AuswertungG[[#This Row],[Spiele MP]]="","",ROUND(AVERAGEIFS(Eingabe[S4P],Eingabe[Name],AuswertungG[[#This Row],[Name]]),2))</f>
        <v>0.57999999999999996</v>
      </c>
      <c r="T83" s="267" cm="1">
        <f t="array" ref="T83">IF(AuswertungG[[#This Row],[Spiele]]="","",IF(AuswertungG[[#This Row],[Spiele]]&lt;2,"",ROUND(SLOPE(_xlfn._xlws.FILTER(Eingabe[GES],Eingabe[Name]=AuswertungG[[#This Row],[Name]]),_xlfn._xlws.FILTER(Eingabe[KW],Eingabe[Name]=AuswertungG[[#This Row],[Name]])),2)))</f>
        <v>-0.14000000000000001</v>
      </c>
      <c r="U83" s="267" cm="1">
        <f t="array" ref="U83">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0</v>
      </c>
      <c r="V83" s="117" cm="1">
        <f t="array" ref="V83">IF(AuswertungG[[#This Row],[Spiele]]="","",IF(AuswertungG[[#This Row],[Spiele]]&lt;2,"",ROUND(_xlfn.STDEV.P(_xlfn._xlws.FILTER(Eingabe[GES],Eingabe[Name]=AuswertungG[[#This Row],[Name]])),0)))</f>
        <v>35</v>
      </c>
      <c r="W83" s="117">
        <f>IF(AuswertungG[[#This Row],[Spiele MP]]="","",ROUND(AVERAGEIFS(Eingabe[GEGGES],Eingabe[Name],AuswertungG[[#This Row],[Name]]),0))</f>
        <v>523</v>
      </c>
      <c r="X83" s="123" t="str">
        <f>VLOOKUP(AuswertungG[[#This Row],[Name]],PositionG[],21,FALSE)</f>
        <v>[1]</v>
      </c>
      <c r="Y83" s="123">
        <f>VLOOKUP(AuswertungG[[#This Row],[Name]],PositionG[],22,FALSE)</f>
        <v>7</v>
      </c>
      <c r="Z83" s="123" t="str">
        <f>VLOOKUP(AuswertungG[[#This Row],[Name]],PositionG[],23,FALSE)</f>
        <v>[4]</v>
      </c>
      <c r="AA83" s="121">
        <f>IF(AuswertungG[[#This Row],[Spiele MP]]="","",ROUND(VLOOKUP(AuswertungG[[#This Row],[Name]],PositionG[],24,FALSE),2))</f>
        <v>1</v>
      </c>
      <c r="AB83" s="123">
        <f>IF(AuswertungG[[#This Row],[Spiele]]=0,"",ROUND(AVERAGEIFS(Eingabe[Rang],Eingabe[Name],AuswertungG[[#This Row],[Name]]),1))</f>
        <v>2.6</v>
      </c>
      <c r="AC83" s="123" cm="1">
        <f t="array" ref="AC83">IFERROR(ROUND(MEDIAN(_xlfn._xlws.FILTER(Eingabe[GES],Eingabe[Name]=AuswertungG[[#This Row],[Name]])),0),"")</f>
        <v>531</v>
      </c>
      <c r="AD83" s="121">
        <f>IFERROR(AuswertungG[[#This Row],[STABW]]/AuswertungG[[#This Row],[GES]],"")</f>
        <v>6.363636363636363E-2</v>
      </c>
      <c r="AE83" s="123" cm="1">
        <f t="array" ref="AE83">IFERROR(ROUND(_xlfn.QUARTILE.INC(_xlfn._xlws.FILTER(Eingabe[GES],Eingabe[Name]=AuswertungG[[#This Row],[Name]]),3)-_xlfn.QUARTILE.INC(_xlfn._xlws.FILTER(Eingabe[GES],Eingabe[Name]=AuswertungG[[#This Row],[Name]]),1),0),"")</f>
        <v>45</v>
      </c>
      <c r="AF83" s="123">
        <f>IFERROR(1/AuswertungG[[#This Row],[VK]],"")</f>
        <v>15.714285714285715</v>
      </c>
      <c r="AG83" s="123">
        <f>IFERROR(AuswertungG[[#This Row],[Volle]]/AuswertungG[[#This Row],[Räumer]]-2,"")</f>
        <v>-4.3010752688172005E-2</v>
      </c>
      <c r="AH83" s="117">
        <f>IFERROR(ROUND((AuswertungG[[#This Row],[Spiele]]*60)/(AuswertungG[[#This Row],[Fehler]]*AuswertungG[[#This Row],[Spiele]]),0),"")</f>
        <v>18</v>
      </c>
      <c r="AI83" s="123" cm="1">
        <f t="array" ref="AI83">IFERROR((AVERAGE(_xlfn._xlws.FILTER(_xlfn._xlws.FILTER(Eingabe[GES],Eingabe[Name]=AuswertungG[[#This Row],[Name]]),ABS(_xlfn._xlws.FILTER(Eingabe[GEGGES],Eingabe[Name]=AuswertungG[[#This Row],[Name]])-_xlfn._xlws.FILTER(Eingabe[GES],Eingabe[Name]=AuswertungG[[#This Row],[Name]]))&lt;15))-AuswertungG[[#This Row],[GES]])/AuswertungG[[#This Row],[STABW]],"")</f>
        <v>-0.58571428571428574</v>
      </c>
      <c r="AJ83" s="267">
        <f>IFERROR(ROUND(AVERAGEIFS(Eingabe[MP],Eingabe[Diff],"&lt;15",Eingabe[Name],AuswertungG[[#This Row],[Name]])-AuswertungG[[#This Row],[MP]],2),"")</f>
        <v>-0.27</v>
      </c>
      <c r="AK83" s="117" t="str" cm="1">
        <f t="array" ref="AK83">IFERROR(ROUND(AVERAGE(_xlfn._xlws.FILTER(Eingabe[GES],(Eingabe[Name]=AuswertungG[[#This Row],[Name]])*(Eingabe[GEGGES]&gt;(AuswertungG[[#This Row],[GES]]+20))))-AuswertungG[[#This Row],[GES]],0),"")</f>
        <v/>
      </c>
      <c r="AL83" s="117" cm="1">
        <f t="array" ref="AL83">IFERROR(ROUND(AVERAGE(_xlfn._xlws.FILTER(Eingabe[GES],(Eingabe[Name]=AuswertungG[[#This Row],[Name]])*(Eingabe[GEGGES]&lt;(AuswertungG[[#This Row],[GES]]-20))))-AuswertungG[[#This Row],[GES]],0),"")</f>
        <v>-7</v>
      </c>
    </row>
    <row r="84" spans="2:38" x14ac:dyDescent="0.3">
      <c r="B84" s="285" t="str">
        <f t="shared" si="1"/>
        <v>Marcel Giese</v>
      </c>
      <c r="C84" s="119" t="str">
        <f>IF(AuswertungG[[#This Row],[Name]]="","",VLOOKUP(AuswertungG[[#This Row],[Name]],Teamzuordnung[[Name]:[Team]],2,TRUE))</f>
        <v>D</v>
      </c>
      <c r="D84" s="122">
        <f>COUNTIFS(Eingabe[Name],AuswertungG[[#This Row],[Name]])</f>
        <v>3</v>
      </c>
      <c r="E84" s="117">
        <f>IF(AuswertungG[[#This Row],[Spiele]]="","",IF(AuswertungG[[#This Row],[Spiele]]-COUNTIFS(Eingabe[Name],AuswertungG[[#This Row],[Name]],Eingabe[MP],"")=0,"",AuswertungG[[#This Row],[Spiele]]-COUNTIFS(Eingabe[Name],AuswertungG[[#This Row],[Name]],Eingabe[MP],"")))</f>
        <v>2</v>
      </c>
      <c r="F84" s="117">
        <f>IF(AuswertungG[[#This Row],[Spiele]]=0,"",ROUND(AVERAGEIFS(Eingabe[Volle],Eingabe[Name],AuswertungG[[#This Row],[Name]]),0))</f>
        <v>332</v>
      </c>
      <c r="G84" s="117">
        <f>IF(AuswertungG[[#This Row],[Spiele]]=0,"",ROUND(AVERAGEIFS(Eingabe[Räumer],Eingabe[Name],AuswertungG[[#This Row],[Name]]),0))</f>
        <v>140</v>
      </c>
      <c r="H84" s="123">
        <f>IF(AuswertungG[[#This Row],[Spiele]]=0,"",ROUND(AVERAGEIFS(Eingabe[Fehler],Eingabe[Name],AuswertungG[[#This Row],[Name]]),1))</f>
        <v>15</v>
      </c>
      <c r="I84" s="117">
        <f>IF(AuswertungG[[#This Row],[Spiele]]=0,"",ROUND(AVERAGEIFS(Eingabe[GES],Eingabe[Name],AuswertungG[[#This Row],[Name]]),0))</f>
        <v>471</v>
      </c>
      <c r="J84" s="123">
        <f>IF(AuswertungG[[#This Row],[Spiele MP]]="","",ROUND(AVERAGEIFS(Eingabe[SP],Eingabe[Name],AuswertungG[[#This Row],[Name]]),1))</f>
        <v>1.8</v>
      </c>
      <c r="K84" s="121">
        <f>IF(AuswertungG[[#This Row],[Spiele MP]]="","",ROUND(AVERAGEIFS(Eingabe[MP],Eingabe[Name],AuswertungG[[#This Row],[Name]]),2))</f>
        <v>0.5</v>
      </c>
      <c r="L84" s="117">
        <f>IFERROR(ROUND(AVERAGEIFS(Eingabe[S1],Eingabe[Name],AuswertungG[[#This Row],[Name]]),0),"")</f>
        <v>116</v>
      </c>
      <c r="M84" s="268">
        <f>IFERROR(ROUND(AVERAGEIFS(Eingabe[S2],Eingabe[Name],AuswertungG[[#This Row],[Name]]),0),"")</f>
        <v>119</v>
      </c>
      <c r="N84" s="117">
        <f>IFERROR(ROUND(AVERAGEIFS(Eingabe[S3],Eingabe[Name],AuswertungG[[#This Row],[Name]]),0),"")</f>
        <v>114</v>
      </c>
      <c r="O84" s="268">
        <f>IFERROR(ROUND(AVERAGEIFS(Eingabe[S3],Eingabe[Name],AuswertungG[[#This Row],[Name]]),0),"")</f>
        <v>114</v>
      </c>
      <c r="P84" s="121">
        <f>IF(AuswertungG[[#This Row],[Spiele MP]]="","",ROUND(AVERAGEIFS(Eingabe[S1P],Eingabe[Name],AuswertungG[[#This Row],[Name]]),2))</f>
        <v>0.25</v>
      </c>
      <c r="Q84" s="121">
        <f>IF(AuswertungG[[#This Row],[Spiele MP]]="","",ROUND(AVERAGEIFS(Eingabe[S2P],Eingabe[Name],AuswertungG[[#This Row],[Name]]),2))</f>
        <v>1</v>
      </c>
      <c r="R84" s="121">
        <f>IF(AuswertungG[[#This Row],[Spiele MP]]="","",ROUND(AVERAGEIFS(Eingabe[S3P],Eingabe[Name],AuswertungG[[#This Row],[Name]]),2))</f>
        <v>0</v>
      </c>
      <c r="S84" s="121">
        <f>IF(AuswertungG[[#This Row],[Spiele MP]]="","",ROUND(AVERAGEIFS(Eingabe[S4P],Eingabe[Name],AuswertungG[[#This Row],[Name]]),2))</f>
        <v>0.5</v>
      </c>
      <c r="T84" s="267" cm="1">
        <f t="array" ref="T84">IF(AuswertungG[[#This Row],[Spiele]]="","",IF(AuswertungG[[#This Row],[Spiele]]&lt;2,"",ROUND(SLOPE(_xlfn._xlws.FILTER(Eingabe[GES],Eingabe[Name]=AuswertungG[[#This Row],[Name]]),_xlfn._xlws.FILTER(Eingabe[KW],Eingabe[Name]=AuswertungG[[#This Row],[Name]])),2)))</f>
        <v>4.3099999999999996</v>
      </c>
      <c r="U84" s="267" cm="1">
        <f t="array" ref="U84">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4.3099999999999996</v>
      </c>
      <c r="V84" s="117" cm="1">
        <f t="array" ref="V84">IF(AuswertungG[[#This Row],[Spiele]]="","",IF(AuswertungG[[#This Row],[Spiele]]&lt;2,"",ROUND(_xlfn.STDEV.P(_xlfn._xlws.FILTER(Eingabe[GES],Eingabe[Name]=AuswertungG[[#This Row],[Name]])),0)))</f>
        <v>15</v>
      </c>
      <c r="W84" s="117">
        <f>IF(AuswertungG[[#This Row],[Spiele MP]]="","",ROUND(AVERAGEIFS(Eingabe[GEGGES],Eingabe[Name],AuswertungG[[#This Row],[Name]]),0))</f>
        <v>518</v>
      </c>
      <c r="X84" s="123" t="str">
        <f>VLOOKUP(AuswertungG[[#This Row],[Name]],PositionG[],21,FALSE)</f>
        <v>[1][2]</v>
      </c>
      <c r="Y84" s="123">
        <f>VLOOKUP(AuswertungG[[#This Row],[Name]],PositionG[],22,FALSE)</f>
        <v>1</v>
      </c>
      <c r="Z84" s="123" t="str">
        <f>VLOOKUP(AuswertungG[[#This Row],[Name]],PositionG[],23,FALSE)</f>
        <v>[1]</v>
      </c>
      <c r="AA84" s="121">
        <f>IF(AuswertungG[[#This Row],[Spiele MP]]="","",ROUND(VLOOKUP(AuswertungG[[#This Row],[Name]],PositionG[],24,FALSE),2))</f>
        <v>1</v>
      </c>
      <c r="AB84" s="123">
        <f>IF(AuswertungG[[#This Row],[Spiele]]=0,"",ROUND(AVERAGEIFS(Eingabe[Rang],Eingabe[Name],AuswertungG[[#This Row],[Name]]),1))</f>
        <v>5</v>
      </c>
      <c r="AC84" s="123" cm="1">
        <f t="array" ref="AC84">IFERROR(ROUND(MEDIAN(_xlfn._xlws.FILTER(Eingabe[GES],Eingabe[Name]=AuswertungG[[#This Row],[Name]])),0),"")</f>
        <v>469</v>
      </c>
      <c r="AD84" s="121">
        <f>IFERROR(AuswertungG[[#This Row],[STABW]]/AuswertungG[[#This Row],[GES]],"")</f>
        <v>3.1847133757961783E-2</v>
      </c>
      <c r="AE84" s="123" cm="1">
        <f t="array" ref="AE84">IFERROR(ROUND(_xlfn.QUARTILE.INC(_xlfn._xlws.FILTER(Eingabe[GES],Eingabe[Name]=AuswertungG[[#This Row],[Name]]),3)-_xlfn.QUARTILE.INC(_xlfn._xlws.FILTER(Eingabe[GES],Eingabe[Name]=AuswertungG[[#This Row],[Name]]),1),0),"")</f>
        <v>19</v>
      </c>
      <c r="AF84" s="123">
        <f>IFERROR(1/AuswertungG[[#This Row],[VK]],"")</f>
        <v>31.4</v>
      </c>
      <c r="AG84" s="123">
        <f>IFERROR(AuswertungG[[#This Row],[Volle]]/AuswertungG[[#This Row],[Räumer]]-2,"")</f>
        <v>0.37142857142857144</v>
      </c>
      <c r="AH84" s="117">
        <f>IFERROR(ROUND((AuswertungG[[#This Row],[Spiele]]*60)/(AuswertungG[[#This Row],[Fehler]]*AuswertungG[[#This Row],[Spiele]]),0),"")</f>
        <v>4</v>
      </c>
      <c r="AI84" s="123" cm="1">
        <f t="array" ref="AI84">IFERROR((AVERAGE(_xlfn._xlws.FILTER(_xlfn._xlws.FILTER(Eingabe[GES],Eingabe[Name]=AuswertungG[[#This Row],[Name]]),ABS(_xlfn._xlws.FILTER(Eingabe[GEGGES],Eingabe[Name]=AuswertungG[[#This Row],[Name]])-_xlfn._xlws.FILTER(Eingabe[GES],Eingabe[Name]=AuswertungG[[#This Row],[Name]]))&lt;15))-AuswertungG[[#This Row],[GES]])/AuswertungG[[#This Row],[STABW]],"")</f>
        <v>1.3333333333333333</v>
      </c>
      <c r="AJ84" s="267">
        <f>IFERROR(ROUND(AVERAGEIFS(Eingabe[MP],Eingabe[Diff],"&lt;15",Eingabe[Name],AuswertungG[[#This Row],[Name]])-AuswertungG[[#This Row],[MP]],2),"")</f>
        <v>0.5</v>
      </c>
      <c r="AK84" s="117" cm="1">
        <f t="array" ref="AK84">IFERROR(ROUND(AVERAGE(_xlfn._xlws.FILTER(Eingabe[GES],(Eingabe[Name]=AuswertungG[[#This Row],[Name]])*(Eingabe[GEGGES]&gt;(AuswertungG[[#This Row],[GES]]+20))))-AuswertungG[[#This Row],[GES]],0),"")</f>
        <v>-17</v>
      </c>
      <c r="AL84" s="117" cm="1">
        <f t="array" ref="AL84">IFERROR(ROUND(AVERAGE(_xlfn._xlws.FILTER(Eingabe[GES],(Eingabe[Name]=AuswertungG[[#This Row],[Name]])*(Eingabe[GEGGES]&lt;(AuswertungG[[#This Row],[GES]]-20))))-AuswertungG[[#This Row],[GES]],0),"")</f>
        <v>-2</v>
      </c>
    </row>
    <row r="85" spans="2:38" x14ac:dyDescent="0.3">
      <c r="B85" s="285" t="str">
        <f t="shared" si="1"/>
        <v>Mario Hägemann</v>
      </c>
      <c r="C85" s="119" t="str">
        <f>IF(AuswertungG[[#This Row],[Name]]="","",VLOOKUP(AuswertungG[[#This Row],[Name]],Teamzuordnung[[Name]:[Team]],2,TRUE))</f>
        <v>Z</v>
      </c>
      <c r="D85" s="122">
        <f>COUNTIFS(Eingabe[Name],AuswertungG[[#This Row],[Name]])</f>
        <v>10</v>
      </c>
      <c r="E85" s="117">
        <f>IF(AuswertungG[[#This Row],[Spiele]]="","",IF(AuswertungG[[#This Row],[Spiele]]-COUNTIFS(Eingabe[Name],AuswertungG[[#This Row],[Name]],Eingabe[MP],"")=0,"",AuswertungG[[#This Row],[Spiele]]-COUNTIFS(Eingabe[Name],AuswertungG[[#This Row],[Name]],Eingabe[MP],"")))</f>
        <v>10</v>
      </c>
      <c r="F85" s="117">
        <f>IF(AuswertungG[[#This Row],[Spiele]]=0,"",ROUND(AVERAGEIFS(Eingabe[Volle],Eingabe[Name],AuswertungG[[#This Row],[Name]]),0))</f>
        <v>349</v>
      </c>
      <c r="G85" s="117">
        <f>IF(AuswertungG[[#This Row],[Spiele]]=0,"",ROUND(AVERAGEIFS(Eingabe[Räumer],Eingabe[Name],AuswertungG[[#This Row],[Name]]),0))</f>
        <v>172</v>
      </c>
      <c r="H85" s="123">
        <f>IF(AuswertungG[[#This Row],[Spiele]]=0,"",ROUND(AVERAGEIFS(Eingabe[Fehler],Eingabe[Name],AuswertungG[[#This Row],[Name]]),1))</f>
        <v>6</v>
      </c>
      <c r="I85" s="117">
        <f>IF(AuswertungG[[#This Row],[Spiele]]=0,"",ROUND(AVERAGEIFS(Eingabe[GES],Eingabe[Name],AuswertungG[[#This Row],[Name]]),0))</f>
        <v>522</v>
      </c>
      <c r="J85" s="123">
        <f>IF(AuswertungG[[#This Row],[Spiele MP]]="","",ROUND(AVERAGEIFS(Eingabe[SP],Eingabe[Name],AuswertungG[[#This Row],[Name]]),1))</f>
        <v>2.4</v>
      </c>
      <c r="K85" s="121">
        <f>IF(AuswertungG[[#This Row],[Spiele MP]]="","",ROUND(AVERAGEIFS(Eingabe[MP],Eingabe[Name],AuswertungG[[#This Row],[Name]]),2))</f>
        <v>0.8</v>
      </c>
      <c r="L85" s="117">
        <f>IFERROR(ROUND(AVERAGEIFS(Eingabe[S1],Eingabe[Name],AuswertungG[[#This Row],[Name]]),0),"")</f>
        <v>135</v>
      </c>
      <c r="M85" s="268">
        <f>IFERROR(ROUND(AVERAGEIFS(Eingabe[S2],Eingabe[Name],AuswertungG[[#This Row],[Name]]),0),"")</f>
        <v>128</v>
      </c>
      <c r="N85" s="117">
        <f>IFERROR(ROUND(AVERAGEIFS(Eingabe[S3],Eingabe[Name],AuswertungG[[#This Row],[Name]]),0),"")</f>
        <v>130</v>
      </c>
      <c r="O85" s="268">
        <f>IFERROR(ROUND(AVERAGEIFS(Eingabe[S3],Eingabe[Name],AuswertungG[[#This Row],[Name]]),0),"")</f>
        <v>130</v>
      </c>
      <c r="P85" s="121">
        <f>IF(AuswertungG[[#This Row],[Spiele MP]]="","",ROUND(AVERAGEIFS(Eingabe[S1P],Eingabe[Name],AuswertungG[[#This Row],[Name]]),2))</f>
        <v>0.6</v>
      </c>
      <c r="Q85" s="121">
        <f>IF(AuswertungG[[#This Row],[Spiele MP]]="","",ROUND(AVERAGEIFS(Eingabe[S2P],Eingabe[Name],AuswertungG[[#This Row],[Name]]),2))</f>
        <v>0.65</v>
      </c>
      <c r="R85" s="121">
        <f>IF(AuswertungG[[#This Row],[Spiele MP]]="","",ROUND(AVERAGEIFS(Eingabe[S3P],Eingabe[Name],AuswertungG[[#This Row],[Name]]),2))</f>
        <v>0.55000000000000004</v>
      </c>
      <c r="S85" s="121">
        <f>IF(AuswertungG[[#This Row],[Spiele MP]]="","",ROUND(AVERAGEIFS(Eingabe[S4P],Eingabe[Name],AuswertungG[[#This Row],[Name]]),2))</f>
        <v>0.6</v>
      </c>
      <c r="T85" s="267" cm="1">
        <f t="array" ref="T85">IF(AuswertungG[[#This Row],[Spiele]]="","",IF(AuswertungG[[#This Row],[Spiele]]&lt;2,"",ROUND(SLOPE(_xlfn._xlws.FILTER(Eingabe[GES],Eingabe[Name]=AuswertungG[[#This Row],[Name]]),_xlfn._xlws.FILTER(Eingabe[KW],Eingabe[Name]=AuswertungG[[#This Row],[Name]])),2)))</f>
        <v>0.1</v>
      </c>
      <c r="U85" s="267" cm="1">
        <f t="array" ref="U85">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-2.39</v>
      </c>
      <c r="V85" s="117" cm="1">
        <f t="array" ref="V85">IF(AuswertungG[[#This Row],[Spiele]]="","",IF(AuswertungG[[#This Row],[Spiele]]&lt;2,"",ROUND(_xlfn.STDEV.P(_xlfn._xlws.FILTER(Eingabe[GES],Eingabe[Name]=AuswertungG[[#This Row],[Name]])),0)))</f>
        <v>27</v>
      </c>
      <c r="W85" s="117">
        <f>IF(AuswertungG[[#This Row],[Spiele MP]]="","",ROUND(AVERAGEIFS(Eingabe[GEGGES],Eingabe[Name],AuswertungG[[#This Row],[Name]]),0))</f>
        <v>511</v>
      </c>
      <c r="X85" s="123" t="str">
        <f>VLOOKUP(AuswertungG[[#This Row],[Name]],PositionG[],21,FALSE)</f>
        <v>[1]</v>
      </c>
      <c r="Y85" s="123">
        <f>VLOOKUP(AuswertungG[[#This Row],[Name]],PositionG[],22,FALSE)</f>
        <v>4</v>
      </c>
      <c r="Z85" s="123" t="str">
        <f>VLOOKUP(AuswertungG[[#This Row],[Name]],PositionG[],23,FALSE)</f>
        <v>[1][3][4]</v>
      </c>
      <c r="AA85" s="121">
        <f>IF(AuswertungG[[#This Row],[Spiele MP]]="","",ROUND(VLOOKUP(AuswertungG[[#This Row],[Name]],PositionG[],24,FALSE),2))</f>
        <v>1</v>
      </c>
      <c r="AB85" s="123">
        <f>IF(AuswertungG[[#This Row],[Spiele]]=0,"",ROUND(AVERAGEIFS(Eingabe[Rang],Eingabe[Name],AuswertungG[[#This Row],[Name]]),1))</f>
        <v>3.4</v>
      </c>
      <c r="AC85" s="123" cm="1">
        <f t="array" ref="AC85">IFERROR(ROUND(MEDIAN(_xlfn._xlws.FILTER(Eingabe[GES],Eingabe[Name]=AuswertungG[[#This Row],[Name]])),0),"")</f>
        <v>523</v>
      </c>
      <c r="AD85" s="121">
        <f>IFERROR(AuswertungG[[#This Row],[STABW]]/AuswertungG[[#This Row],[GES]],"")</f>
        <v>5.1724137931034482E-2</v>
      </c>
      <c r="AE85" s="123" cm="1">
        <f t="array" ref="AE85">IFERROR(ROUND(_xlfn.QUARTILE.INC(_xlfn._xlws.FILTER(Eingabe[GES],Eingabe[Name]=AuswertungG[[#This Row],[Name]]),3)-_xlfn.QUARTILE.INC(_xlfn._xlws.FILTER(Eingabe[GES],Eingabe[Name]=AuswertungG[[#This Row],[Name]]),1),0),"")</f>
        <v>36</v>
      </c>
      <c r="AF85" s="123">
        <f>IFERROR(1/AuswertungG[[#This Row],[VK]],"")</f>
        <v>19.333333333333332</v>
      </c>
      <c r="AG85" s="123">
        <f>IFERROR(AuswertungG[[#This Row],[Volle]]/AuswertungG[[#This Row],[Räumer]]-2,"")</f>
        <v>2.9069767441860517E-2</v>
      </c>
      <c r="AH85" s="117">
        <f>IFERROR(ROUND((AuswertungG[[#This Row],[Spiele]]*60)/(AuswertungG[[#This Row],[Fehler]]*AuswertungG[[#This Row],[Spiele]]),0),"")</f>
        <v>10</v>
      </c>
      <c r="AI85" s="123" cm="1">
        <f t="array" ref="AI85">IFERROR((AVERAGE(_xlfn._xlws.FILTER(_xlfn._xlws.FILTER(Eingabe[GES],Eingabe[Name]=AuswertungG[[#This Row],[Name]]),ABS(_xlfn._xlws.FILTER(Eingabe[GEGGES],Eingabe[Name]=AuswertungG[[#This Row],[Name]])-_xlfn._xlws.FILTER(Eingabe[GES],Eingabe[Name]=AuswertungG[[#This Row],[Name]]))&lt;15))-AuswertungG[[#This Row],[GES]])/AuswertungG[[#This Row],[STABW]],"")</f>
        <v>-8.641975308642115E-2</v>
      </c>
      <c r="AJ85" s="267">
        <f>IFERROR(ROUND(AVERAGEIFS(Eingabe[MP],Eingabe[Diff],"&lt;15",Eingabe[Name],AuswertungG[[#This Row],[Name]])-AuswertungG[[#This Row],[MP]],2),"")</f>
        <v>0.2</v>
      </c>
      <c r="AK85" s="117" cm="1">
        <f t="array" ref="AK85">IFERROR(ROUND(AVERAGE(_xlfn._xlws.FILTER(Eingabe[GES],(Eingabe[Name]=AuswertungG[[#This Row],[Name]])*(Eingabe[GEGGES]&gt;(AuswertungG[[#This Row],[GES]]+20))))-AuswertungG[[#This Row],[GES]],0),"")</f>
        <v>40</v>
      </c>
      <c r="AL85" s="117" cm="1">
        <f t="array" ref="AL85">IFERROR(ROUND(AVERAGE(_xlfn._xlws.FILTER(Eingabe[GES],(Eingabe[Name]=AuswertungG[[#This Row],[Name]])*(Eingabe[GEGGES]&lt;(AuswertungG[[#This Row],[GES]]-20))))-AuswertungG[[#This Row],[GES]],0),"")</f>
        <v>-15</v>
      </c>
    </row>
    <row r="86" spans="2:38" x14ac:dyDescent="0.3">
      <c r="B86" s="285" t="str">
        <f t="shared" si="1"/>
        <v>Markus Unvericht</v>
      </c>
      <c r="C86" s="119" t="str">
        <f>IF(AuswertungG[[#This Row],[Name]]="","",VLOOKUP(AuswertungG[[#This Row],[Name]],Teamzuordnung[[Name]:[Team]],2,TRUE))</f>
        <v>D</v>
      </c>
      <c r="D86" s="120">
        <f>COUNTIFS(Eingabe[Name],AuswertungG[[#This Row],[Name]])</f>
        <v>0</v>
      </c>
      <c r="E86" s="116" t="str">
        <f>IF(AuswertungG[[#This Row],[Spiele]]="","",IF(AuswertungG[[#This Row],[Spiele]]-COUNTIFS(Eingabe[Name],AuswertungG[[#This Row],[Name]],Eingabe[MP],"")=0,"",AuswertungG[[#This Row],[Spiele]]-COUNTIFS(Eingabe[Name],AuswertungG[[#This Row],[Name]],Eingabe[MP],"")))</f>
        <v/>
      </c>
      <c r="F86" s="117" t="str">
        <f>IF(AuswertungG[[#This Row],[Spiele]]=0,"",ROUND(AVERAGEIFS(Eingabe[Volle],Eingabe[Name],AuswertungG[[#This Row],[Name]]),0))</f>
        <v/>
      </c>
      <c r="G86" s="117" t="str">
        <f>IF(AuswertungG[[#This Row],[Spiele]]=0,"",ROUND(AVERAGEIFS(Eingabe[Räumer],Eingabe[Name],AuswertungG[[#This Row],[Name]]),0))</f>
        <v/>
      </c>
      <c r="H86" s="123" t="str">
        <f>IF(AuswertungG[[#This Row],[Spiele]]=0,"",ROUND(AVERAGEIFS(Eingabe[Fehler],Eingabe[Name],AuswertungG[[#This Row],[Name]]),1))</f>
        <v/>
      </c>
      <c r="I86" s="117" t="str">
        <f>IF(AuswertungG[[#This Row],[Spiele]]=0,"",ROUND(AVERAGEIFS(Eingabe[GES],Eingabe[Name],AuswertungG[[#This Row],[Name]]),0))</f>
        <v/>
      </c>
      <c r="J86" s="123" t="str">
        <f>IF(AuswertungG[[#This Row],[Spiele MP]]="","",ROUND(AVERAGEIFS(Eingabe[SP],Eingabe[Name],AuswertungG[[#This Row],[Name]]),1))</f>
        <v/>
      </c>
      <c r="K86" s="121" t="str">
        <f>IF(AuswertungG[[#This Row],[Spiele MP]]="","",ROUND(AVERAGEIFS(Eingabe[MP],Eingabe[Name],AuswertungG[[#This Row],[Name]]),2))</f>
        <v/>
      </c>
      <c r="L86" s="117" t="str">
        <f>IFERROR(ROUND(AVERAGEIFS(Eingabe[S1],Eingabe[Name],AuswertungG[[#This Row],[Name]]),0),"")</f>
        <v/>
      </c>
      <c r="M86" s="268" t="str">
        <f>IFERROR(ROUND(AVERAGEIFS(Eingabe[S2],Eingabe[Name],AuswertungG[[#This Row],[Name]]),0),"")</f>
        <v/>
      </c>
      <c r="N86" s="117" t="str">
        <f>IFERROR(ROUND(AVERAGEIFS(Eingabe[S3],Eingabe[Name],AuswertungG[[#This Row],[Name]]),0),"")</f>
        <v/>
      </c>
      <c r="O86" s="268" t="str">
        <f>IFERROR(ROUND(AVERAGEIFS(Eingabe[S3],Eingabe[Name],AuswertungG[[#This Row],[Name]]),0),"")</f>
        <v/>
      </c>
      <c r="P86" s="121" t="str">
        <f>IF(AuswertungG[[#This Row],[Spiele MP]]="","",ROUND(AVERAGEIFS(Eingabe[S1P],Eingabe[Name],AuswertungG[[#This Row],[Name]]),2))</f>
        <v/>
      </c>
      <c r="Q86" s="121" t="str">
        <f>IF(AuswertungG[[#This Row],[Spiele MP]]="","",ROUND(AVERAGEIFS(Eingabe[S2P],Eingabe[Name],AuswertungG[[#This Row],[Name]]),2))</f>
        <v/>
      </c>
      <c r="R86" s="121" t="str">
        <f>IF(AuswertungG[[#This Row],[Spiele MP]]="","",ROUND(AVERAGEIFS(Eingabe[S3P],Eingabe[Name],AuswertungG[[#This Row],[Name]]),2))</f>
        <v/>
      </c>
      <c r="S86" s="121" t="str">
        <f>IF(AuswertungG[[#This Row],[Spiele MP]]="","",ROUND(AVERAGEIFS(Eingabe[S4P],Eingabe[Name],AuswertungG[[#This Row],[Name]]),2))</f>
        <v/>
      </c>
      <c r="T86" s="267" t="str" cm="1">
        <f t="array" ref="T86">IF(AuswertungG[[#This Row],[Spiele]]="","",IF(AuswertungG[[#This Row],[Spiele]]&lt;2,"",ROUND(SLOPE(_xlfn._xlws.FILTER(Eingabe[GES],Eingabe[Name]=AuswertungG[[#This Row],[Name]]),_xlfn._xlws.FILTER(Eingabe[KW],Eingabe[Name]=AuswertungG[[#This Row],[Name]])),2)))</f>
        <v/>
      </c>
      <c r="U86" s="267" t="str" cm="1">
        <f t="array" ref="U86">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86" s="117" t="str" cm="1">
        <f t="array" ref="V86">IF(AuswertungG[[#This Row],[Spiele]]="","",IF(AuswertungG[[#This Row],[Spiele]]&lt;2,"",ROUND(_xlfn.STDEV.P(_xlfn._xlws.FILTER(Eingabe[GES],Eingabe[Name]=AuswertungG[[#This Row],[Name]])),0)))</f>
        <v/>
      </c>
      <c r="W86" s="117" t="str">
        <f>IF(AuswertungG[[#This Row],[Spiele MP]]="","",ROUND(AVERAGEIFS(Eingabe[GEGGES],Eingabe[Name],AuswertungG[[#This Row],[Name]]),0))</f>
        <v/>
      </c>
      <c r="X86" s="116" t="str">
        <f>VLOOKUP(AuswertungG[[#This Row],[Name]],PositionG[],21,FALSE)</f>
        <v/>
      </c>
      <c r="Y86" s="116" t="str">
        <f>VLOOKUP(AuswertungG[[#This Row],[Name]],PositionG[],22,FALSE)</f>
        <v/>
      </c>
      <c r="Z86" s="116" t="str">
        <f>VLOOKUP(AuswertungG[[#This Row],[Name]],PositionG[],23,FALSE)</f>
        <v/>
      </c>
      <c r="AA86" s="121" t="str">
        <f>IF(AuswertungG[[#This Row],[Spiele MP]]="","",ROUND(VLOOKUP(AuswertungG[[#This Row],[Name]],PositionG[],24,FALSE),2))</f>
        <v/>
      </c>
      <c r="AB86" s="123" t="str">
        <f>IF(AuswertungG[[#This Row],[Spiele]]=0,"",ROUND(AVERAGEIFS(Eingabe[Rang],Eingabe[Name],AuswertungG[[#This Row],[Name]]),1))</f>
        <v/>
      </c>
      <c r="AC86" s="123" t="str" cm="1">
        <f t="array" ref="AC86">IFERROR(ROUND(MEDIAN(_xlfn._xlws.FILTER(Eingabe[GES],Eingabe[Name]=AuswertungG[[#This Row],[Name]])),0),"")</f>
        <v/>
      </c>
      <c r="AD86" s="121" t="str">
        <f>IFERROR(AuswertungG[[#This Row],[STABW]]/AuswertungG[[#This Row],[GES]],"")</f>
        <v/>
      </c>
      <c r="AE86" s="123" t="str" cm="1">
        <f t="array" ref="AE86">IFERROR(ROUND(_xlfn.QUARTILE.INC(_xlfn._xlws.FILTER(Eingabe[GES],Eingabe[Name]=AuswertungG[[#This Row],[Name]]),3)-_xlfn.QUARTILE.INC(_xlfn._xlws.FILTER(Eingabe[GES],Eingabe[Name]=AuswertungG[[#This Row],[Name]]),1),0),"")</f>
        <v/>
      </c>
      <c r="AF86" s="123" t="str">
        <f>IFERROR(1/AuswertungG[[#This Row],[VK]],"")</f>
        <v/>
      </c>
      <c r="AG86" s="123" t="str">
        <f>IFERROR(AuswertungG[[#This Row],[Volle]]/AuswertungG[[#This Row],[Räumer]]-2,"")</f>
        <v/>
      </c>
      <c r="AH86" s="117" t="str">
        <f>IFERROR(ROUND((AuswertungG[[#This Row],[Spiele]]*60)/(AuswertungG[[#This Row],[Fehler]]*AuswertungG[[#This Row],[Spiele]]),0),"")</f>
        <v/>
      </c>
      <c r="AI86" s="123" t="str" cm="1">
        <f t="array" ref="AI86">IFERROR((AVERAGE(_xlfn._xlws.FILTER(_xlfn._xlws.FILTER(Eingabe[GES],Eingabe[Name]=AuswertungG[[#This Row],[Name]]),ABS(_xlfn._xlws.FILTER(Eingabe[GEGGES],Eingabe[Name]=AuswertungG[[#This Row],[Name]])-_xlfn._xlws.FILTER(Eingabe[GES],Eingabe[Name]=AuswertungG[[#This Row],[Name]]))&lt;15))-AuswertungG[[#This Row],[GES]])/AuswertungG[[#This Row],[STABW]],"")</f>
        <v/>
      </c>
      <c r="AJ86" s="267" t="str">
        <f>IFERROR(ROUND(AVERAGEIFS(Eingabe[MP],Eingabe[Diff],"&lt;15",Eingabe[Name],AuswertungG[[#This Row],[Name]])-AuswertungG[[#This Row],[MP]],2),"")</f>
        <v/>
      </c>
      <c r="AK86" s="117" t="str" cm="1">
        <f t="array" ref="AK86">IFERROR(ROUND(AVERAGE(_xlfn._xlws.FILTER(Eingabe[GES],(Eingabe[Name]=AuswertungG[[#This Row],[Name]])*(Eingabe[GEGGES]&gt;(AuswertungG[[#This Row],[GES]]+20))))-AuswertungG[[#This Row],[GES]],0),"")</f>
        <v/>
      </c>
      <c r="AL86" s="117" t="str" cm="1">
        <f t="array" ref="AL86">IFERROR(ROUND(AVERAGE(_xlfn._xlws.FILTER(Eingabe[GES],(Eingabe[Name]=AuswertungG[[#This Row],[Name]])*(Eingabe[GEGGES]&lt;(AuswertungG[[#This Row],[GES]]-20))))-AuswertungG[[#This Row],[GES]],0),"")</f>
        <v/>
      </c>
    </row>
    <row r="87" spans="2:38" x14ac:dyDescent="0.3">
      <c r="B87" s="285" t="str">
        <f t="shared" si="1"/>
        <v>Martin Börner</v>
      </c>
      <c r="C87" s="119" t="str">
        <f>IF(AuswertungG[[#This Row],[Name]]="","",VLOOKUP(AuswertungG[[#This Row],[Name]],Teamzuordnung[[Name]:[Team]],2,TRUE))</f>
        <v>Z</v>
      </c>
      <c r="D87" s="122">
        <f>COUNTIFS(Eingabe[Name],AuswertungG[[#This Row],[Name]])</f>
        <v>0</v>
      </c>
      <c r="E87" s="117" t="str">
        <f>IF(AuswertungG[[#This Row],[Spiele]]="","",IF(AuswertungG[[#This Row],[Spiele]]-COUNTIFS(Eingabe[Name],AuswertungG[[#This Row],[Name]],Eingabe[MP],"")=0,"",AuswertungG[[#This Row],[Spiele]]-COUNTIFS(Eingabe[Name],AuswertungG[[#This Row],[Name]],Eingabe[MP],"")))</f>
        <v/>
      </c>
      <c r="F87" s="117" t="str">
        <f>IF(AuswertungG[[#This Row],[Spiele]]=0,"",ROUND(AVERAGEIFS(Eingabe[Volle],Eingabe[Name],AuswertungG[[#This Row],[Name]]),0))</f>
        <v/>
      </c>
      <c r="G87" s="117" t="str">
        <f>IF(AuswertungG[[#This Row],[Spiele]]=0,"",ROUND(AVERAGEIFS(Eingabe[Räumer],Eingabe[Name],AuswertungG[[#This Row],[Name]]),0))</f>
        <v/>
      </c>
      <c r="H87" s="123" t="str">
        <f>IF(AuswertungG[[#This Row],[Spiele]]=0,"",ROUND(AVERAGEIFS(Eingabe[Fehler],Eingabe[Name],AuswertungG[[#This Row],[Name]]),1))</f>
        <v/>
      </c>
      <c r="I87" s="117" t="str">
        <f>IF(AuswertungG[[#This Row],[Spiele]]=0,"",ROUND(AVERAGEIFS(Eingabe[GES],Eingabe[Name],AuswertungG[[#This Row],[Name]]),0))</f>
        <v/>
      </c>
      <c r="J87" s="123" t="str">
        <f>IF(AuswertungG[[#This Row],[Spiele MP]]="","",ROUND(AVERAGEIFS(Eingabe[SP],Eingabe[Name],AuswertungG[[#This Row],[Name]]),1))</f>
        <v/>
      </c>
      <c r="K87" s="121" t="str">
        <f>IF(AuswertungG[[#This Row],[Spiele MP]]="","",ROUND(AVERAGEIFS(Eingabe[MP],Eingabe[Name],AuswertungG[[#This Row],[Name]]),2))</f>
        <v/>
      </c>
      <c r="L87" s="117" t="str">
        <f>IFERROR(ROUND(AVERAGEIFS(Eingabe[S1],Eingabe[Name],AuswertungG[[#This Row],[Name]]),0),"")</f>
        <v/>
      </c>
      <c r="M87" s="268" t="str">
        <f>IFERROR(ROUND(AVERAGEIFS(Eingabe[S2],Eingabe[Name],AuswertungG[[#This Row],[Name]]),0),"")</f>
        <v/>
      </c>
      <c r="N87" s="117" t="str">
        <f>IFERROR(ROUND(AVERAGEIFS(Eingabe[S3],Eingabe[Name],AuswertungG[[#This Row],[Name]]),0),"")</f>
        <v/>
      </c>
      <c r="O87" s="268" t="str">
        <f>IFERROR(ROUND(AVERAGEIFS(Eingabe[S3],Eingabe[Name],AuswertungG[[#This Row],[Name]]),0),"")</f>
        <v/>
      </c>
      <c r="P87" s="121" t="str">
        <f>IF(AuswertungG[[#This Row],[Spiele MP]]="","",ROUND(AVERAGEIFS(Eingabe[S1P],Eingabe[Name],AuswertungG[[#This Row],[Name]]),2))</f>
        <v/>
      </c>
      <c r="Q87" s="121" t="str">
        <f>IF(AuswertungG[[#This Row],[Spiele MP]]="","",ROUND(AVERAGEIFS(Eingabe[S2P],Eingabe[Name],AuswertungG[[#This Row],[Name]]),2))</f>
        <v/>
      </c>
      <c r="R87" s="121" t="str">
        <f>IF(AuswertungG[[#This Row],[Spiele MP]]="","",ROUND(AVERAGEIFS(Eingabe[S3P],Eingabe[Name],AuswertungG[[#This Row],[Name]]),2))</f>
        <v/>
      </c>
      <c r="S87" s="121" t="str">
        <f>IF(AuswertungG[[#This Row],[Spiele MP]]="","",ROUND(AVERAGEIFS(Eingabe[S4P],Eingabe[Name],AuswertungG[[#This Row],[Name]]),2))</f>
        <v/>
      </c>
      <c r="T87" s="267" t="str" cm="1">
        <f t="array" ref="T87">IF(AuswertungG[[#This Row],[Spiele]]="","",IF(AuswertungG[[#This Row],[Spiele]]&lt;2,"",ROUND(SLOPE(_xlfn._xlws.FILTER(Eingabe[GES],Eingabe[Name]=AuswertungG[[#This Row],[Name]]),_xlfn._xlws.FILTER(Eingabe[KW],Eingabe[Name]=AuswertungG[[#This Row],[Name]])),2)))</f>
        <v/>
      </c>
      <c r="U87" s="267" t="str" cm="1">
        <f t="array" ref="U87">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87" s="117" t="str" cm="1">
        <f t="array" ref="V87">IF(AuswertungG[[#This Row],[Spiele]]="","",IF(AuswertungG[[#This Row],[Spiele]]&lt;2,"",ROUND(_xlfn.STDEV.P(_xlfn._xlws.FILTER(Eingabe[GES],Eingabe[Name]=AuswertungG[[#This Row],[Name]])),0)))</f>
        <v/>
      </c>
      <c r="W87" s="117" t="str">
        <f>IF(AuswertungG[[#This Row],[Spiele MP]]="","",ROUND(AVERAGEIFS(Eingabe[GEGGES],Eingabe[Name],AuswertungG[[#This Row],[Name]]),0))</f>
        <v/>
      </c>
      <c r="X87" s="123" t="str">
        <f>VLOOKUP(AuswertungG[[#This Row],[Name]],PositionG[],21,FALSE)</f>
        <v/>
      </c>
      <c r="Y87" s="123" t="str">
        <f>VLOOKUP(AuswertungG[[#This Row],[Name]],PositionG[],22,FALSE)</f>
        <v/>
      </c>
      <c r="Z87" s="123" t="str">
        <f>VLOOKUP(AuswertungG[[#This Row],[Name]],PositionG[],23,FALSE)</f>
        <v/>
      </c>
      <c r="AA87" s="121" t="str">
        <f>IF(AuswertungG[[#This Row],[Spiele MP]]="","",ROUND(VLOOKUP(AuswertungG[[#This Row],[Name]],PositionG[],24,FALSE),2))</f>
        <v/>
      </c>
      <c r="AB87" s="123" t="str">
        <f>IF(AuswertungG[[#This Row],[Spiele]]=0,"",ROUND(AVERAGEIFS(Eingabe[Rang],Eingabe[Name],AuswertungG[[#This Row],[Name]]),1))</f>
        <v/>
      </c>
      <c r="AC87" s="123" t="str" cm="1">
        <f t="array" ref="AC87">IFERROR(ROUND(MEDIAN(_xlfn._xlws.FILTER(Eingabe[GES],Eingabe[Name]=AuswertungG[[#This Row],[Name]])),0),"")</f>
        <v/>
      </c>
      <c r="AD87" s="121" t="str">
        <f>IFERROR(AuswertungG[[#This Row],[STABW]]/AuswertungG[[#This Row],[GES]],"")</f>
        <v/>
      </c>
      <c r="AE87" s="123" t="str" cm="1">
        <f t="array" ref="AE87">IFERROR(ROUND(_xlfn.QUARTILE.INC(_xlfn._xlws.FILTER(Eingabe[GES],Eingabe[Name]=AuswertungG[[#This Row],[Name]]),3)-_xlfn.QUARTILE.INC(_xlfn._xlws.FILTER(Eingabe[GES],Eingabe[Name]=AuswertungG[[#This Row],[Name]]),1),0),"")</f>
        <v/>
      </c>
      <c r="AF87" s="123" t="str">
        <f>IFERROR(1/AuswertungG[[#This Row],[VK]],"")</f>
        <v/>
      </c>
      <c r="AG87" s="123" t="str">
        <f>IFERROR(AuswertungG[[#This Row],[Volle]]/AuswertungG[[#This Row],[Räumer]]-2,"")</f>
        <v/>
      </c>
      <c r="AH87" s="117" t="str">
        <f>IFERROR(ROUND((AuswertungG[[#This Row],[Spiele]]*60)/(AuswertungG[[#This Row],[Fehler]]*AuswertungG[[#This Row],[Spiele]]),0),"")</f>
        <v/>
      </c>
      <c r="AI87" s="123" t="str" cm="1">
        <f t="array" ref="AI87">IFERROR((AVERAGE(_xlfn._xlws.FILTER(_xlfn._xlws.FILTER(Eingabe[GES],Eingabe[Name]=AuswertungG[[#This Row],[Name]]),ABS(_xlfn._xlws.FILTER(Eingabe[GEGGES],Eingabe[Name]=AuswertungG[[#This Row],[Name]])-_xlfn._xlws.FILTER(Eingabe[GES],Eingabe[Name]=AuswertungG[[#This Row],[Name]]))&lt;15))-AuswertungG[[#This Row],[GES]])/AuswertungG[[#This Row],[STABW]],"")</f>
        <v/>
      </c>
      <c r="AJ87" s="267" t="str">
        <f>IFERROR(ROUND(AVERAGEIFS(Eingabe[MP],Eingabe[Diff],"&lt;15",Eingabe[Name],AuswertungG[[#This Row],[Name]])-AuswertungG[[#This Row],[MP]],2),"")</f>
        <v/>
      </c>
      <c r="AK87" s="117" t="str" cm="1">
        <f t="array" ref="AK87">IFERROR(ROUND(AVERAGE(_xlfn._xlws.FILTER(Eingabe[GES],(Eingabe[Name]=AuswertungG[[#This Row],[Name]])*(Eingabe[GEGGES]&gt;(AuswertungG[[#This Row],[GES]]+20))))-AuswertungG[[#This Row],[GES]],0),"")</f>
        <v/>
      </c>
      <c r="AL87" s="117" t="str" cm="1">
        <f t="array" ref="AL87">IFERROR(ROUND(AVERAGE(_xlfn._xlws.FILTER(Eingabe[GES],(Eingabe[Name]=AuswertungG[[#This Row],[Name]])*(Eingabe[GEGGES]&lt;(AuswertungG[[#This Row],[GES]]-20))))-AuswertungG[[#This Row],[GES]],0),"")</f>
        <v/>
      </c>
    </row>
    <row r="88" spans="2:38" x14ac:dyDescent="0.3">
      <c r="B88" s="285" t="str">
        <f t="shared" si="1"/>
        <v>Max Dost</v>
      </c>
      <c r="C88" s="119" t="str">
        <f>IF(AuswertungG[[#This Row],[Name]]="","",VLOOKUP(AuswertungG[[#This Row],[Name]],Teamzuordnung[[Name]:[Team]],2,TRUE))</f>
        <v>D</v>
      </c>
      <c r="D88" s="122">
        <f>COUNTIFS(Eingabe[Name],AuswertungG[[#This Row],[Name]])</f>
        <v>0</v>
      </c>
      <c r="E88" s="117" t="str">
        <f>IF(AuswertungG[[#This Row],[Spiele]]="","",IF(AuswertungG[[#This Row],[Spiele]]-COUNTIFS(Eingabe[Name],AuswertungG[[#This Row],[Name]],Eingabe[MP],"")=0,"",AuswertungG[[#This Row],[Spiele]]-COUNTIFS(Eingabe[Name],AuswertungG[[#This Row],[Name]],Eingabe[MP],"")))</f>
        <v/>
      </c>
      <c r="F88" s="117" t="str">
        <f>IF(AuswertungG[[#This Row],[Spiele]]=0,"",ROUND(AVERAGEIFS(Eingabe[Volle],Eingabe[Name],AuswertungG[[#This Row],[Name]]),0))</f>
        <v/>
      </c>
      <c r="G88" s="117" t="str">
        <f>IF(AuswertungG[[#This Row],[Spiele]]=0,"",ROUND(AVERAGEIFS(Eingabe[Räumer],Eingabe[Name],AuswertungG[[#This Row],[Name]]),0))</f>
        <v/>
      </c>
      <c r="H88" s="123" t="str">
        <f>IF(AuswertungG[[#This Row],[Spiele]]=0,"",ROUND(AVERAGEIFS(Eingabe[Fehler],Eingabe[Name],AuswertungG[[#This Row],[Name]]),1))</f>
        <v/>
      </c>
      <c r="I88" s="117" t="str">
        <f>IF(AuswertungG[[#This Row],[Spiele]]=0,"",ROUND(AVERAGEIFS(Eingabe[GES],Eingabe[Name],AuswertungG[[#This Row],[Name]]),0))</f>
        <v/>
      </c>
      <c r="J88" s="123" t="str">
        <f>IF(AuswertungG[[#This Row],[Spiele MP]]="","",ROUND(AVERAGEIFS(Eingabe[SP],Eingabe[Name],AuswertungG[[#This Row],[Name]]),1))</f>
        <v/>
      </c>
      <c r="K88" s="121" t="str">
        <f>IF(AuswertungG[[#This Row],[Spiele MP]]="","",ROUND(AVERAGEIFS(Eingabe[MP],Eingabe[Name],AuswertungG[[#This Row],[Name]]),2))</f>
        <v/>
      </c>
      <c r="L88" s="117" t="str">
        <f>IFERROR(ROUND(AVERAGEIFS(Eingabe[S1],Eingabe[Name],AuswertungG[[#This Row],[Name]]),0),"")</f>
        <v/>
      </c>
      <c r="M88" s="268" t="str">
        <f>IFERROR(ROUND(AVERAGEIFS(Eingabe[S2],Eingabe[Name],AuswertungG[[#This Row],[Name]]),0),"")</f>
        <v/>
      </c>
      <c r="N88" s="117" t="str">
        <f>IFERROR(ROUND(AVERAGEIFS(Eingabe[S3],Eingabe[Name],AuswertungG[[#This Row],[Name]]),0),"")</f>
        <v/>
      </c>
      <c r="O88" s="268" t="str">
        <f>IFERROR(ROUND(AVERAGEIFS(Eingabe[S3],Eingabe[Name],AuswertungG[[#This Row],[Name]]),0),"")</f>
        <v/>
      </c>
      <c r="P88" s="121" t="str">
        <f>IF(AuswertungG[[#This Row],[Spiele MP]]="","",ROUND(AVERAGEIFS(Eingabe[S1P],Eingabe[Name],AuswertungG[[#This Row],[Name]]),2))</f>
        <v/>
      </c>
      <c r="Q88" s="121" t="str">
        <f>IF(AuswertungG[[#This Row],[Spiele MP]]="","",ROUND(AVERAGEIFS(Eingabe[S2P],Eingabe[Name],AuswertungG[[#This Row],[Name]]),2))</f>
        <v/>
      </c>
      <c r="R88" s="121" t="str">
        <f>IF(AuswertungG[[#This Row],[Spiele MP]]="","",ROUND(AVERAGEIFS(Eingabe[S3P],Eingabe[Name],AuswertungG[[#This Row],[Name]]),2))</f>
        <v/>
      </c>
      <c r="S88" s="121" t="str">
        <f>IF(AuswertungG[[#This Row],[Spiele MP]]="","",ROUND(AVERAGEIFS(Eingabe[S4P],Eingabe[Name],AuswertungG[[#This Row],[Name]]),2))</f>
        <v/>
      </c>
      <c r="T88" s="267" t="str" cm="1">
        <f t="array" ref="T88">IF(AuswertungG[[#This Row],[Spiele]]="","",IF(AuswertungG[[#This Row],[Spiele]]&lt;2,"",ROUND(SLOPE(_xlfn._xlws.FILTER(Eingabe[GES],Eingabe[Name]=AuswertungG[[#This Row],[Name]]),_xlfn._xlws.FILTER(Eingabe[KW],Eingabe[Name]=AuswertungG[[#This Row],[Name]])),2)))</f>
        <v/>
      </c>
      <c r="U88" s="267" t="str" cm="1">
        <f t="array" ref="U88">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88" s="117" t="str" cm="1">
        <f t="array" ref="V88">IF(AuswertungG[[#This Row],[Spiele]]="","",IF(AuswertungG[[#This Row],[Spiele]]&lt;2,"",ROUND(_xlfn.STDEV.P(_xlfn._xlws.FILTER(Eingabe[GES],Eingabe[Name]=AuswertungG[[#This Row],[Name]])),0)))</f>
        <v/>
      </c>
      <c r="W88" s="117" t="str">
        <f>IF(AuswertungG[[#This Row],[Spiele MP]]="","",ROUND(AVERAGEIFS(Eingabe[GEGGES],Eingabe[Name],AuswertungG[[#This Row],[Name]]),0))</f>
        <v/>
      </c>
      <c r="X88" s="123" t="str">
        <f>VLOOKUP(AuswertungG[[#This Row],[Name]],PositionG[],21,FALSE)</f>
        <v/>
      </c>
      <c r="Y88" s="123" t="str">
        <f>VLOOKUP(AuswertungG[[#This Row],[Name]],PositionG[],22,FALSE)</f>
        <v/>
      </c>
      <c r="Z88" s="123" t="str">
        <f>VLOOKUP(AuswertungG[[#This Row],[Name]],PositionG[],23,FALSE)</f>
        <v/>
      </c>
      <c r="AA88" s="121" t="str">
        <f>IF(AuswertungG[[#This Row],[Spiele MP]]="","",ROUND(VLOOKUP(AuswertungG[[#This Row],[Name]],PositionG[],24,FALSE),2))</f>
        <v/>
      </c>
      <c r="AB88" s="123" t="str">
        <f>IF(AuswertungG[[#This Row],[Spiele]]=0,"",ROUND(AVERAGEIFS(Eingabe[Rang],Eingabe[Name],AuswertungG[[#This Row],[Name]]),1))</f>
        <v/>
      </c>
      <c r="AC88" s="123" t="str" cm="1">
        <f t="array" ref="AC88">IFERROR(ROUND(MEDIAN(_xlfn._xlws.FILTER(Eingabe[GES],Eingabe[Name]=AuswertungG[[#This Row],[Name]])),0),"")</f>
        <v/>
      </c>
      <c r="AD88" s="121" t="str">
        <f>IFERROR(AuswertungG[[#This Row],[STABW]]/AuswertungG[[#This Row],[GES]],"")</f>
        <v/>
      </c>
      <c r="AE88" s="123" t="str" cm="1">
        <f t="array" ref="AE88">IFERROR(ROUND(_xlfn.QUARTILE.INC(_xlfn._xlws.FILTER(Eingabe[GES],Eingabe[Name]=AuswertungG[[#This Row],[Name]]),3)-_xlfn.QUARTILE.INC(_xlfn._xlws.FILTER(Eingabe[GES],Eingabe[Name]=AuswertungG[[#This Row],[Name]]),1),0),"")</f>
        <v/>
      </c>
      <c r="AF88" s="123" t="str">
        <f>IFERROR(1/AuswertungG[[#This Row],[VK]],"")</f>
        <v/>
      </c>
      <c r="AG88" s="123" t="str">
        <f>IFERROR(AuswertungG[[#This Row],[Volle]]/AuswertungG[[#This Row],[Räumer]]-2,"")</f>
        <v/>
      </c>
      <c r="AH88" s="117" t="str">
        <f>IFERROR(ROUND((AuswertungG[[#This Row],[Spiele]]*60)/(AuswertungG[[#This Row],[Fehler]]*AuswertungG[[#This Row],[Spiele]]),0),"")</f>
        <v/>
      </c>
      <c r="AI88" s="123" t="str" cm="1">
        <f t="array" ref="AI88">IFERROR((AVERAGE(_xlfn._xlws.FILTER(_xlfn._xlws.FILTER(Eingabe[GES],Eingabe[Name]=AuswertungG[[#This Row],[Name]]),ABS(_xlfn._xlws.FILTER(Eingabe[GEGGES],Eingabe[Name]=AuswertungG[[#This Row],[Name]])-_xlfn._xlws.FILTER(Eingabe[GES],Eingabe[Name]=AuswertungG[[#This Row],[Name]]))&lt;15))-AuswertungG[[#This Row],[GES]])/AuswertungG[[#This Row],[STABW]],"")</f>
        <v/>
      </c>
      <c r="AJ88" s="267" t="str">
        <f>IFERROR(ROUND(AVERAGEIFS(Eingabe[MP],Eingabe[Diff],"&lt;15",Eingabe[Name],AuswertungG[[#This Row],[Name]])-AuswertungG[[#This Row],[MP]],2),"")</f>
        <v/>
      </c>
      <c r="AK88" s="117" t="str" cm="1">
        <f t="array" ref="AK88">IFERROR(ROUND(AVERAGE(_xlfn._xlws.FILTER(Eingabe[GES],(Eingabe[Name]=AuswertungG[[#This Row],[Name]])*(Eingabe[GEGGES]&gt;(AuswertungG[[#This Row],[GES]]+20))))-AuswertungG[[#This Row],[GES]],0),"")</f>
        <v/>
      </c>
      <c r="AL88" s="117" t="str" cm="1">
        <f t="array" ref="AL88">IFERROR(ROUND(AVERAGE(_xlfn._xlws.FILTER(Eingabe[GES],(Eingabe[Name]=AuswertungG[[#This Row],[Name]])*(Eingabe[GEGGES]&lt;(AuswertungG[[#This Row],[GES]]-20))))-AuswertungG[[#This Row],[GES]],0),"")</f>
        <v/>
      </c>
    </row>
    <row r="89" spans="2:38" x14ac:dyDescent="0.3">
      <c r="B89" s="285" t="str">
        <f t="shared" si="1"/>
        <v>Michael Becker</v>
      </c>
      <c r="C89" s="119" t="str">
        <f>IF(AuswertungG[[#This Row],[Name]]="","",VLOOKUP(AuswertungG[[#This Row],[Name]],Teamzuordnung[[Name]:[Team]],2,TRUE))</f>
        <v>D</v>
      </c>
      <c r="D89" s="120">
        <f>COUNTIFS(Eingabe[Name],AuswertungG[[#This Row],[Name]])</f>
        <v>1</v>
      </c>
      <c r="E89" s="116">
        <f>IF(AuswertungG[[#This Row],[Spiele]]="","",IF(AuswertungG[[#This Row],[Spiele]]-COUNTIFS(Eingabe[Name],AuswertungG[[#This Row],[Name]],Eingabe[MP],"")=0,"",AuswertungG[[#This Row],[Spiele]]-COUNTIFS(Eingabe[Name],AuswertungG[[#This Row],[Name]],Eingabe[MP],"")))</f>
        <v>1</v>
      </c>
      <c r="F89" s="117">
        <f>IF(AuswertungG[[#This Row],[Spiele]]=0,"",ROUND(AVERAGEIFS(Eingabe[Volle],Eingabe[Name],AuswertungG[[#This Row],[Name]]),0))</f>
        <v>341</v>
      </c>
      <c r="G89" s="117">
        <f>IF(AuswertungG[[#This Row],[Spiele]]=0,"",ROUND(AVERAGEIFS(Eingabe[Räumer],Eingabe[Name],AuswertungG[[#This Row],[Name]]),0))</f>
        <v>153</v>
      </c>
      <c r="H89" s="123">
        <f>IF(AuswertungG[[#This Row],[Spiele]]=0,"",ROUND(AVERAGEIFS(Eingabe[Fehler],Eingabe[Name],AuswertungG[[#This Row],[Name]]),1))</f>
        <v>10</v>
      </c>
      <c r="I89" s="117">
        <f>IF(AuswertungG[[#This Row],[Spiele]]=0,"",ROUND(AVERAGEIFS(Eingabe[GES],Eingabe[Name],AuswertungG[[#This Row],[Name]]),0))</f>
        <v>494</v>
      </c>
      <c r="J89" s="123">
        <f>IF(AuswertungG[[#This Row],[Spiele MP]]="","",ROUND(AVERAGEIFS(Eingabe[SP],Eingabe[Name],AuswertungG[[#This Row],[Name]]),1))</f>
        <v>2</v>
      </c>
      <c r="K89" s="121">
        <f>IF(AuswertungG[[#This Row],[Spiele MP]]="","",ROUND(AVERAGEIFS(Eingabe[MP],Eingabe[Name],AuswertungG[[#This Row],[Name]]),2))</f>
        <v>1</v>
      </c>
      <c r="L89" s="117">
        <f>IFERROR(ROUND(AVERAGEIFS(Eingabe[S1],Eingabe[Name],AuswertungG[[#This Row],[Name]]),0),"")</f>
        <v>123</v>
      </c>
      <c r="M89" s="268">
        <f>IFERROR(ROUND(AVERAGEIFS(Eingabe[S2],Eingabe[Name],AuswertungG[[#This Row],[Name]]),0),"")</f>
        <v>131</v>
      </c>
      <c r="N89" s="117">
        <f>IFERROR(ROUND(AVERAGEIFS(Eingabe[S3],Eingabe[Name],AuswertungG[[#This Row],[Name]]),0),"")</f>
        <v>124</v>
      </c>
      <c r="O89" s="268">
        <f>IFERROR(ROUND(AVERAGEIFS(Eingabe[S3],Eingabe[Name],AuswertungG[[#This Row],[Name]]),0),"")</f>
        <v>124</v>
      </c>
      <c r="P89" s="121">
        <f>IF(AuswertungG[[#This Row],[Spiele MP]]="","",ROUND(AVERAGEIFS(Eingabe[S1P],Eingabe[Name],AuswertungG[[#This Row],[Name]]),2))</f>
        <v>0</v>
      </c>
      <c r="Q89" s="121">
        <f>IF(AuswertungG[[#This Row],[Spiele MP]]="","",ROUND(AVERAGEIFS(Eingabe[S2P],Eingabe[Name],AuswertungG[[#This Row],[Name]]),2))</f>
        <v>1</v>
      </c>
      <c r="R89" s="121">
        <f>IF(AuswertungG[[#This Row],[Spiele MP]]="","",ROUND(AVERAGEIFS(Eingabe[S3P],Eingabe[Name],AuswertungG[[#This Row],[Name]]),2))</f>
        <v>0</v>
      </c>
      <c r="S89" s="121">
        <f>IF(AuswertungG[[#This Row],[Spiele MP]]="","",ROUND(AVERAGEIFS(Eingabe[S4P],Eingabe[Name],AuswertungG[[#This Row],[Name]]),2))</f>
        <v>1</v>
      </c>
      <c r="T89" s="267" t="str" cm="1">
        <f t="array" ref="T89">IF(AuswertungG[[#This Row],[Spiele]]="","",IF(AuswertungG[[#This Row],[Spiele]]&lt;2,"",ROUND(SLOPE(_xlfn._xlws.FILTER(Eingabe[GES],Eingabe[Name]=AuswertungG[[#This Row],[Name]]),_xlfn._xlws.FILTER(Eingabe[KW],Eingabe[Name]=AuswertungG[[#This Row],[Name]])),2)))</f>
        <v/>
      </c>
      <c r="U89" s="267" t="str" cm="1">
        <f t="array" ref="U89">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89" s="117" t="str" cm="1">
        <f t="array" ref="V89">IF(AuswertungG[[#This Row],[Spiele]]="","",IF(AuswertungG[[#This Row],[Spiele]]&lt;2,"",ROUND(_xlfn.STDEV.P(_xlfn._xlws.FILTER(Eingabe[GES],Eingabe[Name]=AuswertungG[[#This Row],[Name]])),0)))</f>
        <v/>
      </c>
      <c r="W89" s="117">
        <f>IF(AuswertungG[[#This Row],[Spiele MP]]="","",ROUND(AVERAGEIFS(Eingabe[GEGGES],Eingabe[Name],AuswertungG[[#This Row],[Name]]),0))</f>
        <v>480</v>
      </c>
      <c r="X89" s="116" t="str">
        <f>VLOOKUP(AuswertungG[[#This Row],[Name]],PositionG[],21,FALSE)</f>
        <v>[5]</v>
      </c>
      <c r="Y89" s="116">
        <f>VLOOKUP(AuswertungG[[#This Row],[Name]],PositionG[],22,FALSE)</f>
        <v>1</v>
      </c>
      <c r="Z89" s="116" t="str">
        <f>VLOOKUP(AuswertungG[[#This Row],[Name]],PositionG[],23,FALSE)</f>
        <v>[5]</v>
      </c>
      <c r="AA89" s="121">
        <f>IF(AuswertungG[[#This Row],[Spiele MP]]="","",ROUND(VLOOKUP(AuswertungG[[#This Row],[Name]],PositionG[],24,FALSE),2))</f>
        <v>1</v>
      </c>
      <c r="AB89" s="123">
        <f>IF(AuswertungG[[#This Row],[Spiele]]=0,"",ROUND(AVERAGEIFS(Eingabe[Rang],Eingabe[Name],AuswertungG[[#This Row],[Name]]),1))</f>
        <v>5</v>
      </c>
      <c r="AC89" s="123" cm="1">
        <f t="array" ref="AC89">IFERROR(ROUND(MEDIAN(_xlfn._xlws.FILTER(Eingabe[GES],Eingabe[Name]=AuswertungG[[#This Row],[Name]])),0),"")</f>
        <v>494</v>
      </c>
      <c r="AD89" s="121" t="str">
        <f>IFERROR(AuswertungG[[#This Row],[STABW]]/AuswertungG[[#This Row],[GES]],"")</f>
        <v/>
      </c>
      <c r="AE89" s="123" cm="1">
        <f t="array" ref="AE89">IFERROR(ROUND(_xlfn.QUARTILE.INC(_xlfn._xlws.FILTER(Eingabe[GES],Eingabe[Name]=AuswertungG[[#This Row],[Name]]),3)-_xlfn.QUARTILE.INC(_xlfn._xlws.FILTER(Eingabe[GES],Eingabe[Name]=AuswertungG[[#This Row],[Name]]),1),0),"")</f>
        <v>0</v>
      </c>
      <c r="AF89" s="123" t="str">
        <f>IFERROR(1/AuswertungG[[#This Row],[VK]],"")</f>
        <v/>
      </c>
      <c r="AG89" s="123">
        <f>IFERROR(AuswertungG[[#This Row],[Volle]]/AuswertungG[[#This Row],[Räumer]]-2,"")</f>
        <v>0.2287581699346406</v>
      </c>
      <c r="AH89" s="117">
        <f>IFERROR(ROUND((AuswertungG[[#This Row],[Spiele]]*60)/(AuswertungG[[#This Row],[Fehler]]*AuswertungG[[#This Row],[Spiele]]),0),"")</f>
        <v>6</v>
      </c>
      <c r="AI89" s="123" t="str" cm="1">
        <f t="array" ref="AI89">IFERROR((AVERAGE(_xlfn._xlws.FILTER(_xlfn._xlws.FILTER(Eingabe[GES],Eingabe[Name]=AuswertungG[[#This Row],[Name]]),ABS(_xlfn._xlws.FILTER(Eingabe[GEGGES],Eingabe[Name]=AuswertungG[[#This Row],[Name]])-_xlfn._xlws.FILTER(Eingabe[GES],Eingabe[Name]=AuswertungG[[#This Row],[Name]]))&lt;15))-AuswertungG[[#This Row],[GES]])/AuswertungG[[#This Row],[STABW]],"")</f>
        <v/>
      </c>
      <c r="AJ89" s="267">
        <f>IFERROR(ROUND(AVERAGEIFS(Eingabe[MP],Eingabe[Diff],"&lt;15",Eingabe[Name],AuswertungG[[#This Row],[Name]])-AuswertungG[[#This Row],[MP]],2),"")</f>
        <v>0</v>
      </c>
      <c r="AK89" s="117" t="str" cm="1">
        <f t="array" ref="AK89">IFERROR(ROUND(AVERAGE(_xlfn._xlws.FILTER(Eingabe[GES],(Eingabe[Name]=AuswertungG[[#This Row],[Name]])*(Eingabe[GEGGES]&gt;(AuswertungG[[#This Row],[GES]]+20))))-AuswertungG[[#This Row],[GES]],0),"")</f>
        <v/>
      </c>
      <c r="AL89" s="117" t="str" cm="1">
        <f t="array" ref="AL89">IFERROR(ROUND(AVERAGE(_xlfn._xlws.FILTER(Eingabe[GES],(Eingabe[Name]=AuswertungG[[#This Row],[Name]])*(Eingabe[GEGGES]&lt;(AuswertungG[[#This Row],[GES]]-20))))-AuswertungG[[#This Row],[GES]],0),"")</f>
        <v/>
      </c>
    </row>
    <row r="90" spans="2:38" x14ac:dyDescent="0.3">
      <c r="B90" s="285" t="str">
        <f t="shared" si="1"/>
        <v>Michael Klose</v>
      </c>
      <c r="C90" s="119" t="str">
        <f>IF(AuswertungG[[#This Row],[Name]]="","",VLOOKUP(AuswertungG[[#This Row],[Name]],Teamzuordnung[[Name]:[Team]],2,TRUE))</f>
        <v>D</v>
      </c>
      <c r="D90" s="122">
        <f>COUNTIFS(Eingabe[Name],AuswertungG[[#This Row],[Name]])</f>
        <v>0</v>
      </c>
      <c r="E90" s="117" t="str">
        <f>IF(AuswertungG[[#This Row],[Spiele]]="","",IF(AuswertungG[[#This Row],[Spiele]]-COUNTIFS(Eingabe[Name],AuswertungG[[#This Row],[Name]],Eingabe[MP],"")=0,"",AuswertungG[[#This Row],[Spiele]]-COUNTIFS(Eingabe[Name],AuswertungG[[#This Row],[Name]],Eingabe[MP],"")))</f>
        <v/>
      </c>
      <c r="F90" s="117" t="str">
        <f>IF(AuswertungG[[#This Row],[Spiele]]=0,"",ROUND(AVERAGEIFS(Eingabe[Volle],Eingabe[Name],AuswertungG[[#This Row],[Name]]),0))</f>
        <v/>
      </c>
      <c r="G90" s="117" t="str">
        <f>IF(AuswertungG[[#This Row],[Spiele]]=0,"",ROUND(AVERAGEIFS(Eingabe[Räumer],Eingabe[Name],AuswertungG[[#This Row],[Name]]),0))</f>
        <v/>
      </c>
      <c r="H90" s="123" t="str">
        <f>IF(AuswertungG[[#This Row],[Spiele]]=0,"",ROUND(AVERAGEIFS(Eingabe[Fehler],Eingabe[Name],AuswertungG[[#This Row],[Name]]),1))</f>
        <v/>
      </c>
      <c r="I90" s="117" t="str">
        <f>IF(AuswertungG[[#This Row],[Spiele]]=0,"",ROUND(AVERAGEIFS(Eingabe[GES],Eingabe[Name],AuswertungG[[#This Row],[Name]]),0))</f>
        <v/>
      </c>
      <c r="J90" s="123" t="str">
        <f>IF(AuswertungG[[#This Row],[Spiele MP]]="","",ROUND(AVERAGEIFS(Eingabe[SP],Eingabe[Name],AuswertungG[[#This Row],[Name]]),1))</f>
        <v/>
      </c>
      <c r="K90" s="121" t="str">
        <f>IF(AuswertungG[[#This Row],[Spiele MP]]="","",ROUND(AVERAGEIFS(Eingabe[MP],Eingabe[Name],AuswertungG[[#This Row],[Name]]),2))</f>
        <v/>
      </c>
      <c r="L90" s="117" t="str">
        <f>IFERROR(ROUND(AVERAGEIFS(Eingabe[S1],Eingabe[Name],AuswertungG[[#This Row],[Name]]),0),"")</f>
        <v/>
      </c>
      <c r="M90" s="268" t="str">
        <f>IFERROR(ROUND(AVERAGEIFS(Eingabe[S2],Eingabe[Name],AuswertungG[[#This Row],[Name]]),0),"")</f>
        <v/>
      </c>
      <c r="N90" s="117" t="str">
        <f>IFERROR(ROUND(AVERAGEIFS(Eingabe[S3],Eingabe[Name],AuswertungG[[#This Row],[Name]]),0),"")</f>
        <v/>
      </c>
      <c r="O90" s="268" t="str">
        <f>IFERROR(ROUND(AVERAGEIFS(Eingabe[S3],Eingabe[Name],AuswertungG[[#This Row],[Name]]),0),"")</f>
        <v/>
      </c>
      <c r="P90" s="121" t="str">
        <f>IF(AuswertungG[[#This Row],[Spiele MP]]="","",ROUND(AVERAGEIFS(Eingabe[S1P],Eingabe[Name],AuswertungG[[#This Row],[Name]]),2))</f>
        <v/>
      </c>
      <c r="Q90" s="121" t="str">
        <f>IF(AuswertungG[[#This Row],[Spiele MP]]="","",ROUND(AVERAGEIFS(Eingabe[S2P],Eingabe[Name],AuswertungG[[#This Row],[Name]]),2))</f>
        <v/>
      </c>
      <c r="R90" s="121" t="str">
        <f>IF(AuswertungG[[#This Row],[Spiele MP]]="","",ROUND(AVERAGEIFS(Eingabe[S3P],Eingabe[Name],AuswertungG[[#This Row],[Name]]),2))</f>
        <v/>
      </c>
      <c r="S90" s="121" t="str">
        <f>IF(AuswertungG[[#This Row],[Spiele MP]]="","",ROUND(AVERAGEIFS(Eingabe[S4P],Eingabe[Name],AuswertungG[[#This Row],[Name]]),2))</f>
        <v/>
      </c>
      <c r="T90" s="267" t="str" cm="1">
        <f t="array" ref="T90">IF(AuswertungG[[#This Row],[Spiele]]="","",IF(AuswertungG[[#This Row],[Spiele]]&lt;2,"",ROUND(SLOPE(_xlfn._xlws.FILTER(Eingabe[GES],Eingabe[Name]=AuswertungG[[#This Row],[Name]]),_xlfn._xlws.FILTER(Eingabe[KW],Eingabe[Name]=AuswertungG[[#This Row],[Name]])),2)))</f>
        <v/>
      </c>
      <c r="U90" s="267" t="str" cm="1">
        <f t="array" ref="U90">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90" s="117" t="str" cm="1">
        <f t="array" ref="V90">IF(AuswertungG[[#This Row],[Spiele]]="","",IF(AuswertungG[[#This Row],[Spiele]]&lt;2,"",ROUND(_xlfn.STDEV.P(_xlfn._xlws.FILTER(Eingabe[GES],Eingabe[Name]=AuswertungG[[#This Row],[Name]])),0)))</f>
        <v/>
      </c>
      <c r="W90" s="117" t="str">
        <f>IF(AuswertungG[[#This Row],[Spiele MP]]="","",ROUND(AVERAGEIFS(Eingabe[GEGGES],Eingabe[Name],AuswertungG[[#This Row],[Name]]),0))</f>
        <v/>
      </c>
      <c r="X90" s="123" t="str">
        <f>VLOOKUP(AuswertungG[[#This Row],[Name]],PositionG[],21,FALSE)</f>
        <v/>
      </c>
      <c r="Y90" s="123" t="str">
        <f>VLOOKUP(AuswertungG[[#This Row],[Name]],PositionG[],22,FALSE)</f>
        <v/>
      </c>
      <c r="Z90" s="123" t="str">
        <f>VLOOKUP(AuswertungG[[#This Row],[Name]],PositionG[],23,FALSE)</f>
        <v/>
      </c>
      <c r="AA90" s="121" t="str">
        <f>IF(AuswertungG[[#This Row],[Spiele MP]]="","",ROUND(VLOOKUP(AuswertungG[[#This Row],[Name]],PositionG[],24,FALSE),2))</f>
        <v/>
      </c>
      <c r="AB90" s="123" t="str">
        <f>IF(AuswertungG[[#This Row],[Spiele]]=0,"",ROUND(AVERAGEIFS(Eingabe[Rang],Eingabe[Name],AuswertungG[[#This Row],[Name]]),1))</f>
        <v/>
      </c>
      <c r="AC90" s="123" t="str" cm="1">
        <f t="array" ref="AC90">IFERROR(ROUND(MEDIAN(_xlfn._xlws.FILTER(Eingabe[GES],Eingabe[Name]=AuswertungG[[#This Row],[Name]])),0),"")</f>
        <v/>
      </c>
      <c r="AD90" s="121" t="str">
        <f>IFERROR(AuswertungG[[#This Row],[STABW]]/AuswertungG[[#This Row],[GES]],"")</f>
        <v/>
      </c>
      <c r="AE90" s="123" t="str" cm="1">
        <f t="array" ref="AE90">IFERROR(ROUND(_xlfn.QUARTILE.INC(_xlfn._xlws.FILTER(Eingabe[GES],Eingabe[Name]=AuswertungG[[#This Row],[Name]]),3)-_xlfn.QUARTILE.INC(_xlfn._xlws.FILTER(Eingabe[GES],Eingabe[Name]=AuswertungG[[#This Row],[Name]]),1),0),"")</f>
        <v/>
      </c>
      <c r="AF90" s="123" t="str">
        <f>IFERROR(1/AuswertungG[[#This Row],[VK]],"")</f>
        <v/>
      </c>
      <c r="AG90" s="123" t="str">
        <f>IFERROR(AuswertungG[[#This Row],[Volle]]/AuswertungG[[#This Row],[Räumer]]-2,"")</f>
        <v/>
      </c>
      <c r="AH90" s="117" t="str">
        <f>IFERROR(ROUND((AuswertungG[[#This Row],[Spiele]]*60)/(AuswertungG[[#This Row],[Fehler]]*AuswertungG[[#This Row],[Spiele]]),0),"")</f>
        <v/>
      </c>
      <c r="AI90" s="123" t="str" cm="1">
        <f t="array" ref="AI90">IFERROR((AVERAGE(_xlfn._xlws.FILTER(_xlfn._xlws.FILTER(Eingabe[GES],Eingabe[Name]=AuswertungG[[#This Row],[Name]]),ABS(_xlfn._xlws.FILTER(Eingabe[GEGGES],Eingabe[Name]=AuswertungG[[#This Row],[Name]])-_xlfn._xlws.FILTER(Eingabe[GES],Eingabe[Name]=AuswertungG[[#This Row],[Name]]))&lt;15))-AuswertungG[[#This Row],[GES]])/AuswertungG[[#This Row],[STABW]],"")</f>
        <v/>
      </c>
      <c r="AJ90" s="267" t="str">
        <f>IFERROR(ROUND(AVERAGEIFS(Eingabe[MP],Eingabe[Diff],"&lt;15",Eingabe[Name],AuswertungG[[#This Row],[Name]])-AuswertungG[[#This Row],[MP]],2),"")</f>
        <v/>
      </c>
      <c r="AK90" s="117" t="str" cm="1">
        <f t="array" ref="AK90">IFERROR(ROUND(AVERAGE(_xlfn._xlws.FILTER(Eingabe[GES],(Eingabe[Name]=AuswertungG[[#This Row],[Name]])*(Eingabe[GEGGES]&gt;(AuswertungG[[#This Row],[GES]]+20))))-AuswertungG[[#This Row],[GES]],0),"")</f>
        <v/>
      </c>
      <c r="AL90" s="117" t="str" cm="1">
        <f t="array" ref="AL90">IFERROR(ROUND(AVERAGE(_xlfn._xlws.FILTER(Eingabe[GES],(Eingabe[Name]=AuswertungG[[#This Row],[Name]])*(Eingabe[GEGGES]&lt;(AuswertungG[[#This Row],[GES]]-20))))-AuswertungG[[#This Row],[GES]],0),"")</f>
        <v/>
      </c>
    </row>
    <row r="91" spans="2:38" x14ac:dyDescent="0.3">
      <c r="B91" s="285" t="str">
        <f t="shared" si="1"/>
        <v>Mick Becker</v>
      </c>
      <c r="C91" s="119" t="str">
        <f>IF(AuswertungG[[#This Row],[Name]]="","",VLOOKUP(AuswertungG[[#This Row],[Name]],Teamzuordnung[[Name]:[Team]],2,TRUE))</f>
        <v>Z</v>
      </c>
      <c r="D91" s="122">
        <f>COUNTIFS(Eingabe[Name],AuswertungG[[#This Row],[Name]])</f>
        <v>1</v>
      </c>
      <c r="E91" s="117">
        <f>IF(AuswertungG[[#This Row],[Spiele]]="","",IF(AuswertungG[[#This Row],[Spiele]]-COUNTIFS(Eingabe[Name],AuswertungG[[#This Row],[Name]],Eingabe[MP],"")=0,"",AuswertungG[[#This Row],[Spiele]]-COUNTIFS(Eingabe[Name],AuswertungG[[#This Row],[Name]],Eingabe[MP],"")))</f>
        <v>1</v>
      </c>
      <c r="F91" s="117">
        <f>IF(AuswertungG[[#This Row],[Spiele]]=0,"",ROUND(AVERAGEIFS(Eingabe[Volle],Eingabe[Name],AuswertungG[[#This Row],[Name]]),0))</f>
        <v>362</v>
      </c>
      <c r="G91" s="117">
        <f>IF(AuswertungG[[#This Row],[Spiele]]=0,"",ROUND(AVERAGEIFS(Eingabe[Räumer],Eingabe[Name],AuswertungG[[#This Row],[Name]]),0))</f>
        <v>183</v>
      </c>
      <c r="H91" s="123">
        <f>IF(AuswertungG[[#This Row],[Spiele]]=0,"",ROUND(AVERAGEIFS(Eingabe[Fehler],Eingabe[Name],AuswertungG[[#This Row],[Name]]),1))</f>
        <v>9</v>
      </c>
      <c r="I91" s="117">
        <f>IF(AuswertungG[[#This Row],[Spiele]]=0,"",ROUND(AVERAGEIFS(Eingabe[GES],Eingabe[Name],AuswertungG[[#This Row],[Name]]),0))</f>
        <v>545</v>
      </c>
      <c r="J91" s="123">
        <f>IF(AuswertungG[[#This Row],[Spiele MP]]="","",ROUND(AVERAGEIFS(Eingabe[SP],Eingabe[Name],AuswertungG[[#This Row],[Name]]),1))</f>
        <v>4</v>
      </c>
      <c r="K91" s="121">
        <f>IF(AuswertungG[[#This Row],[Spiele MP]]="","",ROUND(AVERAGEIFS(Eingabe[MP],Eingabe[Name],AuswertungG[[#This Row],[Name]]),2))</f>
        <v>1</v>
      </c>
      <c r="L91" s="117">
        <f>IFERROR(ROUND(AVERAGEIFS(Eingabe[S1],Eingabe[Name],AuswertungG[[#This Row],[Name]]),0),"")</f>
        <v>138</v>
      </c>
      <c r="M91" s="268">
        <f>IFERROR(ROUND(AVERAGEIFS(Eingabe[S2],Eingabe[Name],AuswertungG[[#This Row],[Name]]),0),"")</f>
        <v>126</v>
      </c>
      <c r="N91" s="117">
        <f>IFERROR(ROUND(AVERAGEIFS(Eingabe[S3],Eingabe[Name],AuswertungG[[#This Row],[Name]]),0),"")</f>
        <v>147</v>
      </c>
      <c r="O91" s="268">
        <f>IFERROR(ROUND(AVERAGEIFS(Eingabe[S3],Eingabe[Name],AuswertungG[[#This Row],[Name]]),0),"")</f>
        <v>147</v>
      </c>
      <c r="P91" s="121">
        <f>IF(AuswertungG[[#This Row],[Spiele MP]]="","",ROUND(AVERAGEIFS(Eingabe[S1P],Eingabe[Name],AuswertungG[[#This Row],[Name]]),2))</f>
        <v>1</v>
      </c>
      <c r="Q91" s="121">
        <f>IF(AuswertungG[[#This Row],[Spiele MP]]="","",ROUND(AVERAGEIFS(Eingabe[S2P],Eingabe[Name],AuswertungG[[#This Row],[Name]]),2))</f>
        <v>1</v>
      </c>
      <c r="R91" s="121">
        <f>IF(AuswertungG[[#This Row],[Spiele MP]]="","",ROUND(AVERAGEIFS(Eingabe[S3P],Eingabe[Name],AuswertungG[[#This Row],[Name]]),2))</f>
        <v>1</v>
      </c>
      <c r="S91" s="121">
        <f>IF(AuswertungG[[#This Row],[Spiele MP]]="","",ROUND(AVERAGEIFS(Eingabe[S4P],Eingabe[Name],AuswertungG[[#This Row],[Name]]),2))</f>
        <v>1</v>
      </c>
      <c r="T91" s="267" t="str" cm="1">
        <f t="array" ref="T91">IF(AuswertungG[[#This Row],[Spiele]]="","",IF(AuswertungG[[#This Row],[Spiele]]&lt;2,"",ROUND(SLOPE(_xlfn._xlws.FILTER(Eingabe[GES],Eingabe[Name]=AuswertungG[[#This Row],[Name]]),_xlfn._xlws.FILTER(Eingabe[KW],Eingabe[Name]=AuswertungG[[#This Row],[Name]])),2)))</f>
        <v/>
      </c>
      <c r="U91" s="267" t="str" cm="1">
        <f t="array" ref="U91">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91" s="117" t="str" cm="1">
        <f t="array" ref="V91">IF(AuswertungG[[#This Row],[Spiele]]="","",IF(AuswertungG[[#This Row],[Spiele]]&lt;2,"",ROUND(_xlfn.STDEV.P(_xlfn._xlws.FILTER(Eingabe[GES],Eingabe[Name]=AuswertungG[[#This Row],[Name]])),0)))</f>
        <v/>
      </c>
      <c r="W91" s="117">
        <f>IF(AuswertungG[[#This Row],[Spiele MP]]="","",ROUND(AVERAGEIFS(Eingabe[GEGGES],Eingabe[Name],AuswertungG[[#This Row],[Name]]),0))</f>
        <v>501</v>
      </c>
      <c r="X91" s="123" t="str">
        <f>VLOOKUP(AuswertungG[[#This Row],[Name]],PositionG[],21,FALSE)</f>
        <v>[4]</v>
      </c>
      <c r="Y91" s="123">
        <f>VLOOKUP(AuswertungG[[#This Row],[Name]],PositionG[],22,FALSE)</f>
        <v>1</v>
      </c>
      <c r="Z91" s="123" t="str">
        <f>VLOOKUP(AuswertungG[[#This Row],[Name]],PositionG[],23,FALSE)</f>
        <v>[4]</v>
      </c>
      <c r="AA91" s="121">
        <f>IF(AuswertungG[[#This Row],[Spiele MP]]="","",ROUND(VLOOKUP(AuswertungG[[#This Row],[Name]],PositionG[],24,FALSE),2))</f>
        <v>1</v>
      </c>
      <c r="AB91" s="123">
        <f>IF(AuswertungG[[#This Row],[Spiele]]=0,"",ROUND(AVERAGEIFS(Eingabe[Rang],Eingabe[Name],AuswertungG[[#This Row],[Name]]),1))</f>
        <v>1</v>
      </c>
      <c r="AC91" s="123" cm="1">
        <f t="array" ref="AC91">IFERROR(ROUND(MEDIAN(_xlfn._xlws.FILTER(Eingabe[GES],Eingabe[Name]=AuswertungG[[#This Row],[Name]])),0),"")</f>
        <v>545</v>
      </c>
      <c r="AD91" s="121" t="str">
        <f>IFERROR(AuswertungG[[#This Row],[STABW]]/AuswertungG[[#This Row],[GES]],"")</f>
        <v/>
      </c>
      <c r="AE91" s="123" cm="1">
        <f t="array" ref="AE91">IFERROR(ROUND(_xlfn.QUARTILE.INC(_xlfn._xlws.FILTER(Eingabe[GES],Eingabe[Name]=AuswertungG[[#This Row],[Name]]),3)-_xlfn.QUARTILE.INC(_xlfn._xlws.FILTER(Eingabe[GES],Eingabe[Name]=AuswertungG[[#This Row],[Name]]),1),0),"")</f>
        <v>0</v>
      </c>
      <c r="AF91" s="123" t="str">
        <f>IFERROR(1/AuswertungG[[#This Row],[VK]],"")</f>
        <v/>
      </c>
      <c r="AG91" s="123">
        <f>IFERROR(AuswertungG[[#This Row],[Volle]]/AuswertungG[[#This Row],[Räumer]]-2,"")</f>
        <v>-2.1857923497267784E-2</v>
      </c>
      <c r="AH91" s="117">
        <f>IFERROR(ROUND((AuswertungG[[#This Row],[Spiele]]*60)/(AuswertungG[[#This Row],[Fehler]]*AuswertungG[[#This Row],[Spiele]]),0),"")</f>
        <v>7</v>
      </c>
      <c r="AI91" s="123" t="str" cm="1">
        <f t="array" ref="AI91">IFERROR((AVERAGE(_xlfn._xlws.FILTER(_xlfn._xlws.FILTER(Eingabe[GES],Eingabe[Name]=AuswertungG[[#This Row],[Name]]),ABS(_xlfn._xlws.FILTER(Eingabe[GEGGES],Eingabe[Name]=AuswertungG[[#This Row],[Name]])-_xlfn._xlws.FILTER(Eingabe[GES],Eingabe[Name]=AuswertungG[[#This Row],[Name]]))&lt;15))-AuswertungG[[#This Row],[GES]])/AuswertungG[[#This Row],[STABW]],"")</f>
        <v/>
      </c>
      <c r="AJ91" s="267" t="str">
        <f>IFERROR(ROUND(AVERAGEIFS(Eingabe[MP],Eingabe[Diff],"&lt;15",Eingabe[Name],AuswertungG[[#This Row],[Name]])-AuswertungG[[#This Row],[MP]],2),"")</f>
        <v/>
      </c>
      <c r="AK91" s="117" t="str" cm="1">
        <f t="array" ref="AK91">IFERROR(ROUND(AVERAGE(_xlfn._xlws.FILTER(Eingabe[GES],(Eingabe[Name]=AuswertungG[[#This Row],[Name]])*(Eingabe[GEGGES]&gt;(AuswertungG[[#This Row],[GES]]+20))))-AuswertungG[[#This Row],[GES]],0),"")</f>
        <v/>
      </c>
      <c r="AL91" s="117" cm="1">
        <f t="array" ref="AL91">IFERROR(ROUND(AVERAGE(_xlfn._xlws.FILTER(Eingabe[GES],(Eingabe[Name]=AuswertungG[[#This Row],[Name]])*(Eingabe[GEGGES]&lt;(AuswertungG[[#This Row],[GES]]-20))))-AuswertungG[[#This Row],[GES]],0),"")</f>
        <v>0</v>
      </c>
    </row>
    <row r="92" spans="2:38" x14ac:dyDescent="0.3">
      <c r="B92" s="285" t="str">
        <f t="shared" si="1"/>
        <v>Olaf Kurtze</v>
      </c>
      <c r="C92" s="119" t="str">
        <f>IF(AuswertungG[[#This Row],[Name]]="","",VLOOKUP(AuswertungG[[#This Row],[Name]],Teamzuordnung[[Name]:[Team]],2,TRUE))</f>
        <v>Z</v>
      </c>
      <c r="D92" s="122">
        <f>COUNTIFS(Eingabe[Name],AuswertungG[[#This Row],[Name]])</f>
        <v>9</v>
      </c>
      <c r="E92" s="117">
        <f>IF(AuswertungG[[#This Row],[Spiele]]="","",IF(AuswertungG[[#This Row],[Spiele]]-COUNTIFS(Eingabe[Name],AuswertungG[[#This Row],[Name]],Eingabe[MP],"")=0,"",AuswertungG[[#This Row],[Spiele]]-COUNTIFS(Eingabe[Name],AuswertungG[[#This Row],[Name]],Eingabe[MP],"")))</f>
        <v>9</v>
      </c>
      <c r="F92" s="117">
        <f>IF(AuswertungG[[#This Row],[Spiele]]=0,"",ROUND(AVERAGEIFS(Eingabe[Volle],Eingabe[Name],AuswertungG[[#This Row],[Name]]),0))</f>
        <v>359</v>
      </c>
      <c r="G92" s="117">
        <f>IF(AuswertungG[[#This Row],[Spiele]]=0,"",ROUND(AVERAGEIFS(Eingabe[Räumer],Eingabe[Name],AuswertungG[[#This Row],[Name]]),0))</f>
        <v>167</v>
      </c>
      <c r="H92" s="123">
        <f>IF(AuswertungG[[#This Row],[Spiele]]=0,"",ROUND(AVERAGEIFS(Eingabe[Fehler],Eingabe[Name],AuswertungG[[#This Row],[Name]]),1))</f>
        <v>7.8</v>
      </c>
      <c r="I92" s="117">
        <f>IF(AuswertungG[[#This Row],[Spiele]]=0,"",ROUND(AVERAGEIFS(Eingabe[GES],Eingabe[Name],AuswertungG[[#This Row],[Name]]),0))</f>
        <v>526</v>
      </c>
      <c r="J92" s="123">
        <f>IF(AuswertungG[[#This Row],[Spiele MP]]="","",ROUND(AVERAGEIFS(Eingabe[SP],Eingabe[Name],AuswertungG[[#This Row],[Name]]),1))</f>
        <v>2</v>
      </c>
      <c r="K92" s="121">
        <f>IF(AuswertungG[[#This Row],[Spiele MP]]="","",ROUND(AVERAGEIFS(Eingabe[MP],Eingabe[Name],AuswertungG[[#This Row],[Name]]),2))</f>
        <v>0.44</v>
      </c>
      <c r="L92" s="117">
        <f>IFERROR(ROUND(AVERAGEIFS(Eingabe[S1],Eingabe[Name],AuswertungG[[#This Row],[Name]]),0),"")</f>
        <v>132</v>
      </c>
      <c r="M92" s="268">
        <f>IFERROR(ROUND(AVERAGEIFS(Eingabe[S2],Eingabe[Name],AuswertungG[[#This Row],[Name]]),0),"")</f>
        <v>132</v>
      </c>
      <c r="N92" s="117">
        <f>IFERROR(ROUND(AVERAGEIFS(Eingabe[S3],Eingabe[Name],AuswertungG[[#This Row],[Name]]),0),"")</f>
        <v>128</v>
      </c>
      <c r="O92" s="268">
        <f>IFERROR(ROUND(AVERAGEIFS(Eingabe[S3],Eingabe[Name],AuswertungG[[#This Row],[Name]]),0),"")</f>
        <v>128</v>
      </c>
      <c r="P92" s="121">
        <f>IF(AuswertungG[[#This Row],[Spiele MP]]="","",ROUND(AVERAGEIFS(Eingabe[S1P],Eingabe[Name],AuswertungG[[#This Row],[Name]]),2))</f>
        <v>0.44</v>
      </c>
      <c r="Q92" s="121">
        <f>IF(AuswertungG[[#This Row],[Spiele MP]]="","",ROUND(AVERAGEIFS(Eingabe[S2P],Eingabe[Name],AuswertungG[[#This Row],[Name]]),2))</f>
        <v>0.67</v>
      </c>
      <c r="R92" s="121">
        <f>IF(AuswertungG[[#This Row],[Spiele MP]]="","",ROUND(AVERAGEIFS(Eingabe[S3P],Eingabe[Name],AuswertungG[[#This Row],[Name]]),2))</f>
        <v>0.33</v>
      </c>
      <c r="S92" s="121">
        <f>IF(AuswertungG[[#This Row],[Spiele MP]]="","",ROUND(AVERAGEIFS(Eingabe[S4P],Eingabe[Name],AuswertungG[[#This Row],[Name]]),2))</f>
        <v>0.56000000000000005</v>
      </c>
      <c r="T92" s="267" cm="1">
        <f t="array" ref="T92">IF(AuswertungG[[#This Row],[Spiele]]="","",IF(AuswertungG[[#This Row],[Spiele]]&lt;2,"",ROUND(SLOPE(_xlfn._xlws.FILTER(Eingabe[GES],Eingabe[Name]=AuswertungG[[#This Row],[Name]]),_xlfn._xlws.FILTER(Eingabe[KW],Eingabe[Name]=AuswertungG[[#This Row],[Name]])),2)))</f>
        <v>-1.29</v>
      </c>
      <c r="U92" s="267" cm="1">
        <f t="array" ref="U92">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2.66</v>
      </c>
      <c r="V92" s="117" cm="1">
        <f t="array" ref="V92">IF(AuswertungG[[#This Row],[Spiele]]="","",IF(AuswertungG[[#This Row],[Spiele]]&lt;2,"",ROUND(_xlfn.STDEV.P(_xlfn._xlws.FILTER(Eingabe[GES],Eingabe[Name]=AuswertungG[[#This Row],[Name]])),0)))</f>
        <v>23</v>
      </c>
      <c r="W92" s="117">
        <f>IF(AuswertungG[[#This Row],[Spiele MP]]="","",ROUND(AVERAGEIFS(Eingabe[GEGGES],Eingabe[Name],AuswertungG[[#This Row],[Name]]),0))</f>
        <v>510</v>
      </c>
      <c r="X92" s="123" t="str">
        <f>VLOOKUP(AuswertungG[[#This Row],[Name]],PositionG[],21,FALSE)</f>
        <v>[1]</v>
      </c>
      <c r="Y92" s="123">
        <f>VLOOKUP(AuswertungG[[#This Row],[Name]],PositionG[],22,FALSE)</f>
        <v>5</v>
      </c>
      <c r="Z92" s="123" t="str">
        <f>VLOOKUP(AuswertungG[[#This Row],[Name]],PositionG[],23,FALSE)</f>
        <v>[5]</v>
      </c>
      <c r="AA92" s="121">
        <f>IF(AuswertungG[[#This Row],[Spiele MP]]="","",ROUND(VLOOKUP(AuswertungG[[#This Row],[Name]],PositionG[],24,FALSE),2))</f>
        <v>1</v>
      </c>
      <c r="AB92" s="123">
        <f>IF(AuswertungG[[#This Row],[Spiele]]=0,"",ROUND(AVERAGEIFS(Eingabe[Rang],Eingabe[Name],AuswertungG[[#This Row],[Name]]),1))</f>
        <v>3</v>
      </c>
      <c r="AC92" s="123" cm="1">
        <f t="array" ref="AC92">IFERROR(ROUND(MEDIAN(_xlfn._xlws.FILTER(Eingabe[GES],Eingabe[Name]=AuswertungG[[#This Row],[Name]])),0),"")</f>
        <v>528</v>
      </c>
      <c r="AD92" s="121">
        <f>IFERROR(AuswertungG[[#This Row],[STABW]]/AuswertungG[[#This Row],[GES]],"")</f>
        <v>4.3726235741444866E-2</v>
      </c>
      <c r="AE92" s="123" cm="1">
        <f t="array" ref="AE92">IFERROR(ROUND(_xlfn.QUARTILE.INC(_xlfn._xlws.FILTER(Eingabe[GES],Eingabe[Name]=AuswertungG[[#This Row],[Name]]),3)-_xlfn.QUARTILE.INC(_xlfn._xlws.FILTER(Eingabe[GES],Eingabe[Name]=AuswertungG[[#This Row],[Name]]),1),0),"")</f>
        <v>15</v>
      </c>
      <c r="AF92" s="123">
        <f>IFERROR(1/AuswertungG[[#This Row],[VK]],"")</f>
        <v>22.869565217391305</v>
      </c>
      <c r="AG92" s="123">
        <f>IFERROR(AuswertungG[[#This Row],[Volle]]/AuswertungG[[#This Row],[Räumer]]-2,"")</f>
        <v>0.14970059880239539</v>
      </c>
      <c r="AH92" s="117">
        <f>IFERROR(ROUND((AuswertungG[[#This Row],[Spiele]]*60)/(AuswertungG[[#This Row],[Fehler]]*AuswertungG[[#This Row],[Spiele]]),0),"")</f>
        <v>8</v>
      </c>
      <c r="AI92" s="123" t="str" cm="1">
        <f t="array" ref="AI92">IFERROR((AVERAGE(_xlfn._xlws.FILTER(_xlfn._xlws.FILTER(Eingabe[GES],Eingabe[Name]=AuswertungG[[#This Row],[Name]]),ABS(_xlfn._xlws.FILTER(Eingabe[GEGGES],Eingabe[Name]=AuswertungG[[#This Row],[Name]])-_xlfn._xlws.FILTER(Eingabe[GES],Eingabe[Name]=AuswertungG[[#This Row],[Name]]))&lt;15))-AuswertungG[[#This Row],[GES]])/AuswertungG[[#This Row],[STABW]],"")</f>
        <v/>
      </c>
      <c r="AJ92" s="267" t="str">
        <f>IFERROR(ROUND(AVERAGEIFS(Eingabe[MP],Eingabe[Diff],"&lt;15",Eingabe[Name],AuswertungG[[#This Row],[Name]])-AuswertungG[[#This Row],[MP]],2),"")</f>
        <v/>
      </c>
      <c r="AK92" s="117" cm="1">
        <f t="array" ref="AK92">IFERROR(ROUND(AVERAGE(_xlfn._xlws.FILTER(Eingabe[GES],(Eingabe[Name]=AuswertungG[[#This Row],[Name]])*(Eingabe[GEGGES]&gt;(AuswertungG[[#This Row],[GES]]+20))))-AuswertungG[[#This Row],[GES]],0),"")</f>
        <v>2</v>
      </c>
      <c r="AL92" s="117" cm="1">
        <f t="array" ref="AL92">IFERROR(ROUND(AVERAGE(_xlfn._xlws.FILTER(Eingabe[GES],(Eingabe[Name]=AuswertungG[[#This Row],[Name]])*(Eingabe[GEGGES]&lt;(AuswertungG[[#This Row],[GES]]-20))))-AuswertungG[[#This Row],[GES]],0),"")</f>
        <v>2</v>
      </c>
    </row>
    <row r="93" spans="2:38" x14ac:dyDescent="0.3">
      <c r="B93" s="285" t="str">
        <f t="shared" si="1"/>
        <v>Patrick Frenzel</v>
      </c>
      <c r="C93" s="119" t="str">
        <f>IF(AuswertungG[[#This Row],[Name]]="","",VLOOKUP(AuswertungG[[#This Row],[Name]],Teamzuordnung[[Name]:[Team]],2,TRUE))</f>
        <v>D</v>
      </c>
      <c r="D93" s="120">
        <f>COUNTIFS(Eingabe[Name],AuswertungG[[#This Row],[Name]])</f>
        <v>3</v>
      </c>
      <c r="E93" s="116">
        <f>IF(AuswertungG[[#This Row],[Spiele]]="","",IF(AuswertungG[[#This Row],[Spiele]]-COUNTIFS(Eingabe[Name],AuswertungG[[#This Row],[Name]],Eingabe[MP],"")=0,"",AuswertungG[[#This Row],[Spiele]]-COUNTIFS(Eingabe[Name],AuswertungG[[#This Row],[Name]],Eingabe[MP],"")))</f>
        <v>3</v>
      </c>
      <c r="F93" s="117">
        <f>IF(AuswertungG[[#This Row],[Spiele]]=0,"",ROUND(AVERAGEIFS(Eingabe[Volle],Eingabe[Name],AuswertungG[[#This Row],[Name]]),0))</f>
        <v>348</v>
      </c>
      <c r="G93" s="117">
        <f>IF(AuswertungG[[#This Row],[Spiele]]=0,"",ROUND(AVERAGEIFS(Eingabe[Räumer],Eingabe[Name],AuswertungG[[#This Row],[Name]]),0))</f>
        <v>162</v>
      </c>
      <c r="H93" s="123">
        <f>IF(AuswertungG[[#This Row],[Spiele]]=0,"",ROUND(AVERAGEIFS(Eingabe[Fehler],Eingabe[Name],AuswertungG[[#This Row],[Name]]),1))</f>
        <v>12.7</v>
      </c>
      <c r="I93" s="117">
        <f>IF(AuswertungG[[#This Row],[Spiele]]=0,"",ROUND(AVERAGEIFS(Eingabe[GES],Eingabe[Name],AuswertungG[[#This Row],[Name]]),0))</f>
        <v>510</v>
      </c>
      <c r="J93" s="123">
        <f>IF(AuswertungG[[#This Row],[Spiele MP]]="","",ROUND(AVERAGEIFS(Eingabe[SP],Eingabe[Name],AuswertungG[[#This Row],[Name]]),1))</f>
        <v>2.7</v>
      </c>
      <c r="K93" s="121">
        <f>IF(AuswertungG[[#This Row],[Spiele MP]]="","",ROUND(AVERAGEIFS(Eingabe[MP],Eingabe[Name],AuswertungG[[#This Row],[Name]]),2))</f>
        <v>0.67</v>
      </c>
      <c r="L93" s="117">
        <f>IFERROR(ROUND(AVERAGEIFS(Eingabe[S1],Eingabe[Name],AuswertungG[[#This Row],[Name]]),0),"")</f>
        <v>121</v>
      </c>
      <c r="M93" s="268">
        <f>IFERROR(ROUND(AVERAGEIFS(Eingabe[S2],Eingabe[Name],AuswertungG[[#This Row],[Name]]),0),"")</f>
        <v>124</v>
      </c>
      <c r="N93" s="117">
        <f>IFERROR(ROUND(AVERAGEIFS(Eingabe[S3],Eingabe[Name],AuswertungG[[#This Row],[Name]]),0),"")</f>
        <v>130</v>
      </c>
      <c r="O93" s="268">
        <f>IFERROR(ROUND(AVERAGEIFS(Eingabe[S3],Eingabe[Name],AuswertungG[[#This Row],[Name]]),0),"")</f>
        <v>130</v>
      </c>
      <c r="P93" s="121">
        <f>IF(AuswertungG[[#This Row],[Spiele MP]]="","",ROUND(AVERAGEIFS(Eingabe[S1P],Eingabe[Name],AuswertungG[[#This Row],[Name]]),2))</f>
        <v>0.67</v>
      </c>
      <c r="Q93" s="121">
        <f>IF(AuswertungG[[#This Row],[Spiele MP]]="","",ROUND(AVERAGEIFS(Eingabe[S2P],Eingabe[Name],AuswertungG[[#This Row],[Name]]),2))</f>
        <v>0.67</v>
      </c>
      <c r="R93" s="121">
        <f>IF(AuswertungG[[#This Row],[Spiele MP]]="","",ROUND(AVERAGEIFS(Eingabe[S3P],Eingabe[Name],AuswertungG[[#This Row],[Name]]),2))</f>
        <v>0.67</v>
      </c>
      <c r="S93" s="121">
        <f>IF(AuswertungG[[#This Row],[Spiele MP]]="","",ROUND(AVERAGEIFS(Eingabe[S4P],Eingabe[Name],AuswertungG[[#This Row],[Name]]),2))</f>
        <v>0.67</v>
      </c>
      <c r="T93" s="267" cm="1">
        <f t="array" ref="T93">IF(AuswertungG[[#This Row],[Spiele]]="","",IF(AuswertungG[[#This Row],[Spiele]]&lt;2,"",ROUND(SLOPE(_xlfn._xlws.FILTER(Eingabe[GES],Eingabe[Name]=AuswertungG[[#This Row],[Name]]),_xlfn._xlws.FILTER(Eingabe[KW],Eingabe[Name]=AuswertungG[[#This Row],[Name]])),2)))</f>
        <v>0.61</v>
      </c>
      <c r="U93" s="267" cm="1">
        <f t="array" ref="U93">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0.61</v>
      </c>
      <c r="V93" s="117" cm="1">
        <f t="array" ref="V93">IF(AuswertungG[[#This Row],[Spiele]]="","",IF(AuswertungG[[#This Row],[Spiele]]&lt;2,"",ROUND(_xlfn.STDEV.P(_xlfn._xlws.FILTER(Eingabe[GES],Eingabe[Name]=AuswertungG[[#This Row],[Name]])),0)))</f>
        <v>23</v>
      </c>
      <c r="W93" s="117">
        <f>IF(AuswertungG[[#This Row],[Spiele MP]]="","",ROUND(AVERAGEIFS(Eingabe[GEGGES],Eingabe[Name],AuswertungG[[#This Row],[Name]]),0))</f>
        <v>478</v>
      </c>
      <c r="X93" s="116" t="str">
        <f>VLOOKUP(AuswertungG[[#This Row],[Name]],PositionG[],21,FALSE)</f>
        <v>[1][3][4]</v>
      </c>
      <c r="Y93" s="116">
        <f>VLOOKUP(AuswertungG[[#This Row],[Name]],PositionG[],22,FALSE)</f>
        <v>1</v>
      </c>
      <c r="Z93" s="116" t="str">
        <f>VLOOKUP(AuswertungG[[#This Row],[Name]],PositionG[],23,FALSE)</f>
        <v>[1][3]</v>
      </c>
      <c r="AA93" s="121">
        <f>IF(AuswertungG[[#This Row],[Spiele MP]]="","",ROUND(VLOOKUP(AuswertungG[[#This Row],[Name]],PositionG[],24,FALSE),2))</f>
        <v>1</v>
      </c>
      <c r="AB93" s="123">
        <f>IF(AuswertungG[[#This Row],[Spiele]]=0,"",ROUND(AVERAGEIFS(Eingabe[Rang],Eingabe[Name],AuswertungG[[#This Row],[Name]]),1))</f>
        <v>2.2999999999999998</v>
      </c>
      <c r="AC93" s="123" cm="1">
        <f t="array" ref="AC93">IFERROR(ROUND(MEDIAN(_xlfn._xlws.FILTER(Eingabe[GES],Eingabe[Name]=AuswertungG[[#This Row],[Name]])),0),"")</f>
        <v>497</v>
      </c>
      <c r="AD93" s="121">
        <f>IFERROR(AuswertungG[[#This Row],[STABW]]/AuswertungG[[#This Row],[GES]],"")</f>
        <v>4.5098039215686274E-2</v>
      </c>
      <c r="AE93" s="123" cm="1">
        <f t="array" ref="AE93">IFERROR(ROUND(_xlfn.QUARTILE.INC(_xlfn._xlws.FILTER(Eingabe[GES],Eingabe[Name]=AuswertungG[[#This Row],[Name]]),3)-_xlfn.QUARTILE.INC(_xlfn._xlws.FILTER(Eingabe[GES],Eingabe[Name]=AuswertungG[[#This Row],[Name]]),1),0),"")</f>
        <v>26</v>
      </c>
      <c r="AF93" s="123">
        <f>IFERROR(1/AuswertungG[[#This Row],[VK]],"")</f>
        <v>22.173913043478262</v>
      </c>
      <c r="AG93" s="123">
        <f>IFERROR(AuswertungG[[#This Row],[Volle]]/AuswertungG[[#This Row],[Räumer]]-2,"")</f>
        <v>0.14814814814814836</v>
      </c>
      <c r="AH93" s="117">
        <f>IFERROR(ROUND((AuswertungG[[#This Row],[Spiele]]*60)/(AuswertungG[[#This Row],[Fehler]]*AuswertungG[[#This Row],[Spiele]]),0),"")</f>
        <v>5</v>
      </c>
      <c r="AI93" s="123" cm="1">
        <f t="array" ref="AI93">IFERROR((AVERAGE(_xlfn._xlws.FILTER(_xlfn._xlws.FILTER(Eingabe[GES],Eingabe[Name]=AuswertungG[[#This Row],[Name]]),ABS(_xlfn._xlws.FILTER(Eingabe[GEGGES],Eingabe[Name]=AuswertungG[[#This Row],[Name]])-_xlfn._xlws.FILTER(Eingabe[GES],Eingabe[Name]=AuswertungG[[#This Row],[Name]]))&lt;15))-AuswertungG[[#This Row],[GES]])/AuswertungG[[#This Row],[STABW]],"")</f>
        <v>1.3913043478260869</v>
      </c>
      <c r="AJ93" s="267">
        <f>IFERROR(ROUND(AVERAGEIFS(Eingabe[MP],Eingabe[Diff],"&lt;15",Eingabe[Name],AuswertungG[[#This Row],[Name]])-AuswertungG[[#This Row],[MP]],2),"")</f>
        <v>-0.67</v>
      </c>
      <c r="AK93" s="117" cm="1">
        <f t="array" ref="AK93">IFERROR(ROUND(AVERAGE(_xlfn._xlws.FILTER(Eingabe[GES],(Eingabe[Name]=AuswertungG[[#This Row],[Name]])*(Eingabe[GEGGES]&gt;(AuswertungG[[#This Row],[GES]]+20))))-AuswertungG[[#This Row],[GES]],0),"")</f>
        <v>32</v>
      </c>
      <c r="AL93" s="117" cm="1">
        <f t="array" ref="AL93">IFERROR(ROUND(AVERAGE(_xlfn._xlws.FILTER(Eingabe[GES],(Eingabe[Name]=AuswertungG[[#This Row],[Name]])*(Eingabe[GEGGES]&lt;(AuswertungG[[#This Row],[GES]]-20))))-AuswertungG[[#This Row],[GES]],0),"")</f>
        <v>-17</v>
      </c>
    </row>
    <row r="94" spans="2:38" x14ac:dyDescent="0.3">
      <c r="B94" s="285" t="str">
        <f t="shared" si="1"/>
        <v>Patrick Hohmann</v>
      </c>
      <c r="C94" s="119" t="str">
        <f>IF(AuswertungG[[#This Row],[Name]]="","",VLOOKUP(AuswertungG[[#This Row],[Name]],Teamzuordnung[[Name]:[Team]],2,TRUE))</f>
        <v>E</v>
      </c>
      <c r="D94" s="120">
        <f>COUNTIFS(Eingabe[Name],AuswertungG[[#This Row],[Name]])</f>
        <v>15</v>
      </c>
      <c r="E94" s="116">
        <f>IF(AuswertungG[[#This Row],[Spiele]]="","",IF(AuswertungG[[#This Row],[Spiele]]-COUNTIFS(Eingabe[Name],AuswertungG[[#This Row],[Name]],Eingabe[MP],"")=0,"",AuswertungG[[#This Row],[Spiele]]-COUNTIFS(Eingabe[Name],AuswertungG[[#This Row],[Name]],Eingabe[MP],"")))</f>
        <v>13</v>
      </c>
      <c r="F94" s="117">
        <f>IF(AuswertungG[[#This Row],[Spiele]]=0,"",ROUND(AVERAGEIFS(Eingabe[Volle],Eingabe[Name],AuswertungG[[#This Row],[Name]]),0))</f>
        <v>361</v>
      </c>
      <c r="G94" s="117">
        <f>IF(AuswertungG[[#This Row],[Spiele]]=0,"",ROUND(AVERAGEIFS(Eingabe[Räumer],Eingabe[Name],AuswertungG[[#This Row],[Name]]),0))</f>
        <v>167</v>
      </c>
      <c r="H94" s="123">
        <f>IF(AuswertungG[[#This Row],[Spiele]]=0,"",ROUND(AVERAGEIFS(Eingabe[Fehler],Eingabe[Name],AuswertungG[[#This Row],[Name]]),1))</f>
        <v>5.9</v>
      </c>
      <c r="I94" s="117">
        <f>IF(AuswertungG[[#This Row],[Spiele]]=0,"",ROUND(AVERAGEIFS(Eingabe[GES],Eingabe[Name],AuswertungG[[#This Row],[Name]]),0))</f>
        <v>528</v>
      </c>
      <c r="J94" s="123">
        <f>IF(AuswertungG[[#This Row],[Spiele MP]]="","",ROUND(AVERAGEIFS(Eingabe[SP],Eingabe[Name],AuswertungG[[#This Row],[Name]]),1))</f>
        <v>2.2000000000000002</v>
      </c>
      <c r="K94" s="121">
        <f>IF(AuswertungG[[#This Row],[Spiele MP]]="","",ROUND(AVERAGEIFS(Eingabe[MP],Eingabe[Name],AuswertungG[[#This Row],[Name]]),2))</f>
        <v>0.57999999999999996</v>
      </c>
      <c r="L94" s="117">
        <f>IFERROR(ROUND(AVERAGEIFS(Eingabe[S1],Eingabe[Name],AuswertungG[[#This Row],[Name]]),0),"")</f>
        <v>131</v>
      </c>
      <c r="M94" s="268">
        <f>IFERROR(ROUND(AVERAGEIFS(Eingabe[S2],Eingabe[Name],AuswertungG[[#This Row],[Name]]),0),"")</f>
        <v>133</v>
      </c>
      <c r="N94" s="117">
        <f>IFERROR(ROUND(AVERAGEIFS(Eingabe[S3],Eingabe[Name],AuswertungG[[#This Row],[Name]]),0),"")</f>
        <v>133</v>
      </c>
      <c r="O94" s="268">
        <f>IFERROR(ROUND(AVERAGEIFS(Eingabe[S3],Eingabe[Name],AuswertungG[[#This Row],[Name]]),0),"")</f>
        <v>133</v>
      </c>
      <c r="P94" s="121">
        <f>IF(AuswertungG[[#This Row],[Spiele MP]]="","",ROUND(AVERAGEIFS(Eingabe[S1P],Eingabe[Name],AuswertungG[[#This Row],[Name]]),2))</f>
        <v>0.77</v>
      </c>
      <c r="Q94" s="121">
        <f>IF(AuswertungG[[#This Row],[Spiele MP]]="","",ROUND(AVERAGEIFS(Eingabe[S2P],Eingabe[Name],AuswertungG[[#This Row],[Name]]),2))</f>
        <v>0.38</v>
      </c>
      <c r="R94" s="121">
        <f>IF(AuswertungG[[#This Row],[Spiele MP]]="","",ROUND(AVERAGEIFS(Eingabe[S3P],Eingabe[Name],AuswertungG[[#This Row],[Name]]),2))</f>
        <v>0.38</v>
      </c>
      <c r="S94" s="121">
        <f>IF(AuswertungG[[#This Row],[Spiele MP]]="","",ROUND(AVERAGEIFS(Eingabe[S4P],Eingabe[Name],AuswertungG[[#This Row],[Name]]),2))</f>
        <v>0.62</v>
      </c>
      <c r="T94" s="267" cm="1">
        <f t="array" ref="T94">IF(AuswertungG[[#This Row],[Spiele]]="","",IF(AuswertungG[[#This Row],[Spiele]]&lt;2,"",ROUND(SLOPE(_xlfn._xlws.FILTER(Eingabe[GES],Eingabe[Name]=AuswertungG[[#This Row],[Name]]),_xlfn._xlws.FILTER(Eingabe[KW],Eingabe[Name]=AuswertungG[[#This Row],[Name]])),2)))</f>
        <v>-0.68</v>
      </c>
      <c r="U94" s="267" cm="1">
        <f t="array" ref="U94">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8.5</v>
      </c>
      <c r="V94" s="117" cm="1">
        <f t="array" ref="V94">IF(AuswertungG[[#This Row],[Spiele]]="","",IF(AuswertungG[[#This Row],[Spiele]]&lt;2,"",ROUND(_xlfn.STDEV.P(_xlfn._xlws.FILTER(Eingabe[GES],Eingabe[Name]=AuswertungG[[#This Row],[Name]])),0)))</f>
        <v>22</v>
      </c>
      <c r="W94" s="117">
        <f>IF(AuswertungG[[#This Row],[Spiele MP]]="","",ROUND(AVERAGEIFS(Eingabe[GEGGES],Eingabe[Name],AuswertungG[[#This Row],[Name]]),0))</f>
        <v>527</v>
      </c>
      <c r="X94" s="116" t="str">
        <f>VLOOKUP(AuswertungG[[#This Row],[Name]],PositionG[],21,FALSE)</f>
        <v>[3]</v>
      </c>
      <c r="Y94" s="116">
        <f>VLOOKUP(AuswertungG[[#This Row],[Name]],PositionG[],22,FALSE)</f>
        <v>6</v>
      </c>
      <c r="Z94" s="116" t="str">
        <f>VLOOKUP(AuswertungG[[#This Row],[Name]],PositionG[],23,FALSE)</f>
        <v>[4]</v>
      </c>
      <c r="AA94" s="121">
        <f>IF(AuswertungG[[#This Row],[Spiele MP]]="","",ROUND(VLOOKUP(AuswertungG[[#This Row],[Name]],PositionG[],24,FALSE),2))</f>
        <v>1</v>
      </c>
      <c r="AB94" s="123">
        <f>IF(AuswertungG[[#This Row],[Spiele]]=0,"",ROUND(AVERAGEIFS(Eingabe[Rang],Eingabe[Name],AuswertungG[[#This Row],[Name]]),1))</f>
        <v>3.6</v>
      </c>
      <c r="AC94" s="123" cm="1">
        <f t="array" ref="AC94">IFERROR(ROUND(MEDIAN(_xlfn._xlws.FILTER(Eingabe[GES],Eingabe[Name]=AuswertungG[[#This Row],[Name]])),0),"")</f>
        <v>528</v>
      </c>
      <c r="AD94" s="121">
        <f>IFERROR(AuswertungG[[#This Row],[STABW]]/AuswertungG[[#This Row],[GES]],"")</f>
        <v>4.1666666666666664E-2</v>
      </c>
      <c r="AE94" s="123" cm="1">
        <f t="array" ref="AE94">IFERROR(ROUND(_xlfn.QUARTILE.INC(_xlfn._xlws.FILTER(Eingabe[GES],Eingabe[Name]=AuswertungG[[#This Row],[Name]]),3)-_xlfn.QUARTILE.INC(_xlfn._xlws.FILTER(Eingabe[GES],Eingabe[Name]=AuswertungG[[#This Row],[Name]]),1),0),"")</f>
        <v>33</v>
      </c>
      <c r="AF94" s="123">
        <f>IFERROR(1/AuswertungG[[#This Row],[VK]],"")</f>
        <v>24</v>
      </c>
      <c r="AG94" s="123">
        <f>IFERROR(AuswertungG[[#This Row],[Volle]]/AuswertungG[[#This Row],[Räumer]]-2,"")</f>
        <v>0.16167664670658688</v>
      </c>
      <c r="AH94" s="117">
        <f>IFERROR(ROUND((AuswertungG[[#This Row],[Spiele]]*60)/(AuswertungG[[#This Row],[Fehler]]*AuswertungG[[#This Row],[Spiele]]),0),"")</f>
        <v>10</v>
      </c>
      <c r="AI94" s="123" cm="1">
        <f t="array" ref="AI94">IFERROR((AVERAGE(_xlfn._xlws.FILTER(_xlfn._xlws.FILTER(Eingabe[GES],Eingabe[Name]=AuswertungG[[#This Row],[Name]]),ABS(_xlfn._xlws.FILTER(Eingabe[GEGGES],Eingabe[Name]=AuswertungG[[#This Row],[Name]])-_xlfn._xlws.FILTER(Eingabe[GES],Eingabe[Name]=AuswertungG[[#This Row],[Name]]))&lt;15))-AuswertungG[[#This Row],[GES]])/AuswertungG[[#This Row],[STABW]],"")</f>
        <v>-0.44155844155843932</v>
      </c>
      <c r="AJ94" s="267">
        <f>IFERROR(ROUND(AVERAGEIFS(Eingabe[MP],Eingabe[Diff],"&lt;15",Eingabe[Name],AuswertungG[[#This Row],[Name]])-AuswertungG[[#This Row],[MP]],2),"")</f>
        <v>0.06</v>
      </c>
      <c r="AK94" s="117" cm="1">
        <f t="array" ref="AK94">IFERROR(ROUND(AVERAGE(_xlfn._xlws.FILTER(Eingabe[GES],(Eingabe[Name]=AuswertungG[[#This Row],[Name]])*(Eingabe[GEGGES]&gt;(AuswertungG[[#This Row],[GES]]+20))))-AuswertungG[[#This Row],[GES]],0),"")</f>
        <v>16</v>
      </c>
      <c r="AL94" s="117" cm="1">
        <f t="array" ref="AL94">IFERROR(ROUND(AVERAGE(_xlfn._xlws.FILTER(Eingabe[GES],(Eingabe[Name]=AuswertungG[[#This Row],[Name]])*(Eingabe[GEGGES]&lt;(AuswertungG[[#This Row],[GES]]-20))))-AuswertungG[[#This Row],[GES]],0),"")</f>
        <v>-25</v>
      </c>
    </row>
    <row r="95" spans="2:38" x14ac:dyDescent="0.3">
      <c r="B95" s="285" t="str">
        <f t="shared" si="1"/>
        <v>Peter Paulmann</v>
      </c>
      <c r="C95" s="119" t="str">
        <f>IF(AuswertungG[[#This Row],[Name]]="","",VLOOKUP(AuswertungG[[#This Row],[Name]],Teamzuordnung[[Name]:[Team]],2,TRUE))</f>
        <v>D</v>
      </c>
      <c r="D95" s="120">
        <f>COUNTIFS(Eingabe[Name],AuswertungG[[#This Row],[Name]])</f>
        <v>5</v>
      </c>
      <c r="E95" s="116">
        <f>IF(AuswertungG[[#This Row],[Spiele]]="","",IF(AuswertungG[[#This Row],[Spiele]]-COUNTIFS(Eingabe[Name],AuswertungG[[#This Row],[Name]],Eingabe[MP],"")=0,"",AuswertungG[[#This Row],[Spiele]]-COUNTIFS(Eingabe[Name],AuswertungG[[#This Row],[Name]],Eingabe[MP],"")))</f>
        <v>3</v>
      </c>
      <c r="F95" s="117">
        <f>IF(AuswertungG[[#This Row],[Spiele]]=0,"",ROUND(AVERAGEIFS(Eingabe[Volle],Eingabe[Name],AuswertungG[[#This Row],[Name]]),0))</f>
        <v>350</v>
      </c>
      <c r="G95" s="117">
        <f>IF(AuswertungG[[#This Row],[Spiele]]=0,"",ROUND(AVERAGEIFS(Eingabe[Räumer],Eingabe[Name],AuswertungG[[#This Row],[Name]]),0))</f>
        <v>165</v>
      </c>
      <c r="H95" s="123">
        <f>IF(AuswertungG[[#This Row],[Spiele]]=0,"",ROUND(AVERAGEIFS(Eingabe[Fehler],Eingabe[Name],AuswertungG[[#This Row],[Name]]),1))</f>
        <v>8.4</v>
      </c>
      <c r="I95" s="117">
        <f>IF(AuswertungG[[#This Row],[Spiele]]=0,"",ROUND(AVERAGEIFS(Eingabe[GES],Eingabe[Name],AuswertungG[[#This Row],[Name]]),0))</f>
        <v>515</v>
      </c>
      <c r="J95" s="123">
        <f>IF(AuswertungG[[#This Row],[Spiele MP]]="","",ROUND(AVERAGEIFS(Eingabe[SP],Eingabe[Name],AuswertungG[[#This Row],[Name]]),1))</f>
        <v>2.2999999999999998</v>
      </c>
      <c r="K95" s="121">
        <f>IF(AuswertungG[[#This Row],[Spiele MP]]="","",ROUND(AVERAGEIFS(Eingabe[MP],Eingabe[Name],AuswertungG[[#This Row],[Name]]),2))</f>
        <v>0.67</v>
      </c>
      <c r="L95" s="117">
        <f>IFERROR(ROUND(AVERAGEIFS(Eingabe[S1],Eingabe[Name],AuswertungG[[#This Row],[Name]]),0),"")</f>
        <v>131</v>
      </c>
      <c r="M95" s="268">
        <f>IFERROR(ROUND(AVERAGEIFS(Eingabe[S2],Eingabe[Name],AuswertungG[[#This Row],[Name]]),0),"")</f>
        <v>128</v>
      </c>
      <c r="N95" s="117">
        <f>IFERROR(ROUND(AVERAGEIFS(Eingabe[S3],Eingabe[Name],AuswertungG[[#This Row],[Name]]),0),"")</f>
        <v>123</v>
      </c>
      <c r="O95" s="268">
        <f>IFERROR(ROUND(AVERAGEIFS(Eingabe[S3],Eingabe[Name],AuswertungG[[#This Row],[Name]]),0),"")</f>
        <v>123</v>
      </c>
      <c r="P95" s="121">
        <f>IF(AuswertungG[[#This Row],[Spiele MP]]="","",ROUND(AVERAGEIFS(Eingabe[S1P],Eingabe[Name],AuswertungG[[#This Row],[Name]]),2))</f>
        <v>1</v>
      </c>
      <c r="Q95" s="121">
        <f>IF(AuswertungG[[#This Row],[Spiele MP]]="","",ROUND(AVERAGEIFS(Eingabe[S2P],Eingabe[Name],AuswertungG[[#This Row],[Name]]),2))</f>
        <v>0.67</v>
      </c>
      <c r="R95" s="121">
        <f>IF(AuswertungG[[#This Row],[Spiele MP]]="","",ROUND(AVERAGEIFS(Eingabe[S3P],Eingabe[Name],AuswertungG[[#This Row],[Name]]),2))</f>
        <v>0.5</v>
      </c>
      <c r="S95" s="121">
        <f>IF(AuswertungG[[#This Row],[Spiele MP]]="","",ROUND(AVERAGEIFS(Eingabe[S4P],Eingabe[Name],AuswertungG[[#This Row],[Name]]),2))</f>
        <v>0.17</v>
      </c>
      <c r="T95" s="267" cm="1">
        <f t="array" ref="T95">IF(AuswertungG[[#This Row],[Spiele]]="","",IF(AuswertungG[[#This Row],[Spiele]]&lt;2,"",ROUND(SLOPE(_xlfn._xlws.FILTER(Eingabe[GES],Eingabe[Name]=AuswertungG[[#This Row],[Name]]),_xlfn._xlws.FILTER(Eingabe[KW],Eingabe[Name]=AuswertungG[[#This Row],[Name]])),2)))</f>
        <v>4.3099999999999996</v>
      </c>
      <c r="U95" s="267" cm="1">
        <f t="array" ref="U95">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-4.29</v>
      </c>
      <c r="V95" s="117" cm="1">
        <f t="array" ref="V95">IF(AuswertungG[[#This Row],[Spiele]]="","",IF(AuswertungG[[#This Row],[Spiele]]&lt;2,"",ROUND(_xlfn.STDEV.P(_xlfn._xlws.FILTER(Eingabe[GES],Eingabe[Name]=AuswertungG[[#This Row],[Name]])),0)))</f>
        <v>31</v>
      </c>
      <c r="W95" s="117">
        <f>IF(AuswertungG[[#This Row],[Spiele MP]]="","",ROUND(AVERAGEIFS(Eingabe[GEGGES],Eingabe[Name],AuswertungG[[#This Row],[Name]]),0))</f>
        <v>495</v>
      </c>
      <c r="X95" s="116" t="str">
        <f>VLOOKUP(AuswertungG[[#This Row],[Name]],PositionG[],21,FALSE)</f>
        <v>[1][5][6]</v>
      </c>
      <c r="Y95" s="116">
        <f>VLOOKUP(AuswertungG[[#This Row],[Name]],PositionG[],22,FALSE)</f>
        <v>1</v>
      </c>
      <c r="Z95" s="116" t="str">
        <f>VLOOKUP(AuswertungG[[#This Row],[Name]],PositionG[],23,FALSE)</f>
        <v>[1][6]</v>
      </c>
      <c r="AA95" s="121">
        <f>IF(AuswertungG[[#This Row],[Spiele MP]]="","",ROUND(VLOOKUP(AuswertungG[[#This Row],[Name]],PositionG[],24,FALSE),2))</f>
        <v>1</v>
      </c>
      <c r="AB95" s="123">
        <f>IF(AuswertungG[[#This Row],[Spiele]]=0,"",ROUND(AVERAGEIFS(Eingabe[Rang],Eingabe[Name],AuswertungG[[#This Row],[Name]]),1))</f>
        <v>3.3</v>
      </c>
      <c r="AC95" s="123" cm="1">
        <f t="array" ref="AC95">IFERROR(ROUND(MEDIAN(_xlfn._xlws.FILTER(Eingabe[GES],Eingabe[Name]=AuswertungG[[#This Row],[Name]])),0),"")</f>
        <v>521</v>
      </c>
      <c r="AD95" s="121">
        <f>IFERROR(AuswertungG[[#This Row],[STABW]]/AuswertungG[[#This Row],[GES]],"")</f>
        <v>6.0194174757281553E-2</v>
      </c>
      <c r="AE95" s="123" cm="1">
        <f t="array" ref="AE95">IFERROR(ROUND(_xlfn.QUARTILE.INC(_xlfn._xlws.FILTER(Eingabe[GES],Eingabe[Name]=AuswertungG[[#This Row],[Name]]),3)-_xlfn.QUARTILE.INC(_xlfn._xlws.FILTER(Eingabe[GES],Eingabe[Name]=AuswertungG[[#This Row],[Name]]),1),0),"")</f>
        <v>28</v>
      </c>
      <c r="AF95" s="123">
        <f>IFERROR(1/AuswertungG[[#This Row],[VK]],"")</f>
        <v>16.612903225806452</v>
      </c>
      <c r="AG95" s="123">
        <f>IFERROR(AuswertungG[[#This Row],[Volle]]/AuswertungG[[#This Row],[Räumer]]-2,"")</f>
        <v>0.1212121212121211</v>
      </c>
      <c r="AH95" s="117">
        <f>IFERROR(ROUND((AuswertungG[[#This Row],[Spiele]]*60)/(AuswertungG[[#This Row],[Fehler]]*AuswertungG[[#This Row],[Spiele]]),0),"")</f>
        <v>7</v>
      </c>
      <c r="AI95" s="123" cm="1">
        <f t="array" ref="AI95">IFERROR((AVERAGE(_xlfn._xlws.FILTER(_xlfn._xlws.FILTER(Eingabe[GES],Eingabe[Name]=AuswertungG[[#This Row],[Name]]),ABS(_xlfn._xlws.FILTER(Eingabe[GEGGES],Eingabe[Name]=AuswertungG[[#This Row],[Name]])-_xlfn._xlws.FILTER(Eingabe[GES],Eingabe[Name]=AuswertungG[[#This Row],[Name]]))&lt;15))-AuswertungG[[#This Row],[GES]])/AuswertungG[[#This Row],[STABW]],"")</f>
        <v>-1.0161290322580645</v>
      </c>
      <c r="AJ95" s="267">
        <f>IFERROR(ROUND(AVERAGEIFS(Eingabe[MP],Eingabe[Diff],"&lt;15",Eingabe[Name],AuswertungG[[#This Row],[Name]])-AuswertungG[[#This Row],[MP]],2),"")</f>
        <v>-0.17</v>
      </c>
      <c r="AK95" s="117" t="str" cm="1">
        <f t="array" ref="AK95">IFERROR(ROUND(AVERAGE(_xlfn._xlws.FILTER(Eingabe[GES],(Eingabe[Name]=AuswertungG[[#This Row],[Name]])*(Eingabe[GEGGES]&gt;(AuswertungG[[#This Row],[GES]]+20))))-AuswertungG[[#This Row],[GES]],0),"")</f>
        <v/>
      </c>
      <c r="AL95" s="117" cm="1">
        <f t="array" ref="AL95">IFERROR(ROUND(AVERAGE(_xlfn._xlws.FILTER(Eingabe[GES],(Eingabe[Name]=AuswertungG[[#This Row],[Name]])*(Eingabe[GEGGES]&lt;(AuswertungG[[#This Row],[GES]]-20))))-AuswertungG[[#This Row],[GES]],0),"")</f>
        <v>-10</v>
      </c>
    </row>
    <row r="96" spans="2:38" x14ac:dyDescent="0.3">
      <c r="B96" s="285" t="str">
        <f t="shared" si="1"/>
        <v>Peter Weißling</v>
      </c>
      <c r="C96" s="119" t="str">
        <f>IF(AuswertungG[[#This Row],[Name]]="","",VLOOKUP(AuswertungG[[#This Row],[Name]],Teamzuordnung[[Name]:[Team]],2,TRUE))</f>
        <v>D</v>
      </c>
      <c r="D96" s="120">
        <f>COUNTIFS(Eingabe[Name],AuswertungG[[#This Row],[Name]])</f>
        <v>1</v>
      </c>
      <c r="E96" s="116">
        <f>IF(AuswertungG[[#This Row],[Spiele]]="","",IF(AuswertungG[[#This Row],[Spiele]]-COUNTIFS(Eingabe[Name],AuswertungG[[#This Row],[Name]],Eingabe[MP],"")=0,"",AuswertungG[[#This Row],[Spiele]]-COUNTIFS(Eingabe[Name],AuswertungG[[#This Row],[Name]],Eingabe[MP],"")))</f>
        <v>1</v>
      </c>
      <c r="F96" s="117">
        <f>IF(AuswertungG[[#This Row],[Spiele]]=0,"",ROUND(AVERAGEIFS(Eingabe[Volle],Eingabe[Name],AuswertungG[[#This Row],[Name]]),0))</f>
        <v>342</v>
      </c>
      <c r="G96" s="117">
        <f>IF(AuswertungG[[#This Row],[Spiele]]=0,"",ROUND(AVERAGEIFS(Eingabe[Räumer],Eingabe[Name],AuswertungG[[#This Row],[Name]]),0))</f>
        <v>145</v>
      </c>
      <c r="H96" s="123">
        <f>IF(AuswertungG[[#This Row],[Spiele]]=0,"",ROUND(AVERAGEIFS(Eingabe[Fehler],Eingabe[Name],AuswertungG[[#This Row],[Name]]),1))</f>
        <v>8</v>
      </c>
      <c r="I96" s="117">
        <f>IF(AuswertungG[[#This Row],[Spiele]]=0,"",ROUND(AVERAGEIFS(Eingabe[GES],Eingabe[Name],AuswertungG[[#This Row],[Name]]),0))</f>
        <v>487</v>
      </c>
      <c r="J96" s="123">
        <f>IF(AuswertungG[[#This Row],[Spiele MP]]="","",ROUND(AVERAGEIFS(Eingabe[SP],Eingabe[Name],AuswertungG[[#This Row],[Name]]),1))</f>
        <v>2</v>
      </c>
      <c r="K96" s="121">
        <f>IF(AuswertungG[[#This Row],[Spiele MP]]="","",ROUND(AVERAGEIFS(Eingabe[MP],Eingabe[Name],AuswertungG[[#This Row],[Name]]),2))</f>
        <v>1</v>
      </c>
      <c r="L96" s="117">
        <f>IFERROR(ROUND(AVERAGEIFS(Eingabe[S1],Eingabe[Name],AuswertungG[[#This Row],[Name]]),0),"")</f>
        <v>113</v>
      </c>
      <c r="M96" s="268">
        <f>IFERROR(ROUND(AVERAGEIFS(Eingabe[S2],Eingabe[Name],AuswertungG[[#This Row],[Name]]),0),"")</f>
        <v>138</v>
      </c>
      <c r="N96" s="117">
        <f>IFERROR(ROUND(AVERAGEIFS(Eingabe[S3],Eingabe[Name],AuswertungG[[#This Row],[Name]]),0),"")</f>
        <v>130</v>
      </c>
      <c r="O96" s="268">
        <f>IFERROR(ROUND(AVERAGEIFS(Eingabe[S3],Eingabe[Name],AuswertungG[[#This Row],[Name]]),0),"")</f>
        <v>130</v>
      </c>
      <c r="P96" s="121">
        <f>IF(AuswertungG[[#This Row],[Spiele MP]]="","",ROUND(AVERAGEIFS(Eingabe[S1P],Eingabe[Name],AuswertungG[[#This Row],[Name]]),2))</f>
        <v>0</v>
      </c>
      <c r="Q96" s="121">
        <f>IF(AuswertungG[[#This Row],[Spiele MP]]="","",ROUND(AVERAGEIFS(Eingabe[S2P],Eingabe[Name],AuswertungG[[#This Row],[Name]]),2))</f>
        <v>1</v>
      </c>
      <c r="R96" s="121">
        <f>IF(AuswertungG[[#This Row],[Spiele MP]]="","",ROUND(AVERAGEIFS(Eingabe[S3P],Eingabe[Name],AuswertungG[[#This Row],[Name]]),2))</f>
        <v>1</v>
      </c>
      <c r="S96" s="121">
        <f>IF(AuswertungG[[#This Row],[Spiele MP]]="","",ROUND(AVERAGEIFS(Eingabe[S4P],Eingabe[Name],AuswertungG[[#This Row],[Name]]),2))</f>
        <v>0</v>
      </c>
      <c r="T96" s="267" t="str" cm="1">
        <f t="array" ref="T96">IF(AuswertungG[[#This Row],[Spiele]]="","",IF(AuswertungG[[#This Row],[Spiele]]&lt;2,"",ROUND(SLOPE(_xlfn._xlws.FILTER(Eingabe[GES],Eingabe[Name]=AuswertungG[[#This Row],[Name]]),_xlfn._xlws.FILTER(Eingabe[KW],Eingabe[Name]=AuswertungG[[#This Row],[Name]])),2)))</f>
        <v/>
      </c>
      <c r="U96" s="267" t="str" cm="1">
        <f t="array" ref="U96">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96" s="117" t="str" cm="1">
        <f t="array" ref="V96">IF(AuswertungG[[#This Row],[Spiele]]="","",IF(AuswertungG[[#This Row],[Spiele]]&lt;2,"",ROUND(_xlfn.STDEV.P(_xlfn._xlws.FILTER(Eingabe[GES],Eingabe[Name]=AuswertungG[[#This Row],[Name]])),0)))</f>
        <v/>
      </c>
      <c r="W96" s="117">
        <f>IF(AuswertungG[[#This Row],[Spiele MP]]="","",ROUND(AVERAGEIFS(Eingabe[GEGGES],Eingabe[Name],AuswertungG[[#This Row],[Name]]),0))</f>
        <v>473</v>
      </c>
      <c r="X96" s="116" t="str">
        <f>VLOOKUP(AuswertungG[[#This Row],[Name]],PositionG[],21,FALSE)</f>
        <v>[3]</v>
      </c>
      <c r="Y96" s="116">
        <f>VLOOKUP(AuswertungG[[#This Row],[Name]],PositionG[],22,FALSE)</f>
        <v>1</v>
      </c>
      <c r="Z96" s="116" t="str">
        <f>VLOOKUP(AuswertungG[[#This Row],[Name]],PositionG[],23,FALSE)</f>
        <v>[3]</v>
      </c>
      <c r="AA96" s="121">
        <f>IF(AuswertungG[[#This Row],[Spiele MP]]="","",ROUND(VLOOKUP(AuswertungG[[#This Row],[Name]],PositionG[],24,FALSE),2))</f>
        <v>1</v>
      </c>
      <c r="AB96" s="123">
        <f>IF(AuswertungG[[#This Row],[Spiele]]=0,"",ROUND(AVERAGEIFS(Eingabe[Rang],Eingabe[Name],AuswertungG[[#This Row],[Name]]),1))</f>
        <v>5</v>
      </c>
      <c r="AC96" s="123" cm="1">
        <f t="array" ref="AC96">IFERROR(ROUND(MEDIAN(_xlfn._xlws.FILTER(Eingabe[GES],Eingabe[Name]=AuswertungG[[#This Row],[Name]])),0),"")</f>
        <v>487</v>
      </c>
      <c r="AD96" s="121" t="str">
        <f>IFERROR(AuswertungG[[#This Row],[STABW]]/AuswertungG[[#This Row],[GES]],"")</f>
        <v/>
      </c>
      <c r="AE96" s="123" cm="1">
        <f t="array" ref="AE96">IFERROR(ROUND(_xlfn.QUARTILE.INC(_xlfn._xlws.FILTER(Eingabe[GES],Eingabe[Name]=AuswertungG[[#This Row],[Name]]),3)-_xlfn.QUARTILE.INC(_xlfn._xlws.FILTER(Eingabe[GES],Eingabe[Name]=AuswertungG[[#This Row],[Name]]),1),0),"")</f>
        <v>0</v>
      </c>
      <c r="AF96" s="123" t="str">
        <f>IFERROR(1/AuswertungG[[#This Row],[VK]],"")</f>
        <v/>
      </c>
      <c r="AG96" s="123">
        <f>IFERROR(AuswertungG[[#This Row],[Volle]]/AuswertungG[[#This Row],[Räumer]]-2,"")</f>
        <v>0.35862068965517224</v>
      </c>
      <c r="AH96" s="117">
        <f>IFERROR(ROUND((AuswertungG[[#This Row],[Spiele]]*60)/(AuswertungG[[#This Row],[Fehler]]*AuswertungG[[#This Row],[Spiele]]),0),"")</f>
        <v>8</v>
      </c>
      <c r="AI96" s="123" t="str" cm="1">
        <f t="array" ref="AI96">IFERROR((AVERAGE(_xlfn._xlws.FILTER(_xlfn._xlws.FILTER(Eingabe[GES],Eingabe[Name]=AuswertungG[[#This Row],[Name]]),ABS(_xlfn._xlws.FILTER(Eingabe[GEGGES],Eingabe[Name]=AuswertungG[[#This Row],[Name]])-_xlfn._xlws.FILTER(Eingabe[GES],Eingabe[Name]=AuswertungG[[#This Row],[Name]]))&lt;15))-AuswertungG[[#This Row],[GES]])/AuswertungG[[#This Row],[STABW]],"")</f>
        <v/>
      </c>
      <c r="AJ96" s="267">
        <f>IFERROR(ROUND(AVERAGEIFS(Eingabe[MP],Eingabe[Diff],"&lt;15",Eingabe[Name],AuswertungG[[#This Row],[Name]])-AuswertungG[[#This Row],[MP]],2),"")</f>
        <v>0</v>
      </c>
      <c r="AK96" s="117" t="str" cm="1">
        <f t="array" ref="AK96">IFERROR(ROUND(AVERAGE(_xlfn._xlws.FILTER(Eingabe[GES],(Eingabe[Name]=AuswertungG[[#This Row],[Name]])*(Eingabe[GEGGES]&gt;(AuswertungG[[#This Row],[GES]]+20))))-AuswertungG[[#This Row],[GES]],0),"")</f>
        <v/>
      </c>
      <c r="AL96" s="117" t="str" cm="1">
        <f t="array" ref="AL96">IFERROR(ROUND(AVERAGE(_xlfn._xlws.FILTER(Eingabe[GES],(Eingabe[Name]=AuswertungG[[#This Row],[Name]])*(Eingabe[GEGGES]&lt;(AuswertungG[[#This Row],[GES]]-20))))-AuswertungG[[#This Row],[GES]],0),"")</f>
        <v/>
      </c>
    </row>
    <row r="97" spans="2:39" x14ac:dyDescent="0.3">
      <c r="B97" s="285" t="str">
        <f t="shared" si="1"/>
        <v>Petra Kubon</v>
      </c>
      <c r="C97" s="119" t="str">
        <f>IF(AuswertungG[[#This Row],[Name]]="","",VLOOKUP(AuswertungG[[#This Row],[Name]],Teamzuordnung[[Name]:[Team]],2,TRUE))</f>
        <v>F</v>
      </c>
      <c r="D97" s="120">
        <f>COUNTIFS(Eingabe[Name],AuswertungG[[#This Row],[Name]])</f>
        <v>1</v>
      </c>
      <c r="E97" s="116">
        <f>IF(AuswertungG[[#This Row],[Spiele]]="","",IF(AuswertungG[[#This Row],[Spiele]]-COUNTIFS(Eingabe[Name],AuswertungG[[#This Row],[Name]],Eingabe[MP],"")=0,"",AuswertungG[[#This Row],[Spiele]]-COUNTIFS(Eingabe[Name],AuswertungG[[#This Row],[Name]],Eingabe[MP],"")))</f>
        <v>1</v>
      </c>
      <c r="F97" s="117">
        <f>IF(AuswertungG[[#This Row],[Spiele]]=0,"",ROUND(AVERAGEIFS(Eingabe[Volle],Eingabe[Name],AuswertungG[[#This Row],[Name]]),0))</f>
        <v>340</v>
      </c>
      <c r="G97" s="117">
        <f>IF(AuswertungG[[#This Row],[Spiele]]=0,"",ROUND(AVERAGEIFS(Eingabe[Räumer],Eingabe[Name],AuswertungG[[#This Row],[Name]]),0))</f>
        <v>137</v>
      </c>
      <c r="H97" s="123">
        <f>IF(AuswertungG[[#This Row],[Spiele]]=0,"",ROUND(AVERAGEIFS(Eingabe[Fehler],Eingabe[Name],AuswertungG[[#This Row],[Name]]),1))</f>
        <v>13</v>
      </c>
      <c r="I97" s="117">
        <f>IF(AuswertungG[[#This Row],[Spiele]]=0,"",ROUND(AVERAGEIFS(Eingabe[GES],Eingabe[Name],AuswertungG[[#This Row],[Name]]),0))</f>
        <v>477</v>
      </c>
      <c r="J97" s="123">
        <f>IF(AuswertungG[[#This Row],[Spiele MP]]="","",ROUND(AVERAGEIFS(Eingabe[SP],Eingabe[Name],AuswertungG[[#This Row],[Name]]),1))</f>
        <v>2</v>
      </c>
      <c r="K97" s="121">
        <f>IF(AuswertungG[[#This Row],[Spiele MP]]="","",ROUND(AVERAGEIFS(Eingabe[MP],Eingabe[Name],AuswertungG[[#This Row],[Name]]),2))</f>
        <v>0</v>
      </c>
      <c r="L97" s="117">
        <f>IFERROR(ROUND(AVERAGEIFS(Eingabe[S1],Eingabe[Name],AuswertungG[[#This Row],[Name]]),0),"")</f>
        <v>117</v>
      </c>
      <c r="M97" s="268">
        <f>IFERROR(ROUND(AVERAGEIFS(Eingabe[S2],Eingabe[Name],AuswertungG[[#This Row],[Name]]),0),"")</f>
        <v>127</v>
      </c>
      <c r="N97" s="117">
        <f>IFERROR(ROUND(AVERAGEIFS(Eingabe[S3],Eingabe[Name],AuswertungG[[#This Row],[Name]]),0),"")</f>
        <v>115</v>
      </c>
      <c r="O97" s="268">
        <f>IFERROR(ROUND(AVERAGEIFS(Eingabe[S3],Eingabe[Name],AuswertungG[[#This Row],[Name]]),0),"")</f>
        <v>115</v>
      </c>
      <c r="P97" s="121">
        <f>IF(AuswertungG[[#This Row],[Spiele MP]]="","",ROUND(AVERAGEIFS(Eingabe[S1P],Eingabe[Name],AuswertungG[[#This Row],[Name]]),2))</f>
        <v>0</v>
      </c>
      <c r="Q97" s="121">
        <f>IF(AuswertungG[[#This Row],[Spiele MP]]="","",ROUND(AVERAGEIFS(Eingabe[S2P],Eingabe[Name],AuswertungG[[#This Row],[Name]]),2))</f>
        <v>1</v>
      </c>
      <c r="R97" s="121">
        <f>IF(AuswertungG[[#This Row],[Spiele MP]]="","",ROUND(AVERAGEIFS(Eingabe[S3P],Eingabe[Name],AuswertungG[[#This Row],[Name]]),2))</f>
        <v>0</v>
      </c>
      <c r="S97" s="121">
        <f>IF(AuswertungG[[#This Row],[Spiele MP]]="","",ROUND(AVERAGEIFS(Eingabe[S4P],Eingabe[Name],AuswertungG[[#This Row],[Name]]),2))</f>
        <v>1</v>
      </c>
      <c r="T97" s="267" t="str" cm="1">
        <f t="array" ref="T97">IF(AuswertungG[[#This Row],[Spiele]]="","",IF(AuswertungG[[#This Row],[Spiele]]&lt;2,"",ROUND(SLOPE(_xlfn._xlws.FILTER(Eingabe[GES],Eingabe[Name]=AuswertungG[[#This Row],[Name]]),_xlfn._xlws.FILTER(Eingabe[KW],Eingabe[Name]=AuswertungG[[#This Row],[Name]])),2)))</f>
        <v/>
      </c>
      <c r="U97" s="267" t="str" cm="1">
        <f t="array" ref="U97">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97" s="117" t="str" cm="1">
        <f t="array" ref="V97">IF(AuswertungG[[#This Row],[Spiele]]="","",IF(AuswertungG[[#This Row],[Spiele]]&lt;2,"",ROUND(_xlfn.STDEV.P(_xlfn._xlws.FILTER(Eingabe[GES],Eingabe[Name]=AuswertungG[[#This Row],[Name]])),0)))</f>
        <v/>
      </c>
      <c r="W97" s="117">
        <f>IF(AuswertungG[[#This Row],[Spiele MP]]="","",ROUND(AVERAGEIFS(Eingabe[GEGGES],Eingabe[Name],AuswertungG[[#This Row],[Name]]),0))</f>
        <v>485</v>
      </c>
      <c r="X97" s="116" t="str">
        <f>VLOOKUP(AuswertungG[[#This Row],[Name]],PositionG[],21,FALSE)</f>
        <v>[4]</v>
      </c>
      <c r="Y97" s="116">
        <f>VLOOKUP(AuswertungG[[#This Row],[Name]],PositionG[],22,FALSE)</f>
        <v>1</v>
      </c>
      <c r="Z97" s="116" t="str">
        <f>VLOOKUP(AuswertungG[[#This Row],[Name]],PositionG[],23,FALSE)</f>
        <v>[4]</v>
      </c>
      <c r="AA97" s="121">
        <f>IF(AuswertungG[[#This Row],[Spiele MP]]="","",ROUND(VLOOKUP(AuswertungG[[#This Row],[Name]],PositionG[],24,FALSE),2))</f>
        <v>0</v>
      </c>
      <c r="AB97" s="123">
        <f>IF(AuswertungG[[#This Row],[Spiele]]=0,"",ROUND(AVERAGEIFS(Eingabe[Rang],Eingabe[Name],AuswertungG[[#This Row],[Name]]),1))</f>
        <v>5</v>
      </c>
      <c r="AC97" s="123" cm="1">
        <f t="array" ref="AC97">IFERROR(ROUND(MEDIAN(_xlfn._xlws.FILTER(Eingabe[GES],Eingabe[Name]=AuswertungG[[#This Row],[Name]])),0),"")</f>
        <v>477</v>
      </c>
      <c r="AD97" s="121" t="str">
        <f>IFERROR(AuswertungG[[#This Row],[STABW]]/AuswertungG[[#This Row],[GES]],"")</f>
        <v/>
      </c>
      <c r="AE97" s="123" cm="1">
        <f t="array" ref="AE97">IFERROR(ROUND(_xlfn.QUARTILE.INC(_xlfn._xlws.FILTER(Eingabe[GES],Eingabe[Name]=AuswertungG[[#This Row],[Name]]),3)-_xlfn.QUARTILE.INC(_xlfn._xlws.FILTER(Eingabe[GES],Eingabe[Name]=AuswertungG[[#This Row],[Name]]),1),0),"")</f>
        <v>0</v>
      </c>
      <c r="AF97" s="123" t="str">
        <f>IFERROR(1/AuswertungG[[#This Row],[VK]],"")</f>
        <v/>
      </c>
      <c r="AG97" s="123">
        <f>IFERROR(AuswertungG[[#This Row],[Volle]]/AuswertungG[[#This Row],[Räumer]]-2,"")</f>
        <v>0.48175182481751833</v>
      </c>
      <c r="AH97" s="117">
        <f>IFERROR(ROUND((AuswertungG[[#This Row],[Spiele]]*60)/(AuswertungG[[#This Row],[Fehler]]*AuswertungG[[#This Row],[Spiele]]),0),"")</f>
        <v>5</v>
      </c>
      <c r="AI97" s="123" t="str" cm="1">
        <f t="array" ref="AI97">IFERROR((AVERAGE(_xlfn._xlws.FILTER(_xlfn._xlws.FILTER(Eingabe[GES],Eingabe[Name]=AuswertungG[[#This Row],[Name]]),ABS(_xlfn._xlws.FILTER(Eingabe[GEGGES],Eingabe[Name]=AuswertungG[[#This Row],[Name]])-_xlfn._xlws.FILTER(Eingabe[GES],Eingabe[Name]=AuswertungG[[#This Row],[Name]]))&lt;15))-AuswertungG[[#This Row],[GES]])/AuswertungG[[#This Row],[STABW]],"")</f>
        <v/>
      </c>
      <c r="AJ97" s="267">
        <f>IFERROR(ROUND(AVERAGEIFS(Eingabe[MP],Eingabe[Diff],"&lt;15",Eingabe[Name],AuswertungG[[#This Row],[Name]])-AuswertungG[[#This Row],[MP]],2),"")</f>
        <v>0</v>
      </c>
      <c r="AK97" s="117" t="str" cm="1">
        <f t="array" ref="AK97">IFERROR(ROUND(AVERAGE(_xlfn._xlws.FILTER(Eingabe[GES],(Eingabe[Name]=AuswertungG[[#This Row],[Name]])*(Eingabe[GEGGES]&gt;(AuswertungG[[#This Row],[GES]]+20))))-AuswertungG[[#This Row],[GES]],0),"")</f>
        <v/>
      </c>
      <c r="AL97" s="117" t="str" cm="1">
        <f t="array" ref="AL97">IFERROR(ROUND(AVERAGE(_xlfn._xlws.FILTER(Eingabe[GES],(Eingabe[Name]=AuswertungG[[#This Row],[Name]])*(Eingabe[GEGGES]&lt;(AuswertungG[[#This Row],[GES]]-20))))-AuswertungG[[#This Row],[GES]],0),"")</f>
        <v/>
      </c>
    </row>
    <row r="98" spans="2:39" x14ac:dyDescent="0.3">
      <c r="B98" s="285" t="str">
        <f t="shared" si="1"/>
        <v>Philipp Paulmann</v>
      </c>
      <c r="C98" s="119" t="str">
        <f>IF(AuswertungG[[#This Row],[Name]]="","",VLOOKUP(AuswertungG[[#This Row],[Name]],Teamzuordnung[[Name]:[Team]],2,TRUE))</f>
        <v>E</v>
      </c>
      <c r="D98" s="120">
        <f>COUNTIFS(Eingabe[Name],AuswertungG[[#This Row],[Name]])</f>
        <v>13</v>
      </c>
      <c r="E98" s="116">
        <f>IF(AuswertungG[[#This Row],[Spiele]]="","",IF(AuswertungG[[#This Row],[Spiele]]-COUNTIFS(Eingabe[Name],AuswertungG[[#This Row],[Name]],Eingabe[MP],"")=0,"",AuswertungG[[#This Row],[Spiele]]-COUNTIFS(Eingabe[Name],AuswertungG[[#This Row],[Name]],Eingabe[MP],"")))</f>
        <v>13</v>
      </c>
      <c r="F98" s="117">
        <f>IF(AuswertungG[[#This Row],[Spiele]]=0,"",ROUND(AVERAGEIFS(Eingabe[Volle],Eingabe[Name],AuswertungG[[#This Row],[Name]]),0))</f>
        <v>369</v>
      </c>
      <c r="G98" s="117">
        <f>IF(AuswertungG[[#This Row],[Spiele]]=0,"",ROUND(AVERAGEIFS(Eingabe[Räumer],Eingabe[Name],AuswertungG[[#This Row],[Name]]),0))</f>
        <v>199</v>
      </c>
      <c r="H98" s="123">
        <f>IF(AuswertungG[[#This Row],[Spiele]]=0,"",ROUND(AVERAGEIFS(Eingabe[Fehler],Eingabe[Name],AuswertungG[[#This Row],[Name]]),1))</f>
        <v>2.8</v>
      </c>
      <c r="I98" s="117">
        <f>IF(AuswertungG[[#This Row],[Spiele]]=0,"",ROUND(AVERAGEIFS(Eingabe[GES],Eingabe[Name],AuswertungG[[#This Row],[Name]]),0))</f>
        <v>568</v>
      </c>
      <c r="J98" s="123">
        <f>IF(AuswertungG[[#This Row],[Spiele MP]]="","",ROUND(AVERAGEIFS(Eingabe[SP],Eingabe[Name],AuswertungG[[#This Row],[Name]]),1))</f>
        <v>2.2999999999999998</v>
      </c>
      <c r="K98" s="121">
        <f>IF(AuswertungG[[#This Row],[Spiele MP]]="","",ROUND(AVERAGEIFS(Eingabe[MP],Eingabe[Name],AuswertungG[[#This Row],[Name]]),2))</f>
        <v>0.62</v>
      </c>
      <c r="L98" s="117">
        <f>IFERROR(ROUND(AVERAGEIFS(Eingabe[S1],Eingabe[Name],AuswertungG[[#This Row],[Name]]),0),"")</f>
        <v>147</v>
      </c>
      <c r="M98" s="268">
        <f>IFERROR(ROUND(AVERAGEIFS(Eingabe[S2],Eingabe[Name],AuswertungG[[#This Row],[Name]]),0),"")</f>
        <v>139</v>
      </c>
      <c r="N98" s="117">
        <f>IFERROR(ROUND(AVERAGEIFS(Eingabe[S3],Eingabe[Name],AuswertungG[[#This Row],[Name]]),0),"")</f>
        <v>142</v>
      </c>
      <c r="O98" s="268">
        <f>IFERROR(ROUND(AVERAGEIFS(Eingabe[S3],Eingabe[Name],AuswertungG[[#This Row],[Name]]),0),"")</f>
        <v>142</v>
      </c>
      <c r="P98" s="121">
        <f>IF(AuswertungG[[#This Row],[Spiele MP]]="","",ROUND(AVERAGEIFS(Eingabe[S1P],Eingabe[Name],AuswertungG[[#This Row],[Name]]),2))</f>
        <v>0.73</v>
      </c>
      <c r="Q98" s="121">
        <f>IF(AuswertungG[[#This Row],[Spiele MP]]="","",ROUND(AVERAGEIFS(Eingabe[S2P],Eingabe[Name],AuswertungG[[#This Row],[Name]]),2))</f>
        <v>0.57999999999999996</v>
      </c>
      <c r="R98" s="121">
        <f>IF(AuswertungG[[#This Row],[Spiele MP]]="","",ROUND(AVERAGEIFS(Eingabe[S3P],Eingabe[Name],AuswertungG[[#This Row],[Name]]),2))</f>
        <v>0.46</v>
      </c>
      <c r="S98" s="121">
        <f>IF(AuswertungG[[#This Row],[Spiele MP]]="","",ROUND(AVERAGEIFS(Eingabe[S4P],Eingabe[Name],AuswertungG[[#This Row],[Name]]),2))</f>
        <v>0.5</v>
      </c>
      <c r="T98" s="267" cm="1">
        <f t="array" ref="T98">IF(AuswertungG[[#This Row],[Spiele]]="","",IF(AuswertungG[[#This Row],[Spiele]]&lt;2,"",ROUND(SLOPE(_xlfn._xlws.FILTER(Eingabe[GES],Eingabe[Name]=AuswertungG[[#This Row],[Name]]),_xlfn._xlws.FILTER(Eingabe[KW],Eingabe[Name]=AuswertungG[[#This Row],[Name]])),2)))</f>
        <v>-3.17</v>
      </c>
      <c r="U98" s="267" cm="1">
        <f t="array" ref="U98">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-6.79</v>
      </c>
      <c r="V98" s="117" cm="1">
        <f t="array" ref="V98">IF(AuswertungG[[#This Row],[Spiele]]="","",IF(AuswertungG[[#This Row],[Spiele]]&lt;2,"",ROUND(_xlfn.STDEV.P(_xlfn._xlws.FILTER(Eingabe[GES],Eingabe[Name]=AuswertungG[[#This Row],[Name]])),0)))</f>
        <v>39</v>
      </c>
      <c r="W98" s="117">
        <f>IF(AuswertungG[[#This Row],[Spiele MP]]="","",ROUND(AVERAGEIFS(Eingabe[GEGGES],Eingabe[Name],AuswertungG[[#This Row],[Name]]),0))</f>
        <v>546</v>
      </c>
      <c r="X98" s="116" t="str">
        <f>VLOOKUP(AuswertungG[[#This Row],[Name]],PositionG[],21,FALSE)</f>
        <v>[5]</v>
      </c>
      <c r="Y98" s="116">
        <f>VLOOKUP(AuswertungG[[#This Row],[Name]],PositionG[],22,FALSE)</f>
        <v>8</v>
      </c>
      <c r="Z98" s="116" t="str">
        <f>VLOOKUP(AuswertungG[[#This Row],[Name]],PositionG[],23,FALSE)</f>
        <v>[3]</v>
      </c>
      <c r="AA98" s="121">
        <f>IF(AuswertungG[[#This Row],[Spiele MP]]="","",ROUND(VLOOKUP(AuswertungG[[#This Row],[Name]],PositionG[],24,FALSE),2))</f>
        <v>1</v>
      </c>
      <c r="AB98" s="123">
        <f>IF(AuswertungG[[#This Row],[Spiele]]=0,"",ROUND(AVERAGEIFS(Eingabe[Rang],Eingabe[Name],AuswertungG[[#This Row],[Name]]),1))</f>
        <v>2</v>
      </c>
      <c r="AC98" s="123" cm="1">
        <f t="array" ref="AC98">IFERROR(ROUND(MEDIAN(_xlfn._xlws.FILTER(Eingabe[GES],Eingabe[Name]=AuswertungG[[#This Row],[Name]])),0),"")</f>
        <v>558</v>
      </c>
      <c r="AD98" s="121">
        <f>IFERROR(AuswertungG[[#This Row],[STABW]]/AuswertungG[[#This Row],[GES]],"")</f>
        <v>6.8661971830985921E-2</v>
      </c>
      <c r="AE98" s="123" cm="1">
        <f t="array" ref="AE98">IFERROR(ROUND(_xlfn.QUARTILE.INC(_xlfn._xlws.FILTER(Eingabe[GES],Eingabe[Name]=AuswertungG[[#This Row],[Name]]),3)-_xlfn.QUARTILE.INC(_xlfn._xlws.FILTER(Eingabe[GES],Eingabe[Name]=AuswertungG[[#This Row],[Name]]),1),0),"")</f>
        <v>60</v>
      </c>
      <c r="AF98" s="123">
        <f>IFERROR(1/AuswertungG[[#This Row],[VK]],"")</f>
        <v>14.564102564102562</v>
      </c>
      <c r="AG98" s="123">
        <f>IFERROR(AuswertungG[[#This Row],[Volle]]/AuswertungG[[#This Row],[Räumer]]-2,"")</f>
        <v>-0.14572864321608048</v>
      </c>
      <c r="AH98" s="117">
        <f>IFERROR(ROUND((AuswertungG[[#This Row],[Spiele]]*60)/(AuswertungG[[#This Row],[Fehler]]*AuswertungG[[#This Row],[Spiele]]),0),"")</f>
        <v>21</v>
      </c>
      <c r="AI98" s="123" cm="1">
        <f t="array" ref="AI98">IFERROR((AVERAGE(_xlfn._xlws.FILTER(_xlfn._xlws.FILTER(Eingabe[GES],Eingabe[Name]=AuswertungG[[#This Row],[Name]]),ABS(_xlfn._xlws.FILTER(Eingabe[GEGGES],Eingabe[Name]=AuswertungG[[#This Row],[Name]])-_xlfn._xlws.FILTER(Eingabe[GES],Eingabe[Name]=AuswertungG[[#This Row],[Name]]))&lt;15))-AuswertungG[[#This Row],[GES]])/AuswertungG[[#This Row],[STABW]],"")</f>
        <v>-0.74358974358974361</v>
      </c>
      <c r="AJ98" s="267">
        <f>IFERROR(ROUND(AVERAGEIFS(Eingabe[MP],Eingabe[Diff],"&lt;15",Eingabe[Name],AuswertungG[[#This Row],[Name]])-AuswertungG[[#This Row],[MP]],2),"")</f>
        <v>-0.28999999999999998</v>
      </c>
      <c r="AK98" s="117" cm="1">
        <f t="array" ref="AK98">IFERROR(ROUND(AVERAGE(_xlfn._xlws.FILTER(Eingabe[GES],(Eingabe[Name]=AuswertungG[[#This Row],[Name]])*(Eingabe[GEGGES]&gt;(AuswertungG[[#This Row],[GES]]+20))))-AuswertungG[[#This Row],[GES]],0),"")</f>
        <v>-34</v>
      </c>
      <c r="AL98" s="117" cm="1">
        <f t="array" ref="AL98">IFERROR(ROUND(AVERAGE(_xlfn._xlws.FILTER(Eingabe[GES],(Eingabe[Name]=AuswertungG[[#This Row],[Name]])*(Eingabe[GEGGES]&lt;(AuswertungG[[#This Row],[GES]]-20))))-AuswertungG[[#This Row],[GES]],0),"")</f>
        <v>-1</v>
      </c>
    </row>
    <row r="99" spans="2:39" x14ac:dyDescent="0.3">
      <c r="B99" s="285" t="str">
        <f t="shared" si="1"/>
        <v>Pia Wätzig</v>
      </c>
      <c r="C99" s="119" t="str">
        <f>IF(AuswertungG[[#This Row],[Name]]="","",VLOOKUP(AuswertungG[[#This Row],[Name]],Teamzuordnung[[Name]:[Team]],2,TRUE))</f>
        <v>U19</v>
      </c>
      <c r="D99" s="120">
        <f>COUNTIFS(Eingabe[Name],AuswertungG[[#This Row],[Name]])</f>
        <v>12</v>
      </c>
      <c r="E99" s="116">
        <f>IF(AuswertungG[[#This Row],[Spiele]]="","",IF(AuswertungG[[#This Row],[Spiele]]-COUNTIFS(Eingabe[Name],AuswertungG[[#This Row],[Name]],Eingabe[MP],"")=0,"",AuswertungG[[#This Row],[Spiele]]-COUNTIFS(Eingabe[Name],AuswertungG[[#This Row],[Name]],Eingabe[MP],"")))</f>
        <v>2</v>
      </c>
      <c r="F99" s="117">
        <f>IF(AuswertungG[[#This Row],[Spiele]]=0,"",ROUND(AVERAGEIFS(Eingabe[Volle],Eingabe[Name],AuswertungG[[#This Row],[Name]]),0))</f>
        <v>327</v>
      </c>
      <c r="G99" s="117">
        <f>IF(AuswertungG[[#This Row],[Spiele]]=0,"",ROUND(AVERAGEIFS(Eingabe[Räumer],Eingabe[Name],AuswertungG[[#This Row],[Name]]),0))</f>
        <v>134</v>
      </c>
      <c r="H99" s="123">
        <f>IF(AuswertungG[[#This Row],[Spiele]]=0,"",ROUND(AVERAGEIFS(Eingabe[Fehler],Eingabe[Name],AuswertungG[[#This Row],[Name]]),1))</f>
        <v>15.1</v>
      </c>
      <c r="I99" s="117">
        <f>IF(AuswertungG[[#This Row],[Spiele]]=0,"",ROUND(AVERAGEIFS(Eingabe[GES],Eingabe[Name],AuswertungG[[#This Row],[Name]]),0))</f>
        <v>461</v>
      </c>
      <c r="J99" s="123">
        <f>IF(AuswertungG[[#This Row],[Spiele MP]]="","",ROUND(AVERAGEIFS(Eingabe[SP],Eingabe[Name],AuswertungG[[#This Row],[Name]]),1))</f>
        <v>0.5</v>
      </c>
      <c r="K99" s="121">
        <f>IF(AuswertungG[[#This Row],[Spiele MP]]="","",ROUND(AVERAGEIFS(Eingabe[MP],Eingabe[Name],AuswertungG[[#This Row],[Name]]),2))</f>
        <v>0</v>
      </c>
      <c r="L99" s="117">
        <f>IFERROR(ROUND(AVERAGEIFS(Eingabe[S1],Eingabe[Name],AuswertungG[[#This Row],[Name]]),0),"")</f>
        <v>115</v>
      </c>
      <c r="M99" s="268">
        <f>IFERROR(ROUND(AVERAGEIFS(Eingabe[S2],Eingabe[Name],AuswertungG[[#This Row],[Name]]),0),"")</f>
        <v>117</v>
      </c>
      <c r="N99" s="117">
        <f>IFERROR(ROUND(AVERAGEIFS(Eingabe[S3],Eingabe[Name],AuswertungG[[#This Row],[Name]]),0),"")</f>
        <v>114</v>
      </c>
      <c r="O99" s="268">
        <f>IFERROR(ROUND(AVERAGEIFS(Eingabe[S3],Eingabe[Name],AuswertungG[[#This Row],[Name]]),0),"")</f>
        <v>114</v>
      </c>
      <c r="P99" s="121">
        <f>IF(AuswertungG[[#This Row],[Spiele MP]]="","",ROUND(AVERAGEIFS(Eingabe[S1P],Eingabe[Name],AuswertungG[[#This Row],[Name]]),2))</f>
        <v>0</v>
      </c>
      <c r="Q99" s="121">
        <f>IF(AuswertungG[[#This Row],[Spiele MP]]="","",ROUND(AVERAGEIFS(Eingabe[S2P],Eingabe[Name],AuswertungG[[#This Row],[Name]]),2))</f>
        <v>0</v>
      </c>
      <c r="R99" s="121">
        <f>IF(AuswertungG[[#This Row],[Spiele MP]]="","",ROUND(AVERAGEIFS(Eingabe[S3P],Eingabe[Name],AuswertungG[[#This Row],[Name]]),2))</f>
        <v>0</v>
      </c>
      <c r="S99" s="121">
        <f>IF(AuswertungG[[#This Row],[Spiele MP]]="","",ROUND(AVERAGEIFS(Eingabe[S4P],Eingabe[Name],AuswertungG[[#This Row],[Name]]),2))</f>
        <v>0.5</v>
      </c>
      <c r="T99" s="267" cm="1">
        <f t="array" ref="T99">IF(AuswertungG[[#This Row],[Spiele]]="","",IF(AuswertungG[[#This Row],[Spiele]]&lt;2,"",ROUND(SLOPE(_xlfn._xlws.FILTER(Eingabe[GES],Eingabe[Name]=AuswertungG[[#This Row],[Name]]),_xlfn._xlws.FILTER(Eingabe[KW],Eingabe[Name]=AuswertungG[[#This Row],[Name]])),2)))</f>
        <v>0.68</v>
      </c>
      <c r="U99" s="267" cm="1">
        <f t="array" ref="U99">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19.86</v>
      </c>
      <c r="V99" s="117" cm="1">
        <f t="array" ref="V99">IF(AuswertungG[[#This Row],[Spiele]]="","",IF(AuswertungG[[#This Row],[Spiele]]&lt;2,"",ROUND(_xlfn.STDEV.P(_xlfn._xlws.FILTER(Eingabe[GES],Eingabe[Name]=AuswertungG[[#This Row],[Name]])),0)))</f>
        <v>29</v>
      </c>
      <c r="W99" s="117">
        <f>IF(AuswertungG[[#This Row],[Spiele MP]]="","",ROUND(AVERAGEIFS(Eingabe[GEGGES],Eingabe[Name],AuswertungG[[#This Row],[Name]]),0))</f>
        <v>539</v>
      </c>
      <c r="X99" s="116" t="str">
        <f>VLOOKUP(AuswertungG[[#This Row],[Name]],PositionG[],21,FALSE)</f>
        <v>[1][3]</v>
      </c>
      <c r="Y99" s="116">
        <f>VLOOKUP(AuswertungG[[#This Row],[Name]],PositionG[],22,FALSE)</f>
        <v>1</v>
      </c>
      <c r="Z99" s="116" t="str">
        <f>VLOOKUP(AuswertungG[[#This Row],[Name]],PositionG[],23,FALSE)</f>
        <v>[1][3]</v>
      </c>
      <c r="AA99" s="121">
        <f>IF(AuswertungG[[#This Row],[Spiele MP]]="","",ROUND(VLOOKUP(AuswertungG[[#This Row],[Name]],PositionG[],24,FALSE),2))</f>
        <v>0</v>
      </c>
      <c r="AB99" s="123">
        <f>IF(AuswertungG[[#This Row],[Spiele]]=0,"",ROUND(AVERAGEIFS(Eingabe[Rang],Eingabe[Name],AuswertungG[[#This Row],[Name]]),1))</f>
        <v>4</v>
      </c>
      <c r="AC99" s="123" cm="1">
        <f t="array" ref="AC99">IFERROR(ROUND(MEDIAN(_xlfn._xlws.FILTER(Eingabe[GES],Eingabe[Name]=AuswertungG[[#This Row],[Name]])),0),"")</f>
        <v>464</v>
      </c>
      <c r="AD99" s="121">
        <f>IFERROR(AuswertungG[[#This Row],[STABW]]/AuswertungG[[#This Row],[GES]],"")</f>
        <v>6.2906724511930592E-2</v>
      </c>
      <c r="AE99" s="123" cm="1">
        <f t="array" ref="AE99">IFERROR(ROUND(_xlfn.QUARTILE.INC(_xlfn._xlws.FILTER(Eingabe[GES],Eingabe[Name]=AuswertungG[[#This Row],[Name]]),3)-_xlfn.QUARTILE.INC(_xlfn._xlws.FILTER(Eingabe[GES],Eingabe[Name]=AuswertungG[[#This Row],[Name]]),1),0),"")</f>
        <v>42</v>
      </c>
      <c r="AF99" s="123">
        <f>IFERROR(1/AuswertungG[[#This Row],[VK]],"")</f>
        <v>15.896551724137929</v>
      </c>
      <c r="AG99" s="123">
        <f>IFERROR(AuswertungG[[#This Row],[Volle]]/AuswertungG[[#This Row],[Räumer]]-2,"")</f>
        <v>0.44029850746268639</v>
      </c>
      <c r="AH99" s="117">
        <f>IFERROR(ROUND((AuswertungG[[#This Row],[Spiele]]*60)/(AuswertungG[[#This Row],[Fehler]]*AuswertungG[[#This Row],[Spiele]]),0),"")</f>
        <v>4</v>
      </c>
      <c r="AI99" s="123" t="str" cm="1">
        <f t="array" ref="AI99">IFERROR((AVERAGE(_xlfn._xlws.FILTER(_xlfn._xlws.FILTER(Eingabe[GES],Eingabe[Name]=AuswertungG[[#This Row],[Name]]),ABS(_xlfn._xlws.FILTER(Eingabe[GEGGES],Eingabe[Name]=AuswertungG[[#This Row],[Name]])-_xlfn._xlws.FILTER(Eingabe[GES],Eingabe[Name]=AuswertungG[[#This Row],[Name]]))&lt;15))-AuswertungG[[#This Row],[GES]])/AuswertungG[[#This Row],[STABW]],"")</f>
        <v/>
      </c>
      <c r="AJ99" s="267" t="str">
        <f>IFERROR(ROUND(AVERAGEIFS(Eingabe[MP],Eingabe[Diff],"&lt;15",Eingabe[Name],AuswertungG[[#This Row],[Name]])-AuswertungG[[#This Row],[MP]],2),"")</f>
        <v/>
      </c>
      <c r="AK99" s="117" cm="1">
        <f t="array" ref="AK99">IFERROR(ROUND(AVERAGE(_xlfn._xlws.FILTER(Eingabe[GES],(Eingabe[Name]=AuswertungG[[#This Row],[Name]])*(Eingabe[GEGGES]&gt;(AuswertungG[[#This Row],[GES]]+20))))-AuswertungG[[#This Row],[GES]],0),"")</f>
        <v>29</v>
      </c>
      <c r="AL99" s="117" cm="1">
        <f t="array" ref="AL99">IFERROR(ROUND(AVERAGE(_xlfn._xlws.FILTER(Eingabe[GES],(Eingabe[Name]=AuswertungG[[#This Row],[Name]])*(Eingabe[GEGGES]&lt;(AuswertungG[[#This Row],[GES]]-20))))-AuswertungG[[#This Row],[GES]],0),"")</f>
        <v>-6</v>
      </c>
    </row>
    <row r="100" spans="2:39" x14ac:dyDescent="0.3">
      <c r="B100" s="285" t="str">
        <f t="shared" si="1"/>
        <v>Sophia Stirl</v>
      </c>
      <c r="C100" s="119" t="str">
        <f>IF(AuswertungG[[#This Row],[Name]]="","",VLOOKUP(AuswertungG[[#This Row],[Name]],Teamzuordnung[[Name]:[Team]],2,TRUE))</f>
        <v>U14</v>
      </c>
      <c r="D100" s="120">
        <f>COUNTIFS(Eingabe[Name],AuswertungG[[#This Row],[Name]])</f>
        <v>9</v>
      </c>
      <c r="E100" s="116" t="str">
        <f>IF(AuswertungG[[#This Row],[Spiele]]="","",IF(AuswertungG[[#This Row],[Spiele]]-COUNTIFS(Eingabe[Name],AuswertungG[[#This Row],[Name]],Eingabe[MP],"")=0,"",AuswertungG[[#This Row],[Spiele]]-COUNTIFS(Eingabe[Name],AuswertungG[[#This Row],[Name]],Eingabe[MP],"")))</f>
        <v/>
      </c>
      <c r="F100" s="117">
        <f>IF(AuswertungG[[#This Row],[Spiele]]=0,"",ROUND(AVERAGEIFS(Eingabe[Volle],Eingabe[Name],AuswertungG[[#This Row],[Name]]),0))</f>
        <v>289</v>
      </c>
      <c r="G100" s="117">
        <f>IF(AuswertungG[[#This Row],[Spiele]]=0,"",ROUND(AVERAGEIFS(Eingabe[Räumer],Eingabe[Name],AuswertungG[[#This Row],[Name]]),0))</f>
        <v>97</v>
      </c>
      <c r="H100" s="123">
        <f>IF(AuswertungG[[#This Row],[Spiele]]=0,"",ROUND(AVERAGEIFS(Eingabe[Fehler],Eingabe[Name],AuswertungG[[#This Row],[Name]]),1))</f>
        <v>24.2</v>
      </c>
      <c r="I100" s="117">
        <f>IF(AuswertungG[[#This Row],[Spiele]]=0,"",ROUND(AVERAGEIFS(Eingabe[GES],Eingabe[Name],AuswertungG[[#This Row],[Name]]),0))</f>
        <v>386</v>
      </c>
      <c r="J100" s="123" t="str">
        <f>IF(AuswertungG[[#This Row],[Spiele MP]]="","",ROUND(AVERAGEIFS(Eingabe[SP],Eingabe[Name],AuswertungG[[#This Row],[Name]]),1))</f>
        <v/>
      </c>
      <c r="K100" s="121" t="str">
        <f>IF(AuswertungG[[#This Row],[Spiele MP]]="","",ROUND(AVERAGEIFS(Eingabe[MP],Eingabe[Name],AuswertungG[[#This Row],[Name]]),2))</f>
        <v/>
      </c>
      <c r="L100" s="117">
        <f>IFERROR(ROUND(AVERAGEIFS(Eingabe[S1],Eingabe[Name],AuswertungG[[#This Row],[Name]]),0),"")</f>
        <v>93</v>
      </c>
      <c r="M100" s="268">
        <f>IFERROR(ROUND(AVERAGEIFS(Eingabe[S2],Eingabe[Name],AuswertungG[[#This Row],[Name]]),0),"")</f>
        <v>100</v>
      </c>
      <c r="N100" s="117">
        <f>IFERROR(ROUND(AVERAGEIFS(Eingabe[S3],Eingabe[Name],AuswertungG[[#This Row],[Name]]),0),"")</f>
        <v>95</v>
      </c>
      <c r="O100" s="268">
        <f>IFERROR(ROUND(AVERAGEIFS(Eingabe[S3],Eingabe[Name],AuswertungG[[#This Row],[Name]]),0),"")</f>
        <v>95</v>
      </c>
      <c r="P100" s="121" t="str">
        <f>IF(AuswertungG[[#This Row],[Spiele MP]]="","",ROUND(AVERAGEIFS(Eingabe[S1P],Eingabe[Name],AuswertungG[[#This Row],[Name]]),2))</f>
        <v/>
      </c>
      <c r="Q100" s="121" t="str">
        <f>IF(AuswertungG[[#This Row],[Spiele MP]]="","",ROUND(AVERAGEIFS(Eingabe[S2P],Eingabe[Name],AuswertungG[[#This Row],[Name]]),2))</f>
        <v/>
      </c>
      <c r="R100" s="121" t="str">
        <f>IF(AuswertungG[[#This Row],[Spiele MP]]="","",ROUND(AVERAGEIFS(Eingabe[S3P],Eingabe[Name],AuswertungG[[#This Row],[Name]]),2))</f>
        <v/>
      </c>
      <c r="S100" s="121" t="str">
        <f>IF(AuswertungG[[#This Row],[Spiele MP]]="","",ROUND(AVERAGEIFS(Eingabe[S4P],Eingabe[Name],AuswertungG[[#This Row],[Name]]),2))</f>
        <v/>
      </c>
      <c r="T100" s="267" cm="1">
        <f t="array" ref="T100">IF(AuswertungG[[#This Row],[Spiele]]="","",IF(AuswertungG[[#This Row],[Spiele]]&lt;2,"",ROUND(SLOPE(_xlfn._xlws.FILTER(Eingabe[GES],Eingabe[Name]=AuswertungG[[#This Row],[Name]]),_xlfn._xlws.FILTER(Eingabe[KW],Eingabe[Name]=AuswertungG[[#This Row],[Name]])),2)))</f>
        <v>2.46</v>
      </c>
      <c r="U100" s="267" cm="1">
        <f t="array" ref="U100">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1.21</v>
      </c>
      <c r="V100" s="117" cm="1">
        <f t="array" ref="V100">IF(AuswertungG[[#This Row],[Spiele]]="","",IF(AuswertungG[[#This Row],[Spiele]]&lt;2,"",ROUND(_xlfn.STDEV.P(_xlfn._xlws.FILTER(Eingabe[GES],Eingabe[Name]=AuswertungG[[#This Row],[Name]])),0)))</f>
        <v>34</v>
      </c>
      <c r="W100" s="117" t="str">
        <f>IF(AuswertungG[[#This Row],[Spiele MP]]="","",ROUND(AVERAGEIFS(Eingabe[GEGGES],Eingabe[Name],AuswertungG[[#This Row],[Name]]),0))</f>
        <v/>
      </c>
      <c r="X100" s="116" t="str">
        <f>VLOOKUP(AuswertungG[[#This Row],[Name]],PositionG[],21,FALSE)</f>
        <v/>
      </c>
      <c r="Y100" s="116" t="str">
        <f>VLOOKUP(AuswertungG[[#This Row],[Name]],PositionG[],22,FALSE)</f>
        <v/>
      </c>
      <c r="Z100" s="116" t="str">
        <f>VLOOKUP(AuswertungG[[#This Row],[Name]],PositionG[],23,FALSE)</f>
        <v/>
      </c>
      <c r="AA100" s="121" t="str">
        <f>IF(AuswertungG[[#This Row],[Spiele MP]]="","",ROUND(VLOOKUP(AuswertungG[[#This Row],[Name]],PositionG[],24,FALSE),2))</f>
        <v/>
      </c>
      <c r="AB100" s="123">
        <f>IF(AuswertungG[[#This Row],[Spiele]]=0,"",ROUND(AVERAGEIFS(Eingabe[Rang],Eingabe[Name],AuswertungG[[#This Row],[Name]]),1))</f>
        <v>2.4</v>
      </c>
      <c r="AC100" s="123" cm="1">
        <f t="array" ref="AC100">IFERROR(ROUND(MEDIAN(_xlfn._xlws.FILTER(Eingabe[GES],Eingabe[Name]=AuswertungG[[#This Row],[Name]])),0),"")</f>
        <v>368</v>
      </c>
      <c r="AD100" s="121">
        <f>IFERROR(AuswertungG[[#This Row],[STABW]]/AuswertungG[[#This Row],[GES]],"")</f>
        <v>8.8082901554404139E-2</v>
      </c>
      <c r="AE100" s="123" cm="1">
        <f t="array" ref="AE100">IFERROR(ROUND(_xlfn.QUARTILE.INC(_xlfn._xlws.FILTER(Eingabe[GES],Eingabe[Name]=AuswertungG[[#This Row],[Name]]),3)-_xlfn.QUARTILE.INC(_xlfn._xlws.FILTER(Eingabe[GES],Eingabe[Name]=AuswertungG[[#This Row],[Name]]),1),0),"")</f>
        <v>55</v>
      </c>
      <c r="AF100" s="123">
        <f>IFERROR(1/AuswertungG[[#This Row],[VK]],"")</f>
        <v>11.352941176470589</v>
      </c>
      <c r="AG100" s="123">
        <f>IFERROR(AuswertungG[[#This Row],[Volle]]/AuswertungG[[#This Row],[Räumer]]-2,"")</f>
        <v>0.97938144329896915</v>
      </c>
      <c r="AH100" s="117">
        <f>IFERROR(ROUND((AuswertungG[[#This Row],[Spiele]]*60)/(AuswertungG[[#This Row],[Fehler]]*AuswertungG[[#This Row],[Spiele]]),0),"")</f>
        <v>2</v>
      </c>
      <c r="AI100" s="123" t="str" cm="1">
        <f t="array" ref="AI100">IFERROR((AVERAGE(_xlfn._xlws.FILTER(_xlfn._xlws.FILTER(Eingabe[GES],Eingabe[Name]=AuswertungG[[#This Row],[Name]]),ABS(_xlfn._xlws.FILTER(Eingabe[GEGGES],Eingabe[Name]=AuswertungG[[#This Row],[Name]])-_xlfn._xlws.FILTER(Eingabe[GES],Eingabe[Name]=AuswertungG[[#This Row],[Name]]))&lt;15))-AuswertungG[[#This Row],[GES]])/AuswertungG[[#This Row],[STABW]],"")</f>
        <v/>
      </c>
      <c r="AJ100" s="267" t="str">
        <f>IFERROR(ROUND(AVERAGEIFS(Eingabe[MP],Eingabe[Diff],"&lt;15",Eingabe[Name],AuswertungG[[#This Row],[Name]])-AuswertungG[[#This Row],[MP]],2),"")</f>
        <v/>
      </c>
      <c r="AK100" s="117" t="str" cm="1">
        <f t="array" ref="AK100">IFERROR(ROUND(AVERAGE(_xlfn._xlws.FILTER(Eingabe[GES],(Eingabe[Name]=AuswertungG[[#This Row],[Name]])*(Eingabe[GEGGES]&gt;(AuswertungG[[#This Row],[GES]]+20))))-AuswertungG[[#This Row],[GES]],0),"")</f>
        <v/>
      </c>
      <c r="AL100" s="117" cm="1">
        <f t="array" ref="AL100">IFERROR(ROUND(AVERAGE(_xlfn._xlws.FILTER(Eingabe[GES],(Eingabe[Name]=AuswertungG[[#This Row],[Name]])*(Eingabe[GEGGES]&lt;(AuswertungG[[#This Row],[GES]]-20))))-AuswertungG[[#This Row],[GES]],0),"")</f>
        <v>0</v>
      </c>
    </row>
    <row r="101" spans="2:39" x14ac:dyDescent="0.3">
      <c r="B101" s="285" t="str">
        <f t="shared" si="1"/>
        <v>Stefan Teuber</v>
      </c>
      <c r="C101" s="119" t="str">
        <f>IF(AuswertungG[[#This Row],[Name]]="","",VLOOKUP(AuswertungG[[#This Row],[Name]],Teamzuordnung[[Name]:[Team]],2,TRUE))</f>
        <v>E</v>
      </c>
      <c r="D101" s="120">
        <f>COUNTIFS(Eingabe[Name],AuswertungG[[#This Row],[Name]])</f>
        <v>14</v>
      </c>
      <c r="E101" s="116">
        <f>IF(AuswertungG[[#This Row],[Spiele]]="","",IF(AuswertungG[[#This Row],[Spiele]]-COUNTIFS(Eingabe[Name],AuswertungG[[#This Row],[Name]],Eingabe[MP],"")=0,"",AuswertungG[[#This Row],[Spiele]]-COUNTIFS(Eingabe[Name],AuswertungG[[#This Row],[Name]],Eingabe[MP],"")))</f>
        <v>14</v>
      </c>
      <c r="F101" s="117">
        <f>IF(AuswertungG[[#This Row],[Spiele]]=0,"",ROUND(AVERAGEIFS(Eingabe[Volle],Eingabe[Name],AuswertungG[[#This Row],[Name]]),0))</f>
        <v>355</v>
      </c>
      <c r="G101" s="117">
        <f>IF(AuswertungG[[#This Row],[Spiele]]=0,"",ROUND(AVERAGEIFS(Eingabe[Räumer],Eingabe[Name],AuswertungG[[#This Row],[Name]]),0))</f>
        <v>171</v>
      </c>
      <c r="H101" s="123">
        <f>IF(AuswertungG[[#This Row],[Spiele]]=0,"",ROUND(AVERAGEIFS(Eingabe[Fehler],Eingabe[Name],AuswertungG[[#This Row],[Name]]),1))</f>
        <v>5.9</v>
      </c>
      <c r="I101" s="117">
        <f>IF(AuswertungG[[#This Row],[Spiele]]=0,"",ROUND(AVERAGEIFS(Eingabe[GES],Eingabe[Name],AuswertungG[[#This Row],[Name]]),0))</f>
        <v>526</v>
      </c>
      <c r="J101" s="123">
        <f>IF(AuswertungG[[#This Row],[Spiele MP]]="","",ROUND(AVERAGEIFS(Eingabe[SP],Eingabe[Name],AuswertungG[[#This Row],[Name]]),1))</f>
        <v>1.7</v>
      </c>
      <c r="K101" s="121">
        <f>IF(AuswertungG[[#This Row],[Spiele MP]]="","",ROUND(AVERAGEIFS(Eingabe[MP],Eingabe[Name],AuswertungG[[#This Row],[Name]]),2))</f>
        <v>0.28999999999999998</v>
      </c>
      <c r="L101" s="117">
        <f>IFERROR(ROUND(AVERAGEIFS(Eingabe[S1],Eingabe[Name],AuswertungG[[#This Row],[Name]]),0),"")</f>
        <v>132</v>
      </c>
      <c r="M101" s="268">
        <f>IFERROR(ROUND(AVERAGEIFS(Eingabe[S2],Eingabe[Name],AuswertungG[[#This Row],[Name]]),0),"")</f>
        <v>131</v>
      </c>
      <c r="N101" s="117">
        <f>IFERROR(ROUND(AVERAGEIFS(Eingabe[S3],Eingabe[Name],AuswertungG[[#This Row],[Name]]),0),"")</f>
        <v>132</v>
      </c>
      <c r="O101" s="268">
        <f>IFERROR(ROUND(AVERAGEIFS(Eingabe[S3],Eingabe[Name],AuswertungG[[#This Row],[Name]]),0),"")</f>
        <v>132</v>
      </c>
      <c r="P101" s="121">
        <f>IF(AuswertungG[[#This Row],[Spiele MP]]="","",ROUND(AVERAGEIFS(Eingabe[S1P],Eingabe[Name],AuswertungG[[#This Row],[Name]]),2))</f>
        <v>0.36</v>
      </c>
      <c r="Q101" s="121">
        <f>IF(AuswertungG[[#This Row],[Spiele MP]]="","",ROUND(AVERAGEIFS(Eingabe[S2P],Eingabe[Name],AuswertungG[[#This Row],[Name]]),2))</f>
        <v>0.56999999999999995</v>
      </c>
      <c r="R101" s="121">
        <f>IF(AuswertungG[[#This Row],[Spiele MP]]="","",ROUND(AVERAGEIFS(Eingabe[S3P],Eingabe[Name],AuswertungG[[#This Row],[Name]]),2))</f>
        <v>0.28999999999999998</v>
      </c>
      <c r="S101" s="121">
        <f>IF(AuswertungG[[#This Row],[Spiele MP]]="","",ROUND(AVERAGEIFS(Eingabe[S4P],Eingabe[Name],AuswertungG[[#This Row],[Name]]),2))</f>
        <v>0.46</v>
      </c>
      <c r="T101" s="267" cm="1">
        <f t="array" ref="T101">IF(AuswertungG[[#This Row],[Spiele]]="","",IF(AuswertungG[[#This Row],[Spiele]]&lt;2,"",ROUND(SLOPE(_xlfn._xlws.FILTER(Eingabe[GES],Eingabe[Name]=AuswertungG[[#This Row],[Name]]),_xlfn._xlws.FILTER(Eingabe[KW],Eingabe[Name]=AuswertungG[[#This Row],[Name]])),2)))</f>
        <v>0.71</v>
      </c>
      <c r="U101" s="267" cm="1">
        <f t="array" ref="U101">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-3.43</v>
      </c>
      <c r="V101" s="117" cm="1">
        <f t="array" ref="V101">IF(AuswertungG[[#This Row],[Spiele]]="","",IF(AuswertungG[[#This Row],[Spiele]]&lt;2,"",ROUND(_xlfn.STDEV.P(_xlfn._xlws.FILTER(Eingabe[GES],Eingabe[Name]=AuswertungG[[#This Row],[Name]])),0)))</f>
        <v>24</v>
      </c>
      <c r="W101" s="117">
        <f>IF(AuswertungG[[#This Row],[Spiele MP]]="","",ROUND(AVERAGEIFS(Eingabe[GEGGES],Eingabe[Name],AuswertungG[[#This Row],[Name]]),0))</f>
        <v>536</v>
      </c>
      <c r="X101" s="116" t="str">
        <f>VLOOKUP(AuswertungG[[#This Row],[Name]],PositionG[],21,FALSE)</f>
        <v>[2]</v>
      </c>
      <c r="Y101" s="116">
        <f>VLOOKUP(AuswertungG[[#This Row],[Name]],PositionG[],22,FALSE)</f>
        <v>7</v>
      </c>
      <c r="Z101" s="116" t="str">
        <f>VLOOKUP(AuswertungG[[#This Row],[Name]],PositionG[],23,FALSE)</f>
        <v>[4]</v>
      </c>
      <c r="AA101" s="121">
        <f>IF(AuswertungG[[#This Row],[Spiele MP]]="","",ROUND(VLOOKUP(AuswertungG[[#This Row],[Name]],PositionG[],24,FALSE),2))</f>
        <v>0.6</v>
      </c>
      <c r="AB101" s="123">
        <f>IF(AuswertungG[[#This Row],[Spiele]]=0,"",ROUND(AVERAGEIFS(Eingabe[Rang],Eingabe[Name],AuswertungG[[#This Row],[Name]]),1))</f>
        <v>3.8</v>
      </c>
      <c r="AC101" s="123" cm="1">
        <f t="array" ref="AC101">IFERROR(ROUND(MEDIAN(_xlfn._xlws.FILTER(Eingabe[GES],Eingabe[Name]=AuswertungG[[#This Row],[Name]])),0),"")</f>
        <v>527</v>
      </c>
      <c r="AD101" s="121">
        <f>IFERROR(AuswertungG[[#This Row],[STABW]]/AuswertungG[[#This Row],[GES]],"")</f>
        <v>4.5627376425855515E-2</v>
      </c>
      <c r="AE101" s="123" cm="1">
        <f t="array" ref="AE101">IFERROR(ROUND(_xlfn.QUARTILE.INC(_xlfn._xlws.FILTER(Eingabe[GES],Eingabe[Name]=AuswertungG[[#This Row],[Name]]),3)-_xlfn.QUARTILE.INC(_xlfn._xlws.FILTER(Eingabe[GES],Eingabe[Name]=AuswertungG[[#This Row],[Name]]),1),0),"")</f>
        <v>25</v>
      </c>
      <c r="AF101" s="123">
        <f>IFERROR(1/AuswertungG[[#This Row],[VK]],"")</f>
        <v>21.916666666666664</v>
      </c>
      <c r="AG101" s="123">
        <f>IFERROR(AuswertungG[[#This Row],[Volle]]/AuswertungG[[#This Row],[Räumer]]-2,"")</f>
        <v>7.6023391812865437E-2</v>
      </c>
      <c r="AH101" s="117">
        <f>IFERROR(ROUND((AuswertungG[[#This Row],[Spiele]]*60)/(AuswertungG[[#This Row],[Fehler]]*AuswertungG[[#This Row],[Spiele]]),0),"")</f>
        <v>10</v>
      </c>
      <c r="AI101" s="123" cm="1">
        <f t="array" ref="AI101">IFERROR((AVERAGE(_xlfn._xlws.FILTER(_xlfn._xlws.FILTER(Eingabe[GES],Eingabe[Name]=AuswertungG[[#This Row],[Name]]),ABS(_xlfn._xlws.FILTER(Eingabe[GEGGES],Eingabe[Name]=AuswertungG[[#This Row],[Name]])-_xlfn._xlws.FILTER(Eingabe[GES],Eingabe[Name]=AuswertungG[[#This Row],[Name]]))&lt;15))-AuswertungG[[#This Row],[GES]])/AuswertungG[[#This Row],[STABW]],"")</f>
        <v>0.59375</v>
      </c>
      <c r="AJ101" s="267">
        <f>IFERROR(ROUND(AVERAGEIFS(Eingabe[MP],Eingabe[Diff],"&lt;15",Eingabe[Name],AuswertungG[[#This Row],[Name]])-AuswertungG[[#This Row],[MP]],2),"")</f>
        <v>-0.28999999999999998</v>
      </c>
      <c r="AK101" s="117" cm="1">
        <f t="array" ref="AK101">IFERROR(ROUND(AVERAGE(_xlfn._xlws.FILTER(Eingabe[GES],(Eingabe[Name]=AuswertungG[[#This Row],[Name]])*(Eingabe[GEGGES]&gt;(AuswertungG[[#This Row],[GES]]+20))))-AuswertungG[[#This Row],[GES]],0),"")</f>
        <v>8</v>
      </c>
      <c r="AL101" s="117" cm="1">
        <f t="array" ref="AL101">IFERROR(ROUND(AVERAGE(_xlfn._xlws.FILTER(Eingabe[GES],(Eingabe[Name]=AuswertungG[[#This Row],[Name]])*(Eingabe[GEGGES]&lt;(AuswertungG[[#This Row],[GES]]-20))))-AuswertungG[[#This Row],[GES]],0),"")</f>
        <v>0</v>
      </c>
    </row>
    <row r="102" spans="2:39" x14ac:dyDescent="0.3">
      <c r="B102" s="285" t="str">
        <f t="shared" si="1"/>
        <v>Stefan Ulbricht</v>
      </c>
      <c r="C102" s="276" t="str">
        <f>IF(AuswertungG[[#This Row],[Name]]="","",VLOOKUP(AuswertungG[[#This Row],[Name]],Teamzuordnung[[Name]:[Team]],2,TRUE))</f>
        <v>Z</v>
      </c>
      <c r="D102" s="280">
        <f>COUNTIFS(Eingabe[Name],AuswertungG[[#This Row],[Name]])</f>
        <v>7</v>
      </c>
      <c r="E102" s="116">
        <f>IF(AuswertungG[[#This Row],[Spiele]]="","",IF(AuswertungG[[#This Row],[Spiele]]-COUNTIFS(Eingabe[Name],AuswertungG[[#This Row],[Name]],Eingabe[MP],"")=0,"",AuswertungG[[#This Row],[Spiele]]-COUNTIFS(Eingabe[Name],AuswertungG[[#This Row],[Name]],Eingabe[MP],"")))</f>
        <v>7</v>
      </c>
      <c r="F102" s="117">
        <f>IF(AuswertungG[[#This Row],[Spiele]]=0,"",ROUND(AVERAGEIFS(Eingabe[Volle],Eingabe[Name],AuswertungG[[#This Row],[Name]]),0))</f>
        <v>348</v>
      </c>
      <c r="G102" s="117">
        <f>IF(AuswertungG[[#This Row],[Spiele]]=0,"",ROUND(AVERAGEIFS(Eingabe[Räumer],Eingabe[Name],AuswertungG[[#This Row],[Name]]),0))</f>
        <v>166</v>
      </c>
      <c r="H102" s="123">
        <f>IF(AuswertungG[[#This Row],[Spiele]]=0,"",ROUND(AVERAGEIFS(Eingabe[Fehler],Eingabe[Name],AuswertungG[[#This Row],[Name]]),1))</f>
        <v>9.1</v>
      </c>
      <c r="I102" s="117">
        <f>IF(AuswertungG[[#This Row],[Spiele]]=0,"",ROUND(AVERAGEIFS(Eingabe[GES],Eingabe[Name],AuswertungG[[#This Row],[Name]]),0))</f>
        <v>515</v>
      </c>
      <c r="J102" s="123">
        <f>IF(AuswertungG[[#This Row],[Spiele MP]]="","",ROUND(AVERAGEIFS(Eingabe[SP],Eingabe[Name],AuswertungG[[#This Row],[Name]]),1))</f>
        <v>2</v>
      </c>
      <c r="K102" s="121">
        <f>IF(AuswertungG[[#This Row],[Spiele MP]]="","",ROUND(AVERAGEIFS(Eingabe[MP],Eingabe[Name],AuswertungG[[#This Row],[Name]]),2))</f>
        <v>0.43</v>
      </c>
      <c r="L102" s="117">
        <f>IFERROR(ROUND(AVERAGEIFS(Eingabe[S1],Eingabe[Name],AuswertungG[[#This Row],[Name]]),0),"")</f>
        <v>122</v>
      </c>
      <c r="M102" s="268">
        <f>IFERROR(ROUND(AVERAGEIFS(Eingabe[S2],Eingabe[Name],AuswertungG[[#This Row],[Name]]),0),"")</f>
        <v>133</v>
      </c>
      <c r="N102" s="117">
        <f>IFERROR(ROUND(AVERAGEIFS(Eingabe[S3],Eingabe[Name],AuswertungG[[#This Row],[Name]]),0),"")</f>
        <v>129</v>
      </c>
      <c r="O102" s="268">
        <f>IFERROR(ROUND(AVERAGEIFS(Eingabe[S3],Eingabe[Name],AuswertungG[[#This Row],[Name]]),0),"")</f>
        <v>129</v>
      </c>
      <c r="P102" s="121">
        <f>IF(AuswertungG[[#This Row],[Spiele MP]]="","",ROUND(AVERAGEIFS(Eingabe[S1P],Eingabe[Name],AuswertungG[[#This Row],[Name]]),2))</f>
        <v>0.28999999999999998</v>
      </c>
      <c r="Q102" s="121">
        <f>IF(AuswertungG[[#This Row],[Spiele MP]]="","",ROUND(AVERAGEIFS(Eingabe[S2P],Eingabe[Name],AuswertungG[[#This Row],[Name]]),2))</f>
        <v>0.71</v>
      </c>
      <c r="R102" s="121">
        <f>IF(AuswertungG[[#This Row],[Spiele MP]]="","",ROUND(AVERAGEIFS(Eingabe[S3P],Eingabe[Name],AuswertungG[[#This Row],[Name]]),2))</f>
        <v>0.56999999999999995</v>
      </c>
      <c r="S102" s="121">
        <f>IF(AuswertungG[[#This Row],[Spiele MP]]="","",ROUND(AVERAGEIFS(Eingabe[S4P],Eingabe[Name],AuswertungG[[#This Row],[Name]]),2))</f>
        <v>0.43</v>
      </c>
      <c r="T102" s="267" cm="1">
        <f t="array" ref="T102">IF(AuswertungG[[#This Row],[Spiele]]="","",IF(AuswertungG[[#This Row],[Spiele]]&lt;2,"",ROUND(SLOPE(_xlfn._xlws.FILTER(Eingabe[GES],Eingabe[Name]=AuswertungG[[#This Row],[Name]]),_xlfn._xlws.FILTER(Eingabe[KW],Eingabe[Name]=AuswertungG[[#This Row],[Name]])),2)))</f>
        <v>-0.96</v>
      </c>
      <c r="U102" s="267" cm="1">
        <f t="array" ref="U102">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-4.79</v>
      </c>
      <c r="V102" s="117" cm="1">
        <f t="array" ref="V102">IF(AuswertungG[[#This Row],[Spiele]]="","",IF(AuswertungG[[#This Row],[Spiele]]&lt;2,"",ROUND(_xlfn.STDEV.P(_xlfn._xlws.FILTER(Eingabe[GES],Eingabe[Name]=AuswertungG[[#This Row],[Name]])),0)))</f>
        <v>51</v>
      </c>
      <c r="W102" s="117">
        <f>IF(AuswertungG[[#This Row],[Spiele MP]]="","",ROUND(AVERAGEIFS(Eingabe[GEGGES],Eingabe[Name],AuswertungG[[#This Row],[Name]]),0))</f>
        <v>501</v>
      </c>
      <c r="X102" s="277" t="str">
        <f>VLOOKUP(AuswertungG[[#This Row],[Name]],PositionG[],21,FALSE)</f>
        <v>[4]</v>
      </c>
      <c r="Y102" s="277">
        <f>VLOOKUP(AuswertungG[[#This Row],[Name]],PositionG[],22,FALSE)</f>
        <v>5</v>
      </c>
      <c r="Z102" s="277" t="str">
        <f>VLOOKUP(AuswertungG[[#This Row],[Name]],PositionG[],23,FALSE)</f>
        <v>[4]</v>
      </c>
      <c r="AA102" s="278">
        <f>IF(AuswertungG[[#This Row],[Spiele MP]]="","",ROUND(VLOOKUP(AuswertungG[[#This Row],[Name]],PositionG[],24,FALSE),2))</f>
        <v>0.6</v>
      </c>
      <c r="AB102" s="279">
        <f>IF(AuswertungG[[#This Row],[Spiele]]=0,"",ROUND(AVERAGEIFS(Eingabe[Rang],Eingabe[Name],AuswertungG[[#This Row],[Name]]),1))</f>
        <v>4.4000000000000004</v>
      </c>
      <c r="AC102" s="279" cm="1">
        <f t="array" ref="AC102">IFERROR(ROUND(MEDIAN(_xlfn._xlws.FILTER(Eingabe[GES],Eingabe[Name]=AuswertungG[[#This Row],[Name]])),0),"")</f>
        <v>496</v>
      </c>
      <c r="AD102" s="278">
        <f>IFERROR(AuswertungG[[#This Row],[STABW]]/AuswertungG[[#This Row],[GES]],"")</f>
        <v>9.9029126213592236E-2</v>
      </c>
      <c r="AE102" s="279" cm="1">
        <f t="array" ref="AE102">IFERROR(ROUND(_xlfn.QUARTILE.INC(_xlfn._xlws.FILTER(Eingabe[GES],Eingabe[Name]=AuswertungG[[#This Row],[Name]]),3)-_xlfn.QUARTILE.INC(_xlfn._xlws.FILTER(Eingabe[GES],Eingabe[Name]=AuswertungG[[#This Row],[Name]]),1),0),"")</f>
        <v>43</v>
      </c>
      <c r="AF102" s="279">
        <f>IFERROR(1/AuswertungG[[#This Row],[VK]],"")</f>
        <v>10.098039215686274</v>
      </c>
      <c r="AG102" s="279">
        <f>IFERROR(AuswertungG[[#This Row],[Volle]]/AuswertungG[[#This Row],[Räumer]]-2,"")</f>
        <v>9.6385542168674565E-2</v>
      </c>
      <c r="AH102" s="364">
        <f>IFERROR(ROUND((AuswertungG[[#This Row],[Spiele]]*60)/(AuswertungG[[#This Row],[Fehler]]*AuswertungG[[#This Row],[Spiele]]),0),"")</f>
        <v>7</v>
      </c>
      <c r="AI102" s="123" cm="1">
        <f t="array" ref="AI102">IFERROR((AVERAGE(_xlfn._xlws.FILTER(_xlfn._xlws.FILTER(Eingabe[GES],Eingabe[Name]=AuswertungG[[#This Row],[Name]]),ABS(_xlfn._xlws.FILTER(Eingabe[GEGGES],Eingabe[Name]=AuswertungG[[#This Row],[Name]])-_xlfn._xlws.FILTER(Eingabe[GES],Eingabe[Name]=AuswertungG[[#This Row],[Name]]))&lt;15))-AuswertungG[[#This Row],[GES]])/AuswertungG[[#This Row],[STABW]],"")</f>
        <v>-1</v>
      </c>
      <c r="AJ102" s="267">
        <f>IFERROR(ROUND(AVERAGEIFS(Eingabe[MP],Eingabe[Diff],"&lt;15",Eingabe[Name],AuswertungG[[#This Row],[Name]])-AuswertungG[[#This Row],[MP]],2),"")</f>
        <v>-0.43</v>
      </c>
      <c r="AK102" s="364" cm="1">
        <f t="array" ref="AK102">IFERROR(ROUND(AVERAGE(_xlfn._xlws.FILTER(Eingabe[GES],(Eingabe[Name]=AuswertungG[[#This Row],[Name]])*(Eingabe[GEGGES]&gt;(AuswertungG[[#This Row],[GES]]+20))))-AuswertungG[[#This Row],[GES]],0),"")</f>
        <v>-40</v>
      </c>
      <c r="AL102" s="364" cm="1">
        <f t="array" ref="AL102">IFERROR(ROUND(AVERAGE(_xlfn._xlws.FILTER(Eingabe[GES],(Eingabe[Name]=AuswertungG[[#This Row],[Name]])*(Eingabe[GEGGES]&lt;(AuswertungG[[#This Row],[GES]]-20))))-AuswertungG[[#This Row],[GES]],0),"")</f>
        <v>-19</v>
      </c>
    </row>
    <row r="103" spans="2:39" x14ac:dyDescent="0.3">
      <c r="B103" s="285" t="str">
        <f t="shared" si="1"/>
        <v>Sylke Schmidt</v>
      </c>
      <c r="C103" s="276" t="str">
        <f>IF(AuswertungG[[#This Row],[Name]]="","",VLOOKUP(AuswertungG[[#This Row],[Name]],Teamzuordnung[[Name]:[Team]],2,TRUE))</f>
        <v>F</v>
      </c>
      <c r="D103" s="280">
        <f>COUNTIFS(Eingabe[Name],AuswertungG[[#This Row],[Name]])</f>
        <v>7</v>
      </c>
      <c r="E103" s="116">
        <f>IF(AuswertungG[[#This Row],[Spiele]]="","",IF(AuswertungG[[#This Row],[Spiele]]-COUNTIFS(Eingabe[Name],AuswertungG[[#This Row],[Name]],Eingabe[MP],"")=0,"",AuswertungG[[#This Row],[Spiele]]-COUNTIFS(Eingabe[Name],AuswertungG[[#This Row],[Name]],Eingabe[MP],"")))</f>
        <v>7</v>
      </c>
      <c r="F103" s="117">
        <f>IF(AuswertungG[[#This Row],[Spiele]]=0,"",ROUND(AVERAGEIFS(Eingabe[Volle],Eingabe[Name],AuswertungG[[#This Row],[Name]]),0))</f>
        <v>360</v>
      </c>
      <c r="G103" s="117">
        <f>IF(AuswertungG[[#This Row],[Spiele]]=0,"",ROUND(AVERAGEIFS(Eingabe[Räumer],Eingabe[Name],AuswertungG[[#This Row],[Name]]),0))</f>
        <v>160</v>
      </c>
      <c r="H103" s="123">
        <f>IF(AuswertungG[[#This Row],[Spiele]]=0,"",ROUND(AVERAGEIFS(Eingabe[Fehler],Eingabe[Name],AuswertungG[[#This Row],[Name]]),1))</f>
        <v>8.9</v>
      </c>
      <c r="I103" s="117">
        <f>IF(AuswertungG[[#This Row],[Spiele]]=0,"",ROUND(AVERAGEIFS(Eingabe[GES],Eingabe[Name],AuswertungG[[#This Row],[Name]]),0))</f>
        <v>520</v>
      </c>
      <c r="J103" s="123">
        <f>IF(AuswertungG[[#This Row],[Spiele MP]]="","",ROUND(AVERAGEIFS(Eingabe[SP],Eingabe[Name],AuswertungG[[#This Row],[Name]]),1))</f>
        <v>2.7</v>
      </c>
      <c r="K103" s="121">
        <f>IF(AuswertungG[[#This Row],[Spiele MP]]="","",ROUND(AVERAGEIFS(Eingabe[MP],Eingabe[Name],AuswertungG[[#This Row],[Name]]),2))</f>
        <v>0.86</v>
      </c>
      <c r="L103" s="117">
        <f>IFERROR(ROUND(AVERAGEIFS(Eingabe[S1],Eingabe[Name],AuswertungG[[#This Row],[Name]]),0),"")</f>
        <v>131</v>
      </c>
      <c r="M103" s="268">
        <f>IFERROR(ROUND(AVERAGEIFS(Eingabe[S2],Eingabe[Name],AuswertungG[[#This Row],[Name]]),0),"")</f>
        <v>131</v>
      </c>
      <c r="N103" s="117">
        <f>IFERROR(ROUND(AVERAGEIFS(Eingabe[S3],Eingabe[Name],AuswertungG[[#This Row],[Name]]),0),"")</f>
        <v>128</v>
      </c>
      <c r="O103" s="268">
        <f>IFERROR(ROUND(AVERAGEIFS(Eingabe[S3],Eingabe[Name],AuswertungG[[#This Row],[Name]]),0),"")</f>
        <v>128</v>
      </c>
      <c r="P103" s="121">
        <f>IF(AuswertungG[[#This Row],[Spiele MP]]="","",ROUND(AVERAGEIFS(Eingabe[S1P],Eingabe[Name],AuswertungG[[#This Row],[Name]]),2))</f>
        <v>0.71</v>
      </c>
      <c r="Q103" s="121">
        <f>IF(AuswertungG[[#This Row],[Spiele MP]]="","",ROUND(AVERAGEIFS(Eingabe[S2P],Eingabe[Name],AuswertungG[[#This Row],[Name]]),2))</f>
        <v>0.71</v>
      </c>
      <c r="R103" s="121">
        <f>IF(AuswertungG[[#This Row],[Spiele MP]]="","",ROUND(AVERAGEIFS(Eingabe[S3P],Eingabe[Name],AuswertungG[[#This Row],[Name]]),2))</f>
        <v>0.56999999999999995</v>
      </c>
      <c r="S103" s="121">
        <f>IF(AuswertungG[[#This Row],[Spiele MP]]="","",ROUND(AVERAGEIFS(Eingabe[S4P],Eingabe[Name],AuswertungG[[#This Row],[Name]]),2))</f>
        <v>0.71</v>
      </c>
      <c r="T103" s="267" cm="1">
        <f t="array" ref="T103">IF(AuswertungG[[#This Row],[Spiele]]="","",IF(AuswertungG[[#This Row],[Spiele]]&lt;2,"",ROUND(SLOPE(_xlfn._xlws.FILTER(Eingabe[GES],Eingabe[Name]=AuswertungG[[#This Row],[Name]]),_xlfn._xlws.FILTER(Eingabe[KW],Eingabe[Name]=AuswertungG[[#This Row],[Name]])),2)))</f>
        <v>2.89</v>
      </c>
      <c r="U103" s="267" cm="1">
        <f t="array" ref="U103">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5.29</v>
      </c>
      <c r="V103" s="117" cm="1">
        <f t="array" ref="V103">IF(AuswertungG[[#This Row],[Spiele]]="","",IF(AuswertungG[[#This Row],[Spiele]]&lt;2,"",ROUND(_xlfn.STDEV.P(_xlfn._xlws.FILTER(Eingabe[GES],Eingabe[Name]=AuswertungG[[#This Row],[Name]])),0)))</f>
        <v>23</v>
      </c>
      <c r="W103" s="117">
        <f>IF(AuswertungG[[#This Row],[Spiele MP]]="","",ROUND(AVERAGEIFS(Eingabe[GEGGES],Eingabe[Name],AuswertungG[[#This Row],[Name]]),0))</f>
        <v>485</v>
      </c>
      <c r="X103" s="277" t="str">
        <f>VLOOKUP(AuswertungG[[#This Row],[Name]],PositionG[],21,FALSE)</f>
        <v>[6]</v>
      </c>
      <c r="Y103" s="277">
        <f>VLOOKUP(AuswertungG[[#This Row],[Name]],PositionG[],22,FALSE)</f>
        <v>5</v>
      </c>
      <c r="Z103" s="277" t="str">
        <f>VLOOKUP(AuswertungG[[#This Row],[Name]],PositionG[],23,FALSE)</f>
        <v>[6]</v>
      </c>
      <c r="AA103" s="278">
        <f>IF(AuswertungG[[#This Row],[Spiele MP]]="","",ROUND(VLOOKUP(AuswertungG[[#This Row],[Name]],PositionG[],24,FALSE),2))</f>
        <v>1</v>
      </c>
      <c r="AB103" s="279">
        <f>IF(AuswertungG[[#This Row],[Spiele]]=0,"",ROUND(AVERAGEIFS(Eingabe[Rang],Eingabe[Name],AuswertungG[[#This Row],[Name]]),1))</f>
        <v>2.9</v>
      </c>
      <c r="AC103" s="279" cm="1">
        <f t="array" ref="AC103">IFERROR(ROUND(MEDIAN(_xlfn._xlws.FILTER(Eingabe[GES],Eingabe[Name]=AuswertungG[[#This Row],[Name]])),0),"")</f>
        <v>506</v>
      </c>
      <c r="AD103" s="278">
        <f>IFERROR(AuswertungG[[#This Row],[STABW]]/AuswertungG[[#This Row],[GES]],"")</f>
        <v>4.4230769230769233E-2</v>
      </c>
      <c r="AE103" s="279" cm="1">
        <f t="array" ref="AE103">IFERROR(ROUND(_xlfn.QUARTILE.INC(_xlfn._xlws.FILTER(Eingabe[GES],Eingabe[Name]=AuswertungG[[#This Row],[Name]]),3)-_xlfn.QUARTILE.INC(_xlfn._xlws.FILTER(Eingabe[GES],Eingabe[Name]=AuswertungG[[#This Row],[Name]]),1),0),"")</f>
        <v>44</v>
      </c>
      <c r="AF103" s="279">
        <f>IFERROR(1/AuswertungG[[#This Row],[VK]],"")</f>
        <v>22.60869565217391</v>
      </c>
      <c r="AG103" s="279">
        <f>IFERROR(AuswertungG[[#This Row],[Volle]]/AuswertungG[[#This Row],[Räumer]]-2,"")</f>
        <v>0.25</v>
      </c>
      <c r="AH103" s="364">
        <f>IFERROR(ROUND((AuswertungG[[#This Row],[Spiele]]*60)/(AuswertungG[[#This Row],[Fehler]]*AuswertungG[[#This Row],[Spiele]]),0),"")</f>
        <v>7</v>
      </c>
      <c r="AI103" s="123" cm="1">
        <f t="array" ref="AI103">IFERROR((AVERAGE(_xlfn._xlws.FILTER(_xlfn._xlws.FILTER(Eingabe[GES],Eingabe[Name]=AuswertungG[[#This Row],[Name]]),ABS(_xlfn._xlws.FILTER(Eingabe[GEGGES],Eingabe[Name]=AuswertungG[[#This Row],[Name]])-_xlfn._xlws.FILTER(Eingabe[GES],Eingabe[Name]=AuswertungG[[#This Row],[Name]]))&lt;15))-AuswertungG[[#This Row],[GES]])/AuswertungG[[#This Row],[STABW]],"")</f>
        <v>1.3478260869565217</v>
      </c>
      <c r="AJ103" s="267">
        <f>IFERROR(ROUND(AVERAGEIFS(Eingabe[MP],Eingabe[Diff],"&lt;15",Eingabe[Name],AuswertungG[[#This Row],[Name]])-AuswertungG[[#This Row],[MP]],2),"")</f>
        <v>0.14000000000000001</v>
      </c>
      <c r="AK103" s="364" cm="1">
        <f t="array" ref="AK103">IFERROR(ROUND(AVERAGE(_xlfn._xlws.FILTER(Eingabe[GES],(Eingabe[Name]=AuswertungG[[#This Row],[Name]])*(Eingabe[GEGGES]&gt;(AuswertungG[[#This Row],[GES]]+20))))-AuswertungG[[#This Row],[GES]],0),"")</f>
        <v>31</v>
      </c>
      <c r="AL103" s="364" cm="1">
        <f t="array" ref="AL103">IFERROR(ROUND(AVERAGE(_xlfn._xlws.FILTER(Eingabe[GES],(Eingabe[Name]=AuswertungG[[#This Row],[Name]])*(Eingabe[GEGGES]&lt;(AuswertungG[[#This Row],[GES]]-20))))-AuswertungG[[#This Row],[GES]],0),"")</f>
        <v>-1</v>
      </c>
    </row>
    <row r="104" spans="2:39" x14ac:dyDescent="0.3">
      <c r="B104" s="285" t="str">
        <f t="shared" si="1"/>
        <v>Tim Becker</v>
      </c>
      <c r="C104" s="276" t="str">
        <f>IF(AuswertungG[[#This Row],[Name]]="","",VLOOKUP(AuswertungG[[#This Row],[Name]],Teamzuordnung[[Name]:[Team]],2,TRUE))</f>
        <v>E</v>
      </c>
      <c r="D104" s="280">
        <f>COUNTIFS(Eingabe[Name],AuswertungG[[#This Row],[Name]])</f>
        <v>12</v>
      </c>
      <c r="E104" s="116">
        <f>IF(AuswertungG[[#This Row],[Spiele]]="","",IF(AuswertungG[[#This Row],[Spiele]]-COUNTIFS(Eingabe[Name],AuswertungG[[#This Row],[Name]],Eingabe[MP],"")=0,"",AuswertungG[[#This Row],[Spiele]]-COUNTIFS(Eingabe[Name],AuswertungG[[#This Row],[Name]],Eingabe[MP],"")))</f>
        <v>12</v>
      </c>
      <c r="F104" s="117">
        <f>IF(AuswertungG[[#This Row],[Spiele]]=0,"",ROUND(AVERAGEIFS(Eingabe[Volle],Eingabe[Name],AuswertungG[[#This Row],[Name]]),0))</f>
        <v>360</v>
      </c>
      <c r="G104" s="117">
        <f>IF(AuswertungG[[#This Row],[Spiele]]=0,"",ROUND(AVERAGEIFS(Eingabe[Räumer],Eingabe[Name],AuswertungG[[#This Row],[Name]]),0))</f>
        <v>168</v>
      </c>
      <c r="H104" s="123">
        <f>IF(AuswertungG[[#This Row],[Spiele]]=0,"",ROUND(AVERAGEIFS(Eingabe[Fehler],Eingabe[Name],AuswertungG[[#This Row],[Name]]),1))</f>
        <v>4.3</v>
      </c>
      <c r="I104" s="117">
        <f>IF(AuswertungG[[#This Row],[Spiele]]=0,"",ROUND(AVERAGEIFS(Eingabe[GES],Eingabe[Name],AuswertungG[[#This Row],[Name]]),0))</f>
        <v>529</v>
      </c>
      <c r="J104" s="123">
        <f>IF(AuswertungG[[#This Row],[Spiele MP]]="","",ROUND(AVERAGEIFS(Eingabe[SP],Eingabe[Name],AuswertungG[[#This Row],[Name]]),1))</f>
        <v>2.7</v>
      </c>
      <c r="K104" s="121">
        <f>IF(AuswertungG[[#This Row],[Spiele MP]]="","",ROUND(AVERAGEIFS(Eingabe[MP],Eingabe[Name],AuswertungG[[#This Row],[Name]]),2))</f>
        <v>0.83</v>
      </c>
      <c r="L104" s="117">
        <f>IFERROR(ROUND(AVERAGEIFS(Eingabe[S1],Eingabe[Name],AuswertungG[[#This Row],[Name]]),0),"")</f>
        <v>129</v>
      </c>
      <c r="M104" s="268">
        <f>IFERROR(ROUND(AVERAGEIFS(Eingabe[S2],Eingabe[Name],AuswertungG[[#This Row],[Name]]),0),"")</f>
        <v>130</v>
      </c>
      <c r="N104" s="117">
        <f>IFERROR(ROUND(AVERAGEIFS(Eingabe[S3],Eingabe[Name],AuswertungG[[#This Row],[Name]]),0),"")</f>
        <v>133</v>
      </c>
      <c r="O104" s="268">
        <f>IFERROR(ROUND(AVERAGEIFS(Eingabe[S3],Eingabe[Name],AuswertungG[[#This Row],[Name]]),0),"")</f>
        <v>133</v>
      </c>
      <c r="P104" s="121">
        <f>IF(AuswertungG[[#This Row],[Spiele MP]]="","",ROUND(AVERAGEIFS(Eingabe[S1P],Eingabe[Name],AuswertungG[[#This Row],[Name]]),2))</f>
        <v>0.46</v>
      </c>
      <c r="Q104" s="121">
        <f>IF(AuswertungG[[#This Row],[Spiele MP]]="","",ROUND(AVERAGEIFS(Eingabe[S2P],Eingabe[Name],AuswertungG[[#This Row],[Name]]),2))</f>
        <v>0.75</v>
      </c>
      <c r="R104" s="121">
        <f>IF(AuswertungG[[#This Row],[Spiele MP]]="","",ROUND(AVERAGEIFS(Eingabe[S3P],Eingabe[Name],AuswertungG[[#This Row],[Name]]),2))</f>
        <v>0.75</v>
      </c>
      <c r="S104" s="121">
        <f>IF(AuswertungG[[#This Row],[Spiele MP]]="","",ROUND(AVERAGEIFS(Eingabe[S4P],Eingabe[Name],AuswertungG[[#This Row],[Name]]),2))</f>
        <v>0.75</v>
      </c>
      <c r="T104" s="267" cm="1">
        <f t="array" ref="T104">IF(AuswertungG[[#This Row],[Spiele]]="","",IF(AuswertungG[[#This Row],[Spiele]]&lt;2,"",ROUND(SLOPE(_xlfn._xlws.FILTER(Eingabe[GES],Eingabe[Name]=AuswertungG[[#This Row],[Name]]),_xlfn._xlws.FILTER(Eingabe[KW],Eingabe[Name]=AuswertungG[[#This Row],[Name]])),2)))</f>
        <v>-0.44</v>
      </c>
      <c r="U104" s="267" cm="1">
        <f t="array" ref="U104">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-0.8</v>
      </c>
      <c r="V104" s="117" cm="1">
        <f t="array" ref="V104">IF(AuswertungG[[#This Row],[Spiele]]="","",IF(AuswertungG[[#This Row],[Spiele]]&lt;2,"",ROUND(_xlfn.STDEV.P(_xlfn._xlws.FILTER(Eingabe[GES],Eingabe[Name]=AuswertungG[[#This Row],[Name]])),0)))</f>
        <v>18</v>
      </c>
      <c r="W104" s="117">
        <f>IF(AuswertungG[[#This Row],[Spiele MP]]="","",ROUND(AVERAGEIFS(Eingabe[GEGGES],Eingabe[Name],AuswertungG[[#This Row],[Name]]),0))</f>
        <v>518</v>
      </c>
      <c r="X104" s="277" t="str">
        <f>VLOOKUP(AuswertungG[[#This Row],[Name]],PositionG[],21,FALSE)</f>
        <v>[4]</v>
      </c>
      <c r="Y104" s="277">
        <f>VLOOKUP(AuswertungG[[#This Row],[Name]],PositionG[],22,FALSE)</f>
        <v>6</v>
      </c>
      <c r="Z104" s="277" t="str">
        <f>VLOOKUP(AuswertungG[[#This Row],[Name]],PositionG[],23,FALSE)</f>
        <v>[2][4][6]</v>
      </c>
      <c r="AA104" s="278">
        <f>IF(AuswertungG[[#This Row],[Spiele MP]]="","",ROUND(VLOOKUP(AuswertungG[[#This Row],[Name]],PositionG[],24,FALSE),2))</f>
        <v>1</v>
      </c>
      <c r="AB104" s="279">
        <f>IF(AuswertungG[[#This Row],[Spiele]]=0,"",ROUND(AVERAGEIFS(Eingabe[Rang],Eingabe[Name],AuswertungG[[#This Row],[Name]]),1))</f>
        <v>3.7</v>
      </c>
      <c r="AC104" s="279" cm="1">
        <f t="array" ref="AC104">IFERROR(ROUND(MEDIAN(_xlfn._xlws.FILTER(Eingabe[GES],Eingabe[Name]=AuswertungG[[#This Row],[Name]])),0),"")</f>
        <v>527</v>
      </c>
      <c r="AD104" s="278">
        <f>IFERROR(AuswertungG[[#This Row],[STABW]]/AuswertungG[[#This Row],[GES]],"")</f>
        <v>3.4026465028355386E-2</v>
      </c>
      <c r="AE104" s="279" cm="1">
        <f t="array" ref="AE104">IFERROR(ROUND(_xlfn.QUARTILE.INC(_xlfn._xlws.FILTER(Eingabe[GES],Eingabe[Name]=AuswertungG[[#This Row],[Name]]),3)-_xlfn.QUARTILE.INC(_xlfn._xlws.FILTER(Eingabe[GES],Eingabe[Name]=AuswertungG[[#This Row],[Name]]),1),0),"")</f>
        <v>24</v>
      </c>
      <c r="AF104" s="279">
        <f>IFERROR(1/AuswertungG[[#This Row],[VK]],"")</f>
        <v>29.388888888888889</v>
      </c>
      <c r="AG104" s="279">
        <f>IFERROR(AuswertungG[[#This Row],[Volle]]/AuswertungG[[#This Row],[Räumer]]-2,"")</f>
        <v>0.14285714285714279</v>
      </c>
      <c r="AH104" s="364">
        <f>IFERROR(ROUND((AuswertungG[[#This Row],[Spiele]]*60)/(AuswertungG[[#This Row],[Fehler]]*AuswertungG[[#This Row],[Spiele]]),0),"")</f>
        <v>14</v>
      </c>
      <c r="AI104" s="123" cm="1">
        <f t="array" ref="AI104">IFERROR((AVERAGE(_xlfn._xlws.FILTER(_xlfn._xlws.FILTER(Eingabe[GES],Eingabe[Name]=AuswertungG[[#This Row],[Name]]),ABS(_xlfn._xlws.FILTER(Eingabe[GEGGES],Eingabe[Name]=AuswertungG[[#This Row],[Name]])-_xlfn._xlws.FILTER(Eingabe[GES],Eingabe[Name]=AuswertungG[[#This Row],[Name]]))&lt;15))-AuswertungG[[#This Row],[GES]])/AuswertungG[[#This Row],[STABW]],"")</f>
        <v>-0.48888888888888637</v>
      </c>
      <c r="AJ104" s="267">
        <f>IFERROR(ROUND(AVERAGEIFS(Eingabe[MP],Eingabe[Diff],"&lt;15",Eingabe[Name],AuswertungG[[#This Row],[Name]])-AuswertungG[[#This Row],[MP]],2),"")</f>
        <v>-0.03</v>
      </c>
      <c r="AK104" s="364" cm="1">
        <f t="array" ref="AK104">IFERROR(ROUND(AVERAGE(_xlfn._xlws.FILTER(Eingabe[GES],(Eingabe[Name]=AuswertungG[[#This Row],[Name]])*(Eingabe[GEGGES]&gt;(AuswertungG[[#This Row],[GES]]+20))))-AuswertungG[[#This Row],[GES]],0),"")</f>
        <v>2</v>
      </c>
      <c r="AL104" s="364" cm="1">
        <f t="array" ref="AL104">IFERROR(ROUND(AVERAGE(_xlfn._xlws.FILTER(Eingabe[GES],(Eingabe[Name]=AuswertungG[[#This Row],[Name]])*(Eingabe[GEGGES]&lt;(AuswertungG[[#This Row],[GES]]-20))))-AuswertungG[[#This Row],[GES]],0),"")</f>
        <v>-17</v>
      </c>
    </row>
    <row r="105" spans="2:39" x14ac:dyDescent="0.3">
      <c r="B105" s="285" t="str">
        <f t="shared" si="1"/>
        <v>Tim Beger</v>
      </c>
      <c r="C105" s="276" t="str">
        <f>IF(AuswertungG[[#This Row],[Name]]="","",VLOOKUP(AuswertungG[[#This Row],[Name]],Teamzuordnung[[Name]:[Team]],2,TRUE))</f>
        <v>Z</v>
      </c>
      <c r="D105" s="280">
        <f>COUNTIFS(Eingabe[Name],AuswertungG[[#This Row],[Name]])</f>
        <v>12</v>
      </c>
      <c r="E105" s="116">
        <f>IF(AuswertungG[[#This Row],[Spiele]]="","",IF(AuswertungG[[#This Row],[Spiele]]-COUNTIFS(Eingabe[Name],AuswertungG[[#This Row],[Name]],Eingabe[MP],"")=0,"",AuswertungG[[#This Row],[Spiele]]-COUNTIFS(Eingabe[Name],AuswertungG[[#This Row],[Name]],Eingabe[MP],"")))</f>
        <v>10</v>
      </c>
      <c r="F105" s="117">
        <f>IF(AuswertungG[[#This Row],[Spiele]]=0,"",ROUND(AVERAGEIFS(Eingabe[Volle],Eingabe[Name],AuswertungG[[#This Row],[Name]]),0))</f>
        <v>362</v>
      </c>
      <c r="G105" s="117">
        <f>IF(AuswertungG[[#This Row],[Spiele]]=0,"",ROUND(AVERAGEIFS(Eingabe[Räumer],Eingabe[Name],AuswertungG[[#This Row],[Name]]),0))</f>
        <v>171</v>
      </c>
      <c r="H105" s="123">
        <f>IF(AuswertungG[[#This Row],[Spiele]]=0,"",ROUND(AVERAGEIFS(Eingabe[Fehler],Eingabe[Name],AuswertungG[[#This Row],[Name]]),1))</f>
        <v>7.6</v>
      </c>
      <c r="I105" s="117">
        <f>IF(AuswertungG[[#This Row],[Spiele]]=0,"",ROUND(AVERAGEIFS(Eingabe[GES],Eingabe[Name],AuswertungG[[#This Row],[Name]]),0))</f>
        <v>532</v>
      </c>
      <c r="J105" s="123">
        <f>IF(AuswertungG[[#This Row],[Spiele MP]]="","",ROUND(AVERAGEIFS(Eingabe[SP],Eingabe[Name],AuswertungG[[#This Row],[Name]]),1))</f>
        <v>2.2000000000000002</v>
      </c>
      <c r="K105" s="121">
        <f>IF(AuswertungG[[#This Row],[Spiele MP]]="","",ROUND(AVERAGEIFS(Eingabe[MP],Eingabe[Name],AuswertungG[[#This Row],[Name]]),2))</f>
        <v>0.6</v>
      </c>
      <c r="L105" s="117">
        <f>IFERROR(ROUND(AVERAGEIFS(Eingabe[S1],Eingabe[Name],AuswertungG[[#This Row],[Name]]),0),"")</f>
        <v>135</v>
      </c>
      <c r="M105" s="268">
        <f>IFERROR(ROUND(AVERAGEIFS(Eingabe[S2],Eingabe[Name],AuswertungG[[#This Row],[Name]]),0),"")</f>
        <v>129</v>
      </c>
      <c r="N105" s="117">
        <f>IFERROR(ROUND(AVERAGEIFS(Eingabe[S3],Eingabe[Name],AuswertungG[[#This Row],[Name]]),0),"")</f>
        <v>131</v>
      </c>
      <c r="O105" s="268">
        <f>IFERROR(ROUND(AVERAGEIFS(Eingabe[S3],Eingabe[Name],AuswertungG[[#This Row],[Name]]),0),"")</f>
        <v>131</v>
      </c>
      <c r="P105" s="121">
        <f>IF(AuswertungG[[#This Row],[Spiele MP]]="","",ROUND(AVERAGEIFS(Eingabe[S1P],Eingabe[Name],AuswertungG[[#This Row],[Name]]),2))</f>
        <v>0.85</v>
      </c>
      <c r="Q105" s="121">
        <f>IF(AuswertungG[[#This Row],[Spiele MP]]="","",ROUND(AVERAGEIFS(Eingabe[S2P],Eingabe[Name],AuswertungG[[#This Row],[Name]]),2))</f>
        <v>0.3</v>
      </c>
      <c r="R105" s="121">
        <f>IF(AuswertungG[[#This Row],[Spiele MP]]="","",ROUND(AVERAGEIFS(Eingabe[S3P],Eingabe[Name],AuswertungG[[#This Row],[Name]]),2))</f>
        <v>0.6</v>
      </c>
      <c r="S105" s="121">
        <f>IF(AuswertungG[[#This Row],[Spiele MP]]="","",ROUND(AVERAGEIFS(Eingabe[S4P],Eingabe[Name],AuswertungG[[#This Row],[Name]]),2))</f>
        <v>0.45</v>
      </c>
      <c r="T105" s="267" cm="1">
        <f t="array" ref="T105">IF(AuswertungG[[#This Row],[Spiele]]="","",IF(AuswertungG[[#This Row],[Spiele]]&lt;2,"",ROUND(SLOPE(_xlfn._xlws.FILTER(Eingabe[GES],Eingabe[Name]=AuswertungG[[#This Row],[Name]]),_xlfn._xlws.FILTER(Eingabe[KW],Eingabe[Name]=AuswertungG[[#This Row],[Name]])),2)))</f>
        <v>-0.98</v>
      </c>
      <c r="U105" s="267" cm="1">
        <f t="array" ref="U105">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-19.93</v>
      </c>
      <c r="V105" s="117" cm="1">
        <f t="array" ref="V105">IF(AuswertungG[[#This Row],[Spiele]]="","",IF(AuswertungG[[#This Row],[Spiele]]&lt;2,"",ROUND(_xlfn.STDEV.P(_xlfn._xlws.FILTER(Eingabe[GES],Eingabe[Name]=AuswertungG[[#This Row],[Name]])),0)))</f>
        <v>27</v>
      </c>
      <c r="W105" s="117">
        <f>IF(AuswertungG[[#This Row],[Spiele MP]]="","",ROUND(AVERAGEIFS(Eingabe[GEGGES],Eingabe[Name],AuswertungG[[#This Row],[Name]]),0))</f>
        <v>519</v>
      </c>
      <c r="X105" s="277" t="str">
        <f>VLOOKUP(AuswertungG[[#This Row],[Name]],PositionG[],21,FALSE)</f>
        <v>[5][6]</v>
      </c>
      <c r="Y105" s="277">
        <f>VLOOKUP(AuswertungG[[#This Row],[Name]],PositionG[],22,FALSE)</f>
        <v>4</v>
      </c>
      <c r="Z105" s="277" t="str">
        <f>VLOOKUP(AuswertungG[[#This Row],[Name]],PositionG[],23,FALSE)</f>
        <v>[2][3]</v>
      </c>
      <c r="AA105" s="278">
        <f>IF(AuswertungG[[#This Row],[Spiele MP]]="","",ROUND(VLOOKUP(AuswertungG[[#This Row],[Name]],PositionG[],24,FALSE),2))</f>
        <v>1</v>
      </c>
      <c r="AB105" s="279">
        <f>IF(AuswertungG[[#This Row],[Spiele]]=0,"",ROUND(AVERAGEIFS(Eingabe[Rang],Eingabe[Name],AuswertungG[[#This Row],[Name]]),1))</f>
        <v>2.9</v>
      </c>
      <c r="AC105" s="279" cm="1">
        <f t="array" ref="AC105">IFERROR(ROUND(MEDIAN(_xlfn._xlws.FILTER(Eingabe[GES],Eingabe[Name]=AuswertungG[[#This Row],[Name]])),0),"")</f>
        <v>532</v>
      </c>
      <c r="AD105" s="278">
        <f>IFERROR(AuswertungG[[#This Row],[STABW]]/AuswertungG[[#This Row],[GES]],"")</f>
        <v>5.0751879699248117E-2</v>
      </c>
      <c r="AE105" s="279" cm="1">
        <f t="array" ref="AE105">IFERROR(ROUND(_xlfn.QUARTILE.INC(_xlfn._xlws.FILTER(Eingabe[GES],Eingabe[Name]=AuswertungG[[#This Row],[Name]]),3)-_xlfn.QUARTILE.INC(_xlfn._xlws.FILTER(Eingabe[GES],Eingabe[Name]=AuswertungG[[#This Row],[Name]]),1),0),"")</f>
        <v>47</v>
      </c>
      <c r="AF105" s="279">
        <f>IFERROR(1/AuswertungG[[#This Row],[VK]],"")</f>
        <v>19.703703703703706</v>
      </c>
      <c r="AG105" s="279">
        <f>IFERROR(AuswertungG[[#This Row],[Volle]]/AuswertungG[[#This Row],[Räumer]]-2,"")</f>
        <v>0.1169590643274856</v>
      </c>
      <c r="AH105" s="364">
        <f>IFERROR(ROUND((AuswertungG[[#This Row],[Spiele]]*60)/(AuswertungG[[#This Row],[Fehler]]*AuswertungG[[#This Row],[Spiele]]),0),"")</f>
        <v>8</v>
      </c>
      <c r="AI105" s="123" cm="1">
        <f t="array" ref="AI105">IFERROR((AVERAGE(_xlfn._xlws.FILTER(_xlfn._xlws.FILTER(Eingabe[GES],Eingabe[Name]=AuswertungG[[#This Row],[Name]]),ABS(_xlfn._xlws.FILTER(Eingabe[GEGGES],Eingabe[Name]=AuswertungG[[#This Row],[Name]])-_xlfn._xlws.FILTER(Eingabe[GES],Eingabe[Name]=AuswertungG[[#This Row],[Name]]))&lt;15))-AuswertungG[[#This Row],[GES]])/AuswertungG[[#This Row],[STABW]],"")</f>
        <v>1.8518518518518517E-2</v>
      </c>
      <c r="AJ105" s="267">
        <f>IFERROR(ROUND(AVERAGEIFS(Eingabe[MP],Eingabe[Diff],"&lt;15",Eingabe[Name],AuswertungG[[#This Row],[Name]])-AuswertungG[[#This Row],[MP]],2),"")</f>
        <v>-0.6</v>
      </c>
      <c r="AK105" s="364" cm="1">
        <f t="array" ref="AK105">IFERROR(ROUND(AVERAGE(_xlfn._xlws.FILTER(Eingabe[GES],(Eingabe[Name]=AuswertungG[[#This Row],[Name]])*(Eingabe[GEGGES]&gt;(AuswertungG[[#This Row],[GES]]+20))))-AuswertungG[[#This Row],[GES]],0),"")</f>
        <v>32</v>
      </c>
      <c r="AL105" s="364" cm="1">
        <f t="array" ref="AL105">IFERROR(ROUND(AVERAGE(_xlfn._xlws.FILTER(Eingabe[GES],(Eingabe[Name]=AuswertungG[[#This Row],[Name]])*(Eingabe[GEGGES]&lt;(AuswertungG[[#This Row],[GES]]-20))))-AuswertungG[[#This Row],[GES]],0),"")</f>
        <v>-4</v>
      </c>
    </row>
    <row r="106" spans="2:39" x14ac:dyDescent="0.3">
      <c r="B106" s="285" t="str">
        <f t="shared" si="1"/>
        <v>Ulli Baumgarten</v>
      </c>
      <c r="C106" s="276" t="str">
        <f>IF(AuswertungG[[#This Row],[Name]]="","",VLOOKUP(AuswertungG[[#This Row],[Name]],Teamzuordnung[[Name]:[Team]],2,TRUE))</f>
        <v>D</v>
      </c>
      <c r="D106" s="280">
        <f>COUNTIFS(Eingabe[Name],AuswertungG[[#This Row],[Name]])</f>
        <v>3</v>
      </c>
      <c r="E106" s="116">
        <f>IF(AuswertungG[[#This Row],[Spiele]]="","",IF(AuswertungG[[#This Row],[Spiele]]-COUNTIFS(Eingabe[Name],AuswertungG[[#This Row],[Name]],Eingabe[MP],"")=0,"",AuswertungG[[#This Row],[Spiele]]-COUNTIFS(Eingabe[Name],AuswertungG[[#This Row],[Name]],Eingabe[MP],"")))</f>
        <v>3</v>
      </c>
      <c r="F106" s="117">
        <f>IF(AuswertungG[[#This Row],[Spiele]]=0,"",ROUND(AVERAGEIFS(Eingabe[Volle],Eingabe[Name],AuswertungG[[#This Row],[Name]]),0))</f>
        <v>361</v>
      </c>
      <c r="G106" s="117">
        <f>IF(AuswertungG[[#This Row],[Spiele]]=0,"",ROUND(AVERAGEIFS(Eingabe[Räumer],Eingabe[Name],AuswertungG[[#This Row],[Name]]),0))</f>
        <v>139</v>
      </c>
      <c r="H106" s="123">
        <f>IF(AuswertungG[[#This Row],[Spiele]]=0,"",ROUND(AVERAGEIFS(Eingabe[Fehler],Eingabe[Name],AuswertungG[[#This Row],[Name]]),1))</f>
        <v>10</v>
      </c>
      <c r="I106" s="117">
        <f>IF(AuswertungG[[#This Row],[Spiele]]=0,"",ROUND(AVERAGEIFS(Eingabe[GES],Eingabe[Name],AuswertungG[[#This Row],[Name]]),0))</f>
        <v>499</v>
      </c>
      <c r="J106" s="123">
        <f>IF(AuswertungG[[#This Row],[Spiele MP]]="","",ROUND(AVERAGEIFS(Eingabe[SP],Eingabe[Name],AuswertungG[[#This Row],[Name]]),1))</f>
        <v>2</v>
      </c>
      <c r="K106" s="121">
        <f>IF(AuswertungG[[#This Row],[Spiele MP]]="","",ROUND(AVERAGEIFS(Eingabe[MP],Eingabe[Name],AuswertungG[[#This Row],[Name]]),2))</f>
        <v>0.67</v>
      </c>
      <c r="L106" s="117">
        <f>IFERROR(ROUND(AVERAGEIFS(Eingabe[S1],Eingabe[Name],AuswertungG[[#This Row],[Name]]),0),"")</f>
        <v>122</v>
      </c>
      <c r="M106" s="268">
        <f>IFERROR(ROUND(AVERAGEIFS(Eingabe[S2],Eingabe[Name],AuswertungG[[#This Row],[Name]]),0),"")</f>
        <v>126</v>
      </c>
      <c r="N106" s="117">
        <f>IFERROR(ROUND(AVERAGEIFS(Eingabe[S3],Eingabe[Name],AuswertungG[[#This Row],[Name]]),0),"")</f>
        <v>128</v>
      </c>
      <c r="O106" s="268">
        <f>IFERROR(ROUND(AVERAGEIFS(Eingabe[S3],Eingabe[Name],AuswertungG[[#This Row],[Name]]),0),"")</f>
        <v>128</v>
      </c>
      <c r="P106" s="121">
        <f>IF(AuswertungG[[#This Row],[Spiele MP]]="","",ROUND(AVERAGEIFS(Eingabe[S1P],Eingabe[Name],AuswertungG[[#This Row],[Name]]),2))</f>
        <v>0.33</v>
      </c>
      <c r="Q106" s="121">
        <f>IF(AuswertungG[[#This Row],[Spiele MP]]="","",ROUND(AVERAGEIFS(Eingabe[S2P],Eingabe[Name],AuswertungG[[#This Row],[Name]]),2))</f>
        <v>0.67</v>
      </c>
      <c r="R106" s="121">
        <f>IF(AuswertungG[[#This Row],[Spiele MP]]="","",ROUND(AVERAGEIFS(Eingabe[S3P],Eingabe[Name],AuswertungG[[#This Row],[Name]]),2))</f>
        <v>0.67</v>
      </c>
      <c r="S106" s="121">
        <f>IF(AuswertungG[[#This Row],[Spiele MP]]="","",ROUND(AVERAGEIFS(Eingabe[S4P],Eingabe[Name],AuswertungG[[#This Row],[Name]]),2))</f>
        <v>0.33</v>
      </c>
      <c r="T106" s="267" cm="1">
        <f t="array" ref="T106">IF(AuswertungG[[#This Row],[Spiele]]="","",IF(AuswertungG[[#This Row],[Spiele]]&lt;2,"",ROUND(SLOPE(_xlfn._xlws.FILTER(Eingabe[GES],Eingabe[Name]=AuswertungG[[#This Row],[Name]]),_xlfn._xlws.FILTER(Eingabe[KW],Eingabe[Name]=AuswertungG[[#This Row],[Name]])),2)))</f>
        <v>2.58</v>
      </c>
      <c r="U106" s="267" cm="1">
        <f t="array" ref="U106">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2.58</v>
      </c>
      <c r="V106" s="117" cm="1">
        <f t="array" ref="V106">IF(AuswertungG[[#This Row],[Spiele]]="","",IF(AuswertungG[[#This Row],[Spiele]]&lt;2,"",ROUND(_xlfn.STDEV.P(_xlfn._xlws.FILTER(Eingabe[GES],Eingabe[Name]=AuswertungG[[#This Row],[Name]])),0)))</f>
        <v>12</v>
      </c>
      <c r="W106" s="117">
        <f>IF(AuswertungG[[#This Row],[Spiele MP]]="","",ROUND(AVERAGEIFS(Eingabe[GEGGES],Eingabe[Name],AuswertungG[[#This Row],[Name]]),0))</f>
        <v>499</v>
      </c>
      <c r="X106" s="277" t="str">
        <f>VLOOKUP(AuswertungG[[#This Row],[Name]],PositionG[],21,FALSE)</f>
        <v>[2][3][5]</v>
      </c>
      <c r="Y106" s="277">
        <f>VLOOKUP(AuswertungG[[#This Row],[Name]],PositionG[],22,FALSE)</f>
        <v>1</v>
      </c>
      <c r="Z106" s="277" t="str">
        <f>VLOOKUP(AuswertungG[[#This Row],[Name]],PositionG[],23,FALSE)</f>
        <v>[2][3]</v>
      </c>
      <c r="AA106" s="278">
        <f>IF(AuswertungG[[#This Row],[Spiele MP]]="","",ROUND(VLOOKUP(AuswertungG[[#This Row],[Name]],PositionG[],24,FALSE),2))</f>
        <v>1</v>
      </c>
      <c r="AB106" s="279">
        <f>IF(AuswertungG[[#This Row],[Spiele]]=0,"",ROUND(AVERAGEIFS(Eingabe[Rang],Eingabe[Name],AuswertungG[[#This Row],[Name]]),1))</f>
        <v>4.7</v>
      </c>
      <c r="AC106" s="279" cm="1">
        <f t="array" ref="AC106">IFERROR(ROUND(MEDIAN(_xlfn._xlws.FILTER(Eingabe[GES],Eingabe[Name]=AuswertungG[[#This Row],[Name]])),0),"")</f>
        <v>502</v>
      </c>
      <c r="AD106" s="278">
        <f>IFERROR(AuswertungG[[#This Row],[STABW]]/AuswertungG[[#This Row],[GES]],"")</f>
        <v>2.4048096192384769E-2</v>
      </c>
      <c r="AE106" s="279" cm="1">
        <f t="array" ref="AE106">IFERROR(ROUND(_xlfn.QUARTILE.INC(_xlfn._xlws.FILTER(Eingabe[GES],Eingabe[Name]=AuswertungG[[#This Row],[Name]]),3)-_xlfn.QUARTILE.INC(_xlfn._xlws.FILTER(Eingabe[GES],Eingabe[Name]=AuswertungG[[#This Row],[Name]]),1),0),"")</f>
        <v>15</v>
      </c>
      <c r="AF106" s="279">
        <f>IFERROR(1/AuswertungG[[#This Row],[VK]],"")</f>
        <v>41.583333333333336</v>
      </c>
      <c r="AG106" s="279">
        <f>IFERROR(AuswertungG[[#This Row],[Volle]]/AuswertungG[[#This Row],[Räumer]]-2,"")</f>
        <v>0.59712230215827322</v>
      </c>
      <c r="AH106" s="364">
        <f>IFERROR(ROUND((AuswertungG[[#This Row],[Spiele]]*60)/(AuswertungG[[#This Row],[Fehler]]*AuswertungG[[#This Row],[Spiele]]),0),"")</f>
        <v>6</v>
      </c>
      <c r="AI106" s="123" cm="1">
        <f t="array" ref="AI106">IFERROR((AVERAGE(_xlfn._xlws.FILTER(_xlfn._xlws.FILTER(Eingabe[GES],Eingabe[Name]=AuswertungG[[#This Row],[Name]]),ABS(_xlfn._xlws.FILTER(Eingabe[GEGGES],Eingabe[Name]=AuswertungG[[#This Row],[Name]])-_xlfn._xlws.FILTER(Eingabe[GES],Eingabe[Name]=AuswertungG[[#This Row],[Name]]))&lt;15))-AuswertungG[[#This Row],[GES]])/AuswertungG[[#This Row],[STABW]],"")</f>
        <v>0.25</v>
      </c>
      <c r="AJ106" s="267">
        <f>IFERROR(ROUND(AVERAGEIFS(Eingabe[MP],Eingabe[Diff],"&lt;15",Eingabe[Name],AuswertungG[[#This Row],[Name]])-AuswertungG[[#This Row],[MP]],2),"")</f>
        <v>0.33</v>
      </c>
      <c r="AK106" s="364" cm="1">
        <f t="array" ref="AK106">IFERROR(ROUND(AVERAGE(_xlfn._xlws.FILTER(Eingabe[GES],(Eingabe[Name]=AuswertungG[[#This Row],[Name]])*(Eingabe[GEGGES]&gt;(AuswertungG[[#This Row],[GES]]+20))))-AuswertungG[[#This Row],[GES]],0),"")</f>
        <v>14</v>
      </c>
      <c r="AL106" s="364" cm="1">
        <f t="array" ref="AL106">IFERROR(ROUND(AVERAGE(_xlfn._xlws.FILTER(Eingabe[GES],(Eingabe[Name]=AuswertungG[[#This Row],[Name]])*(Eingabe[GEGGES]&lt;(AuswertungG[[#This Row],[GES]]-20))))-AuswertungG[[#This Row],[GES]],0),"")</f>
        <v>-16</v>
      </c>
    </row>
    <row r="107" spans="2:39" ht="16.2" thickBot="1" x14ac:dyDescent="0.35">
      <c r="B107" s="285" t="str">
        <f t="shared" si="1"/>
        <v>Uwe Zippack</v>
      </c>
      <c r="C107" s="124" t="str">
        <f>IF(AuswertungG[[#This Row],[Name]]="","",VLOOKUP(AuswertungG[[#This Row],[Name]],Teamzuordnung[[Name]:[Team]],2,TRUE))</f>
        <v>Z</v>
      </c>
      <c r="D107" s="125">
        <f>COUNTIFS(Eingabe[Name],AuswertungG[[#This Row],[Name]])</f>
        <v>10</v>
      </c>
      <c r="E107" s="116">
        <f>IF(AuswertungG[[#This Row],[Spiele]]="","",IF(AuswertungG[[#This Row],[Spiele]]-COUNTIFS(Eingabe[Name],AuswertungG[[#This Row],[Name]],Eingabe[MP],"")=0,"",AuswertungG[[#This Row],[Spiele]]-COUNTIFS(Eingabe[Name],AuswertungG[[#This Row],[Name]],Eingabe[MP],"")))</f>
        <v>10</v>
      </c>
      <c r="F107" s="117">
        <f>IF(AuswertungG[[#This Row],[Spiele]]=0,"",ROUND(AVERAGEIFS(Eingabe[Volle],Eingabe[Name],AuswertungG[[#This Row],[Name]]),0))</f>
        <v>351</v>
      </c>
      <c r="G107" s="117">
        <f>IF(AuswertungG[[#This Row],[Spiele]]=0,"",ROUND(AVERAGEIFS(Eingabe[Räumer],Eingabe[Name],AuswertungG[[#This Row],[Name]]),0))</f>
        <v>173</v>
      </c>
      <c r="H107" s="123">
        <f>IF(AuswertungG[[#This Row],[Spiele]]=0,"",ROUND(AVERAGEIFS(Eingabe[Fehler],Eingabe[Name],AuswertungG[[#This Row],[Name]]),1))</f>
        <v>4.5999999999999996</v>
      </c>
      <c r="I107" s="117">
        <f>IF(AuswertungG[[#This Row],[Spiele]]=0,"",ROUND(AVERAGEIFS(Eingabe[GES],Eingabe[Name],AuswertungG[[#This Row],[Name]]),0))</f>
        <v>525</v>
      </c>
      <c r="J107" s="123">
        <f>IF(AuswertungG[[#This Row],[Spiele MP]]="","",ROUND(AVERAGEIFS(Eingabe[SP],Eingabe[Name],AuswertungG[[#This Row],[Name]]),1))</f>
        <v>2</v>
      </c>
      <c r="K107" s="121">
        <f>IF(AuswertungG[[#This Row],[Spiele MP]]="","",ROUND(AVERAGEIFS(Eingabe[MP],Eingabe[Name],AuswertungG[[#This Row],[Name]]),2))</f>
        <v>0.5</v>
      </c>
      <c r="L107" s="117">
        <f>IFERROR(ROUND(AVERAGEIFS(Eingabe[S1],Eingabe[Name],AuswertungG[[#This Row],[Name]]),0),"")</f>
        <v>135</v>
      </c>
      <c r="M107" s="268">
        <f>IFERROR(ROUND(AVERAGEIFS(Eingabe[S2],Eingabe[Name],AuswertungG[[#This Row],[Name]]),0),"")</f>
        <v>127</v>
      </c>
      <c r="N107" s="117">
        <f>IFERROR(ROUND(AVERAGEIFS(Eingabe[S3],Eingabe[Name],AuswertungG[[#This Row],[Name]]),0),"")</f>
        <v>129</v>
      </c>
      <c r="O107" s="268">
        <f>IFERROR(ROUND(AVERAGEIFS(Eingabe[S3],Eingabe[Name],AuswertungG[[#This Row],[Name]]),0),"")</f>
        <v>129</v>
      </c>
      <c r="P107" s="121">
        <f>IF(AuswertungG[[#This Row],[Spiele MP]]="","",ROUND(AVERAGEIFS(Eingabe[S1P],Eingabe[Name],AuswertungG[[#This Row],[Name]]),2))</f>
        <v>0.6</v>
      </c>
      <c r="Q107" s="121">
        <f>IF(AuswertungG[[#This Row],[Spiele MP]]="","",ROUND(AVERAGEIFS(Eingabe[S2P],Eingabe[Name],AuswertungG[[#This Row],[Name]]),2))</f>
        <v>0.2</v>
      </c>
      <c r="R107" s="121">
        <f>IF(AuswertungG[[#This Row],[Spiele MP]]="","",ROUND(AVERAGEIFS(Eingabe[S3P],Eingabe[Name],AuswertungG[[#This Row],[Name]]),2))</f>
        <v>0.6</v>
      </c>
      <c r="S107" s="121">
        <f>IF(AuswertungG[[#This Row],[Spiele MP]]="","",ROUND(AVERAGEIFS(Eingabe[S4P],Eingabe[Name],AuswertungG[[#This Row],[Name]]),2))</f>
        <v>0.6</v>
      </c>
      <c r="T107" s="267" cm="1">
        <f t="array" ref="T107">IF(AuswertungG[[#This Row],[Spiele]]="","",IF(AuswertungG[[#This Row],[Spiele]]&lt;2,"",ROUND(SLOPE(_xlfn._xlws.FILTER(Eingabe[GES],Eingabe[Name]=AuswertungG[[#This Row],[Name]]),_xlfn._xlws.FILTER(Eingabe[KW],Eingabe[Name]=AuswertungG[[#This Row],[Name]])),2)))</f>
        <v>-1.55</v>
      </c>
      <c r="U107" s="267" cm="1">
        <f t="array" ref="U107">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-4.18</v>
      </c>
      <c r="V107" s="117" cm="1">
        <f t="array" ref="V107">IF(AuswertungG[[#This Row],[Spiele]]="","",IF(AuswertungG[[#This Row],[Spiele]]&lt;2,"",ROUND(_xlfn.STDEV.P(_xlfn._xlws.FILTER(Eingabe[GES],Eingabe[Name]=AuswertungG[[#This Row],[Name]])),0)))</f>
        <v>28</v>
      </c>
      <c r="W107" s="117">
        <f>IF(AuswertungG[[#This Row],[Spiele MP]]="","",ROUND(AVERAGEIFS(Eingabe[GEGGES],Eingabe[Name],AuswertungG[[#This Row],[Name]]),0))</f>
        <v>528</v>
      </c>
      <c r="X107" s="127" t="str">
        <f>VLOOKUP(AuswertungG[[#This Row],[Name]],PositionG[],21,FALSE)</f>
        <v>[2]</v>
      </c>
      <c r="Y107" s="127">
        <f>VLOOKUP(AuswertungG[[#This Row],[Name]],PositionG[],22,FALSE)</f>
        <v>4</v>
      </c>
      <c r="Z107" s="127" t="str">
        <f>VLOOKUP(AuswertungG[[#This Row],[Name]],PositionG[],23,FALSE)</f>
        <v>[2]</v>
      </c>
      <c r="AA107" s="126">
        <f>IF(AuswertungG[[#This Row],[Spiele MP]]="","",ROUND(VLOOKUP(AuswertungG[[#This Row],[Name]],PositionG[],24,FALSE),2))</f>
        <v>0.75</v>
      </c>
      <c r="AB107" s="204">
        <f>IF(AuswertungG[[#This Row],[Spiele]]=0,"",ROUND(AVERAGEIFS(Eingabe[Rang],Eingabe[Name],AuswertungG[[#This Row],[Name]]),1))</f>
        <v>3.5</v>
      </c>
      <c r="AC107" s="204" cm="1">
        <f t="array" ref="AC107">IFERROR(ROUND(MEDIAN(_xlfn._xlws.FILTER(Eingabe[GES],Eingabe[Name]=AuswertungG[[#This Row],[Name]])),0),"")</f>
        <v>531</v>
      </c>
      <c r="AD107" s="126">
        <f>IFERROR(AuswertungG[[#This Row],[STABW]]/AuswertungG[[#This Row],[GES]],"")</f>
        <v>5.3333333333333337E-2</v>
      </c>
      <c r="AE107" s="204" cm="1">
        <f t="array" ref="AE107">IFERROR(ROUND(_xlfn.QUARTILE.INC(_xlfn._xlws.FILTER(Eingabe[GES],Eingabe[Name]=AuswertungG[[#This Row],[Name]]),3)-_xlfn.QUARTILE.INC(_xlfn._xlws.FILTER(Eingabe[GES],Eingabe[Name]=AuswertungG[[#This Row],[Name]]),1),0),"")</f>
        <v>31</v>
      </c>
      <c r="AF107" s="204">
        <f>IFERROR(1/AuswertungG[[#This Row],[VK]],"")</f>
        <v>18.75</v>
      </c>
      <c r="AG107" s="204">
        <f>IFERROR(AuswertungG[[#This Row],[Volle]]/AuswertungG[[#This Row],[Räumer]]-2,"")</f>
        <v>2.8901734104046284E-2</v>
      </c>
      <c r="AH107" s="365">
        <f>IFERROR(ROUND((AuswertungG[[#This Row],[Spiele]]*60)/(AuswertungG[[#This Row],[Fehler]]*AuswertungG[[#This Row],[Spiele]]),0),"")</f>
        <v>13</v>
      </c>
      <c r="AI107" s="123" cm="1">
        <f t="array" ref="AI107">IFERROR((AVERAGE(_xlfn._xlws.FILTER(_xlfn._xlws.FILTER(Eingabe[GES],Eingabe[Name]=AuswertungG[[#This Row],[Name]]),ABS(_xlfn._xlws.FILTER(Eingabe[GEGGES],Eingabe[Name]=AuswertungG[[#This Row],[Name]])-_xlfn._xlws.FILTER(Eingabe[GES],Eingabe[Name]=AuswertungG[[#This Row],[Name]]))&lt;15))-AuswertungG[[#This Row],[GES]])/AuswertungG[[#This Row],[STABW]],"")</f>
        <v>0.2857142857142857</v>
      </c>
      <c r="AJ107" s="267">
        <f>IFERROR(ROUND(AVERAGEIFS(Eingabe[MP],Eingabe[Diff],"&lt;15",Eingabe[Name],AuswertungG[[#This Row],[Name]])-AuswertungG[[#This Row],[MP]],2),"")</f>
        <v>0.5</v>
      </c>
      <c r="AK107" s="365" cm="1">
        <f t="array" ref="AK107">IFERROR(ROUND(AVERAGE(_xlfn._xlws.FILTER(Eingabe[GES],(Eingabe[Name]=AuswertungG[[#This Row],[Name]])*(Eingabe[GEGGES]&gt;(AuswertungG[[#This Row],[GES]]+20))))-AuswertungG[[#This Row],[GES]],0),"")</f>
        <v>22</v>
      </c>
      <c r="AL107" s="365" cm="1">
        <f t="array" ref="AL107">IFERROR(ROUND(AVERAGE(_xlfn._xlws.FILTER(Eingabe[GES],(Eingabe[Name]=AuswertungG[[#This Row],[Name]])*(Eingabe[GEGGES]&lt;(AuswertungG[[#This Row],[GES]]-20))))-AuswertungG[[#This Row],[GES]],0),"")</f>
        <v>-27</v>
      </c>
    </row>
    <row r="108" spans="2:39" ht="16.2" thickBot="1" x14ac:dyDescent="0.35"/>
    <row r="109" spans="2:39" ht="16.2" thickBot="1" x14ac:dyDescent="0.35">
      <c r="B109" s="16" t="s">
        <v>118</v>
      </c>
      <c r="C109" s="1">
        <v>2</v>
      </c>
      <c r="D109" s="1">
        <v>3</v>
      </c>
      <c r="E109" s="1">
        <v>4</v>
      </c>
      <c r="F109" s="1">
        <v>5</v>
      </c>
      <c r="G109" s="1">
        <v>6</v>
      </c>
      <c r="H109" s="1">
        <v>7</v>
      </c>
      <c r="I109" s="1">
        <v>8</v>
      </c>
      <c r="J109" s="1">
        <v>9</v>
      </c>
      <c r="K109" s="1">
        <v>10</v>
      </c>
      <c r="L109" s="1">
        <v>11</v>
      </c>
      <c r="M109" s="1">
        <v>12</v>
      </c>
      <c r="N109" s="1">
        <v>13</v>
      </c>
      <c r="O109" s="1">
        <v>14</v>
      </c>
      <c r="P109" s="1">
        <v>15</v>
      </c>
      <c r="Q109" s="1">
        <v>16</v>
      </c>
      <c r="R109" s="1">
        <v>17</v>
      </c>
      <c r="S109" s="1">
        <v>18</v>
      </c>
      <c r="T109" s="1">
        <v>19</v>
      </c>
      <c r="U109" s="1">
        <v>20</v>
      </c>
      <c r="V109" s="1">
        <v>21</v>
      </c>
      <c r="W109" s="1">
        <v>22</v>
      </c>
      <c r="X109" s="1">
        <v>23</v>
      </c>
      <c r="Y109" s="1">
        <v>24</v>
      </c>
      <c r="Z109" s="1">
        <v>25</v>
      </c>
      <c r="AA109" s="1">
        <v>26</v>
      </c>
      <c r="AB109" s="1">
        <v>27</v>
      </c>
      <c r="AC109" s="1">
        <v>28</v>
      </c>
      <c r="AD109" s="1">
        <v>29</v>
      </c>
      <c r="AE109" s="1">
        <v>30</v>
      </c>
      <c r="AF109" s="1">
        <v>31</v>
      </c>
      <c r="AG109" s="1">
        <v>32</v>
      </c>
      <c r="AH109" s="1">
        <v>33</v>
      </c>
      <c r="AI109" s="1">
        <v>34</v>
      </c>
      <c r="AJ109" s="1">
        <v>35</v>
      </c>
      <c r="AK109" s="1">
        <v>36</v>
      </c>
      <c r="AL109" s="1">
        <v>37</v>
      </c>
      <c r="AM109" s="1">
        <v>38</v>
      </c>
    </row>
    <row r="110" spans="2:39" ht="47.4" thickBot="1" x14ac:dyDescent="0.35">
      <c r="B110" s="24" t="s">
        <v>13</v>
      </c>
      <c r="C110" s="25" t="s">
        <v>0</v>
      </c>
      <c r="D110" s="26" t="s">
        <v>19</v>
      </c>
      <c r="E110" s="270" t="s">
        <v>498</v>
      </c>
      <c r="F110" s="27" t="s">
        <v>138</v>
      </c>
      <c r="G110" s="27" t="s">
        <v>139</v>
      </c>
      <c r="H110" s="27" t="s">
        <v>148</v>
      </c>
      <c r="I110" s="27" t="s">
        <v>137</v>
      </c>
      <c r="J110" s="27" t="s">
        <v>226</v>
      </c>
      <c r="K110" s="27" t="s">
        <v>225</v>
      </c>
      <c r="L110" s="27" t="s">
        <v>144</v>
      </c>
      <c r="M110" s="31" t="s">
        <v>145</v>
      </c>
      <c r="N110" s="31" t="s">
        <v>146</v>
      </c>
      <c r="O110" s="31" t="s">
        <v>147</v>
      </c>
      <c r="P110" s="31" t="s">
        <v>305</v>
      </c>
      <c r="Q110" s="31" t="s">
        <v>306</v>
      </c>
      <c r="R110" s="31" t="s">
        <v>307</v>
      </c>
      <c r="S110" s="31" t="s">
        <v>308</v>
      </c>
      <c r="T110" s="269" t="s">
        <v>448</v>
      </c>
      <c r="U110" s="269" t="s">
        <v>449</v>
      </c>
      <c r="V110" s="31" t="s">
        <v>198</v>
      </c>
      <c r="W110" s="27" t="s">
        <v>143</v>
      </c>
      <c r="X110" s="27" t="s">
        <v>279</v>
      </c>
      <c r="Y110" s="27" t="s">
        <v>280</v>
      </c>
      <c r="Z110" s="27" t="s">
        <v>281</v>
      </c>
      <c r="AA110" s="27" t="s">
        <v>282</v>
      </c>
      <c r="AB110" s="202" t="s">
        <v>430</v>
      </c>
      <c r="AC110" s="27" t="s">
        <v>321</v>
      </c>
      <c r="AD110" s="27" t="s">
        <v>808</v>
      </c>
      <c r="AE110" s="27" t="s">
        <v>809</v>
      </c>
      <c r="AF110" s="27" t="s">
        <v>810</v>
      </c>
      <c r="AG110" s="27" t="s">
        <v>811</v>
      </c>
      <c r="AH110" s="27" t="s">
        <v>812</v>
      </c>
      <c r="AI110" s="27" t="s">
        <v>813</v>
      </c>
      <c r="AJ110" s="27" t="s">
        <v>814</v>
      </c>
      <c r="AK110" s="27" t="s">
        <v>815</v>
      </c>
      <c r="AL110" s="27" t="s">
        <v>816</v>
      </c>
      <c r="AM110" s="27" t="s">
        <v>817</v>
      </c>
    </row>
    <row r="111" spans="2:39" x14ac:dyDescent="0.3">
      <c r="B111" s="285" t="str">
        <f>B58</f>
        <v>Anastasia Landau</v>
      </c>
      <c r="C111" s="119" t="str">
        <f>IF(AuswertungH[[#This Row],[Name]]="","",VLOOKUP(AuswertungH[[#This Row],[Name]],Teamzuordnung[[Name]:[Team]],2,TRUE))</f>
        <v>F</v>
      </c>
      <c r="D111" s="122">
        <f>COUNTIFS(Eingabe[Name],AuswertungH[[#This Row],[Name]],Eingabe[Wo],"H")</f>
        <v>0</v>
      </c>
      <c r="E111" s="116" t="str">
        <f>IF(AuswertungH[[#This Row],[Spiele H]]="","",IF(AuswertungH[[#This Row],[Spiele H]]-COUNTIFS(Eingabe[Name],AuswertungH[[#This Row],[Name]],Eingabe[MP],"",Eingabe[Wo],"H")=0,"",AuswertungH[[#This Row],[Spiele H]]-COUNTIFS(Eingabe[Name],AuswertungH[[#This Row],[Name]],Eingabe[MP],"",Eingabe[Wo],"H")))</f>
        <v/>
      </c>
      <c r="F111" s="117" t="str">
        <f>IFERROR(ROUND(AVERAGEIFS(Eingabe[Volle],Eingabe[Name],AuswertungH[[#This Row],[Name]],Eingabe[Wo],"H"),0),"")</f>
        <v/>
      </c>
      <c r="G111" s="117" t="str">
        <f>IFERROR(ROUND(AVERAGEIFS(Eingabe[Räumer],Eingabe[Name],AuswertungH[[#This Row],[Name]],Eingabe[Wo],"H"),0),"")</f>
        <v/>
      </c>
      <c r="H111" s="123" t="str">
        <f>IFERROR(ROUND(AVERAGEIFS(Eingabe[Fehler],Eingabe[Name],AuswertungH[[#This Row],[Name]],Eingabe[Wo],"H"),1),"")</f>
        <v/>
      </c>
      <c r="I111" s="117" t="str">
        <f>IFERROR(ROUND(AVERAGEIFS(Eingabe[GES],Eingabe[Name],AuswertungH[[#This Row],[Name]],Eingabe[Wo],"H"),0),"")</f>
        <v/>
      </c>
      <c r="J111" s="123" t="str">
        <f>IFERROR(ROUND(AVERAGEIFS(Eingabe[SP],Eingabe[Name],AuswertungH[[#This Row],[Name]],Eingabe[Wo],"H"),2),"")</f>
        <v/>
      </c>
      <c r="K111" s="121" t="str">
        <f>IFERROR(ROUND(AVERAGEIFS(Eingabe[MP],Eingabe[Name],AuswertungH[[#This Row],[Name]],Eingabe[Wo],"H"),2),"")</f>
        <v/>
      </c>
      <c r="L111" s="117" t="str">
        <f>IFERROR(ROUND(AVERAGEIFS(Eingabe[S1],Eingabe[Name],AuswertungH[[#This Row],[Name]],Eingabe[Wo],"H"),0),"")</f>
        <v/>
      </c>
      <c r="M111" s="268" t="str">
        <f>IFERROR(ROUND(AVERAGEIFS(Eingabe[S2],Eingabe[Name],AuswertungH[[#This Row],[Name]],Eingabe[Wo],"H"),0),"")</f>
        <v/>
      </c>
      <c r="N111" s="117" t="str">
        <f>IFERROR(ROUND(AVERAGEIFS(Eingabe[S3],Eingabe[Name],AuswertungH[[#This Row],[Name]],Eingabe[Wo],"H"),0),"")</f>
        <v/>
      </c>
      <c r="O111" s="268" t="str">
        <f>IFERROR(ROUND(AVERAGEIFS(Eingabe[S4],Eingabe[Name],AuswertungH[[#This Row],[Name]],Eingabe[Wo],"H"),0),"")</f>
        <v/>
      </c>
      <c r="P111" s="121" t="str">
        <f>IFERROR(ROUND(AVERAGEIFS(Eingabe[S1P],Eingabe[Name],AuswertungH[[#This Row],[Name]],Eingabe[Wo],"H"),2),"")</f>
        <v/>
      </c>
      <c r="Q111" s="121" t="str">
        <f>IFERROR(ROUND(AVERAGEIFS(Eingabe[S2P],Eingabe[Name],AuswertungH[[#This Row],[Name]],Eingabe[Wo],"H"),2),"")</f>
        <v/>
      </c>
      <c r="R111" s="121" t="str">
        <f>IFERROR(ROUND(AVERAGEIFS(Eingabe[S3P],Eingabe[Name],AuswertungH[[#This Row],[Name]],Eingabe[Wo],"H"),2),"")</f>
        <v/>
      </c>
      <c r="S111" s="121" t="str">
        <f>IFERROR(ROUND(AVERAGEIFS(Eingabe[S4P],Eingabe[Name],AuswertungH[[#This Row],[Name]],Eingabe[Wo],"H"),2),"")</f>
        <v/>
      </c>
      <c r="T111" s="123" cm="1">
        <f t="array" ref="T111">IFERROR(ROUND(SLOPE(_xlfn._xlws.FILTER(Eingabe[GES],(Eingabe[Name]=AuswertungH[[#This Row],[Name]])*(Eingabe[Wo]="H")),_xlfn._xlws.FILTER(Eingabe[KW],(Eingabe[Name]=AuswertungH[[#This Row],[Name]])*(Eingabe[Wo]="H"))),2),0)</f>
        <v>0</v>
      </c>
      <c r="U111" s="123" t="str" cm="1">
        <f t="array" ref="U111">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11" s="117" t="str" cm="1">
        <f t="array" ref="V111">IFERROR(ROUND(_xlfn.STDEV.P(_xlfn._xlws.FILTER(Eingabe[GES],(Eingabe[Name]=AuswertungH[[#This Row],[Name]])*(Eingabe[Wo]="H"))),0),"")</f>
        <v/>
      </c>
      <c r="W111" s="117" t="str">
        <f>IF(AuswertungH[[#This Row],[Spiele MP H]]="","",ROUND(AVERAGEIFS(Eingabe[GEGGES],Eingabe[Name],AuswertungH[[#This Row],[Name]],Eingabe[Wo],"H"),0))</f>
        <v/>
      </c>
      <c r="X111" s="116" t="str">
        <f>VLOOKUP(AuswertungH[[#This Row],[Name]],PositionH[],21,FALSE)</f>
        <v/>
      </c>
      <c r="Y111" s="116" t="str">
        <f>VLOOKUP(AuswertungH[[#This Row],[Name]],PositionH[],22,FALSE)</f>
        <v/>
      </c>
      <c r="Z111" s="116" t="str">
        <f>VLOOKUP(AuswertungH[[#This Row],[Name]],PositionH[],23,FALSE)</f>
        <v/>
      </c>
      <c r="AA111" s="121" t="str">
        <f>IF(AuswertungH[[#This Row],[Spiele MP H]]="","",ROUND(VLOOKUP(AuswertungH[[#This Row],[Name]],PositionH[],24,FALSE),2))</f>
        <v/>
      </c>
      <c r="AB111" s="199" t="str">
        <f>IFERROR(AVERAGEIFS(Eingabe[Rang],Eingabe[Name],AuswertungH[[#This Row],[Name]],Eingabe[Wo],"H"),"")</f>
        <v/>
      </c>
      <c r="AC111"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11" s="123" t="str" cm="1">
        <f t="array" ref="AD111">IFERROR(ROUND(MEDIAN(_xlfn._xlws.FILTER(Eingabe[GES],(Eingabe[Name]=AuswertungH[[#This Row],[Name]])*(Eingabe[Wo]="H"))),0),"")</f>
        <v/>
      </c>
      <c r="AE111" s="121" t="str">
        <f>IFERROR(AuswertungH[[#This Row],[STABW H]]/AuswertungH[[#This Row],[GES H]],"")</f>
        <v/>
      </c>
      <c r="AF111" s="123" t="str" cm="1">
        <f t="array" ref="AF111">IFERROR(ROUND(_xlfn.QUARTILE.INC(_xlfn._xlws.FILTER(Eingabe[GES],(Eingabe[Name]=AuswertungH[[#This Row],[Name]])*(Eingabe[Wo]="H")),3)-_xlfn.QUARTILE.INC(_xlfn._xlws.FILTER(Eingabe[GES],(Eingabe[Name]=AuswertungH[[#This Row],[Name]])*(Eingabe[Wo]="H")),1),0),"")</f>
        <v/>
      </c>
      <c r="AG111" s="123" t="str">
        <f>IFERROR(1/AuswertungH[[#This Row],[VK H]],"")</f>
        <v/>
      </c>
      <c r="AH111" s="123" t="str">
        <f>IFERROR(AuswertungH[[#This Row],[Volle H]]/AuswertungH[[#This Row],[Räumer H]]-2,"")</f>
        <v/>
      </c>
      <c r="AI111" s="117" t="str">
        <f>IFERROR(ROUND((AuswertungH[[#This Row],[Spiele H]]*60)/(AuswertungH[[#This Row],[Fehler H]]*AuswertungH[[#This Row],[Spiele H]]),0),"")</f>
        <v/>
      </c>
      <c r="AJ111" s="123" t="str" cm="1">
        <f t="array" ref="AJ111">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11" s="267" t="str">
        <f>IFERROR(ROUND(AVERAGEIFS(Eingabe[MP],Eingabe[Diff],"&lt;15",Eingabe[Name],AuswertungH[[#This Row],[Name]],Eingabe[Wo],"H")-AuswertungH[[#This Row],[MP H]],2),"")</f>
        <v/>
      </c>
      <c r="AL111" s="117" t="str" cm="1">
        <f t="array" ref="AL111">IFERROR(ROUND(AVERAGE(_xlfn._xlws.FILTER(Eingabe[GES],(Eingabe[Name]=AuswertungH[[#This Row],[Name]])*(Eingabe[Wo]="H")*(Eingabe[GEGGES]&gt;(AuswertungH[[#This Row],[GES H]]+20))))-AuswertungH[[#This Row],[GES H]],0),"")</f>
        <v/>
      </c>
      <c r="AM111" s="117" t="str" cm="1">
        <f t="array" ref="AM111">IFERROR(ROUND(AVERAGE(_xlfn._xlws.FILTER(Eingabe[GES],(Eingabe[Name]=AuswertungH[[#This Row],[Name]])*(Eingabe[Wo]="H")*(Eingabe[GEGGES]&lt;(AuswertungH[[#This Row],[GES H]]-20))))-AuswertungH[[#This Row],[GES H]],0),"")</f>
        <v/>
      </c>
    </row>
    <row r="112" spans="2:39" x14ac:dyDescent="0.3">
      <c r="B112" s="285" t="str">
        <f t="shared" ref="B112:B160" si="2">B59</f>
        <v>Andreas Ehrlich</v>
      </c>
      <c r="C112" s="119" t="str">
        <f>IF(AuswertungH[[#This Row],[Name]]="","",VLOOKUP(AuswertungH[[#This Row],[Name]],Teamzuordnung[[Name]:[Team]],2,TRUE))</f>
        <v>D</v>
      </c>
      <c r="D112" s="122">
        <f>COUNTIFS(Eingabe[Name],AuswertungH[[#This Row],[Name]],Eingabe[Wo],"H")</f>
        <v>1</v>
      </c>
      <c r="E112" s="117">
        <f>IF(AuswertungH[[#This Row],[Spiele H]]="","",IF(AuswertungH[[#This Row],[Spiele H]]-COUNTIFS(Eingabe[Name],AuswertungH[[#This Row],[Name]],Eingabe[MP],"",Eingabe[Wo],"H")=0,"",AuswertungH[[#This Row],[Spiele H]]-COUNTIFS(Eingabe[Name],AuswertungH[[#This Row],[Name]],Eingabe[MP],"",Eingabe[Wo],"H")))</f>
        <v>1</v>
      </c>
      <c r="F112" s="117">
        <f>IFERROR(ROUND(AVERAGEIFS(Eingabe[Volle],Eingabe[Name],AuswertungH[[#This Row],[Name]],Eingabe[Wo],"H"),0),"")</f>
        <v>351</v>
      </c>
      <c r="G112" s="117">
        <f>IFERROR(ROUND(AVERAGEIFS(Eingabe[Räumer],Eingabe[Name],AuswertungH[[#This Row],[Name]],Eingabe[Wo],"H"),0),"")</f>
        <v>178</v>
      </c>
      <c r="H112" s="123">
        <f>IFERROR(ROUND(AVERAGEIFS(Eingabe[Fehler],Eingabe[Name],AuswertungH[[#This Row],[Name]],Eingabe[Wo],"H"),1),"")</f>
        <v>6</v>
      </c>
      <c r="I112" s="117">
        <f>IFERROR(ROUND(AVERAGEIFS(Eingabe[GES],Eingabe[Name],AuswertungH[[#This Row],[Name]],Eingabe[Wo],"H"),0),"")</f>
        <v>529</v>
      </c>
      <c r="J112" s="123">
        <f>IFERROR(ROUND(AVERAGEIFS(Eingabe[SP],Eingabe[Name],AuswertungH[[#This Row],[Name]],Eingabe[Wo],"H"),2),"")</f>
        <v>4</v>
      </c>
      <c r="K112" s="121">
        <f>IFERROR(ROUND(AVERAGEIFS(Eingabe[MP],Eingabe[Name],AuswertungH[[#This Row],[Name]],Eingabe[Wo],"H"),2),"")</f>
        <v>1</v>
      </c>
      <c r="L112" s="117">
        <f>IFERROR(ROUND(AVERAGEIFS(Eingabe[S1],Eingabe[Name],AuswertungH[[#This Row],[Name]],Eingabe[Wo],"H"),0),"")</f>
        <v>126</v>
      </c>
      <c r="M112" s="268">
        <f>IFERROR(ROUND(AVERAGEIFS(Eingabe[S2],Eingabe[Name],AuswertungH[[#This Row],[Name]],Eingabe[Wo],"H"),0),"")</f>
        <v>132</v>
      </c>
      <c r="N112" s="117">
        <f>IFERROR(ROUND(AVERAGEIFS(Eingabe[S3],Eingabe[Name],AuswertungH[[#This Row],[Name]],Eingabe[Wo],"H"),0),"")</f>
        <v>121</v>
      </c>
      <c r="O112" s="268">
        <f>IFERROR(ROUND(AVERAGEIFS(Eingabe[S4],Eingabe[Name],AuswertungH[[#This Row],[Name]],Eingabe[Wo],"H"),0),"")</f>
        <v>150</v>
      </c>
      <c r="P112" s="121">
        <f>IFERROR(ROUND(AVERAGEIFS(Eingabe[S1P],Eingabe[Name],AuswertungH[[#This Row],[Name]],Eingabe[Wo],"H"),2),"")</f>
        <v>1</v>
      </c>
      <c r="Q112" s="121">
        <f>IFERROR(ROUND(AVERAGEIFS(Eingabe[S2P],Eingabe[Name],AuswertungH[[#This Row],[Name]],Eingabe[Wo],"H"),2),"")</f>
        <v>1</v>
      </c>
      <c r="R112" s="121">
        <f>IFERROR(ROUND(AVERAGEIFS(Eingabe[S3P],Eingabe[Name],AuswertungH[[#This Row],[Name]],Eingabe[Wo],"H"),2),"")</f>
        <v>1</v>
      </c>
      <c r="S112" s="121">
        <f>IFERROR(ROUND(AVERAGEIFS(Eingabe[S4P],Eingabe[Name],AuswertungH[[#This Row],[Name]],Eingabe[Wo],"H"),2),"")</f>
        <v>1</v>
      </c>
      <c r="T112" s="123" cm="1">
        <f t="array" ref="T112">IFERROR(ROUND(SLOPE(_xlfn._xlws.FILTER(Eingabe[GES],(Eingabe[Name]=AuswertungH[[#This Row],[Name]])*(Eingabe[Wo]="H")),_xlfn._xlws.FILTER(Eingabe[KW],(Eingabe[Name]=AuswertungH[[#This Row],[Name]])*(Eingabe[Wo]="H"))),2),0)</f>
        <v>0</v>
      </c>
      <c r="U112" s="123" t="str" cm="1">
        <f t="array" ref="U112">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12" s="117" cm="1">
        <f t="array" ref="V112">IFERROR(ROUND(_xlfn.STDEV.P(_xlfn._xlws.FILTER(Eingabe[GES],(Eingabe[Name]=AuswertungH[[#This Row],[Name]])*(Eingabe[Wo]="H"))),0),"")</f>
        <v>0</v>
      </c>
      <c r="W112" s="117">
        <f>IF(AuswertungH[[#This Row],[Spiele MP H]]="","",ROUND(AVERAGEIFS(Eingabe[GEGGES],Eingabe[Name],AuswertungH[[#This Row],[Name]],Eingabe[Wo],"H"),0))</f>
        <v>441</v>
      </c>
      <c r="X112" s="123" t="str">
        <f>VLOOKUP(AuswertungH[[#This Row],[Name]],PositionH[],21,FALSE)</f>
        <v>[3]</v>
      </c>
      <c r="Y112" s="123">
        <f>VLOOKUP(AuswertungH[[#This Row],[Name]],PositionH[],22,FALSE)</f>
        <v>1</v>
      </c>
      <c r="Z112" s="123" t="str">
        <f>VLOOKUP(AuswertungH[[#This Row],[Name]],PositionH[],23,FALSE)</f>
        <v>[3]</v>
      </c>
      <c r="AA112" s="121">
        <f>IF(AuswertungH[[#This Row],[Spiele MP H]]="","",ROUND(VLOOKUP(AuswertungH[[#This Row],[Name]],PositionH[],24,FALSE),2))</f>
        <v>1</v>
      </c>
      <c r="AB112" s="123">
        <f>IFERROR(AVERAGEIFS(Eingabe[Rang],Eingabe[Name],AuswertungH[[#This Row],[Name]],Eingabe[Wo],"H"),"")</f>
        <v>2</v>
      </c>
      <c r="AC112"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150 [3]</v>
      </c>
      <c r="AD112" s="123" cm="1">
        <f t="array" ref="AD112">IFERROR(ROUND(MEDIAN(_xlfn._xlws.FILTER(Eingabe[GES],(Eingabe[Name]=AuswertungH[[#This Row],[Name]])*(Eingabe[Wo]="H"))),0),"")</f>
        <v>529</v>
      </c>
      <c r="AE112" s="121">
        <f>IFERROR(AuswertungH[[#This Row],[STABW H]]/AuswertungH[[#This Row],[GES H]],"")</f>
        <v>0</v>
      </c>
      <c r="AF112" s="123" cm="1">
        <f t="array" ref="AF112">IFERROR(ROUND(_xlfn.QUARTILE.INC(_xlfn._xlws.FILTER(Eingabe[GES],(Eingabe[Name]=AuswertungH[[#This Row],[Name]])*(Eingabe[Wo]="H")),3)-_xlfn.QUARTILE.INC(_xlfn._xlws.FILTER(Eingabe[GES],(Eingabe[Name]=AuswertungH[[#This Row],[Name]])*(Eingabe[Wo]="H")),1),0),"")</f>
        <v>0</v>
      </c>
      <c r="AG112" s="123" t="str">
        <f>IFERROR(1/AuswertungH[[#This Row],[VK H]],"")</f>
        <v/>
      </c>
      <c r="AH112" s="123">
        <f>IFERROR(AuswertungH[[#This Row],[Volle H]]/AuswertungH[[#This Row],[Räumer H]]-2,"")</f>
        <v>-2.8089887640449396E-2</v>
      </c>
      <c r="AI112" s="117">
        <f>IFERROR(ROUND((AuswertungH[[#This Row],[Spiele H]]*60)/(AuswertungH[[#This Row],[Fehler H]]*AuswertungH[[#This Row],[Spiele H]]),0),"")</f>
        <v>10</v>
      </c>
      <c r="AJ112" s="123" t="str" cm="1">
        <f t="array" ref="AJ112">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12" s="267" t="str">
        <f>IFERROR(ROUND(AVERAGEIFS(Eingabe[MP],Eingabe[Diff],"&lt;15",Eingabe[Name],AuswertungH[[#This Row],[Name]],Eingabe[Wo],"H")-AuswertungH[[#This Row],[MP H]],2),"")</f>
        <v/>
      </c>
      <c r="AL112" s="117" t="str" cm="1">
        <f t="array" ref="AL112">IFERROR(ROUND(AVERAGE(_xlfn._xlws.FILTER(Eingabe[GES],(Eingabe[Name]=AuswertungH[[#This Row],[Name]])*(Eingabe[Wo]="H")*(Eingabe[GEGGES]&gt;(AuswertungH[[#This Row],[GES H]]+20))))-AuswertungH[[#This Row],[GES H]],0),"")</f>
        <v/>
      </c>
      <c r="AM112" s="117" cm="1">
        <f t="array" ref="AM112">IFERROR(ROUND(AVERAGE(_xlfn._xlws.FILTER(Eingabe[GES],(Eingabe[Name]=AuswertungH[[#This Row],[Name]])*(Eingabe[Wo]="H")*(Eingabe[GEGGES]&lt;(AuswertungH[[#This Row],[GES H]]-20))))-AuswertungH[[#This Row],[GES H]],0),"")</f>
        <v>0</v>
      </c>
    </row>
    <row r="113" spans="2:39" x14ac:dyDescent="0.3">
      <c r="B113" s="285" t="str">
        <f t="shared" si="2"/>
        <v>Andreas Rippin</v>
      </c>
      <c r="C113" s="119" t="str">
        <f>IF(AuswertungH[[#This Row],[Name]]="","",VLOOKUP(AuswertungH[[#This Row],[Name]],Teamzuordnung[[Name]:[Team]],2,TRUE))</f>
        <v>E</v>
      </c>
      <c r="D113" s="122">
        <f>COUNTIFS(Eingabe[Name],AuswertungH[[#This Row],[Name]],Eingabe[Wo],"H")</f>
        <v>3</v>
      </c>
      <c r="E113" s="117">
        <f>IF(AuswertungH[[#This Row],[Spiele H]]="","",IF(AuswertungH[[#This Row],[Spiele H]]-COUNTIFS(Eingabe[Name],AuswertungH[[#This Row],[Name]],Eingabe[MP],"",Eingabe[Wo],"H")=0,"",AuswertungH[[#This Row],[Spiele H]]-COUNTIFS(Eingabe[Name],AuswertungH[[#This Row],[Name]],Eingabe[MP],"",Eingabe[Wo],"H")))</f>
        <v>3</v>
      </c>
      <c r="F113" s="117">
        <f>IFERROR(ROUND(AVERAGEIFS(Eingabe[Volle],Eingabe[Name],AuswertungH[[#This Row],[Name]],Eingabe[Wo],"H"),0),"")</f>
        <v>351</v>
      </c>
      <c r="G113" s="117">
        <f>IFERROR(ROUND(AVERAGEIFS(Eingabe[Räumer],Eingabe[Name],AuswertungH[[#This Row],[Name]],Eingabe[Wo],"H"),0),"")</f>
        <v>156</v>
      </c>
      <c r="H113" s="123">
        <f>IFERROR(ROUND(AVERAGEIFS(Eingabe[Fehler],Eingabe[Name],AuswertungH[[#This Row],[Name]],Eingabe[Wo],"H"),1),"")</f>
        <v>10.3</v>
      </c>
      <c r="I113" s="117">
        <f>IFERROR(ROUND(AVERAGEIFS(Eingabe[GES],Eingabe[Name],AuswertungH[[#This Row],[Name]],Eingabe[Wo],"H"),0),"")</f>
        <v>506</v>
      </c>
      <c r="J113" s="123">
        <f>IFERROR(ROUND(AVERAGEIFS(Eingabe[SP],Eingabe[Name],AuswertungH[[#This Row],[Name]],Eingabe[Wo],"H"),2),"")</f>
        <v>1.83</v>
      </c>
      <c r="K113" s="121">
        <f>IFERROR(ROUND(AVERAGEIFS(Eingabe[MP],Eingabe[Name],AuswertungH[[#This Row],[Name]],Eingabe[Wo],"H"),2),"")</f>
        <v>0.67</v>
      </c>
      <c r="L113" s="117">
        <f>IFERROR(ROUND(AVERAGEIFS(Eingabe[S1],Eingabe[Name],AuswertungH[[#This Row],[Name]],Eingabe[Wo],"H"),0),"")</f>
        <v>127</v>
      </c>
      <c r="M113" s="268">
        <f>IFERROR(ROUND(AVERAGEIFS(Eingabe[S2],Eingabe[Name],AuswertungH[[#This Row],[Name]],Eingabe[Wo],"H"),0),"")</f>
        <v>130</v>
      </c>
      <c r="N113" s="117">
        <f>IFERROR(ROUND(AVERAGEIFS(Eingabe[S3],Eingabe[Name],AuswertungH[[#This Row],[Name]],Eingabe[Wo],"H"),0),"")</f>
        <v>119</v>
      </c>
      <c r="O113" s="268">
        <f>IFERROR(ROUND(AVERAGEIFS(Eingabe[S4],Eingabe[Name],AuswertungH[[#This Row],[Name]],Eingabe[Wo],"H"),0),"")</f>
        <v>131</v>
      </c>
      <c r="P113" s="121">
        <f>IFERROR(ROUND(AVERAGEIFS(Eingabe[S1P],Eingabe[Name],AuswertungH[[#This Row],[Name]],Eingabe[Wo],"H"),2),"")</f>
        <v>0.67</v>
      </c>
      <c r="Q113" s="121">
        <f>IFERROR(ROUND(AVERAGEIFS(Eingabe[S2P],Eingabe[Name],AuswertungH[[#This Row],[Name]],Eingabe[Wo],"H"),2),"")</f>
        <v>0.5</v>
      </c>
      <c r="R113" s="121">
        <f>IFERROR(ROUND(AVERAGEIFS(Eingabe[S3P],Eingabe[Name],AuswertungH[[#This Row],[Name]],Eingabe[Wo],"H"),2),"")</f>
        <v>0.33</v>
      </c>
      <c r="S113" s="121">
        <f>IFERROR(ROUND(AVERAGEIFS(Eingabe[S4P],Eingabe[Name],AuswertungH[[#This Row],[Name]],Eingabe[Wo],"H"),2),"")</f>
        <v>0.33</v>
      </c>
      <c r="T113" s="123" cm="1">
        <f t="array" ref="T113">IFERROR(ROUND(SLOPE(_xlfn._xlws.FILTER(Eingabe[GES],(Eingabe[Name]=AuswertungH[[#This Row],[Name]])*(Eingabe[Wo]="H")),_xlfn._xlws.FILTER(Eingabe[KW],(Eingabe[Name]=AuswertungH[[#This Row],[Name]])*(Eingabe[Wo]="H"))),2),0)</f>
        <v>0.62</v>
      </c>
      <c r="U113" s="123" cm="1">
        <f t="array" ref="U113">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0.62</v>
      </c>
      <c r="V113" s="117" cm="1">
        <f t="array" ref="V113">IFERROR(ROUND(_xlfn.STDEV.P(_xlfn._xlws.FILTER(Eingabe[GES],(Eingabe[Name]=AuswertungH[[#This Row],[Name]])*(Eingabe[Wo]="H"))),0),"")</f>
        <v>6</v>
      </c>
      <c r="W113" s="117">
        <f>IF(AuswertungH[[#This Row],[Spiele MP H]]="","",ROUND(AVERAGEIFS(Eingabe[GEGGES],Eingabe[Name],AuswertungH[[#This Row],[Name]],Eingabe[Wo],"H"),0))</f>
        <v>517</v>
      </c>
      <c r="X113" s="123" t="str">
        <f>VLOOKUP(AuswertungH[[#This Row],[Name]],PositionH[],21,FALSE)</f>
        <v>[1][2][3]</v>
      </c>
      <c r="Y113" s="123">
        <f>VLOOKUP(AuswertungH[[#This Row],[Name]],PositionH[],22,FALSE)</f>
        <v>1</v>
      </c>
      <c r="Z113" s="123" t="str">
        <f>VLOOKUP(AuswertungH[[#This Row],[Name]],PositionH[],23,FALSE)</f>
        <v>[1][2]</v>
      </c>
      <c r="AA113" s="121">
        <f>IF(AuswertungH[[#This Row],[Spiele MP H]]="","",ROUND(VLOOKUP(AuswertungH[[#This Row],[Name]],PositionH[],24,FALSE),2))</f>
        <v>1</v>
      </c>
      <c r="AB113" s="123">
        <f>IFERROR(AVERAGEIFS(Eingabe[Rang],Eingabe[Name],AuswertungH[[#This Row],[Name]],Eingabe[Wo],"H"),"")</f>
        <v>5.333333333333333</v>
      </c>
      <c r="AC113"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131 [2]</v>
      </c>
      <c r="AD113" s="123" cm="1">
        <f t="array" ref="AD113">IFERROR(ROUND(MEDIAN(_xlfn._xlws.FILTER(Eingabe[GES],(Eingabe[Name]=AuswertungH[[#This Row],[Name]])*(Eingabe[Wo]="H"))),0),"")</f>
        <v>507</v>
      </c>
      <c r="AE113" s="121">
        <f>IFERROR(AuswertungH[[#This Row],[STABW H]]/AuswertungH[[#This Row],[GES H]],"")</f>
        <v>1.1857707509881422E-2</v>
      </c>
      <c r="AF113" s="123" cm="1">
        <f t="array" ref="AF113">IFERROR(ROUND(_xlfn.QUARTILE.INC(_xlfn._xlws.FILTER(Eingabe[GES],(Eingabe[Name]=AuswertungH[[#This Row],[Name]])*(Eingabe[Wo]="H")),3)-_xlfn.QUARTILE.INC(_xlfn._xlws.FILTER(Eingabe[GES],(Eingabe[Name]=AuswertungH[[#This Row],[Name]])*(Eingabe[Wo]="H")),1),0),"")</f>
        <v>7</v>
      </c>
      <c r="AG113" s="123">
        <f>IFERROR(1/AuswertungH[[#This Row],[VK H]],"")</f>
        <v>84.333333333333343</v>
      </c>
      <c r="AH113" s="123">
        <f>IFERROR(AuswertungH[[#This Row],[Volle H]]/AuswertungH[[#This Row],[Räumer H]]-2,"")</f>
        <v>0.25</v>
      </c>
      <c r="AI113" s="117">
        <f>IFERROR(ROUND((AuswertungH[[#This Row],[Spiele H]]*60)/(AuswertungH[[#This Row],[Fehler H]]*AuswertungH[[#This Row],[Spiele H]]),0),"")</f>
        <v>6</v>
      </c>
      <c r="AJ113" s="123" cm="1">
        <f t="array" ref="AJ113">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0</v>
      </c>
      <c r="AK113" s="267">
        <f>IFERROR(ROUND(AVERAGEIFS(Eingabe[MP],Eingabe[Diff],"&lt;15",Eingabe[Name],AuswertungH[[#This Row],[Name]],Eingabe[Wo],"H")-AuswertungH[[#This Row],[MP H]],2),"")</f>
        <v>0.33</v>
      </c>
      <c r="AL113" s="117" cm="1">
        <f t="array" ref="AL113">IFERROR(ROUND(AVERAGE(_xlfn._xlws.FILTER(Eingabe[GES],(Eingabe[Name]=AuswertungH[[#This Row],[Name]])*(Eingabe[Wo]="H")*(Eingabe[GEGGES]&gt;(AuswertungH[[#This Row],[GES H]]+20))))-AuswertungH[[#This Row],[GES H]],0),"")</f>
        <v>1</v>
      </c>
      <c r="AM113" s="117" t="str" cm="1">
        <f t="array" ref="AM113">IFERROR(ROUND(AVERAGE(_xlfn._xlws.FILTER(Eingabe[GES],(Eingabe[Name]=AuswertungH[[#This Row],[Name]])*(Eingabe[Wo]="H")*(Eingabe[GEGGES]&lt;(AuswertungH[[#This Row],[GES H]]-20))))-AuswertungH[[#This Row],[GES H]],0),"")</f>
        <v/>
      </c>
    </row>
    <row r="114" spans="2:39" x14ac:dyDescent="0.3">
      <c r="B114" s="285" t="str">
        <f t="shared" si="2"/>
        <v>Anna Müller</v>
      </c>
      <c r="C114" s="119" t="str">
        <f>IF(AuswertungH[[#This Row],[Name]]="","",VLOOKUP(AuswertungH[[#This Row],[Name]],Teamzuordnung[[Name]:[Team]],2,TRUE))</f>
        <v>U19</v>
      </c>
      <c r="D114" s="122">
        <f>COUNTIFS(Eingabe[Name],AuswertungH[[#This Row],[Name]],Eingabe[Wo],"H")</f>
        <v>5</v>
      </c>
      <c r="E114" s="117">
        <f>IF(AuswertungH[[#This Row],[Spiele H]]="","",IF(AuswertungH[[#This Row],[Spiele H]]-COUNTIFS(Eingabe[Name],AuswertungH[[#This Row],[Name]],Eingabe[MP],"",Eingabe[Wo],"H")=0,"",AuswertungH[[#This Row],[Spiele H]]-COUNTIFS(Eingabe[Name],AuswertungH[[#This Row],[Name]],Eingabe[MP],"",Eingabe[Wo],"H")))</f>
        <v>2</v>
      </c>
      <c r="F114" s="117">
        <f>IFERROR(ROUND(AVERAGEIFS(Eingabe[Volle],Eingabe[Name],AuswertungH[[#This Row],[Name]],Eingabe[Wo],"H"),0),"")</f>
        <v>340</v>
      </c>
      <c r="G114" s="117">
        <f>IFERROR(ROUND(AVERAGEIFS(Eingabe[Räumer],Eingabe[Name],AuswertungH[[#This Row],[Name]],Eingabe[Wo],"H"),0),"")</f>
        <v>172</v>
      </c>
      <c r="H114" s="123">
        <f>IFERROR(ROUND(AVERAGEIFS(Eingabe[Fehler],Eingabe[Name],AuswertungH[[#This Row],[Name]],Eingabe[Wo],"H"),1),"")</f>
        <v>7</v>
      </c>
      <c r="I114" s="117">
        <f>IFERROR(ROUND(AVERAGEIFS(Eingabe[GES],Eingabe[Name],AuswertungH[[#This Row],[Name]],Eingabe[Wo],"H"),0),"")</f>
        <v>512</v>
      </c>
      <c r="J114" s="123">
        <f>IFERROR(ROUND(AVERAGEIFS(Eingabe[SP],Eingabe[Name],AuswertungH[[#This Row],[Name]],Eingabe[Wo],"H"),2),"")</f>
        <v>3.5</v>
      </c>
      <c r="K114" s="121">
        <f>IFERROR(ROUND(AVERAGEIFS(Eingabe[MP],Eingabe[Name],AuswertungH[[#This Row],[Name]],Eingabe[Wo],"H"),2),"")</f>
        <v>1</v>
      </c>
      <c r="L114" s="117">
        <f>IFERROR(ROUND(AVERAGEIFS(Eingabe[S1],Eingabe[Name],AuswertungH[[#This Row],[Name]],Eingabe[Wo],"H"),0),"")</f>
        <v>127</v>
      </c>
      <c r="M114" s="268">
        <f>IFERROR(ROUND(AVERAGEIFS(Eingabe[S2],Eingabe[Name],AuswertungH[[#This Row],[Name]],Eingabe[Wo],"H"),0),"")</f>
        <v>129</v>
      </c>
      <c r="N114" s="117">
        <f>IFERROR(ROUND(AVERAGEIFS(Eingabe[S3],Eingabe[Name],AuswertungH[[#This Row],[Name]],Eingabe[Wo],"H"),0),"")</f>
        <v>129</v>
      </c>
      <c r="O114" s="268">
        <f>IFERROR(ROUND(AVERAGEIFS(Eingabe[S4],Eingabe[Name],AuswertungH[[#This Row],[Name]],Eingabe[Wo],"H"),0),"")</f>
        <v>126</v>
      </c>
      <c r="P114" s="121">
        <f>IFERROR(ROUND(AVERAGEIFS(Eingabe[S1P],Eingabe[Name],AuswertungH[[#This Row],[Name]],Eingabe[Wo],"H"),2),"")</f>
        <v>1</v>
      </c>
      <c r="Q114" s="121">
        <f>IFERROR(ROUND(AVERAGEIFS(Eingabe[S2P],Eingabe[Name],AuswertungH[[#This Row],[Name]],Eingabe[Wo],"H"),2),"")</f>
        <v>1</v>
      </c>
      <c r="R114" s="121">
        <f>IFERROR(ROUND(AVERAGEIFS(Eingabe[S3P],Eingabe[Name],AuswertungH[[#This Row],[Name]],Eingabe[Wo],"H"),2),"")</f>
        <v>1</v>
      </c>
      <c r="S114" s="121">
        <f>IFERROR(ROUND(AVERAGEIFS(Eingabe[S4P],Eingabe[Name],AuswertungH[[#This Row],[Name]],Eingabe[Wo],"H"),2),"")</f>
        <v>0.5</v>
      </c>
      <c r="T114" s="123" cm="1">
        <f t="array" ref="T114">IFERROR(ROUND(SLOPE(_xlfn._xlws.FILTER(Eingabe[GES],(Eingabe[Name]=AuswertungH[[#This Row],[Name]])*(Eingabe[Wo]="H")),_xlfn._xlws.FILTER(Eingabe[KW],(Eingabe[Name]=AuswertungH[[#This Row],[Name]])*(Eingabe[Wo]="H"))),2),0)</f>
        <v>2.5</v>
      </c>
      <c r="U114" s="123" cm="1">
        <f t="array" ref="U114">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2.99</v>
      </c>
      <c r="V114" s="117" cm="1">
        <f t="array" ref="V114">IFERROR(ROUND(_xlfn.STDEV.P(_xlfn._xlws.FILTER(Eingabe[GES],(Eingabe[Name]=AuswertungH[[#This Row],[Name]])*(Eingabe[Wo]="H"))),0),"")</f>
        <v>22</v>
      </c>
      <c r="W114" s="117">
        <f>IF(AuswertungH[[#This Row],[Spiele MP H]]="","",ROUND(AVERAGEIFS(Eingabe[GEGGES],Eingabe[Name],AuswertungH[[#This Row],[Name]],Eingabe[Wo],"H"),0))</f>
        <v>463</v>
      </c>
      <c r="X114" s="123" t="str">
        <f>VLOOKUP(AuswertungH[[#This Row],[Name]],PositionH[],21,FALSE)</f>
        <v>[1][3]</v>
      </c>
      <c r="Y114" s="123">
        <f>VLOOKUP(AuswertungH[[#This Row],[Name]],PositionH[],22,FALSE)</f>
        <v>1</v>
      </c>
      <c r="Z114" s="123" t="str">
        <f>VLOOKUP(AuswertungH[[#This Row],[Name]],PositionH[],23,FALSE)</f>
        <v>[1][3]</v>
      </c>
      <c r="AA114" s="121">
        <f>IF(AuswertungH[[#This Row],[Spiele MP H]]="","",ROUND(VLOOKUP(AuswertungH[[#This Row],[Name]],PositionH[],24,FALSE),2))</f>
        <v>1</v>
      </c>
      <c r="AB114" s="123">
        <f>IFERROR(AVERAGEIFS(Eingabe[Rang],Eingabe[Name],AuswertungH[[#This Row],[Name]],Eingabe[Wo],"H"),"")</f>
        <v>1.75</v>
      </c>
      <c r="AC114"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135 [2]</v>
      </c>
      <c r="AD114" s="123" cm="1">
        <f t="array" ref="AD114">IFERROR(ROUND(MEDIAN(_xlfn._xlws.FILTER(Eingabe[GES],(Eingabe[Name]=AuswertungH[[#This Row],[Name]])*(Eingabe[Wo]="H"))),0),"")</f>
        <v>506</v>
      </c>
      <c r="AE114" s="121">
        <f>IFERROR(AuswertungH[[#This Row],[STABW H]]/AuswertungH[[#This Row],[GES H]],"")</f>
        <v>4.296875E-2</v>
      </c>
      <c r="AF114" s="123" cm="1">
        <f t="array" ref="AF114">IFERROR(ROUND(_xlfn.QUARTILE.INC(_xlfn._xlws.FILTER(Eingabe[GES],(Eingabe[Name]=AuswertungH[[#This Row],[Name]])*(Eingabe[Wo]="H")),3)-_xlfn.QUARTILE.INC(_xlfn._xlws.FILTER(Eingabe[GES],(Eingabe[Name]=AuswertungH[[#This Row],[Name]])*(Eingabe[Wo]="H")),1),0),"")</f>
        <v>9</v>
      </c>
      <c r="AG114" s="123">
        <f>IFERROR(1/AuswertungH[[#This Row],[VK H]],"")</f>
        <v>23.272727272727273</v>
      </c>
      <c r="AH114" s="123">
        <f>IFERROR(AuswertungH[[#This Row],[Volle H]]/AuswertungH[[#This Row],[Räumer H]]-2,"")</f>
        <v>-2.3255813953488413E-2</v>
      </c>
      <c r="AI114" s="117">
        <f>IFERROR(ROUND((AuswertungH[[#This Row],[Spiele H]]*60)/(AuswertungH[[#This Row],[Fehler H]]*AuswertungH[[#This Row],[Spiele H]]),0),"")</f>
        <v>9</v>
      </c>
      <c r="AJ114" s="123" t="str" cm="1">
        <f t="array" ref="AJ114">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14" s="267" t="str">
        <f>IFERROR(ROUND(AVERAGEIFS(Eingabe[MP],Eingabe[Diff],"&lt;15",Eingabe[Name],AuswertungH[[#This Row],[Name]],Eingabe[Wo],"H")-AuswertungH[[#This Row],[MP H]],2),"")</f>
        <v/>
      </c>
      <c r="AL114" s="117" t="str" cm="1">
        <f t="array" ref="AL114">IFERROR(ROUND(AVERAGE(_xlfn._xlws.FILTER(Eingabe[GES],(Eingabe[Name]=AuswertungH[[#This Row],[Name]])*(Eingabe[Wo]="H")*(Eingabe[GEGGES]&gt;(AuswertungH[[#This Row],[GES H]]+20))))-AuswertungH[[#This Row],[GES H]],0),"")</f>
        <v/>
      </c>
      <c r="AM114" s="117" cm="1">
        <f t="array" ref="AM114">IFERROR(ROUND(AVERAGE(_xlfn._xlws.FILTER(Eingabe[GES],(Eingabe[Name]=AuswertungH[[#This Row],[Name]])*(Eingabe[Wo]="H")*(Eingabe[GEGGES]&lt;(AuswertungH[[#This Row],[GES H]]-20))))-AuswertungH[[#This Row],[GES H]],0),"")</f>
        <v>0</v>
      </c>
    </row>
    <row r="115" spans="2:39" x14ac:dyDescent="0.3">
      <c r="B115" s="285" t="str">
        <f t="shared" si="2"/>
        <v>Ben Becker</v>
      </c>
      <c r="C115" s="119" t="str">
        <f>IF(AuswertungH[[#This Row],[Name]]="","",VLOOKUP(AuswertungH[[#This Row],[Name]],Teamzuordnung[[Name]:[Team]],2,TRUE))</f>
        <v>D</v>
      </c>
      <c r="D115" s="122">
        <f>COUNTIFS(Eingabe[Name],AuswertungH[[#This Row],[Name]],Eingabe[Wo],"H")</f>
        <v>0</v>
      </c>
      <c r="E115" s="117" t="str">
        <f>IF(AuswertungH[[#This Row],[Spiele H]]="","",IF(AuswertungH[[#This Row],[Spiele H]]-COUNTIFS(Eingabe[Name],AuswertungH[[#This Row],[Name]],Eingabe[MP],"",Eingabe[Wo],"H")=0,"",AuswertungH[[#This Row],[Spiele H]]-COUNTIFS(Eingabe[Name],AuswertungH[[#This Row],[Name]],Eingabe[MP],"",Eingabe[Wo],"H")))</f>
        <v/>
      </c>
      <c r="F115" s="117" t="str">
        <f>IFERROR(ROUND(AVERAGEIFS(Eingabe[Volle],Eingabe[Name],AuswertungH[[#This Row],[Name]],Eingabe[Wo],"H"),0),"")</f>
        <v/>
      </c>
      <c r="G115" s="117" t="str">
        <f>IFERROR(ROUND(AVERAGEIFS(Eingabe[Räumer],Eingabe[Name],AuswertungH[[#This Row],[Name]],Eingabe[Wo],"H"),0),"")</f>
        <v/>
      </c>
      <c r="H115" s="123" t="str">
        <f>IFERROR(ROUND(AVERAGEIFS(Eingabe[Fehler],Eingabe[Name],AuswertungH[[#This Row],[Name]],Eingabe[Wo],"H"),1),"")</f>
        <v/>
      </c>
      <c r="I115" s="117" t="str">
        <f>IFERROR(ROUND(AVERAGEIFS(Eingabe[GES],Eingabe[Name],AuswertungH[[#This Row],[Name]],Eingabe[Wo],"H"),0),"")</f>
        <v/>
      </c>
      <c r="J115" s="123" t="str">
        <f>IFERROR(ROUND(AVERAGEIFS(Eingabe[SP],Eingabe[Name],AuswertungH[[#This Row],[Name]],Eingabe[Wo],"H"),2),"")</f>
        <v/>
      </c>
      <c r="K115" s="121" t="str">
        <f>IFERROR(ROUND(AVERAGEIFS(Eingabe[MP],Eingabe[Name],AuswertungH[[#This Row],[Name]],Eingabe[Wo],"H"),2),"")</f>
        <v/>
      </c>
      <c r="L115" s="117" t="str">
        <f>IFERROR(ROUND(AVERAGEIFS(Eingabe[S1],Eingabe[Name],AuswertungH[[#This Row],[Name]],Eingabe[Wo],"H"),0),"")</f>
        <v/>
      </c>
      <c r="M115" s="268" t="str">
        <f>IFERROR(ROUND(AVERAGEIFS(Eingabe[S2],Eingabe[Name],AuswertungH[[#This Row],[Name]],Eingabe[Wo],"H"),0),"")</f>
        <v/>
      </c>
      <c r="N115" s="117" t="str">
        <f>IFERROR(ROUND(AVERAGEIFS(Eingabe[S3],Eingabe[Name],AuswertungH[[#This Row],[Name]],Eingabe[Wo],"H"),0),"")</f>
        <v/>
      </c>
      <c r="O115" s="268" t="str">
        <f>IFERROR(ROUND(AVERAGEIFS(Eingabe[S4],Eingabe[Name],AuswertungH[[#This Row],[Name]],Eingabe[Wo],"H"),0),"")</f>
        <v/>
      </c>
      <c r="P115" s="121" t="str">
        <f>IFERROR(ROUND(AVERAGEIFS(Eingabe[S1P],Eingabe[Name],AuswertungH[[#This Row],[Name]],Eingabe[Wo],"H"),2),"")</f>
        <v/>
      </c>
      <c r="Q115" s="121" t="str">
        <f>IFERROR(ROUND(AVERAGEIFS(Eingabe[S2P],Eingabe[Name],AuswertungH[[#This Row],[Name]],Eingabe[Wo],"H"),2),"")</f>
        <v/>
      </c>
      <c r="R115" s="121" t="str">
        <f>IFERROR(ROUND(AVERAGEIFS(Eingabe[S3P],Eingabe[Name],AuswertungH[[#This Row],[Name]],Eingabe[Wo],"H"),2),"")</f>
        <v/>
      </c>
      <c r="S115" s="121" t="str">
        <f>IFERROR(ROUND(AVERAGEIFS(Eingabe[S4P],Eingabe[Name],AuswertungH[[#This Row],[Name]],Eingabe[Wo],"H"),2),"")</f>
        <v/>
      </c>
      <c r="T115" s="123" cm="1">
        <f t="array" ref="T115">IFERROR(ROUND(SLOPE(_xlfn._xlws.FILTER(Eingabe[GES],(Eingabe[Name]=AuswertungH[[#This Row],[Name]])*(Eingabe[Wo]="H")),_xlfn._xlws.FILTER(Eingabe[KW],(Eingabe[Name]=AuswertungH[[#This Row],[Name]])*(Eingabe[Wo]="H"))),2),0)</f>
        <v>0</v>
      </c>
      <c r="U115" s="123" t="str" cm="1">
        <f t="array" ref="U115">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15" s="117" t="str" cm="1">
        <f t="array" ref="V115">IFERROR(ROUND(_xlfn.STDEV.P(_xlfn._xlws.FILTER(Eingabe[GES],(Eingabe[Name]=AuswertungH[[#This Row],[Name]])*(Eingabe[Wo]="H"))),0),"")</f>
        <v/>
      </c>
      <c r="W115" s="117" t="str">
        <f>IF(AuswertungH[[#This Row],[Spiele MP H]]="","",ROUND(AVERAGEIFS(Eingabe[GEGGES],Eingabe[Name],AuswertungH[[#This Row],[Name]],Eingabe[Wo],"H"),0))</f>
        <v/>
      </c>
      <c r="X115" s="123" t="str">
        <f>VLOOKUP(AuswertungH[[#This Row],[Name]],PositionH[],21,FALSE)</f>
        <v/>
      </c>
      <c r="Y115" s="123" t="str">
        <f>VLOOKUP(AuswertungH[[#This Row],[Name]],PositionH[],22,FALSE)</f>
        <v/>
      </c>
      <c r="Z115" s="123" t="str">
        <f>VLOOKUP(AuswertungH[[#This Row],[Name]],PositionH[],23,FALSE)</f>
        <v/>
      </c>
      <c r="AA115" s="121" t="str">
        <f>IF(AuswertungH[[#This Row],[Spiele MP H]]="","",ROUND(VLOOKUP(AuswertungH[[#This Row],[Name]],PositionH[],24,FALSE),2))</f>
        <v/>
      </c>
      <c r="AB115" s="123" t="str">
        <f>IFERROR(AVERAGEIFS(Eingabe[Rang],Eingabe[Name],AuswertungH[[#This Row],[Name]],Eingabe[Wo],"H"),"")</f>
        <v/>
      </c>
      <c r="AC115"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15" s="123" t="str" cm="1">
        <f t="array" ref="AD115">IFERROR(ROUND(MEDIAN(_xlfn._xlws.FILTER(Eingabe[GES],(Eingabe[Name]=AuswertungH[[#This Row],[Name]])*(Eingabe[Wo]="H"))),0),"")</f>
        <v/>
      </c>
      <c r="AE115" s="121" t="str">
        <f>IFERROR(AuswertungH[[#This Row],[STABW H]]/AuswertungH[[#This Row],[GES H]],"")</f>
        <v/>
      </c>
      <c r="AF115" s="123" t="str" cm="1">
        <f t="array" ref="AF115">IFERROR(ROUND(_xlfn.QUARTILE.INC(_xlfn._xlws.FILTER(Eingabe[GES],(Eingabe[Name]=AuswertungH[[#This Row],[Name]])*(Eingabe[Wo]="H")),3)-_xlfn.QUARTILE.INC(_xlfn._xlws.FILTER(Eingabe[GES],(Eingabe[Name]=AuswertungH[[#This Row],[Name]])*(Eingabe[Wo]="H")),1),0),"")</f>
        <v/>
      </c>
      <c r="AG115" s="123" t="str">
        <f>IFERROR(1/AuswertungH[[#This Row],[VK H]],"")</f>
        <v/>
      </c>
      <c r="AH115" s="123" t="str">
        <f>IFERROR(AuswertungH[[#This Row],[Volle H]]/AuswertungH[[#This Row],[Räumer H]]-2,"")</f>
        <v/>
      </c>
      <c r="AI115" s="117" t="str">
        <f>IFERROR(ROUND((AuswertungH[[#This Row],[Spiele H]]*60)/(AuswertungH[[#This Row],[Fehler H]]*AuswertungH[[#This Row],[Spiele H]]),0),"")</f>
        <v/>
      </c>
      <c r="AJ115" s="123" t="str" cm="1">
        <f t="array" ref="AJ115">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15" s="267" t="str">
        <f>IFERROR(ROUND(AVERAGEIFS(Eingabe[MP],Eingabe[Diff],"&lt;15",Eingabe[Name],AuswertungH[[#This Row],[Name]],Eingabe[Wo],"H")-AuswertungH[[#This Row],[MP H]],2),"")</f>
        <v/>
      </c>
      <c r="AL115" s="117" t="str" cm="1">
        <f t="array" ref="AL115">IFERROR(ROUND(AVERAGE(_xlfn._xlws.FILTER(Eingabe[GES],(Eingabe[Name]=AuswertungH[[#This Row],[Name]])*(Eingabe[Wo]="H")*(Eingabe[GEGGES]&gt;(AuswertungH[[#This Row],[GES H]]+20))))-AuswertungH[[#This Row],[GES H]],0),"")</f>
        <v/>
      </c>
      <c r="AM115" s="117" t="str" cm="1">
        <f t="array" ref="AM115">IFERROR(ROUND(AVERAGE(_xlfn._xlws.FILTER(Eingabe[GES],(Eingabe[Name]=AuswertungH[[#This Row],[Name]])*(Eingabe[Wo]="H")*(Eingabe[GEGGES]&lt;(AuswertungH[[#This Row],[GES H]]-20))))-AuswertungH[[#This Row],[GES H]],0),"")</f>
        <v/>
      </c>
    </row>
    <row r="116" spans="2:39" x14ac:dyDescent="0.3">
      <c r="B116" s="285" t="str">
        <f t="shared" si="2"/>
        <v>Ben Böhmer</v>
      </c>
      <c r="C116" s="119" t="str">
        <f>IF(AuswertungH[[#This Row],[Name]]="","",VLOOKUP(AuswertungH[[#This Row],[Name]],Teamzuordnung[[Name]:[Team]],2,TRUE))</f>
        <v>U14</v>
      </c>
      <c r="D116" s="122">
        <f>COUNTIFS(Eingabe[Name],AuswertungH[[#This Row],[Name]],Eingabe[Wo],"H")</f>
        <v>2</v>
      </c>
      <c r="E116" s="117" t="str">
        <f>IF(AuswertungH[[#This Row],[Spiele H]]="","",IF(AuswertungH[[#This Row],[Spiele H]]-COUNTIFS(Eingabe[Name],AuswertungH[[#This Row],[Name]],Eingabe[MP],"",Eingabe[Wo],"H")=0,"",AuswertungH[[#This Row],[Spiele H]]-COUNTIFS(Eingabe[Name],AuswertungH[[#This Row],[Name]],Eingabe[MP],"",Eingabe[Wo],"H")))</f>
        <v/>
      </c>
      <c r="F116" s="117">
        <f>IFERROR(ROUND(AVERAGEIFS(Eingabe[Volle],Eingabe[Name],AuswertungH[[#This Row],[Name]],Eingabe[Wo],"H"),0),"")</f>
        <v>254</v>
      </c>
      <c r="G116" s="117">
        <f>IFERROR(ROUND(AVERAGEIFS(Eingabe[Räumer],Eingabe[Name],AuswertungH[[#This Row],[Name]],Eingabe[Wo],"H"),0),"")</f>
        <v>78</v>
      </c>
      <c r="H116" s="123">
        <f>IFERROR(ROUND(AVERAGEIFS(Eingabe[Fehler],Eingabe[Name],AuswertungH[[#This Row],[Name]],Eingabe[Wo],"H"),1),"")</f>
        <v>40.5</v>
      </c>
      <c r="I116" s="117">
        <f>IFERROR(ROUND(AVERAGEIFS(Eingabe[GES],Eingabe[Name],AuswertungH[[#This Row],[Name]],Eingabe[Wo],"H"),0),"")</f>
        <v>332</v>
      </c>
      <c r="J116" s="123" t="str">
        <f>IFERROR(ROUND(AVERAGEIFS(Eingabe[SP],Eingabe[Name],AuswertungH[[#This Row],[Name]],Eingabe[Wo],"H"),2),"")</f>
        <v/>
      </c>
      <c r="K116" s="121" t="str">
        <f>IFERROR(ROUND(AVERAGEIFS(Eingabe[MP],Eingabe[Name],AuswertungH[[#This Row],[Name]],Eingabe[Wo],"H"),2),"")</f>
        <v/>
      </c>
      <c r="L116" s="117">
        <f>IFERROR(ROUND(AVERAGEIFS(Eingabe[S1],Eingabe[Name],AuswertungH[[#This Row],[Name]],Eingabe[Wo],"H"),0),"")</f>
        <v>78</v>
      </c>
      <c r="M116" s="268">
        <f>IFERROR(ROUND(AVERAGEIFS(Eingabe[S2],Eingabe[Name],AuswertungH[[#This Row],[Name]],Eingabe[Wo],"H"),0),"")</f>
        <v>94</v>
      </c>
      <c r="N116" s="117">
        <f>IFERROR(ROUND(AVERAGEIFS(Eingabe[S3],Eingabe[Name],AuswertungH[[#This Row],[Name]],Eingabe[Wo],"H"),0),"")</f>
        <v>74</v>
      </c>
      <c r="O116" s="268">
        <f>IFERROR(ROUND(AVERAGEIFS(Eingabe[S4],Eingabe[Name],AuswertungH[[#This Row],[Name]],Eingabe[Wo],"H"),0),"")</f>
        <v>87</v>
      </c>
      <c r="P116" s="121" t="str">
        <f>IFERROR(ROUND(AVERAGEIFS(Eingabe[S1P],Eingabe[Name],AuswertungH[[#This Row],[Name]],Eingabe[Wo],"H"),2),"")</f>
        <v/>
      </c>
      <c r="Q116" s="121" t="str">
        <f>IFERROR(ROUND(AVERAGEIFS(Eingabe[S2P],Eingabe[Name],AuswertungH[[#This Row],[Name]],Eingabe[Wo],"H"),2),"")</f>
        <v/>
      </c>
      <c r="R116" s="121" t="str">
        <f>IFERROR(ROUND(AVERAGEIFS(Eingabe[S3P],Eingabe[Name],AuswertungH[[#This Row],[Name]],Eingabe[Wo],"H"),2),"")</f>
        <v/>
      </c>
      <c r="S116" s="121" t="str">
        <f>IFERROR(ROUND(AVERAGEIFS(Eingabe[S4P],Eingabe[Name],AuswertungH[[#This Row],[Name]],Eingabe[Wo],"H"),2),"")</f>
        <v/>
      </c>
      <c r="T116" s="123" cm="1">
        <f t="array" ref="T116">IFERROR(ROUND(SLOPE(_xlfn._xlws.FILTER(Eingabe[GES],(Eingabe[Name]=AuswertungH[[#This Row],[Name]])*(Eingabe[Wo]="H")),_xlfn._xlws.FILTER(Eingabe[KW],(Eingabe[Name]=AuswertungH[[#This Row],[Name]])*(Eingabe[Wo]="H"))),2),0)</f>
        <v>0.5</v>
      </c>
      <c r="U116" s="123" cm="1">
        <f t="array" ref="U116">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0.5</v>
      </c>
      <c r="V116" s="117" cm="1">
        <f t="array" ref="V116">IFERROR(ROUND(_xlfn.STDEV.P(_xlfn._xlws.FILTER(Eingabe[GES],(Eingabe[Name]=AuswertungH[[#This Row],[Name]])*(Eingabe[Wo]="H"))),0),"")</f>
        <v>4</v>
      </c>
      <c r="W116" s="117" t="str">
        <f>IF(AuswertungH[[#This Row],[Spiele MP H]]="","",ROUND(AVERAGEIFS(Eingabe[GEGGES],Eingabe[Name],AuswertungH[[#This Row],[Name]],Eingabe[Wo],"H"),0))</f>
        <v/>
      </c>
      <c r="X116" s="123" t="str">
        <f>VLOOKUP(AuswertungH[[#This Row],[Name]],PositionH[],21,FALSE)</f>
        <v/>
      </c>
      <c r="Y116" s="123" t="str">
        <f>VLOOKUP(AuswertungH[[#This Row],[Name]],PositionH[],22,FALSE)</f>
        <v/>
      </c>
      <c r="Z116" s="123" t="str">
        <f>VLOOKUP(AuswertungH[[#This Row],[Name]],PositionH[],23,FALSE)</f>
        <v/>
      </c>
      <c r="AA116" s="121" t="str">
        <f>IF(AuswertungH[[#This Row],[Spiele MP H]]="","",ROUND(VLOOKUP(AuswertungH[[#This Row],[Name]],PositionH[],24,FALSE),2))</f>
        <v/>
      </c>
      <c r="AB116" s="123">
        <f>IFERROR(AVERAGEIFS(Eingabe[Rang],Eingabe[Name],AuswertungH[[#This Row],[Name]],Eingabe[Wo],"H"),"")</f>
        <v>5</v>
      </c>
      <c r="AC116"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16" s="123" cm="1">
        <f t="array" ref="AD116">IFERROR(ROUND(MEDIAN(_xlfn._xlws.FILTER(Eingabe[GES],(Eingabe[Name]=AuswertungH[[#This Row],[Name]])*(Eingabe[Wo]="H"))),0),"")</f>
        <v>332</v>
      </c>
      <c r="AE116" s="121">
        <f>IFERROR(AuswertungH[[#This Row],[STABW H]]/AuswertungH[[#This Row],[GES H]],"")</f>
        <v>1.2048192771084338E-2</v>
      </c>
      <c r="AF116" s="123" cm="1">
        <f t="array" ref="AF116">IFERROR(ROUND(_xlfn.QUARTILE.INC(_xlfn._xlws.FILTER(Eingabe[GES],(Eingabe[Name]=AuswertungH[[#This Row],[Name]])*(Eingabe[Wo]="H")),3)-_xlfn.QUARTILE.INC(_xlfn._xlws.FILTER(Eingabe[GES],(Eingabe[Name]=AuswertungH[[#This Row],[Name]])*(Eingabe[Wo]="H")),1),0),"")</f>
        <v>4</v>
      </c>
      <c r="AG116" s="123">
        <f>IFERROR(1/AuswertungH[[#This Row],[VK H]],"")</f>
        <v>83</v>
      </c>
      <c r="AH116" s="123">
        <f>IFERROR(AuswertungH[[#This Row],[Volle H]]/AuswertungH[[#This Row],[Räumer H]]-2,"")</f>
        <v>1.2564102564102564</v>
      </c>
      <c r="AI116" s="117">
        <f>IFERROR(ROUND((AuswertungH[[#This Row],[Spiele H]]*60)/(AuswertungH[[#This Row],[Fehler H]]*AuswertungH[[#This Row],[Spiele H]]),0),"")</f>
        <v>1</v>
      </c>
      <c r="AJ116" s="123" t="str" cm="1">
        <f t="array" ref="AJ116">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16" s="267" t="str">
        <f>IFERROR(ROUND(AVERAGEIFS(Eingabe[MP],Eingabe[Diff],"&lt;15",Eingabe[Name],AuswertungH[[#This Row],[Name]],Eingabe[Wo],"H")-AuswertungH[[#This Row],[MP H]],2),"")</f>
        <v/>
      </c>
      <c r="AL116" s="117" t="str" cm="1">
        <f t="array" ref="AL116">IFERROR(ROUND(AVERAGE(_xlfn._xlws.FILTER(Eingabe[GES],(Eingabe[Name]=AuswertungH[[#This Row],[Name]])*(Eingabe[Wo]="H")*(Eingabe[GEGGES]&gt;(AuswertungH[[#This Row],[GES H]]+20))))-AuswertungH[[#This Row],[GES H]],0),"")</f>
        <v/>
      </c>
      <c r="AM116" s="117" cm="1">
        <f t="array" ref="AM116">IFERROR(ROUND(AVERAGE(_xlfn._xlws.FILTER(Eingabe[GES],(Eingabe[Name]=AuswertungH[[#This Row],[Name]])*(Eingabe[Wo]="H")*(Eingabe[GEGGES]&lt;(AuswertungH[[#This Row],[GES H]]-20))))-AuswertungH[[#This Row],[GES H]],0),"")</f>
        <v>0</v>
      </c>
    </row>
    <row r="117" spans="2:39" x14ac:dyDescent="0.3">
      <c r="B117" s="285" t="str">
        <f t="shared" si="2"/>
        <v>Bruno Bergelt</v>
      </c>
      <c r="C117" s="119" t="str">
        <f>IF(AuswertungH[[#This Row],[Name]]="","",VLOOKUP(AuswertungH[[#This Row],[Name]],Teamzuordnung[[Name]:[Team]],2,TRUE))</f>
        <v>U14</v>
      </c>
      <c r="D117" s="122">
        <f>COUNTIFS(Eingabe[Name],AuswertungH[[#This Row],[Name]],Eingabe[Wo],"H")</f>
        <v>1</v>
      </c>
      <c r="E117" s="117" t="str">
        <f>IF(AuswertungH[[#This Row],[Spiele H]]="","",IF(AuswertungH[[#This Row],[Spiele H]]-COUNTIFS(Eingabe[Name],AuswertungH[[#This Row],[Name]],Eingabe[MP],"",Eingabe[Wo],"H")=0,"",AuswertungH[[#This Row],[Spiele H]]-COUNTIFS(Eingabe[Name],AuswertungH[[#This Row],[Name]],Eingabe[MP],"",Eingabe[Wo],"H")))</f>
        <v/>
      </c>
      <c r="F117" s="117">
        <f>IFERROR(ROUND(AVERAGEIFS(Eingabe[Volle],Eingabe[Name],AuswertungH[[#This Row],[Name]],Eingabe[Wo],"H"),0),"")</f>
        <v>275</v>
      </c>
      <c r="G117" s="117">
        <f>IFERROR(ROUND(AVERAGEIFS(Eingabe[Räumer],Eingabe[Name],AuswertungH[[#This Row],[Name]],Eingabe[Wo],"H"),0),"")</f>
        <v>123</v>
      </c>
      <c r="H117" s="123">
        <f>IFERROR(ROUND(AVERAGEIFS(Eingabe[Fehler],Eingabe[Name],AuswertungH[[#This Row],[Name]],Eingabe[Wo],"H"),1),"")</f>
        <v>18</v>
      </c>
      <c r="I117" s="117">
        <f>IFERROR(ROUND(AVERAGEIFS(Eingabe[GES],Eingabe[Name],AuswertungH[[#This Row],[Name]],Eingabe[Wo],"H"),0),"")</f>
        <v>398</v>
      </c>
      <c r="J117" s="123" t="str">
        <f>IFERROR(ROUND(AVERAGEIFS(Eingabe[SP],Eingabe[Name],AuswertungH[[#This Row],[Name]],Eingabe[Wo],"H"),2),"")</f>
        <v/>
      </c>
      <c r="K117" s="121" t="str">
        <f>IFERROR(ROUND(AVERAGEIFS(Eingabe[MP],Eingabe[Name],AuswertungH[[#This Row],[Name]],Eingabe[Wo],"H"),2),"")</f>
        <v/>
      </c>
      <c r="L117" s="117">
        <f>IFERROR(ROUND(AVERAGEIFS(Eingabe[S1],Eingabe[Name],AuswertungH[[#This Row],[Name]],Eingabe[Wo],"H"),0),"")</f>
        <v>104</v>
      </c>
      <c r="M117" s="268">
        <f>IFERROR(ROUND(AVERAGEIFS(Eingabe[S2],Eingabe[Name],AuswertungH[[#This Row],[Name]],Eingabe[Wo],"H"),0),"")</f>
        <v>96</v>
      </c>
      <c r="N117" s="117">
        <f>IFERROR(ROUND(AVERAGEIFS(Eingabe[S3],Eingabe[Name],AuswertungH[[#This Row],[Name]],Eingabe[Wo],"H"),0),"")</f>
        <v>101</v>
      </c>
      <c r="O117" s="268">
        <f>IFERROR(ROUND(AVERAGEIFS(Eingabe[S4],Eingabe[Name],AuswertungH[[#This Row],[Name]],Eingabe[Wo],"H"),0),"")</f>
        <v>97</v>
      </c>
      <c r="P117" s="121" t="str">
        <f>IFERROR(ROUND(AVERAGEIFS(Eingabe[S1P],Eingabe[Name],AuswertungH[[#This Row],[Name]],Eingabe[Wo],"H"),2),"")</f>
        <v/>
      </c>
      <c r="Q117" s="121" t="str">
        <f>IFERROR(ROUND(AVERAGEIFS(Eingabe[S2P],Eingabe[Name],AuswertungH[[#This Row],[Name]],Eingabe[Wo],"H"),2),"")</f>
        <v/>
      </c>
      <c r="R117" s="121" t="str">
        <f>IFERROR(ROUND(AVERAGEIFS(Eingabe[S3P],Eingabe[Name],AuswertungH[[#This Row],[Name]],Eingabe[Wo],"H"),2),"")</f>
        <v/>
      </c>
      <c r="S117" s="121" t="str">
        <f>IFERROR(ROUND(AVERAGEIFS(Eingabe[S4P],Eingabe[Name],AuswertungH[[#This Row],[Name]],Eingabe[Wo],"H"),2),"")</f>
        <v/>
      </c>
      <c r="T117" s="123" cm="1">
        <f t="array" ref="T117">IFERROR(ROUND(SLOPE(_xlfn._xlws.FILTER(Eingabe[GES],(Eingabe[Name]=AuswertungH[[#This Row],[Name]])*(Eingabe[Wo]="H")),_xlfn._xlws.FILTER(Eingabe[KW],(Eingabe[Name]=AuswertungH[[#This Row],[Name]])*(Eingabe[Wo]="H"))),2),0)</f>
        <v>0</v>
      </c>
      <c r="U117" s="123" t="str" cm="1">
        <f t="array" ref="U117">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17" s="117" cm="1">
        <f t="array" ref="V117">IFERROR(ROUND(_xlfn.STDEV.P(_xlfn._xlws.FILTER(Eingabe[GES],(Eingabe[Name]=AuswertungH[[#This Row],[Name]])*(Eingabe[Wo]="H"))),0),"")</f>
        <v>0</v>
      </c>
      <c r="W117" s="117" t="str">
        <f>IF(AuswertungH[[#This Row],[Spiele MP H]]="","",ROUND(AVERAGEIFS(Eingabe[GEGGES],Eingabe[Name],AuswertungH[[#This Row],[Name]],Eingabe[Wo],"H"),0))</f>
        <v/>
      </c>
      <c r="X117" s="123" t="str">
        <f>VLOOKUP(AuswertungH[[#This Row],[Name]],PositionH[],21,FALSE)</f>
        <v/>
      </c>
      <c r="Y117" s="123" t="str">
        <f>VLOOKUP(AuswertungH[[#This Row],[Name]],PositionH[],22,FALSE)</f>
        <v/>
      </c>
      <c r="Z117" s="123" t="str">
        <f>VLOOKUP(AuswertungH[[#This Row],[Name]],PositionH[],23,FALSE)</f>
        <v/>
      </c>
      <c r="AA117" s="121" t="str">
        <f>IF(AuswertungH[[#This Row],[Spiele MP H]]="","",ROUND(VLOOKUP(AuswertungH[[#This Row],[Name]],PositionH[],24,FALSE),2))</f>
        <v/>
      </c>
      <c r="AB117" s="123" t="str">
        <f>IFERROR(AVERAGEIFS(Eingabe[Rang],Eingabe[Name],AuswertungH[[#This Row],[Name]],Eingabe[Wo],"H"),"")</f>
        <v/>
      </c>
      <c r="AC117"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17" s="123" cm="1">
        <f t="array" ref="AD117">IFERROR(ROUND(MEDIAN(_xlfn._xlws.FILTER(Eingabe[GES],(Eingabe[Name]=AuswertungH[[#This Row],[Name]])*(Eingabe[Wo]="H"))),0),"")</f>
        <v>398</v>
      </c>
      <c r="AE117" s="121">
        <f>IFERROR(AuswertungH[[#This Row],[STABW H]]/AuswertungH[[#This Row],[GES H]],"")</f>
        <v>0</v>
      </c>
      <c r="AF117" s="123" cm="1">
        <f t="array" ref="AF117">IFERROR(ROUND(_xlfn.QUARTILE.INC(_xlfn._xlws.FILTER(Eingabe[GES],(Eingabe[Name]=AuswertungH[[#This Row],[Name]])*(Eingabe[Wo]="H")),3)-_xlfn.QUARTILE.INC(_xlfn._xlws.FILTER(Eingabe[GES],(Eingabe[Name]=AuswertungH[[#This Row],[Name]])*(Eingabe[Wo]="H")),1),0),"")</f>
        <v>0</v>
      </c>
      <c r="AG117" s="123" t="str">
        <f>IFERROR(1/AuswertungH[[#This Row],[VK H]],"")</f>
        <v/>
      </c>
      <c r="AH117" s="123">
        <f>IFERROR(AuswertungH[[#This Row],[Volle H]]/AuswertungH[[#This Row],[Räumer H]]-2,"")</f>
        <v>0.2357723577235773</v>
      </c>
      <c r="AI117" s="117">
        <f>IFERROR(ROUND((AuswertungH[[#This Row],[Spiele H]]*60)/(AuswertungH[[#This Row],[Fehler H]]*AuswertungH[[#This Row],[Spiele H]]),0),"")</f>
        <v>3</v>
      </c>
      <c r="AJ117" s="123" t="str" cm="1">
        <f t="array" ref="AJ117">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17" s="267" t="str">
        <f>IFERROR(ROUND(AVERAGEIFS(Eingabe[MP],Eingabe[Diff],"&lt;15",Eingabe[Name],AuswertungH[[#This Row],[Name]],Eingabe[Wo],"H")-AuswertungH[[#This Row],[MP H]],2),"")</f>
        <v/>
      </c>
      <c r="AL117" s="117" t="str" cm="1">
        <f t="array" ref="AL117">IFERROR(ROUND(AVERAGE(_xlfn._xlws.FILTER(Eingabe[GES],(Eingabe[Name]=AuswertungH[[#This Row],[Name]])*(Eingabe[Wo]="H")*(Eingabe[GEGGES]&gt;(AuswertungH[[#This Row],[GES H]]+20))))-AuswertungH[[#This Row],[GES H]],0),"")</f>
        <v/>
      </c>
      <c r="AM117" s="117" cm="1">
        <f t="array" ref="AM117">IFERROR(ROUND(AVERAGE(_xlfn._xlws.FILTER(Eingabe[GES],(Eingabe[Name]=AuswertungH[[#This Row],[Name]])*(Eingabe[Wo]="H")*(Eingabe[GEGGES]&lt;(AuswertungH[[#This Row],[GES H]]-20))))-AuswertungH[[#This Row],[GES H]],0),"")</f>
        <v>0</v>
      </c>
    </row>
    <row r="118" spans="2:39" x14ac:dyDescent="0.3">
      <c r="B118" s="285" t="str">
        <f t="shared" si="2"/>
        <v>Cora Keller</v>
      </c>
      <c r="C118" s="119" t="str">
        <f>IF(AuswertungH[[#This Row],[Name]]="","",VLOOKUP(AuswertungH[[#This Row],[Name]],Teamzuordnung[[Name]:[Team]],2,TRUE))</f>
        <v>U19</v>
      </c>
      <c r="D118" s="122">
        <f>COUNTIFS(Eingabe[Name],AuswertungH[[#This Row],[Name]],Eingabe[Wo],"H")</f>
        <v>5</v>
      </c>
      <c r="E118" s="117">
        <f>IF(AuswertungH[[#This Row],[Spiele H]]="","",IF(AuswertungH[[#This Row],[Spiele H]]-COUNTIFS(Eingabe[Name],AuswertungH[[#This Row],[Name]],Eingabe[MP],"",Eingabe[Wo],"H")=0,"",AuswertungH[[#This Row],[Spiele H]]-COUNTIFS(Eingabe[Name],AuswertungH[[#This Row],[Name]],Eingabe[MP],"",Eingabe[Wo],"H")))</f>
        <v>2</v>
      </c>
      <c r="F118" s="117">
        <f>IFERROR(ROUND(AVERAGEIFS(Eingabe[Volle],Eingabe[Name],AuswertungH[[#This Row],[Name]],Eingabe[Wo],"H"),0),"")</f>
        <v>341</v>
      </c>
      <c r="G118" s="117">
        <f>IFERROR(ROUND(AVERAGEIFS(Eingabe[Räumer],Eingabe[Name],AuswertungH[[#This Row],[Name]],Eingabe[Wo],"H"),0),"")</f>
        <v>156</v>
      </c>
      <c r="H118" s="123">
        <f>IFERROR(ROUND(AVERAGEIFS(Eingabe[Fehler],Eingabe[Name],AuswertungH[[#This Row],[Name]],Eingabe[Wo],"H"),1),"")</f>
        <v>10</v>
      </c>
      <c r="I118" s="117">
        <f>IFERROR(ROUND(AVERAGEIFS(Eingabe[GES],Eingabe[Name],AuswertungH[[#This Row],[Name]],Eingabe[Wo],"H"),0),"")</f>
        <v>498</v>
      </c>
      <c r="J118" s="123">
        <f>IFERROR(ROUND(AVERAGEIFS(Eingabe[SP],Eingabe[Name],AuswertungH[[#This Row],[Name]],Eingabe[Wo],"H"),2),"")</f>
        <v>2</v>
      </c>
      <c r="K118" s="121">
        <f>IFERROR(ROUND(AVERAGEIFS(Eingabe[MP],Eingabe[Name],AuswertungH[[#This Row],[Name]],Eingabe[Wo],"H"),2),"")</f>
        <v>0.5</v>
      </c>
      <c r="L118" s="117">
        <f>IFERROR(ROUND(AVERAGEIFS(Eingabe[S1],Eingabe[Name],AuswertungH[[#This Row],[Name]],Eingabe[Wo],"H"),0),"")</f>
        <v>124</v>
      </c>
      <c r="M118" s="268">
        <f>IFERROR(ROUND(AVERAGEIFS(Eingabe[S2],Eingabe[Name],AuswertungH[[#This Row],[Name]],Eingabe[Wo],"H"),0),"")</f>
        <v>121</v>
      </c>
      <c r="N118" s="117">
        <f>IFERROR(ROUND(AVERAGEIFS(Eingabe[S3],Eingabe[Name],AuswertungH[[#This Row],[Name]],Eingabe[Wo],"H"),0),"")</f>
        <v>127</v>
      </c>
      <c r="O118" s="268">
        <f>IFERROR(ROUND(AVERAGEIFS(Eingabe[S4],Eingabe[Name],AuswertungH[[#This Row],[Name]],Eingabe[Wo],"H"),0),"")</f>
        <v>126</v>
      </c>
      <c r="P118" s="121">
        <f>IFERROR(ROUND(AVERAGEIFS(Eingabe[S1P],Eingabe[Name],AuswertungH[[#This Row],[Name]],Eingabe[Wo],"H"),2),"")</f>
        <v>0.5</v>
      </c>
      <c r="Q118" s="121">
        <f>IFERROR(ROUND(AVERAGEIFS(Eingabe[S2P],Eingabe[Name],AuswertungH[[#This Row],[Name]],Eingabe[Wo],"H"),2),"")</f>
        <v>0</v>
      </c>
      <c r="R118" s="121">
        <f>IFERROR(ROUND(AVERAGEIFS(Eingabe[S3P],Eingabe[Name],AuswertungH[[#This Row],[Name]],Eingabe[Wo],"H"),2),"")</f>
        <v>0.5</v>
      </c>
      <c r="S118" s="121">
        <f>IFERROR(ROUND(AVERAGEIFS(Eingabe[S4P],Eingabe[Name],AuswertungH[[#This Row],[Name]],Eingabe[Wo],"H"),2),"")</f>
        <v>1</v>
      </c>
      <c r="T118" s="123" cm="1">
        <f t="array" ref="T118">IFERROR(ROUND(SLOPE(_xlfn._xlws.FILTER(Eingabe[GES],(Eingabe[Name]=AuswertungH[[#This Row],[Name]])*(Eingabe[Wo]="H")),_xlfn._xlws.FILTER(Eingabe[KW],(Eingabe[Name]=AuswertungH[[#This Row],[Name]])*(Eingabe[Wo]="H"))),2),0)</f>
        <v>1.22</v>
      </c>
      <c r="U118" s="123" cm="1">
        <f t="array" ref="U118">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-1.08</v>
      </c>
      <c r="V118" s="117" cm="1">
        <f t="array" ref="V118">IFERROR(ROUND(_xlfn.STDEV.P(_xlfn._xlws.FILTER(Eingabe[GES],(Eingabe[Name]=AuswertungH[[#This Row],[Name]])*(Eingabe[Wo]="H"))),0),"")</f>
        <v>25</v>
      </c>
      <c r="W118" s="117">
        <f>IF(AuswertungH[[#This Row],[Spiele MP H]]="","",ROUND(AVERAGEIFS(Eingabe[GEGGES],Eingabe[Name],AuswertungH[[#This Row],[Name]],Eingabe[Wo],"H"),0))</f>
        <v>472</v>
      </c>
      <c r="X118" s="123" t="str">
        <f>VLOOKUP(AuswertungH[[#This Row],[Name]],PositionH[],21,FALSE)</f>
        <v>[1][2]</v>
      </c>
      <c r="Y118" s="123">
        <f>VLOOKUP(AuswertungH[[#This Row],[Name]],PositionH[],22,FALSE)</f>
        <v>1</v>
      </c>
      <c r="Z118" s="123" t="str">
        <f>VLOOKUP(AuswertungH[[#This Row],[Name]],PositionH[],23,FALSE)</f>
        <v>[1]</v>
      </c>
      <c r="AA118" s="121">
        <f>IF(AuswertungH[[#This Row],[Spiele MP H]]="","",ROUND(VLOOKUP(AuswertungH[[#This Row],[Name]],PositionH[],24,FALSE),2))</f>
        <v>1</v>
      </c>
      <c r="AB118" s="123">
        <f>IFERROR(AVERAGEIFS(Eingabe[Rang],Eingabe[Name],AuswertungH[[#This Row],[Name]],Eingabe[Wo],"H"),"")</f>
        <v>3.5</v>
      </c>
      <c r="AC118"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129 [3]</v>
      </c>
      <c r="AD118" s="123" cm="1">
        <f t="array" ref="AD118">IFERROR(ROUND(MEDIAN(_xlfn._xlws.FILTER(Eingabe[GES],(Eingabe[Name]=AuswertungH[[#This Row],[Name]])*(Eingabe[Wo]="H"))),0),"")</f>
        <v>494</v>
      </c>
      <c r="AE118" s="121">
        <f>IFERROR(AuswertungH[[#This Row],[STABW H]]/AuswertungH[[#This Row],[GES H]],"")</f>
        <v>5.0200803212851405E-2</v>
      </c>
      <c r="AF118" s="123" cm="1">
        <f t="array" ref="AF118">IFERROR(ROUND(_xlfn.QUARTILE.INC(_xlfn._xlws.FILTER(Eingabe[GES],(Eingabe[Name]=AuswertungH[[#This Row],[Name]])*(Eingabe[Wo]="H")),3)-_xlfn.QUARTILE.INC(_xlfn._xlws.FILTER(Eingabe[GES],(Eingabe[Name]=AuswertungH[[#This Row],[Name]])*(Eingabe[Wo]="H")),1),0),"")</f>
        <v>30</v>
      </c>
      <c r="AG118" s="123">
        <f>IFERROR(1/AuswertungH[[#This Row],[VK H]],"")</f>
        <v>19.920000000000002</v>
      </c>
      <c r="AH118" s="123">
        <f>IFERROR(AuswertungH[[#This Row],[Volle H]]/AuswertungH[[#This Row],[Räumer H]]-2,"")</f>
        <v>0.18589743589743568</v>
      </c>
      <c r="AI118" s="117">
        <f>IFERROR(ROUND((AuswertungH[[#This Row],[Spiele H]]*60)/(AuswertungH[[#This Row],[Fehler H]]*AuswertungH[[#This Row],[Spiele H]]),0),"")</f>
        <v>6</v>
      </c>
      <c r="AJ118" s="123" t="str" cm="1">
        <f t="array" ref="AJ118">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18" s="267" t="str">
        <f>IFERROR(ROUND(AVERAGEIFS(Eingabe[MP],Eingabe[Diff],"&lt;15",Eingabe[Name],AuswertungH[[#This Row],[Name]],Eingabe[Wo],"H")-AuswertungH[[#This Row],[MP H]],2),"")</f>
        <v/>
      </c>
      <c r="AL118" s="117" t="str" cm="1">
        <f t="array" ref="AL118">IFERROR(ROUND(AVERAGE(_xlfn._xlws.FILTER(Eingabe[GES],(Eingabe[Name]=AuswertungH[[#This Row],[Name]])*(Eingabe[Wo]="H")*(Eingabe[GEGGES]&gt;(AuswertungH[[#This Row],[GES H]]+20))))-AuswertungH[[#This Row],[GES H]],0),"")</f>
        <v/>
      </c>
      <c r="AM118" s="117" cm="1">
        <f t="array" ref="AM118">IFERROR(ROUND(AVERAGE(_xlfn._xlws.FILTER(Eingabe[GES],(Eingabe[Name]=AuswertungH[[#This Row],[Name]])*(Eingabe[Wo]="H")*(Eingabe[GEGGES]&lt;(AuswertungH[[#This Row],[GES H]]-20))))-AuswertungH[[#This Row],[GES H]],0),"")</f>
        <v>10</v>
      </c>
    </row>
    <row r="119" spans="2:39" x14ac:dyDescent="0.3">
      <c r="B119" s="285" t="str">
        <f t="shared" si="2"/>
        <v>Dietmar Klose</v>
      </c>
      <c r="C119" s="119" t="str">
        <f>IF(AuswertungH[[#This Row],[Name]]="","",VLOOKUP(AuswertungH[[#This Row],[Name]],Teamzuordnung[[Name]:[Team]],2,TRUE))</f>
        <v>D</v>
      </c>
      <c r="D119" s="122">
        <f>COUNTIFS(Eingabe[Name],AuswertungH[[#This Row],[Name]],Eingabe[Wo],"H")</f>
        <v>0</v>
      </c>
      <c r="E119" s="117" t="str">
        <f>IF(AuswertungH[[#This Row],[Spiele H]]="","",IF(AuswertungH[[#This Row],[Spiele H]]-COUNTIFS(Eingabe[Name],AuswertungH[[#This Row],[Name]],Eingabe[MP],"",Eingabe[Wo],"H")=0,"",AuswertungH[[#This Row],[Spiele H]]-COUNTIFS(Eingabe[Name],AuswertungH[[#This Row],[Name]],Eingabe[MP],"",Eingabe[Wo],"H")))</f>
        <v/>
      </c>
      <c r="F119" s="117" t="str">
        <f>IFERROR(ROUND(AVERAGEIFS(Eingabe[Volle],Eingabe[Name],AuswertungH[[#This Row],[Name]],Eingabe[Wo],"H"),0),"")</f>
        <v/>
      </c>
      <c r="G119" s="117" t="str">
        <f>IFERROR(ROUND(AVERAGEIFS(Eingabe[Räumer],Eingabe[Name],AuswertungH[[#This Row],[Name]],Eingabe[Wo],"H"),0),"")</f>
        <v/>
      </c>
      <c r="H119" s="123" t="str">
        <f>IFERROR(ROUND(AVERAGEIFS(Eingabe[Fehler],Eingabe[Name],AuswertungH[[#This Row],[Name]],Eingabe[Wo],"H"),1),"")</f>
        <v/>
      </c>
      <c r="I119" s="117" t="str">
        <f>IFERROR(ROUND(AVERAGEIFS(Eingabe[GES],Eingabe[Name],AuswertungH[[#This Row],[Name]],Eingabe[Wo],"H"),0),"")</f>
        <v/>
      </c>
      <c r="J119" s="123" t="str">
        <f>IFERROR(ROUND(AVERAGEIFS(Eingabe[SP],Eingabe[Name],AuswertungH[[#This Row],[Name]],Eingabe[Wo],"H"),2),"")</f>
        <v/>
      </c>
      <c r="K119" s="121" t="str">
        <f>IFERROR(ROUND(AVERAGEIFS(Eingabe[MP],Eingabe[Name],AuswertungH[[#This Row],[Name]],Eingabe[Wo],"H"),2),"")</f>
        <v/>
      </c>
      <c r="L119" s="117" t="str">
        <f>IFERROR(ROUND(AVERAGEIFS(Eingabe[S1],Eingabe[Name],AuswertungH[[#This Row],[Name]],Eingabe[Wo],"H"),0),"")</f>
        <v/>
      </c>
      <c r="M119" s="268" t="str">
        <f>IFERROR(ROUND(AVERAGEIFS(Eingabe[S2],Eingabe[Name],AuswertungH[[#This Row],[Name]],Eingabe[Wo],"H"),0),"")</f>
        <v/>
      </c>
      <c r="N119" s="117" t="str">
        <f>IFERROR(ROUND(AVERAGEIFS(Eingabe[S3],Eingabe[Name],AuswertungH[[#This Row],[Name]],Eingabe[Wo],"H"),0),"")</f>
        <v/>
      </c>
      <c r="O119" s="268" t="str">
        <f>IFERROR(ROUND(AVERAGEIFS(Eingabe[S4],Eingabe[Name],AuswertungH[[#This Row],[Name]],Eingabe[Wo],"H"),0),"")</f>
        <v/>
      </c>
      <c r="P119" s="121" t="str">
        <f>IFERROR(ROUND(AVERAGEIFS(Eingabe[S1P],Eingabe[Name],AuswertungH[[#This Row],[Name]],Eingabe[Wo],"H"),2),"")</f>
        <v/>
      </c>
      <c r="Q119" s="121" t="str">
        <f>IFERROR(ROUND(AVERAGEIFS(Eingabe[S2P],Eingabe[Name],AuswertungH[[#This Row],[Name]],Eingabe[Wo],"H"),2),"")</f>
        <v/>
      </c>
      <c r="R119" s="121" t="str">
        <f>IFERROR(ROUND(AVERAGEIFS(Eingabe[S3P],Eingabe[Name],AuswertungH[[#This Row],[Name]],Eingabe[Wo],"H"),2),"")</f>
        <v/>
      </c>
      <c r="S119" s="121" t="str">
        <f>IFERROR(ROUND(AVERAGEIFS(Eingabe[S4P],Eingabe[Name],AuswertungH[[#This Row],[Name]],Eingabe[Wo],"H"),2),"")</f>
        <v/>
      </c>
      <c r="T119" s="123" cm="1">
        <f t="array" ref="T119">IFERROR(ROUND(SLOPE(_xlfn._xlws.FILTER(Eingabe[GES],(Eingabe[Name]=AuswertungH[[#This Row],[Name]])*(Eingabe[Wo]="H")),_xlfn._xlws.FILTER(Eingabe[KW],(Eingabe[Name]=AuswertungH[[#This Row],[Name]])*(Eingabe[Wo]="H"))),2),0)</f>
        <v>0</v>
      </c>
      <c r="U119" s="123" t="str" cm="1">
        <f t="array" ref="U119">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19" s="117" t="str" cm="1">
        <f t="array" ref="V119">IFERROR(ROUND(_xlfn.STDEV.P(_xlfn._xlws.FILTER(Eingabe[GES],(Eingabe[Name]=AuswertungH[[#This Row],[Name]])*(Eingabe[Wo]="H"))),0),"")</f>
        <v/>
      </c>
      <c r="W119" s="117" t="str">
        <f>IF(AuswertungH[[#This Row],[Spiele MP H]]="","",ROUND(AVERAGEIFS(Eingabe[GEGGES],Eingabe[Name],AuswertungH[[#This Row],[Name]],Eingabe[Wo],"H"),0))</f>
        <v/>
      </c>
      <c r="X119" s="123" t="str">
        <f>VLOOKUP(AuswertungH[[#This Row],[Name]],PositionH[],21,FALSE)</f>
        <v/>
      </c>
      <c r="Y119" s="123" t="str">
        <f>VLOOKUP(AuswertungH[[#This Row],[Name]],PositionH[],22,FALSE)</f>
        <v/>
      </c>
      <c r="Z119" s="123" t="str">
        <f>VLOOKUP(AuswertungH[[#This Row],[Name]],PositionH[],23,FALSE)</f>
        <v/>
      </c>
      <c r="AA119" s="121" t="str">
        <f>IF(AuswertungH[[#This Row],[Spiele MP H]]="","",ROUND(VLOOKUP(AuswertungH[[#This Row],[Name]],PositionH[],24,FALSE),2))</f>
        <v/>
      </c>
      <c r="AB119" s="123" t="str">
        <f>IFERROR(AVERAGEIFS(Eingabe[Rang],Eingabe[Name],AuswertungH[[#This Row],[Name]],Eingabe[Wo],"H"),"")</f>
        <v/>
      </c>
      <c r="AC119"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19" s="123" t="str" cm="1">
        <f t="array" ref="AD119">IFERROR(ROUND(MEDIAN(_xlfn._xlws.FILTER(Eingabe[GES],(Eingabe[Name]=AuswertungH[[#This Row],[Name]])*(Eingabe[Wo]="H"))),0),"")</f>
        <v/>
      </c>
      <c r="AE119" s="121" t="str">
        <f>IFERROR(AuswertungH[[#This Row],[STABW H]]/AuswertungH[[#This Row],[GES H]],"")</f>
        <v/>
      </c>
      <c r="AF119" s="123" t="str" cm="1">
        <f t="array" ref="AF119">IFERROR(ROUND(_xlfn.QUARTILE.INC(_xlfn._xlws.FILTER(Eingabe[GES],(Eingabe[Name]=AuswertungH[[#This Row],[Name]])*(Eingabe[Wo]="H")),3)-_xlfn.QUARTILE.INC(_xlfn._xlws.FILTER(Eingabe[GES],(Eingabe[Name]=AuswertungH[[#This Row],[Name]])*(Eingabe[Wo]="H")),1),0),"")</f>
        <v/>
      </c>
      <c r="AG119" s="123" t="str">
        <f>IFERROR(1/AuswertungH[[#This Row],[VK H]],"")</f>
        <v/>
      </c>
      <c r="AH119" s="123" t="str">
        <f>IFERROR(AuswertungH[[#This Row],[Volle H]]/AuswertungH[[#This Row],[Räumer H]]-2,"")</f>
        <v/>
      </c>
      <c r="AI119" s="117" t="str">
        <f>IFERROR(ROUND((AuswertungH[[#This Row],[Spiele H]]*60)/(AuswertungH[[#This Row],[Fehler H]]*AuswertungH[[#This Row],[Spiele H]]),0),"")</f>
        <v/>
      </c>
      <c r="AJ119" s="123" t="str" cm="1">
        <f t="array" ref="AJ119">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19" s="267" t="str">
        <f>IFERROR(ROUND(AVERAGEIFS(Eingabe[MP],Eingabe[Diff],"&lt;15",Eingabe[Name],AuswertungH[[#This Row],[Name]],Eingabe[Wo],"H")-AuswertungH[[#This Row],[MP H]],2),"")</f>
        <v/>
      </c>
      <c r="AL119" s="117" t="str" cm="1">
        <f t="array" ref="AL119">IFERROR(ROUND(AVERAGE(_xlfn._xlws.FILTER(Eingabe[GES],(Eingabe[Name]=AuswertungH[[#This Row],[Name]])*(Eingabe[Wo]="H")*(Eingabe[GEGGES]&gt;(AuswertungH[[#This Row],[GES H]]+20))))-AuswertungH[[#This Row],[GES H]],0),"")</f>
        <v/>
      </c>
      <c r="AM119" s="117" t="str" cm="1">
        <f t="array" ref="AM119">IFERROR(ROUND(AVERAGE(_xlfn._xlws.FILTER(Eingabe[GES],(Eingabe[Name]=AuswertungH[[#This Row],[Name]])*(Eingabe[Wo]="H")*(Eingabe[GEGGES]&lt;(AuswertungH[[#This Row],[GES H]]-20))))-AuswertungH[[#This Row],[GES H]],0),"")</f>
        <v/>
      </c>
    </row>
    <row r="120" spans="2:39" x14ac:dyDescent="0.3">
      <c r="B120" s="285" t="str">
        <f t="shared" si="2"/>
        <v>Emelie Schiffel</v>
      </c>
      <c r="C120" s="119" t="str">
        <f>IF(AuswertungH[[#This Row],[Name]]="","",VLOOKUP(AuswertungH[[#This Row],[Name]],Teamzuordnung[[Name]:[Team]],2,TRUE))</f>
        <v>U14</v>
      </c>
      <c r="D120" s="122">
        <f>COUNTIFS(Eingabe[Name],AuswertungH[[#This Row],[Name]],Eingabe[Wo],"H")</f>
        <v>2</v>
      </c>
      <c r="E120" s="117" t="str">
        <f>IF(AuswertungH[[#This Row],[Spiele H]]="","",IF(AuswertungH[[#This Row],[Spiele H]]-COUNTIFS(Eingabe[Name],AuswertungH[[#This Row],[Name]],Eingabe[MP],"",Eingabe[Wo],"H")=0,"",AuswertungH[[#This Row],[Spiele H]]-COUNTIFS(Eingabe[Name],AuswertungH[[#This Row],[Name]],Eingabe[MP],"",Eingabe[Wo],"H")))</f>
        <v/>
      </c>
      <c r="F120" s="117">
        <f>IFERROR(ROUND(AVERAGEIFS(Eingabe[Volle],Eingabe[Name],AuswertungH[[#This Row],[Name]],Eingabe[Wo],"H"),0),"")</f>
        <v>288</v>
      </c>
      <c r="G120" s="117">
        <f>IFERROR(ROUND(AVERAGEIFS(Eingabe[Räumer],Eingabe[Name],AuswertungH[[#This Row],[Name]],Eingabe[Wo],"H"),0),"")</f>
        <v>120</v>
      </c>
      <c r="H120" s="123">
        <f>IFERROR(ROUND(AVERAGEIFS(Eingabe[Fehler],Eingabe[Name],AuswertungH[[#This Row],[Name]],Eingabe[Wo],"H"),1),"")</f>
        <v>18</v>
      </c>
      <c r="I120" s="117">
        <f>IFERROR(ROUND(AVERAGEIFS(Eingabe[GES],Eingabe[Name],AuswertungH[[#This Row],[Name]],Eingabe[Wo],"H"),0),"")</f>
        <v>408</v>
      </c>
      <c r="J120" s="123" t="str">
        <f>IFERROR(ROUND(AVERAGEIFS(Eingabe[SP],Eingabe[Name],AuswertungH[[#This Row],[Name]],Eingabe[Wo],"H"),2),"")</f>
        <v/>
      </c>
      <c r="K120" s="121" t="str">
        <f>IFERROR(ROUND(AVERAGEIFS(Eingabe[MP],Eingabe[Name],AuswertungH[[#This Row],[Name]],Eingabe[Wo],"H"),2),"")</f>
        <v/>
      </c>
      <c r="L120" s="117">
        <f>IFERROR(ROUND(AVERAGEIFS(Eingabe[S1],Eingabe[Name],AuswertungH[[#This Row],[Name]],Eingabe[Wo],"H"),0),"")</f>
        <v>102</v>
      </c>
      <c r="M120" s="268">
        <f>IFERROR(ROUND(AVERAGEIFS(Eingabe[S2],Eingabe[Name],AuswertungH[[#This Row],[Name]],Eingabe[Wo],"H"),0),"")</f>
        <v>101</v>
      </c>
      <c r="N120" s="117">
        <f>IFERROR(ROUND(AVERAGEIFS(Eingabe[S3],Eingabe[Name],AuswertungH[[#This Row],[Name]],Eingabe[Wo],"H"),0),"")</f>
        <v>100</v>
      </c>
      <c r="O120" s="268">
        <f>IFERROR(ROUND(AVERAGEIFS(Eingabe[S4],Eingabe[Name],AuswertungH[[#This Row],[Name]],Eingabe[Wo],"H"),0),"")</f>
        <v>106</v>
      </c>
      <c r="P120" s="121" t="str">
        <f>IFERROR(ROUND(AVERAGEIFS(Eingabe[S1P],Eingabe[Name],AuswertungH[[#This Row],[Name]],Eingabe[Wo],"H"),2),"")</f>
        <v/>
      </c>
      <c r="Q120" s="121" t="str">
        <f>IFERROR(ROUND(AVERAGEIFS(Eingabe[S2P],Eingabe[Name],AuswertungH[[#This Row],[Name]],Eingabe[Wo],"H"),2),"")</f>
        <v/>
      </c>
      <c r="R120" s="121" t="str">
        <f>IFERROR(ROUND(AVERAGEIFS(Eingabe[S3P],Eingabe[Name],AuswertungH[[#This Row],[Name]],Eingabe[Wo],"H"),2),"")</f>
        <v/>
      </c>
      <c r="S120" s="121" t="str">
        <f>IFERROR(ROUND(AVERAGEIFS(Eingabe[S4P],Eingabe[Name],AuswertungH[[#This Row],[Name]],Eingabe[Wo],"H"),2),"")</f>
        <v/>
      </c>
      <c r="T120" s="123" cm="1">
        <f t="array" ref="T120">IFERROR(ROUND(SLOPE(_xlfn._xlws.FILTER(Eingabe[GES],(Eingabe[Name]=AuswertungH[[#This Row],[Name]])*(Eingabe[Wo]="H")),_xlfn._xlws.FILTER(Eingabe[KW],(Eingabe[Name]=AuswertungH[[#This Row],[Name]])*(Eingabe[Wo]="H"))),2),0)</f>
        <v>-2.63</v>
      </c>
      <c r="U120" s="123" cm="1">
        <f t="array" ref="U120">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-2.63</v>
      </c>
      <c r="V120" s="117" cm="1">
        <f t="array" ref="V120">IFERROR(ROUND(_xlfn.STDEV.P(_xlfn._xlws.FILTER(Eingabe[GES],(Eingabe[Name]=AuswertungH[[#This Row],[Name]])*(Eingabe[Wo]="H"))),0),"")</f>
        <v>21</v>
      </c>
      <c r="W120" s="117" t="str">
        <f>IF(AuswertungH[[#This Row],[Spiele MP H]]="","",ROUND(AVERAGEIFS(Eingabe[GEGGES],Eingabe[Name],AuswertungH[[#This Row],[Name]],Eingabe[Wo],"H"),0))</f>
        <v/>
      </c>
      <c r="X120" s="123" t="str">
        <f>VLOOKUP(AuswertungH[[#This Row],[Name]],PositionH[],21,FALSE)</f>
        <v/>
      </c>
      <c r="Y120" s="123" t="str">
        <f>VLOOKUP(AuswertungH[[#This Row],[Name]],PositionH[],22,FALSE)</f>
        <v/>
      </c>
      <c r="Z120" s="123" t="str">
        <f>VLOOKUP(AuswertungH[[#This Row],[Name]],PositionH[],23,FALSE)</f>
        <v/>
      </c>
      <c r="AA120" s="121" t="str">
        <f>IF(AuswertungH[[#This Row],[Spiele MP H]]="","",ROUND(VLOOKUP(AuswertungH[[#This Row],[Name]],PositionH[],24,FALSE),2))</f>
        <v/>
      </c>
      <c r="AB120" s="123">
        <f>IFERROR(AVERAGEIFS(Eingabe[Rang],Eingabe[Name],AuswertungH[[#This Row],[Name]],Eingabe[Wo],"H"),"")</f>
        <v>1</v>
      </c>
      <c r="AC120"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20" s="123" cm="1">
        <f t="array" ref="AD120">IFERROR(ROUND(MEDIAN(_xlfn._xlws.FILTER(Eingabe[GES],(Eingabe[Name]=AuswertungH[[#This Row],[Name]])*(Eingabe[Wo]="H"))),0),"")</f>
        <v>408</v>
      </c>
      <c r="AE120" s="121">
        <f>IFERROR(AuswertungH[[#This Row],[STABW H]]/AuswertungH[[#This Row],[GES H]],"")</f>
        <v>5.1470588235294115E-2</v>
      </c>
      <c r="AF120" s="123" cm="1">
        <f t="array" ref="AF120">IFERROR(ROUND(_xlfn.QUARTILE.INC(_xlfn._xlws.FILTER(Eingabe[GES],(Eingabe[Name]=AuswertungH[[#This Row],[Name]])*(Eingabe[Wo]="H")),3)-_xlfn.QUARTILE.INC(_xlfn._xlws.FILTER(Eingabe[GES],(Eingabe[Name]=AuswertungH[[#This Row],[Name]])*(Eingabe[Wo]="H")),1),0),"")</f>
        <v>21</v>
      </c>
      <c r="AG120" s="123">
        <f>IFERROR(1/AuswertungH[[#This Row],[VK H]],"")</f>
        <v>19.428571428571431</v>
      </c>
      <c r="AH120" s="123">
        <f>IFERROR(AuswertungH[[#This Row],[Volle H]]/AuswertungH[[#This Row],[Räumer H]]-2,"")</f>
        <v>0.39999999999999991</v>
      </c>
      <c r="AI120" s="117">
        <f>IFERROR(ROUND((AuswertungH[[#This Row],[Spiele H]]*60)/(AuswertungH[[#This Row],[Fehler H]]*AuswertungH[[#This Row],[Spiele H]]),0),"")</f>
        <v>3</v>
      </c>
      <c r="AJ120" s="123" t="str" cm="1">
        <f t="array" ref="AJ120">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20" s="267" t="str">
        <f>IFERROR(ROUND(AVERAGEIFS(Eingabe[MP],Eingabe[Diff],"&lt;15",Eingabe[Name],AuswertungH[[#This Row],[Name]],Eingabe[Wo],"H")-AuswertungH[[#This Row],[MP H]],2),"")</f>
        <v/>
      </c>
      <c r="AL120" s="117" t="str" cm="1">
        <f t="array" ref="AL120">IFERROR(ROUND(AVERAGE(_xlfn._xlws.FILTER(Eingabe[GES],(Eingabe[Name]=AuswertungH[[#This Row],[Name]])*(Eingabe[Wo]="H")*(Eingabe[GEGGES]&gt;(AuswertungH[[#This Row],[GES H]]+20))))-AuswertungH[[#This Row],[GES H]],0),"")</f>
        <v/>
      </c>
      <c r="AM120" s="117" cm="1">
        <f t="array" ref="AM120">IFERROR(ROUND(AVERAGE(_xlfn._xlws.FILTER(Eingabe[GES],(Eingabe[Name]=AuswertungH[[#This Row],[Name]])*(Eingabe[Wo]="H")*(Eingabe[GEGGES]&lt;(AuswertungH[[#This Row],[GES H]]-20))))-AuswertungH[[#This Row],[GES H]],0),"")</f>
        <v>0</v>
      </c>
    </row>
    <row r="121" spans="2:39" x14ac:dyDescent="0.3">
      <c r="B121" s="285" t="str">
        <f t="shared" si="2"/>
        <v>Emma Hettmann</v>
      </c>
      <c r="C121" s="119" t="str">
        <f>IF(AuswertungH[[#This Row],[Name]]="","",VLOOKUP(AuswertungH[[#This Row],[Name]],Teamzuordnung[[Name]:[Team]],2,TRUE))</f>
        <v>U19</v>
      </c>
      <c r="D121" s="122">
        <f>COUNTIFS(Eingabe[Name],AuswertungH[[#This Row],[Name]],Eingabe[Wo],"H")</f>
        <v>5</v>
      </c>
      <c r="E121" s="117">
        <f>IF(AuswertungH[[#This Row],[Spiele H]]="","",IF(AuswertungH[[#This Row],[Spiele H]]-COUNTIFS(Eingabe[Name],AuswertungH[[#This Row],[Name]],Eingabe[MP],"",Eingabe[Wo],"H")=0,"",AuswertungH[[#This Row],[Spiele H]]-COUNTIFS(Eingabe[Name],AuswertungH[[#This Row],[Name]],Eingabe[MP],"",Eingabe[Wo],"H")))</f>
        <v>1</v>
      </c>
      <c r="F121" s="117">
        <f>IFERROR(ROUND(AVERAGEIFS(Eingabe[Volle],Eingabe[Name],AuswertungH[[#This Row],[Name]],Eingabe[Wo],"H"),0),"")</f>
        <v>350</v>
      </c>
      <c r="G121" s="117">
        <f>IFERROR(ROUND(AVERAGEIFS(Eingabe[Räumer],Eingabe[Name],AuswertungH[[#This Row],[Name]],Eingabe[Wo],"H"),0),"")</f>
        <v>169</v>
      </c>
      <c r="H121" s="123">
        <f>IFERROR(ROUND(AVERAGEIFS(Eingabe[Fehler],Eingabe[Name],AuswertungH[[#This Row],[Name]],Eingabe[Wo],"H"),1),"")</f>
        <v>7.6</v>
      </c>
      <c r="I121" s="117">
        <f>IFERROR(ROUND(AVERAGEIFS(Eingabe[GES],Eingabe[Name],AuswertungH[[#This Row],[Name]],Eingabe[Wo],"H"),0),"")</f>
        <v>520</v>
      </c>
      <c r="J121" s="123">
        <f>IFERROR(ROUND(AVERAGEIFS(Eingabe[SP],Eingabe[Name],AuswertungH[[#This Row],[Name]],Eingabe[Wo],"H"),2),"")</f>
        <v>4</v>
      </c>
      <c r="K121" s="121">
        <f>IFERROR(ROUND(AVERAGEIFS(Eingabe[MP],Eingabe[Name],AuswertungH[[#This Row],[Name]],Eingabe[Wo],"H"),2),"")</f>
        <v>1</v>
      </c>
      <c r="L121" s="117">
        <f>IFERROR(ROUND(AVERAGEIFS(Eingabe[S1],Eingabe[Name],AuswertungH[[#This Row],[Name]],Eingabe[Wo],"H"),0),"")</f>
        <v>137</v>
      </c>
      <c r="M121" s="268">
        <f>IFERROR(ROUND(AVERAGEIFS(Eingabe[S2],Eingabe[Name],AuswertungH[[#This Row],[Name]],Eingabe[Wo],"H"),0),"")</f>
        <v>130</v>
      </c>
      <c r="N121" s="117">
        <f>IFERROR(ROUND(AVERAGEIFS(Eingabe[S3],Eingabe[Name],AuswertungH[[#This Row],[Name]],Eingabe[Wo],"H"),0),"")</f>
        <v>129</v>
      </c>
      <c r="O121" s="268">
        <f>IFERROR(ROUND(AVERAGEIFS(Eingabe[S4],Eingabe[Name],AuswertungH[[#This Row],[Name]],Eingabe[Wo],"H"),0),"")</f>
        <v>132</v>
      </c>
      <c r="P121" s="121">
        <f>IFERROR(ROUND(AVERAGEIFS(Eingabe[S1P],Eingabe[Name],AuswertungH[[#This Row],[Name]],Eingabe[Wo],"H"),2),"")</f>
        <v>1</v>
      </c>
      <c r="Q121" s="121">
        <f>IFERROR(ROUND(AVERAGEIFS(Eingabe[S2P],Eingabe[Name],AuswertungH[[#This Row],[Name]],Eingabe[Wo],"H"),2),"")</f>
        <v>1</v>
      </c>
      <c r="R121" s="121">
        <f>IFERROR(ROUND(AVERAGEIFS(Eingabe[S3P],Eingabe[Name],AuswertungH[[#This Row],[Name]],Eingabe[Wo],"H"),2),"")</f>
        <v>1</v>
      </c>
      <c r="S121" s="121">
        <f>IFERROR(ROUND(AVERAGEIFS(Eingabe[S4P],Eingabe[Name],AuswertungH[[#This Row],[Name]],Eingabe[Wo],"H"),2),"")</f>
        <v>1</v>
      </c>
      <c r="T121" s="123" cm="1">
        <f t="array" ref="T121">IFERROR(ROUND(SLOPE(_xlfn._xlws.FILTER(Eingabe[GES],(Eingabe[Name]=AuswertungH[[#This Row],[Name]])*(Eingabe[Wo]="H")),_xlfn._xlws.FILTER(Eingabe[KW],(Eingabe[Name]=AuswertungH[[#This Row],[Name]])*(Eingabe[Wo]="H"))),2),0)</f>
        <v>4.1900000000000004</v>
      </c>
      <c r="U121" s="123" cm="1">
        <f t="array" ref="U121">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6.25</v>
      </c>
      <c r="V121" s="117" cm="1">
        <f t="array" ref="V121">IFERROR(ROUND(_xlfn.STDEV.P(_xlfn._xlws.FILTER(Eingabe[GES],(Eingabe[Name]=AuswertungH[[#This Row],[Name]])*(Eingabe[Wo]="H"))),0),"")</f>
        <v>29</v>
      </c>
      <c r="W121" s="117">
        <f>IF(AuswertungH[[#This Row],[Spiele MP H]]="","",ROUND(AVERAGEIFS(Eingabe[GEGGES],Eingabe[Name],AuswertungH[[#This Row],[Name]],Eingabe[Wo],"H"),0))</f>
        <v>445</v>
      </c>
      <c r="X121" s="123" t="str">
        <f>VLOOKUP(AuswertungH[[#This Row],[Name]],PositionH[],21,FALSE)</f>
        <v>[3]</v>
      </c>
      <c r="Y121" s="123">
        <f>VLOOKUP(AuswertungH[[#This Row],[Name]],PositionH[],22,FALSE)</f>
        <v>1</v>
      </c>
      <c r="Z121" s="123" t="str">
        <f>VLOOKUP(AuswertungH[[#This Row],[Name]],PositionH[],23,FALSE)</f>
        <v>[3]</v>
      </c>
      <c r="AA121" s="121">
        <f>IF(AuswertungH[[#This Row],[Spiele MP H]]="","",ROUND(VLOOKUP(AuswertungH[[#This Row],[Name]],PositionH[],24,FALSE),2))</f>
        <v>1</v>
      </c>
      <c r="AB121" s="123">
        <f>IFERROR(AVERAGEIFS(Eingabe[Rang],Eingabe[Name],AuswertungH[[#This Row],[Name]],Eingabe[Wo],"H"),"")</f>
        <v>1.6666666666666667</v>
      </c>
      <c r="AC121"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137 [1]</v>
      </c>
      <c r="AD121" s="123" cm="1">
        <f t="array" ref="AD121">IFERROR(ROUND(MEDIAN(_xlfn._xlws.FILTER(Eingabe[GES],(Eingabe[Name]=AuswertungH[[#This Row],[Name]])*(Eingabe[Wo]="H"))),0),"")</f>
        <v>509</v>
      </c>
      <c r="AE121" s="121">
        <f>IFERROR(AuswertungH[[#This Row],[STABW H]]/AuswertungH[[#This Row],[GES H]],"")</f>
        <v>5.5769230769230772E-2</v>
      </c>
      <c r="AF121" s="123" cm="1">
        <f t="array" ref="AF121">IFERROR(ROUND(_xlfn.QUARTILE.INC(_xlfn._xlws.FILTER(Eingabe[GES],(Eingabe[Name]=AuswertungH[[#This Row],[Name]])*(Eingabe[Wo]="H")),3)-_xlfn.QUARTILE.INC(_xlfn._xlws.FILTER(Eingabe[GES],(Eingabe[Name]=AuswertungH[[#This Row],[Name]])*(Eingabe[Wo]="H")),1),0),"")</f>
        <v>50</v>
      </c>
      <c r="AG121" s="123">
        <f>IFERROR(1/AuswertungH[[#This Row],[VK H]],"")</f>
        <v>17.931034482758619</v>
      </c>
      <c r="AH121" s="123">
        <f>IFERROR(AuswertungH[[#This Row],[Volle H]]/AuswertungH[[#This Row],[Räumer H]]-2,"")</f>
        <v>7.1005917159763232E-2</v>
      </c>
      <c r="AI121" s="117">
        <f>IFERROR(ROUND((AuswertungH[[#This Row],[Spiele H]]*60)/(AuswertungH[[#This Row],[Fehler H]]*AuswertungH[[#This Row],[Spiele H]]),0),"")</f>
        <v>8</v>
      </c>
      <c r="AJ121" s="123" t="str" cm="1">
        <f t="array" ref="AJ121">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21" s="267" t="str">
        <f>IFERROR(ROUND(AVERAGEIFS(Eingabe[MP],Eingabe[Diff],"&lt;15",Eingabe[Name],AuswertungH[[#This Row],[Name]],Eingabe[Wo],"H")-AuswertungH[[#This Row],[MP H]],2),"")</f>
        <v/>
      </c>
      <c r="AL121" s="117" t="str" cm="1">
        <f t="array" ref="AL121">IFERROR(ROUND(AVERAGE(_xlfn._xlws.FILTER(Eingabe[GES],(Eingabe[Name]=AuswertungH[[#This Row],[Name]])*(Eingabe[Wo]="H")*(Eingabe[GEGGES]&gt;(AuswertungH[[#This Row],[GES H]]+20))))-AuswertungH[[#This Row],[GES H]],0),"")</f>
        <v/>
      </c>
      <c r="AM121" s="117" cm="1">
        <f t="array" ref="AM121">IFERROR(ROUND(AVERAGE(_xlfn._xlws.FILTER(Eingabe[GES],(Eingabe[Name]=AuswertungH[[#This Row],[Name]])*(Eingabe[Wo]="H")*(Eingabe[GEGGES]&lt;(AuswertungH[[#This Row],[GES H]]-20))))-AuswertungH[[#This Row],[GES H]],0),"")</f>
        <v>0</v>
      </c>
    </row>
    <row r="122" spans="2:39" x14ac:dyDescent="0.3">
      <c r="B122" s="285" t="str">
        <f t="shared" si="2"/>
        <v>Erik Krutak</v>
      </c>
      <c r="C122" s="119" t="str">
        <f>IF(AuswertungH[[#This Row],[Name]]="","",VLOOKUP(AuswertungH[[#This Row],[Name]],Teamzuordnung[[Name]:[Team]],2,TRUE))</f>
        <v>Z</v>
      </c>
      <c r="D122" s="122">
        <f>COUNTIFS(Eingabe[Name],AuswertungH[[#This Row],[Name]],Eingabe[Wo],"H")</f>
        <v>5</v>
      </c>
      <c r="E122" s="117">
        <f>IF(AuswertungH[[#This Row],[Spiele H]]="","",IF(AuswertungH[[#This Row],[Spiele H]]-COUNTIFS(Eingabe[Name],AuswertungH[[#This Row],[Name]],Eingabe[MP],"",Eingabe[Wo],"H")=0,"",AuswertungH[[#This Row],[Spiele H]]-COUNTIFS(Eingabe[Name],AuswertungH[[#This Row],[Name]],Eingabe[MP],"",Eingabe[Wo],"H")))</f>
        <v>5</v>
      </c>
      <c r="F122" s="117">
        <f>IFERROR(ROUND(AVERAGEIFS(Eingabe[Volle],Eingabe[Name],AuswertungH[[#This Row],[Name]],Eingabe[Wo],"H"),0),"")</f>
        <v>357</v>
      </c>
      <c r="G122" s="117">
        <f>IFERROR(ROUND(AVERAGEIFS(Eingabe[Räumer],Eingabe[Name],AuswertungH[[#This Row],[Name]],Eingabe[Wo],"H"),0),"")</f>
        <v>162</v>
      </c>
      <c r="H122" s="123">
        <f>IFERROR(ROUND(AVERAGEIFS(Eingabe[Fehler],Eingabe[Name],AuswertungH[[#This Row],[Name]],Eingabe[Wo],"H"),1),"")</f>
        <v>6.6</v>
      </c>
      <c r="I122" s="117">
        <f>IFERROR(ROUND(AVERAGEIFS(Eingabe[GES],Eingabe[Name],AuswertungH[[#This Row],[Name]],Eingabe[Wo],"H"),0),"")</f>
        <v>519</v>
      </c>
      <c r="J122" s="123">
        <f>IFERROR(ROUND(AVERAGEIFS(Eingabe[SP],Eingabe[Name],AuswertungH[[#This Row],[Name]],Eingabe[Wo],"H"),2),"")</f>
        <v>2.6</v>
      </c>
      <c r="K122" s="121">
        <f>IFERROR(ROUND(AVERAGEIFS(Eingabe[MP],Eingabe[Name],AuswertungH[[#This Row],[Name]],Eingabe[Wo],"H"),2),"")</f>
        <v>0.6</v>
      </c>
      <c r="L122" s="117">
        <f>IFERROR(ROUND(AVERAGEIFS(Eingabe[S1],Eingabe[Name],AuswertungH[[#This Row],[Name]],Eingabe[Wo],"H"),0),"")</f>
        <v>121</v>
      </c>
      <c r="M122" s="268">
        <f>IFERROR(ROUND(AVERAGEIFS(Eingabe[S2],Eingabe[Name],AuswertungH[[#This Row],[Name]],Eingabe[Wo],"H"),0),"")</f>
        <v>129</v>
      </c>
      <c r="N122" s="117">
        <f>IFERROR(ROUND(AVERAGEIFS(Eingabe[S3],Eingabe[Name],AuswertungH[[#This Row],[Name]],Eingabe[Wo],"H"),0),"")</f>
        <v>135</v>
      </c>
      <c r="O122" s="268">
        <f>IFERROR(ROUND(AVERAGEIFS(Eingabe[S4],Eingabe[Name],AuswertungH[[#This Row],[Name]],Eingabe[Wo],"H"),0),"")</f>
        <v>134</v>
      </c>
      <c r="P122" s="121">
        <f>IFERROR(ROUND(AVERAGEIFS(Eingabe[S1P],Eingabe[Name],AuswertungH[[#This Row],[Name]],Eingabe[Wo],"H"),2),"")</f>
        <v>0.2</v>
      </c>
      <c r="Q122" s="121">
        <f>IFERROR(ROUND(AVERAGEIFS(Eingabe[S2P],Eingabe[Name],AuswertungH[[#This Row],[Name]],Eingabe[Wo],"H"),2),"")</f>
        <v>0.8</v>
      </c>
      <c r="R122" s="121">
        <f>IFERROR(ROUND(AVERAGEIFS(Eingabe[S3P],Eingabe[Name],AuswertungH[[#This Row],[Name]],Eingabe[Wo],"H"),2),"")</f>
        <v>1</v>
      </c>
      <c r="S122" s="121">
        <f>IFERROR(ROUND(AVERAGEIFS(Eingabe[S4P],Eingabe[Name],AuswertungH[[#This Row],[Name]],Eingabe[Wo],"H"),2),"")</f>
        <v>0.6</v>
      </c>
      <c r="T122" s="123" cm="1">
        <f t="array" ref="T122">IFERROR(ROUND(SLOPE(_xlfn._xlws.FILTER(Eingabe[GES],(Eingabe[Name]=AuswertungH[[#This Row],[Name]])*(Eingabe[Wo]="H")),_xlfn._xlws.FILTER(Eingabe[KW],(Eingabe[Name]=AuswertungH[[#This Row],[Name]])*(Eingabe[Wo]="H"))),2),0)</f>
        <v>1.45</v>
      </c>
      <c r="U122" s="123" cm="1">
        <f t="array" ref="U122">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3.88</v>
      </c>
      <c r="V122" s="117" cm="1">
        <f t="array" ref="V122">IFERROR(ROUND(_xlfn.STDEV.P(_xlfn._xlws.FILTER(Eingabe[GES],(Eingabe[Name]=AuswertungH[[#This Row],[Name]])*(Eingabe[Wo]="H"))),0),"")</f>
        <v>15</v>
      </c>
      <c r="W122" s="117">
        <f>IF(AuswertungH[[#This Row],[Spiele MP H]]="","",ROUND(AVERAGEIFS(Eingabe[GEGGES],Eingabe[Name],AuswertungH[[#This Row],[Name]],Eingabe[Wo],"H"),0))</f>
        <v>491</v>
      </c>
      <c r="X122" s="123" t="str">
        <f>VLOOKUP(AuswertungH[[#This Row],[Name]],PositionH[],21,FALSE)</f>
        <v>[3][6]</v>
      </c>
      <c r="Y122" s="123">
        <f>VLOOKUP(AuswertungH[[#This Row],[Name]],PositionH[],22,FALSE)</f>
        <v>2</v>
      </c>
      <c r="Z122" s="123" t="str">
        <f>VLOOKUP(AuswertungH[[#This Row],[Name]],PositionH[],23,FALSE)</f>
        <v>[6]</v>
      </c>
      <c r="AA122" s="121">
        <f>IF(AuswertungH[[#This Row],[Spiele MP H]]="","",ROUND(VLOOKUP(AuswertungH[[#This Row],[Name]],PositionH[],24,FALSE),2))</f>
        <v>1</v>
      </c>
      <c r="AB122" s="123">
        <f>IFERROR(AVERAGEIFS(Eingabe[Rang],Eingabe[Name],AuswertungH[[#This Row],[Name]],Eingabe[Wo],"H"),"")</f>
        <v>3</v>
      </c>
      <c r="AC122"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139 [2]</v>
      </c>
      <c r="AD122" s="123" cm="1">
        <f t="array" ref="AD122">IFERROR(ROUND(MEDIAN(_xlfn._xlws.FILTER(Eingabe[GES],(Eingabe[Name]=AuswertungH[[#This Row],[Name]])*(Eingabe[Wo]="H"))),0),"")</f>
        <v>524</v>
      </c>
      <c r="AE122" s="121">
        <f>IFERROR(AuswertungH[[#This Row],[STABW H]]/AuswertungH[[#This Row],[GES H]],"")</f>
        <v>2.8901734104046242E-2</v>
      </c>
      <c r="AF122" s="123" cm="1">
        <f t="array" ref="AF122">IFERROR(ROUND(_xlfn.QUARTILE.INC(_xlfn._xlws.FILTER(Eingabe[GES],(Eingabe[Name]=AuswertungH[[#This Row],[Name]])*(Eingabe[Wo]="H")),3)-_xlfn.QUARTILE.INC(_xlfn._xlws.FILTER(Eingabe[GES],(Eingabe[Name]=AuswertungH[[#This Row],[Name]])*(Eingabe[Wo]="H")),1),0),"")</f>
        <v>23</v>
      </c>
      <c r="AG122" s="123">
        <f>IFERROR(1/AuswertungH[[#This Row],[VK H]],"")</f>
        <v>34.6</v>
      </c>
      <c r="AH122" s="123">
        <f>IFERROR(AuswertungH[[#This Row],[Volle H]]/AuswertungH[[#This Row],[Räumer H]]-2,"")</f>
        <v>0.20370370370370372</v>
      </c>
      <c r="AI122" s="117">
        <f>IFERROR(ROUND((AuswertungH[[#This Row],[Spiele H]]*60)/(AuswertungH[[#This Row],[Fehler H]]*AuswertungH[[#This Row],[Spiele H]]),0),"")</f>
        <v>9</v>
      </c>
      <c r="AJ122" s="123" cm="1">
        <f t="array" ref="AJ122">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-0.5</v>
      </c>
      <c r="AK122" s="267">
        <f>IFERROR(ROUND(AVERAGEIFS(Eingabe[MP],Eingabe[Diff],"&lt;15",Eingabe[Name],AuswertungH[[#This Row],[Name]],Eingabe[Wo],"H")-AuswertungH[[#This Row],[MP H]],2),"")</f>
        <v>-0.1</v>
      </c>
      <c r="AL122" s="117" t="str" cm="1">
        <f t="array" ref="AL122">IFERROR(ROUND(AVERAGE(_xlfn._xlws.FILTER(Eingabe[GES],(Eingabe[Name]=AuswertungH[[#This Row],[Name]])*(Eingabe[Wo]="H")*(Eingabe[GEGGES]&gt;(AuswertungH[[#This Row],[GES H]]+20))))-AuswertungH[[#This Row],[GES H]],0),"")</f>
        <v/>
      </c>
      <c r="AM122" s="117" cm="1">
        <f t="array" ref="AM122">IFERROR(ROUND(AVERAGE(_xlfn._xlws.FILTER(Eingabe[GES],(Eingabe[Name]=AuswertungH[[#This Row],[Name]])*(Eingabe[Wo]="H")*(Eingabe[GEGGES]&lt;(AuswertungH[[#This Row],[GES H]]-20))))-AuswertungH[[#This Row],[GES H]],0),"")</f>
        <v>15</v>
      </c>
    </row>
    <row r="123" spans="2:39" x14ac:dyDescent="0.3">
      <c r="B123" s="285" t="str">
        <f t="shared" si="2"/>
        <v>Florian Jäger</v>
      </c>
      <c r="C123" s="119" t="str">
        <f>IF(AuswertungH[[#This Row],[Name]]="","",VLOOKUP(AuswertungH[[#This Row],[Name]],Teamzuordnung[[Name]:[Team]],2,TRUE))</f>
        <v>D</v>
      </c>
      <c r="D123" s="122">
        <f>COUNTIFS(Eingabe[Name],AuswertungH[[#This Row],[Name]],Eingabe[Wo],"H")</f>
        <v>1</v>
      </c>
      <c r="E123" s="117">
        <f>IF(AuswertungH[[#This Row],[Spiele H]]="","",IF(AuswertungH[[#This Row],[Spiele H]]-COUNTIFS(Eingabe[Name],AuswertungH[[#This Row],[Name]],Eingabe[MP],"",Eingabe[Wo],"H")=0,"",AuswertungH[[#This Row],[Spiele H]]-COUNTIFS(Eingabe[Name],AuswertungH[[#This Row],[Name]],Eingabe[MP],"",Eingabe[Wo],"H")))</f>
        <v>1</v>
      </c>
      <c r="F123" s="117">
        <f>IFERROR(ROUND(AVERAGEIFS(Eingabe[Volle],Eingabe[Name],AuswertungH[[#This Row],[Name]],Eingabe[Wo],"H"),0),"")</f>
        <v>324</v>
      </c>
      <c r="G123" s="117">
        <f>IFERROR(ROUND(AVERAGEIFS(Eingabe[Räumer],Eingabe[Name],AuswertungH[[#This Row],[Name]],Eingabe[Wo],"H"),0),"")</f>
        <v>148</v>
      </c>
      <c r="H123" s="123">
        <f>IFERROR(ROUND(AVERAGEIFS(Eingabe[Fehler],Eingabe[Name],AuswertungH[[#This Row],[Name]],Eingabe[Wo],"H"),1),"")</f>
        <v>10</v>
      </c>
      <c r="I123" s="117">
        <f>IFERROR(ROUND(AVERAGEIFS(Eingabe[GES],Eingabe[Name],AuswertungH[[#This Row],[Name]],Eingabe[Wo],"H"),0),"")</f>
        <v>472</v>
      </c>
      <c r="J123" s="123">
        <f>IFERROR(ROUND(AVERAGEIFS(Eingabe[SP],Eingabe[Name],AuswertungH[[#This Row],[Name]],Eingabe[Wo],"H"),2),"")</f>
        <v>3</v>
      </c>
      <c r="K123" s="121">
        <f>IFERROR(ROUND(AVERAGEIFS(Eingabe[MP],Eingabe[Name],AuswertungH[[#This Row],[Name]],Eingabe[Wo],"H"),2),"")</f>
        <v>1</v>
      </c>
      <c r="L123" s="117">
        <f>IFERROR(ROUND(AVERAGEIFS(Eingabe[S1],Eingabe[Name],AuswertungH[[#This Row],[Name]],Eingabe[Wo],"H"),0),"")</f>
        <v>121</v>
      </c>
      <c r="M123" s="268">
        <f>IFERROR(ROUND(AVERAGEIFS(Eingabe[S2],Eingabe[Name],AuswertungH[[#This Row],[Name]],Eingabe[Wo],"H"),0),"")</f>
        <v>122</v>
      </c>
      <c r="N123" s="117">
        <f>IFERROR(ROUND(AVERAGEIFS(Eingabe[S3],Eingabe[Name],AuswertungH[[#This Row],[Name]],Eingabe[Wo],"H"),0),"")</f>
        <v>118</v>
      </c>
      <c r="O123" s="268">
        <f>IFERROR(ROUND(AVERAGEIFS(Eingabe[S4],Eingabe[Name],AuswertungH[[#This Row],[Name]],Eingabe[Wo],"H"),0),"")</f>
        <v>111</v>
      </c>
      <c r="P123" s="121">
        <f>IFERROR(ROUND(AVERAGEIFS(Eingabe[S1P],Eingabe[Name],AuswertungH[[#This Row],[Name]],Eingabe[Wo],"H"),2),"")</f>
        <v>1</v>
      </c>
      <c r="Q123" s="121">
        <f>IFERROR(ROUND(AVERAGEIFS(Eingabe[S2P],Eingabe[Name],AuswertungH[[#This Row],[Name]],Eingabe[Wo],"H"),2),"")</f>
        <v>1</v>
      </c>
      <c r="R123" s="121">
        <f>IFERROR(ROUND(AVERAGEIFS(Eingabe[S3P],Eingabe[Name],AuswertungH[[#This Row],[Name]],Eingabe[Wo],"H"),2),"")</f>
        <v>1</v>
      </c>
      <c r="S123" s="121">
        <f>IFERROR(ROUND(AVERAGEIFS(Eingabe[S4P],Eingabe[Name],AuswertungH[[#This Row],[Name]],Eingabe[Wo],"H"),2),"")</f>
        <v>0</v>
      </c>
      <c r="T123" s="123" cm="1">
        <f t="array" ref="T123">IFERROR(ROUND(SLOPE(_xlfn._xlws.FILTER(Eingabe[GES],(Eingabe[Name]=AuswertungH[[#This Row],[Name]])*(Eingabe[Wo]="H")),_xlfn._xlws.FILTER(Eingabe[KW],(Eingabe[Name]=AuswertungH[[#This Row],[Name]])*(Eingabe[Wo]="H"))),2),0)</f>
        <v>0</v>
      </c>
      <c r="U123" s="123" t="str" cm="1">
        <f t="array" ref="U123">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23" s="117" cm="1">
        <f t="array" ref="V123">IFERROR(ROUND(_xlfn.STDEV.P(_xlfn._xlws.FILTER(Eingabe[GES],(Eingabe[Name]=AuswertungH[[#This Row],[Name]])*(Eingabe[Wo]="H"))),0),"")</f>
        <v>0</v>
      </c>
      <c r="W123" s="117">
        <f>IF(AuswertungH[[#This Row],[Spiele MP H]]="","",ROUND(AVERAGEIFS(Eingabe[GEGGES],Eingabe[Name],AuswertungH[[#This Row],[Name]],Eingabe[Wo],"H"),0))</f>
        <v>465</v>
      </c>
      <c r="X123" s="123" t="str">
        <f>VLOOKUP(AuswertungH[[#This Row],[Name]],PositionH[],21,FALSE)</f>
        <v>[6]</v>
      </c>
      <c r="Y123" s="123">
        <f>VLOOKUP(AuswertungH[[#This Row],[Name]],PositionH[],22,FALSE)</f>
        <v>1</v>
      </c>
      <c r="Z123" s="123" t="str">
        <f>VLOOKUP(AuswertungH[[#This Row],[Name]],PositionH[],23,FALSE)</f>
        <v>[6]</v>
      </c>
      <c r="AA123" s="121">
        <f>IF(AuswertungH[[#This Row],[Spiele MP H]]="","",ROUND(VLOOKUP(AuswertungH[[#This Row],[Name]],PositionH[],24,FALSE),2))</f>
        <v>1</v>
      </c>
      <c r="AB123" s="123">
        <f>IFERROR(AVERAGEIFS(Eingabe[Rang],Eingabe[Name],AuswertungH[[#This Row],[Name]],Eingabe[Wo],"H"),"")</f>
        <v>3</v>
      </c>
      <c r="AC123"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122 [4]</v>
      </c>
      <c r="AD123" s="123" cm="1">
        <f t="array" ref="AD123">IFERROR(ROUND(MEDIAN(_xlfn._xlws.FILTER(Eingabe[GES],(Eingabe[Name]=AuswertungH[[#This Row],[Name]])*(Eingabe[Wo]="H"))),0),"")</f>
        <v>472</v>
      </c>
      <c r="AE123" s="121">
        <f>IFERROR(AuswertungH[[#This Row],[STABW H]]/AuswertungH[[#This Row],[GES H]],"")</f>
        <v>0</v>
      </c>
      <c r="AF123" s="123" cm="1">
        <f t="array" ref="AF123">IFERROR(ROUND(_xlfn.QUARTILE.INC(_xlfn._xlws.FILTER(Eingabe[GES],(Eingabe[Name]=AuswertungH[[#This Row],[Name]])*(Eingabe[Wo]="H")),3)-_xlfn.QUARTILE.INC(_xlfn._xlws.FILTER(Eingabe[GES],(Eingabe[Name]=AuswertungH[[#This Row],[Name]])*(Eingabe[Wo]="H")),1),0),"")</f>
        <v>0</v>
      </c>
      <c r="AG123" s="123" t="str">
        <f>IFERROR(1/AuswertungH[[#This Row],[VK H]],"")</f>
        <v/>
      </c>
      <c r="AH123" s="123">
        <f>IFERROR(AuswertungH[[#This Row],[Volle H]]/AuswertungH[[#This Row],[Räumer H]]-2,"")</f>
        <v>0.18918918918918903</v>
      </c>
      <c r="AI123" s="117">
        <f>IFERROR(ROUND((AuswertungH[[#This Row],[Spiele H]]*60)/(AuswertungH[[#This Row],[Fehler H]]*AuswertungH[[#This Row],[Spiele H]]),0),"")</f>
        <v>6</v>
      </c>
      <c r="AJ123" s="123" t="str" cm="1">
        <f t="array" ref="AJ123">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23" s="267">
        <f>IFERROR(ROUND(AVERAGEIFS(Eingabe[MP],Eingabe[Diff],"&lt;15",Eingabe[Name],AuswertungH[[#This Row],[Name]],Eingabe[Wo],"H")-AuswertungH[[#This Row],[MP H]],2),"")</f>
        <v>0</v>
      </c>
      <c r="AL123" s="117" t="str" cm="1">
        <f t="array" ref="AL123">IFERROR(ROUND(AVERAGE(_xlfn._xlws.FILTER(Eingabe[GES],(Eingabe[Name]=AuswertungH[[#This Row],[Name]])*(Eingabe[Wo]="H")*(Eingabe[GEGGES]&gt;(AuswertungH[[#This Row],[GES H]]+20))))-AuswertungH[[#This Row],[GES H]],0),"")</f>
        <v/>
      </c>
      <c r="AM123" s="117" t="str" cm="1">
        <f t="array" ref="AM123">IFERROR(ROUND(AVERAGE(_xlfn._xlws.FILTER(Eingabe[GES],(Eingabe[Name]=AuswertungH[[#This Row],[Name]])*(Eingabe[Wo]="H")*(Eingabe[GEGGES]&lt;(AuswertungH[[#This Row],[GES H]]-20))))-AuswertungH[[#This Row],[GES H]],0),"")</f>
        <v/>
      </c>
    </row>
    <row r="124" spans="2:39" x14ac:dyDescent="0.3">
      <c r="B124" s="285" t="str">
        <f t="shared" si="2"/>
        <v>Heike Scholz</v>
      </c>
      <c r="C124" s="119" t="str">
        <f>IF(AuswertungH[[#This Row],[Name]]="","",VLOOKUP(AuswertungH[[#This Row],[Name]],Teamzuordnung[[Name]:[Team]],2,TRUE))</f>
        <v>F</v>
      </c>
      <c r="D124" s="122">
        <f>COUNTIFS(Eingabe[Name],AuswertungH[[#This Row],[Name]],Eingabe[Wo],"H")</f>
        <v>3</v>
      </c>
      <c r="E124" s="117">
        <f>IF(AuswertungH[[#This Row],[Spiele H]]="","",IF(AuswertungH[[#This Row],[Spiele H]]-COUNTIFS(Eingabe[Name],AuswertungH[[#This Row],[Name]],Eingabe[MP],"",Eingabe[Wo],"H")=0,"",AuswertungH[[#This Row],[Spiele H]]-COUNTIFS(Eingabe[Name],AuswertungH[[#This Row],[Name]],Eingabe[MP],"",Eingabe[Wo],"H")))</f>
        <v>3</v>
      </c>
      <c r="F124" s="117">
        <f>IFERROR(ROUND(AVERAGEIFS(Eingabe[Volle],Eingabe[Name],AuswertungH[[#This Row],[Name]],Eingabe[Wo],"H"),0),"")</f>
        <v>353</v>
      </c>
      <c r="G124" s="117">
        <f>IFERROR(ROUND(AVERAGEIFS(Eingabe[Räumer],Eingabe[Name],AuswertungH[[#This Row],[Name]],Eingabe[Wo],"H"),0),"")</f>
        <v>152</v>
      </c>
      <c r="H124" s="123">
        <f>IFERROR(ROUND(AVERAGEIFS(Eingabe[Fehler],Eingabe[Name],AuswertungH[[#This Row],[Name]],Eingabe[Wo],"H"),1),"")</f>
        <v>8.3000000000000007</v>
      </c>
      <c r="I124" s="117">
        <f>IFERROR(ROUND(AVERAGEIFS(Eingabe[GES],Eingabe[Name],AuswertungH[[#This Row],[Name]],Eingabe[Wo],"H"),0),"")</f>
        <v>505</v>
      </c>
      <c r="J124" s="123">
        <f>IFERROR(ROUND(AVERAGEIFS(Eingabe[SP],Eingabe[Name],AuswertungH[[#This Row],[Name]],Eingabe[Wo],"H"),2),"")</f>
        <v>2.67</v>
      </c>
      <c r="K124" s="121">
        <f>IFERROR(ROUND(AVERAGEIFS(Eingabe[MP],Eingabe[Name],AuswertungH[[#This Row],[Name]],Eingabe[Wo],"H"),2),"")</f>
        <v>0.67</v>
      </c>
      <c r="L124" s="117">
        <f>IFERROR(ROUND(AVERAGEIFS(Eingabe[S1],Eingabe[Name],AuswertungH[[#This Row],[Name]],Eingabe[Wo],"H"),0),"")</f>
        <v>124</v>
      </c>
      <c r="M124" s="268">
        <f>IFERROR(ROUND(AVERAGEIFS(Eingabe[S2],Eingabe[Name],AuswertungH[[#This Row],[Name]],Eingabe[Wo],"H"),0),"")</f>
        <v>134</v>
      </c>
      <c r="N124" s="117">
        <f>IFERROR(ROUND(AVERAGEIFS(Eingabe[S3],Eingabe[Name],AuswertungH[[#This Row],[Name]],Eingabe[Wo],"H"),0),"")</f>
        <v>129</v>
      </c>
      <c r="O124" s="268">
        <f>IFERROR(ROUND(AVERAGEIFS(Eingabe[S4],Eingabe[Name],AuswertungH[[#This Row],[Name]],Eingabe[Wo],"H"),0),"")</f>
        <v>117</v>
      </c>
      <c r="P124" s="121">
        <f>IFERROR(ROUND(AVERAGEIFS(Eingabe[S1P],Eingabe[Name],AuswertungH[[#This Row],[Name]],Eingabe[Wo],"H"),2),"")</f>
        <v>0.67</v>
      </c>
      <c r="Q124" s="121">
        <f>IFERROR(ROUND(AVERAGEIFS(Eingabe[S2P],Eingabe[Name],AuswertungH[[#This Row],[Name]],Eingabe[Wo],"H"),2),"")</f>
        <v>1</v>
      </c>
      <c r="R124" s="121">
        <f>IFERROR(ROUND(AVERAGEIFS(Eingabe[S3P],Eingabe[Name],AuswertungH[[#This Row],[Name]],Eingabe[Wo],"H"),2),"")</f>
        <v>0.67</v>
      </c>
      <c r="S124" s="121">
        <f>IFERROR(ROUND(AVERAGEIFS(Eingabe[S4P],Eingabe[Name],AuswertungH[[#This Row],[Name]],Eingabe[Wo],"H"),2),"")</f>
        <v>0.33</v>
      </c>
      <c r="T124" s="123" cm="1">
        <f t="array" ref="T124">IFERROR(ROUND(SLOPE(_xlfn._xlws.FILTER(Eingabe[GES],(Eingabe[Name]=AuswertungH[[#This Row],[Name]])*(Eingabe[Wo]="H")),_xlfn._xlws.FILTER(Eingabe[KW],(Eingabe[Name]=AuswertungH[[#This Row],[Name]])*(Eingabe[Wo]="H"))),2),0)</f>
        <v>0.18</v>
      </c>
      <c r="U124" s="123" cm="1">
        <f t="array" ref="U124">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0.18</v>
      </c>
      <c r="V124" s="117" cm="1">
        <f t="array" ref="V124">IFERROR(ROUND(_xlfn.STDEV.P(_xlfn._xlws.FILTER(Eingabe[GES],(Eingabe[Name]=AuswertungH[[#This Row],[Name]])*(Eingabe[Wo]="H"))),0),"")</f>
        <v>1</v>
      </c>
      <c r="W124" s="117">
        <f>IF(AuswertungH[[#This Row],[Spiele MP H]]="","",ROUND(AVERAGEIFS(Eingabe[GEGGES],Eingabe[Name],AuswertungH[[#This Row],[Name]],Eingabe[Wo],"H"),0))</f>
        <v>468</v>
      </c>
      <c r="X124" s="123" t="str">
        <f>VLOOKUP(AuswertungH[[#This Row],[Name]],PositionH[],21,FALSE)</f>
        <v>[2][4][5]</v>
      </c>
      <c r="Y124" s="123">
        <f>VLOOKUP(AuswertungH[[#This Row],[Name]],PositionH[],22,FALSE)</f>
        <v>1</v>
      </c>
      <c r="Z124" s="123" t="str">
        <f>VLOOKUP(AuswertungH[[#This Row],[Name]],PositionH[],23,FALSE)</f>
        <v>[2][4]</v>
      </c>
      <c r="AA124" s="121">
        <f>IF(AuswertungH[[#This Row],[Spiele MP H]]="","",ROUND(VLOOKUP(AuswertungH[[#This Row],[Name]],PositionH[],24,FALSE),2))</f>
        <v>1</v>
      </c>
      <c r="AB124" s="123">
        <f>IFERROR(AVERAGEIFS(Eingabe[Rang],Eingabe[Name],AuswertungH[[#This Row],[Name]],Eingabe[Wo],"H"),"")</f>
        <v>3.3333333333333335</v>
      </c>
      <c r="AC124"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133 [4]</v>
      </c>
      <c r="AD124" s="123" cm="1">
        <f t="array" ref="AD124">IFERROR(ROUND(MEDIAN(_xlfn._xlws.FILTER(Eingabe[GES],(Eingabe[Name]=AuswertungH[[#This Row],[Name]])*(Eingabe[Wo]="H"))),0),"")</f>
        <v>505</v>
      </c>
      <c r="AE124" s="121">
        <f>IFERROR(AuswertungH[[#This Row],[STABW H]]/AuswertungH[[#This Row],[GES H]],"")</f>
        <v>1.9801980198019802E-3</v>
      </c>
      <c r="AF124" s="123" cm="1">
        <f t="array" ref="AF124">IFERROR(ROUND(_xlfn.QUARTILE.INC(_xlfn._xlws.FILTER(Eingabe[GES],(Eingabe[Name]=AuswertungH[[#This Row],[Name]])*(Eingabe[Wo]="H")),3)-_xlfn.QUARTILE.INC(_xlfn._xlws.FILTER(Eingabe[GES],(Eingabe[Name]=AuswertungH[[#This Row],[Name]])*(Eingabe[Wo]="H")),1),0),"")</f>
        <v>2</v>
      </c>
      <c r="AG124" s="123">
        <f>IFERROR(1/AuswertungH[[#This Row],[VK H]],"")</f>
        <v>505</v>
      </c>
      <c r="AH124" s="123">
        <f>IFERROR(AuswertungH[[#This Row],[Volle H]]/AuswertungH[[#This Row],[Räumer H]]-2,"")</f>
        <v>0.32236842105263142</v>
      </c>
      <c r="AI124" s="117">
        <f>IFERROR(ROUND((AuswertungH[[#This Row],[Spiele H]]*60)/(AuswertungH[[#This Row],[Fehler H]]*AuswertungH[[#This Row],[Spiele H]]),0),"")</f>
        <v>7</v>
      </c>
      <c r="AJ124" s="123" cm="1">
        <f t="array" ref="AJ124">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-2</v>
      </c>
      <c r="AK124" s="267">
        <f>IFERROR(ROUND(AVERAGEIFS(Eingabe[MP],Eingabe[Diff],"&lt;15",Eingabe[Name],AuswertungH[[#This Row],[Name]],Eingabe[Wo],"H")-AuswertungH[[#This Row],[MP H]],2),"")</f>
        <v>-0.67</v>
      </c>
      <c r="AL124" s="117" t="str" cm="1">
        <f t="array" ref="AL124">IFERROR(ROUND(AVERAGE(_xlfn._xlws.FILTER(Eingabe[GES],(Eingabe[Name]=AuswertungH[[#This Row],[Name]])*(Eingabe[Wo]="H")*(Eingabe[GEGGES]&gt;(AuswertungH[[#This Row],[GES H]]+20))))-AuswertungH[[#This Row],[GES H]],0),"")</f>
        <v/>
      </c>
      <c r="AM124" s="117" cm="1">
        <f t="array" ref="AM124">IFERROR(ROUND(AVERAGE(_xlfn._xlws.FILTER(Eingabe[GES],(Eingabe[Name]=AuswertungH[[#This Row],[Name]])*(Eingabe[Wo]="H")*(Eingabe[GEGGES]&lt;(AuswertungH[[#This Row],[GES H]]-20))))-AuswertungH[[#This Row],[GES H]],0),"")</f>
        <v>1</v>
      </c>
    </row>
    <row r="125" spans="2:39" x14ac:dyDescent="0.3">
      <c r="B125" s="285" t="str">
        <f t="shared" si="2"/>
        <v>Heiko Fuhrmann</v>
      </c>
      <c r="C125" s="119" t="str">
        <f>IF(AuswertungH[[#This Row],[Name]]="","",VLOOKUP(AuswertungH[[#This Row],[Name]],Teamzuordnung[[Name]:[Team]],2,TRUE))</f>
        <v>E</v>
      </c>
      <c r="D125" s="122">
        <f>COUNTIFS(Eingabe[Name],AuswertungH[[#This Row],[Name]],Eingabe[Wo],"H")</f>
        <v>8</v>
      </c>
      <c r="E125" s="117">
        <f>IF(AuswertungH[[#This Row],[Spiele H]]="","",IF(AuswertungH[[#This Row],[Spiele H]]-COUNTIFS(Eingabe[Name],AuswertungH[[#This Row],[Name]],Eingabe[MP],"",Eingabe[Wo],"H")=0,"",AuswertungH[[#This Row],[Spiele H]]-COUNTIFS(Eingabe[Name],AuswertungH[[#This Row],[Name]],Eingabe[MP],"",Eingabe[Wo],"H")))</f>
        <v>8</v>
      </c>
      <c r="F125" s="117">
        <f>IFERROR(ROUND(AVERAGEIFS(Eingabe[Volle],Eingabe[Name],AuswertungH[[#This Row],[Name]],Eingabe[Wo],"H"),0),"")</f>
        <v>357</v>
      </c>
      <c r="G125" s="117">
        <f>IFERROR(ROUND(AVERAGEIFS(Eingabe[Räumer],Eingabe[Name],AuswertungH[[#This Row],[Name]],Eingabe[Wo],"H"),0),"")</f>
        <v>163</v>
      </c>
      <c r="H125" s="123">
        <f>IFERROR(ROUND(AVERAGEIFS(Eingabe[Fehler],Eingabe[Name],AuswertungH[[#This Row],[Name]],Eingabe[Wo],"H"),1),"")</f>
        <v>4.4000000000000004</v>
      </c>
      <c r="I125" s="117">
        <f>IFERROR(ROUND(AVERAGEIFS(Eingabe[GES],Eingabe[Name],AuswertungH[[#This Row],[Name]],Eingabe[Wo],"H"),0),"")</f>
        <v>520</v>
      </c>
      <c r="J125" s="123">
        <f>IFERROR(ROUND(AVERAGEIFS(Eingabe[SP],Eingabe[Name],AuswertungH[[#This Row],[Name]],Eingabe[Wo],"H"),2),"")</f>
        <v>1.75</v>
      </c>
      <c r="K125" s="121">
        <f>IFERROR(ROUND(AVERAGEIFS(Eingabe[MP],Eingabe[Name],AuswertungH[[#This Row],[Name]],Eingabe[Wo],"H"),2),"")</f>
        <v>0.38</v>
      </c>
      <c r="L125" s="117">
        <f>IFERROR(ROUND(AVERAGEIFS(Eingabe[S1],Eingabe[Name],AuswertungH[[#This Row],[Name]],Eingabe[Wo],"H"),0),"")</f>
        <v>132</v>
      </c>
      <c r="M125" s="268">
        <f>IFERROR(ROUND(AVERAGEIFS(Eingabe[S2],Eingabe[Name],AuswertungH[[#This Row],[Name]],Eingabe[Wo],"H"),0),"")</f>
        <v>132</v>
      </c>
      <c r="N125" s="117">
        <f>IFERROR(ROUND(AVERAGEIFS(Eingabe[S3],Eingabe[Name],AuswertungH[[#This Row],[Name]],Eingabe[Wo],"H"),0),"")</f>
        <v>131</v>
      </c>
      <c r="O125" s="268">
        <f>IFERROR(ROUND(AVERAGEIFS(Eingabe[S4],Eingabe[Name],AuswertungH[[#This Row],[Name]],Eingabe[Wo],"H"),0),"")</f>
        <v>126</v>
      </c>
      <c r="P125" s="121">
        <f>IFERROR(ROUND(AVERAGEIFS(Eingabe[S1P],Eingabe[Name],AuswertungH[[#This Row],[Name]],Eingabe[Wo],"H"),2),"")</f>
        <v>0.75</v>
      </c>
      <c r="Q125" s="121">
        <f>IFERROR(ROUND(AVERAGEIFS(Eingabe[S2P],Eingabe[Name],AuswertungH[[#This Row],[Name]],Eingabe[Wo],"H"),2),"")</f>
        <v>0.25</v>
      </c>
      <c r="R125" s="121">
        <f>IFERROR(ROUND(AVERAGEIFS(Eingabe[S3P],Eingabe[Name],AuswertungH[[#This Row],[Name]],Eingabe[Wo],"H"),2),"")</f>
        <v>0.75</v>
      </c>
      <c r="S125" s="121">
        <f>IFERROR(ROUND(AVERAGEIFS(Eingabe[S4P],Eingabe[Name],AuswertungH[[#This Row],[Name]],Eingabe[Wo],"H"),2),"")</f>
        <v>0</v>
      </c>
      <c r="T125" s="123" cm="1">
        <f t="array" ref="T125">IFERROR(ROUND(SLOPE(_xlfn._xlws.FILTER(Eingabe[GES],(Eingabe[Name]=AuswertungH[[#This Row],[Name]])*(Eingabe[Wo]="H")),_xlfn._xlws.FILTER(Eingabe[KW],(Eingabe[Name]=AuswertungH[[#This Row],[Name]])*(Eingabe[Wo]="H"))),2),0)</f>
        <v>-0.22</v>
      </c>
      <c r="U125" s="123" cm="1">
        <f t="array" ref="U125">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-1.48</v>
      </c>
      <c r="V125" s="117" cm="1">
        <f t="array" ref="V125">IFERROR(ROUND(_xlfn.STDEV.P(_xlfn._xlws.FILTER(Eingabe[GES],(Eingabe[Name]=AuswertungH[[#This Row],[Name]])*(Eingabe[Wo]="H"))),0),"")</f>
        <v>16</v>
      </c>
      <c r="W125" s="117">
        <f>IF(AuswertungH[[#This Row],[Spiele MP H]]="","",ROUND(AVERAGEIFS(Eingabe[GEGGES],Eingabe[Name],AuswertungH[[#This Row],[Name]],Eingabe[Wo],"H"),0))</f>
        <v>475</v>
      </c>
      <c r="X125" s="123" t="str">
        <f>VLOOKUP(AuswertungH[[#This Row],[Name]],PositionH[],21,FALSE)</f>
        <v>[6]</v>
      </c>
      <c r="Y125" s="123">
        <f>VLOOKUP(AuswertungH[[#This Row],[Name]],PositionH[],22,FALSE)</f>
        <v>7</v>
      </c>
      <c r="Z125" s="123" t="str">
        <f>VLOOKUP(AuswertungH[[#This Row],[Name]],PositionH[],23,FALSE)</f>
        <v>[2]</v>
      </c>
      <c r="AA125" s="121">
        <f>IF(AuswertungH[[#This Row],[Spiele MP H]]="","",ROUND(VLOOKUP(AuswertungH[[#This Row],[Name]],PositionH[],24,FALSE),2))</f>
        <v>1</v>
      </c>
      <c r="AB125" s="123">
        <f>IFERROR(AVERAGEIFS(Eingabe[Rang],Eingabe[Name],AuswertungH[[#This Row],[Name]],Eingabe[Wo],"H"),"")</f>
        <v>3.5714285714285716</v>
      </c>
      <c r="AC125"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132 [3]</v>
      </c>
      <c r="AD125" s="123" cm="1">
        <f t="array" ref="AD125">IFERROR(ROUND(MEDIAN(_xlfn._xlws.FILTER(Eingabe[GES],(Eingabe[Name]=AuswertungH[[#This Row],[Name]])*(Eingabe[Wo]="H"))),0),"")</f>
        <v>522</v>
      </c>
      <c r="AE125" s="121">
        <f>IFERROR(AuswertungH[[#This Row],[STABW H]]/AuswertungH[[#This Row],[GES H]],"")</f>
        <v>3.0769230769230771E-2</v>
      </c>
      <c r="AF125" s="123" cm="1">
        <f t="array" ref="AF125">IFERROR(ROUND(_xlfn.QUARTILE.INC(_xlfn._xlws.FILTER(Eingabe[GES],(Eingabe[Name]=AuswertungH[[#This Row],[Name]])*(Eingabe[Wo]="H")),3)-_xlfn.QUARTILE.INC(_xlfn._xlws.FILTER(Eingabe[GES],(Eingabe[Name]=AuswertungH[[#This Row],[Name]])*(Eingabe[Wo]="H")),1),0),"")</f>
        <v>21</v>
      </c>
      <c r="AG125" s="123">
        <f>IFERROR(1/AuswertungH[[#This Row],[VK H]],"")</f>
        <v>32.5</v>
      </c>
      <c r="AH125" s="123">
        <f>IFERROR(AuswertungH[[#This Row],[Volle H]]/AuswertungH[[#This Row],[Räumer H]]-2,"")</f>
        <v>0.19018404907975439</v>
      </c>
      <c r="AI125" s="117">
        <f>IFERROR(ROUND((AuswertungH[[#This Row],[Spiele H]]*60)/(AuswertungH[[#This Row],[Fehler H]]*AuswertungH[[#This Row],[Spiele H]]),0),"")</f>
        <v>14</v>
      </c>
      <c r="AJ125" s="123" cm="1">
        <f t="array" ref="AJ125">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-0.3125</v>
      </c>
      <c r="AK125" s="267">
        <f>IFERROR(ROUND(AVERAGEIFS(Eingabe[MP],Eingabe[Diff],"&lt;15",Eingabe[Name],AuswertungH[[#This Row],[Name]],Eingabe[Wo],"H")-AuswertungH[[#This Row],[MP H]],2),"")</f>
        <v>-0.13</v>
      </c>
      <c r="AL125" s="117" cm="1">
        <f t="array" ref="AL125">IFERROR(ROUND(AVERAGE(_xlfn._xlws.FILTER(Eingabe[GES],(Eingabe[Name]=AuswertungH[[#This Row],[Name]])*(Eingabe[Wo]="H")*(Eingabe[GEGGES]&gt;(AuswertungH[[#This Row],[GES H]]+20))))-AuswertungH[[#This Row],[GES H]],0),"")</f>
        <v>-10</v>
      </c>
      <c r="AM125" s="117" cm="1">
        <f t="array" ref="AM125">IFERROR(ROUND(AVERAGE(_xlfn._xlws.FILTER(Eingabe[GES],(Eingabe[Name]=AuswertungH[[#This Row],[Name]])*(Eingabe[Wo]="H")*(Eingabe[GEGGES]&lt;(AuswertungH[[#This Row],[GES H]]-20))))-AuswertungH[[#This Row],[GES H]],0),"")</f>
        <v>19</v>
      </c>
    </row>
    <row r="126" spans="2:39" x14ac:dyDescent="0.3">
      <c r="B126" s="285" t="str">
        <f t="shared" si="2"/>
        <v>Heiko Wüstling</v>
      </c>
      <c r="C126" s="119" t="str">
        <f>IF(AuswertungH[[#This Row],[Name]]="","",VLOOKUP(AuswertungH[[#This Row],[Name]],Teamzuordnung[[Name]:[Team]],2,TRUE))</f>
        <v>D</v>
      </c>
      <c r="D126" s="122">
        <f>COUNTIFS(Eingabe[Name],AuswertungH[[#This Row],[Name]],Eingabe[Wo],"H")</f>
        <v>0</v>
      </c>
      <c r="E126" s="116" t="str">
        <f>IF(AuswertungH[[#This Row],[Spiele H]]="","",IF(AuswertungH[[#This Row],[Spiele H]]-COUNTIFS(Eingabe[Name],AuswertungH[[#This Row],[Name]],Eingabe[MP],"",Eingabe[Wo],"H")=0,"",AuswertungH[[#This Row],[Spiele H]]-COUNTIFS(Eingabe[Name],AuswertungH[[#This Row],[Name]],Eingabe[MP],"",Eingabe[Wo],"H")))</f>
        <v/>
      </c>
      <c r="F126" s="117" t="str">
        <f>IFERROR(ROUND(AVERAGEIFS(Eingabe[Volle],Eingabe[Name],AuswertungH[[#This Row],[Name]],Eingabe[Wo],"H"),0),"")</f>
        <v/>
      </c>
      <c r="G126" s="117" t="str">
        <f>IFERROR(ROUND(AVERAGEIFS(Eingabe[Räumer],Eingabe[Name],AuswertungH[[#This Row],[Name]],Eingabe[Wo],"H"),0),"")</f>
        <v/>
      </c>
      <c r="H126" s="123" t="str">
        <f>IFERROR(ROUND(AVERAGEIFS(Eingabe[Fehler],Eingabe[Name],AuswertungH[[#This Row],[Name]],Eingabe[Wo],"H"),1),"")</f>
        <v/>
      </c>
      <c r="I126" s="117" t="str">
        <f>IFERROR(ROUND(AVERAGEIFS(Eingabe[GES],Eingabe[Name],AuswertungH[[#This Row],[Name]],Eingabe[Wo],"H"),0),"")</f>
        <v/>
      </c>
      <c r="J126" s="123" t="str">
        <f>IFERROR(ROUND(AVERAGEIFS(Eingabe[SP],Eingabe[Name],AuswertungH[[#This Row],[Name]],Eingabe[Wo],"H"),2),"")</f>
        <v/>
      </c>
      <c r="K126" s="121" t="str">
        <f>IFERROR(ROUND(AVERAGEIFS(Eingabe[MP],Eingabe[Name],AuswertungH[[#This Row],[Name]],Eingabe[Wo],"H"),2),"")</f>
        <v/>
      </c>
      <c r="L126" s="117" t="str">
        <f>IFERROR(ROUND(AVERAGEIFS(Eingabe[S1],Eingabe[Name],AuswertungH[[#This Row],[Name]],Eingabe[Wo],"H"),0),"")</f>
        <v/>
      </c>
      <c r="M126" s="268" t="str">
        <f>IFERROR(ROUND(AVERAGEIFS(Eingabe[S2],Eingabe[Name],AuswertungH[[#This Row],[Name]],Eingabe[Wo],"H"),0),"")</f>
        <v/>
      </c>
      <c r="N126" s="117" t="str">
        <f>IFERROR(ROUND(AVERAGEIFS(Eingabe[S3],Eingabe[Name],AuswertungH[[#This Row],[Name]],Eingabe[Wo],"H"),0),"")</f>
        <v/>
      </c>
      <c r="O126" s="268" t="str">
        <f>IFERROR(ROUND(AVERAGEIFS(Eingabe[S4],Eingabe[Name],AuswertungH[[#This Row],[Name]],Eingabe[Wo],"H"),0),"")</f>
        <v/>
      </c>
      <c r="P126" s="121" t="str">
        <f>IFERROR(ROUND(AVERAGEIFS(Eingabe[S1P],Eingabe[Name],AuswertungH[[#This Row],[Name]],Eingabe[Wo],"H"),2),"")</f>
        <v/>
      </c>
      <c r="Q126" s="121" t="str">
        <f>IFERROR(ROUND(AVERAGEIFS(Eingabe[S2P],Eingabe[Name],AuswertungH[[#This Row],[Name]],Eingabe[Wo],"H"),2),"")</f>
        <v/>
      </c>
      <c r="R126" s="121" t="str">
        <f>IFERROR(ROUND(AVERAGEIFS(Eingabe[S3P],Eingabe[Name],AuswertungH[[#This Row],[Name]],Eingabe[Wo],"H"),2),"")</f>
        <v/>
      </c>
      <c r="S126" s="121" t="str">
        <f>IFERROR(ROUND(AVERAGEIFS(Eingabe[S4P],Eingabe[Name],AuswertungH[[#This Row],[Name]],Eingabe[Wo],"H"),2),"")</f>
        <v/>
      </c>
      <c r="T126" s="123" cm="1">
        <f t="array" ref="T126">IFERROR(ROUND(SLOPE(_xlfn._xlws.FILTER(Eingabe[GES],(Eingabe[Name]=AuswertungH[[#This Row],[Name]])*(Eingabe[Wo]="H")),_xlfn._xlws.FILTER(Eingabe[KW],(Eingabe[Name]=AuswertungH[[#This Row],[Name]])*(Eingabe[Wo]="H"))),2),0)</f>
        <v>0</v>
      </c>
      <c r="U126" s="123" t="str" cm="1">
        <f t="array" ref="U126">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26" s="117" t="str" cm="1">
        <f t="array" ref="V126">IFERROR(ROUND(_xlfn.STDEV.P(_xlfn._xlws.FILTER(Eingabe[GES],(Eingabe[Name]=AuswertungH[[#This Row],[Name]])*(Eingabe[Wo]="H"))),0),"")</f>
        <v/>
      </c>
      <c r="W126" s="117" t="str">
        <f>IF(AuswertungH[[#This Row],[Spiele MP H]]="","",ROUND(AVERAGEIFS(Eingabe[GEGGES],Eingabe[Name],AuswertungH[[#This Row],[Name]],Eingabe[Wo],"H"),0))</f>
        <v/>
      </c>
      <c r="X126" s="117" t="str">
        <f>VLOOKUP(AuswertungH[[#This Row],[Name]],PositionH[],21,FALSE)</f>
        <v/>
      </c>
      <c r="Y126" s="117" t="str">
        <f>VLOOKUP(AuswertungH[[#This Row],[Name]],PositionH[],22,FALSE)</f>
        <v/>
      </c>
      <c r="Z126" s="117" t="str">
        <f>VLOOKUP(AuswertungH[[#This Row],[Name]],PositionH[],23,FALSE)</f>
        <v/>
      </c>
      <c r="AA126" s="121" t="str">
        <f>IF(AuswertungH[[#This Row],[Spiele MP H]]="","",ROUND(VLOOKUP(AuswertungH[[#This Row],[Name]],PositionH[],24,FALSE),2))</f>
        <v/>
      </c>
      <c r="AB126" s="123" t="str">
        <f>IFERROR(AVERAGEIFS(Eingabe[Rang],Eingabe[Name],AuswertungH[[#This Row],[Name]],Eingabe[Wo],"H"),"")</f>
        <v/>
      </c>
      <c r="AC126"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26" s="123" t="str" cm="1">
        <f t="array" ref="AD126">IFERROR(ROUND(MEDIAN(_xlfn._xlws.FILTER(Eingabe[GES],(Eingabe[Name]=AuswertungH[[#This Row],[Name]])*(Eingabe[Wo]="H"))),0),"")</f>
        <v/>
      </c>
      <c r="AE126" s="121" t="str">
        <f>IFERROR(AuswertungH[[#This Row],[STABW H]]/AuswertungH[[#This Row],[GES H]],"")</f>
        <v/>
      </c>
      <c r="AF126" s="123" t="str" cm="1">
        <f t="array" ref="AF126">IFERROR(ROUND(_xlfn.QUARTILE.INC(_xlfn._xlws.FILTER(Eingabe[GES],(Eingabe[Name]=AuswertungH[[#This Row],[Name]])*(Eingabe[Wo]="H")),3)-_xlfn.QUARTILE.INC(_xlfn._xlws.FILTER(Eingabe[GES],(Eingabe[Name]=AuswertungH[[#This Row],[Name]])*(Eingabe[Wo]="H")),1),0),"")</f>
        <v/>
      </c>
      <c r="AG126" s="123" t="str">
        <f>IFERROR(1/AuswertungH[[#This Row],[VK H]],"")</f>
        <v/>
      </c>
      <c r="AH126" s="123" t="str">
        <f>IFERROR(AuswertungH[[#This Row],[Volle H]]/AuswertungH[[#This Row],[Räumer H]]-2,"")</f>
        <v/>
      </c>
      <c r="AI126" s="117" t="str">
        <f>IFERROR(ROUND((AuswertungH[[#This Row],[Spiele H]]*60)/(AuswertungH[[#This Row],[Fehler H]]*AuswertungH[[#This Row],[Spiele H]]),0),"")</f>
        <v/>
      </c>
      <c r="AJ126" s="123" t="str" cm="1">
        <f t="array" ref="AJ126">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26" s="267" t="str">
        <f>IFERROR(ROUND(AVERAGEIFS(Eingabe[MP],Eingabe[Diff],"&lt;15",Eingabe[Name],AuswertungH[[#This Row],[Name]],Eingabe[Wo],"H")-AuswertungH[[#This Row],[MP H]],2),"")</f>
        <v/>
      </c>
      <c r="AL126" s="117" t="str" cm="1">
        <f t="array" ref="AL126">IFERROR(ROUND(AVERAGE(_xlfn._xlws.FILTER(Eingabe[GES],(Eingabe[Name]=AuswertungH[[#This Row],[Name]])*(Eingabe[Wo]="H")*(Eingabe[GEGGES]&gt;(AuswertungH[[#This Row],[GES H]]+20))))-AuswertungH[[#This Row],[GES H]],0),"")</f>
        <v/>
      </c>
      <c r="AM126" s="117" t="str" cm="1">
        <f t="array" ref="AM126">IFERROR(ROUND(AVERAGE(_xlfn._xlws.FILTER(Eingabe[GES],(Eingabe[Name]=AuswertungH[[#This Row],[Name]])*(Eingabe[Wo]="H")*(Eingabe[GEGGES]&lt;(AuswertungH[[#This Row],[GES H]]-20))))-AuswertungH[[#This Row],[GES H]],0),"")</f>
        <v/>
      </c>
    </row>
    <row r="127" spans="2:39" x14ac:dyDescent="0.3">
      <c r="B127" s="285" t="str">
        <f t="shared" si="2"/>
        <v>Jens Starke</v>
      </c>
      <c r="C127" s="119" t="str">
        <f>IF(AuswertungH[[#This Row],[Name]]="","",VLOOKUP(AuswertungH[[#This Row],[Name]],Teamzuordnung[[Name]:[Team]],2,TRUE))</f>
        <v>D</v>
      </c>
      <c r="D127" s="122">
        <f>COUNTIFS(Eingabe[Name],AuswertungH[[#This Row],[Name]],Eingabe[Wo],"H")</f>
        <v>2</v>
      </c>
      <c r="E127" s="117">
        <f>IF(AuswertungH[[#This Row],[Spiele H]]="","",IF(AuswertungH[[#This Row],[Spiele H]]-COUNTIFS(Eingabe[Name],AuswertungH[[#This Row],[Name]],Eingabe[MP],"",Eingabe[Wo],"H")=0,"",AuswertungH[[#This Row],[Spiele H]]-COUNTIFS(Eingabe[Name],AuswertungH[[#This Row],[Name]],Eingabe[MP],"",Eingabe[Wo],"H")))</f>
        <v>2</v>
      </c>
      <c r="F127" s="117">
        <f>IFERROR(ROUND(AVERAGEIFS(Eingabe[Volle],Eingabe[Name],AuswertungH[[#This Row],[Name]],Eingabe[Wo],"H"),0),"")</f>
        <v>359</v>
      </c>
      <c r="G127" s="117">
        <f>IFERROR(ROUND(AVERAGEIFS(Eingabe[Räumer],Eingabe[Name],AuswertungH[[#This Row],[Name]],Eingabe[Wo],"H"),0),"")</f>
        <v>170</v>
      </c>
      <c r="H127" s="123">
        <f>IFERROR(ROUND(AVERAGEIFS(Eingabe[Fehler],Eingabe[Name],AuswertungH[[#This Row],[Name]],Eingabe[Wo],"H"),1),"")</f>
        <v>6</v>
      </c>
      <c r="I127" s="117">
        <f>IFERROR(ROUND(AVERAGEIFS(Eingabe[GES],Eingabe[Name],AuswertungH[[#This Row],[Name]],Eingabe[Wo],"H"),0),"")</f>
        <v>529</v>
      </c>
      <c r="J127" s="123">
        <f>IFERROR(ROUND(AVERAGEIFS(Eingabe[SP],Eingabe[Name],AuswertungH[[#This Row],[Name]],Eingabe[Wo],"H"),2),"")</f>
        <v>2.25</v>
      </c>
      <c r="K127" s="121">
        <f>IFERROR(ROUND(AVERAGEIFS(Eingabe[MP],Eingabe[Name],AuswertungH[[#This Row],[Name]],Eingabe[Wo],"H"),2),"")</f>
        <v>1</v>
      </c>
      <c r="L127" s="117">
        <f>IFERROR(ROUND(AVERAGEIFS(Eingabe[S1],Eingabe[Name],AuswertungH[[#This Row],[Name]],Eingabe[Wo],"H"),0),"")</f>
        <v>142</v>
      </c>
      <c r="M127" s="268">
        <f>IFERROR(ROUND(AVERAGEIFS(Eingabe[S2],Eingabe[Name],AuswertungH[[#This Row],[Name]],Eingabe[Wo],"H"),0),"")</f>
        <v>130</v>
      </c>
      <c r="N127" s="117">
        <f>IFERROR(ROUND(AVERAGEIFS(Eingabe[S3],Eingabe[Name],AuswertungH[[#This Row],[Name]],Eingabe[Wo],"H"),0),"")</f>
        <v>127</v>
      </c>
      <c r="O127" s="268">
        <f>IFERROR(ROUND(AVERAGEIFS(Eingabe[S4],Eingabe[Name],AuswertungH[[#This Row],[Name]],Eingabe[Wo],"H"),0),"")</f>
        <v>131</v>
      </c>
      <c r="P127" s="121">
        <f>IFERROR(ROUND(AVERAGEIFS(Eingabe[S1P],Eingabe[Name],AuswertungH[[#This Row],[Name]],Eingabe[Wo],"H"),2),"")</f>
        <v>0.5</v>
      </c>
      <c r="Q127" s="121">
        <f>IFERROR(ROUND(AVERAGEIFS(Eingabe[S2P],Eingabe[Name],AuswertungH[[#This Row],[Name]],Eingabe[Wo],"H"),2),"")</f>
        <v>0.75</v>
      </c>
      <c r="R127" s="121">
        <f>IFERROR(ROUND(AVERAGEIFS(Eingabe[S3P],Eingabe[Name],AuswertungH[[#This Row],[Name]],Eingabe[Wo],"H"),2),"")</f>
        <v>0.5</v>
      </c>
      <c r="S127" s="121">
        <f>IFERROR(ROUND(AVERAGEIFS(Eingabe[S4P],Eingabe[Name],AuswertungH[[#This Row],[Name]],Eingabe[Wo],"H"),2),"")</f>
        <v>0.5</v>
      </c>
      <c r="T127" s="123" cm="1">
        <f t="array" ref="T127">IFERROR(ROUND(SLOPE(_xlfn._xlws.FILTER(Eingabe[GES],(Eingabe[Name]=AuswertungH[[#This Row],[Name]])*(Eingabe[Wo]="H")),_xlfn._xlws.FILTER(Eingabe[KW],(Eingabe[Name]=AuswertungH[[#This Row],[Name]])*(Eingabe[Wo]="H"))),2),0)</f>
        <v>6.83</v>
      </c>
      <c r="U127" s="123" cm="1">
        <f t="array" ref="U127">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6.83</v>
      </c>
      <c r="V127" s="117" cm="1">
        <f t="array" ref="V127">IFERROR(ROUND(_xlfn.STDEV.P(_xlfn._xlws.FILTER(Eingabe[GES],(Eingabe[Name]=AuswertungH[[#This Row],[Name]])*(Eingabe[Wo]="H"))),0),"")</f>
        <v>21</v>
      </c>
      <c r="W127" s="117">
        <f>IF(AuswertungH[[#This Row],[Spiele MP H]]="","",ROUND(AVERAGEIFS(Eingabe[GEGGES],Eingabe[Name],AuswertungH[[#This Row],[Name]],Eingabe[Wo],"H"),0))</f>
        <v>485</v>
      </c>
      <c r="X127" s="123" t="str">
        <f>VLOOKUP(AuswertungH[[#This Row],[Name]],PositionH[],21,FALSE)</f>
        <v>[2][4]</v>
      </c>
      <c r="Y127" s="123">
        <f>VLOOKUP(AuswertungH[[#This Row],[Name]],PositionH[],22,FALSE)</f>
        <v>1</v>
      </c>
      <c r="Z127" s="123" t="str">
        <f>VLOOKUP(AuswertungH[[#This Row],[Name]],PositionH[],23,FALSE)</f>
        <v>[2][4]</v>
      </c>
      <c r="AA127" s="121">
        <f>IF(AuswertungH[[#This Row],[Spiele MP H]]="","",ROUND(VLOOKUP(AuswertungH[[#This Row],[Name]],PositionH[],24,FALSE),2))</f>
        <v>1</v>
      </c>
      <c r="AB127" s="123">
        <f>IFERROR(AVERAGEIFS(Eingabe[Rang],Eingabe[Name],AuswertungH[[#This Row],[Name]],Eingabe[Wo],"H"),"")</f>
        <v>2</v>
      </c>
      <c r="AC127"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142 [3]</v>
      </c>
      <c r="AD127" s="123" cm="1">
        <f t="array" ref="AD127">IFERROR(ROUND(MEDIAN(_xlfn._xlws.FILTER(Eingabe[GES],(Eingabe[Name]=AuswertungH[[#This Row],[Name]])*(Eingabe[Wo]="H"))),0),"")</f>
        <v>529</v>
      </c>
      <c r="AE127" s="121">
        <f>IFERROR(AuswertungH[[#This Row],[STABW H]]/AuswertungH[[#This Row],[GES H]],"")</f>
        <v>3.9697542533081283E-2</v>
      </c>
      <c r="AF127" s="123" cm="1">
        <f t="array" ref="AF127">IFERROR(ROUND(_xlfn.QUARTILE.INC(_xlfn._xlws.FILTER(Eingabe[GES],(Eingabe[Name]=AuswertungH[[#This Row],[Name]])*(Eingabe[Wo]="H")),3)-_xlfn.QUARTILE.INC(_xlfn._xlws.FILTER(Eingabe[GES],(Eingabe[Name]=AuswertungH[[#This Row],[Name]])*(Eingabe[Wo]="H")),1),0),"")</f>
        <v>21</v>
      </c>
      <c r="AG127" s="123">
        <f>IFERROR(1/AuswertungH[[#This Row],[VK H]],"")</f>
        <v>25.190476190476193</v>
      </c>
      <c r="AH127" s="123">
        <f>IFERROR(AuswertungH[[#This Row],[Volle H]]/AuswertungH[[#This Row],[Räumer H]]-2,"")</f>
        <v>0.11176470588235299</v>
      </c>
      <c r="AI127" s="117">
        <f>IFERROR(ROUND((AuswertungH[[#This Row],[Spiele H]]*60)/(AuswertungH[[#This Row],[Fehler H]]*AuswertungH[[#This Row],[Spiele H]]),0),"")</f>
        <v>10</v>
      </c>
      <c r="AJ127" s="123" t="str" cm="1">
        <f t="array" ref="AJ127">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27" s="267" t="str">
        <f>IFERROR(ROUND(AVERAGEIFS(Eingabe[MP],Eingabe[Diff],"&lt;15",Eingabe[Name],AuswertungH[[#This Row],[Name]],Eingabe[Wo],"H")-AuswertungH[[#This Row],[MP H]],2),"")</f>
        <v/>
      </c>
      <c r="AL127" s="117" t="str" cm="1">
        <f t="array" ref="AL127">IFERROR(ROUND(AVERAGE(_xlfn._xlws.FILTER(Eingabe[GES],(Eingabe[Name]=AuswertungH[[#This Row],[Name]])*(Eingabe[Wo]="H")*(Eingabe[GEGGES]&gt;(AuswertungH[[#This Row],[GES H]]+20))))-AuswertungH[[#This Row],[GES H]],0),"")</f>
        <v/>
      </c>
      <c r="AM127" s="117" cm="1">
        <f t="array" ref="AM127">IFERROR(ROUND(AVERAGE(_xlfn._xlws.FILTER(Eingabe[GES],(Eingabe[Name]=AuswertungH[[#This Row],[Name]])*(Eingabe[Wo]="H")*(Eingabe[GEGGES]&lt;(AuswertungH[[#This Row],[GES H]]-20))))-AuswertungH[[#This Row],[GES H]],0),"")</f>
        <v>-21</v>
      </c>
    </row>
    <row r="128" spans="2:39" x14ac:dyDescent="0.3">
      <c r="B128" s="285" t="str">
        <f t="shared" si="2"/>
        <v>Jörg Nötzel</v>
      </c>
      <c r="C128" s="119" t="str">
        <f>IF(AuswertungH[[#This Row],[Name]]="","",VLOOKUP(AuswertungH[[#This Row],[Name]],Teamzuordnung[[Name]:[Team]],2,TRUE))</f>
        <v>D</v>
      </c>
      <c r="D128" s="122">
        <f>COUNTIFS(Eingabe[Name],AuswertungH[[#This Row],[Name]],Eingabe[Wo],"H")</f>
        <v>1</v>
      </c>
      <c r="E128" s="117">
        <f>IF(AuswertungH[[#This Row],[Spiele H]]="","",IF(AuswertungH[[#This Row],[Spiele H]]-COUNTIFS(Eingabe[Name],AuswertungH[[#This Row],[Name]],Eingabe[MP],"",Eingabe[Wo],"H")=0,"",AuswertungH[[#This Row],[Spiele H]]-COUNTIFS(Eingabe[Name],AuswertungH[[#This Row],[Name]],Eingabe[MP],"",Eingabe[Wo],"H")))</f>
        <v>1</v>
      </c>
      <c r="F128" s="117">
        <f>IFERROR(ROUND(AVERAGEIFS(Eingabe[Volle],Eingabe[Name],AuswertungH[[#This Row],[Name]],Eingabe[Wo],"H"),0),"")</f>
        <v>364</v>
      </c>
      <c r="G128" s="117">
        <f>IFERROR(ROUND(AVERAGEIFS(Eingabe[Räumer],Eingabe[Name],AuswertungH[[#This Row],[Name]],Eingabe[Wo],"H"),0),"")</f>
        <v>174</v>
      </c>
      <c r="H128" s="123">
        <f>IFERROR(ROUND(AVERAGEIFS(Eingabe[Fehler],Eingabe[Name],AuswertungH[[#This Row],[Name]],Eingabe[Wo],"H"),1),"")</f>
        <v>6</v>
      </c>
      <c r="I128" s="117">
        <f>IFERROR(ROUND(AVERAGEIFS(Eingabe[GES],Eingabe[Name],AuswertungH[[#This Row],[Name]],Eingabe[Wo],"H"),0),"")</f>
        <v>538</v>
      </c>
      <c r="J128" s="123">
        <f>IFERROR(ROUND(AVERAGEIFS(Eingabe[SP],Eingabe[Name],AuswertungH[[#This Row],[Name]],Eingabe[Wo],"H"),2),"")</f>
        <v>3</v>
      </c>
      <c r="K128" s="121">
        <f>IFERROR(ROUND(AVERAGEIFS(Eingabe[MP],Eingabe[Name],AuswertungH[[#This Row],[Name]],Eingabe[Wo],"H"),2),"")</f>
        <v>1</v>
      </c>
      <c r="L128" s="117">
        <f>IFERROR(ROUND(AVERAGEIFS(Eingabe[S1],Eingabe[Name],AuswertungH[[#This Row],[Name]],Eingabe[Wo],"H"),0),"")</f>
        <v>134</v>
      </c>
      <c r="M128" s="268">
        <f>IFERROR(ROUND(AVERAGEIFS(Eingabe[S2],Eingabe[Name],AuswertungH[[#This Row],[Name]],Eingabe[Wo],"H"),0),"")</f>
        <v>119</v>
      </c>
      <c r="N128" s="117">
        <f>IFERROR(ROUND(AVERAGEIFS(Eingabe[S3],Eingabe[Name],AuswertungH[[#This Row],[Name]],Eingabe[Wo],"H"),0),"")</f>
        <v>133</v>
      </c>
      <c r="O128" s="268">
        <f>IFERROR(ROUND(AVERAGEIFS(Eingabe[S4],Eingabe[Name],AuswertungH[[#This Row],[Name]],Eingabe[Wo],"H"),0),"")</f>
        <v>152</v>
      </c>
      <c r="P128" s="121">
        <f>IFERROR(ROUND(AVERAGEIFS(Eingabe[S1P],Eingabe[Name],AuswertungH[[#This Row],[Name]],Eingabe[Wo],"H"),2),"")</f>
        <v>1</v>
      </c>
      <c r="Q128" s="121">
        <f>IFERROR(ROUND(AVERAGEIFS(Eingabe[S2P],Eingabe[Name],AuswertungH[[#This Row],[Name]],Eingabe[Wo],"H"),2),"")</f>
        <v>0</v>
      </c>
      <c r="R128" s="121">
        <f>IFERROR(ROUND(AVERAGEIFS(Eingabe[S3P],Eingabe[Name],AuswertungH[[#This Row],[Name]],Eingabe[Wo],"H"),2),"")</f>
        <v>1</v>
      </c>
      <c r="S128" s="121">
        <f>IFERROR(ROUND(AVERAGEIFS(Eingabe[S4P],Eingabe[Name],AuswertungH[[#This Row],[Name]],Eingabe[Wo],"H"),2),"")</f>
        <v>1</v>
      </c>
      <c r="T128" s="123" cm="1">
        <f t="array" ref="T128">IFERROR(ROUND(SLOPE(_xlfn._xlws.FILTER(Eingabe[GES],(Eingabe[Name]=AuswertungH[[#This Row],[Name]])*(Eingabe[Wo]="H")),_xlfn._xlws.FILTER(Eingabe[KW],(Eingabe[Name]=AuswertungH[[#This Row],[Name]])*(Eingabe[Wo]="H"))),2),0)</f>
        <v>0</v>
      </c>
      <c r="U128" s="123" t="str" cm="1">
        <f t="array" ref="U128">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28" s="117" cm="1">
        <f t="array" ref="V128">IFERROR(ROUND(_xlfn.STDEV.P(_xlfn._xlws.FILTER(Eingabe[GES],(Eingabe[Name]=AuswertungH[[#This Row],[Name]])*(Eingabe[Wo]="H"))),0),"")</f>
        <v>0</v>
      </c>
      <c r="W128" s="117">
        <f>IF(AuswertungH[[#This Row],[Spiele MP H]]="","",ROUND(AVERAGEIFS(Eingabe[GEGGES],Eingabe[Name],AuswertungH[[#This Row],[Name]],Eingabe[Wo],"H"),0))</f>
        <v>493</v>
      </c>
      <c r="X128" s="123" t="str">
        <f>VLOOKUP(AuswertungH[[#This Row],[Name]],PositionH[],21,FALSE)</f>
        <v>[6]</v>
      </c>
      <c r="Y128" s="123">
        <f>VLOOKUP(AuswertungH[[#This Row],[Name]],PositionH[],22,FALSE)</f>
        <v>1</v>
      </c>
      <c r="Z128" s="123" t="str">
        <f>VLOOKUP(AuswertungH[[#This Row],[Name]],PositionH[],23,FALSE)</f>
        <v>[6]</v>
      </c>
      <c r="AA128" s="121">
        <f>IF(AuswertungH[[#This Row],[Spiele MP H]]="","",ROUND(VLOOKUP(AuswertungH[[#This Row],[Name]],PositionH[],24,FALSE),2))</f>
        <v>1</v>
      </c>
      <c r="AB128" s="123">
        <f>IFERROR(AVERAGEIFS(Eingabe[Rang],Eingabe[Name],AuswertungH[[#This Row],[Name]],Eingabe[Wo],"H"),"")</f>
        <v>1</v>
      </c>
      <c r="AC128"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152 [1]</v>
      </c>
      <c r="AD128" s="123" cm="1">
        <f t="array" ref="AD128">IFERROR(ROUND(MEDIAN(_xlfn._xlws.FILTER(Eingabe[GES],(Eingabe[Name]=AuswertungH[[#This Row],[Name]])*(Eingabe[Wo]="H"))),0),"")</f>
        <v>538</v>
      </c>
      <c r="AE128" s="121">
        <f>IFERROR(AuswertungH[[#This Row],[STABW H]]/AuswertungH[[#This Row],[GES H]],"")</f>
        <v>0</v>
      </c>
      <c r="AF128" s="123" cm="1">
        <f t="array" ref="AF128">IFERROR(ROUND(_xlfn.QUARTILE.INC(_xlfn._xlws.FILTER(Eingabe[GES],(Eingabe[Name]=AuswertungH[[#This Row],[Name]])*(Eingabe[Wo]="H")),3)-_xlfn.QUARTILE.INC(_xlfn._xlws.FILTER(Eingabe[GES],(Eingabe[Name]=AuswertungH[[#This Row],[Name]])*(Eingabe[Wo]="H")),1),0),"")</f>
        <v>0</v>
      </c>
      <c r="AG128" s="123" t="str">
        <f>IFERROR(1/AuswertungH[[#This Row],[VK H]],"")</f>
        <v/>
      </c>
      <c r="AH128" s="123">
        <f>IFERROR(AuswertungH[[#This Row],[Volle H]]/AuswertungH[[#This Row],[Räumer H]]-2,"")</f>
        <v>9.1954022988505635E-2</v>
      </c>
      <c r="AI128" s="117">
        <f>IFERROR(ROUND((AuswertungH[[#This Row],[Spiele H]]*60)/(AuswertungH[[#This Row],[Fehler H]]*AuswertungH[[#This Row],[Spiele H]]),0),"")</f>
        <v>10</v>
      </c>
      <c r="AJ128" s="123" t="str" cm="1">
        <f t="array" ref="AJ128">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28" s="267" t="str">
        <f>IFERROR(ROUND(AVERAGEIFS(Eingabe[MP],Eingabe[Diff],"&lt;15",Eingabe[Name],AuswertungH[[#This Row],[Name]],Eingabe[Wo],"H")-AuswertungH[[#This Row],[MP H]],2),"")</f>
        <v/>
      </c>
      <c r="AL128" s="117" t="str" cm="1">
        <f t="array" ref="AL128">IFERROR(ROUND(AVERAGE(_xlfn._xlws.FILTER(Eingabe[GES],(Eingabe[Name]=AuswertungH[[#This Row],[Name]])*(Eingabe[Wo]="H")*(Eingabe[GEGGES]&gt;(AuswertungH[[#This Row],[GES H]]+20))))-AuswertungH[[#This Row],[GES H]],0),"")</f>
        <v/>
      </c>
      <c r="AM128" s="117" cm="1">
        <f t="array" ref="AM128">IFERROR(ROUND(AVERAGE(_xlfn._xlws.FILTER(Eingabe[GES],(Eingabe[Name]=AuswertungH[[#This Row],[Name]])*(Eingabe[Wo]="H")*(Eingabe[GEGGES]&lt;(AuswertungH[[#This Row],[GES H]]-20))))-AuswertungH[[#This Row],[GES H]],0),"")</f>
        <v>0</v>
      </c>
    </row>
    <row r="129" spans="2:39" x14ac:dyDescent="0.3">
      <c r="B129" s="285" t="str">
        <f t="shared" si="2"/>
        <v>Katrin Fiedler</v>
      </c>
      <c r="C129" s="119" t="str">
        <f>IF(AuswertungH[[#This Row],[Name]]="","",VLOOKUP(AuswertungH[[#This Row],[Name]],Teamzuordnung[[Name]:[Team]],2,TRUE))</f>
        <v>F</v>
      </c>
      <c r="D129" s="122">
        <f>COUNTIFS(Eingabe[Name],AuswertungH[[#This Row],[Name]],Eingabe[Wo],"H")</f>
        <v>0</v>
      </c>
      <c r="E129" s="117" t="str">
        <f>IF(AuswertungH[[#This Row],[Spiele H]]="","",IF(AuswertungH[[#This Row],[Spiele H]]-COUNTIFS(Eingabe[Name],AuswertungH[[#This Row],[Name]],Eingabe[MP],"",Eingabe[Wo],"H")=0,"",AuswertungH[[#This Row],[Spiele H]]-COUNTIFS(Eingabe[Name],AuswertungH[[#This Row],[Name]],Eingabe[MP],"",Eingabe[Wo],"H")))</f>
        <v/>
      </c>
      <c r="F129" s="117" t="str">
        <f>IFERROR(ROUND(AVERAGEIFS(Eingabe[Volle],Eingabe[Name],AuswertungH[[#This Row],[Name]],Eingabe[Wo],"H"),0),"")</f>
        <v/>
      </c>
      <c r="G129" s="117" t="str">
        <f>IFERROR(ROUND(AVERAGEIFS(Eingabe[Räumer],Eingabe[Name],AuswertungH[[#This Row],[Name]],Eingabe[Wo],"H"),0),"")</f>
        <v/>
      </c>
      <c r="H129" s="123" t="str">
        <f>IFERROR(ROUND(AVERAGEIFS(Eingabe[Fehler],Eingabe[Name],AuswertungH[[#This Row],[Name]],Eingabe[Wo],"H"),1),"")</f>
        <v/>
      </c>
      <c r="I129" s="117" t="str">
        <f>IFERROR(ROUND(AVERAGEIFS(Eingabe[GES],Eingabe[Name],AuswertungH[[#This Row],[Name]],Eingabe[Wo],"H"),0),"")</f>
        <v/>
      </c>
      <c r="J129" s="123" t="str">
        <f>IFERROR(ROUND(AVERAGEIFS(Eingabe[SP],Eingabe[Name],AuswertungH[[#This Row],[Name]],Eingabe[Wo],"H"),2),"")</f>
        <v/>
      </c>
      <c r="K129" s="121" t="str">
        <f>IFERROR(ROUND(AVERAGEIFS(Eingabe[MP],Eingabe[Name],AuswertungH[[#This Row],[Name]],Eingabe[Wo],"H"),2),"")</f>
        <v/>
      </c>
      <c r="L129" s="117" t="str">
        <f>IFERROR(ROUND(AVERAGEIFS(Eingabe[S1],Eingabe[Name],AuswertungH[[#This Row],[Name]],Eingabe[Wo],"H"),0),"")</f>
        <v/>
      </c>
      <c r="M129" s="268" t="str">
        <f>IFERROR(ROUND(AVERAGEIFS(Eingabe[S2],Eingabe[Name],AuswertungH[[#This Row],[Name]],Eingabe[Wo],"H"),0),"")</f>
        <v/>
      </c>
      <c r="N129" s="117" t="str">
        <f>IFERROR(ROUND(AVERAGEIFS(Eingabe[S3],Eingabe[Name],AuswertungH[[#This Row],[Name]],Eingabe[Wo],"H"),0),"")</f>
        <v/>
      </c>
      <c r="O129" s="268" t="str">
        <f>IFERROR(ROUND(AVERAGEIFS(Eingabe[S4],Eingabe[Name],AuswertungH[[#This Row],[Name]],Eingabe[Wo],"H"),0),"")</f>
        <v/>
      </c>
      <c r="P129" s="121" t="str">
        <f>IFERROR(ROUND(AVERAGEIFS(Eingabe[S1P],Eingabe[Name],AuswertungH[[#This Row],[Name]],Eingabe[Wo],"H"),2),"")</f>
        <v/>
      </c>
      <c r="Q129" s="121" t="str">
        <f>IFERROR(ROUND(AVERAGEIFS(Eingabe[S2P],Eingabe[Name],AuswertungH[[#This Row],[Name]],Eingabe[Wo],"H"),2),"")</f>
        <v/>
      </c>
      <c r="R129" s="121" t="str">
        <f>IFERROR(ROUND(AVERAGEIFS(Eingabe[S3P],Eingabe[Name],AuswertungH[[#This Row],[Name]],Eingabe[Wo],"H"),2),"")</f>
        <v/>
      </c>
      <c r="S129" s="121" t="str">
        <f>IFERROR(ROUND(AVERAGEIFS(Eingabe[S4P],Eingabe[Name],AuswertungH[[#This Row],[Name]],Eingabe[Wo],"H"),2),"")</f>
        <v/>
      </c>
      <c r="T129" s="123" cm="1">
        <f t="array" ref="T129">IFERROR(ROUND(SLOPE(_xlfn._xlws.FILTER(Eingabe[GES],(Eingabe[Name]=AuswertungH[[#This Row],[Name]])*(Eingabe[Wo]="H")),_xlfn._xlws.FILTER(Eingabe[KW],(Eingabe[Name]=AuswertungH[[#This Row],[Name]])*(Eingabe[Wo]="H"))),2),0)</f>
        <v>0</v>
      </c>
      <c r="U129" s="123" t="str" cm="1">
        <f t="array" ref="U129">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29" s="117" t="str" cm="1">
        <f t="array" ref="V129">IFERROR(ROUND(_xlfn.STDEV.P(_xlfn._xlws.FILTER(Eingabe[GES],(Eingabe[Name]=AuswertungH[[#This Row],[Name]])*(Eingabe[Wo]="H"))),0),"")</f>
        <v/>
      </c>
      <c r="W129" s="117" t="str">
        <f>IF(AuswertungH[[#This Row],[Spiele MP H]]="","",ROUND(AVERAGEIFS(Eingabe[GEGGES],Eingabe[Name],AuswertungH[[#This Row],[Name]],Eingabe[Wo],"H"),0))</f>
        <v/>
      </c>
      <c r="X129" s="123" t="str">
        <f>VLOOKUP(AuswertungH[[#This Row],[Name]],PositionH[],21,FALSE)</f>
        <v/>
      </c>
      <c r="Y129" s="123" t="str">
        <f>VLOOKUP(AuswertungH[[#This Row],[Name]],PositionH[],22,FALSE)</f>
        <v/>
      </c>
      <c r="Z129" s="123" t="str">
        <f>VLOOKUP(AuswertungH[[#This Row],[Name]],PositionH[],23,FALSE)</f>
        <v/>
      </c>
      <c r="AA129" s="121" t="str">
        <f>IF(AuswertungH[[#This Row],[Spiele MP H]]="","",ROUND(VLOOKUP(AuswertungH[[#This Row],[Name]],PositionH[],24,FALSE),2))</f>
        <v/>
      </c>
      <c r="AB129" s="123" t="str">
        <f>IFERROR(AVERAGEIFS(Eingabe[Rang],Eingabe[Name],AuswertungH[[#This Row],[Name]],Eingabe[Wo],"H"),"")</f>
        <v/>
      </c>
      <c r="AC129"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29" s="123" t="str" cm="1">
        <f t="array" ref="AD129">IFERROR(ROUND(MEDIAN(_xlfn._xlws.FILTER(Eingabe[GES],(Eingabe[Name]=AuswertungH[[#This Row],[Name]])*(Eingabe[Wo]="H"))),0),"")</f>
        <v/>
      </c>
      <c r="AE129" s="121" t="str">
        <f>IFERROR(AuswertungH[[#This Row],[STABW H]]/AuswertungH[[#This Row],[GES H]],"")</f>
        <v/>
      </c>
      <c r="AF129" s="123" t="str" cm="1">
        <f t="array" ref="AF129">IFERROR(ROUND(_xlfn.QUARTILE.INC(_xlfn._xlws.FILTER(Eingabe[GES],(Eingabe[Name]=AuswertungH[[#This Row],[Name]])*(Eingabe[Wo]="H")),3)-_xlfn.QUARTILE.INC(_xlfn._xlws.FILTER(Eingabe[GES],(Eingabe[Name]=AuswertungH[[#This Row],[Name]])*(Eingabe[Wo]="H")),1),0),"")</f>
        <v/>
      </c>
      <c r="AG129" s="123" t="str">
        <f>IFERROR(1/AuswertungH[[#This Row],[VK H]],"")</f>
        <v/>
      </c>
      <c r="AH129" s="123" t="str">
        <f>IFERROR(AuswertungH[[#This Row],[Volle H]]/AuswertungH[[#This Row],[Räumer H]]-2,"")</f>
        <v/>
      </c>
      <c r="AI129" s="117" t="str">
        <f>IFERROR(ROUND((AuswertungH[[#This Row],[Spiele H]]*60)/(AuswertungH[[#This Row],[Fehler H]]*AuswertungH[[#This Row],[Spiele H]]),0),"")</f>
        <v/>
      </c>
      <c r="AJ129" s="123" t="str" cm="1">
        <f t="array" ref="AJ129">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29" s="267" t="str">
        <f>IFERROR(ROUND(AVERAGEIFS(Eingabe[MP],Eingabe[Diff],"&lt;15",Eingabe[Name],AuswertungH[[#This Row],[Name]],Eingabe[Wo],"H")-AuswertungH[[#This Row],[MP H]],2),"")</f>
        <v/>
      </c>
      <c r="AL129" s="117" t="str" cm="1">
        <f t="array" ref="AL129">IFERROR(ROUND(AVERAGE(_xlfn._xlws.FILTER(Eingabe[GES],(Eingabe[Name]=AuswertungH[[#This Row],[Name]])*(Eingabe[Wo]="H")*(Eingabe[GEGGES]&gt;(AuswertungH[[#This Row],[GES H]]+20))))-AuswertungH[[#This Row],[GES H]],0),"")</f>
        <v/>
      </c>
      <c r="AM129" s="117" t="str" cm="1">
        <f t="array" ref="AM129">IFERROR(ROUND(AVERAGE(_xlfn._xlws.FILTER(Eingabe[GES],(Eingabe[Name]=AuswertungH[[#This Row],[Name]])*(Eingabe[Wo]="H")*(Eingabe[GEGGES]&lt;(AuswertungH[[#This Row],[GES H]]-20))))-AuswertungH[[#This Row],[GES H]],0),"")</f>
        <v/>
      </c>
    </row>
    <row r="130" spans="2:39" x14ac:dyDescent="0.3">
      <c r="B130" s="285" t="str">
        <f t="shared" si="2"/>
        <v>Katrin Keller</v>
      </c>
      <c r="C130" s="119" t="str">
        <f>IF(AuswertungH[[#This Row],[Name]]="","",VLOOKUP(AuswertungH[[#This Row],[Name]],Teamzuordnung[[Name]:[Team]],2,TRUE))</f>
        <v>F</v>
      </c>
      <c r="D130" s="122">
        <f>COUNTIFS(Eingabe[Name],AuswertungH[[#This Row],[Name]],Eingabe[Wo],"H")</f>
        <v>2</v>
      </c>
      <c r="E130" s="117">
        <f>IF(AuswertungH[[#This Row],[Spiele H]]="","",IF(AuswertungH[[#This Row],[Spiele H]]-COUNTIFS(Eingabe[Name],AuswertungH[[#This Row],[Name]],Eingabe[MP],"",Eingabe[Wo],"H")=0,"",AuswertungH[[#This Row],[Spiele H]]-COUNTIFS(Eingabe[Name],AuswertungH[[#This Row],[Name]],Eingabe[MP],"",Eingabe[Wo],"H")))</f>
        <v>2</v>
      </c>
      <c r="F130" s="117">
        <f>IFERROR(ROUND(AVERAGEIFS(Eingabe[Volle],Eingabe[Name],AuswertungH[[#This Row],[Name]],Eingabe[Wo],"H"),0),"")</f>
        <v>358</v>
      </c>
      <c r="G130" s="117">
        <f>IFERROR(ROUND(AVERAGEIFS(Eingabe[Räumer],Eingabe[Name],AuswertungH[[#This Row],[Name]],Eingabe[Wo],"H"),0),"")</f>
        <v>160</v>
      </c>
      <c r="H130" s="123">
        <f>IFERROR(ROUND(AVERAGEIFS(Eingabe[Fehler],Eingabe[Name],AuswertungH[[#This Row],[Name]],Eingabe[Wo],"H"),1),"")</f>
        <v>9.5</v>
      </c>
      <c r="I130" s="117">
        <f>IFERROR(ROUND(AVERAGEIFS(Eingabe[GES],Eingabe[Name],AuswertungH[[#This Row],[Name]],Eingabe[Wo],"H"),0),"")</f>
        <v>518</v>
      </c>
      <c r="J130" s="123">
        <f>IFERROR(ROUND(AVERAGEIFS(Eingabe[SP],Eingabe[Name],AuswertungH[[#This Row],[Name]],Eingabe[Wo],"H"),2),"")</f>
        <v>2.5</v>
      </c>
      <c r="K130" s="121">
        <f>IFERROR(ROUND(AVERAGEIFS(Eingabe[MP],Eingabe[Name],AuswertungH[[#This Row],[Name]],Eingabe[Wo],"H"),2),"")</f>
        <v>1</v>
      </c>
      <c r="L130" s="117">
        <f>IFERROR(ROUND(AVERAGEIFS(Eingabe[S1],Eingabe[Name],AuswertungH[[#This Row],[Name]],Eingabe[Wo],"H"),0),"")</f>
        <v>126</v>
      </c>
      <c r="M130" s="268">
        <f>IFERROR(ROUND(AVERAGEIFS(Eingabe[S2],Eingabe[Name],AuswertungH[[#This Row],[Name]],Eingabe[Wo],"H"),0),"")</f>
        <v>131</v>
      </c>
      <c r="N130" s="117">
        <f>IFERROR(ROUND(AVERAGEIFS(Eingabe[S3],Eingabe[Name],AuswertungH[[#This Row],[Name]],Eingabe[Wo],"H"),0),"")</f>
        <v>130</v>
      </c>
      <c r="O130" s="268">
        <f>IFERROR(ROUND(AVERAGEIFS(Eingabe[S4],Eingabe[Name],AuswertungH[[#This Row],[Name]],Eingabe[Wo],"H"),0),"")</f>
        <v>132</v>
      </c>
      <c r="P130" s="121">
        <f>IFERROR(ROUND(AVERAGEIFS(Eingabe[S1P],Eingabe[Name],AuswertungH[[#This Row],[Name]],Eingabe[Wo],"H"),2),"")</f>
        <v>0.5</v>
      </c>
      <c r="Q130" s="121">
        <f>IFERROR(ROUND(AVERAGEIFS(Eingabe[S2P],Eingabe[Name],AuswertungH[[#This Row],[Name]],Eingabe[Wo],"H"),2),"")</f>
        <v>1</v>
      </c>
      <c r="R130" s="121">
        <f>IFERROR(ROUND(AVERAGEIFS(Eingabe[S3P],Eingabe[Name],AuswertungH[[#This Row],[Name]],Eingabe[Wo],"H"),2),"")</f>
        <v>1</v>
      </c>
      <c r="S130" s="121">
        <f>IFERROR(ROUND(AVERAGEIFS(Eingabe[S4P],Eingabe[Name],AuswertungH[[#This Row],[Name]],Eingabe[Wo],"H"),2),"")</f>
        <v>0</v>
      </c>
      <c r="T130" s="123" cm="1">
        <f t="array" ref="T130">IFERROR(ROUND(SLOPE(_xlfn._xlws.FILTER(Eingabe[GES],(Eingabe[Name]=AuswertungH[[#This Row],[Name]])*(Eingabe[Wo]="H")),_xlfn._xlws.FILTER(Eingabe[KW],(Eingabe[Name]=AuswertungH[[#This Row],[Name]])*(Eingabe[Wo]="H"))),2),0)</f>
        <v>-2.44</v>
      </c>
      <c r="U130" s="123" cm="1">
        <f t="array" ref="U130">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-2.44</v>
      </c>
      <c r="V130" s="117" cm="1">
        <f t="array" ref="V130">IFERROR(ROUND(_xlfn.STDEV.P(_xlfn._xlws.FILTER(Eingabe[GES],(Eingabe[Name]=AuswertungH[[#This Row],[Name]])*(Eingabe[Wo]="H"))),0),"")</f>
        <v>20</v>
      </c>
      <c r="W130" s="117">
        <f>IF(AuswertungH[[#This Row],[Spiele MP H]]="","",ROUND(AVERAGEIFS(Eingabe[GEGGES],Eingabe[Name],AuswertungH[[#This Row],[Name]],Eingabe[Wo],"H"),0))</f>
        <v>503</v>
      </c>
      <c r="X130" s="123" t="str">
        <f>VLOOKUP(AuswertungH[[#This Row],[Name]],PositionH[],21,FALSE)</f>
        <v>[1][3]</v>
      </c>
      <c r="Y130" s="123">
        <f>VLOOKUP(AuswertungH[[#This Row],[Name]],PositionH[],22,FALSE)</f>
        <v>1</v>
      </c>
      <c r="Z130" s="123" t="str">
        <f>VLOOKUP(AuswertungH[[#This Row],[Name]],PositionH[],23,FALSE)</f>
        <v>[1][3]</v>
      </c>
      <c r="AA130" s="121">
        <f>IF(AuswertungH[[#This Row],[Spiele MP H]]="","",ROUND(VLOOKUP(AuswertungH[[#This Row],[Name]],PositionH[],24,FALSE),2))</f>
        <v>1</v>
      </c>
      <c r="AB130" s="123">
        <f>IFERROR(AVERAGEIFS(Eingabe[Rang],Eingabe[Name],AuswertungH[[#This Row],[Name]],Eingabe[Wo],"H"),"")</f>
        <v>3</v>
      </c>
      <c r="AC130"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132 [3]</v>
      </c>
      <c r="AD130" s="123" cm="1">
        <f t="array" ref="AD130">IFERROR(ROUND(MEDIAN(_xlfn._xlws.FILTER(Eingabe[GES],(Eingabe[Name]=AuswertungH[[#This Row],[Name]])*(Eingabe[Wo]="H"))),0),"")</f>
        <v>518</v>
      </c>
      <c r="AE130" s="121">
        <f>IFERROR(AuswertungH[[#This Row],[STABW H]]/AuswertungH[[#This Row],[GES H]],"")</f>
        <v>3.8610038610038609E-2</v>
      </c>
      <c r="AF130" s="123" cm="1">
        <f t="array" ref="AF130">IFERROR(ROUND(_xlfn.QUARTILE.INC(_xlfn._xlws.FILTER(Eingabe[GES],(Eingabe[Name]=AuswertungH[[#This Row],[Name]])*(Eingabe[Wo]="H")),3)-_xlfn.QUARTILE.INC(_xlfn._xlws.FILTER(Eingabe[GES],(Eingabe[Name]=AuswertungH[[#This Row],[Name]])*(Eingabe[Wo]="H")),1),0),"")</f>
        <v>20</v>
      </c>
      <c r="AG130" s="123">
        <f>IFERROR(1/AuswertungH[[#This Row],[VK H]],"")</f>
        <v>25.900000000000002</v>
      </c>
      <c r="AH130" s="123">
        <f>IFERROR(AuswertungH[[#This Row],[Volle H]]/AuswertungH[[#This Row],[Räumer H]]-2,"")</f>
        <v>0.23749999999999982</v>
      </c>
      <c r="AI130" s="117">
        <f>IFERROR(ROUND((AuswertungH[[#This Row],[Spiele H]]*60)/(AuswertungH[[#This Row],[Fehler H]]*AuswertungH[[#This Row],[Spiele H]]),0),"")</f>
        <v>6</v>
      </c>
      <c r="AJ130" s="123" cm="1">
        <f t="array" ref="AJ130">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-1</v>
      </c>
      <c r="AK130" s="267">
        <f>IFERROR(ROUND(AVERAGEIFS(Eingabe[MP],Eingabe[Diff],"&lt;15",Eingabe[Name],AuswertungH[[#This Row],[Name]],Eingabe[Wo],"H")-AuswertungH[[#This Row],[MP H]],2),"")</f>
        <v>0</v>
      </c>
      <c r="AL130" s="117" t="str" cm="1">
        <f t="array" ref="AL130">IFERROR(ROUND(AVERAGE(_xlfn._xlws.FILTER(Eingabe[GES],(Eingabe[Name]=AuswertungH[[#This Row],[Name]])*(Eingabe[Wo]="H")*(Eingabe[GEGGES]&gt;(AuswertungH[[#This Row],[GES H]]+20))))-AuswertungH[[#This Row],[GES H]],0),"")</f>
        <v/>
      </c>
      <c r="AM130" s="117" cm="1">
        <f t="array" ref="AM130">IFERROR(ROUND(AVERAGE(_xlfn._xlws.FILTER(Eingabe[GES],(Eingabe[Name]=AuswertungH[[#This Row],[Name]])*(Eingabe[Wo]="H")*(Eingabe[GEGGES]&lt;(AuswertungH[[#This Row],[GES H]]-20))))-AuswertungH[[#This Row],[GES H]],0),"")</f>
        <v>-20</v>
      </c>
    </row>
    <row r="131" spans="2:39" x14ac:dyDescent="0.3">
      <c r="B131" s="285" t="str">
        <f t="shared" si="2"/>
        <v>Konrad Scheller</v>
      </c>
      <c r="C131" s="119" t="str">
        <f>IF(AuswertungH[[#This Row],[Name]]="","",VLOOKUP(AuswertungH[[#This Row],[Name]],Teamzuordnung[[Name]:[Team]],2,TRUE))</f>
        <v>D</v>
      </c>
      <c r="D131" s="122">
        <f>COUNTIFS(Eingabe[Name],AuswertungH[[#This Row],[Name]],Eingabe[Wo],"H")</f>
        <v>0</v>
      </c>
      <c r="E131" s="117" t="str">
        <f>IF(AuswertungH[[#This Row],[Spiele H]]="","",IF(AuswertungH[[#This Row],[Spiele H]]-COUNTIFS(Eingabe[Name],AuswertungH[[#This Row],[Name]],Eingabe[MP],"",Eingabe[Wo],"H")=0,"",AuswertungH[[#This Row],[Spiele H]]-COUNTIFS(Eingabe[Name],AuswertungH[[#This Row],[Name]],Eingabe[MP],"",Eingabe[Wo],"H")))</f>
        <v/>
      </c>
      <c r="F131" s="117" t="str">
        <f>IFERROR(ROUND(AVERAGEIFS(Eingabe[Volle],Eingabe[Name],AuswertungH[[#This Row],[Name]],Eingabe[Wo],"H"),0),"")</f>
        <v/>
      </c>
      <c r="G131" s="117" t="str">
        <f>IFERROR(ROUND(AVERAGEIFS(Eingabe[Räumer],Eingabe[Name],AuswertungH[[#This Row],[Name]],Eingabe[Wo],"H"),0),"")</f>
        <v/>
      </c>
      <c r="H131" s="123" t="str">
        <f>IFERROR(ROUND(AVERAGEIFS(Eingabe[Fehler],Eingabe[Name],AuswertungH[[#This Row],[Name]],Eingabe[Wo],"H"),1),"")</f>
        <v/>
      </c>
      <c r="I131" s="117" t="str">
        <f>IFERROR(ROUND(AVERAGEIFS(Eingabe[GES],Eingabe[Name],AuswertungH[[#This Row],[Name]],Eingabe[Wo],"H"),0),"")</f>
        <v/>
      </c>
      <c r="J131" s="123" t="str">
        <f>IFERROR(ROUND(AVERAGEIFS(Eingabe[SP],Eingabe[Name],AuswertungH[[#This Row],[Name]],Eingabe[Wo],"H"),2),"")</f>
        <v/>
      </c>
      <c r="K131" s="121" t="str">
        <f>IFERROR(ROUND(AVERAGEIFS(Eingabe[MP],Eingabe[Name],AuswertungH[[#This Row],[Name]],Eingabe[Wo],"H"),2),"")</f>
        <v/>
      </c>
      <c r="L131" s="117" t="str">
        <f>IFERROR(ROUND(AVERAGEIFS(Eingabe[S1],Eingabe[Name],AuswertungH[[#This Row],[Name]],Eingabe[Wo],"H"),0),"")</f>
        <v/>
      </c>
      <c r="M131" s="268" t="str">
        <f>IFERROR(ROUND(AVERAGEIFS(Eingabe[S2],Eingabe[Name],AuswertungH[[#This Row],[Name]],Eingabe[Wo],"H"),0),"")</f>
        <v/>
      </c>
      <c r="N131" s="117" t="str">
        <f>IFERROR(ROUND(AVERAGEIFS(Eingabe[S3],Eingabe[Name],AuswertungH[[#This Row],[Name]],Eingabe[Wo],"H"),0),"")</f>
        <v/>
      </c>
      <c r="O131" s="268" t="str">
        <f>IFERROR(ROUND(AVERAGEIFS(Eingabe[S4],Eingabe[Name],AuswertungH[[#This Row],[Name]],Eingabe[Wo],"H"),0),"")</f>
        <v/>
      </c>
      <c r="P131" s="121" t="str">
        <f>IFERROR(ROUND(AVERAGEIFS(Eingabe[S1P],Eingabe[Name],AuswertungH[[#This Row],[Name]],Eingabe[Wo],"H"),2),"")</f>
        <v/>
      </c>
      <c r="Q131" s="121" t="str">
        <f>IFERROR(ROUND(AVERAGEIFS(Eingabe[S2P],Eingabe[Name],AuswertungH[[#This Row],[Name]],Eingabe[Wo],"H"),2),"")</f>
        <v/>
      </c>
      <c r="R131" s="121" t="str">
        <f>IFERROR(ROUND(AVERAGEIFS(Eingabe[S3P],Eingabe[Name],AuswertungH[[#This Row],[Name]],Eingabe[Wo],"H"),2),"")</f>
        <v/>
      </c>
      <c r="S131" s="121" t="str">
        <f>IFERROR(ROUND(AVERAGEIFS(Eingabe[S4P],Eingabe[Name],AuswertungH[[#This Row],[Name]],Eingabe[Wo],"H"),2),"")</f>
        <v/>
      </c>
      <c r="T131" s="123" cm="1">
        <f t="array" ref="T131">IFERROR(ROUND(SLOPE(_xlfn._xlws.FILTER(Eingabe[GES],(Eingabe[Name]=AuswertungH[[#This Row],[Name]])*(Eingabe[Wo]="H")),_xlfn._xlws.FILTER(Eingabe[KW],(Eingabe[Name]=AuswertungH[[#This Row],[Name]])*(Eingabe[Wo]="H"))),2),0)</f>
        <v>0</v>
      </c>
      <c r="U131" s="123" t="str" cm="1">
        <f t="array" ref="U131">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31" s="117" t="str" cm="1">
        <f t="array" ref="V131">IFERROR(ROUND(_xlfn.STDEV.P(_xlfn._xlws.FILTER(Eingabe[GES],(Eingabe[Name]=AuswertungH[[#This Row],[Name]])*(Eingabe[Wo]="H"))),0),"")</f>
        <v/>
      </c>
      <c r="W131" s="117" t="str">
        <f>IF(AuswertungH[[#This Row],[Spiele MP H]]="","",ROUND(AVERAGEIFS(Eingabe[GEGGES],Eingabe[Name],AuswertungH[[#This Row],[Name]],Eingabe[Wo],"H"),0))</f>
        <v/>
      </c>
      <c r="X131" s="123" t="str">
        <f>VLOOKUP(AuswertungH[[#This Row],[Name]],PositionH[],21,FALSE)</f>
        <v/>
      </c>
      <c r="Y131" s="123" t="str">
        <f>VLOOKUP(AuswertungH[[#This Row],[Name]],PositionH[],22,FALSE)</f>
        <v/>
      </c>
      <c r="Z131" s="123" t="str">
        <f>VLOOKUP(AuswertungH[[#This Row],[Name]],PositionH[],23,FALSE)</f>
        <v/>
      </c>
      <c r="AA131" s="121" t="str">
        <f>IF(AuswertungH[[#This Row],[Spiele MP H]]="","",ROUND(VLOOKUP(AuswertungH[[#This Row],[Name]],PositionH[],24,FALSE),2))</f>
        <v/>
      </c>
      <c r="AB131" s="123" t="str">
        <f>IFERROR(AVERAGEIFS(Eingabe[Rang],Eingabe[Name],AuswertungH[[#This Row],[Name]],Eingabe[Wo],"H"),"")</f>
        <v/>
      </c>
      <c r="AC131"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31" s="123" t="str" cm="1">
        <f t="array" ref="AD131">IFERROR(ROUND(MEDIAN(_xlfn._xlws.FILTER(Eingabe[GES],(Eingabe[Name]=AuswertungH[[#This Row],[Name]])*(Eingabe[Wo]="H"))),0),"")</f>
        <v/>
      </c>
      <c r="AE131" s="121" t="str">
        <f>IFERROR(AuswertungH[[#This Row],[STABW H]]/AuswertungH[[#This Row],[GES H]],"")</f>
        <v/>
      </c>
      <c r="AF131" s="123" t="str" cm="1">
        <f t="array" ref="AF131">IFERROR(ROUND(_xlfn.QUARTILE.INC(_xlfn._xlws.FILTER(Eingabe[GES],(Eingabe[Name]=AuswertungH[[#This Row],[Name]])*(Eingabe[Wo]="H")),3)-_xlfn.QUARTILE.INC(_xlfn._xlws.FILTER(Eingabe[GES],(Eingabe[Name]=AuswertungH[[#This Row],[Name]])*(Eingabe[Wo]="H")),1),0),"")</f>
        <v/>
      </c>
      <c r="AG131" s="123" t="str">
        <f>IFERROR(1/AuswertungH[[#This Row],[VK H]],"")</f>
        <v/>
      </c>
      <c r="AH131" s="123" t="str">
        <f>IFERROR(AuswertungH[[#This Row],[Volle H]]/AuswertungH[[#This Row],[Räumer H]]-2,"")</f>
        <v/>
      </c>
      <c r="AI131" s="117" t="str">
        <f>IFERROR(ROUND((AuswertungH[[#This Row],[Spiele H]]*60)/(AuswertungH[[#This Row],[Fehler H]]*AuswertungH[[#This Row],[Spiele H]]),0),"")</f>
        <v/>
      </c>
      <c r="AJ131" s="123" t="str" cm="1">
        <f t="array" ref="AJ131">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31" s="267" t="str">
        <f>IFERROR(ROUND(AVERAGEIFS(Eingabe[MP],Eingabe[Diff],"&lt;15",Eingabe[Name],AuswertungH[[#This Row],[Name]],Eingabe[Wo],"H")-AuswertungH[[#This Row],[MP H]],2),"")</f>
        <v/>
      </c>
      <c r="AL131" s="117" t="str" cm="1">
        <f t="array" ref="AL131">IFERROR(ROUND(AVERAGE(_xlfn._xlws.FILTER(Eingabe[GES],(Eingabe[Name]=AuswertungH[[#This Row],[Name]])*(Eingabe[Wo]="H")*(Eingabe[GEGGES]&gt;(AuswertungH[[#This Row],[GES H]]+20))))-AuswertungH[[#This Row],[GES H]],0),"")</f>
        <v/>
      </c>
      <c r="AM131" s="117" t="str" cm="1">
        <f t="array" ref="AM131">IFERROR(ROUND(AVERAGE(_xlfn._xlws.FILTER(Eingabe[GES],(Eingabe[Name]=AuswertungH[[#This Row],[Name]])*(Eingabe[Wo]="H")*(Eingabe[GEGGES]&lt;(AuswertungH[[#This Row],[GES H]]-20))))-AuswertungH[[#This Row],[GES H]],0),"")</f>
        <v/>
      </c>
    </row>
    <row r="132" spans="2:39" x14ac:dyDescent="0.3">
      <c r="B132" s="285" t="str">
        <f t="shared" si="2"/>
        <v>Lea Meinert</v>
      </c>
      <c r="C132" s="119" t="str">
        <f>IF(AuswertungH[[#This Row],[Name]]="","",VLOOKUP(AuswertungH[[#This Row],[Name]],Teamzuordnung[[Name]:[Team]],2,TRUE))</f>
        <v>F</v>
      </c>
      <c r="D132" s="122">
        <f>COUNTIFS(Eingabe[Name],AuswertungH[[#This Row],[Name]],Eingabe[Wo],"H")</f>
        <v>2</v>
      </c>
      <c r="E132" s="117">
        <f>IF(AuswertungH[[#This Row],[Spiele H]]="","",IF(AuswertungH[[#This Row],[Spiele H]]-COUNTIFS(Eingabe[Name],AuswertungH[[#This Row],[Name]],Eingabe[MP],"",Eingabe[Wo],"H")=0,"",AuswertungH[[#This Row],[Spiele H]]-COUNTIFS(Eingabe[Name],AuswertungH[[#This Row],[Name]],Eingabe[MP],"",Eingabe[Wo],"H")))</f>
        <v>2</v>
      </c>
      <c r="F132" s="117">
        <f>IFERROR(ROUND(AVERAGEIFS(Eingabe[Volle],Eingabe[Name],AuswertungH[[#This Row],[Name]],Eingabe[Wo],"H"),0),"")</f>
        <v>370</v>
      </c>
      <c r="G132" s="117">
        <f>IFERROR(ROUND(AVERAGEIFS(Eingabe[Räumer],Eingabe[Name],AuswertungH[[#This Row],[Name]],Eingabe[Wo],"H"),0),"")</f>
        <v>154</v>
      </c>
      <c r="H132" s="123">
        <f>IFERROR(ROUND(AVERAGEIFS(Eingabe[Fehler],Eingabe[Name],AuswertungH[[#This Row],[Name]],Eingabe[Wo],"H"),1),"")</f>
        <v>9</v>
      </c>
      <c r="I132" s="117">
        <f>IFERROR(ROUND(AVERAGEIFS(Eingabe[GES],Eingabe[Name],AuswertungH[[#This Row],[Name]],Eingabe[Wo],"H"),0),"")</f>
        <v>524</v>
      </c>
      <c r="J132" s="123">
        <f>IFERROR(ROUND(AVERAGEIFS(Eingabe[SP],Eingabe[Name],AuswertungH[[#This Row],[Name]],Eingabe[Wo],"H"),2),"")</f>
        <v>4</v>
      </c>
      <c r="K132" s="121">
        <f>IFERROR(ROUND(AVERAGEIFS(Eingabe[MP],Eingabe[Name],AuswertungH[[#This Row],[Name]],Eingabe[Wo],"H"),2),"")</f>
        <v>1</v>
      </c>
      <c r="L132" s="117">
        <f>IFERROR(ROUND(AVERAGEIFS(Eingabe[S1],Eingabe[Name],AuswertungH[[#This Row],[Name]],Eingabe[Wo],"H"),0),"")</f>
        <v>127</v>
      </c>
      <c r="M132" s="268">
        <f>IFERROR(ROUND(AVERAGEIFS(Eingabe[S2],Eingabe[Name],AuswertungH[[#This Row],[Name]],Eingabe[Wo],"H"),0),"")</f>
        <v>119</v>
      </c>
      <c r="N132" s="117">
        <f>IFERROR(ROUND(AVERAGEIFS(Eingabe[S3],Eingabe[Name],AuswertungH[[#This Row],[Name]],Eingabe[Wo],"H"),0),"")</f>
        <v>141</v>
      </c>
      <c r="O132" s="268">
        <f>IFERROR(ROUND(AVERAGEIFS(Eingabe[S4],Eingabe[Name],AuswertungH[[#This Row],[Name]],Eingabe[Wo],"H"),0),"")</f>
        <v>137</v>
      </c>
      <c r="P132" s="121">
        <f>IFERROR(ROUND(AVERAGEIFS(Eingabe[S1P],Eingabe[Name],AuswertungH[[#This Row],[Name]],Eingabe[Wo],"H"),2),"")</f>
        <v>1</v>
      </c>
      <c r="Q132" s="121">
        <f>IFERROR(ROUND(AVERAGEIFS(Eingabe[S2P],Eingabe[Name],AuswertungH[[#This Row],[Name]],Eingabe[Wo],"H"),2),"")</f>
        <v>1</v>
      </c>
      <c r="R132" s="121">
        <f>IFERROR(ROUND(AVERAGEIFS(Eingabe[S3P],Eingabe[Name],AuswertungH[[#This Row],[Name]],Eingabe[Wo],"H"),2),"")</f>
        <v>1</v>
      </c>
      <c r="S132" s="121">
        <f>IFERROR(ROUND(AVERAGEIFS(Eingabe[S4P],Eingabe[Name],AuswertungH[[#This Row],[Name]],Eingabe[Wo],"H"),2),"")</f>
        <v>1</v>
      </c>
      <c r="T132" s="123" cm="1">
        <f t="array" ref="T132">IFERROR(ROUND(SLOPE(_xlfn._xlws.FILTER(Eingabe[GES],(Eingabe[Name]=AuswertungH[[#This Row],[Name]])*(Eingabe[Wo]="H")),_xlfn._xlws.FILTER(Eingabe[KW],(Eingabe[Name]=AuswertungH[[#This Row],[Name]])*(Eingabe[Wo]="H"))),2),0)</f>
        <v>5.3</v>
      </c>
      <c r="U132" s="123" cm="1">
        <f t="array" ref="U132">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5.3</v>
      </c>
      <c r="V132" s="117" cm="1">
        <f t="array" ref="V132">IFERROR(ROUND(_xlfn.STDEV.P(_xlfn._xlws.FILTER(Eingabe[GES],(Eingabe[Name]=AuswertungH[[#This Row],[Name]])*(Eingabe[Wo]="H"))),0),"")</f>
        <v>27</v>
      </c>
      <c r="W132" s="117">
        <f>IF(AuswertungH[[#This Row],[Spiele MP H]]="","",ROUND(AVERAGEIFS(Eingabe[GEGGES],Eingabe[Name],AuswertungH[[#This Row],[Name]],Eingabe[Wo],"H"),0))</f>
        <v>434</v>
      </c>
      <c r="X132" s="123" t="str">
        <f>VLOOKUP(AuswertungH[[#This Row],[Name]],PositionH[],21,FALSE)</f>
        <v>[2][4]</v>
      </c>
      <c r="Y132" s="123">
        <f>VLOOKUP(AuswertungH[[#This Row],[Name]],PositionH[],22,FALSE)</f>
        <v>1</v>
      </c>
      <c r="Z132" s="123" t="str">
        <f>VLOOKUP(AuswertungH[[#This Row],[Name]],PositionH[],23,FALSE)</f>
        <v>[2][4]</v>
      </c>
      <c r="AA132" s="121">
        <f>IF(AuswertungH[[#This Row],[Spiele MP H]]="","",ROUND(VLOOKUP(AuswertungH[[#This Row],[Name]],PositionH[],24,FALSE),2))</f>
        <v>1</v>
      </c>
      <c r="AB132" s="123">
        <f>IFERROR(AVERAGEIFS(Eingabe[Rang],Eingabe[Name],AuswertungH[[#This Row],[Name]],Eingabe[Wo],"H"),"")</f>
        <v>3</v>
      </c>
      <c r="AC132"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141 [2]</v>
      </c>
      <c r="AD132" s="123" cm="1">
        <f t="array" ref="AD132">IFERROR(ROUND(MEDIAN(_xlfn._xlws.FILTER(Eingabe[GES],(Eingabe[Name]=AuswertungH[[#This Row],[Name]])*(Eingabe[Wo]="H"))),0),"")</f>
        <v>524</v>
      </c>
      <c r="AE132" s="121">
        <f>IFERROR(AuswertungH[[#This Row],[STABW H]]/AuswertungH[[#This Row],[GES H]],"")</f>
        <v>5.1526717557251911E-2</v>
      </c>
      <c r="AF132" s="123" cm="1">
        <f t="array" ref="AF132">IFERROR(ROUND(_xlfn.QUARTILE.INC(_xlfn._xlws.FILTER(Eingabe[GES],(Eingabe[Name]=AuswertungH[[#This Row],[Name]])*(Eingabe[Wo]="H")),3)-_xlfn.QUARTILE.INC(_xlfn._xlws.FILTER(Eingabe[GES],(Eingabe[Name]=AuswertungH[[#This Row],[Name]])*(Eingabe[Wo]="H")),1),0),"")</f>
        <v>27</v>
      </c>
      <c r="AG132" s="123">
        <f>IFERROR(1/AuswertungH[[#This Row],[VK H]],"")</f>
        <v>19.407407407407405</v>
      </c>
      <c r="AH132" s="123">
        <f>IFERROR(AuswertungH[[#This Row],[Volle H]]/AuswertungH[[#This Row],[Räumer H]]-2,"")</f>
        <v>0.40259740259740262</v>
      </c>
      <c r="AI132" s="117">
        <f>IFERROR(ROUND((AuswertungH[[#This Row],[Spiele H]]*60)/(AuswertungH[[#This Row],[Fehler H]]*AuswertungH[[#This Row],[Spiele H]]),0),"")</f>
        <v>7</v>
      </c>
      <c r="AJ132" s="123" t="str" cm="1">
        <f t="array" ref="AJ132">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32" s="267" t="str">
        <f>IFERROR(ROUND(AVERAGEIFS(Eingabe[MP],Eingabe[Diff],"&lt;15",Eingabe[Name],AuswertungH[[#This Row],[Name]],Eingabe[Wo],"H")-AuswertungH[[#This Row],[MP H]],2),"")</f>
        <v/>
      </c>
      <c r="AL132" s="117" t="str" cm="1">
        <f t="array" ref="AL132">IFERROR(ROUND(AVERAGE(_xlfn._xlws.FILTER(Eingabe[GES],(Eingabe[Name]=AuswertungH[[#This Row],[Name]])*(Eingabe[Wo]="H")*(Eingabe[GEGGES]&gt;(AuswertungH[[#This Row],[GES H]]+20))))-AuswertungH[[#This Row],[GES H]],0),"")</f>
        <v/>
      </c>
      <c r="AM132" s="117" cm="1">
        <f t="array" ref="AM132">IFERROR(ROUND(AVERAGE(_xlfn._xlws.FILTER(Eingabe[GES],(Eingabe[Name]=AuswertungH[[#This Row],[Name]])*(Eingabe[Wo]="H")*(Eingabe[GEGGES]&lt;(AuswertungH[[#This Row],[GES H]]-20))))-AuswertungH[[#This Row],[GES H]],0),"")</f>
        <v>-1</v>
      </c>
    </row>
    <row r="133" spans="2:39" x14ac:dyDescent="0.3">
      <c r="B133" s="285" t="str">
        <f t="shared" si="2"/>
        <v>Lisa Marutschke</v>
      </c>
      <c r="C133" s="119" t="str">
        <f>IF(AuswertungH[[#This Row],[Name]]="","",VLOOKUP(AuswertungH[[#This Row],[Name]],Teamzuordnung[[Name]:[Team]],2,TRUE))</f>
        <v>U14</v>
      </c>
      <c r="D133" s="122">
        <f>COUNTIFS(Eingabe[Name],AuswertungH[[#This Row],[Name]],Eingabe[Wo],"H")</f>
        <v>2</v>
      </c>
      <c r="E133" s="117" t="str">
        <f>IF(AuswertungH[[#This Row],[Spiele H]]="","",IF(AuswertungH[[#This Row],[Spiele H]]-COUNTIFS(Eingabe[Name],AuswertungH[[#This Row],[Name]],Eingabe[MP],"",Eingabe[Wo],"H")=0,"",AuswertungH[[#This Row],[Spiele H]]-COUNTIFS(Eingabe[Name],AuswertungH[[#This Row],[Name]],Eingabe[MP],"",Eingabe[Wo],"H")))</f>
        <v/>
      </c>
      <c r="F133" s="117">
        <f>IFERROR(ROUND(AVERAGEIFS(Eingabe[Volle],Eingabe[Name],AuswertungH[[#This Row],[Name]],Eingabe[Wo],"H"),0),"")</f>
        <v>268</v>
      </c>
      <c r="G133" s="117">
        <f>IFERROR(ROUND(AVERAGEIFS(Eingabe[Räumer],Eingabe[Name],AuswertungH[[#This Row],[Name]],Eingabe[Wo],"H"),0),"")</f>
        <v>94</v>
      </c>
      <c r="H133" s="123">
        <f>IFERROR(ROUND(AVERAGEIFS(Eingabe[Fehler],Eingabe[Name],AuswertungH[[#This Row],[Name]],Eingabe[Wo],"H"),1),"")</f>
        <v>28.5</v>
      </c>
      <c r="I133" s="117">
        <f>IFERROR(ROUND(AVERAGEIFS(Eingabe[GES],Eingabe[Name],AuswertungH[[#This Row],[Name]],Eingabe[Wo],"H"),0),"")</f>
        <v>361</v>
      </c>
      <c r="J133" s="123" t="str">
        <f>IFERROR(ROUND(AVERAGEIFS(Eingabe[SP],Eingabe[Name],AuswertungH[[#This Row],[Name]],Eingabe[Wo],"H"),2),"")</f>
        <v/>
      </c>
      <c r="K133" s="121" t="str">
        <f>IFERROR(ROUND(AVERAGEIFS(Eingabe[MP],Eingabe[Name],AuswertungH[[#This Row],[Name]],Eingabe[Wo],"H"),2),"")</f>
        <v/>
      </c>
      <c r="L133" s="117">
        <f>IFERROR(ROUND(AVERAGEIFS(Eingabe[S1],Eingabe[Name],AuswertungH[[#This Row],[Name]],Eingabe[Wo],"H"),0),"")</f>
        <v>89</v>
      </c>
      <c r="M133" s="268">
        <f>IFERROR(ROUND(AVERAGEIFS(Eingabe[S2],Eingabe[Name],AuswertungH[[#This Row],[Name]],Eingabe[Wo],"H"),0),"")</f>
        <v>83</v>
      </c>
      <c r="N133" s="117">
        <f>IFERROR(ROUND(AVERAGEIFS(Eingabe[S3],Eingabe[Name],AuswertungH[[#This Row],[Name]],Eingabe[Wo],"H"),0),"")</f>
        <v>93</v>
      </c>
      <c r="O133" s="268">
        <f>IFERROR(ROUND(AVERAGEIFS(Eingabe[S4],Eingabe[Name],AuswertungH[[#This Row],[Name]],Eingabe[Wo],"H"),0),"")</f>
        <v>97</v>
      </c>
      <c r="P133" s="121" t="str">
        <f>IFERROR(ROUND(AVERAGEIFS(Eingabe[S1P],Eingabe[Name],AuswertungH[[#This Row],[Name]],Eingabe[Wo],"H"),2),"")</f>
        <v/>
      </c>
      <c r="Q133" s="121" t="str">
        <f>IFERROR(ROUND(AVERAGEIFS(Eingabe[S2P],Eingabe[Name],AuswertungH[[#This Row],[Name]],Eingabe[Wo],"H"),2),"")</f>
        <v/>
      </c>
      <c r="R133" s="121" t="str">
        <f>IFERROR(ROUND(AVERAGEIFS(Eingabe[S3P],Eingabe[Name],AuswertungH[[#This Row],[Name]],Eingabe[Wo],"H"),2),"")</f>
        <v/>
      </c>
      <c r="S133" s="121" t="str">
        <f>IFERROR(ROUND(AVERAGEIFS(Eingabe[S4P],Eingabe[Name],AuswertungH[[#This Row],[Name]],Eingabe[Wo],"H"),2),"")</f>
        <v/>
      </c>
      <c r="T133" s="123" cm="1">
        <f t="array" ref="T133">IFERROR(ROUND(SLOPE(_xlfn._xlws.FILTER(Eingabe[GES],(Eingabe[Name]=AuswertungH[[#This Row],[Name]])*(Eingabe[Wo]="H")),_xlfn._xlws.FILTER(Eingabe[KW],(Eingabe[Name]=AuswertungH[[#This Row],[Name]])*(Eingabe[Wo]="H"))),2),0)</f>
        <v>1.75</v>
      </c>
      <c r="U133" s="123" cm="1">
        <f t="array" ref="U133">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1.75</v>
      </c>
      <c r="V133" s="117" cm="1">
        <f t="array" ref="V133">IFERROR(ROUND(_xlfn.STDEV.P(_xlfn._xlws.FILTER(Eingabe[GES],(Eingabe[Name]=AuswertungH[[#This Row],[Name]])*(Eingabe[Wo]="H"))),0),"")</f>
        <v>14</v>
      </c>
      <c r="W133" s="117" t="str">
        <f>IF(AuswertungH[[#This Row],[Spiele MP H]]="","",ROUND(AVERAGEIFS(Eingabe[GEGGES],Eingabe[Name],AuswertungH[[#This Row],[Name]],Eingabe[Wo],"H"),0))</f>
        <v/>
      </c>
      <c r="X133" s="123" t="str">
        <f>VLOOKUP(AuswertungH[[#This Row],[Name]],PositionH[],21,FALSE)</f>
        <v/>
      </c>
      <c r="Y133" s="123" t="str">
        <f>VLOOKUP(AuswertungH[[#This Row],[Name]],PositionH[],22,FALSE)</f>
        <v/>
      </c>
      <c r="Z133" s="123" t="str">
        <f>VLOOKUP(AuswertungH[[#This Row],[Name]],PositionH[],23,FALSE)</f>
        <v/>
      </c>
      <c r="AA133" s="121" t="str">
        <f>IF(AuswertungH[[#This Row],[Spiele MP H]]="","",ROUND(VLOOKUP(AuswertungH[[#This Row],[Name]],PositionH[],24,FALSE),2))</f>
        <v/>
      </c>
      <c r="AB133" s="123">
        <f>IFERROR(AVERAGEIFS(Eingabe[Rang],Eingabe[Name],AuswertungH[[#This Row],[Name]],Eingabe[Wo],"H"),"")</f>
        <v>3</v>
      </c>
      <c r="AC133"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33" s="123" cm="1">
        <f t="array" ref="AD133">IFERROR(ROUND(MEDIAN(_xlfn._xlws.FILTER(Eingabe[GES],(Eingabe[Name]=AuswertungH[[#This Row],[Name]])*(Eingabe[Wo]="H"))),0),"")</f>
        <v>361</v>
      </c>
      <c r="AE133" s="121">
        <f>IFERROR(AuswertungH[[#This Row],[STABW H]]/AuswertungH[[#This Row],[GES H]],"")</f>
        <v>3.8781163434903045E-2</v>
      </c>
      <c r="AF133" s="123" cm="1">
        <f t="array" ref="AF133">IFERROR(ROUND(_xlfn.QUARTILE.INC(_xlfn._xlws.FILTER(Eingabe[GES],(Eingabe[Name]=AuswertungH[[#This Row],[Name]])*(Eingabe[Wo]="H")),3)-_xlfn.QUARTILE.INC(_xlfn._xlws.FILTER(Eingabe[GES],(Eingabe[Name]=AuswertungH[[#This Row],[Name]])*(Eingabe[Wo]="H")),1),0),"")</f>
        <v>14</v>
      </c>
      <c r="AG133" s="123">
        <f>IFERROR(1/AuswertungH[[#This Row],[VK H]],"")</f>
        <v>25.785714285714288</v>
      </c>
      <c r="AH133" s="123">
        <f>IFERROR(AuswertungH[[#This Row],[Volle H]]/AuswertungH[[#This Row],[Räumer H]]-2,"")</f>
        <v>0.85106382978723394</v>
      </c>
      <c r="AI133" s="117">
        <f>IFERROR(ROUND((AuswertungH[[#This Row],[Spiele H]]*60)/(AuswertungH[[#This Row],[Fehler H]]*AuswertungH[[#This Row],[Spiele H]]),0),"")</f>
        <v>2</v>
      </c>
      <c r="AJ133" s="123" t="str" cm="1">
        <f t="array" ref="AJ133">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33" s="267" t="str">
        <f>IFERROR(ROUND(AVERAGEIFS(Eingabe[MP],Eingabe[Diff],"&lt;15",Eingabe[Name],AuswertungH[[#This Row],[Name]],Eingabe[Wo],"H")-AuswertungH[[#This Row],[MP H]],2),"")</f>
        <v/>
      </c>
      <c r="AL133" s="117" t="str" cm="1">
        <f t="array" ref="AL133">IFERROR(ROUND(AVERAGE(_xlfn._xlws.FILTER(Eingabe[GES],(Eingabe[Name]=AuswertungH[[#This Row],[Name]])*(Eingabe[Wo]="H")*(Eingabe[GEGGES]&gt;(AuswertungH[[#This Row],[GES H]]+20))))-AuswertungH[[#This Row],[GES H]],0),"")</f>
        <v/>
      </c>
      <c r="AM133" s="117" cm="1">
        <f t="array" ref="AM133">IFERROR(ROUND(AVERAGE(_xlfn._xlws.FILTER(Eingabe[GES],(Eingabe[Name]=AuswertungH[[#This Row],[Name]])*(Eingabe[Wo]="H")*(Eingabe[GEGGES]&lt;(AuswertungH[[#This Row],[GES H]]-20))))-AuswertungH[[#This Row],[GES H]],0),"")</f>
        <v>0</v>
      </c>
    </row>
    <row r="134" spans="2:39" x14ac:dyDescent="0.3">
      <c r="B134" s="285" t="str">
        <f t="shared" si="2"/>
        <v>Luca Landau</v>
      </c>
      <c r="C134" s="119" t="str">
        <f>IF(AuswertungH[[#This Row],[Name]]="","",VLOOKUP(AuswertungH[[#This Row],[Name]],Teamzuordnung[[Name]:[Team]],2,TRUE))</f>
        <v>D</v>
      </c>
      <c r="D134" s="122">
        <f>COUNTIFS(Eingabe[Name],AuswertungH[[#This Row],[Name]],Eingabe[Wo],"H")</f>
        <v>0</v>
      </c>
      <c r="E134" s="117" t="str">
        <f>IF(AuswertungH[[#This Row],[Spiele H]]="","",IF(AuswertungH[[#This Row],[Spiele H]]-COUNTIFS(Eingabe[Name],AuswertungH[[#This Row],[Name]],Eingabe[MP],"",Eingabe[Wo],"H")=0,"",AuswertungH[[#This Row],[Spiele H]]-COUNTIFS(Eingabe[Name],AuswertungH[[#This Row],[Name]],Eingabe[MP],"",Eingabe[Wo],"H")))</f>
        <v/>
      </c>
      <c r="F134" s="117" t="str">
        <f>IFERROR(ROUND(AVERAGEIFS(Eingabe[Volle],Eingabe[Name],AuswertungH[[#This Row],[Name]],Eingabe[Wo],"H"),0),"")</f>
        <v/>
      </c>
      <c r="G134" s="117" t="str">
        <f>IFERROR(ROUND(AVERAGEIFS(Eingabe[Räumer],Eingabe[Name],AuswertungH[[#This Row],[Name]],Eingabe[Wo],"H"),0),"")</f>
        <v/>
      </c>
      <c r="H134" s="123" t="str">
        <f>IFERROR(ROUND(AVERAGEIFS(Eingabe[Fehler],Eingabe[Name],AuswertungH[[#This Row],[Name]],Eingabe[Wo],"H"),1),"")</f>
        <v/>
      </c>
      <c r="I134" s="117" t="str">
        <f>IFERROR(ROUND(AVERAGEIFS(Eingabe[GES],Eingabe[Name],AuswertungH[[#This Row],[Name]],Eingabe[Wo],"H"),0),"")</f>
        <v/>
      </c>
      <c r="J134" s="123" t="str">
        <f>IFERROR(ROUND(AVERAGEIFS(Eingabe[SP],Eingabe[Name],AuswertungH[[#This Row],[Name]],Eingabe[Wo],"H"),2),"")</f>
        <v/>
      </c>
      <c r="K134" s="121" t="str">
        <f>IFERROR(ROUND(AVERAGEIFS(Eingabe[MP],Eingabe[Name],AuswertungH[[#This Row],[Name]],Eingabe[Wo],"H"),2),"")</f>
        <v/>
      </c>
      <c r="L134" s="117" t="str">
        <f>IFERROR(ROUND(AVERAGEIFS(Eingabe[S1],Eingabe[Name],AuswertungH[[#This Row],[Name]],Eingabe[Wo],"H"),0),"")</f>
        <v/>
      </c>
      <c r="M134" s="268" t="str">
        <f>IFERROR(ROUND(AVERAGEIFS(Eingabe[S2],Eingabe[Name],AuswertungH[[#This Row],[Name]],Eingabe[Wo],"H"),0),"")</f>
        <v/>
      </c>
      <c r="N134" s="117" t="str">
        <f>IFERROR(ROUND(AVERAGEIFS(Eingabe[S3],Eingabe[Name],AuswertungH[[#This Row],[Name]],Eingabe[Wo],"H"),0),"")</f>
        <v/>
      </c>
      <c r="O134" s="268" t="str">
        <f>IFERROR(ROUND(AVERAGEIFS(Eingabe[S4],Eingabe[Name],AuswertungH[[#This Row],[Name]],Eingabe[Wo],"H"),0),"")</f>
        <v/>
      </c>
      <c r="P134" s="121" t="str">
        <f>IFERROR(ROUND(AVERAGEIFS(Eingabe[S1P],Eingabe[Name],AuswertungH[[#This Row],[Name]],Eingabe[Wo],"H"),2),"")</f>
        <v/>
      </c>
      <c r="Q134" s="121" t="str">
        <f>IFERROR(ROUND(AVERAGEIFS(Eingabe[S2P],Eingabe[Name],AuswertungH[[#This Row],[Name]],Eingabe[Wo],"H"),2),"")</f>
        <v/>
      </c>
      <c r="R134" s="121" t="str">
        <f>IFERROR(ROUND(AVERAGEIFS(Eingabe[S3P],Eingabe[Name],AuswertungH[[#This Row],[Name]],Eingabe[Wo],"H"),2),"")</f>
        <v/>
      </c>
      <c r="S134" s="121" t="str">
        <f>IFERROR(ROUND(AVERAGEIFS(Eingabe[S4P],Eingabe[Name],AuswertungH[[#This Row],[Name]],Eingabe[Wo],"H"),2),"")</f>
        <v/>
      </c>
      <c r="T134" s="123" cm="1">
        <f t="array" ref="T134">IFERROR(ROUND(SLOPE(_xlfn._xlws.FILTER(Eingabe[GES],(Eingabe[Name]=AuswertungH[[#This Row],[Name]])*(Eingabe[Wo]="H")),_xlfn._xlws.FILTER(Eingabe[KW],(Eingabe[Name]=AuswertungH[[#This Row],[Name]])*(Eingabe[Wo]="H"))),2),0)</f>
        <v>0</v>
      </c>
      <c r="U134" s="123" t="str" cm="1">
        <f t="array" ref="U134">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34" s="117" t="str" cm="1">
        <f t="array" ref="V134">IFERROR(ROUND(_xlfn.STDEV.P(_xlfn._xlws.FILTER(Eingabe[GES],(Eingabe[Name]=AuswertungH[[#This Row],[Name]])*(Eingabe[Wo]="H"))),0),"")</f>
        <v/>
      </c>
      <c r="W134" s="117" t="str">
        <f>IF(AuswertungH[[#This Row],[Spiele MP H]]="","",ROUND(AVERAGEIFS(Eingabe[GEGGES],Eingabe[Name],AuswertungH[[#This Row],[Name]],Eingabe[Wo],"H"),0))</f>
        <v/>
      </c>
      <c r="X134" s="123" t="str">
        <f>VLOOKUP(AuswertungH[[#This Row],[Name]],PositionH[],21,FALSE)</f>
        <v/>
      </c>
      <c r="Y134" s="123" t="str">
        <f>VLOOKUP(AuswertungH[[#This Row],[Name]],PositionH[],22,FALSE)</f>
        <v/>
      </c>
      <c r="Z134" s="123" t="str">
        <f>VLOOKUP(AuswertungH[[#This Row],[Name]],PositionH[],23,FALSE)</f>
        <v/>
      </c>
      <c r="AA134" s="121" t="str">
        <f>IF(AuswertungH[[#This Row],[Spiele MP H]]="","",ROUND(VLOOKUP(AuswertungH[[#This Row],[Name]],PositionH[],24,FALSE),2))</f>
        <v/>
      </c>
      <c r="AB134" s="123" t="str">
        <f>IFERROR(AVERAGEIFS(Eingabe[Rang],Eingabe[Name],AuswertungH[[#This Row],[Name]],Eingabe[Wo],"H"),"")</f>
        <v/>
      </c>
      <c r="AC134"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34" s="123" t="str" cm="1">
        <f t="array" ref="AD134">IFERROR(ROUND(MEDIAN(_xlfn._xlws.FILTER(Eingabe[GES],(Eingabe[Name]=AuswertungH[[#This Row],[Name]])*(Eingabe[Wo]="H"))),0),"")</f>
        <v/>
      </c>
      <c r="AE134" s="121" t="str">
        <f>IFERROR(AuswertungH[[#This Row],[STABW H]]/AuswertungH[[#This Row],[GES H]],"")</f>
        <v/>
      </c>
      <c r="AF134" s="123" t="str" cm="1">
        <f t="array" ref="AF134">IFERROR(ROUND(_xlfn.QUARTILE.INC(_xlfn._xlws.FILTER(Eingabe[GES],(Eingabe[Name]=AuswertungH[[#This Row],[Name]])*(Eingabe[Wo]="H")),3)-_xlfn.QUARTILE.INC(_xlfn._xlws.FILTER(Eingabe[GES],(Eingabe[Name]=AuswertungH[[#This Row],[Name]])*(Eingabe[Wo]="H")),1),0),"")</f>
        <v/>
      </c>
      <c r="AG134" s="123" t="str">
        <f>IFERROR(1/AuswertungH[[#This Row],[VK H]],"")</f>
        <v/>
      </c>
      <c r="AH134" s="123" t="str">
        <f>IFERROR(AuswertungH[[#This Row],[Volle H]]/AuswertungH[[#This Row],[Räumer H]]-2,"")</f>
        <v/>
      </c>
      <c r="AI134" s="117" t="str">
        <f>IFERROR(ROUND((AuswertungH[[#This Row],[Spiele H]]*60)/(AuswertungH[[#This Row],[Fehler H]]*AuswertungH[[#This Row],[Spiele H]]),0),"")</f>
        <v/>
      </c>
      <c r="AJ134" s="123" t="str" cm="1">
        <f t="array" ref="AJ134">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34" s="267" t="str">
        <f>IFERROR(ROUND(AVERAGEIFS(Eingabe[MP],Eingabe[Diff],"&lt;15",Eingabe[Name],AuswertungH[[#This Row],[Name]],Eingabe[Wo],"H")-AuswertungH[[#This Row],[MP H]],2),"")</f>
        <v/>
      </c>
      <c r="AL134" s="117" t="str" cm="1">
        <f t="array" ref="AL134">IFERROR(ROUND(AVERAGE(_xlfn._xlws.FILTER(Eingabe[GES],(Eingabe[Name]=AuswertungH[[#This Row],[Name]])*(Eingabe[Wo]="H")*(Eingabe[GEGGES]&gt;(AuswertungH[[#This Row],[GES H]]+20))))-AuswertungH[[#This Row],[GES H]],0),"")</f>
        <v/>
      </c>
      <c r="AM134" s="117" t="str" cm="1">
        <f t="array" ref="AM134">IFERROR(ROUND(AVERAGE(_xlfn._xlws.FILTER(Eingabe[GES],(Eingabe[Name]=AuswertungH[[#This Row],[Name]])*(Eingabe[Wo]="H")*(Eingabe[GEGGES]&lt;(AuswertungH[[#This Row],[GES H]]-20))))-AuswertungH[[#This Row],[GES H]],0),"")</f>
        <v/>
      </c>
    </row>
    <row r="135" spans="2:39" x14ac:dyDescent="0.3">
      <c r="B135" s="285" t="str">
        <f t="shared" si="2"/>
        <v>Madlen Baumgarten</v>
      </c>
      <c r="C135" s="119" t="str">
        <f>IF(AuswertungH[[#This Row],[Name]]="","",VLOOKUP(AuswertungH[[#This Row],[Name]],Teamzuordnung[[Name]:[Team]],2,TRUE))</f>
        <v>F</v>
      </c>
      <c r="D135" s="122">
        <f>COUNTIFS(Eingabe[Name],AuswertungH[[#This Row],[Name]],Eingabe[Wo],"H")</f>
        <v>2</v>
      </c>
      <c r="E135" s="117">
        <f>IF(AuswertungH[[#This Row],[Spiele H]]="","",IF(AuswertungH[[#This Row],[Spiele H]]-COUNTIFS(Eingabe[Name],AuswertungH[[#This Row],[Name]],Eingabe[MP],"",Eingabe[Wo],"H")=0,"",AuswertungH[[#This Row],[Spiele H]]-COUNTIFS(Eingabe[Name],AuswertungH[[#This Row],[Name]],Eingabe[MP],"",Eingabe[Wo],"H")))</f>
        <v>2</v>
      </c>
      <c r="F135" s="117">
        <f>IFERROR(ROUND(AVERAGEIFS(Eingabe[Volle],Eingabe[Name],AuswertungH[[#This Row],[Name]],Eingabe[Wo],"H"),0),"")</f>
        <v>337</v>
      </c>
      <c r="G135" s="117">
        <f>IFERROR(ROUND(AVERAGEIFS(Eingabe[Räumer],Eingabe[Name],AuswertungH[[#This Row],[Name]],Eingabe[Wo],"H"),0),"")</f>
        <v>137</v>
      </c>
      <c r="H135" s="123">
        <f>IFERROR(ROUND(AVERAGEIFS(Eingabe[Fehler],Eingabe[Name],AuswertungH[[#This Row],[Name]],Eingabe[Wo],"H"),1),"")</f>
        <v>11</v>
      </c>
      <c r="I135" s="117">
        <f>IFERROR(ROUND(AVERAGEIFS(Eingabe[GES],Eingabe[Name],AuswertungH[[#This Row],[Name]],Eingabe[Wo],"H"),0),"")</f>
        <v>473</v>
      </c>
      <c r="J135" s="123">
        <f>IFERROR(ROUND(AVERAGEIFS(Eingabe[SP],Eingabe[Name],AuswertungH[[#This Row],[Name]],Eingabe[Wo],"H"),2),"")</f>
        <v>1.5</v>
      </c>
      <c r="K135" s="121">
        <f>IFERROR(ROUND(AVERAGEIFS(Eingabe[MP],Eingabe[Name],AuswertungH[[#This Row],[Name]],Eingabe[Wo],"H"),2),"")</f>
        <v>0.5</v>
      </c>
      <c r="L135" s="117">
        <f>IFERROR(ROUND(AVERAGEIFS(Eingabe[S1],Eingabe[Name],AuswertungH[[#This Row],[Name]],Eingabe[Wo],"H"),0),"")</f>
        <v>107</v>
      </c>
      <c r="M135" s="268">
        <f>IFERROR(ROUND(AVERAGEIFS(Eingabe[S2],Eingabe[Name],AuswertungH[[#This Row],[Name]],Eingabe[Wo],"H"),0),"")</f>
        <v>129</v>
      </c>
      <c r="N135" s="117">
        <f>IFERROR(ROUND(AVERAGEIFS(Eingabe[S3],Eingabe[Name],AuswertungH[[#This Row],[Name]],Eingabe[Wo],"H"),0),"")</f>
        <v>121</v>
      </c>
      <c r="O135" s="268">
        <f>IFERROR(ROUND(AVERAGEIFS(Eingabe[S4],Eingabe[Name],AuswertungH[[#This Row],[Name]],Eingabe[Wo],"H"),0),"")</f>
        <v>117</v>
      </c>
      <c r="P135" s="121">
        <f>IFERROR(ROUND(AVERAGEIFS(Eingabe[S1P],Eingabe[Name],AuswertungH[[#This Row],[Name]],Eingabe[Wo],"H"),2),"")</f>
        <v>0</v>
      </c>
      <c r="Q135" s="121">
        <f>IFERROR(ROUND(AVERAGEIFS(Eingabe[S2P],Eingabe[Name],AuswertungH[[#This Row],[Name]],Eingabe[Wo],"H"),2),"")</f>
        <v>0.5</v>
      </c>
      <c r="R135" s="121">
        <f>IFERROR(ROUND(AVERAGEIFS(Eingabe[S3P],Eingabe[Name],AuswertungH[[#This Row],[Name]],Eingabe[Wo],"H"),2),"")</f>
        <v>0.5</v>
      </c>
      <c r="S135" s="121">
        <f>IFERROR(ROUND(AVERAGEIFS(Eingabe[S4P],Eingabe[Name],AuswertungH[[#This Row],[Name]],Eingabe[Wo],"H"),2),"")</f>
        <v>0.5</v>
      </c>
      <c r="T135" s="123" cm="1">
        <f t="array" ref="T135">IFERROR(ROUND(SLOPE(_xlfn._xlws.FILTER(Eingabe[GES],(Eingabe[Name]=AuswertungH[[#This Row],[Name]])*(Eingabe[Wo]="H")),_xlfn._xlws.FILTER(Eingabe[KW],(Eingabe[Name]=AuswertungH[[#This Row],[Name]])*(Eingabe[Wo]="H"))),2),0)</f>
        <v>2</v>
      </c>
      <c r="U135" s="123" cm="1">
        <f t="array" ref="U135">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2</v>
      </c>
      <c r="V135" s="117" cm="1">
        <f t="array" ref="V135">IFERROR(ROUND(_xlfn.STDEV.P(_xlfn._xlws.FILTER(Eingabe[GES],(Eingabe[Name]=AuswertungH[[#This Row],[Name]])*(Eingabe[Wo]="H"))),0),"")</f>
        <v>10</v>
      </c>
      <c r="W135" s="117">
        <f>IF(AuswertungH[[#This Row],[Spiele MP H]]="","",ROUND(AVERAGEIFS(Eingabe[GEGGES],Eingabe[Name],AuswertungH[[#This Row],[Name]],Eingabe[Wo],"H"),0))</f>
        <v>475</v>
      </c>
      <c r="X135" s="123" t="str">
        <f>VLOOKUP(AuswertungH[[#This Row],[Name]],PositionH[],21,FALSE)</f>
        <v>[5]</v>
      </c>
      <c r="Y135" s="123">
        <f>VLOOKUP(AuswertungH[[#This Row],[Name]],PositionH[],22,FALSE)</f>
        <v>2</v>
      </c>
      <c r="Z135" s="123" t="str">
        <f>VLOOKUP(AuswertungH[[#This Row],[Name]],PositionH[],23,FALSE)</f>
        <v>[5]</v>
      </c>
      <c r="AA135" s="121">
        <f>IF(AuswertungH[[#This Row],[Spiele MP H]]="","",ROUND(VLOOKUP(AuswertungH[[#This Row],[Name]],PositionH[],24,FALSE),2))</f>
        <v>0.5</v>
      </c>
      <c r="AB135" s="123">
        <f>IFERROR(AVERAGEIFS(Eingabe[Rang],Eingabe[Name],AuswertungH[[#This Row],[Name]],Eingabe[Wo],"H"),"")</f>
        <v>6</v>
      </c>
      <c r="AC135"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129 [2]</v>
      </c>
      <c r="AD135" s="123" cm="1">
        <f t="array" ref="AD135">IFERROR(ROUND(MEDIAN(_xlfn._xlws.FILTER(Eingabe[GES],(Eingabe[Name]=AuswertungH[[#This Row],[Name]])*(Eingabe[Wo]="H"))),0),"")</f>
        <v>473</v>
      </c>
      <c r="AE135" s="121">
        <f>IFERROR(AuswertungH[[#This Row],[STABW H]]/AuswertungH[[#This Row],[GES H]],"")</f>
        <v>2.1141649048625793E-2</v>
      </c>
      <c r="AF135" s="123" cm="1">
        <f t="array" ref="AF135">IFERROR(ROUND(_xlfn.QUARTILE.INC(_xlfn._xlws.FILTER(Eingabe[GES],(Eingabe[Name]=AuswertungH[[#This Row],[Name]])*(Eingabe[Wo]="H")),3)-_xlfn.QUARTILE.INC(_xlfn._xlws.FILTER(Eingabe[GES],(Eingabe[Name]=AuswertungH[[#This Row],[Name]])*(Eingabe[Wo]="H")),1),0),"")</f>
        <v>10</v>
      </c>
      <c r="AG135" s="123">
        <f>IFERROR(1/AuswertungH[[#This Row],[VK H]],"")</f>
        <v>47.3</v>
      </c>
      <c r="AH135" s="123">
        <f>IFERROR(AuswertungH[[#This Row],[Volle H]]/AuswertungH[[#This Row],[Räumer H]]-2,"")</f>
        <v>0.45985401459854014</v>
      </c>
      <c r="AI135" s="117">
        <f>IFERROR(ROUND((AuswertungH[[#This Row],[Spiele H]]*60)/(AuswertungH[[#This Row],[Fehler H]]*AuswertungH[[#This Row],[Spiele H]]),0),"")</f>
        <v>5</v>
      </c>
      <c r="AJ135" s="123" t="str" cm="1">
        <f t="array" ref="AJ135">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35" s="267" t="str">
        <f>IFERROR(ROUND(AVERAGEIFS(Eingabe[MP],Eingabe[Diff],"&lt;15",Eingabe[Name],AuswertungH[[#This Row],[Name]],Eingabe[Wo],"H")-AuswertungH[[#This Row],[MP H]],2),"")</f>
        <v/>
      </c>
      <c r="AL135" s="117" cm="1">
        <f t="array" ref="AL135">IFERROR(ROUND(AVERAGE(_xlfn._xlws.FILTER(Eingabe[GES],(Eingabe[Name]=AuswertungH[[#This Row],[Name]])*(Eingabe[Wo]="H")*(Eingabe[GEGGES]&gt;(AuswertungH[[#This Row],[GES H]]+20))))-AuswertungH[[#This Row],[GES H]],0),"")</f>
        <v>10</v>
      </c>
      <c r="AM135" s="117" cm="1">
        <f t="array" ref="AM135">IFERROR(ROUND(AVERAGE(_xlfn._xlws.FILTER(Eingabe[GES],(Eingabe[Name]=AuswertungH[[#This Row],[Name]])*(Eingabe[Wo]="H")*(Eingabe[GEGGES]&lt;(AuswertungH[[#This Row],[GES H]]-20))))-AuswertungH[[#This Row],[GES H]],0),"")</f>
        <v>-10</v>
      </c>
    </row>
    <row r="136" spans="2:39" x14ac:dyDescent="0.3">
      <c r="B136" s="285" t="str">
        <f t="shared" si="2"/>
        <v>Maik Fuhrmann</v>
      </c>
      <c r="C136" s="119" t="str">
        <f>IF(AuswertungH[[#This Row],[Name]]="","",VLOOKUP(AuswertungH[[#This Row],[Name]],Teamzuordnung[[Name]:[Team]],2,TRUE))</f>
        <v>E</v>
      </c>
      <c r="D136" s="122">
        <f>COUNTIFS(Eingabe[Name],AuswertungH[[#This Row],[Name]],Eingabe[Wo],"H")</f>
        <v>7</v>
      </c>
      <c r="E136" s="117">
        <f>IF(AuswertungH[[#This Row],[Spiele H]]="","",IF(AuswertungH[[#This Row],[Spiele H]]-COUNTIFS(Eingabe[Name],AuswertungH[[#This Row],[Name]],Eingabe[MP],"",Eingabe[Wo],"H")=0,"",AuswertungH[[#This Row],[Spiele H]]-COUNTIFS(Eingabe[Name],AuswertungH[[#This Row],[Name]],Eingabe[MP],"",Eingabe[Wo],"H")))</f>
        <v>7</v>
      </c>
      <c r="F136" s="117">
        <f>IFERROR(ROUND(AVERAGEIFS(Eingabe[Volle],Eingabe[Name],AuswertungH[[#This Row],[Name]],Eingabe[Wo],"H"),0),"")</f>
        <v>357</v>
      </c>
      <c r="G136" s="117">
        <f>IFERROR(ROUND(AVERAGEIFS(Eingabe[Räumer],Eingabe[Name],AuswertungH[[#This Row],[Name]],Eingabe[Wo],"H"),0),"")</f>
        <v>181</v>
      </c>
      <c r="H136" s="123">
        <f>IFERROR(ROUND(AVERAGEIFS(Eingabe[Fehler],Eingabe[Name],AuswertungH[[#This Row],[Name]],Eingabe[Wo],"H"),1),"")</f>
        <v>3.3</v>
      </c>
      <c r="I136" s="117">
        <f>IFERROR(ROUND(AVERAGEIFS(Eingabe[GES],Eingabe[Name],AuswertungH[[#This Row],[Name]],Eingabe[Wo],"H"),0),"")</f>
        <v>538</v>
      </c>
      <c r="J136" s="123">
        <f>IFERROR(ROUND(AVERAGEIFS(Eingabe[SP],Eingabe[Name],AuswertungH[[#This Row],[Name]],Eingabe[Wo],"H"),2),"")</f>
        <v>1.79</v>
      </c>
      <c r="K136" s="121">
        <f>IFERROR(ROUND(AVERAGEIFS(Eingabe[MP],Eingabe[Name],AuswertungH[[#This Row],[Name]],Eingabe[Wo],"H"),2),"")</f>
        <v>0.56999999999999995</v>
      </c>
      <c r="L136" s="117">
        <f>IFERROR(ROUND(AVERAGEIFS(Eingabe[S1],Eingabe[Name],AuswertungH[[#This Row],[Name]],Eingabe[Wo],"H"),0),"")</f>
        <v>137</v>
      </c>
      <c r="M136" s="268">
        <f>IFERROR(ROUND(AVERAGEIFS(Eingabe[S2],Eingabe[Name],AuswertungH[[#This Row],[Name]],Eingabe[Wo],"H"),0),"")</f>
        <v>138</v>
      </c>
      <c r="N136" s="117">
        <f>IFERROR(ROUND(AVERAGEIFS(Eingabe[S3],Eingabe[Name],AuswertungH[[#This Row],[Name]],Eingabe[Wo],"H"),0),"")</f>
        <v>134</v>
      </c>
      <c r="O136" s="268">
        <f>IFERROR(ROUND(AVERAGEIFS(Eingabe[S4],Eingabe[Name],AuswertungH[[#This Row],[Name]],Eingabe[Wo],"H"),0),"")</f>
        <v>129</v>
      </c>
      <c r="P136" s="121">
        <f>IFERROR(ROUND(AVERAGEIFS(Eingabe[S1P],Eingabe[Name],AuswertungH[[#This Row],[Name]],Eingabe[Wo],"H"),2),"")</f>
        <v>0.56999999999999995</v>
      </c>
      <c r="Q136" s="121">
        <f>IFERROR(ROUND(AVERAGEIFS(Eingabe[S2P],Eingabe[Name],AuswertungH[[#This Row],[Name]],Eingabe[Wo],"H"),2),"")</f>
        <v>0.43</v>
      </c>
      <c r="R136" s="121">
        <f>IFERROR(ROUND(AVERAGEIFS(Eingabe[S3P],Eingabe[Name],AuswertungH[[#This Row],[Name]],Eingabe[Wo],"H"),2),"")</f>
        <v>0.43</v>
      </c>
      <c r="S136" s="121">
        <f>IFERROR(ROUND(AVERAGEIFS(Eingabe[S4P],Eingabe[Name],AuswertungH[[#This Row],[Name]],Eingabe[Wo],"H"),2),"")</f>
        <v>0.36</v>
      </c>
      <c r="T136" s="123" cm="1">
        <f t="array" ref="T136">IFERROR(ROUND(SLOPE(_xlfn._xlws.FILTER(Eingabe[GES],(Eingabe[Name]=AuswertungH[[#This Row],[Name]])*(Eingabe[Wo]="H")),_xlfn._xlws.FILTER(Eingabe[KW],(Eingabe[Name]=AuswertungH[[#This Row],[Name]])*(Eingabe[Wo]="H"))),2),0)</f>
        <v>-1.86</v>
      </c>
      <c r="U136" s="123" cm="1">
        <f t="array" ref="U136">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-0.72</v>
      </c>
      <c r="V136" s="117" cm="1">
        <f t="array" ref="V136">IFERROR(ROUND(_xlfn.STDEV.P(_xlfn._xlws.FILTER(Eingabe[GES],(Eingabe[Name]=AuswertungH[[#This Row],[Name]])*(Eingabe[Wo]="H"))),0),"")</f>
        <v>24</v>
      </c>
      <c r="W136" s="117">
        <f>IF(AuswertungH[[#This Row],[Spiele MP H]]="","",ROUND(AVERAGEIFS(Eingabe[GEGGES],Eingabe[Name],AuswertungH[[#This Row],[Name]],Eingabe[Wo],"H"),0))</f>
        <v>526</v>
      </c>
      <c r="X136" s="123" t="str">
        <f>VLOOKUP(AuswertungH[[#This Row],[Name]],PositionH[],21,FALSE)</f>
        <v>[1]</v>
      </c>
      <c r="Y136" s="123">
        <f>VLOOKUP(AuswertungH[[#This Row],[Name]],PositionH[],22,FALSE)</f>
        <v>5</v>
      </c>
      <c r="Z136" s="123" t="str">
        <f>VLOOKUP(AuswertungH[[#This Row],[Name]],PositionH[],23,FALSE)</f>
        <v>[1]</v>
      </c>
      <c r="AA136" s="121">
        <f>IF(AuswertungH[[#This Row],[Spiele MP H]]="","",ROUND(VLOOKUP(AuswertungH[[#This Row],[Name]],PositionH[],24,FALSE),2))</f>
        <v>0.8</v>
      </c>
      <c r="AB136" s="123">
        <f>IFERROR(AVERAGEIFS(Eingabe[Rang],Eingabe[Name],AuswertungH[[#This Row],[Name]],Eingabe[Wo],"H"),"")</f>
        <v>3.1666666666666665</v>
      </c>
      <c r="AC136"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142 [2]</v>
      </c>
      <c r="AD136" s="123" cm="1">
        <f t="array" ref="AD136">IFERROR(ROUND(MEDIAN(_xlfn._xlws.FILTER(Eingabe[GES],(Eingabe[Name]=AuswertungH[[#This Row],[Name]])*(Eingabe[Wo]="H"))),0),"")</f>
        <v>531</v>
      </c>
      <c r="AE136" s="121">
        <f>IFERROR(AuswertungH[[#This Row],[STABW H]]/AuswertungH[[#This Row],[GES H]],"")</f>
        <v>4.4609665427509292E-2</v>
      </c>
      <c r="AF136" s="123" cm="1">
        <f t="array" ref="AF136">IFERROR(ROUND(_xlfn.QUARTILE.INC(_xlfn._xlws.FILTER(Eingabe[GES],(Eingabe[Name]=AuswertungH[[#This Row],[Name]])*(Eingabe[Wo]="H")),3)-_xlfn.QUARTILE.INC(_xlfn._xlws.FILTER(Eingabe[GES],(Eingabe[Name]=AuswertungH[[#This Row],[Name]])*(Eingabe[Wo]="H")),1),0),"")</f>
        <v>33</v>
      </c>
      <c r="AG136" s="123">
        <f>IFERROR(1/AuswertungH[[#This Row],[VK H]],"")</f>
        <v>22.416666666666668</v>
      </c>
      <c r="AH136" s="123">
        <f>IFERROR(AuswertungH[[#This Row],[Volle H]]/AuswertungH[[#This Row],[Räumer H]]-2,"")</f>
        <v>-2.7624309392265234E-2</v>
      </c>
      <c r="AI136" s="117">
        <f>IFERROR(ROUND((AuswertungH[[#This Row],[Spiele H]]*60)/(AuswertungH[[#This Row],[Fehler H]]*AuswertungH[[#This Row],[Spiele H]]),0),"")</f>
        <v>18</v>
      </c>
      <c r="AJ136" s="123" cm="1">
        <f t="array" ref="AJ136">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-0.35416666666666669</v>
      </c>
      <c r="AK136" s="267">
        <f>IFERROR(ROUND(AVERAGEIFS(Eingabe[MP],Eingabe[Diff],"&lt;15",Eingabe[Name],AuswertungH[[#This Row],[Name]],Eingabe[Wo],"H")-AuswertungH[[#This Row],[MP H]],2),"")</f>
        <v>-7.0000000000000007E-2</v>
      </c>
      <c r="AL136" s="117" t="str" cm="1">
        <f t="array" ref="AL136">IFERROR(ROUND(AVERAGE(_xlfn._xlws.FILTER(Eingabe[GES],(Eingabe[Name]=AuswertungH[[#This Row],[Name]])*(Eingabe[Wo]="H")*(Eingabe[GEGGES]&gt;(AuswertungH[[#This Row],[GES H]]+20))))-AuswertungH[[#This Row],[GES H]],0),"")</f>
        <v/>
      </c>
      <c r="AM136" s="117" cm="1">
        <f t="array" ref="AM136">IFERROR(ROUND(AVERAGE(_xlfn._xlws.FILTER(Eingabe[GES],(Eingabe[Name]=AuswertungH[[#This Row],[Name]])*(Eingabe[Wo]="H")*(Eingabe[GEGGES]&lt;(AuswertungH[[#This Row],[GES H]]-20))))-AuswertungH[[#This Row],[GES H]],0),"")</f>
        <v>24</v>
      </c>
    </row>
    <row r="137" spans="2:39" x14ac:dyDescent="0.3">
      <c r="B137" s="285" t="str">
        <f t="shared" si="2"/>
        <v>Marcel Giese</v>
      </c>
      <c r="C137" s="119" t="str">
        <f>IF(AuswertungH[[#This Row],[Name]]="","",VLOOKUP(AuswertungH[[#This Row],[Name]],Teamzuordnung[[Name]:[Team]],2,TRUE))</f>
        <v>D</v>
      </c>
      <c r="D137" s="122">
        <f>COUNTIFS(Eingabe[Name],AuswertungH[[#This Row],[Name]],Eingabe[Wo],"H")</f>
        <v>1</v>
      </c>
      <c r="E137" s="117">
        <f>IF(AuswertungH[[#This Row],[Spiele H]]="","",IF(AuswertungH[[#This Row],[Spiele H]]-COUNTIFS(Eingabe[Name],AuswertungH[[#This Row],[Name]],Eingabe[MP],"",Eingabe[Wo],"H")=0,"",AuswertungH[[#This Row],[Spiele H]]-COUNTIFS(Eingabe[Name],AuswertungH[[#This Row],[Name]],Eingabe[MP],"",Eingabe[Wo],"H")))</f>
        <v>1</v>
      </c>
      <c r="F137" s="117">
        <f>IFERROR(ROUND(AVERAGEIFS(Eingabe[Volle],Eingabe[Name],AuswertungH[[#This Row],[Name]],Eingabe[Wo],"H"),0),"")</f>
        <v>320</v>
      </c>
      <c r="G137" s="117">
        <f>IFERROR(ROUND(AVERAGEIFS(Eingabe[Räumer],Eingabe[Name],AuswertungH[[#This Row],[Name]],Eingabe[Wo],"H"),0),"")</f>
        <v>134</v>
      </c>
      <c r="H137" s="123">
        <f>IFERROR(ROUND(AVERAGEIFS(Eingabe[Fehler],Eingabe[Name],AuswertungH[[#This Row],[Name]],Eingabe[Wo],"H"),1),"")</f>
        <v>13</v>
      </c>
      <c r="I137" s="117">
        <f>IFERROR(ROUND(AVERAGEIFS(Eingabe[GES],Eingabe[Name],AuswertungH[[#This Row],[Name]],Eingabe[Wo],"H"),0),"")</f>
        <v>454</v>
      </c>
      <c r="J137" s="123">
        <f>IFERROR(ROUND(AVERAGEIFS(Eingabe[SP],Eingabe[Name],AuswertungH[[#This Row],[Name]],Eingabe[Wo],"H"),2),"")</f>
        <v>1</v>
      </c>
      <c r="K137" s="121">
        <f>IFERROR(ROUND(AVERAGEIFS(Eingabe[MP],Eingabe[Name],AuswertungH[[#This Row],[Name]],Eingabe[Wo],"H"),2),"")</f>
        <v>0</v>
      </c>
      <c r="L137" s="117">
        <f>IFERROR(ROUND(AVERAGEIFS(Eingabe[S1],Eingabe[Name],AuswertungH[[#This Row],[Name]],Eingabe[Wo],"H"),0),"")</f>
        <v>123</v>
      </c>
      <c r="M137" s="268">
        <f>IFERROR(ROUND(AVERAGEIFS(Eingabe[S2],Eingabe[Name],AuswertungH[[#This Row],[Name]],Eingabe[Wo],"H"),0),"")</f>
        <v>118</v>
      </c>
      <c r="N137" s="117">
        <f>IFERROR(ROUND(AVERAGEIFS(Eingabe[S3],Eingabe[Name],AuswertungH[[#This Row],[Name]],Eingabe[Wo],"H"),0),"")</f>
        <v>108</v>
      </c>
      <c r="O137" s="268">
        <f>IFERROR(ROUND(AVERAGEIFS(Eingabe[S4],Eingabe[Name],AuswertungH[[#This Row],[Name]],Eingabe[Wo],"H"),0),"")</f>
        <v>105</v>
      </c>
      <c r="P137" s="121">
        <f>IFERROR(ROUND(AVERAGEIFS(Eingabe[S1P],Eingabe[Name],AuswertungH[[#This Row],[Name]],Eingabe[Wo],"H"),2),"")</f>
        <v>0</v>
      </c>
      <c r="Q137" s="121">
        <f>IFERROR(ROUND(AVERAGEIFS(Eingabe[S2P],Eingabe[Name],AuswertungH[[#This Row],[Name]],Eingabe[Wo],"H"),2),"")</f>
        <v>1</v>
      </c>
      <c r="R137" s="121">
        <f>IFERROR(ROUND(AVERAGEIFS(Eingabe[S3P],Eingabe[Name],AuswertungH[[#This Row],[Name]],Eingabe[Wo],"H"),2),"")</f>
        <v>0</v>
      </c>
      <c r="S137" s="121">
        <f>IFERROR(ROUND(AVERAGEIFS(Eingabe[S4P],Eingabe[Name],AuswertungH[[#This Row],[Name]],Eingabe[Wo],"H"),2),"")</f>
        <v>0</v>
      </c>
      <c r="T137" s="123" cm="1">
        <f t="array" ref="T137">IFERROR(ROUND(SLOPE(_xlfn._xlws.FILTER(Eingabe[GES],(Eingabe[Name]=AuswertungH[[#This Row],[Name]])*(Eingabe[Wo]="H")),_xlfn._xlws.FILTER(Eingabe[KW],(Eingabe[Name]=AuswertungH[[#This Row],[Name]])*(Eingabe[Wo]="H"))),2),0)</f>
        <v>0</v>
      </c>
      <c r="U137" s="123" t="str" cm="1">
        <f t="array" ref="U137">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37" s="117" cm="1">
        <f t="array" ref="V137">IFERROR(ROUND(_xlfn.STDEV.P(_xlfn._xlws.FILTER(Eingabe[GES],(Eingabe[Name]=AuswertungH[[#This Row],[Name]])*(Eingabe[Wo]="H"))),0),"")</f>
        <v>0</v>
      </c>
      <c r="W137" s="117">
        <f>IF(AuswertungH[[#This Row],[Spiele MP H]]="","",ROUND(AVERAGEIFS(Eingabe[GEGGES],Eingabe[Name],AuswertungH[[#This Row],[Name]],Eingabe[Wo],"H"),0))</f>
        <v>545</v>
      </c>
      <c r="X137" s="123" t="str">
        <f>VLOOKUP(AuswertungH[[#This Row],[Name]],PositionH[],21,FALSE)</f>
        <v>[2]</v>
      </c>
      <c r="Y137" s="123">
        <f>VLOOKUP(AuswertungH[[#This Row],[Name]],PositionH[],22,FALSE)</f>
        <v>1</v>
      </c>
      <c r="Z137" s="123" t="str">
        <f>VLOOKUP(AuswertungH[[#This Row],[Name]],PositionH[],23,FALSE)</f>
        <v>[2]</v>
      </c>
      <c r="AA137" s="121">
        <f>IF(AuswertungH[[#This Row],[Spiele MP H]]="","",ROUND(VLOOKUP(AuswertungH[[#This Row],[Name]],PositionH[],24,FALSE),2))</f>
        <v>0</v>
      </c>
      <c r="AB137" s="123">
        <f>IFERROR(AVERAGEIFS(Eingabe[Rang],Eingabe[Name],AuswertungH[[#This Row],[Name]],Eingabe[Wo],"H"),"")</f>
        <v>5</v>
      </c>
      <c r="AC137"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123 [3]</v>
      </c>
      <c r="AD137" s="123" cm="1">
        <f t="array" ref="AD137">IFERROR(ROUND(MEDIAN(_xlfn._xlws.FILTER(Eingabe[GES],(Eingabe[Name]=AuswertungH[[#This Row],[Name]])*(Eingabe[Wo]="H"))),0),"")</f>
        <v>454</v>
      </c>
      <c r="AE137" s="121">
        <f>IFERROR(AuswertungH[[#This Row],[STABW H]]/AuswertungH[[#This Row],[GES H]],"")</f>
        <v>0</v>
      </c>
      <c r="AF137" s="123" cm="1">
        <f t="array" ref="AF137">IFERROR(ROUND(_xlfn.QUARTILE.INC(_xlfn._xlws.FILTER(Eingabe[GES],(Eingabe[Name]=AuswertungH[[#This Row],[Name]])*(Eingabe[Wo]="H")),3)-_xlfn.QUARTILE.INC(_xlfn._xlws.FILTER(Eingabe[GES],(Eingabe[Name]=AuswertungH[[#This Row],[Name]])*(Eingabe[Wo]="H")),1),0),"")</f>
        <v>0</v>
      </c>
      <c r="AG137" s="123" t="str">
        <f>IFERROR(1/AuswertungH[[#This Row],[VK H]],"")</f>
        <v/>
      </c>
      <c r="AH137" s="123">
        <f>IFERROR(AuswertungH[[#This Row],[Volle H]]/AuswertungH[[#This Row],[Räumer H]]-2,"")</f>
        <v>0.3880597014925371</v>
      </c>
      <c r="AI137" s="117">
        <f>IFERROR(ROUND((AuswertungH[[#This Row],[Spiele H]]*60)/(AuswertungH[[#This Row],[Fehler H]]*AuswertungH[[#This Row],[Spiele H]]),0),"")</f>
        <v>5</v>
      </c>
      <c r="AJ137" s="123" t="str" cm="1">
        <f t="array" ref="AJ137">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37" s="267" t="str">
        <f>IFERROR(ROUND(AVERAGEIFS(Eingabe[MP],Eingabe[Diff],"&lt;15",Eingabe[Name],AuswertungH[[#This Row],[Name]],Eingabe[Wo],"H")-AuswertungH[[#This Row],[MP H]],2),"")</f>
        <v/>
      </c>
      <c r="AL137" s="117" cm="1">
        <f t="array" ref="AL137">IFERROR(ROUND(AVERAGE(_xlfn._xlws.FILTER(Eingabe[GES],(Eingabe[Name]=AuswertungH[[#This Row],[Name]])*(Eingabe[Wo]="H")*(Eingabe[GEGGES]&gt;(AuswertungH[[#This Row],[GES H]]+20))))-AuswertungH[[#This Row],[GES H]],0),"")</f>
        <v>0</v>
      </c>
      <c r="AM137" s="117" t="str" cm="1">
        <f t="array" ref="AM137">IFERROR(ROUND(AVERAGE(_xlfn._xlws.FILTER(Eingabe[GES],(Eingabe[Name]=AuswertungH[[#This Row],[Name]])*(Eingabe[Wo]="H")*(Eingabe[GEGGES]&lt;(AuswertungH[[#This Row],[GES H]]-20))))-AuswertungH[[#This Row],[GES H]],0),"")</f>
        <v/>
      </c>
    </row>
    <row r="138" spans="2:39" x14ac:dyDescent="0.3">
      <c r="B138" s="285" t="str">
        <f t="shared" si="2"/>
        <v>Mario Hägemann</v>
      </c>
      <c r="C138" s="119" t="str">
        <f>IF(AuswertungH[[#This Row],[Name]]="","",VLOOKUP(AuswertungH[[#This Row],[Name]],Teamzuordnung[[Name]:[Team]],2,TRUE))</f>
        <v>Z</v>
      </c>
      <c r="D138" s="122">
        <f>COUNTIFS(Eingabe[Name],AuswertungH[[#This Row],[Name]],Eingabe[Wo],"H")</f>
        <v>5</v>
      </c>
      <c r="E138" s="117">
        <f>IF(AuswertungH[[#This Row],[Spiele H]]="","",IF(AuswertungH[[#This Row],[Spiele H]]-COUNTIFS(Eingabe[Name],AuswertungH[[#This Row],[Name]],Eingabe[MP],"",Eingabe[Wo],"H")=0,"",AuswertungH[[#This Row],[Spiele H]]-COUNTIFS(Eingabe[Name],AuswertungH[[#This Row],[Name]],Eingabe[MP],"",Eingabe[Wo],"H")))</f>
        <v>5</v>
      </c>
      <c r="F138" s="117">
        <f>IFERROR(ROUND(AVERAGEIFS(Eingabe[Volle],Eingabe[Name],AuswertungH[[#This Row],[Name]],Eingabe[Wo],"H"),0),"")</f>
        <v>343</v>
      </c>
      <c r="G138" s="117">
        <f>IFERROR(ROUND(AVERAGEIFS(Eingabe[Räumer],Eingabe[Name],AuswertungH[[#This Row],[Name]],Eingabe[Wo],"H"),0),"")</f>
        <v>169</v>
      </c>
      <c r="H138" s="123">
        <f>IFERROR(ROUND(AVERAGEIFS(Eingabe[Fehler],Eingabe[Name],AuswertungH[[#This Row],[Name]],Eingabe[Wo],"H"),1),"")</f>
        <v>6.8</v>
      </c>
      <c r="I138" s="117">
        <f>IFERROR(ROUND(AVERAGEIFS(Eingabe[GES],Eingabe[Name],AuswertungH[[#This Row],[Name]],Eingabe[Wo],"H"),0),"")</f>
        <v>511</v>
      </c>
      <c r="J138" s="123">
        <f>IFERROR(ROUND(AVERAGEIFS(Eingabe[SP],Eingabe[Name],AuswertungH[[#This Row],[Name]],Eingabe[Wo],"H"),2),"")</f>
        <v>2.2999999999999998</v>
      </c>
      <c r="K138" s="121">
        <f>IFERROR(ROUND(AVERAGEIFS(Eingabe[MP],Eingabe[Name],AuswertungH[[#This Row],[Name]],Eingabe[Wo],"H"),2),"")</f>
        <v>0.8</v>
      </c>
      <c r="L138" s="117">
        <f>IFERROR(ROUND(AVERAGEIFS(Eingabe[S1],Eingabe[Name],AuswertungH[[#This Row],[Name]],Eingabe[Wo],"H"),0),"")</f>
        <v>134</v>
      </c>
      <c r="M138" s="268">
        <f>IFERROR(ROUND(AVERAGEIFS(Eingabe[S2],Eingabe[Name],AuswertungH[[#This Row],[Name]],Eingabe[Wo],"H"),0),"")</f>
        <v>123</v>
      </c>
      <c r="N138" s="117">
        <f>IFERROR(ROUND(AVERAGEIFS(Eingabe[S3],Eingabe[Name],AuswertungH[[#This Row],[Name]],Eingabe[Wo],"H"),0),"")</f>
        <v>130</v>
      </c>
      <c r="O138" s="268">
        <f>IFERROR(ROUND(AVERAGEIFS(Eingabe[S4],Eingabe[Name],AuswertungH[[#This Row],[Name]],Eingabe[Wo],"H"),0),"")</f>
        <v>124</v>
      </c>
      <c r="P138" s="121">
        <f>IFERROR(ROUND(AVERAGEIFS(Eingabe[S1P],Eingabe[Name],AuswertungH[[#This Row],[Name]],Eingabe[Wo],"H"),2),"")</f>
        <v>0.6</v>
      </c>
      <c r="Q138" s="121">
        <f>IFERROR(ROUND(AVERAGEIFS(Eingabe[S2P],Eingabe[Name],AuswertungH[[#This Row],[Name]],Eingabe[Wo],"H"),2),"")</f>
        <v>0.7</v>
      </c>
      <c r="R138" s="121">
        <f>IFERROR(ROUND(AVERAGEIFS(Eingabe[S3P],Eingabe[Name],AuswertungH[[#This Row],[Name]],Eingabe[Wo],"H"),2),"")</f>
        <v>0.6</v>
      </c>
      <c r="S138" s="121">
        <f>IFERROR(ROUND(AVERAGEIFS(Eingabe[S4P],Eingabe[Name],AuswertungH[[#This Row],[Name]],Eingabe[Wo],"H"),2),"")</f>
        <v>0.4</v>
      </c>
      <c r="T138" s="123" cm="1">
        <f t="array" ref="T138">IFERROR(ROUND(SLOPE(_xlfn._xlws.FILTER(Eingabe[GES],(Eingabe[Name]=AuswertungH[[#This Row],[Name]])*(Eingabe[Wo]="H")),_xlfn._xlws.FILTER(Eingabe[KW],(Eingabe[Name]=AuswertungH[[#This Row],[Name]])*(Eingabe[Wo]="H"))),2),0)</f>
        <v>0.31</v>
      </c>
      <c r="U138" s="123" cm="1">
        <f t="array" ref="U138">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3.93</v>
      </c>
      <c r="V138" s="117" cm="1">
        <f t="array" ref="V138">IFERROR(ROUND(_xlfn.STDEV.P(_xlfn._xlws.FILTER(Eingabe[GES],(Eingabe[Name]=AuswertungH[[#This Row],[Name]])*(Eingabe[Wo]="H"))),0),"")</f>
        <v>28</v>
      </c>
      <c r="W138" s="117">
        <f>IF(AuswertungH[[#This Row],[Spiele MP H]]="","",ROUND(AVERAGEIFS(Eingabe[GEGGES],Eingabe[Name],AuswertungH[[#This Row],[Name]],Eingabe[Wo],"H"),0))</f>
        <v>504</v>
      </c>
      <c r="X138" s="123" t="str">
        <f>VLOOKUP(AuswertungH[[#This Row],[Name]],PositionH[],21,FALSE)</f>
        <v>[1]</v>
      </c>
      <c r="Y138" s="123">
        <f>VLOOKUP(AuswertungH[[#This Row],[Name]],PositionH[],22,FALSE)</f>
        <v>2</v>
      </c>
      <c r="Z138" s="123" t="str">
        <f>VLOOKUP(AuswertungH[[#This Row],[Name]],PositionH[],23,FALSE)</f>
        <v>[1][2][4]</v>
      </c>
      <c r="AA138" s="121">
        <f>IF(AuswertungH[[#This Row],[Spiele MP H]]="","",ROUND(VLOOKUP(AuswertungH[[#This Row],[Name]],PositionH[],24,FALSE),2))</f>
        <v>1</v>
      </c>
      <c r="AB138" s="123">
        <f>IFERROR(AVERAGEIFS(Eingabe[Rang],Eingabe[Name],AuswertungH[[#This Row],[Name]],Eingabe[Wo],"H"),"")</f>
        <v>3.6</v>
      </c>
      <c r="AC138"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132 [4]</v>
      </c>
      <c r="AD138" s="123" cm="1">
        <f t="array" ref="AD138">IFERROR(ROUND(MEDIAN(_xlfn._xlws.FILTER(Eingabe[GES],(Eingabe[Name]=AuswertungH[[#This Row],[Name]])*(Eingabe[Wo]="H"))),0),"")</f>
        <v>513</v>
      </c>
      <c r="AE138" s="121">
        <f>IFERROR(AuswertungH[[#This Row],[STABW H]]/AuswertungH[[#This Row],[GES H]],"")</f>
        <v>5.4794520547945202E-2</v>
      </c>
      <c r="AF138" s="123" cm="1">
        <f t="array" ref="AF138">IFERROR(ROUND(_xlfn.QUARTILE.INC(_xlfn._xlws.FILTER(Eingabe[GES],(Eingabe[Name]=AuswertungH[[#This Row],[Name]])*(Eingabe[Wo]="H")),3)-_xlfn.QUARTILE.INC(_xlfn._xlws.FILTER(Eingabe[GES],(Eingabe[Name]=AuswertungH[[#This Row],[Name]])*(Eingabe[Wo]="H")),1),0),"")</f>
        <v>33</v>
      </c>
      <c r="AG138" s="123">
        <f>IFERROR(1/AuswertungH[[#This Row],[VK H]],"")</f>
        <v>18.25</v>
      </c>
      <c r="AH138" s="123">
        <f>IFERROR(AuswertungH[[#This Row],[Volle H]]/AuswertungH[[#This Row],[Räumer H]]-2,"")</f>
        <v>2.9585798816567976E-2</v>
      </c>
      <c r="AI138" s="117">
        <f>IFERROR(ROUND((AuswertungH[[#This Row],[Spiele H]]*60)/(AuswertungH[[#This Row],[Fehler H]]*AuswertungH[[#This Row],[Spiele H]]),0),"")</f>
        <v>9</v>
      </c>
      <c r="AJ138" s="123" cm="1">
        <f t="array" ref="AJ138">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-0.44642857142857145</v>
      </c>
      <c r="AK138" s="267">
        <f>IFERROR(ROUND(AVERAGEIFS(Eingabe[MP],Eingabe[Diff],"&lt;15",Eingabe[Name],AuswertungH[[#This Row],[Name]],Eingabe[Wo],"H")-AuswertungH[[#This Row],[MP H]],2),"")</f>
        <v>0.2</v>
      </c>
      <c r="AL138" s="117" cm="1">
        <f t="array" ref="AL138">IFERROR(ROUND(AVERAGE(_xlfn._xlws.FILTER(Eingabe[GES],(Eingabe[Name]=AuswertungH[[#This Row],[Name]])*(Eingabe[Wo]="H")*(Eingabe[GEGGES]&gt;(AuswertungH[[#This Row],[GES H]]+20))))-AuswertungH[[#This Row],[GES H]],0),"")</f>
        <v>40</v>
      </c>
      <c r="AM138" s="117" cm="1">
        <f t="array" ref="AM138">IFERROR(ROUND(AVERAGE(_xlfn._xlws.FILTER(Eingabe[GES],(Eingabe[Name]=AuswertungH[[#This Row],[Name]])*(Eingabe[Wo]="H")*(Eingabe[GEGGES]&lt;(AuswertungH[[#This Row],[GES H]]-20))))-AuswertungH[[#This Row],[GES H]],0),"")</f>
        <v>-21</v>
      </c>
    </row>
    <row r="139" spans="2:39" x14ac:dyDescent="0.3">
      <c r="B139" s="285" t="str">
        <f t="shared" si="2"/>
        <v>Markus Unvericht</v>
      </c>
      <c r="C139" s="119" t="str">
        <f>IF(AuswertungH[[#This Row],[Name]]="","",VLOOKUP(AuswertungH[[#This Row],[Name]],Teamzuordnung[[Name]:[Team]],2,TRUE))</f>
        <v>D</v>
      </c>
      <c r="D139" s="122">
        <f>COUNTIFS(Eingabe[Name],AuswertungH[[#This Row],[Name]],Eingabe[Wo],"H")</f>
        <v>0</v>
      </c>
      <c r="E139" s="117" t="str">
        <f>IF(AuswertungH[[#This Row],[Spiele H]]="","",IF(AuswertungH[[#This Row],[Spiele H]]-COUNTIFS(Eingabe[Name],AuswertungH[[#This Row],[Name]],Eingabe[MP],"",Eingabe[Wo],"H")=0,"",AuswertungH[[#This Row],[Spiele H]]-COUNTIFS(Eingabe[Name],AuswertungH[[#This Row],[Name]],Eingabe[MP],"",Eingabe[Wo],"H")))</f>
        <v/>
      </c>
      <c r="F139" s="117" t="str">
        <f>IFERROR(ROUND(AVERAGEIFS(Eingabe[Volle],Eingabe[Name],AuswertungH[[#This Row],[Name]],Eingabe[Wo],"H"),0),"")</f>
        <v/>
      </c>
      <c r="G139" s="117" t="str">
        <f>IFERROR(ROUND(AVERAGEIFS(Eingabe[Räumer],Eingabe[Name],AuswertungH[[#This Row],[Name]],Eingabe[Wo],"H"),0),"")</f>
        <v/>
      </c>
      <c r="H139" s="123" t="str">
        <f>IFERROR(ROUND(AVERAGEIFS(Eingabe[Fehler],Eingabe[Name],AuswertungH[[#This Row],[Name]],Eingabe[Wo],"H"),1),"")</f>
        <v/>
      </c>
      <c r="I139" s="117" t="str">
        <f>IFERROR(ROUND(AVERAGEIFS(Eingabe[GES],Eingabe[Name],AuswertungH[[#This Row],[Name]],Eingabe[Wo],"H"),0),"")</f>
        <v/>
      </c>
      <c r="J139" s="123" t="str">
        <f>IFERROR(ROUND(AVERAGEIFS(Eingabe[SP],Eingabe[Name],AuswertungH[[#This Row],[Name]],Eingabe[Wo],"H"),2),"")</f>
        <v/>
      </c>
      <c r="K139" s="121" t="str">
        <f>IFERROR(ROUND(AVERAGEIFS(Eingabe[MP],Eingabe[Name],AuswertungH[[#This Row],[Name]],Eingabe[Wo],"H"),2),"")</f>
        <v/>
      </c>
      <c r="L139" s="117" t="str">
        <f>IFERROR(ROUND(AVERAGEIFS(Eingabe[S1],Eingabe[Name],AuswertungH[[#This Row],[Name]],Eingabe[Wo],"H"),0),"")</f>
        <v/>
      </c>
      <c r="M139" s="268" t="str">
        <f>IFERROR(ROUND(AVERAGEIFS(Eingabe[S2],Eingabe[Name],AuswertungH[[#This Row],[Name]],Eingabe[Wo],"H"),0),"")</f>
        <v/>
      </c>
      <c r="N139" s="117" t="str">
        <f>IFERROR(ROUND(AVERAGEIFS(Eingabe[S3],Eingabe[Name],AuswertungH[[#This Row],[Name]],Eingabe[Wo],"H"),0),"")</f>
        <v/>
      </c>
      <c r="O139" s="268" t="str">
        <f>IFERROR(ROUND(AVERAGEIFS(Eingabe[S4],Eingabe[Name],AuswertungH[[#This Row],[Name]],Eingabe[Wo],"H"),0),"")</f>
        <v/>
      </c>
      <c r="P139" s="121" t="str">
        <f>IFERROR(ROUND(AVERAGEIFS(Eingabe[S1P],Eingabe[Name],AuswertungH[[#This Row],[Name]],Eingabe[Wo],"H"),2),"")</f>
        <v/>
      </c>
      <c r="Q139" s="121" t="str">
        <f>IFERROR(ROUND(AVERAGEIFS(Eingabe[S2P],Eingabe[Name],AuswertungH[[#This Row],[Name]],Eingabe[Wo],"H"),2),"")</f>
        <v/>
      </c>
      <c r="R139" s="121" t="str">
        <f>IFERROR(ROUND(AVERAGEIFS(Eingabe[S3P],Eingabe[Name],AuswertungH[[#This Row],[Name]],Eingabe[Wo],"H"),2),"")</f>
        <v/>
      </c>
      <c r="S139" s="121" t="str">
        <f>IFERROR(ROUND(AVERAGEIFS(Eingabe[S4P],Eingabe[Name],AuswertungH[[#This Row],[Name]],Eingabe[Wo],"H"),2),"")</f>
        <v/>
      </c>
      <c r="T139" s="123" cm="1">
        <f t="array" ref="T139">IFERROR(ROUND(SLOPE(_xlfn._xlws.FILTER(Eingabe[GES],(Eingabe[Name]=AuswertungH[[#This Row],[Name]])*(Eingabe[Wo]="H")),_xlfn._xlws.FILTER(Eingabe[KW],(Eingabe[Name]=AuswertungH[[#This Row],[Name]])*(Eingabe[Wo]="H"))),2),0)</f>
        <v>0</v>
      </c>
      <c r="U139" s="123" t="str" cm="1">
        <f t="array" ref="U139">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39" s="117" t="str" cm="1">
        <f t="array" ref="V139">IFERROR(ROUND(_xlfn.STDEV.P(_xlfn._xlws.FILTER(Eingabe[GES],(Eingabe[Name]=AuswertungH[[#This Row],[Name]])*(Eingabe[Wo]="H"))),0),"")</f>
        <v/>
      </c>
      <c r="W139" s="117" t="str">
        <f>IF(AuswertungH[[#This Row],[Spiele MP H]]="","",ROUND(AVERAGEIFS(Eingabe[GEGGES],Eingabe[Name],AuswertungH[[#This Row],[Name]],Eingabe[Wo],"H"),0))</f>
        <v/>
      </c>
      <c r="X139" s="123" t="str">
        <f>VLOOKUP(AuswertungH[[#This Row],[Name]],PositionH[],21,FALSE)</f>
        <v/>
      </c>
      <c r="Y139" s="123" t="str">
        <f>VLOOKUP(AuswertungH[[#This Row],[Name]],PositionH[],22,FALSE)</f>
        <v/>
      </c>
      <c r="Z139" s="123" t="str">
        <f>VLOOKUP(AuswertungH[[#This Row],[Name]],PositionH[],23,FALSE)</f>
        <v/>
      </c>
      <c r="AA139" s="121" t="str">
        <f>IF(AuswertungH[[#This Row],[Spiele MP H]]="","",ROUND(VLOOKUP(AuswertungH[[#This Row],[Name]],PositionH[],24,FALSE),2))</f>
        <v/>
      </c>
      <c r="AB139" s="123" t="str">
        <f>IFERROR(AVERAGEIFS(Eingabe[Rang],Eingabe[Name],AuswertungH[[#This Row],[Name]],Eingabe[Wo],"H"),"")</f>
        <v/>
      </c>
      <c r="AC139"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39" s="123" t="str" cm="1">
        <f t="array" ref="AD139">IFERROR(ROUND(MEDIAN(_xlfn._xlws.FILTER(Eingabe[GES],(Eingabe[Name]=AuswertungH[[#This Row],[Name]])*(Eingabe[Wo]="H"))),0),"")</f>
        <v/>
      </c>
      <c r="AE139" s="121" t="str">
        <f>IFERROR(AuswertungH[[#This Row],[STABW H]]/AuswertungH[[#This Row],[GES H]],"")</f>
        <v/>
      </c>
      <c r="AF139" s="123" t="str" cm="1">
        <f t="array" ref="AF139">IFERROR(ROUND(_xlfn.QUARTILE.INC(_xlfn._xlws.FILTER(Eingabe[GES],(Eingabe[Name]=AuswertungH[[#This Row],[Name]])*(Eingabe[Wo]="H")),3)-_xlfn.QUARTILE.INC(_xlfn._xlws.FILTER(Eingabe[GES],(Eingabe[Name]=AuswertungH[[#This Row],[Name]])*(Eingabe[Wo]="H")),1),0),"")</f>
        <v/>
      </c>
      <c r="AG139" s="123" t="str">
        <f>IFERROR(1/AuswertungH[[#This Row],[VK H]],"")</f>
        <v/>
      </c>
      <c r="AH139" s="123" t="str">
        <f>IFERROR(AuswertungH[[#This Row],[Volle H]]/AuswertungH[[#This Row],[Räumer H]]-2,"")</f>
        <v/>
      </c>
      <c r="AI139" s="117" t="str">
        <f>IFERROR(ROUND((AuswertungH[[#This Row],[Spiele H]]*60)/(AuswertungH[[#This Row],[Fehler H]]*AuswertungH[[#This Row],[Spiele H]]),0),"")</f>
        <v/>
      </c>
      <c r="AJ139" s="123" t="str" cm="1">
        <f t="array" ref="AJ139">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39" s="267" t="str">
        <f>IFERROR(ROUND(AVERAGEIFS(Eingabe[MP],Eingabe[Diff],"&lt;15",Eingabe[Name],AuswertungH[[#This Row],[Name]],Eingabe[Wo],"H")-AuswertungH[[#This Row],[MP H]],2),"")</f>
        <v/>
      </c>
      <c r="AL139" s="117" t="str" cm="1">
        <f t="array" ref="AL139">IFERROR(ROUND(AVERAGE(_xlfn._xlws.FILTER(Eingabe[GES],(Eingabe[Name]=AuswertungH[[#This Row],[Name]])*(Eingabe[Wo]="H")*(Eingabe[GEGGES]&gt;(AuswertungH[[#This Row],[GES H]]+20))))-AuswertungH[[#This Row],[GES H]],0),"")</f>
        <v/>
      </c>
      <c r="AM139" s="117" t="str" cm="1">
        <f t="array" ref="AM139">IFERROR(ROUND(AVERAGE(_xlfn._xlws.FILTER(Eingabe[GES],(Eingabe[Name]=AuswertungH[[#This Row],[Name]])*(Eingabe[Wo]="H")*(Eingabe[GEGGES]&lt;(AuswertungH[[#This Row],[GES H]]-20))))-AuswertungH[[#This Row],[GES H]],0),"")</f>
        <v/>
      </c>
    </row>
    <row r="140" spans="2:39" x14ac:dyDescent="0.3">
      <c r="B140" s="285" t="str">
        <f t="shared" si="2"/>
        <v>Martin Börner</v>
      </c>
      <c r="C140" s="119" t="str">
        <f>IF(AuswertungH[[#This Row],[Name]]="","",VLOOKUP(AuswertungH[[#This Row],[Name]],Teamzuordnung[[Name]:[Team]],2,TRUE))</f>
        <v>Z</v>
      </c>
      <c r="D140" s="122">
        <f>COUNTIFS(Eingabe[Name],AuswertungH[[#This Row],[Name]],Eingabe[Wo],"H")</f>
        <v>0</v>
      </c>
      <c r="E140" s="116" t="str">
        <f>IF(AuswertungH[[#This Row],[Spiele H]]="","",IF(AuswertungH[[#This Row],[Spiele H]]-COUNTIFS(Eingabe[Name],AuswertungH[[#This Row],[Name]],Eingabe[MP],"",Eingabe[Wo],"H")=0,"",AuswertungH[[#This Row],[Spiele H]]-COUNTIFS(Eingabe[Name],AuswertungH[[#This Row],[Name]],Eingabe[MP],"",Eingabe[Wo],"H")))</f>
        <v/>
      </c>
      <c r="F140" s="117" t="str">
        <f>IFERROR(ROUND(AVERAGEIFS(Eingabe[Volle],Eingabe[Name],AuswertungH[[#This Row],[Name]],Eingabe[Wo],"H"),0),"")</f>
        <v/>
      </c>
      <c r="G140" s="117" t="str">
        <f>IFERROR(ROUND(AVERAGEIFS(Eingabe[Räumer],Eingabe[Name],AuswertungH[[#This Row],[Name]],Eingabe[Wo],"H"),0),"")</f>
        <v/>
      </c>
      <c r="H140" s="123" t="str">
        <f>IFERROR(ROUND(AVERAGEIFS(Eingabe[Fehler],Eingabe[Name],AuswertungH[[#This Row],[Name]],Eingabe[Wo],"H"),1),"")</f>
        <v/>
      </c>
      <c r="I140" s="117" t="str">
        <f>IFERROR(ROUND(AVERAGEIFS(Eingabe[GES],Eingabe[Name],AuswertungH[[#This Row],[Name]],Eingabe[Wo],"H"),0),"")</f>
        <v/>
      </c>
      <c r="J140" s="123" t="str">
        <f>IFERROR(ROUND(AVERAGEIFS(Eingabe[SP],Eingabe[Name],AuswertungH[[#This Row],[Name]],Eingabe[Wo],"H"),2),"")</f>
        <v/>
      </c>
      <c r="K140" s="121" t="str">
        <f>IFERROR(ROUND(AVERAGEIFS(Eingabe[MP],Eingabe[Name],AuswertungH[[#This Row],[Name]],Eingabe[Wo],"H"),2),"")</f>
        <v/>
      </c>
      <c r="L140" s="117" t="str">
        <f>IFERROR(ROUND(AVERAGEIFS(Eingabe[S1],Eingabe[Name],AuswertungH[[#This Row],[Name]],Eingabe[Wo],"H"),0),"")</f>
        <v/>
      </c>
      <c r="M140" s="268" t="str">
        <f>IFERROR(ROUND(AVERAGEIFS(Eingabe[S2],Eingabe[Name],AuswertungH[[#This Row],[Name]],Eingabe[Wo],"H"),0),"")</f>
        <v/>
      </c>
      <c r="N140" s="117" t="str">
        <f>IFERROR(ROUND(AVERAGEIFS(Eingabe[S3],Eingabe[Name],AuswertungH[[#This Row],[Name]],Eingabe[Wo],"H"),0),"")</f>
        <v/>
      </c>
      <c r="O140" s="268" t="str">
        <f>IFERROR(ROUND(AVERAGEIFS(Eingabe[S4],Eingabe[Name],AuswertungH[[#This Row],[Name]],Eingabe[Wo],"H"),0),"")</f>
        <v/>
      </c>
      <c r="P140" s="121" t="str">
        <f>IFERROR(ROUND(AVERAGEIFS(Eingabe[S1P],Eingabe[Name],AuswertungH[[#This Row],[Name]],Eingabe[Wo],"H"),2),"")</f>
        <v/>
      </c>
      <c r="Q140" s="121" t="str">
        <f>IFERROR(ROUND(AVERAGEIFS(Eingabe[S2P],Eingabe[Name],AuswertungH[[#This Row],[Name]],Eingabe[Wo],"H"),2),"")</f>
        <v/>
      </c>
      <c r="R140" s="121" t="str">
        <f>IFERROR(ROUND(AVERAGEIFS(Eingabe[S3P],Eingabe[Name],AuswertungH[[#This Row],[Name]],Eingabe[Wo],"H"),2),"")</f>
        <v/>
      </c>
      <c r="S140" s="121" t="str">
        <f>IFERROR(ROUND(AVERAGEIFS(Eingabe[S4P],Eingabe[Name],AuswertungH[[#This Row],[Name]],Eingabe[Wo],"H"),2),"")</f>
        <v/>
      </c>
      <c r="T140" s="123" cm="1">
        <f t="array" ref="T140">IFERROR(ROUND(SLOPE(_xlfn._xlws.FILTER(Eingabe[GES],(Eingabe[Name]=AuswertungH[[#This Row],[Name]])*(Eingabe[Wo]="H")),_xlfn._xlws.FILTER(Eingabe[KW],(Eingabe[Name]=AuswertungH[[#This Row],[Name]])*(Eingabe[Wo]="H"))),2),0)</f>
        <v>0</v>
      </c>
      <c r="U140" s="123" t="str" cm="1">
        <f t="array" ref="U140">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40" s="117" t="str" cm="1">
        <f t="array" ref="V140">IFERROR(ROUND(_xlfn.STDEV.P(_xlfn._xlws.FILTER(Eingabe[GES],(Eingabe[Name]=AuswertungH[[#This Row],[Name]])*(Eingabe[Wo]="H"))),0),"")</f>
        <v/>
      </c>
      <c r="W140" s="117" t="str">
        <f>IF(AuswertungH[[#This Row],[Spiele MP H]]="","",ROUND(AVERAGEIFS(Eingabe[GEGGES],Eingabe[Name],AuswertungH[[#This Row],[Name]],Eingabe[Wo],"H"),0))</f>
        <v/>
      </c>
      <c r="X140" s="116" t="str">
        <f>VLOOKUP(AuswertungH[[#This Row],[Name]],PositionH[],21,FALSE)</f>
        <v/>
      </c>
      <c r="Y140" s="116" t="str">
        <f>VLOOKUP(AuswertungH[[#This Row],[Name]],PositionH[],22,FALSE)</f>
        <v/>
      </c>
      <c r="Z140" s="116" t="str">
        <f>VLOOKUP(AuswertungH[[#This Row],[Name]],PositionH[],23,FALSE)</f>
        <v/>
      </c>
      <c r="AA140" s="121" t="str">
        <f>IF(AuswertungH[[#This Row],[Spiele MP H]]="","",ROUND(VLOOKUP(AuswertungH[[#This Row],[Name]],PositionH[],24,FALSE),2))</f>
        <v/>
      </c>
      <c r="AB140" s="123" t="str">
        <f>IFERROR(AVERAGEIFS(Eingabe[Rang],Eingabe[Name],AuswertungH[[#This Row],[Name]],Eingabe[Wo],"H"),"")</f>
        <v/>
      </c>
      <c r="AC140"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40" s="123" t="str" cm="1">
        <f t="array" ref="AD140">IFERROR(ROUND(MEDIAN(_xlfn._xlws.FILTER(Eingabe[GES],(Eingabe[Name]=AuswertungH[[#This Row],[Name]])*(Eingabe[Wo]="H"))),0),"")</f>
        <v/>
      </c>
      <c r="AE140" s="121" t="str">
        <f>IFERROR(AuswertungH[[#This Row],[STABW H]]/AuswertungH[[#This Row],[GES H]],"")</f>
        <v/>
      </c>
      <c r="AF140" s="123" t="str" cm="1">
        <f t="array" ref="AF140">IFERROR(ROUND(_xlfn.QUARTILE.INC(_xlfn._xlws.FILTER(Eingabe[GES],(Eingabe[Name]=AuswertungH[[#This Row],[Name]])*(Eingabe[Wo]="H")),3)-_xlfn.QUARTILE.INC(_xlfn._xlws.FILTER(Eingabe[GES],(Eingabe[Name]=AuswertungH[[#This Row],[Name]])*(Eingabe[Wo]="H")),1),0),"")</f>
        <v/>
      </c>
      <c r="AG140" s="123" t="str">
        <f>IFERROR(1/AuswertungH[[#This Row],[VK H]],"")</f>
        <v/>
      </c>
      <c r="AH140" s="123" t="str">
        <f>IFERROR(AuswertungH[[#This Row],[Volle H]]/AuswertungH[[#This Row],[Räumer H]]-2,"")</f>
        <v/>
      </c>
      <c r="AI140" s="117" t="str">
        <f>IFERROR(ROUND((AuswertungH[[#This Row],[Spiele H]]*60)/(AuswertungH[[#This Row],[Fehler H]]*AuswertungH[[#This Row],[Spiele H]]),0),"")</f>
        <v/>
      </c>
      <c r="AJ140" s="123" t="str" cm="1">
        <f t="array" ref="AJ140">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40" s="267" t="str">
        <f>IFERROR(ROUND(AVERAGEIFS(Eingabe[MP],Eingabe[Diff],"&lt;15",Eingabe[Name],AuswertungH[[#This Row],[Name]],Eingabe[Wo],"H")-AuswertungH[[#This Row],[MP H]],2),"")</f>
        <v/>
      </c>
      <c r="AL140" s="117" t="str" cm="1">
        <f t="array" ref="AL140">IFERROR(ROUND(AVERAGE(_xlfn._xlws.FILTER(Eingabe[GES],(Eingabe[Name]=AuswertungH[[#This Row],[Name]])*(Eingabe[Wo]="H")*(Eingabe[GEGGES]&gt;(AuswertungH[[#This Row],[GES H]]+20))))-AuswertungH[[#This Row],[GES H]],0),"")</f>
        <v/>
      </c>
      <c r="AM140" s="117" t="str" cm="1">
        <f t="array" ref="AM140">IFERROR(ROUND(AVERAGE(_xlfn._xlws.FILTER(Eingabe[GES],(Eingabe[Name]=AuswertungH[[#This Row],[Name]])*(Eingabe[Wo]="H")*(Eingabe[GEGGES]&lt;(AuswertungH[[#This Row],[GES H]]-20))))-AuswertungH[[#This Row],[GES H]],0),"")</f>
        <v/>
      </c>
    </row>
    <row r="141" spans="2:39" x14ac:dyDescent="0.3">
      <c r="B141" s="285" t="str">
        <f t="shared" si="2"/>
        <v>Max Dost</v>
      </c>
      <c r="C141" s="119" t="str">
        <f>IF(AuswertungH[[#This Row],[Name]]="","",VLOOKUP(AuswertungH[[#This Row],[Name]],Teamzuordnung[[Name]:[Team]],2,TRUE))</f>
        <v>D</v>
      </c>
      <c r="D141" s="122">
        <f>COUNTIFS(Eingabe[Name],AuswertungH[[#This Row],[Name]],Eingabe[Wo],"H")</f>
        <v>0</v>
      </c>
      <c r="E141" s="117" t="str">
        <f>IF(AuswertungH[[#This Row],[Spiele H]]="","",IF(AuswertungH[[#This Row],[Spiele H]]-COUNTIFS(Eingabe[Name],AuswertungH[[#This Row],[Name]],Eingabe[MP],"",Eingabe[Wo],"H")=0,"",AuswertungH[[#This Row],[Spiele H]]-COUNTIFS(Eingabe[Name],AuswertungH[[#This Row],[Name]],Eingabe[MP],"",Eingabe[Wo],"H")))</f>
        <v/>
      </c>
      <c r="F141" s="117" t="str">
        <f>IFERROR(ROUND(AVERAGEIFS(Eingabe[Volle],Eingabe[Name],AuswertungH[[#This Row],[Name]],Eingabe[Wo],"H"),0),"")</f>
        <v/>
      </c>
      <c r="G141" s="117" t="str">
        <f>IFERROR(ROUND(AVERAGEIFS(Eingabe[Räumer],Eingabe[Name],AuswertungH[[#This Row],[Name]],Eingabe[Wo],"H"),0),"")</f>
        <v/>
      </c>
      <c r="H141" s="123" t="str">
        <f>IFERROR(ROUND(AVERAGEIFS(Eingabe[Fehler],Eingabe[Name],AuswertungH[[#This Row],[Name]],Eingabe[Wo],"H"),1),"")</f>
        <v/>
      </c>
      <c r="I141" s="117" t="str">
        <f>IFERROR(ROUND(AVERAGEIFS(Eingabe[GES],Eingabe[Name],AuswertungH[[#This Row],[Name]],Eingabe[Wo],"H"),0),"")</f>
        <v/>
      </c>
      <c r="J141" s="123" t="str">
        <f>IFERROR(ROUND(AVERAGEIFS(Eingabe[SP],Eingabe[Name],AuswertungH[[#This Row],[Name]],Eingabe[Wo],"H"),2),"")</f>
        <v/>
      </c>
      <c r="K141" s="121" t="str">
        <f>IFERROR(ROUND(AVERAGEIFS(Eingabe[MP],Eingabe[Name],AuswertungH[[#This Row],[Name]],Eingabe[Wo],"H"),2),"")</f>
        <v/>
      </c>
      <c r="L141" s="117" t="str">
        <f>IFERROR(ROUND(AVERAGEIFS(Eingabe[S1],Eingabe[Name],AuswertungH[[#This Row],[Name]],Eingabe[Wo],"H"),0),"")</f>
        <v/>
      </c>
      <c r="M141" s="268" t="str">
        <f>IFERROR(ROUND(AVERAGEIFS(Eingabe[S2],Eingabe[Name],AuswertungH[[#This Row],[Name]],Eingabe[Wo],"H"),0),"")</f>
        <v/>
      </c>
      <c r="N141" s="117" t="str">
        <f>IFERROR(ROUND(AVERAGEIFS(Eingabe[S3],Eingabe[Name],AuswertungH[[#This Row],[Name]],Eingabe[Wo],"H"),0),"")</f>
        <v/>
      </c>
      <c r="O141" s="268" t="str">
        <f>IFERROR(ROUND(AVERAGEIFS(Eingabe[S4],Eingabe[Name],AuswertungH[[#This Row],[Name]],Eingabe[Wo],"H"),0),"")</f>
        <v/>
      </c>
      <c r="P141" s="121" t="str">
        <f>IFERROR(ROUND(AVERAGEIFS(Eingabe[S1P],Eingabe[Name],AuswertungH[[#This Row],[Name]],Eingabe[Wo],"H"),2),"")</f>
        <v/>
      </c>
      <c r="Q141" s="121" t="str">
        <f>IFERROR(ROUND(AVERAGEIFS(Eingabe[S2P],Eingabe[Name],AuswertungH[[#This Row],[Name]],Eingabe[Wo],"H"),2),"")</f>
        <v/>
      </c>
      <c r="R141" s="121" t="str">
        <f>IFERROR(ROUND(AVERAGEIFS(Eingabe[S3P],Eingabe[Name],AuswertungH[[#This Row],[Name]],Eingabe[Wo],"H"),2),"")</f>
        <v/>
      </c>
      <c r="S141" s="121" t="str">
        <f>IFERROR(ROUND(AVERAGEIFS(Eingabe[S4P],Eingabe[Name],AuswertungH[[#This Row],[Name]],Eingabe[Wo],"H"),2),"")</f>
        <v/>
      </c>
      <c r="T141" s="123" cm="1">
        <f t="array" ref="T141">IFERROR(ROUND(SLOPE(_xlfn._xlws.FILTER(Eingabe[GES],(Eingabe[Name]=AuswertungH[[#This Row],[Name]])*(Eingabe[Wo]="H")),_xlfn._xlws.FILTER(Eingabe[KW],(Eingabe[Name]=AuswertungH[[#This Row],[Name]])*(Eingabe[Wo]="H"))),2),0)</f>
        <v>0</v>
      </c>
      <c r="U141" s="123" t="str" cm="1">
        <f t="array" ref="U141">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41" s="117" t="str" cm="1">
        <f t="array" ref="V141">IFERROR(ROUND(_xlfn.STDEV.P(_xlfn._xlws.FILTER(Eingabe[GES],(Eingabe[Name]=AuswertungH[[#This Row],[Name]])*(Eingabe[Wo]="H"))),0),"")</f>
        <v/>
      </c>
      <c r="W141" s="117" t="str">
        <f>IF(AuswertungH[[#This Row],[Spiele MP H]]="","",ROUND(AVERAGEIFS(Eingabe[GEGGES],Eingabe[Name],AuswertungH[[#This Row],[Name]],Eingabe[Wo],"H"),0))</f>
        <v/>
      </c>
      <c r="X141" s="123" t="str">
        <f>VLOOKUP(AuswertungH[[#This Row],[Name]],PositionH[],21,FALSE)</f>
        <v/>
      </c>
      <c r="Y141" s="123" t="str">
        <f>VLOOKUP(AuswertungH[[#This Row],[Name]],PositionH[],22,FALSE)</f>
        <v/>
      </c>
      <c r="Z141" s="123" t="str">
        <f>VLOOKUP(AuswertungH[[#This Row],[Name]],PositionH[],23,FALSE)</f>
        <v/>
      </c>
      <c r="AA141" s="121" t="str">
        <f>IF(AuswertungH[[#This Row],[Spiele MP H]]="","",ROUND(VLOOKUP(AuswertungH[[#This Row],[Name]],PositionH[],24,FALSE),2))</f>
        <v/>
      </c>
      <c r="AB141" s="123" t="str">
        <f>IFERROR(AVERAGEIFS(Eingabe[Rang],Eingabe[Name],AuswertungH[[#This Row],[Name]],Eingabe[Wo],"H"),"")</f>
        <v/>
      </c>
      <c r="AC141"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41" s="123" t="str" cm="1">
        <f t="array" ref="AD141">IFERROR(ROUND(MEDIAN(_xlfn._xlws.FILTER(Eingabe[GES],(Eingabe[Name]=AuswertungH[[#This Row],[Name]])*(Eingabe[Wo]="H"))),0),"")</f>
        <v/>
      </c>
      <c r="AE141" s="121" t="str">
        <f>IFERROR(AuswertungH[[#This Row],[STABW H]]/AuswertungH[[#This Row],[GES H]],"")</f>
        <v/>
      </c>
      <c r="AF141" s="123" t="str" cm="1">
        <f t="array" ref="AF141">IFERROR(ROUND(_xlfn.QUARTILE.INC(_xlfn._xlws.FILTER(Eingabe[GES],(Eingabe[Name]=AuswertungH[[#This Row],[Name]])*(Eingabe[Wo]="H")),3)-_xlfn.QUARTILE.INC(_xlfn._xlws.FILTER(Eingabe[GES],(Eingabe[Name]=AuswertungH[[#This Row],[Name]])*(Eingabe[Wo]="H")),1),0),"")</f>
        <v/>
      </c>
      <c r="AG141" s="123" t="str">
        <f>IFERROR(1/AuswertungH[[#This Row],[VK H]],"")</f>
        <v/>
      </c>
      <c r="AH141" s="123" t="str">
        <f>IFERROR(AuswertungH[[#This Row],[Volle H]]/AuswertungH[[#This Row],[Räumer H]]-2,"")</f>
        <v/>
      </c>
      <c r="AI141" s="117" t="str">
        <f>IFERROR(ROUND((AuswertungH[[#This Row],[Spiele H]]*60)/(AuswertungH[[#This Row],[Fehler H]]*AuswertungH[[#This Row],[Spiele H]]),0),"")</f>
        <v/>
      </c>
      <c r="AJ141" s="123" t="str" cm="1">
        <f t="array" ref="AJ141">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41" s="267" t="str">
        <f>IFERROR(ROUND(AVERAGEIFS(Eingabe[MP],Eingabe[Diff],"&lt;15",Eingabe[Name],AuswertungH[[#This Row],[Name]],Eingabe[Wo],"H")-AuswertungH[[#This Row],[MP H]],2),"")</f>
        <v/>
      </c>
      <c r="AL141" s="117" t="str" cm="1">
        <f t="array" ref="AL141">IFERROR(ROUND(AVERAGE(_xlfn._xlws.FILTER(Eingabe[GES],(Eingabe[Name]=AuswertungH[[#This Row],[Name]])*(Eingabe[Wo]="H")*(Eingabe[GEGGES]&gt;(AuswertungH[[#This Row],[GES H]]+20))))-AuswertungH[[#This Row],[GES H]],0),"")</f>
        <v/>
      </c>
      <c r="AM141" s="117" t="str" cm="1">
        <f t="array" ref="AM141">IFERROR(ROUND(AVERAGE(_xlfn._xlws.FILTER(Eingabe[GES],(Eingabe[Name]=AuswertungH[[#This Row],[Name]])*(Eingabe[Wo]="H")*(Eingabe[GEGGES]&lt;(AuswertungH[[#This Row],[GES H]]-20))))-AuswertungH[[#This Row],[GES H]],0),"")</f>
        <v/>
      </c>
    </row>
    <row r="142" spans="2:39" x14ac:dyDescent="0.3">
      <c r="B142" s="285" t="str">
        <f t="shared" si="2"/>
        <v>Michael Becker</v>
      </c>
      <c r="C142" s="119" t="str">
        <f>IF(AuswertungH[[#This Row],[Name]]="","",VLOOKUP(AuswertungH[[#This Row],[Name]],Teamzuordnung[[Name]:[Team]],2,TRUE))</f>
        <v>D</v>
      </c>
      <c r="D142" s="122">
        <f>COUNTIFS(Eingabe[Name],AuswertungH[[#This Row],[Name]],Eingabe[Wo],"H")</f>
        <v>1</v>
      </c>
      <c r="E142" s="117">
        <f>IF(AuswertungH[[#This Row],[Spiele H]]="","",IF(AuswertungH[[#This Row],[Spiele H]]-COUNTIFS(Eingabe[Name],AuswertungH[[#This Row],[Name]],Eingabe[MP],"",Eingabe[Wo],"H")=0,"",AuswertungH[[#This Row],[Spiele H]]-COUNTIFS(Eingabe[Name],AuswertungH[[#This Row],[Name]],Eingabe[MP],"",Eingabe[Wo],"H")))</f>
        <v>1</v>
      </c>
      <c r="F142" s="117">
        <f>IFERROR(ROUND(AVERAGEIFS(Eingabe[Volle],Eingabe[Name],AuswertungH[[#This Row],[Name]],Eingabe[Wo],"H"),0),"")</f>
        <v>341</v>
      </c>
      <c r="G142" s="117">
        <f>IFERROR(ROUND(AVERAGEIFS(Eingabe[Räumer],Eingabe[Name],AuswertungH[[#This Row],[Name]],Eingabe[Wo],"H"),0),"")</f>
        <v>153</v>
      </c>
      <c r="H142" s="123">
        <f>IFERROR(ROUND(AVERAGEIFS(Eingabe[Fehler],Eingabe[Name],AuswertungH[[#This Row],[Name]],Eingabe[Wo],"H"),1),"")</f>
        <v>10</v>
      </c>
      <c r="I142" s="117">
        <f>IFERROR(ROUND(AVERAGEIFS(Eingabe[GES],Eingabe[Name],AuswertungH[[#This Row],[Name]],Eingabe[Wo],"H"),0),"")</f>
        <v>494</v>
      </c>
      <c r="J142" s="123">
        <f>IFERROR(ROUND(AVERAGEIFS(Eingabe[SP],Eingabe[Name],AuswertungH[[#This Row],[Name]],Eingabe[Wo],"H"),2),"")</f>
        <v>2</v>
      </c>
      <c r="K142" s="121">
        <f>IFERROR(ROUND(AVERAGEIFS(Eingabe[MP],Eingabe[Name],AuswertungH[[#This Row],[Name]],Eingabe[Wo],"H"),2),"")</f>
        <v>1</v>
      </c>
      <c r="L142" s="117">
        <f>IFERROR(ROUND(AVERAGEIFS(Eingabe[S1],Eingabe[Name],AuswertungH[[#This Row],[Name]],Eingabe[Wo],"H"),0),"")</f>
        <v>123</v>
      </c>
      <c r="M142" s="268">
        <f>IFERROR(ROUND(AVERAGEIFS(Eingabe[S2],Eingabe[Name],AuswertungH[[#This Row],[Name]],Eingabe[Wo],"H"),0),"")</f>
        <v>131</v>
      </c>
      <c r="N142" s="117">
        <f>IFERROR(ROUND(AVERAGEIFS(Eingabe[S3],Eingabe[Name],AuswertungH[[#This Row],[Name]],Eingabe[Wo],"H"),0),"")</f>
        <v>124</v>
      </c>
      <c r="O142" s="268">
        <f>IFERROR(ROUND(AVERAGEIFS(Eingabe[S4],Eingabe[Name],AuswertungH[[#This Row],[Name]],Eingabe[Wo],"H"),0),"")</f>
        <v>116</v>
      </c>
      <c r="P142" s="121">
        <f>IFERROR(ROUND(AVERAGEIFS(Eingabe[S1P],Eingabe[Name],AuswertungH[[#This Row],[Name]],Eingabe[Wo],"H"),2),"")</f>
        <v>0</v>
      </c>
      <c r="Q142" s="121">
        <f>IFERROR(ROUND(AVERAGEIFS(Eingabe[S2P],Eingabe[Name],AuswertungH[[#This Row],[Name]],Eingabe[Wo],"H"),2),"")</f>
        <v>1</v>
      </c>
      <c r="R142" s="121">
        <f>IFERROR(ROUND(AVERAGEIFS(Eingabe[S3P],Eingabe[Name],AuswertungH[[#This Row],[Name]],Eingabe[Wo],"H"),2),"")</f>
        <v>0</v>
      </c>
      <c r="S142" s="121">
        <f>IFERROR(ROUND(AVERAGEIFS(Eingabe[S4P],Eingabe[Name],AuswertungH[[#This Row],[Name]],Eingabe[Wo],"H"),2),"")</f>
        <v>1</v>
      </c>
      <c r="T142" s="123" cm="1">
        <f t="array" ref="T142">IFERROR(ROUND(SLOPE(_xlfn._xlws.FILTER(Eingabe[GES],(Eingabe[Name]=AuswertungH[[#This Row],[Name]])*(Eingabe[Wo]="H")),_xlfn._xlws.FILTER(Eingabe[KW],(Eingabe[Name]=AuswertungH[[#This Row],[Name]])*(Eingabe[Wo]="H"))),2),0)</f>
        <v>0</v>
      </c>
      <c r="U142" s="123" t="str" cm="1">
        <f t="array" ref="U142">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42" s="117" cm="1">
        <f t="array" ref="V142">IFERROR(ROUND(_xlfn.STDEV.P(_xlfn._xlws.FILTER(Eingabe[GES],(Eingabe[Name]=AuswertungH[[#This Row],[Name]])*(Eingabe[Wo]="H"))),0),"")</f>
        <v>0</v>
      </c>
      <c r="W142" s="117">
        <f>IF(AuswertungH[[#This Row],[Spiele MP H]]="","",ROUND(AVERAGEIFS(Eingabe[GEGGES],Eingabe[Name],AuswertungH[[#This Row],[Name]],Eingabe[Wo],"H"),0))</f>
        <v>480</v>
      </c>
      <c r="X142" s="123" t="str">
        <f>VLOOKUP(AuswertungH[[#This Row],[Name]],PositionH[],21,FALSE)</f>
        <v>[5]</v>
      </c>
      <c r="Y142" s="123">
        <f>VLOOKUP(AuswertungH[[#This Row],[Name]],PositionH[],22,FALSE)</f>
        <v>1</v>
      </c>
      <c r="Z142" s="123" t="str">
        <f>VLOOKUP(AuswertungH[[#This Row],[Name]],PositionH[],23,FALSE)</f>
        <v>[5]</v>
      </c>
      <c r="AA142" s="121">
        <f>IF(AuswertungH[[#This Row],[Spiele MP H]]="","",ROUND(VLOOKUP(AuswertungH[[#This Row],[Name]],PositionH[],24,FALSE),2))</f>
        <v>1</v>
      </c>
      <c r="AB142" s="123">
        <f>IFERROR(AVERAGEIFS(Eingabe[Rang],Eingabe[Name],AuswertungH[[#This Row],[Name]],Eingabe[Wo],"H"),"")</f>
        <v>5</v>
      </c>
      <c r="AC142"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131 [2]</v>
      </c>
      <c r="AD142" s="123" cm="1">
        <f t="array" ref="AD142">IFERROR(ROUND(MEDIAN(_xlfn._xlws.FILTER(Eingabe[GES],(Eingabe[Name]=AuswertungH[[#This Row],[Name]])*(Eingabe[Wo]="H"))),0),"")</f>
        <v>494</v>
      </c>
      <c r="AE142" s="121">
        <f>IFERROR(AuswertungH[[#This Row],[STABW H]]/AuswertungH[[#This Row],[GES H]],"")</f>
        <v>0</v>
      </c>
      <c r="AF142" s="123" cm="1">
        <f t="array" ref="AF142">IFERROR(ROUND(_xlfn.QUARTILE.INC(_xlfn._xlws.FILTER(Eingabe[GES],(Eingabe[Name]=AuswertungH[[#This Row],[Name]])*(Eingabe[Wo]="H")),3)-_xlfn.QUARTILE.INC(_xlfn._xlws.FILTER(Eingabe[GES],(Eingabe[Name]=AuswertungH[[#This Row],[Name]])*(Eingabe[Wo]="H")),1),0),"")</f>
        <v>0</v>
      </c>
      <c r="AG142" s="123" t="str">
        <f>IFERROR(1/AuswertungH[[#This Row],[VK H]],"")</f>
        <v/>
      </c>
      <c r="AH142" s="123">
        <f>IFERROR(AuswertungH[[#This Row],[Volle H]]/AuswertungH[[#This Row],[Räumer H]]-2,"")</f>
        <v>0.2287581699346406</v>
      </c>
      <c r="AI142" s="117">
        <f>IFERROR(ROUND((AuswertungH[[#This Row],[Spiele H]]*60)/(AuswertungH[[#This Row],[Fehler H]]*AuswertungH[[#This Row],[Spiele H]]),0),"")</f>
        <v>6</v>
      </c>
      <c r="AJ142" s="123" t="str" cm="1">
        <f t="array" ref="AJ142">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42" s="267">
        <f>IFERROR(ROUND(AVERAGEIFS(Eingabe[MP],Eingabe[Diff],"&lt;15",Eingabe[Name],AuswertungH[[#This Row],[Name]],Eingabe[Wo],"H")-AuswertungH[[#This Row],[MP H]],2),"")</f>
        <v>0</v>
      </c>
      <c r="AL142" s="117" t="str" cm="1">
        <f t="array" ref="AL142">IFERROR(ROUND(AVERAGE(_xlfn._xlws.FILTER(Eingabe[GES],(Eingabe[Name]=AuswertungH[[#This Row],[Name]])*(Eingabe[Wo]="H")*(Eingabe[GEGGES]&gt;(AuswertungH[[#This Row],[GES H]]+20))))-AuswertungH[[#This Row],[GES H]],0),"")</f>
        <v/>
      </c>
      <c r="AM142" s="117" t="str" cm="1">
        <f t="array" ref="AM142">IFERROR(ROUND(AVERAGE(_xlfn._xlws.FILTER(Eingabe[GES],(Eingabe[Name]=AuswertungH[[#This Row],[Name]])*(Eingabe[Wo]="H")*(Eingabe[GEGGES]&lt;(AuswertungH[[#This Row],[GES H]]-20))))-AuswertungH[[#This Row],[GES H]],0),"")</f>
        <v/>
      </c>
    </row>
    <row r="143" spans="2:39" x14ac:dyDescent="0.3">
      <c r="B143" s="285" t="str">
        <f t="shared" si="2"/>
        <v>Michael Klose</v>
      </c>
      <c r="C143" s="119" t="str">
        <f>IF(AuswertungH[[#This Row],[Name]]="","",VLOOKUP(AuswertungH[[#This Row],[Name]],Teamzuordnung[[Name]:[Team]],2,TRUE))</f>
        <v>D</v>
      </c>
      <c r="D143" s="122">
        <f>COUNTIFS(Eingabe[Name],AuswertungH[[#This Row],[Name]],Eingabe[Wo],"H")</f>
        <v>0</v>
      </c>
      <c r="E143" s="116" t="str">
        <f>IF(AuswertungH[[#This Row],[Spiele H]]="","",IF(AuswertungH[[#This Row],[Spiele H]]-COUNTIFS(Eingabe[Name],AuswertungH[[#This Row],[Name]],Eingabe[MP],"",Eingabe[Wo],"H")=0,"",AuswertungH[[#This Row],[Spiele H]]-COUNTIFS(Eingabe[Name],AuswertungH[[#This Row],[Name]],Eingabe[MP],"",Eingabe[Wo],"H")))</f>
        <v/>
      </c>
      <c r="F143" s="117" t="str">
        <f>IFERROR(ROUND(AVERAGEIFS(Eingabe[Volle],Eingabe[Name],AuswertungH[[#This Row],[Name]],Eingabe[Wo],"H"),0),"")</f>
        <v/>
      </c>
      <c r="G143" s="117" t="str">
        <f>IFERROR(ROUND(AVERAGEIFS(Eingabe[Räumer],Eingabe[Name],AuswertungH[[#This Row],[Name]],Eingabe[Wo],"H"),0),"")</f>
        <v/>
      </c>
      <c r="H143" s="123" t="str">
        <f>IFERROR(ROUND(AVERAGEIFS(Eingabe[Fehler],Eingabe[Name],AuswertungH[[#This Row],[Name]],Eingabe[Wo],"H"),1),"")</f>
        <v/>
      </c>
      <c r="I143" s="117" t="str">
        <f>IFERROR(ROUND(AVERAGEIFS(Eingabe[GES],Eingabe[Name],AuswertungH[[#This Row],[Name]],Eingabe[Wo],"H"),0),"")</f>
        <v/>
      </c>
      <c r="J143" s="123" t="str">
        <f>IFERROR(ROUND(AVERAGEIFS(Eingabe[SP],Eingabe[Name],AuswertungH[[#This Row],[Name]],Eingabe[Wo],"H"),2),"")</f>
        <v/>
      </c>
      <c r="K143" s="121" t="str">
        <f>IFERROR(ROUND(AVERAGEIFS(Eingabe[MP],Eingabe[Name],AuswertungH[[#This Row],[Name]],Eingabe[Wo],"H"),2),"")</f>
        <v/>
      </c>
      <c r="L143" s="117" t="str">
        <f>IFERROR(ROUND(AVERAGEIFS(Eingabe[S1],Eingabe[Name],AuswertungH[[#This Row],[Name]],Eingabe[Wo],"H"),0),"")</f>
        <v/>
      </c>
      <c r="M143" s="268" t="str">
        <f>IFERROR(ROUND(AVERAGEIFS(Eingabe[S2],Eingabe[Name],AuswertungH[[#This Row],[Name]],Eingabe[Wo],"H"),0),"")</f>
        <v/>
      </c>
      <c r="N143" s="117" t="str">
        <f>IFERROR(ROUND(AVERAGEIFS(Eingabe[S3],Eingabe[Name],AuswertungH[[#This Row],[Name]],Eingabe[Wo],"H"),0),"")</f>
        <v/>
      </c>
      <c r="O143" s="268" t="str">
        <f>IFERROR(ROUND(AVERAGEIFS(Eingabe[S4],Eingabe[Name],AuswertungH[[#This Row],[Name]],Eingabe[Wo],"H"),0),"")</f>
        <v/>
      </c>
      <c r="P143" s="121" t="str">
        <f>IFERROR(ROUND(AVERAGEIFS(Eingabe[S1P],Eingabe[Name],AuswertungH[[#This Row],[Name]],Eingabe[Wo],"H"),2),"")</f>
        <v/>
      </c>
      <c r="Q143" s="121" t="str">
        <f>IFERROR(ROUND(AVERAGEIFS(Eingabe[S2P],Eingabe[Name],AuswertungH[[#This Row],[Name]],Eingabe[Wo],"H"),2),"")</f>
        <v/>
      </c>
      <c r="R143" s="121" t="str">
        <f>IFERROR(ROUND(AVERAGEIFS(Eingabe[S3P],Eingabe[Name],AuswertungH[[#This Row],[Name]],Eingabe[Wo],"H"),2),"")</f>
        <v/>
      </c>
      <c r="S143" s="121" t="str">
        <f>IFERROR(ROUND(AVERAGEIFS(Eingabe[S4P],Eingabe[Name],AuswertungH[[#This Row],[Name]],Eingabe[Wo],"H"),2),"")</f>
        <v/>
      </c>
      <c r="T143" s="123" cm="1">
        <f t="array" ref="T143">IFERROR(ROUND(SLOPE(_xlfn._xlws.FILTER(Eingabe[GES],(Eingabe[Name]=AuswertungH[[#This Row],[Name]])*(Eingabe[Wo]="H")),_xlfn._xlws.FILTER(Eingabe[KW],(Eingabe[Name]=AuswertungH[[#This Row],[Name]])*(Eingabe[Wo]="H"))),2),0)</f>
        <v>0</v>
      </c>
      <c r="U143" s="123" t="str" cm="1">
        <f t="array" ref="U143">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43" s="117" t="str" cm="1">
        <f t="array" ref="V143">IFERROR(ROUND(_xlfn.STDEV.P(_xlfn._xlws.FILTER(Eingabe[GES],(Eingabe[Name]=AuswertungH[[#This Row],[Name]])*(Eingabe[Wo]="H"))),0),"")</f>
        <v/>
      </c>
      <c r="W143" s="117" t="str">
        <f>IF(AuswertungH[[#This Row],[Spiele MP H]]="","",ROUND(AVERAGEIFS(Eingabe[GEGGES],Eingabe[Name],AuswertungH[[#This Row],[Name]],Eingabe[Wo],"H"),0))</f>
        <v/>
      </c>
      <c r="X143" s="116" t="str">
        <f>VLOOKUP(AuswertungH[[#This Row],[Name]],PositionH[],21,FALSE)</f>
        <v/>
      </c>
      <c r="Y143" s="116" t="str">
        <f>VLOOKUP(AuswertungH[[#This Row],[Name]],PositionH[],22,FALSE)</f>
        <v/>
      </c>
      <c r="Z143" s="116" t="str">
        <f>VLOOKUP(AuswertungH[[#This Row],[Name]],PositionH[],23,FALSE)</f>
        <v/>
      </c>
      <c r="AA143" s="121" t="str">
        <f>IF(AuswertungH[[#This Row],[Spiele MP H]]="","",ROUND(VLOOKUP(AuswertungH[[#This Row],[Name]],PositionH[],24,FALSE),2))</f>
        <v/>
      </c>
      <c r="AB143" s="123" t="str">
        <f>IFERROR(AVERAGEIFS(Eingabe[Rang],Eingabe[Name],AuswertungH[[#This Row],[Name]],Eingabe[Wo],"H"),"")</f>
        <v/>
      </c>
      <c r="AC143"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43" s="123" t="str" cm="1">
        <f t="array" ref="AD143">IFERROR(ROUND(MEDIAN(_xlfn._xlws.FILTER(Eingabe[GES],(Eingabe[Name]=AuswertungH[[#This Row],[Name]])*(Eingabe[Wo]="H"))),0),"")</f>
        <v/>
      </c>
      <c r="AE143" s="121" t="str">
        <f>IFERROR(AuswertungH[[#This Row],[STABW H]]/AuswertungH[[#This Row],[GES H]],"")</f>
        <v/>
      </c>
      <c r="AF143" s="123" t="str" cm="1">
        <f t="array" ref="AF143">IFERROR(ROUND(_xlfn.QUARTILE.INC(_xlfn._xlws.FILTER(Eingabe[GES],(Eingabe[Name]=AuswertungH[[#This Row],[Name]])*(Eingabe[Wo]="H")),3)-_xlfn.QUARTILE.INC(_xlfn._xlws.FILTER(Eingabe[GES],(Eingabe[Name]=AuswertungH[[#This Row],[Name]])*(Eingabe[Wo]="H")),1),0),"")</f>
        <v/>
      </c>
      <c r="AG143" s="123" t="str">
        <f>IFERROR(1/AuswertungH[[#This Row],[VK H]],"")</f>
        <v/>
      </c>
      <c r="AH143" s="123" t="str">
        <f>IFERROR(AuswertungH[[#This Row],[Volle H]]/AuswertungH[[#This Row],[Räumer H]]-2,"")</f>
        <v/>
      </c>
      <c r="AI143" s="117" t="str">
        <f>IFERROR(ROUND((AuswertungH[[#This Row],[Spiele H]]*60)/(AuswertungH[[#This Row],[Fehler H]]*AuswertungH[[#This Row],[Spiele H]]),0),"")</f>
        <v/>
      </c>
      <c r="AJ143" s="123" t="str" cm="1">
        <f t="array" ref="AJ143">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43" s="267" t="str">
        <f>IFERROR(ROUND(AVERAGEIFS(Eingabe[MP],Eingabe[Diff],"&lt;15",Eingabe[Name],AuswertungH[[#This Row],[Name]],Eingabe[Wo],"H")-AuswertungH[[#This Row],[MP H]],2),"")</f>
        <v/>
      </c>
      <c r="AL143" s="117" t="str" cm="1">
        <f t="array" ref="AL143">IFERROR(ROUND(AVERAGE(_xlfn._xlws.FILTER(Eingabe[GES],(Eingabe[Name]=AuswertungH[[#This Row],[Name]])*(Eingabe[Wo]="H")*(Eingabe[GEGGES]&gt;(AuswertungH[[#This Row],[GES H]]+20))))-AuswertungH[[#This Row],[GES H]],0),"")</f>
        <v/>
      </c>
      <c r="AM143" s="117" t="str" cm="1">
        <f t="array" ref="AM143">IFERROR(ROUND(AVERAGE(_xlfn._xlws.FILTER(Eingabe[GES],(Eingabe[Name]=AuswertungH[[#This Row],[Name]])*(Eingabe[Wo]="H")*(Eingabe[GEGGES]&lt;(AuswertungH[[#This Row],[GES H]]-20))))-AuswertungH[[#This Row],[GES H]],0),"")</f>
        <v/>
      </c>
    </row>
    <row r="144" spans="2:39" x14ac:dyDescent="0.3">
      <c r="B144" s="285" t="str">
        <f t="shared" si="2"/>
        <v>Mick Becker</v>
      </c>
      <c r="C144" s="119" t="str">
        <f>IF(AuswertungH[[#This Row],[Name]]="","",VLOOKUP(AuswertungH[[#This Row],[Name]],Teamzuordnung[[Name]:[Team]],2,TRUE))</f>
        <v>Z</v>
      </c>
      <c r="D144" s="122">
        <f>COUNTIFS(Eingabe[Name],AuswertungH[[#This Row],[Name]],Eingabe[Wo],"H")</f>
        <v>1</v>
      </c>
      <c r="E144" s="117">
        <f>IF(AuswertungH[[#This Row],[Spiele H]]="","",IF(AuswertungH[[#This Row],[Spiele H]]-COUNTIFS(Eingabe[Name],AuswertungH[[#This Row],[Name]],Eingabe[MP],"",Eingabe[Wo],"H")=0,"",AuswertungH[[#This Row],[Spiele H]]-COUNTIFS(Eingabe[Name],AuswertungH[[#This Row],[Name]],Eingabe[MP],"",Eingabe[Wo],"H")))</f>
        <v>1</v>
      </c>
      <c r="F144" s="117">
        <f>IFERROR(ROUND(AVERAGEIFS(Eingabe[Volle],Eingabe[Name],AuswertungH[[#This Row],[Name]],Eingabe[Wo],"H"),0),"")</f>
        <v>362</v>
      </c>
      <c r="G144" s="117">
        <f>IFERROR(ROUND(AVERAGEIFS(Eingabe[Räumer],Eingabe[Name],AuswertungH[[#This Row],[Name]],Eingabe[Wo],"H"),0),"")</f>
        <v>183</v>
      </c>
      <c r="H144" s="123">
        <f>IFERROR(ROUND(AVERAGEIFS(Eingabe[Fehler],Eingabe[Name],AuswertungH[[#This Row],[Name]],Eingabe[Wo],"H"),1),"")</f>
        <v>9</v>
      </c>
      <c r="I144" s="117">
        <f>IFERROR(ROUND(AVERAGEIFS(Eingabe[GES],Eingabe[Name],AuswertungH[[#This Row],[Name]],Eingabe[Wo],"H"),0),"")</f>
        <v>545</v>
      </c>
      <c r="J144" s="123">
        <f>IFERROR(ROUND(AVERAGEIFS(Eingabe[SP],Eingabe[Name],AuswertungH[[#This Row],[Name]],Eingabe[Wo],"H"),2),"")</f>
        <v>4</v>
      </c>
      <c r="K144" s="121">
        <f>IFERROR(ROUND(AVERAGEIFS(Eingabe[MP],Eingabe[Name],AuswertungH[[#This Row],[Name]],Eingabe[Wo],"H"),2),"")</f>
        <v>1</v>
      </c>
      <c r="L144" s="117">
        <f>IFERROR(ROUND(AVERAGEIFS(Eingabe[S1],Eingabe[Name],AuswertungH[[#This Row],[Name]],Eingabe[Wo],"H"),0),"")</f>
        <v>138</v>
      </c>
      <c r="M144" s="268">
        <f>IFERROR(ROUND(AVERAGEIFS(Eingabe[S2],Eingabe[Name],AuswertungH[[#This Row],[Name]],Eingabe[Wo],"H"),0),"")</f>
        <v>126</v>
      </c>
      <c r="N144" s="117">
        <f>IFERROR(ROUND(AVERAGEIFS(Eingabe[S3],Eingabe[Name],AuswertungH[[#This Row],[Name]],Eingabe[Wo],"H"),0),"")</f>
        <v>147</v>
      </c>
      <c r="O144" s="268">
        <f>IFERROR(ROUND(AVERAGEIFS(Eingabe[S4],Eingabe[Name],AuswertungH[[#This Row],[Name]],Eingabe[Wo],"H"),0),"")</f>
        <v>134</v>
      </c>
      <c r="P144" s="121">
        <f>IFERROR(ROUND(AVERAGEIFS(Eingabe[S1P],Eingabe[Name],AuswertungH[[#This Row],[Name]],Eingabe[Wo],"H"),2),"")</f>
        <v>1</v>
      </c>
      <c r="Q144" s="121">
        <f>IFERROR(ROUND(AVERAGEIFS(Eingabe[S2P],Eingabe[Name],AuswertungH[[#This Row],[Name]],Eingabe[Wo],"H"),2),"")</f>
        <v>1</v>
      </c>
      <c r="R144" s="121">
        <f>IFERROR(ROUND(AVERAGEIFS(Eingabe[S3P],Eingabe[Name],AuswertungH[[#This Row],[Name]],Eingabe[Wo],"H"),2),"")</f>
        <v>1</v>
      </c>
      <c r="S144" s="121">
        <f>IFERROR(ROUND(AVERAGEIFS(Eingabe[S4P],Eingabe[Name],AuswertungH[[#This Row],[Name]],Eingabe[Wo],"H"),2),"")</f>
        <v>1</v>
      </c>
      <c r="T144" s="123" cm="1">
        <f t="array" ref="T144">IFERROR(ROUND(SLOPE(_xlfn._xlws.FILTER(Eingabe[GES],(Eingabe[Name]=AuswertungH[[#This Row],[Name]])*(Eingabe[Wo]="H")),_xlfn._xlws.FILTER(Eingabe[KW],(Eingabe[Name]=AuswertungH[[#This Row],[Name]])*(Eingabe[Wo]="H"))),2),0)</f>
        <v>0</v>
      </c>
      <c r="U144" s="123" t="str" cm="1">
        <f t="array" ref="U144">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44" s="117" cm="1">
        <f t="array" ref="V144">IFERROR(ROUND(_xlfn.STDEV.P(_xlfn._xlws.FILTER(Eingabe[GES],(Eingabe[Name]=AuswertungH[[#This Row],[Name]])*(Eingabe[Wo]="H"))),0),"")</f>
        <v>0</v>
      </c>
      <c r="W144" s="117">
        <f>IF(AuswertungH[[#This Row],[Spiele MP H]]="","",ROUND(AVERAGEIFS(Eingabe[GEGGES],Eingabe[Name],AuswertungH[[#This Row],[Name]],Eingabe[Wo],"H"),0))</f>
        <v>501</v>
      </c>
      <c r="X144" s="123" t="str">
        <f>VLOOKUP(AuswertungH[[#This Row],[Name]],PositionH[],21,FALSE)</f>
        <v>[4]</v>
      </c>
      <c r="Y144" s="123">
        <f>VLOOKUP(AuswertungH[[#This Row],[Name]],PositionH[],22,FALSE)</f>
        <v>1</v>
      </c>
      <c r="Z144" s="123" t="str">
        <f>VLOOKUP(AuswertungH[[#This Row],[Name]],PositionH[],23,FALSE)</f>
        <v>[4]</v>
      </c>
      <c r="AA144" s="121">
        <f>IF(AuswertungH[[#This Row],[Spiele MP H]]="","",ROUND(VLOOKUP(AuswertungH[[#This Row],[Name]],PositionH[],24,FALSE),2))</f>
        <v>1</v>
      </c>
      <c r="AB144" s="123">
        <f>IFERROR(AVERAGEIFS(Eingabe[Rang],Eingabe[Name],AuswertungH[[#This Row],[Name]],Eingabe[Wo],"H"),"")</f>
        <v>1</v>
      </c>
      <c r="AC144"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147 [2]</v>
      </c>
      <c r="AD144" s="123" cm="1">
        <f t="array" ref="AD144">IFERROR(ROUND(MEDIAN(_xlfn._xlws.FILTER(Eingabe[GES],(Eingabe[Name]=AuswertungH[[#This Row],[Name]])*(Eingabe[Wo]="H"))),0),"")</f>
        <v>545</v>
      </c>
      <c r="AE144" s="121">
        <f>IFERROR(AuswertungH[[#This Row],[STABW H]]/AuswertungH[[#This Row],[GES H]],"")</f>
        <v>0</v>
      </c>
      <c r="AF144" s="123" cm="1">
        <f t="array" ref="AF144">IFERROR(ROUND(_xlfn.QUARTILE.INC(_xlfn._xlws.FILTER(Eingabe[GES],(Eingabe[Name]=AuswertungH[[#This Row],[Name]])*(Eingabe[Wo]="H")),3)-_xlfn.QUARTILE.INC(_xlfn._xlws.FILTER(Eingabe[GES],(Eingabe[Name]=AuswertungH[[#This Row],[Name]])*(Eingabe[Wo]="H")),1),0),"")</f>
        <v>0</v>
      </c>
      <c r="AG144" s="123" t="str">
        <f>IFERROR(1/AuswertungH[[#This Row],[VK H]],"")</f>
        <v/>
      </c>
      <c r="AH144" s="123">
        <f>IFERROR(AuswertungH[[#This Row],[Volle H]]/AuswertungH[[#This Row],[Räumer H]]-2,"")</f>
        <v>-2.1857923497267784E-2</v>
      </c>
      <c r="AI144" s="117">
        <f>IFERROR(ROUND((AuswertungH[[#This Row],[Spiele H]]*60)/(AuswertungH[[#This Row],[Fehler H]]*AuswertungH[[#This Row],[Spiele H]]),0),"")</f>
        <v>7</v>
      </c>
      <c r="AJ144" s="123" t="str" cm="1">
        <f t="array" ref="AJ144">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44" s="267" t="str">
        <f>IFERROR(ROUND(AVERAGEIFS(Eingabe[MP],Eingabe[Diff],"&lt;15",Eingabe[Name],AuswertungH[[#This Row],[Name]],Eingabe[Wo],"H")-AuswertungH[[#This Row],[MP H]],2),"")</f>
        <v/>
      </c>
      <c r="AL144" s="117" t="str" cm="1">
        <f t="array" ref="AL144">IFERROR(ROUND(AVERAGE(_xlfn._xlws.FILTER(Eingabe[GES],(Eingabe[Name]=AuswertungH[[#This Row],[Name]])*(Eingabe[Wo]="H")*(Eingabe[GEGGES]&gt;(AuswertungH[[#This Row],[GES H]]+20))))-AuswertungH[[#This Row],[GES H]],0),"")</f>
        <v/>
      </c>
      <c r="AM144" s="117" cm="1">
        <f t="array" ref="AM144">IFERROR(ROUND(AVERAGE(_xlfn._xlws.FILTER(Eingabe[GES],(Eingabe[Name]=AuswertungH[[#This Row],[Name]])*(Eingabe[Wo]="H")*(Eingabe[GEGGES]&lt;(AuswertungH[[#This Row],[GES H]]-20))))-AuswertungH[[#This Row],[GES H]],0),"")</f>
        <v>0</v>
      </c>
    </row>
    <row r="145" spans="2:39" x14ac:dyDescent="0.3">
      <c r="B145" s="285" t="str">
        <f t="shared" si="2"/>
        <v>Olaf Kurtze</v>
      </c>
      <c r="C145" s="119" t="str">
        <f>IF(AuswertungH[[#This Row],[Name]]="","",VLOOKUP(AuswertungH[[#This Row],[Name]],Teamzuordnung[[Name]:[Team]],2,TRUE))</f>
        <v>Z</v>
      </c>
      <c r="D145" s="122">
        <f>COUNTIFS(Eingabe[Name],AuswertungH[[#This Row],[Name]],Eingabe[Wo],"H")</f>
        <v>5</v>
      </c>
      <c r="E145" s="117">
        <f>IF(AuswertungH[[#This Row],[Spiele H]]="","",IF(AuswertungH[[#This Row],[Spiele H]]-COUNTIFS(Eingabe[Name],AuswertungH[[#This Row],[Name]],Eingabe[MP],"",Eingabe[Wo],"H")=0,"",AuswertungH[[#This Row],[Spiele H]]-COUNTIFS(Eingabe[Name],AuswertungH[[#This Row],[Name]],Eingabe[MP],"",Eingabe[Wo],"H")))</f>
        <v>5</v>
      </c>
      <c r="F145" s="117">
        <f>IFERROR(ROUND(AVERAGEIFS(Eingabe[Volle],Eingabe[Name],AuswertungH[[#This Row],[Name]],Eingabe[Wo],"H"),0),"")</f>
        <v>354</v>
      </c>
      <c r="G145" s="117">
        <f>IFERROR(ROUND(AVERAGEIFS(Eingabe[Räumer],Eingabe[Name],AuswertungH[[#This Row],[Name]],Eingabe[Wo],"H"),0),"")</f>
        <v>168</v>
      </c>
      <c r="H145" s="123">
        <f>IFERROR(ROUND(AVERAGEIFS(Eingabe[Fehler],Eingabe[Name],AuswertungH[[#This Row],[Name]],Eingabe[Wo],"H"),1),"")</f>
        <v>7</v>
      </c>
      <c r="I145" s="117">
        <f>IFERROR(ROUND(AVERAGEIFS(Eingabe[GES],Eingabe[Name],AuswertungH[[#This Row],[Name]],Eingabe[Wo],"H"),0),"")</f>
        <v>522</v>
      </c>
      <c r="J145" s="123">
        <f>IFERROR(ROUND(AVERAGEIFS(Eingabe[SP],Eingabe[Name],AuswertungH[[#This Row],[Name]],Eingabe[Wo],"H"),2),"")</f>
        <v>2.2000000000000002</v>
      </c>
      <c r="K145" s="121">
        <f>IFERROR(ROUND(AVERAGEIFS(Eingabe[MP],Eingabe[Name],AuswertungH[[#This Row],[Name]],Eingabe[Wo],"H"),2),"")</f>
        <v>0.6</v>
      </c>
      <c r="L145" s="117">
        <f>IFERROR(ROUND(AVERAGEIFS(Eingabe[S1],Eingabe[Name],AuswertungH[[#This Row],[Name]],Eingabe[Wo],"H"),0),"")</f>
        <v>132</v>
      </c>
      <c r="M145" s="268">
        <f>IFERROR(ROUND(AVERAGEIFS(Eingabe[S2],Eingabe[Name],AuswertungH[[#This Row],[Name]],Eingabe[Wo],"H"),0),"")</f>
        <v>132</v>
      </c>
      <c r="N145" s="117">
        <f>IFERROR(ROUND(AVERAGEIFS(Eingabe[S3],Eingabe[Name],AuswertungH[[#This Row],[Name]],Eingabe[Wo],"H"),0),"")</f>
        <v>128</v>
      </c>
      <c r="O145" s="268">
        <f>IFERROR(ROUND(AVERAGEIFS(Eingabe[S4],Eingabe[Name],AuswertungH[[#This Row],[Name]],Eingabe[Wo],"H"),0),"")</f>
        <v>131</v>
      </c>
      <c r="P145" s="121">
        <f>IFERROR(ROUND(AVERAGEIFS(Eingabe[S1P],Eingabe[Name],AuswertungH[[#This Row],[Name]],Eingabe[Wo],"H"),2),"")</f>
        <v>0.4</v>
      </c>
      <c r="Q145" s="121">
        <f>IFERROR(ROUND(AVERAGEIFS(Eingabe[S2P],Eingabe[Name],AuswertungH[[#This Row],[Name]],Eingabe[Wo],"H"),2),"")</f>
        <v>0.8</v>
      </c>
      <c r="R145" s="121">
        <f>IFERROR(ROUND(AVERAGEIFS(Eingabe[S3P],Eingabe[Name],AuswertungH[[#This Row],[Name]],Eingabe[Wo],"H"),2),"")</f>
        <v>0.4</v>
      </c>
      <c r="S145" s="121">
        <f>IFERROR(ROUND(AVERAGEIFS(Eingabe[S4P],Eingabe[Name],AuswertungH[[#This Row],[Name]],Eingabe[Wo],"H"),2),"")</f>
        <v>0.6</v>
      </c>
      <c r="T145" s="123" cm="1">
        <f t="array" ref="T145">IFERROR(ROUND(SLOPE(_xlfn._xlws.FILTER(Eingabe[GES],(Eingabe[Name]=AuswertungH[[#This Row],[Name]])*(Eingabe[Wo]="H")),_xlfn._xlws.FILTER(Eingabe[KW],(Eingabe[Name]=AuswertungH[[#This Row],[Name]])*(Eingabe[Wo]="H"))),2),0)</f>
        <v>-0.61</v>
      </c>
      <c r="U145" s="123" cm="1">
        <f t="array" ref="U145">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1.75</v>
      </c>
      <c r="V145" s="117" cm="1">
        <f t="array" ref="V145">IFERROR(ROUND(_xlfn.STDEV.P(_xlfn._xlws.FILTER(Eingabe[GES],(Eingabe[Name]=AuswertungH[[#This Row],[Name]])*(Eingabe[Wo]="H"))),0),"")</f>
        <v>12</v>
      </c>
      <c r="W145" s="117">
        <f>IF(AuswertungH[[#This Row],[Spiele MP H]]="","",ROUND(AVERAGEIFS(Eingabe[GEGGES],Eingabe[Name],AuswertungH[[#This Row],[Name]],Eingabe[Wo],"H"),0))</f>
        <v>484</v>
      </c>
      <c r="X145" s="123" t="str">
        <f>VLOOKUP(AuswertungH[[#This Row],[Name]],PositionH[],21,FALSE)</f>
        <v>[1]</v>
      </c>
      <c r="Y145" s="123">
        <f>VLOOKUP(AuswertungH[[#This Row],[Name]],PositionH[],22,FALSE)</f>
        <v>2</v>
      </c>
      <c r="Z145" s="123" t="str">
        <f>VLOOKUP(AuswertungH[[#This Row],[Name]],PositionH[],23,FALSE)</f>
        <v>[2][5]</v>
      </c>
      <c r="AA145" s="121">
        <f>IF(AuswertungH[[#This Row],[Spiele MP H]]="","",ROUND(VLOOKUP(AuswertungH[[#This Row],[Name]],PositionH[],24,FALSE),2))</f>
        <v>1</v>
      </c>
      <c r="AB145" s="123">
        <f>IFERROR(AVERAGEIFS(Eingabe[Rang],Eingabe[Name],AuswertungH[[#This Row],[Name]],Eingabe[Wo],"H"),"")</f>
        <v>2.6</v>
      </c>
      <c r="AC145"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134 [1]</v>
      </c>
      <c r="AD145" s="123" cm="1">
        <f t="array" ref="AD145">IFERROR(ROUND(MEDIAN(_xlfn._xlws.FILTER(Eingabe[GES],(Eingabe[Name]=AuswertungH[[#This Row],[Name]])*(Eingabe[Wo]="H"))),0),"")</f>
        <v>527</v>
      </c>
      <c r="AE145" s="121">
        <f>IFERROR(AuswertungH[[#This Row],[STABW H]]/AuswertungH[[#This Row],[GES H]],"")</f>
        <v>2.2988505747126436E-2</v>
      </c>
      <c r="AF145" s="123" cm="1">
        <f t="array" ref="AF145">IFERROR(ROUND(_xlfn.QUARTILE.INC(_xlfn._xlws.FILTER(Eingabe[GES],(Eingabe[Name]=AuswertungH[[#This Row],[Name]])*(Eingabe[Wo]="H")),3)-_xlfn.QUARTILE.INC(_xlfn._xlws.FILTER(Eingabe[GES],(Eingabe[Name]=AuswertungH[[#This Row],[Name]])*(Eingabe[Wo]="H")),1),0),"")</f>
        <v>9</v>
      </c>
      <c r="AG145" s="123">
        <f>IFERROR(1/AuswertungH[[#This Row],[VK H]],"")</f>
        <v>43.5</v>
      </c>
      <c r="AH145" s="123">
        <f>IFERROR(AuswertungH[[#This Row],[Volle H]]/AuswertungH[[#This Row],[Räumer H]]-2,"")</f>
        <v>0.10714285714285721</v>
      </c>
      <c r="AI145" s="117">
        <f>IFERROR(ROUND((AuswertungH[[#This Row],[Spiele H]]*60)/(AuswertungH[[#This Row],[Fehler H]]*AuswertungH[[#This Row],[Spiele H]]),0),"")</f>
        <v>9</v>
      </c>
      <c r="AJ145" s="123" t="str" cm="1">
        <f t="array" ref="AJ145">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45" s="267" t="str">
        <f>IFERROR(ROUND(AVERAGEIFS(Eingabe[MP],Eingabe[Diff],"&lt;15",Eingabe[Name],AuswertungH[[#This Row],[Name]],Eingabe[Wo],"H")-AuswertungH[[#This Row],[MP H]],2),"")</f>
        <v/>
      </c>
      <c r="AL145" s="117" cm="1">
        <f t="array" ref="AL145">IFERROR(ROUND(AVERAGE(_xlfn._xlws.FILTER(Eingabe[GES],(Eingabe[Name]=AuswertungH[[#This Row],[Name]])*(Eingabe[Wo]="H")*(Eingabe[GEGGES]&gt;(AuswertungH[[#This Row],[GES H]]+20))))-AuswertungH[[#This Row],[GES H]],0),"")</f>
        <v>-2</v>
      </c>
      <c r="AM145" s="117" cm="1">
        <f t="array" ref="AM145">IFERROR(ROUND(AVERAGE(_xlfn._xlws.FILTER(Eingabe[GES],(Eingabe[Name]=AuswertungH[[#This Row],[Name]])*(Eingabe[Wo]="H")*(Eingabe[GEGGES]&lt;(AuswertungH[[#This Row],[GES H]]-20))))-AuswertungH[[#This Row],[GES H]],0),"")</f>
        <v>6</v>
      </c>
    </row>
    <row r="146" spans="2:39" x14ac:dyDescent="0.3">
      <c r="B146" s="285" t="str">
        <f t="shared" si="2"/>
        <v>Patrick Frenzel</v>
      </c>
      <c r="C146" s="119" t="str">
        <f>IF(AuswertungH[[#This Row],[Name]]="","",VLOOKUP(AuswertungH[[#This Row],[Name]],Teamzuordnung[[Name]:[Team]],2,TRUE))</f>
        <v>D</v>
      </c>
      <c r="D146" s="122">
        <f>COUNTIFS(Eingabe[Name],AuswertungH[[#This Row],[Name]],Eingabe[Wo],"H")</f>
        <v>2</v>
      </c>
      <c r="E146" s="117">
        <f>IF(AuswertungH[[#This Row],[Spiele H]]="","",IF(AuswertungH[[#This Row],[Spiele H]]-COUNTIFS(Eingabe[Name],AuswertungH[[#This Row],[Name]],Eingabe[MP],"",Eingabe[Wo],"H")=0,"",AuswertungH[[#This Row],[Spiele H]]-COUNTIFS(Eingabe[Name],AuswertungH[[#This Row],[Name]],Eingabe[MP],"",Eingabe[Wo],"H")))</f>
        <v>2</v>
      </c>
      <c r="F146" s="117">
        <f>IFERROR(ROUND(AVERAGEIFS(Eingabe[Volle],Eingabe[Name],AuswertungH[[#This Row],[Name]],Eingabe[Wo],"H"),0),"")</f>
        <v>347</v>
      </c>
      <c r="G146" s="117">
        <f>IFERROR(ROUND(AVERAGEIFS(Eingabe[Räumer],Eingabe[Name],AuswertungH[[#This Row],[Name]],Eingabe[Wo],"H"),0),"")</f>
        <v>147</v>
      </c>
      <c r="H146" s="123">
        <f>IFERROR(ROUND(AVERAGEIFS(Eingabe[Fehler],Eingabe[Name],AuswertungH[[#This Row],[Name]],Eingabe[Wo],"H"),1),"")</f>
        <v>13</v>
      </c>
      <c r="I146" s="117">
        <f>IFERROR(ROUND(AVERAGEIFS(Eingabe[GES],Eingabe[Name],AuswertungH[[#This Row],[Name]],Eingabe[Wo],"H"),0),"")</f>
        <v>494</v>
      </c>
      <c r="J146" s="123">
        <f>IFERROR(ROUND(AVERAGEIFS(Eingabe[SP],Eingabe[Name],AuswertungH[[#This Row],[Name]],Eingabe[Wo],"H"),2),"")</f>
        <v>3</v>
      </c>
      <c r="K146" s="121">
        <f>IFERROR(ROUND(AVERAGEIFS(Eingabe[MP],Eingabe[Name],AuswertungH[[#This Row],[Name]],Eingabe[Wo],"H"),2),"")</f>
        <v>1</v>
      </c>
      <c r="L146" s="117">
        <f>IFERROR(ROUND(AVERAGEIFS(Eingabe[S1],Eingabe[Name],AuswertungH[[#This Row],[Name]],Eingabe[Wo],"H"),0),"")</f>
        <v>112</v>
      </c>
      <c r="M146" s="268">
        <f>IFERROR(ROUND(AVERAGEIFS(Eingabe[S2],Eingabe[Name],AuswertungH[[#This Row],[Name]],Eingabe[Wo],"H"),0),"")</f>
        <v>123</v>
      </c>
      <c r="N146" s="117">
        <f>IFERROR(ROUND(AVERAGEIFS(Eingabe[S3],Eingabe[Name],AuswertungH[[#This Row],[Name]],Eingabe[Wo],"H"),0),"")</f>
        <v>131</v>
      </c>
      <c r="O146" s="268">
        <f>IFERROR(ROUND(AVERAGEIFS(Eingabe[S4],Eingabe[Name],AuswertungH[[#This Row],[Name]],Eingabe[Wo],"H"),0),"")</f>
        <v>129</v>
      </c>
      <c r="P146" s="121">
        <f>IFERROR(ROUND(AVERAGEIFS(Eingabe[S1P],Eingabe[Name],AuswertungH[[#This Row],[Name]],Eingabe[Wo],"H"),2),"")</f>
        <v>0.5</v>
      </c>
      <c r="Q146" s="121">
        <f>IFERROR(ROUND(AVERAGEIFS(Eingabe[S2P],Eingabe[Name],AuswertungH[[#This Row],[Name]],Eingabe[Wo],"H"),2),"")</f>
        <v>1</v>
      </c>
      <c r="R146" s="121">
        <f>IFERROR(ROUND(AVERAGEIFS(Eingabe[S3P],Eingabe[Name],AuswertungH[[#This Row],[Name]],Eingabe[Wo],"H"),2),"")</f>
        <v>1</v>
      </c>
      <c r="S146" s="121">
        <f>IFERROR(ROUND(AVERAGEIFS(Eingabe[S4P],Eingabe[Name],AuswertungH[[#This Row],[Name]],Eingabe[Wo],"H"),2),"")</f>
        <v>0.5</v>
      </c>
      <c r="T146" s="123" cm="1">
        <f t="array" ref="T146">IFERROR(ROUND(SLOPE(_xlfn._xlws.FILTER(Eingabe[GES],(Eingabe[Name]=AuswertungH[[#This Row],[Name]])*(Eingabe[Wo]="H")),_xlfn._xlws.FILTER(Eingabe[KW],(Eingabe[Name]=AuswertungH[[#This Row],[Name]])*(Eingabe[Wo]="H"))),2),0)</f>
        <v>-1.17</v>
      </c>
      <c r="U146" s="123" cm="1">
        <f t="array" ref="U146">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-1.17</v>
      </c>
      <c r="V146" s="117" cm="1">
        <f t="array" ref="V146">IFERROR(ROUND(_xlfn.STDEV.P(_xlfn._xlws.FILTER(Eingabe[GES],(Eingabe[Name]=AuswertungH[[#This Row],[Name]])*(Eingabe[Wo]="H"))),0),"")</f>
        <v>4</v>
      </c>
      <c r="W146" s="117">
        <f>IF(AuswertungH[[#This Row],[Spiele MP H]]="","",ROUND(AVERAGEIFS(Eingabe[GEGGES],Eingabe[Name],AuswertungH[[#This Row],[Name]],Eingabe[Wo],"H"),0))</f>
        <v>442</v>
      </c>
      <c r="X146" s="123" t="str">
        <f>VLOOKUP(AuswertungH[[#This Row],[Name]],PositionH[],21,FALSE)</f>
        <v>[1][3]</v>
      </c>
      <c r="Y146" s="123">
        <f>VLOOKUP(AuswertungH[[#This Row],[Name]],PositionH[],22,FALSE)</f>
        <v>1</v>
      </c>
      <c r="Z146" s="123" t="str">
        <f>VLOOKUP(AuswertungH[[#This Row],[Name]],PositionH[],23,FALSE)</f>
        <v>[1][3]</v>
      </c>
      <c r="AA146" s="121">
        <f>IF(AuswertungH[[#This Row],[Spiele MP H]]="","",ROUND(VLOOKUP(AuswertungH[[#This Row],[Name]],PositionH[],24,FALSE),2))</f>
        <v>1</v>
      </c>
      <c r="AB146" s="123">
        <f>IFERROR(AVERAGEIFS(Eingabe[Rang],Eingabe[Name],AuswertungH[[#This Row],[Name]],Eingabe[Wo],"H"),"")</f>
        <v>3</v>
      </c>
      <c r="AC146"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131 [4]</v>
      </c>
      <c r="AD146" s="123" cm="1">
        <f t="array" ref="AD146">IFERROR(ROUND(MEDIAN(_xlfn._xlws.FILTER(Eingabe[GES],(Eingabe[Name]=AuswertungH[[#This Row],[Name]])*(Eingabe[Wo]="H"))),0),"")</f>
        <v>494</v>
      </c>
      <c r="AE146" s="121">
        <f>IFERROR(AuswertungH[[#This Row],[STABW H]]/AuswertungH[[#This Row],[GES H]],"")</f>
        <v>8.0971659919028341E-3</v>
      </c>
      <c r="AF146" s="123" cm="1">
        <f t="array" ref="AF146">IFERROR(ROUND(_xlfn.QUARTILE.INC(_xlfn._xlws.FILTER(Eingabe[GES],(Eingabe[Name]=AuswertungH[[#This Row],[Name]])*(Eingabe[Wo]="H")),3)-_xlfn.QUARTILE.INC(_xlfn._xlws.FILTER(Eingabe[GES],(Eingabe[Name]=AuswertungH[[#This Row],[Name]])*(Eingabe[Wo]="H")),1),0),"")</f>
        <v>4</v>
      </c>
      <c r="AG146" s="123">
        <f>IFERROR(1/AuswertungH[[#This Row],[VK H]],"")</f>
        <v>123.5</v>
      </c>
      <c r="AH146" s="123">
        <f>IFERROR(AuswertungH[[#This Row],[Volle H]]/AuswertungH[[#This Row],[Räumer H]]-2,"")</f>
        <v>0.36054421768707501</v>
      </c>
      <c r="AI146" s="117">
        <f>IFERROR(ROUND((AuswertungH[[#This Row],[Spiele H]]*60)/(AuswertungH[[#This Row],[Fehler H]]*AuswertungH[[#This Row],[Spiele H]]),0),"")</f>
        <v>5</v>
      </c>
      <c r="AJ146" s="123" t="str" cm="1">
        <f t="array" ref="AJ146">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46" s="267" t="str">
        <f>IFERROR(ROUND(AVERAGEIFS(Eingabe[MP],Eingabe[Diff],"&lt;15",Eingabe[Name],AuswertungH[[#This Row],[Name]],Eingabe[Wo],"H")-AuswertungH[[#This Row],[MP H]],2),"")</f>
        <v/>
      </c>
      <c r="AL146" s="117" t="str" cm="1">
        <f t="array" ref="AL146">IFERROR(ROUND(AVERAGE(_xlfn._xlws.FILTER(Eingabe[GES],(Eingabe[Name]=AuswertungH[[#This Row],[Name]])*(Eingabe[Wo]="H")*(Eingabe[GEGGES]&gt;(AuswertungH[[#This Row],[GES H]]+20))))-AuswertungH[[#This Row],[GES H]],0),"")</f>
        <v/>
      </c>
      <c r="AM146" s="117" cm="1">
        <f t="array" ref="AM146">IFERROR(ROUND(AVERAGE(_xlfn._xlws.FILTER(Eingabe[GES],(Eingabe[Name]=AuswertungH[[#This Row],[Name]])*(Eingabe[Wo]="H")*(Eingabe[GEGGES]&lt;(AuswertungH[[#This Row],[GES H]]-20))))-AuswertungH[[#This Row],[GES H]],0),"")</f>
        <v>-1</v>
      </c>
    </row>
    <row r="147" spans="2:39" x14ac:dyDescent="0.3">
      <c r="B147" s="285" t="str">
        <f t="shared" si="2"/>
        <v>Patrick Hohmann</v>
      </c>
      <c r="C147" s="119" t="str">
        <f>IF(AuswertungH[[#This Row],[Name]]="","",VLOOKUP(AuswertungH[[#This Row],[Name]],Teamzuordnung[[Name]:[Team]],2,TRUE))</f>
        <v>E</v>
      </c>
      <c r="D147" s="122">
        <f>COUNTIFS(Eingabe[Name],AuswertungH[[#This Row],[Name]],Eingabe[Wo],"H")</f>
        <v>9</v>
      </c>
      <c r="E147" s="116">
        <f>IF(AuswertungH[[#This Row],[Spiele H]]="","",IF(AuswertungH[[#This Row],[Spiele H]]-COUNTIFS(Eingabe[Name],AuswertungH[[#This Row],[Name]],Eingabe[MP],"",Eingabe[Wo],"H")=0,"",AuswertungH[[#This Row],[Spiele H]]-COUNTIFS(Eingabe[Name],AuswertungH[[#This Row],[Name]],Eingabe[MP],"",Eingabe[Wo],"H")))</f>
        <v>9</v>
      </c>
      <c r="F147" s="117">
        <f>IFERROR(ROUND(AVERAGEIFS(Eingabe[Volle],Eingabe[Name],AuswertungH[[#This Row],[Name]],Eingabe[Wo],"H"),0),"")</f>
        <v>364</v>
      </c>
      <c r="G147" s="117">
        <f>IFERROR(ROUND(AVERAGEIFS(Eingabe[Räumer],Eingabe[Name],AuswertungH[[#This Row],[Name]],Eingabe[Wo],"H"),0),"")</f>
        <v>169</v>
      </c>
      <c r="H147" s="123">
        <f>IFERROR(ROUND(AVERAGEIFS(Eingabe[Fehler],Eingabe[Name],AuswertungH[[#This Row],[Name]],Eingabe[Wo],"H"),1),"")</f>
        <v>4.8</v>
      </c>
      <c r="I147" s="117">
        <f>IFERROR(ROUND(AVERAGEIFS(Eingabe[GES],Eingabe[Name],AuswertungH[[#This Row],[Name]],Eingabe[Wo],"H"),0),"")</f>
        <v>533</v>
      </c>
      <c r="J147" s="123">
        <f>IFERROR(ROUND(AVERAGEIFS(Eingabe[SP],Eingabe[Name],AuswertungH[[#This Row],[Name]],Eingabe[Wo],"H"),2),"")</f>
        <v>2.2200000000000002</v>
      </c>
      <c r="K147" s="121">
        <f>IFERROR(ROUND(AVERAGEIFS(Eingabe[MP],Eingabe[Name],AuswertungH[[#This Row],[Name]],Eingabe[Wo],"H"),2),"")</f>
        <v>0.67</v>
      </c>
      <c r="L147" s="117">
        <f>IFERROR(ROUND(AVERAGEIFS(Eingabe[S1],Eingabe[Name],AuswertungH[[#This Row],[Name]],Eingabe[Wo],"H"),0),"")</f>
        <v>132</v>
      </c>
      <c r="M147" s="268">
        <f>IFERROR(ROUND(AVERAGEIFS(Eingabe[S2],Eingabe[Name],AuswertungH[[#This Row],[Name]],Eingabe[Wo],"H"),0),"")</f>
        <v>131</v>
      </c>
      <c r="N147" s="117">
        <f>IFERROR(ROUND(AVERAGEIFS(Eingabe[S3],Eingabe[Name],AuswertungH[[#This Row],[Name]],Eingabe[Wo],"H"),0),"")</f>
        <v>137</v>
      </c>
      <c r="O147" s="268">
        <f>IFERROR(ROUND(AVERAGEIFS(Eingabe[S4],Eingabe[Name],AuswertungH[[#This Row],[Name]],Eingabe[Wo],"H"),0),"")</f>
        <v>134</v>
      </c>
      <c r="P147" s="121">
        <f>IFERROR(ROUND(AVERAGEIFS(Eingabe[S1P],Eingabe[Name],AuswertungH[[#This Row],[Name]],Eingabe[Wo],"H"),2),"")</f>
        <v>0.78</v>
      </c>
      <c r="Q147" s="121">
        <f>IFERROR(ROUND(AVERAGEIFS(Eingabe[S2P],Eingabe[Name],AuswertungH[[#This Row],[Name]],Eingabe[Wo],"H"),2),"")</f>
        <v>0.33</v>
      </c>
      <c r="R147" s="121">
        <f>IFERROR(ROUND(AVERAGEIFS(Eingabe[S3P],Eingabe[Name],AuswertungH[[#This Row],[Name]],Eingabe[Wo],"H"),2),"")</f>
        <v>0.44</v>
      </c>
      <c r="S147" s="121">
        <f>IFERROR(ROUND(AVERAGEIFS(Eingabe[S4P],Eingabe[Name],AuswertungH[[#This Row],[Name]],Eingabe[Wo],"H"),2),"")</f>
        <v>0.67</v>
      </c>
      <c r="T147" s="123" cm="1">
        <f t="array" ref="T147">IFERROR(ROUND(SLOPE(_xlfn._xlws.FILTER(Eingabe[GES],(Eingabe[Name]=AuswertungH[[#This Row],[Name]])*(Eingabe[Wo]="H")),_xlfn._xlws.FILTER(Eingabe[KW],(Eingabe[Name]=AuswertungH[[#This Row],[Name]])*(Eingabe[Wo]="H"))),2),0)</f>
        <v>-0.85</v>
      </c>
      <c r="U147" s="123" cm="1">
        <f t="array" ref="U147">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-2.1800000000000002</v>
      </c>
      <c r="V147" s="117" cm="1">
        <f t="array" ref="V147">IFERROR(ROUND(_xlfn.STDEV.P(_xlfn._xlws.FILTER(Eingabe[GES],(Eingabe[Name]=AuswertungH[[#This Row],[Name]])*(Eingabe[Wo]="H"))),0),"")</f>
        <v>22</v>
      </c>
      <c r="W147" s="117">
        <f>IF(AuswertungH[[#This Row],[Spiele MP H]]="","",ROUND(AVERAGEIFS(Eingabe[GEGGES],Eingabe[Name],AuswertungH[[#This Row],[Name]],Eingabe[Wo],"H"),0))</f>
        <v>522</v>
      </c>
      <c r="X147" s="116" t="str">
        <f>VLOOKUP(AuswertungH[[#This Row],[Name]],PositionH[],21,FALSE)</f>
        <v>[3]</v>
      </c>
      <c r="Y147" s="116">
        <f>VLOOKUP(AuswertungH[[#This Row],[Name]],PositionH[],22,FALSE)</f>
        <v>5</v>
      </c>
      <c r="Z147" s="116" t="str">
        <f>VLOOKUP(AuswertungH[[#This Row],[Name]],PositionH[],23,FALSE)</f>
        <v>[1]</v>
      </c>
      <c r="AA147" s="121">
        <f>IF(AuswertungH[[#This Row],[Spiele MP H]]="","",ROUND(VLOOKUP(AuswertungH[[#This Row],[Name]],PositionH[],24,FALSE),2))</f>
        <v>1</v>
      </c>
      <c r="AB147" s="123">
        <f>IFERROR(AVERAGEIFS(Eingabe[Rang],Eingabe[Name],AuswertungH[[#This Row],[Name]],Eingabe[Wo],"H"),"")</f>
        <v>3.375</v>
      </c>
      <c r="AC147"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137 [4]</v>
      </c>
      <c r="AD147" s="123" cm="1">
        <f t="array" ref="AD147">IFERROR(ROUND(MEDIAN(_xlfn._xlws.FILTER(Eingabe[GES],(Eingabe[Name]=AuswertungH[[#This Row],[Name]])*(Eingabe[Wo]="H"))),0),"")</f>
        <v>528</v>
      </c>
      <c r="AE147" s="121">
        <f>IFERROR(AuswertungH[[#This Row],[STABW H]]/AuswertungH[[#This Row],[GES H]],"")</f>
        <v>4.1275797373358347E-2</v>
      </c>
      <c r="AF147" s="123" cm="1">
        <f t="array" ref="AF147">IFERROR(ROUND(_xlfn.QUARTILE.INC(_xlfn._xlws.FILTER(Eingabe[GES],(Eingabe[Name]=AuswertungH[[#This Row],[Name]])*(Eingabe[Wo]="H")),3)-_xlfn.QUARTILE.INC(_xlfn._xlws.FILTER(Eingabe[GES],(Eingabe[Name]=AuswertungH[[#This Row],[Name]])*(Eingabe[Wo]="H")),1),0),"")</f>
        <v>29</v>
      </c>
      <c r="AG147" s="123">
        <f>IFERROR(1/AuswertungH[[#This Row],[VK H]],"")</f>
        <v>24.227272727272727</v>
      </c>
      <c r="AH147" s="123">
        <f>IFERROR(AuswertungH[[#This Row],[Volle H]]/AuswertungH[[#This Row],[Räumer H]]-2,"")</f>
        <v>0.15384615384615374</v>
      </c>
      <c r="AI147" s="117">
        <f>IFERROR(ROUND((AuswertungH[[#This Row],[Spiele H]]*60)/(AuswertungH[[#This Row],[Fehler H]]*AuswertungH[[#This Row],[Spiele H]]),0),"")</f>
        <v>13</v>
      </c>
      <c r="AJ147" s="123" cm="1">
        <f t="array" ref="AJ147">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-0.61818181818181916</v>
      </c>
      <c r="AK147" s="267">
        <f>IFERROR(ROUND(AVERAGEIFS(Eingabe[MP],Eingabe[Diff],"&lt;15",Eingabe[Name],AuswertungH[[#This Row],[Name]],Eingabe[Wo],"H")-AuswertungH[[#This Row],[MP H]],2),"")</f>
        <v>-7.0000000000000007E-2</v>
      </c>
      <c r="AL147" s="117" t="str" cm="1">
        <f t="array" ref="AL147">IFERROR(ROUND(AVERAGE(_xlfn._xlws.FILTER(Eingabe[GES],(Eingabe[Name]=AuswertungH[[#This Row],[Name]])*(Eingabe[Wo]="H")*(Eingabe[GEGGES]&gt;(AuswertungH[[#This Row],[GES H]]+20))))-AuswertungH[[#This Row],[GES H]],0),"")</f>
        <v/>
      </c>
      <c r="AM147" s="117" cm="1">
        <f t="array" ref="AM147">IFERROR(ROUND(AVERAGE(_xlfn._xlws.FILTER(Eingabe[GES],(Eingabe[Name]=AuswertungH[[#This Row],[Name]])*(Eingabe[Wo]="H")*(Eingabe[GEGGES]&lt;(AuswertungH[[#This Row],[GES H]]-20))))-AuswertungH[[#This Row],[GES H]],0),"")</f>
        <v>-35</v>
      </c>
    </row>
    <row r="148" spans="2:39" x14ac:dyDescent="0.3">
      <c r="B148" s="285" t="str">
        <f t="shared" si="2"/>
        <v>Peter Paulmann</v>
      </c>
      <c r="C148" s="119" t="str">
        <f>IF(AuswertungH[[#This Row],[Name]]="","",VLOOKUP(AuswertungH[[#This Row],[Name]],Teamzuordnung[[Name]:[Team]],2,TRUE))</f>
        <v>D</v>
      </c>
      <c r="D148" s="122">
        <f>COUNTIFS(Eingabe[Name],AuswertungH[[#This Row],[Name]],Eingabe[Wo],"H")</f>
        <v>1</v>
      </c>
      <c r="E148" s="116">
        <f>IF(AuswertungH[[#This Row],[Spiele H]]="","",IF(AuswertungH[[#This Row],[Spiele H]]-COUNTIFS(Eingabe[Name],AuswertungH[[#This Row],[Name]],Eingabe[MP],"",Eingabe[Wo],"H")=0,"",AuswertungH[[#This Row],[Spiele H]]-COUNTIFS(Eingabe[Name],AuswertungH[[#This Row],[Name]],Eingabe[MP],"",Eingabe[Wo],"H")))</f>
        <v>1</v>
      </c>
      <c r="F148" s="117">
        <f>IFERROR(ROUND(AVERAGEIFS(Eingabe[Volle],Eingabe[Name],AuswertungH[[#This Row],[Name]],Eingabe[Wo],"H"),0),"")</f>
        <v>349</v>
      </c>
      <c r="G148" s="117">
        <f>IFERROR(ROUND(AVERAGEIFS(Eingabe[Räumer],Eingabe[Name],AuswertungH[[#This Row],[Name]],Eingabe[Wo],"H"),0),"")</f>
        <v>120</v>
      </c>
      <c r="H148" s="123">
        <f>IFERROR(ROUND(AVERAGEIFS(Eingabe[Fehler],Eingabe[Name],AuswertungH[[#This Row],[Name]],Eingabe[Wo],"H"),1),"")</f>
        <v>14</v>
      </c>
      <c r="I148" s="117">
        <f>IFERROR(ROUND(AVERAGEIFS(Eingabe[GES],Eingabe[Name],AuswertungH[[#This Row],[Name]],Eingabe[Wo],"H"),0),"")</f>
        <v>469</v>
      </c>
      <c r="J148" s="123">
        <f>IFERROR(ROUND(AVERAGEIFS(Eingabe[SP],Eingabe[Name],AuswertungH[[#This Row],[Name]],Eingabe[Wo],"H"),2),"")</f>
        <v>2.5</v>
      </c>
      <c r="K148" s="121">
        <f>IFERROR(ROUND(AVERAGEIFS(Eingabe[MP],Eingabe[Name],AuswertungH[[#This Row],[Name]],Eingabe[Wo],"H"),2),"")</f>
        <v>1</v>
      </c>
      <c r="L148" s="117">
        <f>IFERROR(ROUND(AVERAGEIFS(Eingabe[S1],Eingabe[Name],AuswertungH[[#This Row],[Name]],Eingabe[Wo],"H"),0),"")</f>
        <v>113</v>
      </c>
      <c r="M148" s="268">
        <f>IFERROR(ROUND(AVERAGEIFS(Eingabe[S2],Eingabe[Name],AuswertungH[[#This Row],[Name]],Eingabe[Wo],"H"),0),"")</f>
        <v>131</v>
      </c>
      <c r="N148" s="117">
        <f>IFERROR(ROUND(AVERAGEIFS(Eingabe[S3],Eingabe[Name],AuswertungH[[#This Row],[Name]],Eingabe[Wo],"H"),0),"")</f>
        <v>119</v>
      </c>
      <c r="O148" s="268">
        <f>IFERROR(ROUND(AVERAGEIFS(Eingabe[S4],Eingabe[Name],AuswertungH[[#This Row],[Name]],Eingabe[Wo],"H"),0),"")</f>
        <v>106</v>
      </c>
      <c r="P148" s="121">
        <f>IFERROR(ROUND(AVERAGEIFS(Eingabe[S1P],Eingabe[Name],AuswertungH[[#This Row],[Name]],Eingabe[Wo],"H"),2),"")</f>
        <v>1</v>
      </c>
      <c r="Q148" s="121">
        <f>IFERROR(ROUND(AVERAGEIFS(Eingabe[S2P],Eingabe[Name],AuswertungH[[#This Row],[Name]],Eingabe[Wo],"H"),2),"")</f>
        <v>1</v>
      </c>
      <c r="R148" s="121">
        <f>IFERROR(ROUND(AVERAGEIFS(Eingabe[S3P],Eingabe[Name],AuswertungH[[#This Row],[Name]],Eingabe[Wo],"H"),2),"")</f>
        <v>0.5</v>
      </c>
      <c r="S148" s="121">
        <f>IFERROR(ROUND(AVERAGEIFS(Eingabe[S4P],Eingabe[Name],AuswertungH[[#This Row],[Name]],Eingabe[Wo],"H"),2),"")</f>
        <v>0</v>
      </c>
      <c r="T148" s="123" cm="1">
        <f t="array" ref="T148">IFERROR(ROUND(SLOPE(_xlfn._xlws.FILTER(Eingabe[GES],(Eingabe[Name]=AuswertungH[[#This Row],[Name]])*(Eingabe[Wo]="H")),_xlfn._xlws.FILTER(Eingabe[KW],(Eingabe[Name]=AuswertungH[[#This Row],[Name]])*(Eingabe[Wo]="H"))),2),0)</f>
        <v>0</v>
      </c>
      <c r="U148" s="123" t="str" cm="1">
        <f t="array" ref="U148">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48" s="117" cm="1">
        <f t="array" ref="V148">IFERROR(ROUND(_xlfn.STDEV.P(_xlfn._xlws.FILTER(Eingabe[GES],(Eingabe[Name]=AuswertungH[[#This Row],[Name]])*(Eingabe[Wo]="H"))),0),"")</f>
        <v>0</v>
      </c>
      <c r="W148" s="117">
        <f>IF(AuswertungH[[#This Row],[Spiele MP H]]="","",ROUND(AVERAGEIFS(Eingabe[GEGGES],Eingabe[Name],AuswertungH[[#This Row],[Name]],Eingabe[Wo],"H"),0))</f>
        <v>462</v>
      </c>
      <c r="X148" s="116" t="str">
        <f>VLOOKUP(AuswertungH[[#This Row],[Name]],PositionH[],21,FALSE)</f>
        <v>[1]</v>
      </c>
      <c r="Y148" s="116">
        <f>VLOOKUP(AuswertungH[[#This Row],[Name]],PositionH[],22,FALSE)</f>
        <v>1</v>
      </c>
      <c r="Z148" s="116" t="str">
        <f>VLOOKUP(AuswertungH[[#This Row],[Name]],PositionH[],23,FALSE)</f>
        <v>[1]</v>
      </c>
      <c r="AA148" s="121">
        <f>IF(AuswertungH[[#This Row],[Spiele MP H]]="","",ROUND(VLOOKUP(AuswertungH[[#This Row],[Name]],PositionH[],24,FALSE),2))</f>
        <v>1</v>
      </c>
      <c r="AB148" s="123">
        <f>IFERROR(AVERAGEIFS(Eingabe[Rang],Eingabe[Name],AuswertungH[[#This Row],[Name]],Eingabe[Wo],"H"),"")</f>
        <v>5</v>
      </c>
      <c r="AC148"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131 [2]</v>
      </c>
      <c r="AD148" s="123" cm="1">
        <f t="array" ref="AD148">IFERROR(ROUND(MEDIAN(_xlfn._xlws.FILTER(Eingabe[GES],(Eingabe[Name]=AuswertungH[[#This Row],[Name]])*(Eingabe[Wo]="H"))),0),"")</f>
        <v>469</v>
      </c>
      <c r="AE148" s="121">
        <f>IFERROR(AuswertungH[[#This Row],[STABW H]]/AuswertungH[[#This Row],[GES H]],"")</f>
        <v>0</v>
      </c>
      <c r="AF148" s="123" cm="1">
        <f t="array" ref="AF148">IFERROR(ROUND(_xlfn.QUARTILE.INC(_xlfn._xlws.FILTER(Eingabe[GES],(Eingabe[Name]=AuswertungH[[#This Row],[Name]])*(Eingabe[Wo]="H")),3)-_xlfn.QUARTILE.INC(_xlfn._xlws.FILTER(Eingabe[GES],(Eingabe[Name]=AuswertungH[[#This Row],[Name]])*(Eingabe[Wo]="H")),1),0),"")</f>
        <v>0</v>
      </c>
      <c r="AG148" s="123" t="str">
        <f>IFERROR(1/AuswertungH[[#This Row],[VK H]],"")</f>
        <v/>
      </c>
      <c r="AH148" s="123">
        <f>IFERROR(AuswertungH[[#This Row],[Volle H]]/AuswertungH[[#This Row],[Räumer H]]-2,"")</f>
        <v>0.90833333333333321</v>
      </c>
      <c r="AI148" s="117">
        <f>IFERROR(ROUND((AuswertungH[[#This Row],[Spiele H]]*60)/(AuswertungH[[#This Row],[Fehler H]]*AuswertungH[[#This Row],[Spiele H]]),0),"")</f>
        <v>4</v>
      </c>
      <c r="AJ148" s="123" t="str" cm="1">
        <f t="array" ref="AJ148">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48" s="267">
        <f>IFERROR(ROUND(AVERAGEIFS(Eingabe[MP],Eingabe[Diff],"&lt;15",Eingabe[Name],AuswertungH[[#This Row],[Name]],Eingabe[Wo],"H")-AuswertungH[[#This Row],[MP H]],2),"")</f>
        <v>0</v>
      </c>
      <c r="AL148" s="117" t="str" cm="1">
        <f t="array" ref="AL148">IFERROR(ROUND(AVERAGE(_xlfn._xlws.FILTER(Eingabe[GES],(Eingabe[Name]=AuswertungH[[#This Row],[Name]])*(Eingabe[Wo]="H")*(Eingabe[GEGGES]&gt;(AuswertungH[[#This Row],[GES H]]+20))))-AuswertungH[[#This Row],[GES H]],0),"")</f>
        <v/>
      </c>
      <c r="AM148" s="117" t="str" cm="1">
        <f t="array" ref="AM148">IFERROR(ROUND(AVERAGE(_xlfn._xlws.FILTER(Eingabe[GES],(Eingabe[Name]=AuswertungH[[#This Row],[Name]])*(Eingabe[Wo]="H")*(Eingabe[GEGGES]&lt;(AuswertungH[[#This Row],[GES H]]-20))))-AuswertungH[[#This Row],[GES H]],0),"")</f>
        <v/>
      </c>
    </row>
    <row r="149" spans="2:39" x14ac:dyDescent="0.3">
      <c r="B149" s="285" t="str">
        <f t="shared" si="2"/>
        <v>Peter Weißling</v>
      </c>
      <c r="C149" s="119" t="str">
        <f>IF(AuswertungH[[#This Row],[Name]]="","",VLOOKUP(AuswertungH[[#This Row],[Name]],Teamzuordnung[[Name]:[Team]],2,TRUE))</f>
        <v>D</v>
      </c>
      <c r="D149" s="122">
        <f>COUNTIFS(Eingabe[Name],AuswertungH[[#This Row],[Name]],Eingabe[Wo],"H")</f>
        <v>0</v>
      </c>
      <c r="E149" s="116" t="str">
        <f>IF(AuswertungH[[#This Row],[Spiele H]]="","",IF(AuswertungH[[#This Row],[Spiele H]]-COUNTIFS(Eingabe[Name],AuswertungH[[#This Row],[Name]],Eingabe[MP],"",Eingabe[Wo],"H")=0,"",AuswertungH[[#This Row],[Spiele H]]-COUNTIFS(Eingabe[Name],AuswertungH[[#This Row],[Name]],Eingabe[MP],"",Eingabe[Wo],"H")))</f>
        <v/>
      </c>
      <c r="F149" s="117" t="str">
        <f>IFERROR(ROUND(AVERAGEIFS(Eingabe[Volle],Eingabe[Name],AuswertungH[[#This Row],[Name]],Eingabe[Wo],"H"),0),"")</f>
        <v/>
      </c>
      <c r="G149" s="117" t="str">
        <f>IFERROR(ROUND(AVERAGEIFS(Eingabe[Räumer],Eingabe[Name],AuswertungH[[#This Row],[Name]],Eingabe[Wo],"H"),0),"")</f>
        <v/>
      </c>
      <c r="H149" s="123" t="str">
        <f>IFERROR(ROUND(AVERAGEIFS(Eingabe[Fehler],Eingabe[Name],AuswertungH[[#This Row],[Name]],Eingabe[Wo],"H"),1),"")</f>
        <v/>
      </c>
      <c r="I149" s="117" t="str">
        <f>IFERROR(ROUND(AVERAGEIFS(Eingabe[GES],Eingabe[Name],AuswertungH[[#This Row],[Name]],Eingabe[Wo],"H"),0),"")</f>
        <v/>
      </c>
      <c r="J149" s="123" t="str">
        <f>IFERROR(ROUND(AVERAGEIFS(Eingabe[SP],Eingabe[Name],AuswertungH[[#This Row],[Name]],Eingabe[Wo],"H"),2),"")</f>
        <v/>
      </c>
      <c r="K149" s="121" t="str">
        <f>IFERROR(ROUND(AVERAGEIFS(Eingabe[MP],Eingabe[Name],AuswertungH[[#This Row],[Name]],Eingabe[Wo],"H"),2),"")</f>
        <v/>
      </c>
      <c r="L149" s="117" t="str">
        <f>IFERROR(ROUND(AVERAGEIFS(Eingabe[S1],Eingabe[Name],AuswertungH[[#This Row],[Name]],Eingabe[Wo],"H"),0),"")</f>
        <v/>
      </c>
      <c r="M149" s="268" t="str">
        <f>IFERROR(ROUND(AVERAGEIFS(Eingabe[S2],Eingabe[Name],AuswertungH[[#This Row],[Name]],Eingabe[Wo],"H"),0),"")</f>
        <v/>
      </c>
      <c r="N149" s="117" t="str">
        <f>IFERROR(ROUND(AVERAGEIFS(Eingabe[S3],Eingabe[Name],AuswertungH[[#This Row],[Name]],Eingabe[Wo],"H"),0),"")</f>
        <v/>
      </c>
      <c r="O149" s="268" t="str">
        <f>IFERROR(ROUND(AVERAGEIFS(Eingabe[S4],Eingabe[Name],AuswertungH[[#This Row],[Name]],Eingabe[Wo],"H"),0),"")</f>
        <v/>
      </c>
      <c r="P149" s="121" t="str">
        <f>IFERROR(ROUND(AVERAGEIFS(Eingabe[S1P],Eingabe[Name],AuswertungH[[#This Row],[Name]],Eingabe[Wo],"H"),2),"")</f>
        <v/>
      </c>
      <c r="Q149" s="121" t="str">
        <f>IFERROR(ROUND(AVERAGEIFS(Eingabe[S2P],Eingabe[Name],AuswertungH[[#This Row],[Name]],Eingabe[Wo],"H"),2),"")</f>
        <v/>
      </c>
      <c r="R149" s="121" t="str">
        <f>IFERROR(ROUND(AVERAGEIFS(Eingabe[S3P],Eingabe[Name],AuswertungH[[#This Row],[Name]],Eingabe[Wo],"H"),2),"")</f>
        <v/>
      </c>
      <c r="S149" s="121" t="str">
        <f>IFERROR(ROUND(AVERAGEIFS(Eingabe[S4P],Eingabe[Name],AuswertungH[[#This Row],[Name]],Eingabe[Wo],"H"),2),"")</f>
        <v/>
      </c>
      <c r="T149" s="123" cm="1">
        <f t="array" ref="T149">IFERROR(ROUND(SLOPE(_xlfn._xlws.FILTER(Eingabe[GES],(Eingabe[Name]=AuswertungH[[#This Row],[Name]])*(Eingabe[Wo]="H")),_xlfn._xlws.FILTER(Eingabe[KW],(Eingabe[Name]=AuswertungH[[#This Row],[Name]])*(Eingabe[Wo]="H"))),2),0)</f>
        <v>0</v>
      </c>
      <c r="U149" s="123" t="str" cm="1">
        <f t="array" ref="U149">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49" s="117" t="str" cm="1">
        <f t="array" ref="V149">IFERROR(ROUND(_xlfn.STDEV.P(_xlfn._xlws.FILTER(Eingabe[GES],(Eingabe[Name]=AuswertungH[[#This Row],[Name]])*(Eingabe[Wo]="H"))),0),"")</f>
        <v/>
      </c>
      <c r="W149" s="117" t="str">
        <f>IF(AuswertungH[[#This Row],[Spiele MP H]]="","",ROUND(AVERAGEIFS(Eingabe[GEGGES],Eingabe[Name],AuswertungH[[#This Row],[Name]],Eingabe[Wo],"H"),0))</f>
        <v/>
      </c>
      <c r="X149" s="116" t="str">
        <f>VLOOKUP(AuswertungH[[#This Row],[Name]],PositionH[],21,FALSE)</f>
        <v/>
      </c>
      <c r="Y149" s="116" t="str">
        <f>VLOOKUP(AuswertungH[[#This Row],[Name]],PositionH[],22,FALSE)</f>
        <v/>
      </c>
      <c r="Z149" s="116" t="str">
        <f>VLOOKUP(AuswertungH[[#This Row],[Name]],PositionH[],23,FALSE)</f>
        <v/>
      </c>
      <c r="AA149" s="121" t="str">
        <f>IF(AuswertungH[[#This Row],[Spiele MP H]]="","",ROUND(VLOOKUP(AuswertungH[[#This Row],[Name]],PositionH[],24,FALSE),2))</f>
        <v/>
      </c>
      <c r="AB149" s="123" t="str">
        <f>IFERROR(AVERAGEIFS(Eingabe[Rang],Eingabe[Name],AuswertungH[[#This Row],[Name]],Eingabe[Wo],"H"),"")</f>
        <v/>
      </c>
      <c r="AC149"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49" s="123" t="str" cm="1">
        <f t="array" ref="AD149">IFERROR(ROUND(MEDIAN(_xlfn._xlws.FILTER(Eingabe[GES],(Eingabe[Name]=AuswertungH[[#This Row],[Name]])*(Eingabe[Wo]="H"))),0),"")</f>
        <v/>
      </c>
      <c r="AE149" s="121" t="str">
        <f>IFERROR(AuswertungH[[#This Row],[STABW H]]/AuswertungH[[#This Row],[GES H]],"")</f>
        <v/>
      </c>
      <c r="AF149" s="123" t="str" cm="1">
        <f t="array" ref="AF149">IFERROR(ROUND(_xlfn.QUARTILE.INC(_xlfn._xlws.FILTER(Eingabe[GES],(Eingabe[Name]=AuswertungH[[#This Row],[Name]])*(Eingabe[Wo]="H")),3)-_xlfn.QUARTILE.INC(_xlfn._xlws.FILTER(Eingabe[GES],(Eingabe[Name]=AuswertungH[[#This Row],[Name]])*(Eingabe[Wo]="H")),1),0),"")</f>
        <v/>
      </c>
      <c r="AG149" s="123" t="str">
        <f>IFERROR(1/AuswertungH[[#This Row],[VK H]],"")</f>
        <v/>
      </c>
      <c r="AH149" s="123" t="str">
        <f>IFERROR(AuswertungH[[#This Row],[Volle H]]/AuswertungH[[#This Row],[Räumer H]]-2,"")</f>
        <v/>
      </c>
      <c r="AI149" s="117" t="str">
        <f>IFERROR(ROUND((AuswertungH[[#This Row],[Spiele H]]*60)/(AuswertungH[[#This Row],[Fehler H]]*AuswertungH[[#This Row],[Spiele H]]),0),"")</f>
        <v/>
      </c>
      <c r="AJ149" s="123" t="str" cm="1">
        <f t="array" ref="AJ149">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49" s="267" t="str">
        <f>IFERROR(ROUND(AVERAGEIFS(Eingabe[MP],Eingabe[Diff],"&lt;15",Eingabe[Name],AuswertungH[[#This Row],[Name]],Eingabe[Wo],"H")-AuswertungH[[#This Row],[MP H]],2),"")</f>
        <v/>
      </c>
      <c r="AL149" s="117" t="str" cm="1">
        <f t="array" ref="AL149">IFERROR(ROUND(AVERAGE(_xlfn._xlws.FILTER(Eingabe[GES],(Eingabe[Name]=AuswertungH[[#This Row],[Name]])*(Eingabe[Wo]="H")*(Eingabe[GEGGES]&gt;(AuswertungH[[#This Row],[GES H]]+20))))-AuswertungH[[#This Row],[GES H]],0),"")</f>
        <v/>
      </c>
      <c r="AM149" s="117" t="str" cm="1">
        <f t="array" ref="AM149">IFERROR(ROUND(AVERAGE(_xlfn._xlws.FILTER(Eingabe[GES],(Eingabe[Name]=AuswertungH[[#This Row],[Name]])*(Eingabe[Wo]="H")*(Eingabe[GEGGES]&lt;(AuswertungH[[#This Row],[GES H]]-20))))-AuswertungH[[#This Row],[GES H]],0),"")</f>
        <v/>
      </c>
    </row>
    <row r="150" spans="2:39" x14ac:dyDescent="0.3">
      <c r="B150" s="285" t="str">
        <f t="shared" si="2"/>
        <v>Petra Kubon</v>
      </c>
      <c r="C150" s="119" t="str">
        <f>IF(AuswertungH[[#This Row],[Name]]="","",VLOOKUP(AuswertungH[[#This Row],[Name]],Teamzuordnung[[Name]:[Team]],2,TRUE))</f>
        <v>F</v>
      </c>
      <c r="D150" s="122">
        <f>COUNTIFS(Eingabe[Name],AuswertungH[[#This Row],[Name]],Eingabe[Wo],"H")</f>
        <v>1</v>
      </c>
      <c r="E150" s="116">
        <f>IF(AuswertungH[[#This Row],[Spiele H]]="","",IF(AuswertungH[[#This Row],[Spiele H]]-COUNTIFS(Eingabe[Name],AuswertungH[[#This Row],[Name]],Eingabe[MP],"",Eingabe[Wo],"H")=0,"",AuswertungH[[#This Row],[Spiele H]]-COUNTIFS(Eingabe[Name],AuswertungH[[#This Row],[Name]],Eingabe[MP],"",Eingabe[Wo],"H")))</f>
        <v>1</v>
      </c>
      <c r="F150" s="117">
        <f>IFERROR(ROUND(AVERAGEIFS(Eingabe[Volle],Eingabe[Name],AuswertungH[[#This Row],[Name]],Eingabe[Wo],"H"),0),"")</f>
        <v>340</v>
      </c>
      <c r="G150" s="117">
        <f>IFERROR(ROUND(AVERAGEIFS(Eingabe[Räumer],Eingabe[Name],AuswertungH[[#This Row],[Name]],Eingabe[Wo],"H"),0),"")</f>
        <v>137</v>
      </c>
      <c r="H150" s="123">
        <f>IFERROR(ROUND(AVERAGEIFS(Eingabe[Fehler],Eingabe[Name],AuswertungH[[#This Row],[Name]],Eingabe[Wo],"H"),1),"")</f>
        <v>13</v>
      </c>
      <c r="I150" s="117">
        <f>IFERROR(ROUND(AVERAGEIFS(Eingabe[GES],Eingabe[Name],AuswertungH[[#This Row],[Name]],Eingabe[Wo],"H"),0),"")</f>
        <v>477</v>
      </c>
      <c r="J150" s="123">
        <f>IFERROR(ROUND(AVERAGEIFS(Eingabe[SP],Eingabe[Name],AuswertungH[[#This Row],[Name]],Eingabe[Wo],"H"),2),"")</f>
        <v>2</v>
      </c>
      <c r="K150" s="121">
        <f>IFERROR(ROUND(AVERAGEIFS(Eingabe[MP],Eingabe[Name],AuswertungH[[#This Row],[Name]],Eingabe[Wo],"H"),2),"")</f>
        <v>0</v>
      </c>
      <c r="L150" s="117">
        <f>IFERROR(ROUND(AVERAGEIFS(Eingabe[S1],Eingabe[Name],AuswertungH[[#This Row],[Name]],Eingabe[Wo],"H"),0),"")</f>
        <v>117</v>
      </c>
      <c r="M150" s="268">
        <f>IFERROR(ROUND(AVERAGEIFS(Eingabe[S2],Eingabe[Name],AuswertungH[[#This Row],[Name]],Eingabe[Wo],"H"),0),"")</f>
        <v>127</v>
      </c>
      <c r="N150" s="117">
        <f>IFERROR(ROUND(AVERAGEIFS(Eingabe[S3],Eingabe[Name],AuswertungH[[#This Row],[Name]],Eingabe[Wo],"H"),0),"")</f>
        <v>115</v>
      </c>
      <c r="O150" s="268">
        <f>IFERROR(ROUND(AVERAGEIFS(Eingabe[S4],Eingabe[Name],AuswertungH[[#This Row],[Name]],Eingabe[Wo],"H"),0),"")</f>
        <v>118</v>
      </c>
      <c r="P150" s="121">
        <f>IFERROR(ROUND(AVERAGEIFS(Eingabe[S1P],Eingabe[Name],AuswertungH[[#This Row],[Name]],Eingabe[Wo],"H"),2),"")</f>
        <v>0</v>
      </c>
      <c r="Q150" s="121">
        <f>IFERROR(ROUND(AVERAGEIFS(Eingabe[S2P],Eingabe[Name],AuswertungH[[#This Row],[Name]],Eingabe[Wo],"H"),2),"")</f>
        <v>1</v>
      </c>
      <c r="R150" s="121">
        <f>IFERROR(ROUND(AVERAGEIFS(Eingabe[S3P],Eingabe[Name],AuswertungH[[#This Row],[Name]],Eingabe[Wo],"H"),2),"")</f>
        <v>0</v>
      </c>
      <c r="S150" s="121">
        <f>IFERROR(ROUND(AVERAGEIFS(Eingabe[S4P],Eingabe[Name],AuswertungH[[#This Row],[Name]],Eingabe[Wo],"H"),2),"")</f>
        <v>1</v>
      </c>
      <c r="T150" s="123" cm="1">
        <f t="array" ref="T150">IFERROR(ROUND(SLOPE(_xlfn._xlws.FILTER(Eingabe[GES],(Eingabe[Name]=AuswertungH[[#This Row],[Name]])*(Eingabe[Wo]="H")),_xlfn._xlws.FILTER(Eingabe[KW],(Eingabe[Name]=AuswertungH[[#This Row],[Name]])*(Eingabe[Wo]="H"))),2),0)</f>
        <v>0</v>
      </c>
      <c r="U150" s="123" t="str" cm="1">
        <f t="array" ref="U150">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50" s="117" cm="1">
        <f t="array" ref="V150">IFERROR(ROUND(_xlfn.STDEV.P(_xlfn._xlws.FILTER(Eingabe[GES],(Eingabe[Name]=AuswertungH[[#This Row],[Name]])*(Eingabe[Wo]="H"))),0),"")</f>
        <v>0</v>
      </c>
      <c r="W150" s="117">
        <f>IF(AuswertungH[[#This Row],[Spiele MP H]]="","",ROUND(AVERAGEIFS(Eingabe[GEGGES],Eingabe[Name],AuswertungH[[#This Row],[Name]],Eingabe[Wo],"H"),0))</f>
        <v>485</v>
      </c>
      <c r="X150" s="116" t="str">
        <f>VLOOKUP(AuswertungH[[#This Row],[Name]],PositionH[],21,FALSE)</f>
        <v>[4]</v>
      </c>
      <c r="Y150" s="116">
        <f>VLOOKUP(AuswertungH[[#This Row],[Name]],PositionH[],22,FALSE)</f>
        <v>1</v>
      </c>
      <c r="Z150" s="116" t="str">
        <f>VLOOKUP(AuswertungH[[#This Row],[Name]],PositionH[],23,FALSE)</f>
        <v>[4]</v>
      </c>
      <c r="AA150" s="121">
        <f>IF(AuswertungH[[#This Row],[Spiele MP H]]="","",ROUND(VLOOKUP(AuswertungH[[#This Row],[Name]],PositionH[],24,FALSE),2))</f>
        <v>0</v>
      </c>
      <c r="AB150" s="123">
        <f>IFERROR(AVERAGEIFS(Eingabe[Rang],Eingabe[Name],AuswertungH[[#This Row],[Name]],Eingabe[Wo],"H"),"")</f>
        <v>5</v>
      </c>
      <c r="AC150"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127 [4]</v>
      </c>
      <c r="AD150" s="123" cm="1">
        <f t="array" ref="AD150">IFERROR(ROUND(MEDIAN(_xlfn._xlws.FILTER(Eingabe[GES],(Eingabe[Name]=AuswertungH[[#This Row],[Name]])*(Eingabe[Wo]="H"))),0),"")</f>
        <v>477</v>
      </c>
      <c r="AE150" s="121">
        <f>IFERROR(AuswertungH[[#This Row],[STABW H]]/AuswertungH[[#This Row],[GES H]],"")</f>
        <v>0</v>
      </c>
      <c r="AF150" s="123" cm="1">
        <f t="array" ref="AF150">IFERROR(ROUND(_xlfn.QUARTILE.INC(_xlfn._xlws.FILTER(Eingabe[GES],(Eingabe[Name]=AuswertungH[[#This Row],[Name]])*(Eingabe[Wo]="H")),3)-_xlfn.QUARTILE.INC(_xlfn._xlws.FILTER(Eingabe[GES],(Eingabe[Name]=AuswertungH[[#This Row],[Name]])*(Eingabe[Wo]="H")),1),0),"")</f>
        <v>0</v>
      </c>
      <c r="AG150" s="123" t="str">
        <f>IFERROR(1/AuswertungH[[#This Row],[VK H]],"")</f>
        <v/>
      </c>
      <c r="AH150" s="123">
        <f>IFERROR(AuswertungH[[#This Row],[Volle H]]/AuswertungH[[#This Row],[Räumer H]]-2,"")</f>
        <v>0.48175182481751833</v>
      </c>
      <c r="AI150" s="117">
        <f>IFERROR(ROUND((AuswertungH[[#This Row],[Spiele H]]*60)/(AuswertungH[[#This Row],[Fehler H]]*AuswertungH[[#This Row],[Spiele H]]),0),"")</f>
        <v>5</v>
      </c>
      <c r="AJ150" s="123" t="str" cm="1">
        <f t="array" ref="AJ150">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50" s="267">
        <f>IFERROR(ROUND(AVERAGEIFS(Eingabe[MP],Eingabe[Diff],"&lt;15",Eingabe[Name],AuswertungH[[#This Row],[Name]],Eingabe[Wo],"H")-AuswertungH[[#This Row],[MP H]],2),"")</f>
        <v>0</v>
      </c>
      <c r="AL150" s="117" t="str" cm="1">
        <f t="array" ref="AL150">IFERROR(ROUND(AVERAGE(_xlfn._xlws.FILTER(Eingabe[GES],(Eingabe[Name]=AuswertungH[[#This Row],[Name]])*(Eingabe[Wo]="H")*(Eingabe[GEGGES]&gt;(AuswertungH[[#This Row],[GES H]]+20))))-AuswertungH[[#This Row],[GES H]],0),"")</f>
        <v/>
      </c>
      <c r="AM150" s="117" t="str" cm="1">
        <f t="array" ref="AM150">IFERROR(ROUND(AVERAGE(_xlfn._xlws.FILTER(Eingabe[GES],(Eingabe[Name]=AuswertungH[[#This Row],[Name]])*(Eingabe[Wo]="H")*(Eingabe[GEGGES]&lt;(AuswertungH[[#This Row],[GES H]]-20))))-AuswertungH[[#This Row],[GES H]],0),"")</f>
        <v/>
      </c>
    </row>
    <row r="151" spans="2:39" x14ac:dyDescent="0.3">
      <c r="B151" s="285" t="str">
        <f t="shared" si="2"/>
        <v>Philipp Paulmann</v>
      </c>
      <c r="C151" s="119" t="str">
        <f>IF(AuswertungH[[#This Row],[Name]]="","",VLOOKUP(AuswertungH[[#This Row],[Name]],Teamzuordnung[[Name]:[Team]],2,TRUE))</f>
        <v>E</v>
      </c>
      <c r="D151" s="122">
        <f>COUNTIFS(Eingabe[Name],AuswertungH[[#This Row],[Name]],Eingabe[Wo],"H")</f>
        <v>8</v>
      </c>
      <c r="E151" s="116">
        <f>IF(AuswertungH[[#This Row],[Spiele H]]="","",IF(AuswertungH[[#This Row],[Spiele H]]-COUNTIFS(Eingabe[Name],AuswertungH[[#This Row],[Name]],Eingabe[MP],"",Eingabe[Wo],"H")=0,"",AuswertungH[[#This Row],[Spiele H]]-COUNTIFS(Eingabe[Name],AuswertungH[[#This Row],[Name]],Eingabe[MP],"",Eingabe[Wo],"H")))</f>
        <v>8</v>
      </c>
      <c r="F151" s="117">
        <f>IFERROR(ROUND(AVERAGEIFS(Eingabe[Volle],Eingabe[Name],AuswertungH[[#This Row],[Name]],Eingabe[Wo],"H"),0),"")</f>
        <v>370</v>
      </c>
      <c r="G151" s="117">
        <f>IFERROR(ROUND(AVERAGEIFS(Eingabe[Räumer],Eingabe[Name],AuswertungH[[#This Row],[Name]],Eingabe[Wo],"H"),0),"")</f>
        <v>200</v>
      </c>
      <c r="H151" s="123">
        <f>IFERROR(ROUND(AVERAGEIFS(Eingabe[Fehler],Eingabe[Name],AuswertungH[[#This Row],[Name]],Eingabe[Wo],"H"),1),"")</f>
        <v>1.6</v>
      </c>
      <c r="I151" s="117">
        <f>IFERROR(ROUND(AVERAGEIFS(Eingabe[GES],Eingabe[Name],AuswertungH[[#This Row],[Name]],Eingabe[Wo],"H"),0),"")</f>
        <v>570</v>
      </c>
      <c r="J151" s="123">
        <f>IFERROR(ROUND(AVERAGEIFS(Eingabe[SP],Eingabe[Name],AuswertungH[[#This Row],[Name]],Eingabe[Wo],"H"),2),"")</f>
        <v>2.63</v>
      </c>
      <c r="K151" s="121">
        <f>IFERROR(ROUND(AVERAGEIFS(Eingabe[MP],Eingabe[Name],AuswertungH[[#This Row],[Name]],Eingabe[Wo],"H"),2),"")</f>
        <v>0.75</v>
      </c>
      <c r="L151" s="117">
        <f>IFERROR(ROUND(AVERAGEIFS(Eingabe[S1],Eingabe[Name],AuswertungH[[#This Row],[Name]],Eingabe[Wo],"H"),0),"")</f>
        <v>144</v>
      </c>
      <c r="M151" s="268">
        <f>IFERROR(ROUND(AVERAGEIFS(Eingabe[S2],Eingabe[Name],AuswertungH[[#This Row],[Name]],Eingabe[Wo],"H"),0),"")</f>
        <v>137</v>
      </c>
      <c r="N151" s="117">
        <f>IFERROR(ROUND(AVERAGEIFS(Eingabe[S3],Eingabe[Name],AuswertungH[[#This Row],[Name]],Eingabe[Wo],"H"),0),"")</f>
        <v>144</v>
      </c>
      <c r="O151" s="268">
        <f>IFERROR(ROUND(AVERAGEIFS(Eingabe[S4],Eingabe[Name],AuswertungH[[#This Row],[Name]],Eingabe[Wo],"H"),0),"")</f>
        <v>145</v>
      </c>
      <c r="P151" s="121">
        <f>IFERROR(ROUND(AVERAGEIFS(Eingabe[S1P],Eingabe[Name],AuswertungH[[#This Row],[Name]],Eingabe[Wo],"H"),2),"")</f>
        <v>0.75</v>
      </c>
      <c r="Q151" s="121">
        <f>IFERROR(ROUND(AVERAGEIFS(Eingabe[S2P],Eingabe[Name],AuswertungH[[#This Row],[Name]],Eingabe[Wo],"H"),2),"")</f>
        <v>0.56000000000000005</v>
      </c>
      <c r="R151" s="121">
        <f>IFERROR(ROUND(AVERAGEIFS(Eingabe[S3P],Eingabe[Name],AuswertungH[[#This Row],[Name]],Eingabe[Wo],"H"),2),"")</f>
        <v>0.63</v>
      </c>
      <c r="S151" s="121">
        <f>IFERROR(ROUND(AVERAGEIFS(Eingabe[S4P],Eingabe[Name],AuswertungH[[#This Row],[Name]],Eingabe[Wo],"H"),2),"")</f>
        <v>0.69</v>
      </c>
      <c r="T151" s="123" cm="1">
        <f t="array" ref="T151">IFERROR(ROUND(SLOPE(_xlfn._xlws.FILTER(Eingabe[GES],(Eingabe[Name]=AuswertungH[[#This Row],[Name]])*(Eingabe[Wo]="H")),_xlfn._xlws.FILTER(Eingabe[KW],(Eingabe[Name]=AuswertungH[[#This Row],[Name]])*(Eingabe[Wo]="H"))),2),0)</f>
        <v>-4.1399999999999997</v>
      </c>
      <c r="U151" s="123" cm="1">
        <f t="array" ref="U151">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-2.17</v>
      </c>
      <c r="V151" s="117" cm="1">
        <f t="array" ref="V151">IFERROR(ROUND(_xlfn.STDEV.P(_xlfn._xlws.FILTER(Eingabe[GES],(Eingabe[Name]=AuswertungH[[#This Row],[Name]])*(Eingabe[Wo]="H"))),0),"")</f>
        <v>34</v>
      </c>
      <c r="W151" s="117">
        <f>IF(AuswertungH[[#This Row],[Spiele MP H]]="","",ROUND(AVERAGEIFS(Eingabe[GEGGES],Eingabe[Name],AuswertungH[[#This Row],[Name]],Eingabe[Wo],"H"),0))</f>
        <v>529</v>
      </c>
      <c r="X151" s="116" t="str">
        <f>VLOOKUP(AuswertungH[[#This Row],[Name]],PositionH[],21,FALSE)</f>
        <v>[5]</v>
      </c>
      <c r="Y151" s="116">
        <f>VLOOKUP(AuswertungH[[#This Row],[Name]],PositionH[],22,FALSE)</f>
        <v>6</v>
      </c>
      <c r="Z151" s="116" t="str">
        <f>VLOOKUP(AuswertungH[[#This Row],[Name]],PositionH[],23,FALSE)</f>
        <v>[3]</v>
      </c>
      <c r="AA151" s="121">
        <f>IF(AuswertungH[[#This Row],[Spiele MP H]]="","",ROUND(VLOOKUP(AuswertungH[[#This Row],[Name]],PositionH[],24,FALSE),2))</f>
        <v>1</v>
      </c>
      <c r="AB151" s="123">
        <f>IFERROR(AVERAGEIFS(Eingabe[Rang],Eingabe[Name],AuswertungH[[#This Row],[Name]],Eingabe[Wo],"H"),"")</f>
        <v>1.5714285714285714</v>
      </c>
      <c r="AC151"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145 [3]</v>
      </c>
      <c r="AD151" s="123" cm="1">
        <f t="array" ref="AD151">IFERROR(ROUND(MEDIAN(_xlfn._xlws.FILTER(Eingabe[GES],(Eingabe[Name]=AuswertungH[[#This Row],[Name]])*(Eingabe[Wo]="H"))),0),"")</f>
        <v>576</v>
      </c>
      <c r="AE151" s="121">
        <f>IFERROR(AuswertungH[[#This Row],[STABW H]]/AuswertungH[[#This Row],[GES H]],"")</f>
        <v>5.9649122807017542E-2</v>
      </c>
      <c r="AF151" s="123" cm="1">
        <f t="array" ref="AF151">IFERROR(ROUND(_xlfn.QUARTILE.INC(_xlfn._xlws.FILTER(Eingabe[GES],(Eingabe[Name]=AuswertungH[[#This Row],[Name]])*(Eingabe[Wo]="H")),3)-_xlfn.QUARTILE.INC(_xlfn._xlws.FILTER(Eingabe[GES],(Eingabe[Name]=AuswertungH[[#This Row],[Name]])*(Eingabe[Wo]="H")),1),0),"")</f>
        <v>62</v>
      </c>
      <c r="AG151" s="123">
        <f>IFERROR(1/AuswertungH[[#This Row],[VK H]],"")</f>
        <v>16.764705882352942</v>
      </c>
      <c r="AH151" s="123">
        <f>IFERROR(AuswertungH[[#This Row],[Volle H]]/AuswertungH[[#This Row],[Räumer H]]-2,"")</f>
        <v>-0.14999999999999991</v>
      </c>
      <c r="AI151" s="117">
        <f>IFERROR(ROUND((AuswertungH[[#This Row],[Spiele H]]*60)/(AuswertungH[[#This Row],[Fehler H]]*AuswertungH[[#This Row],[Spiele H]]),0),"")</f>
        <v>38</v>
      </c>
      <c r="AJ151" s="123" cm="1">
        <f t="array" ref="AJ151">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-0.91176470588235292</v>
      </c>
      <c r="AK151" s="267">
        <f>IFERROR(ROUND(AVERAGEIFS(Eingabe[MP],Eingabe[Diff],"&lt;15",Eingabe[Name],AuswertungH[[#This Row],[Name]],Eingabe[Wo],"H")-AuswertungH[[#This Row],[MP H]],2),"")</f>
        <v>-0.42</v>
      </c>
      <c r="AL151" s="117" t="str" cm="1">
        <f t="array" ref="AL151">IFERROR(ROUND(AVERAGE(_xlfn._xlws.FILTER(Eingabe[GES],(Eingabe[Name]=AuswertungH[[#This Row],[Name]])*(Eingabe[Wo]="H")*(Eingabe[GEGGES]&gt;(AuswertungH[[#This Row],[GES H]]+20))))-AuswertungH[[#This Row],[GES H]],0),"")</f>
        <v/>
      </c>
      <c r="AM151" s="117" cm="1">
        <f t="array" ref="AM151">IFERROR(ROUND(AVERAGE(_xlfn._xlws.FILTER(Eingabe[GES],(Eingabe[Name]=AuswertungH[[#This Row],[Name]])*(Eingabe[Wo]="H")*(Eingabe[GEGGES]&lt;(AuswertungH[[#This Row],[GES H]]-20))))-AuswertungH[[#This Row],[GES H]],0),"")</f>
        <v>-5</v>
      </c>
    </row>
    <row r="152" spans="2:39" x14ac:dyDescent="0.3">
      <c r="B152" s="285" t="str">
        <f t="shared" si="2"/>
        <v>Pia Wätzig</v>
      </c>
      <c r="C152" s="119" t="str">
        <f>IF(AuswertungH[[#This Row],[Name]]="","",VLOOKUP(AuswertungH[[#This Row],[Name]],Teamzuordnung[[Name]:[Team]],2,TRUE))</f>
        <v>U19</v>
      </c>
      <c r="D152" s="122">
        <f>COUNTIFS(Eingabe[Name],AuswertungH[[#This Row],[Name]],Eingabe[Wo],"H")</f>
        <v>3</v>
      </c>
      <c r="E152" s="116" t="str">
        <f>IF(AuswertungH[[#This Row],[Spiele H]]="","",IF(AuswertungH[[#This Row],[Spiele H]]-COUNTIFS(Eingabe[Name],AuswertungH[[#This Row],[Name]],Eingabe[MP],"",Eingabe[Wo],"H")=0,"",AuswertungH[[#This Row],[Spiele H]]-COUNTIFS(Eingabe[Name],AuswertungH[[#This Row],[Name]],Eingabe[MP],"",Eingabe[Wo],"H")))</f>
        <v/>
      </c>
      <c r="F152" s="117">
        <f>IFERROR(ROUND(AVERAGEIFS(Eingabe[Volle],Eingabe[Name],AuswertungH[[#This Row],[Name]],Eingabe[Wo],"H"),0),"")</f>
        <v>315</v>
      </c>
      <c r="G152" s="117">
        <f>IFERROR(ROUND(AVERAGEIFS(Eingabe[Räumer],Eingabe[Name],AuswertungH[[#This Row],[Name]],Eingabe[Wo],"H"),0),"")</f>
        <v>128</v>
      </c>
      <c r="H152" s="123">
        <f>IFERROR(ROUND(AVERAGEIFS(Eingabe[Fehler],Eingabe[Name],AuswertungH[[#This Row],[Name]],Eingabe[Wo],"H"),1),"")</f>
        <v>14.7</v>
      </c>
      <c r="I152" s="117">
        <f>IFERROR(ROUND(AVERAGEIFS(Eingabe[GES],Eingabe[Name],AuswertungH[[#This Row],[Name]],Eingabe[Wo],"H"),0),"")</f>
        <v>443</v>
      </c>
      <c r="J152" s="123" t="str">
        <f>IFERROR(ROUND(AVERAGEIFS(Eingabe[SP],Eingabe[Name],AuswertungH[[#This Row],[Name]],Eingabe[Wo],"H"),2),"")</f>
        <v/>
      </c>
      <c r="K152" s="121" t="str">
        <f>IFERROR(ROUND(AVERAGEIFS(Eingabe[MP],Eingabe[Name],AuswertungH[[#This Row],[Name]],Eingabe[Wo],"H"),2),"")</f>
        <v/>
      </c>
      <c r="L152" s="117">
        <f>IFERROR(ROUND(AVERAGEIFS(Eingabe[S1],Eingabe[Name],AuswertungH[[#This Row],[Name]],Eingabe[Wo],"H"),0),"")</f>
        <v>105</v>
      </c>
      <c r="M152" s="268">
        <f>IFERROR(ROUND(AVERAGEIFS(Eingabe[S2],Eingabe[Name],AuswertungH[[#This Row],[Name]],Eingabe[Wo],"H"),0),"")</f>
        <v>111</v>
      </c>
      <c r="N152" s="117">
        <f>IFERROR(ROUND(AVERAGEIFS(Eingabe[S3],Eingabe[Name],AuswertungH[[#This Row],[Name]],Eingabe[Wo],"H"),0),"")</f>
        <v>118</v>
      </c>
      <c r="O152" s="268">
        <f>IFERROR(ROUND(AVERAGEIFS(Eingabe[S4],Eingabe[Name],AuswertungH[[#This Row],[Name]],Eingabe[Wo],"H"),0),"")</f>
        <v>109</v>
      </c>
      <c r="P152" s="121" t="str">
        <f>IFERROR(ROUND(AVERAGEIFS(Eingabe[S1P],Eingabe[Name],AuswertungH[[#This Row],[Name]],Eingabe[Wo],"H"),2),"")</f>
        <v/>
      </c>
      <c r="Q152" s="121" t="str">
        <f>IFERROR(ROUND(AVERAGEIFS(Eingabe[S2P],Eingabe[Name],AuswertungH[[#This Row],[Name]],Eingabe[Wo],"H"),2),"")</f>
        <v/>
      </c>
      <c r="R152" s="121" t="str">
        <f>IFERROR(ROUND(AVERAGEIFS(Eingabe[S3P],Eingabe[Name],AuswertungH[[#This Row],[Name]],Eingabe[Wo],"H"),2),"")</f>
        <v/>
      </c>
      <c r="S152" s="121" t="str">
        <f>IFERROR(ROUND(AVERAGEIFS(Eingabe[S4P],Eingabe[Name],AuswertungH[[#This Row],[Name]],Eingabe[Wo],"H"),2),"")</f>
        <v/>
      </c>
      <c r="T152" s="123" cm="1">
        <f t="array" ref="T152">IFERROR(ROUND(SLOPE(_xlfn._xlws.FILTER(Eingabe[GES],(Eingabe[Name]=AuswertungH[[#This Row],[Name]])*(Eingabe[Wo]="H")),_xlfn._xlws.FILTER(Eingabe[KW],(Eingabe[Name]=AuswertungH[[#This Row],[Name]])*(Eingabe[Wo]="H"))),2),0)</f>
        <v>-1.57</v>
      </c>
      <c r="U152" s="123" cm="1">
        <f t="array" ref="U152">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-1.57</v>
      </c>
      <c r="V152" s="117" cm="1">
        <f t="array" ref="V152">IFERROR(ROUND(_xlfn.STDEV.P(_xlfn._xlws.FILTER(Eingabe[GES],(Eingabe[Name]=AuswertungH[[#This Row],[Name]])*(Eingabe[Wo]="H"))),0),"")</f>
        <v>12</v>
      </c>
      <c r="W152" s="117" t="str">
        <f>IF(AuswertungH[[#This Row],[Spiele MP H]]="","",ROUND(AVERAGEIFS(Eingabe[GEGGES],Eingabe[Name],AuswertungH[[#This Row],[Name]],Eingabe[Wo],"H"),0))</f>
        <v/>
      </c>
      <c r="X152" s="116" t="str">
        <f>VLOOKUP(AuswertungH[[#This Row],[Name]],PositionH[],21,FALSE)</f>
        <v/>
      </c>
      <c r="Y152" s="116" t="str">
        <f>VLOOKUP(AuswertungH[[#This Row],[Name]],PositionH[],22,FALSE)</f>
        <v/>
      </c>
      <c r="Z152" s="116" t="str">
        <f>VLOOKUP(AuswertungH[[#This Row],[Name]],PositionH[],23,FALSE)</f>
        <v/>
      </c>
      <c r="AA152" s="121" t="str">
        <f>IF(AuswertungH[[#This Row],[Spiele MP H]]="","",ROUND(VLOOKUP(AuswertungH[[#This Row],[Name]],PositionH[],24,FALSE),2))</f>
        <v/>
      </c>
      <c r="AB152" s="123">
        <f>IFERROR(AVERAGEIFS(Eingabe[Rang],Eingabe[Name],AuswertungH[[#This Row],[Name]],Eingabe[Wo],"H"),"")</f>
        <v>4</v>
      </c>
      <c r="AC152"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52" s="123" cm="1">
        <f t="array" ref="AD152">IFERROR(ROUND(MEDIAN(_xlfn._xlws.FILTER(Eingabe[GES],(Eingabe[Name]=AuswertungH[[#This Row],[Name]])*(Eingabe[Wo]="H"))),0),"")</f>
        <v>449</v>
      </c>
      <c r="AE152" s="121">
        <f>IFERROR(AuswertungH[[#This Row],[STABW H]]/AuswertungH[[#This Row],[GES H]],"")</f>
        <v>2.7088036117381489E-2</v>
      </c>
      <c r="AF152" s="123" cm="1">
        <f t="array" ref="AF152">IFERROR(ROUND(_xlfn.QUARTILE.INC(_xlfn._xlws.FILTER(Eingabe[GES],(Eingabe[Name]=AuswertungH[[#This Row],[Name]])*(Eingabe[Wo]="H")),3)-_xlfn.QUARTILE.INC(_xlfn._xlws.FILTER(Eingabe[GES],(Eingabe[Name]=AuswertungH[[#This Row],[Name]])*(Eingabe[Wo]="H")),1),0),"")</f>
        <v>14</v>
      </c>
      <c r="AG152" s="123">
        <f>IFERROR(1/AuswertungH[[#This Row],[VK H]],"")</f>
        <v>36.916666666666664</v>
      </c>
      <c r="AH152" s="123">
        <f>IFERROR(AuswertungH[[#This Row],[Volle H]]/AuswertungH[[#This Row],[Räumer H]]-2,"")</f>
        <v>0.4609375</v>
      </c>
      <c r="AI152" s="117">
        <f>IFERROR(ROUND((AuswertungH[[#This Row],[Spiele H]]*60)/(AuswertungH[[#This Row],[Fehler H]]*AuswertungH[[#This Row],[Spiele H]]),0),"")</f>
        <v>4</v>
      </c>
      <c r="AJ152" s="123" t="str" cm="1">
        <f t="array" ref="AJ152">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52" s="267" t="str">
        <f>IFERROR(ROUND(AVERAGEIFS(Eingabe[MP],Eingabe[Diff],"&lt;15",Eingabe[Name],AuswertungH[[#This Row],[Name]],Eingabe[Wo],"H")-AuswertungH[[#This Row],[MP H]],2),"")</f>
        <v/>
      </c>
      <c r="AL152" s="117" t="str" cm="1">
        <f t="array" ref="AL152">IFERROR(ROUND(AVERAGE(_xlfn._xlws.FILTER(Eingabe[GES],(Eingabe[Name]=AuswertungH[[#This Row],[Name]])*(Eingabe[Wo]="H")*(Eingabe[GEGGES]&gt;(AuswertungH[[#This Row],[GES H]]+20))))-AuswertungH[[#This Row],[GES H]],0),"")</f>
        <v/>
      </c>
      <c r="AM152" s="117" cm="1">
        <f t="array" ref="AM152">IFERROR(ROUND(AVERAGE(_xlfn._xlws.FILTER(Eingabe[GES],(Eingabe[Name]=AuswertungH[[#This Row],[Name]])*(Eingabe[Wo]="H")*(Eingabe[GEGGES]&lt;(AuswertungH[[#This Row],[GES H]]-20))))-AuswertungH[[#This Row],[GES H]],0),"")</f>
        <v>0</v>
      </c>
    </row>
    <row r="153" spans="2:39" x14ac:dyDescent="0.3">
      <c r="B153" s="285" t="str">
        <f t="shared" si="2"/>
        <v>Sophia Stirl</v>
      </c>
      <c r="C153" s="119" t="str">
        <f>IF(AuswertungH[[#This Row],[Name]]="","",VLOOKUP(AuswertungH[[#This Row],[Name]],Teamzuordnung[[Name]:[Team]],2,TRUE))</f>
        <v>U14</v>
      </c>
      <c r="D153" s="122">
        <f>COUNTIFS(Eingabe[Name],AuswertungH[[#This Row],[Name]],Eingabe[Wo],"H")</f>
        <v>3</v>
      </c>
      <c r="E153" s="116" t="str">
        <f>IF(AuswertungH[[#This Row],[Spiele H]]="","",IF(AuswertungH[[#This Row],[Spiele H]]-COUNTIFS(Eingabe[Name],AuswertungH[[#This Row],[Name]],Eingabe[MP],"",Eingabe[Wo],"H")=0,"",AuswertungH[[#This Row],[Spiele H]]-COUNTIFS(Eingabe[Name],AuswertungH[[#This Row],[Name]],Eingabe[MP],"",Eingabe[Wo],"H")))</f>
        <v/>
      </c>
      <c r="F153" s="117">
        <f>IFERROR(ROUND(AVERAGEIFS(Eingabe[Volle],Eingabe[Name],AuswertungH[[#This Row],[Name]],Eingabe[Wo],"H"),0),"")</f>
        <v>275</v>
      </c>
      <c r="G153" s="117">
        <f>IFERROR(ROUND(AVERAGEIFS(Eingabe[Räumer],Eingabe[Name],AuswertungH[[#This Row],[Name]],Eingabe[Wo],"H"),0),"")</f>
        <v>101</v>
      </c>
      <c r="H153" s="123">
        <f>IFERROR(ROUND(AVERAGEIFS(Eingabe[Fehler],Eingabe[Name],AuswertungH[[#This Row],[Name]],Eingabe[Wo],"H"),1),"")</f>
        <v>23</v>
      </c>
      <c r="I153" s="117">
        <f>IFERROR(ROUND(AVERAGEIFS(Eingabe[GES],Eingabe[Name],AuswertungH[[#This Row],[Name]],Eingabe[Wo],"H"),0),"")</f>
        <v>376</v>
      </c>
      <c r="J153" s="123" t="str">
        <f>IFERROR(ROUND(AVERAGEIFS(Eingabe[SP],Eingabe[Name],AuswertungH[[#This Row],[Name]],Eingabe[Wo],"H"),2),"")</f>
        <v/>
      </c>
      <c r="K153" s="121" t="str">
        <f>IFERROR(ROUND(AVERAGEIFS(Eingabe[MP],Eingabe[Name],AuswertungH[[#This Row],[Name]],Eingabe[Wo],"H"),2),"")</f>
        <v/>
      </c>
      <c r="L153" s="117">
        <f>IFERROR(ROUND(AVERAGEIFS(Eingabe[S1],Eingabe[Name],AuswertungH[[#This Row],[Name]],Eingabe[Wo],"H"),0),"")</f>
        <v>88</v>
      </c>
      <c r="M153" s="268">
        <f>IFERROR(ROUND(AVERAGEIFS(Eingabe[S2],Eingabe[Name],AuswertungH[[#This Row],[Name]],Eingabe[Wo],"H"),0),"")</f>
        <v>97</v>
      </c>
      <c r="N153" s="117">
        <f>IFERROR(ROUND(AVERAGEIFS(Eingabe[S3],Eingabe[Name],AuswertungH[[#This Row],[Name]],Eingabe[Wo],"H"),0),"")</f>
        <v>94</v>
      </c>
      <c r="O153" s="268">
        <f>IFERROR(ROUND(AVERAGEIFS(Eingabe[S4],Eingabe[Name],AuswertungH[[#This Row],[Name]],Eingabe[Wo],"H"),0),"")</f>
        <v>97</v>
      </c>
      <c r="P153" s="121" t="str">
        <f>IFERROR(ROUND(AVERAGEIFS(Eingabe[S1P],Eingabe[Name],AuswertungH[[#This Row],[Name]],Eingabe[Wo],"H"),2),"")</f>
        <v/>
      </c>
      <c r="Q153" s="121" t="str">
        <f>IFERROR(ROUND(AVERAGEIFS(Eingabe[S2P],Eingabe[Name],AuswertungH[[#This Row],[Name]],Eingabe[Wo],"H"),2),"")</f>
        <v/>
      </c>
      <c r="R153" s="121" t="str">
        <f>IFERROR(ROUND(AVERAGEIFS(Eingabe[S3P],Eingabe[Name],AuswertungH[[#This Row],[Name]],Eingabe[Wo],"H"),2),"")</f>
        <v/>
      </c>
      <c r="S153" s="121" t="str">
        <f>IFERROR(ROUND(AVERAGEIFS(Eingabe[S4P],Eingabe[Name],AuswertungH[[#This Row],[Name]],Eingabe[Wo],"H"),2),"")</f>
        <v/>
      </c>
      <c r="T153" s="123" cm="1">
        <f t="array" ref="T153">IFERROR(ROUND(SLOPE(_xlfn._xlws.FILTER(Eingabe[GES],(Eingabe[Name]=AuswertungH[[#This Row],[Name]])*(Eingabe[Wo]="H")),_xlfn._xlws.FILTER(Eingabe[KW],(Eingabe[Name]=AuswertungH[[#This Row],[Name]])*(Eingabe[Wo]="H"))),2),0)</f>
        <v>4.16</v>
      </c>
      <c r="U153" s="123" cm="1">
        <f t="array" ref="U153">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4.16</v>
      </c>
      <c r="V153" s="117" cm="1">
        <f t="array" ref="V153">IFERROR(ROUND(_xlfn.STDEV.P(_xlfn._xlws.FILTER(Eingabe[GES],(Eingabe[Name]=AuswertungH[[#This Row],[Name]])*(Eingabe[Wo]="H"))),0),"")</f>
        <v>33</v>
      </c>
      <c r="W153" s="117" t="str">
        <f>IF(AuswertungH[[#This Row],[Spiele MP H]]="","",ROUND(AVERAGEIFS(Eingabe[GEGGES],Eingabe[Name],AuswertungH[[#This Row],[Name]],Eingabe[Wo],"H"),0))</f>
        <v/>
      </c>
      <c r="X153" s="116" t="str">
        <f>VLOOKUP(AuswertungH[[#This Row],[Name]],PositionH[],21,FALSE)</f>
        <v/>
      </c>
      <c r="Y153" s="116" t="str">
        <f>VLOOKUP(AuswertungH[[#This Row],[Name]],PositionH[],22,FALSE)</f>
        <v/>
      </c>
      <c r="Z153" s="116" t="str">
        <f>VLOOKUP(AuswertungH[[#This Row],[Name]],PositionH[],23,FALSE)</f>
        <v/>
      </c>
      <c r="AA153" s="121" t="str">
        <f>IF(AuswertungH[[#This Row],[Spiele MP H]]="","",ROUND(VLOOKUP(AuswertungH[[#This Row],[Name]],PositionH[],24,FALSE),2))</f>
        <v/>
      </c>
      <c r="AB153" s="123">
        <f>IFERROR(AVERAGEIFS(Eingabe[Rang],Eingabe[Name],AuswertungH[[#This Row],[Name]],Eingabe[Wo],"H"),"")</f>
        <v>3</v>
      </c>
      <c r="AC153"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53" s="123" cm="1">
        <f t="array" ref="AD153">IFERROR(ROUND(MEDIAN(_xlfn._xlws.FILTER(Eingabe[GES],(Eingabe[Name]=AuswertungH[[#This Row],[Name]])*(Eingabe[Wo]="H"))),0),"")</f>
        <v>365</v>
      </c>
      <c r="AE153" s="121">
        <f>IFERROR(AuswertungH[[#This Row],[STABW H]]/AuswertungH[[#This Row],[GES H]],"")</f>
        <v>8.7765957446808512E-2</v>
      </c>
      <c r="AF153" s="123" cm="1">
        <f t="array" ref="AF153">IFERROR(ROUND(_xlfn.QUARTILE.INC(_xlfn._xlws.FILTER(Eingabe[GES],(Eingabe[Name]=AuswertungH[[#This Row],[Name]])*(Eingabe[Wo]="H")),3)-_xlfn.QUARTILE.INC(_xlfn._xlws.FILTER(Eingabe[GES],(Eingabe[Name]=AuswertungH[[#This Row],[Name]])*(Eingabe[Wo]="H")),1),0),"")</f>
        <v>39</v>
      </c>
      <c r="AG153" s="123">
        <f>IFERROR(1/AuswertungH[[#This Row],[VK H]],"")</f>
        <v>11.393939393939394</v>
      </c>
      <c r="AH153" s="123">
        <f>IFERROR(AuswertungH[[#This Row],[Volle H]]/AuswertungH[[#This Row],[Räumer H]]-2,"")</f>
        <v>0.72277227722772297</v>
      </c>
      <c r="AI153" s="117">
        <f>IFERROR(ROUND((AuswertungH[[#This Row],[Spiele H]]*60)/(AuswertungH[[#This Row],[Fehler H]]*AuswertungH[[#This Row],[Spiele H]]),0),"")</f>
        <v>3</v>
      </c>
      <c r="AJ153" s="123" t="str" cm="1">
        <f t="array" ref="AJ153">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53" s="267" t="str">
        <f>IFERROR(ROUND(AVERAGEIFS(Eingabe[MP],Eingabe[Diff],"&lt;15",Eingabe[Name],AuswertungH[[#This Row],[Name]],Eingabe[Wo],"H")-AuswertungH[[#This Row],[MP H]],2),"")</f>
        <v/>
      </c>
      <c r="AL153" s="117" t="str" cm="1">
        <f t="array" ref="AL153">IFERROR(ROUND(AVERAGE(_xlfn._xlws.FILTER(Eingabe[GES],(Eingabe[Name]=AuswertungH[[#This Row],[Name]])*(Eingabe[Wo]="H")*(Eingabe[GEGGES]&gt;(AuswertungH[[#This Row],[GES H]]+20))))-AuswertungH[[#This Row],[GES H]],0),"")</f>
        <v/>
      </c>
      <c r="AM153" s="117" cm="1">
        <f t="array" ref="AM153">IFERROR(ROUND(AVERAGE(_xlfn._xlws.FILTER(Eingabe[GES],(Eingabe[Name]=AuswertungH[[#This Row],[Name]])*(Eingabe[Wo]="H")*(Eingabe[GEGGES]&lt;(AuswertungH[[#This Row],[GES H]]-20))))-AuswertungH[[#This Row],[GES H]],0),"")</f>
        <v>0</v>
      </c>
    </row>
    <row r="154" spans="2:39" x14ac:dyDescent="0.3">
      <c r="B154" s="285" t="str">
        <f t="shared" si="2"/>
        <v>Stefan Teuber</v>
      </c>
      <c r="C154" s="119" t="str">
        <f>IF(AuswertungH[[#This Row],[Name]]="","",VLOOKUP(AuswertungH[[#This Row],[Name]],Teamzuordnung[[Name]:[Team]],2,TRUE))</f>
        <v>E</v>
      </c>
      <c r="D154" s="122">
        <f>COUNTIFS(Eingabe[Name],AuswertungH[[#This Row],[Name]],Eingabe[Wo],"H")</f>
        <v>9</v>
      </c>
      <c r="E154" s="116">
        <f>IF(AuswertungH[[#This Row],[Spiele H]]="","",IF(AuswertungH[[#This Row],[Spiele H]]-COUNTIFS(Eingabe[Name],AuswertungH[[#This Row],[Name]],Eingabe[MP],"",Eingabe[Wo],"H")=0,"",AuswertungH[[#This Row],[Spiele H]]-COUNTIFS(Eingabe[Name],AuswertungH[[#This Row],[Name]],Eingabe[MP],"",Eingabe[Wo],"H")))</f>
        <v>9</v>
      </c>
      <c r="F154" s="117">
        <f>IFERROR(ROUND(AVERAGEIFS(Eingabe[Volle],Eingabe[Name],AuswertungH[[#This Row],[Name]],Eingabe[Wo],"H"),0),"")</f>
        <v>348</v>
      </c>
      <c r="G154" s="117">
        <f>IFERROR(ROUND(AVERAGEIFS(Eingabe[Räumer],Eingabe[Name],AuswertungH[[#This Row],[Name]],Eingabe[Wo],"H"),0),"")</f>
        <v>168</v>
      </c>
      <c r="H154" s="123">
        <f>IFERROR(ROUND(AVERAGEIFS(Eingabe[Fehler],Eingabe[Name],AuswertungH[[#This Row],[Name]],Eingabe[Wo],"H"),1),"")</f>
        <v>5.7</v>
      </c>
      <c r="I154" s="117">
        <f>IFERROR(ROUND(AVERAGEIFS(Eingabe[GES],Eingabe[Name],AuswertungH[[#This Row],[Name]],Eingabe[Wo],"H"),0),"")</f>
        <v>516</v>
      </c>
      <c r="J154" s="123">
        <f>IFERROR(ROUND(AVERAGEIFS(Eingabe[SP],Eingabe[Name],AuswertungH[[#This Row],[Name]],Eingabe[Wo],"H"),2),"")</f>
        <v>1.44</v>
      </c>
      <c r="K154" s="121">
        <f>IFERROR(ROUND(AVERAGEIFS(Eingabe[MP],Eingabe[Name],AuswertungH[[#This Row],[Name]],Eingabe[Wo],"H"),2),"")</f>
        <v>0.22</v>
      </c>
      <c r="L154" s="117">
        <f>IFERROR(ROUND(AVERAGEIFS(Eingabe[S1],Eingabe[Name],AuswertungH[[#This Row],[Name]],Eingabe[Wo],"H"),0),"")</f>
        <v>130</v>
      </c>
      <c r="M154" s="268">
        <f>IFERROR(ROUND(AVERAGEIFS(Eingabe[S2],Eingabe[Name],AuswertungH[[#This Row],[Name]],Eingabe[Wo],"H"),0),"")</f>
        <v>128</v>
      </c>
      <c r="N154" s="117">
        <f>IFERROR(ROUND(AVERAGEIFS(Eingabe[S3],Eingabe[Name],AuswertungH[[#This Row],[Name]],Eingabe[Wo],"H"),0),"")</f>
        <v>131</v>
      </c>
      <c r="O154" s="268">
        <f>IFERROR(ROUND(AVERAGEIFS(Eingabe[S4],Eingabe[Name],AuswertungH[[#This Row],[Name]],Eingabe[Wo],"H"),0),"")</f>
        <v>127</v>
      </c>
      <c r="P154" s="121">
        <f>IFERROR(ROUND(AVERAGEIFS(Eingabe[S1P],Eingabe[Name],AuswertungH[[#This Row],[Name]],Eingabe[Wo],"H"),2),"")</f>
        <v>0.28000000000000003</v>
      </c>
      <c r="Q154" s="121">
        <f>IFERROR(ROUND(AVERAGEIFS(Eingabe[S2P],Eingabe[Name],AuswertungH[[#This Row],[Name]],Eingabe[Wo],"H"),2),"")</f>
        <v>0.44</v>
      </c>
      <c r="R154" s="121">
        <f>IFERROR(ROUND(AVERAGEIFS(Eingabe[S3P],Eingabe[Name],AuswertungH[[#This Row],[Name]],Eingabe[Wo],"H"),2),"")</f>
        <v>0.22</v>
      </c>
      <c r="S154" s="121">
        <f>IFERROR(ROUND(AVERAGEIFS(Eingabe[S4P],Eingabe[Name],AuswertungH[[#This Row],[Name]],Eingabe[Wo],"H"),2),"")</f>
        <v>0.5</v>
      </c>
      <c r="T154" s="123" cm="1">
        <f t="array" ref="T154">IFERROR(ROUND(SLOPE(_xlfn._xlws.FILTER(Eingabe[GES],(Eingabe[Name]=AuswertungH[[#This Row],[Name]])*(Eingabe[Wo]="H")),_xlfn._xlws.FILTER(Eingabe[KW],(Eingabe[Name]=AuswertungH[[#This Row],[Name]])*(Eingabe[Wo]="H"))),2),0)</f>
        <v>-0.3</v>
      </c>
      <c r="U154" s="123" cm="1">
        <f t="array" ref="U154">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0.31</v>
      </c>
      <c r="V154" s="117" cm="1">
        <f t="array" ref="V154">IFERROR(ROUND(_xlfn.STDEV.P(_xlfn._xlws.FILTER(Eingabe[GES],(Eingabe[Name]=AuswertungH[[#This Row],[Name]])*(Eingabe[Wo]="H"))),0),"")</f>
        <v>19</v>
      </c>
      <c r="W154" s="117">
        <f>IF(AuswertungH[[#This Row],[Spiele MP H]]="","",ROUND(AVERAGEIFS(Eingabe[GEGGES],Eingabe[Name],AuswertungH[[#This Row],[Name]],Eingabe[Wo],"H"),0))</f>
        <v>527</v>
      </c>
      <c r="X154" s="116" t="str">
        <f>VLOOKUP(AuswertungH[[#This Row],[Name]],PositionH[],21,FALSE)</f>
        <v>[2]</v>
      </c>
      <c r="Y154" s="116">
        <f>VLOOKUP(AuswertungH[[#This Row],[Name]],PositionH[],22,FALSE)</f>
        <v>5</v>
      </c>
      <c r="Z154" s="116" t="str">
        <f>VLOOKUP(AuswertungH[[#This Row],[Name]],PositionH[],23,FALSE)</f>
        <v>[4]</v>
      </c>
      <c r="AA154" s="121">
        <f>IF(AuswertungH[[#This Row],[Spiele MP H]]="","",ROUND(VLOOKUP(AuswertungH[[#This Row],[Name]],PositionH[],24,FALSE),2))</f>
        <v>0.67</v>
      </c>
      <c r="AB154" s="123">
        <f>IFERROR(AVERAGEIFS(Eingabe[Rang],Eingabe[Name],AuswertungH[[#This Row],[Name]],Eingabe[Wo],"H"),"")</f>
        <v>4.25</v>
      </c>
      <c r="AC154"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132 [2]</v>
      </c>
      <c r="AD154" s="123" cm="1">
        <f t="array" ref="AD154">IFERROR(ROUND(MEDIAN(_xlfn._xlws.FILTER(Eingabe[GES],(Eingabe[Name]=AuswertungH[[#This Row],[Name]])*(Eingabe[Wo]="H"))),0),"")</f>
        <v>521</v>
      </c>
      <c r="AE154" s="121">
        <f>IFERROR(AuswertungH[[#This Row],[STABW H]]/AuswertungH[[#This Row],[GES H]],"")</f>
        <v>3.6821705426356592E-2</v>
      </c>
      <c r="AF154" s="123" cm="1">
        <f t="array" ref="AF154">IFERROR(ROUND(_xlfn.QUARTILE.INC(_xlfn._xlws.FILTER(Eingabe[GES],(Eingabe[Name]=AuswertungH[[#This Row],[Name]])*(Eingabe[Wo]="H")),3)-_xlfn.QUARTILE.INC(_xlfn._xlws.FILTER(Eingabe[GES],(Eingabe[Name]=AuswertungH[[#This Row],[Name]])*(Eingabe[Wo]="H")),1),0),"")</f>
        <v>36</v>
      </c>
      <c r="AG154" s="123">
        <f>IFERROR(1/AuswertungH[[#This Row],[VK H]],"")</f>
        <v>27.157894736842103</v>
      </c>
      <c r="AH154" s="123">
        <f>IFERROR(AuswertungH[[#This Row],[Volle H]]/AuswertungH[[#This Row],[Räumer H]]-2,"")</f>
        <v>7.1428571428571619E-2</v>
      </c>
      <c r="AI154" s="117">
        <f>IFERROR(ROUND((AuswertungH[[#This Row],[Spiele H]]*60)/(AuswertungH[[#This Row],[Fehler H]]*AuswertungH[[#This Row],[Spiele H]]),0),"")</f>
        <v>11</v>
      </c>
      <c r="AJ154" s="123" cm="1">
        <f t="array" ref="AJ154">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0.89473684210526316</v>
      </c>
      <c r="AK154" s="267">
        <f>IFERROR(ROUND(AVERAGEIFS(Eingabe[MP],Eingabe[Diff],"&lt;15",Eingabe[Name],AuswertungH[[#This Row],[Name]],Eingabe[Wo],"H")-AuswertungH[[#This Row],[MP H]],2),"")</f>
        <v>-0.22</v>
      </c>
      <c r="AL154" s="117" cm="1">
        <f t="array" ref="AL154">IFERROR(ROUND(AVERAGE(_xlfn._xlws.FILTER(Eingabe[GES],(Eingabe[Name]=AuswertungH[[#This Row],[Name]])*(Eingabe[Wo]="H")*(Eingabe[GEGGES]&gt;(AuswertungH[[#This Row],[GES H]]+20))))-AuswertungH[[#This Row],[GES H]],0),"")</f>
        <v>13</v>
      </c>
      <c r="AM154" s="117" cm="1">
        <f t="array" ref="AM154">IFERROR(ROUND(AVERAGE(_xlfn._xlws.FILTER(Eingabe[GES],(Eingabe[Name]=AuswertungH[[#This Row],[Name]])*(Eingabe[Wo]="H")*(Eingabe[GEGGES]&lt;(AuswertungH[[#This Row],[GES H]]-20))))-AuswertungH[[#This Row],[GES H]],0),"")</f>
        <v>5</v>
      </c>
    </row>
    <row r="155" spans="2:39" x14ac:dyDescent="0.3">
      <c r="B155" s="285" t="str">
        <f t="shared" si="2"/>
        <v>Stefan Ulbricht</v>
      </c>
      <c r="C155" s="119" t="str">
        <f>IF(AuswertungH[[#This Row],[Name]]="","",VLOOKUP(AuswertungH[[#This Row],[Name]],Teamzuordnung[[Name]:[Team]],2,TRUE))</f>
        <v>Z</v>
      </c>
      <c r="D155" s="122">
        <f>COUNTIFS(Eingabe[Name],AuswertungH[[#This Row],[Name]],Eingabe[Wo],"H")</f>
        <v>3</v>
      </c>
      <c r="E155" s="116">
        <f>IF(AuswertungH[[#This Row],[Spiele H]]="","",IF(AuswertungH[[#This Row],[Spiele H]]-COUNTIFS(Eingabe[Name],AuswertungH[[#This Row],[Name]],Eingabe[MP],"",Eingabe[Wo],"H")=0,"",AuswertungH[[#This Row],[Spiele H]]-COUNTIFS(Eingabe[Name],AuswertungH[[#This Row],[Name]],Eingabe[MP],"",Eingabe[Wo],"H")))</f>
        <v>3</v>
      </c>
      <c r="F155" s="117">
        <f>IFERROR(ROUND(AVERAGEIFS(Eingabe[Volle],Eingabe[Name],AuswertungH[[#This Row],[Name]],Eingabe[Wo],"H"),0),"")</f>
        <v>341</v>
      </c>
      <c r="G155" s="117">
        <f>IFERROR(ROUND(AVERAGEIFS(Eingabe[Räumer],Eingabe[Name],AuswertungH[[#This Row],[Name]],Eingabe[Wo],"H"),0),"")</f>
        <v>138</v>
      </c>
      <c r="H155" s="123">
        <f>IFERROR(ROUND(AVERAGEIFS(Eingabe[Fehler],Eingabe[Name],AuswertungH[[#This Row],[Name]],Eingabe[Wo],"H"),1),"")</f>
        <v>13</v>
      </c>
      <c r="I155" s="117">
        <f>IFERROR(ROUND(AVERAGEIFS(Eingabe[GES],Eingabe[Name],AuswertungH[[#This Row],[Name]],Eingabe[Wo],"H"),0),"")</f>
        <v>478</v>
      </c>
      <c r="J155" s="123">
        <f>IFERROR(ROUND(AVERAGEIFS(Eingabe[SP],Eingabe[Name],AuswertungH[[#This Row],[Name]],Eingabe[Wo],"H"),2),"")</f>
        <v>1</v>
      </c>
      <c r="K155" s="121">
        <f>IFERROR(ROUND(AVERAGEIFS(Eingabe[MP],Eingabe[Name],AuswertungH[[#This Row],[Name]],Eingabe[Wo],"H"),2),"")</f>
        <v>0</v>
      </c>
      <c r="L155" s="117">
        <f>IFERROR(ROUND(AVERAGEIFS(Eingabe[S1],Eingabe[Name],AuswertungH[[#This Row],[Name]],Eingabe[Wo],"H"),0),"")</f>
        <v>112</v>
      </c>
      <c r="M155" s="268">
        <f>IFERROR(ROUND(AVERAGEIFS(Eingabe[S2],Eingabe[Name],AuswertungH[[#This Row],[Name]],Eingabe[Wo],"H"),0),"")</f>
        <v>131</v>
      </c>
      <c r="N155" s="117">
        <f>IFERROR(ROUND(AVERAGEIFS(Eingabe[S3],Eingabe[Name],AuswertungH[[#This Row],[Name]],Eingabe[Wo],"H"),0),"")</f>
        <v>116</v>
      </c>
      <c r="O155" s="268">
        <f>IFERROR(ROUND(AVERAGEIFS(Eingabe[S4],Eingabe[Name],AuswertungH[[#This Row],[Name]],Eingabe[Wo],"H"),0),"")</f>
        <v>119</v>
      </c>
      <c r="P155" s="121">
        <f>IFERROR(ROUND(AVERAGEIFS(Eingabe[S1P],Eingabe[Name],AuswertungH[[#This Row],[Name]],Eingabe[Wo],"H"),2),"")</f>
        <v>0</v>
      </c>
      <c r="Q155" s="121">
        <f>IFERROR(ROUND(AVERAGEIFS(Eingabe[S2P],Eingabe[Name],AuswertungH[[#This Row],[Name]],Eingabe[Wo],"H"),2),"")</f>
        <v>0.67</v>
      </c>
      <c r="R155" s="121">
        <f>IFERROR(ROUND(AVERAGEIFS(Eingabe[S3P],Eingabe[Name],AuswertungH[[#This Row],[Name]],Eingabe[Wo],"H"),2),"")</f>
        <v>0.33</v>
      </c>
      <c r="S155" s="121">
        <f>IFERROR(ROUND(AVERAGEIFS(Eingabe[S4P],Eingabe[Name],AuswertungH[[#This Row],[Name]],Eingabe[Wo],"H"),2),"")</f>
        <v>0</v>
      </c>
      <c r="T155" s="123" cm="1">
        <f t="array" ref="T155">IFERROR(ROUND(SLOPE(_xlfn._xlws.FILTER(Eingabe[GES],(Eingabe[Name]=AuswertungH[[#This Row],[Name]])*(Eingabe[Wo]="H")),_xlfn._xlws.FILTER(Eingabe[KW],(Eingabe[Name]=AuswertungH[[#This Row],[Name]])*(Eingabe[Wo]="H"))),2),0)</f>
        <v>3.5</v>
      </c>
      <c r="U155" s="123" cm="1">
        <f t="array" ref="U155">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3.5</v>
      </c>
      <c r="V155" s="117" cm="1">
        <f t="array" ref="V155">IFERROR(ROUND(_xlfn.STDEV.P(_xlfn._xlws.FILTER(Eingabe[GES],(Eingabe[Name]=AuswertungH[[#This Row],[Name]])*(Eingabe[Wo]="H"))),0),"")</f>
        <v>13</v>
      </c>
      <c r="W155" s="117">
        <f>IF(AuswertungH[[#This Row],[Spiele MP H]]="","",ROUND(AVERAGEIFS(Eingabe[GEGGES],Eingabe[Name],AuswertungH[[#This Row],[Name]],Eingabe[Wo],"H"),0))</f>
        <v>517</v>
      </c>
      <c r="X155" s="116" t="str">
        <f>VLOOKUP(AuswertungH[[#This Row],[Name]],PositionH[],21,FALSE)</f>
        <v>[4]</v>
      </c>
      <c r="Y155" s="116">
        <f>VLOOKUP(AuswertungH[[#This Row],[Name]],PositionH[],22,FALSE)</f>
        <v>2</v>
      </c>
      <c r="Z155" s="116" t="str">
        <f>VLOOKUP(AuswertungH[[#This Row],[Name]],PositionH[],23,FALSE)</f>
        <v>[3][4]</v>
      </c>
      <c r="AA155" s="121">
        <f>IF(AuswertungH[[#This Row],[Spiele MP H]]="","",ROUND(VLOOKUP(AuswertungH[[#This Row],[Name]],PositionH[],24,FALSE),2))</f>
        <v>0</v>
      </c>
      <c r="AB155" s="123">
        <f>IFERROR(AVERAGEIFS(Eingabe[Rang],Eingabe[Name],AuswertungH[[#This Row],[Name]],Eingabe[Wo],"H"),"")</f>
        <v>5.333333333333333</v>
      </c>
      <c r="AC155"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125 [2]</v>
      </c>
      <c r="AD155" s="279" cm="1">
        <f t="array" ref="AD155">IFERROR(ROUND(MEDIAN(_xlfn._xlws.FILTER(Eingabe[GES],(Eingabe[Name]=AuswertungH[[#This Row],[Name]])*(Eingabe[Wo]="H"))),0),"")</f>
        <v>475</v>
      </c>
      <c r="AE155" s="278">
        <f>IFERROR(AuswertungH[[#This Row],[STABW H]]/AuswertungH[[#This Row],[GES H]],"")</f>
        <v>2.7196652719665274E-2</v>
      </c>
      <c r="AF155" s="279" cm="1">
        <f t="array" ref="AF155">IFERROR(ROUND(_xlfn.QUARTILE.INC(_xlfn._xlws.FILTER(Eingabe[GES],(Eingabe[Name]=AuswertungH[[#This Row],[Name]])*(Eingabe[Wo]="H")),3)-_xlfn.QUARTILE.INC(_xlfn._xlws.FILTER(Eingabe[GES],(Eingabe[Name]=AuswertungH[[#This Row],[Name]])*(Eingabe[Wo]="H")),1),0),"")</f>
        <v>16</v>
      </c>
      <c r="AG155" s="279">
        <f>IFERROR(1/AuswertungH[[#This Row],[VK H]],"")</f>
        <v>36.769230769230766</v>
      </c>
      <c r="AH155" s="279">
        <f>IFERROR(AuswertungH[[#This Row],[Volle H]]/AuswertungH[[#This Row],[Räumer H]]-2,"")</f>
        <v>0.47101449275362306</v>
      </c>
      <c r="AI155" s="364">
        <f>IFERROR(ROUND((AuswertungH[[#This Row],[Spiele H]]*60)/(AuswertungH[[#This Row],[Fehler H]]*AuswertungH[[#This Row],[Spiele H]]),0),"")</f>
        <v>5</v>
      </c>
      <c r="AJ155" s="123" cm="1">
        <f t="array" ref="AJ155">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-1.0769230769230769</v>
      </c>
      <c r="AK155" s="267">
        <f>IFERROR(ROUND(AVERAGEIFS(Eingabe[MP],Eingabe[Diff],"&lt;15",Eingabe[Name],AuswertungH[[#This Row],[Name]],Eingabe[Wo],"H")-AuswertungH[[#This Row],[MP H]],2),"")</f>
        <v>0</v>
      </c>
      <c r="AL155" s="364" cm="1">
        <f t="array" ref="AL155">IFERROR(ROUND(AVERAGE(_xlfn._xlws.FILTER(Eingabe[GES],(Eingabe[Name]=AuswertungH[[#This Row],[Name]])*(Eingabe[Wo]="H")*(Eingabe[GEGGES]&gt;(AuswertungH[[#This Row],[GES H]]+20))))-AuswertungH[[#This Row],[GES H]],0),"")</f>
        <v>8</v>
      </c>
      <c r="AM155" s="364" t="str" cm="1">
        <f t="array" ref="AM155">IFERROR(ROUND(AVERAGE(_xlfn._xlws.FILTER(Eingabe[GES],(Eingabe[Name]=AuswertungH[[#This Row],[Name]])*(Eingabe[Wo]="H")*(Eingabe[GEGGES]&lt;(AuswertungH[[#This Row],[GES H]]-20))))-AuswertungH[[#This Row],[GES H]],0),"")</f>
        <v/>
      </c>
    </row>
    <row r="156" spans="2:39" x14ac:dyDescent="0.3">
      <c r="B156" s="285" t="str">
        <f t="shared" si="2"/>
        <v>Sylke Schmidt</v>
      </c>
      <c r="C156" s="276" t="str">
        <f>IF(AuswertungH[[#This Row],[Name]]="","",VLOOKUP(AuswertungH[[#This Row],[Name]],Teamzuordnung[[Name]:[Team]],2,TRUE))</f>
        <v>F</v>
      </c>
      <c r="D156" s="345">
        <f>COUNTIFS(Eingabe[Name],AuswertungH[[#This Row],[Name]],Eingabe[Wo],"H")</f>
        <v>3</v>
      </c>
      <c r="E156" s="116">
        <f>IF(AuswertungH[[#This Row],[Spiele H]]="","",IF(AuswertungH[[#This Row],[Spiele H]]-COUNTIFS(Eingabe[Name],AuswertungH[[#This Row],[Name]],Eingabe[MP],"",Eingabe[Wo],"H")=0,"",AuswertungH[[#This Row],[Spiele H]]-COUNTIFS(Eingabe[Name],AuswertungH[[#This Row],[Name]],Eingabe[MP],"",Eingabe[Wo],"H")))</f>
        <v>3</v>
      </c>
      <c r="F156" s="117">
        <f>IFERROR(ROUND(AVERAGEIFS(Eingabe[Volle],Eingabe[Name],AuswertungH[[#This Row],[Name]],Eingabe[Wo],"H"),0),"")</f>
        <v>351</v>
      </c>
      <c r="G156" s="117">
        <f>IFERROR(ROUND(AVERAGEIFS(Eingabe[Räumer],Eingabe[Name],AuswertungH[[#This Row],[Name]],Eingabe[Wo],"H"),0),"")</f>
        <v>164</v>
      </c>
      <c r="H156" s="123">
        <f>IFERROR(ROUND(AVERAGEIFS(Eingabe[Fehler],Eingabe[Name],AuswertungH[[#This Row],[Name]],Eingabe[Wo],"H"),1),"")</f>
        <v>6</v>
      </c>
      <c r="I156" s="117">
        <f>IFERROR(ROUND(AVERAGEIFS(Eingabe[GES],Eingabe[Name],AuswertungH[[#This Row],[Name]],Eingabe[Wo],"H"),0),"")</f>
        <v>515</v>
      </c>
      <c r="J156" s="123">
        <f>IFERROR(ROUND(AVERAGEIFS(Eingabe[SP],Eingabe[Name],AuswertungH[[#This Row],[Name]],Eingabe[Wo],"H"),2),"")</f>
        <v>3.33</v>
      </c>
      <c r="K156" s="121">
        <f>IFERROR(ROUND(AVERAGEIFS(Eingabe[MP],Eingabe[Name],AuswertungH[[#This Row],[Name]],Eingabe[Wo],"H"),2),"")</f>
        <v>1</v>
      </c>
      <c r="L156" s="117">
        <f>IFERROR(ROUND(AVERAGEIFS(Eingabe[S1],Eingabe[Name],AuswertungH[[#This Row],[Name]],Eingabe[Wo],"H"),0),"")</f>
        <v>130</v>
      </c>
      <c r="M156" s="268">
        <f>IFERROR(ROUND(AVERAGEIFS(Eingabe[S2],Eingabe[Name],AuswertungH[[#This Row],[Name]],Eingabe[Wo],"H"),0),"")</f>
        <v>121</v>
      </c>
      <c r="N156" s="117">
        <f>IFERROR(ROUND(AVERAGEIFS(Eingabe[S3],Eingabe[Name],AuswertungH[[#This Row],[Name]],Eingabe[Wo],"H"),0),"")</f>
        <v>127</v>
      </c>
      <c r="O156" s="268">
        <f>IFERROR(ROUND(AVERAGEIFS(Eingabe[S4],Eingabe[Name],AuswertungH[[#This Row],[Name]],Eingabe[Wo],"H"),0),"")</f>
        <v>137</v>
      </c>
      <c r="P156" s="121">
        <f>IFERROR(ROUND(AVERAGEIFS(Eingabe[S1P],Eingabe[Name],AuswertungH[[#This Row],[Name]],Eingabe[Wo],"H"),2),"")</f>
        <v>0.67</v>
      </c>
      <c r="Q156" s="121">
        <f>IFERROR(ROUND(AVERAGEIFS(Eingabe[S2P],Eingabe[Name],AuswertungH[[#This Row],[Name]],Eingabe[Wo],"H"),2),"")</f>
        <v>1</v>
      </c>
      <c r="R156" s="121">
        <f>IFERROR(ROUND(AVERAGEIFS(Eingabe[S3P],Eingabe[Name],AuswertungH[[#This Row],[Name]],Eingabe[Wo],"H"),2),"")</f>
        <v>0.67</v>
      </c>
      <c r="S156" s="121">
        <f>IFERROR(ROUND(AVERAGEIFS(Eingabe[S4P],Eingabe[Name],AuswertungH[[#This Row],[Name]],Eingabe[Wo],"H"),2),"")</f>
        <v>1</v>
      </c>
      <c r="T156" s="123" cm="1">
        <f t="array" ref="T156">IFERROR(ROUND(SLOPE(_xlfn._xlws.FILTER(Eingabe[GES],(Eingabe[Name]=AuswertungH[[#This Row],[Name]])*(Eingabe[Wo]="H")),_xlfn._xlws.FILTER(Eingabe[KW],(Eingabe[Name]=AuswertungH[[#This Row],[Name]])*(Eingabe[Wo]="H"))),2),0)</f>
        <v>2.96</v>
      </c>
      <c r="U156" s="123" cm="1">
        <f t="array" ref="U156">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2.96</v>
      </c>
      <c r="V156" s="117" cm="1">
        <f t="array" ref="V156">IFERROR(ROUND(_xlfn.STDEV.P(_xlfn._xlws.FILTER(Eingabe[GES],(Eingabe[Name]=AuswertungH[[#This Row],[Name]])*(Eingabe[Wo]="H"))),0),"")</f>
        <v>20</v>
      </c>
      <c r="W156" s="117">
        <f>IF(AuswertungH[[#This Row],[Spiele MP H]]="","",ROUND(AVERAGEIFS(Eingabe[GEGGES],Eingabe[Name],AuswertungH[[#This Row],[Name]],Eingabe[Wo],"H"),0))</f>
        <v>460</v>
      </c>
      <c r="X156" s="277" t="str">
        <f>VLOOKUP(AuswertungH[[#This Row],[Name]],PositionH[],21,FALSE)</f>
        <v>[6]</v>
      </c>
      <c r="Y156" s="277">
        <f>VLOOKUP(AuswertungH[[#This Row],[Name]],PositionH[],22,FALSE)</f>
        <v>3</v>
      </c>
      <c r="Z156" s="277" t="str">
        <f>VLOOKUP(AuswertungH[[#This Row],[Name]],PositionH[],23,FALSE)</f>
        <v>[6]</v>
      </c>
      <c r="AA156" s="278">
        <f>IF(AuswertungH[[#This Row],[Spiele MP H]]="","",ROUND(VLOOKUP(AuswertungH[[#This Row],[Name]],PositionH[],24,FALSE),2))</f>
        <v>1</v>
      </c>
      <c r="AB156" s="123">
        <f>IFERROR(AVERAGEIFS(Eingabe[Rang],Eingabe[Name],AuswertungH[[#This Row],[Name]],Eingabe[Wo],"H"),"")</f>
        <v>2.6666666666666665</v>
      </c>
      <c r="AC156" s="279"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137 [1]</v>
      </c>
      <c r="AD156" s="279" cm="1">
        <f t="array" ref="AD156">IFERROR(ROUND(MEDIAN(_xlfn._xlws.FILTER(Eingabe[GES],(Eingabe[Name]=AuswertungH[[#This Row],[Name]])*(Eingabe[Wo]="H"))),0),"")</f>
        <v>506</v>
      </c>
      <c r="AE156" s="278">
        <f>IFERROR(AuswertungH[[#This Row],[STABW H]]/AuswertungH[[#This Row],[GES H]],"")</f>
        <v>3.8834951456310676E-2</v>
      </c>
      <c r="AF156" s="279" cm="1">
        <f t="array" ref="AF156">IFERROR(ROUND(_xlfn.QUARTILE.INC(_xlfn._xlws.FILTER(Eingabe[GES],(Eingabe[Name]=AuswertungH[[#This Row],[Name]])*(Eingabe[Wo]="H")),3)-_xlfn.QUARTILE.INC(_xlfn._xlws.FILTER(Eingabe[GES],(Eingabe[Name]=AuswertungH[[#This Row],[Name]])*(Eingabe[Wo]="H")),1),0),"")</f>
        <v>23</v>
      </c>
      <c r="AG156" s="279">
        <f>IFERROR(1/AuswertungH[[#This Row],[VK H]],"")</f>
        <v>25.750000000000004</v>
      </c>
      <c r="AH156" s="279">
        <f>IFERROR(AuswertungH[[#This Row],[Volle H]]/AuswertungH[[#This Row],[Räumer H]]-2,"")</f>
        <v>0.14024390243902429</v>
      </c>
      <c r="AI156" s="364">
        <f>IFERROR(ROUND((AuswertungH[[#This Row],[Spiele H]]*60)/(AuswertungH[[#This Row],[Fehler H]]*AuswertungH[[#This Row],[Spiele H]]),0),"")</f>
        <v>10</v>
      </c>
      <c r="AJ156" s="123" t="str" cm="1">
        <f t="array" ref="AJ156">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56" s="267" t="str">
        <f>IFERROR(ROUND(AVERAGEIFS(Eingabe[MP],Eingabe[Diff],"&lt;15",Eingabe[Name],AuswertungH[[#This Row],[Name]],Eingabe[Wo],"H")-AuswertungH[[#This Row],[MP H]],2),"")</f>
        <v/>
      </c>
      <c r="AL156" s="364" t="str" cm="1">
        <f t="array" ref="AL156">IFERROR(ROUND(AVERAGE(_xlfn._xlws.FILTER(Eingabe[GES],(Eingabe[Name]=AuswertungH[[#This Row],[Name]])*(Eingabe[Wo]="H")*(Eingabe[GEGGES]&gt;(AuswertungH[[#This Row],[GES H]]+20))))-AuswertungH[[#This Row],[GES H]],0),"")</f>
        <v/>
      </c>
      <c r="AM156" s="364" cm="1">
        <f t="array" ref="AM156">IFERROR(ROUND(AVERAGE(_xlfn._xlws.FILTER(Eingabe[GES],(Eingabe[Name]=AuswertungH[[#This Row],[Name]])*(Eingabe[Wo]="H")*(Eingabe[GEGGES]&lt;(AuswertungH[[#This Row],[GES H]]-20))))-AuswertungH[[#This Row],[GES H]],0),"")</f>
        <v>0</v>
      </c>
    </row>
    <row r="157" spans="2:39" x14ac:dyDescent="0.3">
      <c r="B157" s="285" t="str">
        <f t="shared" si="2"/>
        <v>Tim Becker</v>
      </c>
      <c r="C157" s="276" t="str">
        <f>IF(AuswertungH[[#This Row],[Name]]="","",VLOOKUP(AuswertungH[[#This Row],[Name]],Teamzuordnung[[Name]:[Team]],2,TRUE))</f>
        <v>E</v>
      </c>
      <c r="D157" s="345">
        <f>COUNTIFS(Eingabe[Name],AuswertungH[[#This Row],[Name]],Eingabe[Wo],"H")</f>
        <v>9</v>
      </c>
      <c r="E157" s="116">
        <f>IF(AuswertungH[[#This Row],[Spiele H]]="","",IF(AuswertungH[[#This Row],[Spiele H]]-COUNTIFS(Eingabe[Name],AuswertungH[[#This Row],[Name]],Eingabe[MP],"",Eingabe[Wo],"H")=0,"",AuswertungH[[#This Row],[Spiele H]]-COUNTIFS(Eingabe[Name],AuswertungH[[#This Row],[Name]],Eingabe[MP],"",Eingabe[Wo],"H")))</f>
        <v>9</v>
      </c>
      <c r="F157" s="117">
        <f>IFERROR(ROUND(AVERAGEIFS(Eingabe[Volle],Eingabe[Name],AuswertungH[[#This Row],[Name]],Eingabe[Wo],"H"),0),"")</f>
        <v>359</v>
      </c>
      <c r="G157" s="117">
        <f>IFERROR(ROUND(AVERAGEIFS(Eingabe[Räumer],Eingabe[Name],AuswertungH[[#This Row],[Name]],Eingabe[Wo],"H"),0),"")</f>
        <v>170</v>
      </c>
      <c r="H157" s="123">
        <f>IFERROR(ROUND(AVERAGEIFS(Eingabe[Fehler],Eingabe[Name],AuswertungH[[#This Row],[Name]],Eingabe[Wo],"H"),1),"")</f>
        <v>3.6</v>
      </c>
      <c r="I157" s="117">
        <f>IFERROR(ROUND(AVERAGEIFS(Eingabe[GES],Eingabe[Name],AuswertungH[[#This Row],[Name]],Eingabe[Wo],"H"),0),"")</f>
        <v>529</v>
      </c>
      <c r="J157" s="123">
        <f>IFERROR(ROUND(AVERAGEIFS(Eingabe[SP],Eingabe[Name],AuswertungH[[#This Row],[Name]],Eingabe[Wo],"H"),2),"")</f>
        <v>3</v>
      </c>
      <c r="K157" s="121">
        <f>IFERROR(ROUND(AVERAGEIFS(Eingabe[MP],Eingabe[Name],AuswertungH[[#This Row],[Name]],Eingabe[Wo],"H"),2),"")</f>
        <v>1</v>
      </c>
      <c r="L157" s="117">
        <f>IFERROR(ROUND(AVERAGEIFS(Eingabe[S1],Eingabe[Name],AuswertungH[[#This Row],[Name]],Eingabe[Wo],"H"),0),"")</f>
        <v>132</v>
      </c>
      <c r="M157" s="268">
        <f>IFERROR(ROUND(AVERAGEIFS(Eingabe[S2],Eingabe[Name],AuswertungH[[#This Row],[Name]],Eingabe[Wo],"H"),0),"")</f>
        <v>127</v>
      </c>
      <c r="N157" s="117">
        <f>IFERROR(ROUND(AVERAGEIFS(Eingabe[S3],Eingabe[Name],AuswertungH[[#This Row],[Name]],Eingabe[Wo],"H"),0),"")</f>
        <v>133</v>
      </c>
      <c r="O157" s="268">
        <f>IFERROR(ROUND(AVERAGEIFS(Eingabe[S4],Eingabe[Name],AuswertungH[[#This Row],[Name]],Eingabe[Wo],"H"),0),"")</f>
        <v>137</v>
      </c>
      <c r="P157" s="121">
        <f>IFERROR(ROUND(AVERAGEIFS(Eingabe[S1P],Eingabe[Name],AuswertungH[[#This Row],[Name]],Eingabe[Wo],"H"),2),"")</f>
        <v>0.56000000000000005</v>
      </c>
      <c r="Q157" s="121">
        <f>IFERROR(ROUND(AVERAGEIFS(Eingabe[S2P],Eingabe[Name],AuswertungH[[#This Row],[Name]],Eingabe[Wo],"H"),2),"")</f>
        <v>0.78</v>
      </c>
      <c r="R157" s="121">
        <f>IFERROR(ROUND(AVERAGEIFS(Eingabe[S3P],Eingabe[Name],AuswertungH[[#This Row],[Name]],Eingabe[Wo],"H"),2),"")</f>
        <v>0.89</v>
      </c>
      <c r="S157" s="121">
        <f>IFERROR(ROUND(AVERAGEIFS(Eingabe[S4P],Eingabe[Name],AuswertungH[[#This Row],[Name]],Eingabe[Wo],"H"),2),"")</f>
        <v>0.78</v>
      </c>
      <c r="T157" s="123" cm="1">
        <f t="array" ref="T157">IFERROR(ROUND(SLOPE(_xlfn._xlws.FILTER(Eingabe[GES],(Eingabe[Name]=AuswertungH[[#This Row],[Name]])*(Eingabe[Wo]="H")),_xlfn._xlws.FILTER(Eingabe[KW],(Eingabe[Name]=AuswertungH[[#This Row],[Name]])*(Eingabe[Wo]="H"))),2),0)</f>
        <v>-1.06</v>
      </c>
      <c r="U157" s="123" cm="1">
        <f t="array" ref="U157">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-0.8</v>
      </c>
      <c r="V157" s="117" cm="1">
        <f t="array" ref="V157">IFERROR(ROUND(_xlfn.STDEV.P(_xlfn._xlws.FILTER(Eingabe[GES],(Eingabe[Name]=AuswertungH[[#This Row],[Name]])*(Eingabe[Wo]="H"))),0),"")</f>
        <v>16</v>
      </c>
      <c r="W157" s="117">
        <f>IF(AuswertungH[[#This Row],[Spiele MP H]]="","",ROUND(AVERAGEIFS(Eingabe[GEGGES],Eingabe[Name],AuswertungH[[#This Row],[Name]],Eingabe[Wo],"H"),0))</f>
        <v>509</v>
      </c>
      <c r="X157" s="277" t="str">
        <f>VLOOKUP(AuswertungH[[#This Row],[Name]],PositionH[],21,FALSE)</f>
        <v>[4]</v>
      </c>
      <c r="Y157" s="277">
        <f>VLOOKUP(AuswertungH[[#This Row],[Name]],PositionH[],22,FALSE)</f>
        <v>6</v>
      </c>
      <c r="Z157" s="277" t="str">
        <f>VLOOKUP(AuswertungH[[#This Row],[Name]],PositionH[],23,FALSE)</f>
        <v>[2][4][6]</v>
      </c>
      <c r="AA157" s="278">
        <f>IF(AuswertungH[[#This Row],[Spiele MP H]]="","",ROUND(VLOOKUP(AuswertungH[[#This Row],[Name]],PositionH[],24,FALSE),2))</f>
        <v>1</v>
      </c>
      <c r="AB157" s="123">
        <f>IFERROR(AVERAGEIFS(Eingabe[Rang],Eingabe[Name],AuswertungH[[#This Row],[Name]],Eingabe[Wo],"H"),"")</f>
        <v>3.625</v>
      </c>
      <c r="AC157" s="279"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137 [1]</v>
      </c>
      <c r="AD157" s="279" cm="1">
        <f t="array" ref="AD157">IFERROR(ROUND(MEDIAN(_xlfn._xlws.FILTER(Eingabe[GES],(Eingabe[Name]=AuswertungH[[#This Row],[Name]])*(Eingabe[Wo]="H"))),0),"")</f>
        <v>526</v>
      </c>
      <c r="AE157" s="278">
        <f>IFERROR(AuswertungH[[#This Row],[STABW H]]/AuswertungH[[#This Row],[GES H]],"")</f>
        <v>3.0245746691871456E-2</v>
      </c>
      <c r="AF157" s="279" cm="1">
        <f t="array" ref="AF157">IFERROR(ROUND(_xlfn.QUARTILE.INC(_xlfn._xlws.FILTER(Eingabe[GES],(Eingabe[Name]=AuswertungH[[#This Row],[Name]])*(Eingabe[Wo]="H")),3)-_xlfn.QUARTILE.INC(_xlfn._xlws.FILTER(Eingabe[GES],(Eingabe[Name]=AuswertungH[[#This Row],[Name]])*(Eingabe[Wo]="H")),1),0),"")</f>
        <v>19</v>
      </c>
      <c r="AG157" s="279">
        <f>IFERROR(1/AuswertungH[[#This Row],[VK H]],"")</f>
        <v>33.0625</v>
      </c>
      <c r="AH157" s="279">
        <f>IFERROR(AuswertungH[[#This Row],[Volle H]]/AuswertungH[[#This Row],[Räumer H]]-2,"")</f>
        <v>0.11176470588235299</v>
      </c>
      <c r="AI157" s="364">
        <f>IFERROR(ROUND((AuswertungH[[#This Row],[Spiele H]]*60)/(AuswertungH[[#This Row],[Fehler H]]*AuswertungH[[#This Row],[Spiele H]]),0),"")</f>
        <v>17</v>
      </c>
      <c r="AJ157" s="123" cm="1">
        <f t="array" ref="AJ157">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-0.7291666666666643</v>
      </c>
      <c r="AK157" s="267">
        <f>IFERROR(ROUND(AVERAGEIFS(Eingabe[MP],Eingabe[Diff],"&lt;15",Eingabe[Name],AuswertungH[[#This Row],[Name]],Eingabe[Wo],"H")-AuswertungH[[#This Row],[MP H]],2),"")</f>
        <v>0</v>
      </c>
      <c r="AL157" s="364" t="str" cm="1">
        <f t="array" ref="AL157">IFERROR(ROUND(AVERAGE(_xlfn._xlws.FILTER(Eingabe[GES],(Eingabe[Name]=AuswertungH[[#This Row],[Name]])*(Eingabe[Wo]="H")*(Eingabe[GEGGES]&gt;(AuswertungH[[#This Row],[GES H]]+20))))-AuswertungH[[#This Row],[GES H]],0),"")</f>
        <v/>
      </c>
      <c r="AM157" s="364" cm="1">
        <f t="array" ref="AM157">IFERROR(ROUND(AVERAGE(_xlfn._xlws.FILTER(Eingabe[GES],(Eingabe[Name]=AuswertungH[[#This Row],[Name]])*(Eingabe[Wo]="H")*(Eingabe[GEGGES]&lt;(AuswertungH[[#This Row],[GES H]]-20))))-AuswertungH[[#This Row],[GES H]],0),"")</f>
        <v>-13</v>
      </c>
    </row>
    <row r="158" spans="2:39" x14ac:dyDescent="0.3">
      <c r="B158" s="285" t="str">
        <f t="shared" si="2"/>
        <v>Tim Beger</v>
      </c>
      <c r="C158" s="276" t="str">
        <f>IF(AuswertungH[[#This Row],[Name]]="","",VLOOKUP(AuswertungH[[#This Row],[Name]],Teamzuordnung[[Name]:[Team]],2,TRUE))</f>
        <v>Z</v>
      </c>
      <c r="D158" s="345">
        <f>COUNTIFS(Eingabe[Name],AuswertungH[[#This Row],[Name]],Eingabe[Wo],"H")</f>
        <v>5</v>
      </c>
      <c r="E158" s="116">
        <f>IF(AuswertungH[[#This Row],[Spiele H]]="","",IF(AuswertungH[[#This Row],[Spiele H]]-COUNTIFS(Eingabe[Name],AuswertungH[[#This Row],[Name]],Eingabe[MP],"",Eingabe[Wo],"H")=0,"",AuswertungH[[#This Row],[Spiele H]]-COUNTIFS(Eingabe[Name],AuswertungH[[#This Row],[Name]],Eingabe[MP],"",Eingabe[Wo],"H")))</f>
        <v>5</v>
      </c>
      <c r="F158" s="117">
        <f>IFERROR(ROUND(AVERAGEIFS(Eingabe[Volle],Eingabe[Name],AuswertungH[[#This Row],[Name]],Eingabe[Wo],"H"),0),"")</f>
        <v>353</v>
      </c>
      <c r="G158" s="117">
        <f>IFERROR(ROUND(AVERAGEIFS(Eingabe[Räumer],Eingabe[Name],AuswertungH[[#This Row],[Name]],Eingabe[Wo],"H"),0),"")</f>
        <v>160</v>
      </c>
      <c r="H158" s="123">
        <f>IFERROR(ROUND(AVERAGEIFS(Eingabe[Fehler],Eingabe[Name],AuswertungH[[#This Row],[Name]],Eingabe[Wo],"H"),1),"")</f>
        <v>7.6</v>
      </c>
      <c r="I158" s="117">
        <f>IFERROR(ROUND(AVERAGEIFS(Eingabe[GES],Eingabe[Name],AuswertungH[[#This Row],[Name]],Eingabe[Wo],"H"),0),"")</f>
        <v>513</v>
      </c>
      <c r="J158" s="123">
        <f>IFERROR(ROUND(AVERAGEIFS(Eingabe[SP],Eingabe[Name],AuswertungH[[#This Row],[Name]],Eingabe[Wo],"H"),2),"")</f>
        <v>2.5</v>
      </c>
      <c r="K158" s="121">
        <f>IFERROR(ROUND(AVERAGEIFS(Eingabe[MP],Eingabe[Name],AuswertungH[[#This Row],[Name]],Eingabe[Wo],"H"),2),"")</f>
        <v>0.6</v>
      </c>
      <c r="L158" s="117">
        <f>IFERROR(ROUND(AVERAGEIFS(Eingabe[S1],Eingabe[Name],AuswertungH[[#This Row],[Name]],Eingabe[Wo],"H"),0),"")</f>
        <v>126</v>
      </c>
      <c r="M158" s="268">
        <f>IFERROR(ROUND(AVERAGEIFS(Eingabe[S2],Eingabe[Name],AuswertungH[[#This Row],[Name]],Eingabe[Wo],"H"),0),"")</f>
        <v>126</v>
      </c>
      <c r="N158" s="117">
        <f>IFERROR(ROUND(AVERAGEIFS(Eingabe[S3],Eingabe[Name],AuswertungH[[#This Row],[Name]],Eingabe[Wo],"H"),0),"")</f>
        <v>133</v>
      </c>
      <c r="O158" s="268">
        <f>IFERROR(ROUND(AVERAGEIFS(Eingabe[S4],Eingabe[Name],AuswertungH[[#This Row],[Name]],Eingabe[Wo],"H"),0),"")</f>
        <v>128</v>
      </c>
      <c r="P158" s="121">
        <f>IFERROR(ROUND(AVERAGEIFS(Eingabe[S1P],Eingabe[Name],AuswertungH[[#This Row],[Name]],Eingabe[Wo],"H"),2),"")</f>
        <v>0.9</v>
      </c>
      <c r="Q158" s="121">
        <f>IFERROR(ROUND(AVERAGEIFS(Eingabe[S2P],Eingabe[Name],AuswertungH[[#This Row],[Name]],Eingabe[Wo],"H"),2),"")</f>
        <v>0.4</v>
      </c>
      <c r="R158" s="121">
        <f>IFERROR(ROUND(AVERAGEIFS(Eingabe[S3P],Eingabe[Name],AuswertungH[[#This Row],[Name]],Eingabe[Wo],"H"),2),"")</f>
        <v>0.8</v>
      </c>
      <c r="S158" s="121">
        <f>IFERROR(ROUND(AVERAGEIFS(Eingabe[S4P],Eingabe[Name],AuswertungH[[#This Row],[Name]],Eingabe[Wo],"H"),2),"")</f>
        <v>0.4</v>
      </c>
      <c r="T158" s="123" cm="1">
        <f t="array" ref="T158">IFERROR(ROUND(SLOPE(_xlfn._xlws.FILTER(Eingabe[GES],(Eingabe[Name]=AuswertungH[[#This Row],[Name]])*(Eingabe[Wo]="H")),_xlfn._xlws.FILTER(Eingabe[KW],(Eingabe[Name]=AuswertungH[[#This Row],[Name]])*(Eingabe[Wo]="H"))),2),0)</f>
        <v>1.39</v>
      </c>
      <c r="U158" s="123" cm="1">
        <f t="array" ref="U158">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4.34</v>
      </c>
      <c r="V158" s="117" cm="1">
        <f t="array" ref="V158">IFERROR(ROUND(_xlfn.STDEV.P(_xlfn._xlws.FILTER(Eingabe[GES],(Eingabe[Name]=AuswertungH[[#This Row],[Name]])*(Eingabe[Wo]="H"))),0),"")</f>
        <v>17</v>
      </c>
      <c r="W158" s="117">
        <f>IF(AuswertungH[[#This Row],[Spiele MP H]]="","",ROUND(AVERAGEIFS(Eingabe[GEGGES],Eingabe[Name],AuswertungH[[#This Row],[Name]],Eingabe[Wo],"H"),0))</f>
        <v>495</v>
      </c>
      <c r="X158" s="277" t="str">
        <f>VLOOKUP(AuswertungH[[#This Row],[Name]],PositionH[],21,FALSE)</f>
        <v>[5]</v>
      </c>
      <c r="Y158" s="277">
        <f>VLOOKUP(AuswertungH[[#This Row],[Name]],PositionH[],22,FALSE)</f>
        <v>3</v>
      </c>
      <c r="Z158" s="277" t="str">
        <f>VLOOKUP(AuswertungH[[#This Row],[Name]],PositionH[],23,FALSE)</f>
        <v>[6]</v>
      </c>
      <c r="AA158" s="278">
        <f>IF(AuswertungH[[#This Row],[Spiele MP H]]="","",ROUND(VLOOKUP(AuswertungH[[#This Row],[Name]],PositionH[],24,FALSE),2))</f>
        <v>1</v>
      </c>
      <c r="AB158" s="123">
        <f>IFERROR(AVERAGEIFS(Eingabe[Rang],Eingabe[Name],AuswertungH[[#This Row],[Name]],Eingabe[Wo],"H"),"")</f>
        <v>3.2</v>
      </c>
      <c r="AC158" s="279"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132 [2]</v>
      </c>
      <c r="AD158" s="279" cm="1">
        <f t="array" ref="AD158">IFERROR(ROUND(MEDIAN(_xlfn._xlws.FILTER(Eingabe[GES],(Eingabe[Name]=AuswertungH[[#This Row],[Name]])*(Eingabe[Wo]="H"))),0),"")</f>
        <v>511</v>
      </c>
      <c r="AE158" s="278">
        <f>IFERROR(AuswertungH[[#This Row],[STABW H]]/AuswertungH[[#This Row],[GES H]],"")</f>
        <v>3.3138401559454189E-2</v>
      </c>
      <c r="AF158" s="279" cm="1">
        <f t="array" ref="AF158">IFERROR(ROUND(_xlfn.QUARTILE.INC(_xlfn._xlws.FILTER(Eingabe[GES],(Eingabe[Name]=AuswertungH[[#This Row],[Name]])*(Eingabe[Wo]="H")),3)-_xlfn.QUARTILE.INC(_xlfn._xlws.FILTER(Eingabe[GES],(Eingabe[Name]=AuswertungH[[#This Row],[Name]])*(Eingabe[Wo]="H")),1),0),"")</f>
        <v>30</v>
      </c>
      <c r="AG158" s="279">
        <f>IFERROR(1/AuswertungH[[#This Row],[VK H]],"")</f>
        <v>30.176470588235297</v>
      </c>
      <c r="AH158" s="279">
        <f>IFERROR(AuswertungH[[#This Row],[Volle H]]/AuswertungH[[#This Row],[Räumer H]]-2,"")</f>
        <v>0.20624999999999982</v>
      </c>
      <c r="AI158" s="364">
        <f>IFERROR(ROUND((AuswertungH[[#This Row],[Spiele H]]*60)/(AuswertungH[[#This Row],[Fehler H]]*AuswertungH[[#This Row],[Spiele H]]),0),"")</f>
        <v>8</v>
      </c>
      <c r="AJ158" s="123" cm="1">
        <f t="array" ref="AJ158">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-0.11764705882352941</v>
      </c>
      <c r="AK158" s="267">
        <f>IFERROR(ROUND(AVERAGEIFS(Eingabe[MP],Eingabe[Diff],"&lt;15",Eingabe[Name],AuswertungH[[#This Row],[Name]],Eingabe[Wo],"H")-AuswertungH[[#This Row],[MP H]],2),"")</f>
        <v>-0.6</v>
      </c>
      <c r="AL158" s="364" cm="1">
        <f t="array" ref="AL158">IFERROR(ROUND(AVERAGE(_xlfn._xlws.FILTER(Eingabe[GES],(Eingabe[Name]=AuswertungH[[#This Row],[Name]])*(Eingabe[Wo]="H")*(Eingabe[GEGGES]&gt;(AuswertungH[[#This Row],[GES H]]+20))))-AuswertungH[[#This Row],[GES H]],0),"")</f>
        <v>-24</v>
      </c>
      <c r="AM158" s="364" cm="1">
        <f t="array" ref="AM158">IFERROR(ROUND(AVERAGE(_xlfn._xlws.FILTER(Eingabe[GES],(Eingabe[Name]=AuswertungH[[#This Row],[Name]])*(Eingabe[Wo]="H")*(Eingabe[GEGGES]&lt;(AuswertungH[[#This Row],[GES H]]-20))))-AuswertungH[[#This Row],[GES H]],0),"")</f>
        <v>3</v>
      </c>
    </row>
    <row r="159" spans="2:39" x14ac:dyDescent="0.3">
      <c r="B159" s="285" t="str">
        <f t="shared" si="2"/>
        <v>Ulli Baumgarten</v>
      </c>
      <c r="C159" s="276" t="str">
        <f>IF(AuswertungH[[#This Row],[Name]]="","",VLOOKUP(AuswertungH[[#This Row],[Name]],Teamzuordnung[[Name]:[Team]],2,TRUE))</f>
        <v>D</v>
      </c>
      <c r="D159" s="345">
        <f>COUNTIFS(Eingabe[Name],AuswertungH[[#This Row],[Name]],Eingabe[Wo],"H")</f>
        <v>0</v>
      </c>
      <c r="E159" s="116" t="str">
        <f>IF(AuswertungH[[#This Row],[Spiele H]]="","",IF(AuswertungH[[#This Row],[Spiele H]]-COUNTIFS(Eingabe[Name],AuswertungH[[#This Row],[Name]],Eingabe[MP],"",Eingabe[Wo],"H")=0,"",AuswertungH[[#This Row],[Spiele H]]-COUNTIFS(Eingabe[Name],AuswertungH[[#This Row],[Name]],Eingabe[MP],"",Eingabe[Wo],"H")))</f>
        <v/>
      </c>
      <c r="F159" s="117" t="str">
        <f>IFERROR(ROUND(AVERAGEIFS(Eingabe[Volle],Eingabe[Name],AuswertungH[[#This Row],[Name]],Eingabe[Wo],"H"),0),"")</f>
        <v/>
      </c>
      <c r="G159" s="117" t="str">
        <f>IFERROR(ROUND(AVERAGEIFS(Eingabe[Räumer],Eingabe[Name],AuswertungH[[#This Row],[Name]],Eingabe[Wo],"H"),0),"")</f>
        <v/>
      </c>
      <c r="H159" s="123" t="str">
        <f>IFERROR(ROUND(AVERAGEIFS(Eingabe[Fehler],Eingabe[Name],AuswertungH[[#This Row],[Name]],Eingabe[Wo],"H"),1),"")</f>
        <v/>
      </c>
      <c r="I159" s="117" t="str">
        <f>IFERROR(ROUND(AVERAGEIFS(Eingabe[GES],Eingabe[Name],AuswertungH[[#This Row],[Name]],Eingabe[Wo],"H"),0),"")</f>
        <v/>
      </c>
      <c r="J159" s="123" t="str">
        <f>IFERROR(ROUND(AVERAGEIFS(Eingabe[SP],Eingabe[Name],AuswertungH[[#This Row],[Name]],Eingabe[Wo],"H"),2),"")</f>
        <v/>
      </c>
      <c r="K159" s="121" t="str">
        <f>IFERROR(ROUND(AVERAGEIFS(Eingabe[MP],Eingabe[Name],AuswertungH[[#This Row],[Name]],Eingabe[Wo],"H"),2),"")</f>
        <v/>
      </c>
      <c r="L159" s="117" t="str">
        <f>IFERROR(ROUND(AVERAGEIFS(Eingabe[S1],Eingabe[Name],AuswertungH[[#This Row],[Name]],Eingabe[Wo],"H"),0),"")</f>
        <v/>
      </c>
      <c r="M159" s="268" t="str">
        <f>IFERROR(ROUND(AVERAGEIFS(Eingabe[S2],Eingabe[Name],AuswertungH[[#This Row],[Name]],Eingabe[Wo],"H"),0),"")</f>
        <v/>
      </c>
      <c r="N159" s="117" t="str">
        <f>IFERROR(ROUND(AVERAGEIFS(Eingabe[S3],Eingabe[Name],AuswertungH[[#This Row],[Name]],Eingabe[Wo],"H"),0),"")</f>
        <v/>
      </c>
      <c r="O159" s="268" t="str">
        <f>IFERROR(ROUND(AVERAGEIFS(Eingabe[S4],Eingabe[Name],AuswertungH[[#This Row],[Name]],Eingabe[Wo],"H"),0),"")</f>
        <v/>
      </c>
      <c r="P159" s="121" t="str">
        <f>IFERROR(ROUND(AVERAGEIFS(Eingabe[S1P],Eingabe[Name],AuswertungH[[#This Row],[Name]],Eingabe[Wo],"H"),2),"")</f>
        <v/>
      </c>
      <c r="Q159" s="121" t="str">
        <f>IFERROR(ROUND(AVERAGEIFS(Eingabe[S2P],Eingabe[Name],AuswertungH[[#This Row],[Name]],Eingabe[Wo],"H"),2),"")</f>
        <v/>
      </c>
      <c r="R159" s="121" t="str">
        <f>IFERROR(ROUND(AVERAGEIFS(Eingabe[S3P],Eingabe[Name],AuswertungH[[#This Row],[Name]],Eingabe[Wo],"H"),2),"")</f>
        <v/>
      </c>
      <c r="S159" s="121" t="str">
        <f>IFERROR(ROUND(AVERAGEIFS(Eingabe[S4P],Eingabe[Name],AuswertungH[[#This Row],[Name]],Eingabe[Wo],"H"),2),"")</f>
        <v/>
      </c>
      <c r="T159" s="123" cm="1">
        <f t="array" ref="T159">IFERROR(ROUND(SLOPE(_xlfn._xlws.FILTER(Eingabe[GES],(Eingabe[Name]=AuswertungH[[#This Row],[Name]])*(Eingabe[Wo]="H")),_xlfn._xlws.FILTER(Eingabe[KW],(Eingabe[Name]=AuswertungH[[#This Row],[Name]])*(Eingabe[Wo]="H"))),2),0)</f>
        <v>0</v>
      </c>
      <c r="U159" s="123" t="str" cm="1">
        <f t="array" ref="U159">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59" s="117" t="str" cm="1">
        <f t="array" ref="V159">IFERROR(ROUND(_xlfn.STDEV.P(_xlfn._xlws.FILTER(Eingabe[GES],(Eingabe[Name]=AuswertungH[[#This Row],[Name]])*(Eingabe[Wo]="H"))),0),"")</f>
        <v/>
      </c>
      <c r="W159" s="117" t="str">
        <f>IF(AuswertungH[[#This Row],[Spiele MP H]]="","",ROUND(AVERAGEIFS(Eingabe[GEGGES],Eingabe[Name],AuswertungH[[#This Row],[Name]],Eingabe[Wo],"H"),0))</f>
        <v/>
      </c>
      <c r="X159" s="277" t="str">
        <f>VLOOKUP(AuswertungH[[#This Row],[Name]],PositionH[],21,FALSE)</f>
        <v/>
      </c>
      <c r="Y159" s="277" t="str">
        <f>VLOOKUP(AuswertungH[[#This Row],[Name]],PositionH[],22,FALSE)</f>
        <v/>
      </c>
      <c r="Z159" s="277" t="str">
        <f>VLOOKUP(AuswertungH[[#This Row],[Name]],PositionH[],23,FALSE)</f>
        <v/>
      </c>
      <c r="AA159" s="278" t="str">
        <f>IF(AuswertungH[[#This Row],[Spiele MP H]]="","",ROUND(VLOOKUP(AuswertungH[[#This Row],[Name]],PositionH[],24,FALSE),2))</f>
        <v/>
      </c>
      <c r="AB159" s="123" t="str">
        <f>IFERROR(AVERAGEIFS(Eingabe[Rang],Eingabe[Name],AuswertungH[[#This Row],[Name]],Eingabe[Wo],"H"),"")</f>
        <v/>
      </c>
      <c r="AC159" s="279"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59" s="279" t="str" cm="1">
        <f t="array" ref="AD159">IFERROR(ROUND(MEDIAN(_xlfn._xlws.FILTER(Eingabe[GES],(Eingabe[Name]=AuswertungH[[#This Row],[Name]])*(Eingabe[Wo]="H"))),0),"")</f>
        <v/>
      </c>
      <c r="AE159" s="278" t="str">
        <f>IFERROR(AuswertungH[[#This Row],[STABW H]]/AuswertungH[[#This Row],[GES H]],"")</f>
        <v/>
      </c>
      <c r="AF159" s="279" t="str" cm="1">
        <f t="array" ref="AF159">IFERROR(ROUND(_xlfn.QUARTILE.INC(_xlfn._xlws.FILTER(Eingabe[GES],(Eingabe[Name]=AuswertungH[[#This Row],[Name]])*(Eingabe[Wo]="H")),3)-_xlfn.QUARTILE.INC(_xlfn._xlws.FILTER(Eingabe[GES],(Eingabe[Name]=AuswertungH[[#This Row],[Name]])*(Eingabe[Wo]="H")),1),0),"")</f>
        <v/>
      </c>
      <c r="AG159" s="279" t="str">
        <f>IFERROR(1/AuswertungH[[#This Row],[VK H]],"")</f>
        <v/>
      </c>
      <c r="AH159" s="279" t="str">
        <f>IFERROR(AuswertungH[[#This Row],[Volle H]]/AuswertungH[[#This Row],[Räumer H]]-2,"")</f>
        <v/>
      </c>
      <c r="AI159" s="364" t="str">
        <f>IFERROR(ROUND((AuswertungH[[#This Row],[Spiele H]]*60)/(AuswertungH[[#This Row],[Fehler H]]*AuswertungH[[#This Row],[Spiele H]]),0),"")</f>
        <v/>
      </c>
      <c r="AJ159" s="123" t="str" cm="1">
        <f t="array" ref="AJ159">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59" s="267" t="str">
        <f>IFERROR(ROUND(AVERAGEIFS(Eingabe[MP],Eingabe[Diff],"&lt;15",Eingabe[Name],AuswertungH[[#This Row],[Name]],Eingabe[Wo],"H")-AuswertungH[[#This Row],[MP H]],2),"")</f>
        <v/>
      </c>
      <c r="AL159" s="364" t="str" cm="1">
        <f t="array" ref="AL159">IFERROR(ROUND(AVERAGE(_xlfn._xlws.FILTER(Eingabe[GES],(Eingabe[Name]=AuswertungH[[#This Row],[Name]])*(Eingabe[Wo]="H")*(Eingabe[GEGGES]&gt;(AuswertungH[[#This Row],[GES H]]+20))))-AuswertungH[[#This Row],[GES H]],0),"")</f>
        <v/>
      </c>
      <c r="AM159" s="364" t="str" cm="1">
        <f t="array" ref="AM159">IFERROR(ROUND(AVERAGE(_xlfn._xlws.FILTER(Eingabe[GES],(Eingabe[Name]=AuswertungH[[#This Row],[Name]])*(Eingabe[Wo]="H")*(Eingabe[GEGGES]&lt;(AuswertungH[[#This Row],[GES H]]-20))))-AuswertungH[[#This Row],[GES H]],0),"")</f>
        <v/>
      </c>
    </row>
    <row r="160" spans="2:39" ht="16.2" thickBot="1" x14ac:dyDescent="0.35">
      <c r="B160" s="285" t="str">
        <f t="shared" si="2"/>
        <v>Uwe Zippack</v>
      </c>
      <c r="C160" s="124" t="str">
        <f>IF(AuswertungH[[#This Row],[Name]]="","",VLOOKUP(AuswertungH[[#This Row],[Name]],Teamzuordnung[[Name]:[Team]],2,TRUE))</f>
        <v>Z</v>
      </c>
      <c r="D160" s="272">
        <f>COUNTIFS(Eingabe[Name],AuswertungH[[#This Row],[Name]],Eingabe[Wo],"H")</f>
        <v>5</v>
      </c>
      <c r="E160" s="116">
        <f>IF(AuswertungH[[#This Row],[Spiele H]]="","",IF(AuswertungH[[#This Row],[Spiele H]]-COUNTIFS(Eingabe[Name],AuswertungH[[#This Row],[Name]],Eingabe[MP],"",Eingabe[Wo],"H")=0,"",AuswertungH[[#This Row],[Spiele H]]-COUNTIFS(Eingabe[Name],AuswertungH[[#This Row],[Name]],Eingabe[MP],"",Eingabe[Wo],"H")))</f>
        <v>5</v>
      </c>
      <c r="F160" s="117">
        <f>IFERROR(ROUND(AVERAGEIFS(Eingabe[Volle],Eingabe[Name],AuswertungH[[#This Row],[Name]],Eingabe[Wo],"H"),0),"")</f>
        <v>346</v>
      </c>
      <c r="G160" s="117">
        <f>IFERROR(ROUND(AVERAGEIFS(Eingabe[Räumer],Eingabe[Name],AuswertungH[[#This Row],[Name]],Eingabe[Wo],"H"),0),"")</f>
        <v>166</v>
      </c>
      <c r="H160" s="123">
        <f>IFERROR(ROUND(AVERAGEIFS(Eingabe[Fehler],Eingabe[Name],AuswertungH[[#This Row],[Name]],Eingabe[Wo],"H"),1),"")</f>
        <v>4.8</v>
      </c>
      <c r="I160" s="117">
        <f>IFERROR(ROUND(AVERAGEIFS(Eingabe[GES],Eingabe[Name],AuswertungH[[#This Row],[Name]],Eingabe[Wo],"H"),0),"")</f>
        <v>511</v>
      </c>
      <c r="J160" s="123">
        <f>IFERROR(ROUND(AVERAGEIFS(Eingabe[SP],Eingabe[Name],AuswertungH[[#This Row],[Name]],Eingabe[Wo],"H"),2),"")</f>
        <v>1.8</v>
      </c>
      <c r="K160" s="121">
        <f>IFERROR(ROUND(AVERAGEIFS(Eingabe[MP],Eingabe[Name],AuswertungH[[#This Row],[Name]],Eingabe[Wo],"H"),2),"")</f>
        <v>0.4</v>
      </c>
      <c r="L160" s="117">
        <f>IFERROR(ROUND(AVERAGEIFS(Eingabe[S1],Eingabe[Name],AuswertungH[[#This Row],[Name]],Eingabe[Wo],"H"),0),"")</f>
        <v>130</v>
      </c>
      <c r="M160" s="268">
        <f>IFERROR(ROUND(AVERAGEIFS(Eingabe[S2],Eingabe[Name],AuswertungH[[#This Row],[Name]],Eingabe[Wo],"H"),0),"")</f>
        <v>124</v>
      </c>
      <c r="N160" s="117">
        <f>IFERROR(ROUND(AVERAGEIFS(Eingabe[S3],Eingabe[Name],AuswertungH[[#This Row],[Name]],Eingabe[Wo],"H"),0),"")</f>
        <v>129</v>
      </c>
      <c r="O160" s="268">
        <f>IFERROR(ROUND(AVERAGEIFS(Eingabe[S4],Eingabe[Name],AuswertungH[[#This Row],[Name]],Eingabe[Wo],"H"),0),"")</f>
        <v>128</v>
      </c>
      <c r="P160" s="121">
        <f>IFERROR(ROUND(AVERAGEIFS(Eingabe[S1P],Eingabe[Name],AuswertungH[[#This Row],[Name]],Eingabe[Wo],"H"),2),"")</f>
        <v>0.6</v>
      </c>
      <c r="Q160" s="121">
        <f>IFERROR(ROUND(AVERAGEIFS(Eingabe[S2P],Eingabe[Name],AuswertungH[[#This Row],[Name]],Eingabe[Wo],"H"),2),"")</f>
        <v>0.2</v>
      </c>
      <c r="R160" s="121">
        <f>IFERROR(ROUND(AVERAGEIFS(Eingabe[S3P],Eingabe[Name],AuswertungH[[#This Row],[Name]],Eingabe[Wo],"H"),2),"")</f>
        <v>0.6</v>
      </c>
      <c r="S160" s="121">
        <f>IFERROR(ROUND(AVERAGEIFS(Eingabe[S4P],Eingabe[Name],AuswertungH[[#This Row],[Name]],Eingabe[Wo],"H"),2),"")</f>
        <v>0.4</v>
      </c>
      <c r="T160" s="123" cm="1">
        <f t="array" ref="T160">IFERROR(ROUND(SLOPE(_xlfn._xlws.FILTER(Eingabe[GES],(Eingabe[Name]=AuswertungH[[#This Row],[Name]])*(Eingabe[Wo]="H")),_xlfn._xlws.FILTER(Eingabe[KW],(Eingabe[Name]=AuswertungH[[#This Row],[Name]])*(Eingabe[Wo]="H"))),2),0)</f>
        <v>2.73</v>
      </c>
      <c r="U160" s="123" cm="1">
        <f t="array" ref="U160">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5.36</v>
      </c>
      <c r="V160" s="117" cm="1">
        <f t="array" ref="V160">IFERROR(ROUND(_xlfn.STDEV.P(_xlfn._xlws.FILTER(Eingabe[GES],(Eingabe[Name]=AuswertungH[[#This Row],[Name]])*(Eingabe[Wo]="H"))),0),"")</f>
        <v>25</v>
      </c>
      <c r="W160" s="117">
        <f>IF(AuswertungH[[#This Row],[Spiele MP H]]="","",ROUND(AVERAGEIFS(Eingabe[GEGGES],Eingabe[Name],AuswertungH[[#This Row],[Name]],Eingabe[Wo],"H"),0))</f>
        <v>518</v>
      </c>
      <c r="X160" s="127" t="str">
        <f>VLOOKUP(AuswertungH[[#This Row],[Name]],PositionH[],21,FALSE)</f>
        <v>[2]</v>
      </c>
      <c r="Y160" s="127">
        <f>VLOOKUP(AuswertungH[[#This Row],[Name]],PositionH[],22,FALSE)</f>
        <v>2</v>
      </c>
      <c r="Z160" s="127" t="str">
        <f>VLOOKUP(AuswertungH[[#This Row],[Name]],PositionH[],23,FALSE)</f>
        <v>[2]</v>
      </c>
      <c r="AA160" s="126">
        <f>IF(AuswertungH[[#This Row],[Spiele MP H]]="","",ROUND(VLOOKUP(AuswertungH[[#This Row],[Name]],PositionH[],24,FALSE),2))</f>
        <v>1</v>
      </c>
      <c r="AB160" s="123">
        <f>IFERROR(AVERAGEIFS(Eingabe[Rang],Eingabe[Name],AuswertungH[[#This Row],[Name]],Eingabe[Wo],"H"),"")</f>
        <v>4</v>
      </c>
      <c r="AC160" s="204"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132 [3]</v>
      </c>
      <c r="AD160" s="204" cm="1">
        <f t="array" ref="AD160">IFERROR(ROUND(MEDIAN(_xlfn._xlws.FILTER(Eingabe[GES],(Eingabe[Name]=AuswertungH[[#This Row],[Name]])*(Eingabe[Wo]="H"))),0),"")</f>
        <v>512</v>
      </c>
      <c r="AE160" s="126">
        <f>IFERROR(AuswertungH[[#This Row],[STABW H]]/AuswertungH[[#This Row],[GES H]],"")</f>
        <v>4.8923679060665359E-2</v>
      </c>
      <c r="AF160" s="204" cm="1">
        <f t="array" ref="AF160">IFERROR(ROUND(_xlfn.QUARTILE.INC(_xlfn._xlws.FILTER(Eingabe[GES],(Eingabe[Name]=AuswertungH[[#This Row],[Name]])*(Eingabe[Wo]="H")),3)-_xlfn.QUARTILE.INC(_xlfn._xlws.FILTER(Eingabe[GES],(Eingabe[Name]=AuswertungH[[#This Row],[Name]])*(Eingabe[Wo]="H")),1),0),"")</f>
        <v>21</v>
      </c>
      <c r="AG160" s="204">
        <f>IFERROR(1/AuswertungH[[#This Row],[VK H]],"")</f>
        <v>20.440000000000001</v>
      </c>
      <c r="AH160" s="204">
        <f>IFERROR(AuswertungH[[#This Row],[Volle H]]/AuswertungH[[#This Row],[Räumer H]]-2,"")</f>
        <v>8.4337349397590522E-2</v>
      </c>
      <c r="AI160" s="365">
        <f>IFERROR(ROUND((AuswertungH[[#This Row],[Spiele H]]*60)/(AuswertungH[[#This Row],[Fehler H]]*AuswertungH[[#This Row],[Spiele H]]),0),"")</f>
        <v>13</v>
      </c>
      <c r="AJ160" s="123" t="str" cm="1">
        <f t="array" ref="AJ160">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60" s="267" t="str">
        <f>IFERROR(ROUND(AVERAGEIFS(Eingabe[MP],Eingabe[Diff],"&lt;15",Eingabe[Name],AuswertungH[[#This Row],[Name]],Eingabe[Wo],"H")-AuswertungH[[#This Row],[MP H]],2),"")</f>
        <v/>
      </c>
      <c r="AL160" s="365" cm="1">
        <f t="array" ref="AL160">IFERROR(ROUND(AVERAGE(_xlfn._xlws.FILTER(Eingabe[GES],(Eingabe[Name]=AuswertungH[[#This Row],[Name]])*(Eingabe[Wo]="H")*(Eingabe[GEGGES]&gt;(AuswertungH[[#This Row],[GES H]]+20))))-AuswertungH[[#This Row],[GES H]],0),"")</f>
        <v>1</v>
      </c>
      <c r="AM160" s="365" t="str" cm="1">
        <f t="array" ref="AM160">IFERROR(ROUND(AVERAGE(_xlfn._xlws.FILTER(Eingabe[GES],(Eingabe[Name]=AuswertungH[[#This Row],[Name]])*(Eingabe[Wo]="H")*(Eingabe[GEGGES]&lt;(AuswertungH[[#This Row],[GES H]]-20))))-AuswertungH[[#This Row],[GES H]],0),"")</f>
        <v/>
      </c>
    </row>
    <row r="161" spans="2:38" ht="16.2" thickBot="1" x14ac:dyDescent="0.35"/>
    <row r="162" spans="2:38" ht="16.2" thickBot="1" x14ac:dyDescent="0.35">
      <c r="B162" s="16" t="s">
        <v>119</v>
      </c>
      <c r="C162" s="1">
        <v>2</v>
      </c>
      <c r="D162" s="1">
        <v>3</v>
      </c>
      <c r="E162" s="1">
        <v>4</v>
      </c>
      <c r="F162" s="1">
        <v>5</v>
      </c>
      <c r="G162" s="1">
        <v>6</v>
      </c>
      <c r="H162" s="1">
        <v>7</v>
      </c>
      <c r="I162" s="1">
        <v>8</v>
      </c>
      <c r="J162" s="1">
        <v>9</v>
      </c>
      <c r="K162" s="1">
        <v>10</v>
      </c>
      <c r="L162" s="1">
        <v>11</v>
      </c>
      <c r="M162" s="1">
        <v>12</v>
      </c>
      <c r="N162" s="1">
        <v>13</v>
      </c>
      <c r="O162" s="1">
        <v>14</v>
      </c>
      <c r="P162" s="1">
        <v>15</v>
      </c>
      <c r="Q162" s="1">
        <v>16</v>
      </c>
      <c r="R162" s="1">
        <v>17</v>
      </c>
      <c r="S162" s="1">
        <v>18</v>
      </c>
      <c r="T162" s="1">
        <v>19</v>
      </c>
      <c r="U162" s="1">
        <v>20</v>
      </c>
      <c r="V162" s="1">
        <v>21</v>
      </c>
      <c r="W162" s="1">
        <v>22</v>
      </c>
      <c r="X162" s="1">
        <v>23</v>
      </c>
      <c r="Y162" s="1">
        <v>24</v>
      </c>
      <c r="Z162" s="1">
        <v>25</v>
      </c>
      <c r="AA162" s="1">
        <v>26</v>
      </c>
      <c r="AB162" s="1">
        <v>27</v>
      </c>
      <c r="AC162" s="1">
        <v>29</v>
      </c>
      <c r="AD162" s="1">
        <v>30</v>
      </c>
      <c r="AE162" s="1">
        <v>31</v>
      </c>
      <c r="AF162" s="1">
        <v>32</v>
      </c>
      <c r="AG162" s="1">
        <v>33</v>
      </c>
      <c r="AH162" s="1">
        <v>34</v>
      </c>
      <c r="AI162" s="1">
        <v>35</v>
      </c>
      <c r="AJ162" s="1">
        <v>36</v>
      </c>
      <c r="AK162" s="1">
        <v>37</v>
      </c>
      <c r="AL162" s="1">
        <v>38</v>
      </c>
    </row>
    <row r="163" spans="2:38" ht="31.8" thickBot="1" x14ac:dyDescent="0.35">
      <c r="B163" s="24" t="s">
        <v>13</v>
      </c>
      <c r="C163" s="25" t="s">
        <v>0</v>
      </c>
      <c r="D163" s="26" t="s">
        <v>20</v>
      </c>
      <c r="E163" s="270" t="s">
        <v>309</v>
      </c>
      <c r="F163" s="27" t="s">
        <v>141</v>
      </c>
      <c r="G163" s="27" t="s">
        <v>149</v>
      </c>
      <c r="H163" s="27" t="s">
        <v>154</v>
      </c>
      <c r="I163" s="27" t="s">
        <v>140</v>
      </c>
      <c r="J163" s="27" t="s">
        <v>228</v>
      </c>
      <c r="K163" s="27" t="s">
        <v>227</v>
      </c>
      <c r="L163" s="27" t="s">
        <v>150</v>
      </c>
      <c r="M163" s="31" t="s">
        <v>151</v>
      </c>
      <c r="N163" s="31" t="s">
        <v>152</v>
      </c>
      <c r="O163" s="31" t="s">
        <v>153</v>
      </c>
      <c r="P163" s="31" t="s">
        <v>310</v>
      </c>
      <c r="Q163" s="31" t="s">
        <v>311</v>
      </c>
      <c r="R163" s="31" t="s">
        <v>312</v>
      </c>
      <c r="S163" s="31" t="s">
        <v>313</v>
      </c>
      <c r="T163" s="269" t="s">
        <v>452</v>
      </c>
      <c r="U163" s="269" t="s">
        <v>453</v>
      </c>
      <c r="V163" s="31" t="s">
        <v>197</v>
      </c>
      <c r="W163" s="27" t="s">
        <v>142</v>
      </c>
      <c r="X163" s="27" t="s">
        <v>314</v>
      </c>
      <c r="Y163" s="27" t="s">
        <v>315</v>
      </c>
      <c r="Z163" s="27" t="s">
        <v>316</v>
      </c>
      <c r="AA163" s="27" t="s">
        <v>317</v>
      </c>
      <c r="AB163" s="202" t="s">
        <v>431</v>
      </c>
      <c r="AC163" s="27" t="s">
        <v>818</v>
      </c>
      <c r="AD163" s="27" t="s">
        <v>819</v>
      </c>
      <c r="AE163" s="27" t="s">
        <v>820</v>
      </c>
      <c r="AF163" s="27" t="s">
        <v>821</v>
      </c>
      <c r="AG163" s="27" t="s">
        <v>822</v>
      </c>
      <c r="AH163" s="27" t="s">
        <v>823</v>
      </c>
      <c r="AI163" s="27" t="s">
        <v>824</v>
      </c>
      <c r="AJ163" s="27" t="s">
        <v>825</v>
      </c>
      <c r="AK163" s="27" t="s">
        <v>826</v>
      </c>
      <c r="AL163" s="27" t="s">
        <v>827</v>
      </c>
    </row>
    <row r="164" spans="2:38" x14ac:dyDescent="0.3">
      <c r="B164" s="118" t="str">
        <f>B58</f>
        <v>Anastasia Landau</v>
      </c>
      <c r="C164" s="119" t="str">
        <f>IF(AuswertungA[[#This Row],[Name]]="","",VLOOKUP(AuswertungA[[#This Row],[Name]],Teamzuordnung[[Name]:[Team]],2,TRUE))</f>
        <v>F</v>
      </c>
      <c r="D164" s="120">
        <f>COUNTIFS(Eingabe[Name],AuswertungA[[#This Row],[Name]],Eingabe[Wo],"A")</f>
        <v>0</v>
      </c>
      <c r="E164" s="116" t="str">
        <f>IF(AuswertungA[[#This Row],[Spiele A]]="","",IF(AuswertungA[[#This Row],[Spiele A]]-COUNTIFS(Eingabe[Name],AuswertungA[[#This Row],[Name]],Eingabe[MP],"",Eingabe[Wo],"A")=0,"",AuswertungA[[#This Row],[Spiele A]]-COUNTIFS(Eingabe[Name],AuswertungA[[#This Row],[Name]],Eingabe[MP],"",Eingabe[Wo],"A")))</f>
        <v/>
      </c>
      <c r="F164" s="117" t="str">
        <f>IF(AuswertungA[[#This Row],[Spiele A]]=0,"",ROUND(AVERAGEIFS(Eingabe[Volle],Eingabe[Name],AuswertungA[[#This Row],[Name]],Eingabe[Wo],"A"),0))</f>
        <v/>
      </c>
      <c r="G164" s="117" t="str">
        <f>IF(AuswertungA[[#This Row],[Spiele A]]=0,"",ROUND(AVERAGEIFS(Eingabe[Räumer],Eingabe[Name],AuswertungA[[#This Row],[Name]],Eingabe[Wo],"A"),0))</f>
        <v/>
      </c>
      <c r="H164" s="123" t="str">
        <f>IF(AuswertungA[[#This Row],[Spiele A]]=0,"",ROUND(AVERAGEIFS(Eingabe[Fehler],Eingabe[Name],AuswertungA[[#This Row],[Name]],Eingabe[Wo],"A"),1))</f>
        <v/>
      </c>
      <c r="I164" s="117" t="str">
        <f>IF(AuswertungA[[#This Row],[Spiele A]]=0,"",ROUND(AVERAGEIFS(Eingabe[GES],Eingabe[Name],AuswertungA[[#This Row],[Name]],Eingabe[Wo],"A"),0))</f>
        <v/>
      </c>
      <c r="J164" s="123" t="str">
        <f>IF(AuswertungA[[#This Row],[Spiele MP A]]="","",ROUND(AVERAGEIFS(Eingabe[SP],Eingabe[Name],AuswertungA[[#This Row],[Name]],Eingabe[Wo],"A"),2))</f>
        <v/>
      </c>
      <c r="K164" s="121" t="str">
        <f>IF(AuswertungA[[#This Row],[Spiele MP A]]="","",ROUND(AVERAGEIFS(Eingabe[MP],Eingabe[Name],AuswertungA[[#This Row],[Name]],Eingabe[Wo],"A"),2))</f>
        <v/>
      </c>
      <c r="L164" s="117" t="str">
        <f>IFERROR(ROUND(AVERAGEIFS(Eingabe[S1],Eingabe[Name],AuswertungA[[#This Row],[Name]],Eingabe[Wo],"A"),0),"")</f>
        <v/>
      </c>
      <c r="M164" s="268" t="str">
        <f>IFERROR(ROUND(AVERAGEIFS(Eingabe[S2],Eingabe[Name],AuswertungA[[#This Row],[Name]],Eingabe[Wo],"A"),0),"")</f>
        <v/>
      </c>
      <c r="N164" s="117" t="str">
        <f>IFERROR(ROUND(AVERAGEIFS(Eingabe[S3],Eingabe[Name],AuswertungA[[#This Row],[Name]],Eingabe[Wo],"A"),0),"")</f>
        <v/>
      </c>
      <c r="O164" s="268" t="str">
        <f>IFERROR(ROUND(AVERAGEIFS(Eingabe[S4],Eingabe[Name],AuswertungA[[#This Row],[Name]],Eingabe[Wo],"A"),0),"")</f>
        <v/>
      </c>
      <c r="P164" s="121" t="str">
        <f>IF(AuswertungA[[#This Row],[Spiele MP A]]="","",ROUND(AVERAGEIFS(Eingabe[S1P],Eingabe[Name],AuswertungA[[#This Row],[Name]],Eingabe[Wo],"A"),2))</f>
        <v/>
      </c>
      <c r="Q164" s="121" t="str">
        <f>IF(AuswertungA[[#This Row],[Spiele MP A]]="","",ROUND(AVERAGEIFS(Eingabe[S2P],Eingabe[Name],AuswertungA[[#This Row],[Name]],Eingabe[Wo],"A"),2))</f>
        <v/>
      </c>
      <c r="R164" s="121" t="str">
        <f>IF(AuswertungA[[#This Row],[Spiele MP A]]="","",ROUND(AVERAGEIFS(Eingabe[S3P],Eingabe[Name],AuswertungA[[#This Row],[Name]],Eingabe[Wo],"A"),2))</f>
        <v/>
      </c>
      <c r="S164" s="121" t="str">
        <f>IF(AuswertungA[[#This Row],[Spiele MP A]]="","",ROUND(AVERAGEIFS(Eingabe[S4P],Eingabe[Name],AuswertungA[[#This Row],[Name]],Eingabe[Wo],"A"),2))</f>
        <v/>
      </c>
      <c r="T164" s="123" t="str" cm="1">
        <f t="array" ref="T164">IF(AuswertungA[[#This Row],[Spiele A]]="","",IF(AuswertungA[[#This Row],[Spiele A]]&lt;2,"",ROUND(SLOPE(_xlfn._xlws.FILTER(Eingabe[GES],(Eingabe[Name]=AuswertungA[[#This Row],[Name]])*(Eingabe[Wo]="A")),_xlfn._xlws.FILTER(Eingabe[KW],(Eingabe[Name]=AuswertungA[[#This Row],[Name]])*(Eingabe[Wo]="A"))),2)))</f>
        <v/>
      </c>
      <c r="U164" s="123" t="str" cm="1">
        <f t="array" ref="U164">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64" s="117" t="str" cm="1">
        <f t="array" ref="V164">IF(AuswertungA[[#This Row],[Spiele A]]="","",IF(AuswertungA[[#This Row],[Spiele A]]&lt;2,"",ROUND(_xlfn.STDEV.P(_xlfn._xlws.FILTER(Eingabe[GES],(Eingabe[Name]=AuswertungA[[#This Row],[Name]])*(Eingabe[Wo]="A"))),0)))</f>
        <v/>
      </c>
      <c r="W164" s="117" t="str">
        <f>IF(AuswertungA[[#This Row],[Spiele MP A]]="","",ROUND(AVERAGEIFS(Eingabe[GEGGES],Eingabe[Name],AuswertungA[[#This Row],[Name]],Eingabe[Wo],"A"),0))</f>
        <v/>
      </c>
      <c r="X164" s="116" t="str">
        <f>VLOOKUP(AuswertungA[[#This Row],[Name]],PositionA[],21,FALSE)</f>
        <v/>
      </c>
      <c r="Y164" s="116" t="str">
        <f>VLOOKUP(AuswertungA[[#This Row],[Name]],PositionA[],22,FALSE)</f>
        <v/>
      </c>
      <c r="Z164" s="116" t="str">
        <f>VLOOKUP(AuswertungA[[#This Row],[Name]],PositionA[],23,FALSE)</f>
        <v/>
      </c>
      <c r="AA164" s="121" t="str">
        <f>IF(AuswertungA[[#This Row],[Spiele MP A]]="","",ROUND(VLOOKUP(AuswertungA[[#This Row],[Name]],PositionA[],24,FALSE),2))</f>
        <v/>
      </c>
      <c r="AB164" s="123" t="str">
        <f>IFERROR(ROUND(AVERAGEIFS(Eingabe[Rang],Eingabe[Name],AuswertungA[[#This Row],[Name]],Eingabe[Wo],"A"),1),"")</f>
        <v/>
      </c>
      <c r="AC164" s="123" t="str" cm="1">
        <f t="array" ref="AC164">IFERROR(ROUND(MEDIAN(_xlfn._xlws.FILTER(Eingabe[GES],(Eingabe[Name]=AuswertungA[[#This Row],[Name]])*(Eingabe[Wo]="A"))),0),"")</f>
        <v/>
      </c>
      <c r="AD164" s="121" t="str">
        <f>IFERROR(AuswertungA[[#This Row],[STABW A]]/AuswertungA[[#This Row],[GES A]],"")</f>
        <v/>
      </c>
      <c r="AE164" s="123" t="str" cm="1">
        <f t="array" ref="AE164">IFERROR(ROUND(_xlfn.QUARTILE.INC(_xlfn._xlws.FILTER(Eingabe[GES],(Eingabe[Name]=AuswertungA[[#This Row],[Name]])*(Eingabe[Wo]="A")),3)-_xlfn.QUARTILE.INC(_xlfn._xlws.FILTER(Eingabe[GES],(Eingabe[Name]=AuswertungA[[#This Row],[Name]])*(Eingabe[Wo]="A")),1),0),"")</f>
        <v/>
      </c>
      <c r="AF164" s="123" t="str">
        <f>IFERROR(1/AuswertungA[[#This Row],[VK A]],"")</f>
        <v/>
      </c>
      <c r="AG164" s="123" t="str">
        <f>IFERROR(AuswertungA[[#This Row],[Volle A]]/AuswertungA[[#This Row],[Räumer A]]-2,"")</f>
        <v/>
      </c>
      <c r="AH164" s="117" t="str">
        <f>IFERROR(ROUND((AuswertungA[[#This Row],[Spiele A]]*60)/(AuswertungA[[#This Row],[Fehler A]]*AuswertungA[[#This Row],[Spiele A]]),0),"")</f>
        <v/>
      </c>
      <c r="AI164" s="123" t="str" cm="1">
        <f t="array" ref="AI164">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64" s="267" t="str">
        <f>IFERROR(ROUND(AVERAGEIFS(Eingabe[MP],Eingabe[Diff],"&lt;15",Eingabe[Name],AuswertungA[[#This Row],[Name]],Eingabe[Wo],"A")-AuswertungA[[#This Row],[MP A]],2),"")</f>
        <v/>
      </c>
      <c r="AK164" s="117" t="str" cm="1">
        <f t="array" ref="AK164">IFERROR(ROUND(AVERAGE(_xlfn._xlws.FILTER(Eingabe[GES],(Eingabe[Name]=AuswertungA[[#This Row],[Name]])*(Eingabe[Wo]="A")*(Eingabe[GEGGES]&gt;(AuswertungA[[#This Row],[GES A]]+20))))-AuswertungA[[#This Row],[GES A]],0),"")</f>
        <v/>
      </c>
      <c r="AL164" s="117" t="str" cm="1">
        <f t="array" ref="AL164">IFERROR(ROUND(AVERAGE(_xlfn._xlws.FILTER(Eingabe[GES],(Eingabe[Name]=AuswertungA[[#This Row],[Name]])*(Eingabe[Wo]="A")*(Eingabe[GEGGES]&lt;(AuswertungA[[#This Row],[GES A]]-20))))-AuswertungA[[#This Row],[GES A]],0),"")</f>
        <v/>
      </c>
    </row>
    <row r="165" spans="2:38" x14ac:dyDescent="0.3">
      <c r="B165" s="118" t="str">
        <f>B59</f>
        <v>Andreas Ehrlich</v>
      </c>
      <c r="C165" s="119" t="str">
        <f>IF(AuswertungA[[#This Row],[Name]]="","",VLOOKUP(AuswertungA[[#This Row],[Name]],Teamzuordnung[[Name]:[Team]],2,TRUE))</f>
        <v>D</v>
      </c>
      <c r="D165" s="120">
        <f>COUNTIFS(Eingabe[Name],AuswertungA[[#This Row],[Name]],Eingabe[Wo],"A")</f>
        <v>0</v>
      </c>
      <c r="E165" s="116" t="str">
        <f>IF(AuswertungA[[#This Row],[Spiele A]]="","",IF(AuswertungA[[#This Row],[Spiele A]]-COUNTIFS(Eingabe[Name],AuswertungA[[#This Row],[Name]],Eingabe[MP],"",Eingabe[Wo],"A")=0,"",AuswertungA[[#This Row],[Spiele A]]-COUNTIFS(Eingabe[Name],AuswertungA[[#This Row],[Name]],Eingabe[MP],"",Eingabe[Wo],"A")))</f>
        <v/>
      </c>
      <c r="F165" s="117" t="str">
        <f>IF(AuswertungA[[#This Row],[Spiele A]]=0,"",ROUND(AVERAGEIFS(Eingabe[Volle],Eingabe[Name],AuswertungA[[#This Row],[Name]],Eingabe[Wo],"A"),0))</f>
        <v/>
      </c>
      <c r="G165" s="117" t="str">
        <f>IF(AuswertungA[[#This Row],[Spiele A]]=0,"",ROUND(AVERAGEIFS(Eingabe[Räumer],Eingabe[Name],AuswertungA[[#This Row],[Name]],Eingabe[Wo],"A"),0))</f>
        <v/>
      </c>
      <c r="H165" s="123" t="str">
        <f>IF(AuswertungA[[#This Row],[Spiele A]]=0,"",ROUND(AVERAGEIFS(Eingabe[Fehler],Eingabe[Name],AuswertungA[[#This Row],[Name]],Eingabe[Wo],"A"),1))</f>
        <v/>
      </c>
      <c r="I165" s="117" t="str">
        <f>IF(AuswertungA[[#This Row],[Spiele A]]=0,"",ROUND(AVERAGEIFS(Eingabe[GES],Eingabe[Name],AuswertungA[[#This Row],[Name]],Eingabe[Wo],"A"),0))</f>
        <v/>
      </c>
      <c r="J165" s="123" t="str">
        <f>IF(AuswertungA[[#This Row],[Spiele MP A]]="","",ROUND(AVERAGEIFS(Eingabe[SP],Eingabe[Name],AuswertungA[[#This Row],[Name]],Eingabe[Wo],"A"),2))</f>
        <v/>
      </c>
      <c r="K165" s="121" t="str">
        <f>IF(AuswertungA[[#This Row],[Spiele MP A]]="","",ROUND(AVERAGEIFS(Eingabe[MP],Eingabe[Name],AuswertungA[[#This Row],[Name]],Eingabe[Wo],"A"),2))</f>
        <v/>
      </c>
      <c r="L165" s="117" t="str">
        <f>IFERROR(ROUND(AVERAGEIFS(Eingabe[S1],Eingabe[Name],AuswertungA[[#This Row],[Name]],Eingabe[Wo],"A"),0),"")</f>
        <v/>
      </c>
      <c r="M165" s="268" t="str">
        <f>IFERROR(ROUND(AVERAGEIFS(Eingabe[S2],Eingabe[Name],AuswertungA[[#This Row],[Name]],Eingabe[Wo],"A"),0),"")</f>
        <v/>
      </c>
      <c r="N165" s="117" t="str">
        <f>IFERROR(ROUND(AVERAGEIFS(Eingabe[S3],Eingabe[Name],AuswertungA[[#This Row],[Name]],Eingabe[Wo],"A"),0),"")</f>
        <v/>
      </c>
      <c r="O165" s="268" t="str">
        <f>IFERROR(ROUND(AVERAGEIFS(Eingabe[S4],Eingabe[Name],AuswertungA[[#This Row],[Name]],Eingabe[Wo],"A"),0),"")</f>
        <v/>
      </c>
      <c r="P165" s="121" t="str">
        <f>IF(AuswertungA[[#This Row],[Spiele MP A]]="","",ROUND(AVERAGEIFS(Eingabe[S1P],Eingabe[Name],AuswertungA[[#This Row],[Name]],Eingabe[Wo],"A"),2))</f>
        <v/>
      </c>
      <c r="Q165" s="121" t="str">
        <f>IF(AuswertungA[[#This Row],[Spiele MP A]]="","",ROUND(AVERAGEIFS(Eingabe[S2P],Eingabe[Name],AuswertungA[[#This Row],[Name]],Eingabe[Wo],"A"),2))</f>
        <v/>
      </c>
      <c r="R165" s="121" t="str">
        <f>IF(AuswertungA[[#This Row],[Spiele MP A]]="","",ROUND(AVERAGEIFS(Eingabe[S3P],Eingabe[Name],AuswertungA[[#This Row],[Name]],Eingabe[Wo],"A"),2))</f>
        <v/>
      </c>
      <c r="S165" s="121" t="str">
        <f>IF(AuswertungA[[#This Row],[Spiele MP A]]="","",ROUND(AVERAGEIFS(Eingabe[S4P],Eingabe[Name],AuswertungA[[#This Row],[Name]],Eingabe[Wo],"A"),2))</f>
        <v/>
      </c>
      <c r="T165" s="123" t="str" cm="1">
        <f t="array" ref="T165">IF(AuswertungA[[#This Row],[Spiele A]]="","",IF(AuswertungA[[#This Row],[Spiele A]]&lt;2,"",ROUND(SLOPE(_xlfn._xlws.FILTER(Eingabe[GES],(Eingabe[Name]=AuswertungA[[#This Row],[Name]])*(Eingabe[Wo]="A")),_xlfn._xlws.FILTER(Eingabe[KW],(Eingabe[Name]=AuswertungA[[#This Row],[Name]])*(Eingabe[Wo]="A"))),2)))</f>
        <v/>
      </c>
      <c r="U165" s="123" t="str" cm="1">
        <f t="array" ref="U165">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65" s="117" t="str" cm="1">
        <f t="array" ref="V165">IF(AuswertungA[[#This Row],[Spiele A]]="","",IF(AuswertungA[[#This Row],[Spiele A]]&lt;2,"",ROUND(_xlfn.STDEV.P(_xlfn._xlws.FILTER(Eingabe[GES],(Eingabe[Name]=AuswertungA[[#This Row],[Name]])*(Eingabe[Wo]="A"))),0)))</f>
        <v/>
      </c>
      <c r="W165" s="117" t="str">
        <f>IF(AuswertungA[[#This Row],[Spiele MP A]]="","",ROUND(AVERAGEIFS(Eingabe[GEGGES],Eingabe[Name],AuswertungA[[#This Row],[Name]],Eingabe[Wo],"A"),0))</f>
        <v/>
      </c>
      <c r="X165" s="116" t="str">
        <f>VLOOKUP(AuswertungA[[#This Row],[Name]],PositionA[],21,FALSE)</f>
        <v/>
      </c>
      <c r="Y165" s="116" t="str">
        <f>VLOOKUP(AuswertungA[[#This Row],[Name]],PositionA[],22,FALSE)</f>
        <v/>
      </c>
      <c r="Z165" s="116" t="str">
        <f>VLOOKUP(AuswertungA[[#This Row],[Name]],PositionA[],23,FALSE)</f>
        <v/>
      </c>
      <c r="AA165" s="121" t="str">
        <f>IF(AuswertungA[[#This Row],[Spiele MP A]]="","",ROUND(VLOOKUP(AuswertungA[[#This Row],[Name]],PositionA[],24,FALSE),2))</f>
        <v/>
      </c>
      <c r="AB165" s="123" t="str">
        <f>IFERROR(ROUND(AVERAGEIFS(Eingabe[Rang],Eingabe[Name],AuswertungA[[#This Row],[Name]],Eingabe[Wo],"A"),1),"")</f>
        <v/>
      </c>
      <c r="AC165" s="123" t="str" cm="1">
        <f t="array" ref="AC165">IFERROR(ROUND(MEDIAN(_xlfn._xlws.FILTER(Eingabe[GES],(Eingabe[Name]=AuswertungA[[#This Row],[Name]])*(Eingabe[Wo]="A"))),0),"")</f>
        <v/>
      </c>
      <c r="AD165" s="121" t="str">
        <f>IFERROR(AuswertungA[[#This Row],[STABW A]]/AuswertungA[[#This Row],[GES A]],"")</f>
        <v/>
      </c>
      <c r="AE165" s="123" t="str" cm="1">
        <f t="array" ref="AE165">IFERROR(ROUND(_xlfn.QUARTILE.INC(_xlfn._xlws.FILTER(Eingabe[GES],(Eingabe[Name]=AuswertungA[[#This Row],[Name]])*(Eingabe[Wo]="A")),3)-_xlfn.QUARTILE.INC(_xlfn._xlws.FILTER(Eingabe[GES],(Eingabe[Name]=AuswertungA[[#This Row],[Name]])*(Eingabe[Wo]="A")),1),0),"")</f>
        <v/>
      </c>
      <c r="AF165" s="123" t="str">
        <f>IFERROR(1/AuswertungA[[#This Row],[VK A]],"")</f>
        <v/>
      </c>
      <c r="AG165" s="123" t="str">
        <f>IFERROR(AuswertungA[[#This Row],[Volle A]]/AuswertungA[[#This Row],[Räumer A]]-2,"")</f>
        <v/>
      </c>
      <c r="AH165" s="117" t="str">
        <f>IFERROR(ROUND((AuswertungA[[#This Row],[Spiele A]]*60)/(AuswertungA[[#This Row],[Fehler A]]*AuswertungA[[#This Row],[Spiele A]]),0),"")</f>
        <v/>
      </c>
      <c r="AI165" s="123" t="str" cm="1">
        <f t="array" ref="AI165">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65" s="267" t="str">
        <f>IFERROR(ROUND(AVERAGEIFS(Eingabe[MP],Eingabe[Diff],"&lt;15",Eingabe[Name],AuswertungA[[#This Row],[Name]],Eingabe[Wo],"A")-AuswertungA[[#This Row],[MP A]],2),"")</f>
        <v/>
      </c>
      <c r="AK165" s="117" t="str" cm="1">
        <f t="array" ref="AK165">IFERROR(ROUND(AVERAGE(_xlfn._xlws.FILTER(Eingabe[GES],(Eingabe[Name]=AuswertungA[[#This Row],[Name]])*(Eingabe[Wo]="A")*(Eingabe[GEGGES]&gt;(AuswertungA[[#This Row],[GES A]]+20))))-AuswertungA[[#This Row],[GES A]],0),"")</f>
        <v/>
      </c>
      <c r="AL165" s="117" t="str" cm="1">
        <f t="array" ref="AL165">IFERROR(ROUND(AVERAGE(_xlfn._xlws.FILTER(Eingabe[GES],(Eingabe[Name]=AuswertungA[[#This Row],[Name]])*(Eingabe[Wo]="A")*(Eingabe[GEGGES]&lt;(AuswertungA[[#This Row],[GES A]]-20))))-AuswertungA[[#This Row],[GES A]],0),"")</f>
        <v/>
      </c>
    </row>
    <row r="166" spans="2:38" x14ac:dyDescent="0.3">
      <c r="B166" s="118" t="str">
        <f>B60</f>
        <v>Andreas Rippin</v>
      </c>
      <c r="C166" s="119" t="str">
        <f>IF(AuswertungA[[#This Row],[Name]]="","",VLOOKUP(AuswertungA[[#This Row],[Name]],Teamzuordnung[[Name]:[Team]],2,TRUE))</f>
        <v>E</v>
      </c>
      <c r="D166" s="120">
        <f>COUNTIFS(Eingabe[Name],AuswertungA[[#This Row],[Name]],Eingabe[Wo],"A")</f>
        <v>4</v>
      </c>
      <c r="E166" s="116">
        <f>IF(AuswertungA[[#This Row],[Spiele A]]="","",IF(AuswertungA[[#This Row],[Spiele A]]-COUNTIFS(Eingabe[Name],AuswertungA[[#This Row],[Name]],Eingabe[MP],"",Eingabe[Wo],"A")=0,"",AuswertungA[[#This Row],[Spiele A]]-COUNTIFS(Eingabe[Name],AuswertungA[[#This Row],[Name]],Eingabe[MP],"",Eingabe[Wo],"A")))</f>
        <v>4</v>
      </c>
      <c r="F166" s="117">
        <f>IF(AuswertungA[[#This Row],[Spiele A]]=0,"",ROUND(AVERAGEIFS(Eingabe[Volle],Eingabe[Name],AuswertungA[[#This Row],[Name]],Eingabe[Wo],"A"),0))</f>
        <v>350</v>
      </c>
      <c r="G166" s="117">
        <f>IF(AuswertungA[[#This Row],[Spiele A]]=0,"",ROUND(AVERAGEIFS(Eingabe[Räumer],Eingabe[Name],AuswertungA[[#This Row],[Name]],Eingabe[Wo],"A"),0))</f>
        <v>159</v>
      </c>
      <c r="H166" s="123">
        <f>IF(AuswertungA[[#This Row],[Spiele A]]=0,"",ROUND(AVERAGEIFS(Eingabe[Fehler],Eingabe[Name],AuswertungA[[#This Row],[Name]],Eingabe[Wo],"A"),1))</f>
        <v>11.5</v>
      </c>
      <c r="I166" s="117">
        <f>IF(AuswertungA[[#This Row],[Spiele A]]=0,"",ROUND(AVERAGEIFS(Eingabe[GES],Eingabe[Name],AuswertungA[[#This Row],[Name]],Eingabe[Wo],"A"),0))</f>
        <v>509</v>
      </c>
      <c r="J166" s="123">
        <f>IF(AuswertungA[[#This Row],[Spiele MP A]]="","",ROUND(AVERAGEIFS(Eingabe[SP],Eingabe[Name],AuswertungA[[#This Row],[Name]],Eingabe[Wo],"A"),2))</f>
        <v>0.75</v>
      </c>
      <c r="K166" s="121">
        <f>IF(AuswertungA[[#This Row],[Spiele MP A]]="","",ROUND(AVERAGEIFS(Eingabe[MP],Eingabe[Name],AuswertungA[[#This Row],[Name]],Eingabe[Wo],"A"),2))</f>
        <v>0</v>
      </c>
      <c r="L166" s="117">
        <f>IFERROR(ROUND(AVERAGEIFS(Eingabe[S1],Eingabe[Name],AuswertungA[[#This Row],[Name]],Eingabe[Wo],"A"),0),"")</f>
        <v>121</v>
      </c>
      <c r="M166" s="268">
        <f>IFERROR(ROUND(AVERAGEIFS(Eingabe[S2],Eingabe[Name],AuswertungA[[#This Row],[Name]],Eingabe[Wo],"A"),0),"")</f>
        <v>130</v>
      </c>
      <c r="N166" s="117">
        <f>IFERROR(ROUND(AVERAGEIFS(Eingabe[S3],Eingabe[Name],AuswertungA[[#This Row],[Name]],Eingabe[Wo],"A"),0),"")</f>
        <v>133</v>
      </c>
      <c r="O166" s="268">
        <f>IFERROR(ROUND(AVERAGEIFS(Eingabe[S4],Eingabe[Name],AuswertungA[[#This Row],[Name]],Eingabe[Wo],"A"),0),"")</f>
        <v>126</v>
      </c>
      <c r="P166" s="121">
        <f>IF(AuswertungA[[#This Row],[Spiele MP A]]="","",ROUND(AVERAGEIFS(Eingabe[S1P],Eingabe[Name],AuswertungA[[#This Row],[Name]],Eingabe[Wo],"A"),2))</f>
        <v>0.25</v>
      </c>
      <c r="Q166" s="121">
        <f>IF(AuswertungA[[#This Row],[Spiele MP A]]="","",ROUND(AVERAGEIFS(Eingabe[S2P],Eingabe[Name],AuswertungA[[#This Row],[Name]],Eingabe[Wo],"A"),2))</f>
        <v>0.25</v>
      </c>
      <c r="R166" s="121">
        <f>IF(AuswertungA[[#This Row],[Spiele MP A]]="","",ROUND(AVERAGEIFS(Eingabe[S3P],Eingabe[Name],AuswertungA[[#This Row],[Name]],Eingabe[Wo],"A"),2))</f>
        <v>0.25</v>
      </c>
      <c r="S166" s="121">
        <f>IF(AuswertungA[[#This Row],[Spiele MP A]]="","",ROUND(AVERAGEIFS(Eingabe[S4P],Eingabe[Name],AuswertungA[[#This Row],[Name]],Eingabe[Wo],"A"),2))</f>
        <v>0</v>
      </c>
      <c r="T166" s="123" cm="1">
        <f t="array" ref="T166">IF(AuswertungA[[#This Row],[Spiele A]]="","",IF(AuswertungA[[#This Row],[Spiele A]]&lt;2,"",ROUND(SLOPE(_xlfn._xlws.FILTER(Eingabe[GES],(Eingabe[Name]=AuswertungA[[#This Row],[Name]])*(Eingabe[Wo]="A")),_xlfn._xlws.FILTER(Eingabe[KW],(Eingabe[Name]=AuswertungA[[#This Row],[Name]])*(Eingabe[Wo]="A"))),2)))</f>
        <v>6.17</v>
      </c>
      <c r="U166" s="123" cm="1">
        <f t="array" ref="U166">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6.39</v>
      </c>
      <c r="V166" s="117" cm="1">
        <f t="array" ref="V166">IF(AuswertungA[[#This Row],[Spiele A]]="","",IF(AuswertungA[[#This Row],[Spiele A]]&lt;2,"",ROUND(_xlfn.STDEV.P(_xlfn._xlws.FILTER(Eingabe[GES],(Eingabe[Name]=AuswertungA[[#This Row],[Name]])*(Eingabe[Wo]="A"))),0)))</f>
        <v>41</v>
      </c>
      <c r="W166" s="117">
        <f>IF(AuswertungA[[#This Row],[Spiele MP A]]="","",ROUND(AVERAGEIFS(Eingabe[GEGGES],Eingabe[Name],AuswertungA[[#This Row],[Name]],Eingabe[Wo],"A"),0))</f>
        <v>572</v>
      </c>
      <c r="X166" s="116" t="str">
        <f>VLOOKUP(AuswertungA[[#This Row],[Name]],PositionA[],21,FALSE)</f>
        <v>[2]</v>
      </c>
      <c r="Y166" s="116">
        <f>VLOOKUP(AuswertungA[[#This Row],[Name]],PositionA[],22,FALSE)</f>
        <v>2</v>
      </c>
      <c r="Z166" s="116" t="str">
        <f>VLOOKUP(AuswertungA[[#This Row],[Name]],PositionA[],23,FALSE)</f>
        <v>[1][2][5]</v>
      </c>
      <c r="AA166" s="121">
        <f>IF(AuswertungA[[#This Row],[Spiele MP A]]="","",ROUND(VLOOKUP(AuswertungA[[#This Row],[Name]],PositionA[],24,FALSE),2))</f>
        <v>0</v>
      </c>
      <c r="AB166" s="123">
        <f>IFERROR(ROUND(AVERAGEIFS(Eingabe[Rang],Eingabe[Name],AuswertungA[[#This Row],[Name]],Eingabe[Wo],"A"),1),"")</f>
        <v>5.3</v>
      </c>
      <c r="AC166" s="123" cm="1">
        <f t="array" ref="AC166">IFERROR(ROUND(MEDIAN(_xlfn._xlws.FILTER(Eingabe[GES],(Eingabe[Name]=AuswertungA[[#This Row],[Name]])*(Eingabe[Wo]="A"))),0),"")</f>
        <v>513</v>
      </c>
      <c r="AD166" s="121">
        <f>IFERROR(AuswertungA[[#This Row],[STABW A]]/AuswertungA[[#This Row],[GES A]],"")</f>
        <v>8.0550098231827114E-2</v>
      </c>
      <c r="AE166" s="123" cm="1">
        <f t="array" ref="AE166">IFERROR(ROUND(_xlfn.QUARTILE.INC(_xlfn._xlws.FILTER(Eingabe[GES],(Eingabe[Name]=AuswertungA[[#This Row],[Name]])*(Eingabe[Wo]="A")),3)-_xlfn.QUARTILE.INC(_xlfn._xlws.FILTER(Eingabe[GES],(Eingabe[Name]=AuswertungA[[#This Row],[Name]])*(Eingabe[Wo]="A")),1),0),"")</f>
        <v>74</v>
      </c>
      <c r="AF166" s="123">
        <f>IFERROR(1/AuswertungA[[#This Row],[VK A]],"")</f>
        <v>12.414634146341463</v>
      </c>
      <c r="AG166" s="123">
        <f>IFERROR(AuswertungA[[#This Row],[Volle A]]/AuswertungA[[#This Row],[Räumer A]]-2,"")</f>
        <v>0.20125786163522008</v>
      </c>
      <c r="AH166" s="117">
        <f>IFERROR(ROUND((AuswertungA[[#This Row],[Spiele A]]*60)/(AuswertungA[[#This Row],[Fehler A]]*AuswertungA[[#This Row],[Spiele A]]),0),"")</f>
        <v>5</v>
      </c>
      <c r="AI166" s="123" t="str" cm="1">
        <f t="array" ref="AI166">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66" s="267" t="str">
        <f>IFERROR(ROUND(AVERAGEIFS(Eingabe[MP],Eingabe[Diff],"&lt;15",Eingabe[Name],AuswertungA[[#This Row],[Name]],Eingabe[Wo],"A")-AuswertungA[[#This Row],[MP A]],2),"")</f>
        <v/>
      </c>
      <c r="AK166" s="117" cm="1">
        <f t="array" ref="AK166">IFERROR(ROUND(AVERAGE(_xlfn._xlws.FILTER(Eingabe[GES],(Eingabe[Name]=AuswertungA[[#This Row],[Name]])*(Eingabe[Wo]="A")*(Eingabe[GEGGES]&gt;(AuswertungA[[#This Row],[GES A]]+20))))-AuswertungA[[#This Row],[GES A]],0),"")</f>
        <v>0</v>
      </c>
      <c r="AL166" s="117" t="str" cm="1">
        <f t="array" ref="AL166">IFERROR(ROUND(AVERAGE(_xlfn._xlws.FILTER(Eingabe[GES],(Eingabe[Name]=AuswertungA[[#This Row],[Name]])*(Eingabe[Wo]="A")*(Eingabe[GEGGES]&lt;(AuswertungA[[#This Row],[GES A]]-20))))-AuswertungA[[#This Row],[GES A]],0),"")</f>
        <v/>
      </c>
    </row>
    <row r="167" spans="2:38" x14ac:dyDescent="0.3">
      <c r="B167" s="118" t="str">
        <f>B61</f>
        <v>Anna Müller</v>
      </c>
      <c r="C167" s="119" t="str">
        <f>IF(AuswertungA[[#This Row],[Name]]="","",VLOOKUP(AuswertungA[[#This Row],[Name]],Teamzuordnung[[Name]:[Team]],2,TRUE))</f>
        <v>U19</v>
      </c>
      <c r="D167" s="122">
        <f>COUNTIFS(Eingabe[Name],AuswertungA[[#This Row],[Name]],Eingabe[Wo],"A")</f>
        <v>8</v>
      </c>
      <c r="E167" s="117" t="str">
        <f>IF(AuswertungA[[#This Row],[Spiele A]]="","",IF(AuswertungA[[#This Row],[Spiele A]]-COUNTIFS(Eingabe[Name],AuswertungA[[#This Row],[Name]],Eingabe[MP],"",Eingabe[Wo],"A")=0,"",AuswertungA[[#This Row],[Spiele A]]-COUNTIFS(Eingabe[Name],AuswertungA[[#This Row],[Name]],Eingabe[MP],"",Eingabe[Wo],"A")))</f>
        <v/>
      </c>
      <c r="F167" s="117">
        <f>IF(AuswertungA[[#This Row],[Spiele A]]=0,"",ROUND(AVERAGEIFS(Eingabe[Volle],Eingabe[Name],AuswertungA[[#This Row],[Name]],Eingabe[Wo],"A"),0))</f>
        <v>349</v>
      </c>
      <c r="G167" s="117">
        <f>IF(AuswertungA[[#This Row],[Spiele A]]=0,"",ROUND(AVERAGEIFS(Eingabe[Räumer],Eingabe[Name],AuswertungA[[#This Row],[Name]],Eingabe[Wo],"A"),0))</f>
        <v>157</v>
      </c>
      <c r="H167" s="123">
        <f>IF(AuswertungA[[#This Row],[Spiele A]]=0,"",ROUND(AVERAGEIFS(Eingabe[Fehler],Eingabe[Name],AuswertungA[[#This Row],[Name]],Eingabe[Wo],"A"),1))</f>
        <v>9.6</v>
      </c>
      <c r="I167" s="117">
        <f>IF(AuswertungA[[#This Row],[Spiele A]]=0,"",ROUND(AVERAGEIFS(Eingabe[GES],Eingabe[Name],AuswertungA[[#This Row],[Name]],Eingabe[Wo],"A"),0))</f>
        <v>506</v>
      </c>
      <c r="J167" s="123" t="str">
        <f>IF(AuswertungA[[#This Row],[Spiele MP A]]="","",ROUND(AVERAGEIFS(Eingabe[SP],Eingabe[Name],AuswertungA[[#This Row],[Name]],Eingabe[Wo],"A"),2))</f>
        <v/>
      </c>
      <c r="K167" s="121" t="str">
        <f>IF(AuswertungA[[#This Row],[Spiele MP A]]="","",ROUND(AVERAGEIFS(Eingabe[MP],Eingabe[Name],AuswertungA[[#This Row],[Name]],Eingabe[Wo],"A"),2))</f>
        <v/>
      </c>
      <c r="L167" s="117">
        <f>IFERROR(ROUND(AVERAGEIFS(Eingabe[S1],Eingabe[Name],AuswertungA[[#This Row],[Name]],Eingabe[Wo],"A"),0),"")</f>
        <v>127</v>
      </c>
      <c r="M167" s="268">
        <f>IFERROR(ROUND(AVERAGEIFS(Eingabe[S2],Eingabe[Name],AuswertungA[[#This Row],[Name]],Eingabe[Wo],"A"),0),"")</f>
        <v>130</v>
      </c>
      <c r="N167" s="117">
        <f>IFERROR(ROUND(AVERAGEIFS(Eingabe[S3],Eingabe[Name],AuswertungA[[#This Row],[Name]],Eingabe[Wo],"A"),0),"")</f>
        <v>119</v>
      </c>
      <c r="O167" s="268">
        <f>IFERROR(ROUND(AVERAGEIFS(Eingabe[S4],Eingabe[Name],AuswertungA[[#This Row],[Name]],Eingabe[Wo],"A"),0),"")</f>
        <v>130</v>
      </c>
      <c r="P167" s="121" t="str">
        <f>IF(AuswertungA[[#This Row],[Spiele MP A]]="","",ROUND(AVERAGEIFS(Eingabe[S1P],Eingabe[Name],AuswertungA[[#This Row],[Name]],Eingabe[Wo],"A"),2))</f>
        <v/>
      </c>
      <c r="Q167" s="121" t="str">
        <f>IF(AuswertungA[[#This Row],[Spiele MP A]]="","",ROUND(AVERAGEIFS(Eingabe[S2P],Eingabe[Name],AuswertungA[[#This Row],[Name]],Eingabe[Wo],"A"),2))</f>
        <v/>
      </c>
      <c r="R167" s="121" t="str">
        <f>IF(AuswertungA[[#This Row],[Spiele MP A]]="","",ROUND(AVERAGEIFS(Eingabe[S3P],Eingabe[Name],AuswertungA[[#This Row],[Name]],Eingabe[Wo],"A"),2))</f>
        <v/>
      </c>
      <c r="S167" s="121" t="str">
        <f>IF(AuswertungA[[#This Row],[Spiele MP A]]="","",ROUND(AVERAGEIFS(Eingabe[S4P],Eingabe[Name],AuswertungA[[#This Row],[Name]],Eingabe[Wo],"A"),2))</f>
        <v/>
      </c>
      <c r="T167" s="123" cm="1">
        <f t="array" ref="T167">IF(AuswertungA[[#This Row],[Spiele A]]="","",IF(AuswertungA[[#This Row],[Spiele A]]&lt;2,"",ROUND(SLOPE(_xlfn._xlws.FILTER(Eingabe[GES],(Eingabe[Name]=AuswertungA[[#This Row],[Name]])*(Eingabe[Wo]="A")),_xlfn._xlws.FILTER(Eingabe[KW],(Eingabe[Name]=AuswertungA[[#This Row],[Name]])*(Eingabe[Wo]="A"))),2)))</f>
        <v>-0.54</v>
      </c>
      <c r="U167" s="123" cm="1">
        <f t="array" ref="U167">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-0.61</v>
      </c>
      <c r="V167" s="117" cm="1">
        <f t="array" ref="V167">IF(AuswertungA[[#This Row],[Spiele A]]="","",IF(AuswertungA[[#This Row],[Spiele A]]&lt;2,"",ROUND(_xlfn.STDEV.P(_xlfn._xlws.FILTER(Eingabe[GES],(Eingabe[Name]=AuswertungA[[#This Row],[Name]])*(Eingabe[Wo]="A"))),0)))</f>
        <v>19</v>
      </c>
      <c r="W167" s="117" t="str">
        <f>IF(AuswertungA[[#This Row],[Spiele MP A]]="","",ROUND(AVERAGEIFS(Eingabe[GEGGES],Eingabe[Name],AuswertungA[[#This Row],[Name]],Eingabe[Wo],"A"),0))</f>
        <v/>
      </c>
      <c r="X167" s="123" t="str">
        <f>VLOOKUP(AuswertungA[[#This Row],[Name]],PositionA[],21,FALSE)</f>
        <v/>
      </c>
      <c r="Y167" s="123" t="str">
        <f>VLOOKUP(AuswertungA[[#This Row],[Name]],PositionA[],22,FALSE)</f>
        <v/>
      </c>
      <c r="Z167" s="123" t="str">
        <f>VLOOKUP(AuswertungA[[#This Row],[Name]],PositionA[],23,FALSE)</f>
        <v/>
      </c>
      <c r="AA167" s="121" t="str">
        <f>IF(AuswertungA[[#This Row],[Spiele MP A]]="","",ROUND(VLOOKUP(AuswertungA[[#This Row],[Name]],PositionA[],24,FALSE),2))</f>
        <v/>
      </c>
      <c r="AB167" s="123">
        <f>IFERROR(ROUND(AVERAGEIFS(Eingabe[Rang],Eingabe[Name],AuswertungA[[#This Row],[Name]],Eingabe[Wo],"A"),1),"")</f>
        <v>2.2999999999999998</v>
      </c>
      <c r="AC167" s="123" cm="1">
        <f t="array" ref="AC167">IFERROR(ROUND(MEDIAN(_xlfn._xlws.FILTER(Eingabe[GES],(Eingabe[Name]=AuswertungA[[#This Row],[Name]])*(Eingabe[Wo]="A"))),0),"")</f>
        <v>505</v>
      </c>
      <c r="AD167" s="121">
        <f>IFERROR(AuswertungA[[#This Row],[STABW A]]/AuswertungA[[#This Row],[GES A]],"")</f>
        <v>3.7549407114624504E-2</v>
      </c>
      <c r="AE167" s="123" cm="1">
        <f t="array" ref="AE167">IFERROR(ROUND(_xlfn.QUARTILE.INC(_xlfn._xlws.FILTER(Eingabe[GES],(Eingabe[Name]=AuswertungA[[#This Row],[Name]])*(Eingabe[Wo]="A")),3)-_xlfn.QUARTILE.INC(_xlfn._xlws.FILTER(Eingabe[GES],(Eingabe[Name]=AuswertungA[[#This Row],[Name]])*(Eingabe[Wo]="A")),1),0),"")</f>
        <v>15</v>
      </c>
      <c r="AF167" s="123">
        <f>IFERROR(1/AuswertungA[[#This Row],[VK A]],"")</f>
        <v>26.631578947368421</v>
      </c>
      <c r="AG167" s="123">
        <f>IFERROR(AuswertungA[[#This Row],[Volle A]]/AuswertungA[[#This Row],[Räumer A]]-2,"")</f>
        <v>0.22292993630573266</v>
      </c>
      <c r="AH167" s="117">
        <f>IFERROR(ROUND((AuswertungA[[#This Row],[Spiele A]]*60)/(AuswertungA[[#This Row],[Fehler A]]*AuswertungA[[#This Row],[Spiele A]]),0),"")</f>
        <v>6</v>
      </c>
      <c r="AI167" s="123" t="str" cm="1">
        <f t="array" ref="AI167">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67" s="267" t="str">
        <f>IFERROR(ROUND(AVERAGEIFS(Eingabe[MP],Eingabe[Diff],"&lt;15",Eingabe[Name],AuswertungA[[#This Row],[Name]],Eingabe[Wo],"A")-AuswertungA[[#This Row],[MP A]],2),"")</f>
        <v/>
      </c>
      <c r="AK167" s="117" t="str" cm="1">
        <f t="array" ref="AK167">IFERROR(ROUND(AVERAGE(_xlfn._xlws.FILTER(Eingabe[GES],(Eingabe[Name]=AuswertungA[[#This Row],[Name]])*(Eingabe[Wo]="A")*(Eingabe[GEGGES]&gt;(AuswertungA[[#This Row],[GES A]]+20))))-AuswertungA[[#This Row],[GES A]],0),"")</f>
        <v/>
      </c>
      <c r="AL167" s="117" cm="1">
        <f t="array" ref="AL167">IFERROR(ROUND(AVERAGE(_xlfn._xlws.FILTER(Eingabe[GES],(Eingabe[Name]=AuswertungA[[#This Row],[Name]])*(Eingabe[Wo]="A")*(Eingabe[GEGGES]&lt;(AuswertungA[[#This Row],[GES A]]-20))))-AuswertungA[[#This Row],[GES A]],0),"")</f>
        <v>0</v>
      </c>
    </row>
    <row r="168" spans="2:38" x14ac:dyDescent="0.3">
      <c r="B168" s="118" t="str">
        <f>B62</f>
        <v>Ben Becker</v>
      </c>
      <c r="C168" s="119" t="str">
        <f>IF(AuswertungA[[#This Row],[Name]]="","",VLOOKUP(AuswertungA[[#This Row],[Name]],Teamzuordnung[[Name]:[Team]],2,TRUE))</f>
        <v>D</v>
      </c>
      <c r="D168" s="122">
        <f>COUNTIFS(Eingabe[Name],AuswertungA[[#This Row],[Name]],Eingabe[Wo],"A")</f>
        <v>0</v>
      </c>
      <c r="E168" s="117" t="str">
        <f>IF(AuswertungA[[#This Row],[Spiele A]]="","",IF(AuswertungA[[#This Row],[Spiele A]]-COUNTIFS(Eingabe[Name],AuswertungA[[#This Row],[Name]],Eingabe[MP],"",Eingabe[Wo],"A")=0,"",AuswertungA[[#This Row],[Spiele A]]-COUNTIFS(Eingabe[Name],AuswertungA[[#This Row],[Name]],Eingabe[MP],"",Eingabe[Wo],"A")))</f>
        <v/>
      </c>
      <c r="F168" s="117" t="str">
        <f>IF(AuswertungA[[#This Row],[Spiele A]]=0,"",ROUND(AVERAGEIFS(Eingabe[Volle],Eingabe[Name],AuswertungA[[#This Row],[Name]],Eingabe[Wo],"A"),0))</f>
        <v/>
      </c>
      <c r="G168" s="117" t="str">
        <f>IF(AuswertungA[[#This Row],[Spiele A]]=0,"",ROUND(AVERAGEIFS(Eingabe[Räumer],Eingabe[Name],AuswertungA[[#This Row],[Name]],Eingabe[Wo],"A"),0))</f>
        <v/>
      </c>
      <c r="H168" s="123" t="str">
        <f>IF(AuswertungA[[#This Row],[Spiele A]]=0,"",ROUND(AVERAGEIFS(Eingabe[Fehler],Eingabe[Name],AuswertungA[[#This Row],[Name]],Eingabe[Wo],"A"),1))</f>
        <v/>
      </c>
      <c r="I168" s="117" t="str">
        <f>IF(AuswertungA[[#This Row],[Spiele A]]=0,"",ROUND(AVERAGEIFS(Eingabe[GES],Eingabe[Name],AuswertungA[[#This Row],[Name]],Eingabe[Wo],"A"),0))</f>
        <v/>
      </c>
      <c r="J168" s="123" t="str">
        <f>IF(AuswertungA[[#This Row],[Spiele MP A]]="","",ROUND(AVERAGEIFS(Eingabe[SP],Eingabe[Name],AuswertungA[[#This Row],[Name]],Eingabe[Wo],"A"),2))</f>
        <v/>
      </c>
      <c r="K168" s="121" t="str">
        <f>IF(AuswertungA[[#This Row],[Spiele MP A]]="","",ROUND(AVERAGEIFS(Eingabe[MP],Eingabe[Name],AuswertungA[[#This Row],[Name]],Eingabe[Wo],"A"),2))</f>
        <v/>
      </c>
      <c r="L168" s="117" t="str">
        <f>IFERROR(ROUND(AVERAGEIFS(Eingabe[S1],Eingabe[Name],AuswertungA[[#This Row],[Name]],Eingabe[Wo],"A"),0),"")</f>
        <v/>
      </c>
      <c r="M168" s="268" t="str">
        <f>IFERROR(ROUND(AVERAGEIFS(Eingabe[S2],Eingabe[Name],AuswertungA[[#This Row],[Name]],Eingabe[Wo],"A"),0),"")</f>
        <v/>
      </c>
      <c r="N168" s="117" t="str">
        <f>IFERROR(ROUND(AVERAGEIFS(Eingabe[S3],Eingabe[Name],AuswertungA[[#This Row],[Name]],Eingabe[Wo],"A"),0),"")</f>
        <v/>
      </c>
      <c r="O168" s="268" t="str">
        <f>IFERROR(ROUND(AVERAGEIFS(Eingabe[S4],Eingabe[Name],AuswertungA[[#This Row],[Name]],Eingabe[Wo],"A"),0),"")</f>
        <v/>
      </c>
      <c r="P168" s="121" t="str">
        <f>IF(AuswertungA[[#This Row],[Spiele MP A]]="","",ROUND(AVERAGEIFS(Eingabe[S1P],Eingabe[Name],AuswertungA[[#This Row],[Name]],Eingabe[Wo],"A"),2))</f>
        <v/>
      </c>
      <c r="Q168" s="121" t="str">
        <f>IF(AuswertungA[[#This Row],[Spiele MP A]]="","",ROUND(AVERAGEIFS(Eingabe[S2P],Eingabe[Name],AuswertungA[[#This Row],[Name]],Eingabe[Wo],"A"),2))</f>
        <v/>
      </c>
      <c r="R168" s="121" t="str">
        <f>IF(AuswertungA[[#This Row],[Spiele MP A]]="","",ROUND(AVERAGEIFS(Eingabe[S3P],Eingabe[Name],AuswertungA[[#This Row],[Name]],Eingabe[Wo],"A"),2))</f>
        <v/>
      </c>
      <c r="S168" s="121" t="str">
        <f>IF(AuswertungA[[#This Row],[Spiele MP A]]="","",ROUND(AVERAGEIFS(Eingabe[S4P],Eingabe[Name],AuswertungA[[#This Row],[Name]],Eingabe[Wo],"A"),2))</f>
        <v/>
      </c>
      <c r="T168" s="123" t="str" cm="1">
        <f t="array" ref="T168">IF(AuswertungA[[#This Row],[Spiele A]]="","",IF(AuswertungA[[#This Row],[Spiele A]]&lt;2,"",ROUND(SLOPE(_xlfn._xlws.FILTER(Eingabe[GES],(Eingabe[Name]=AuswertungA[[#This Row],[Name]])*(Eingabe[Wo]="A")),_xlfn._xlws.FILTER(Eingabe[KW],(Eingabe[Name]=AuswertungA[[#This Row],[Name]])*(Eingabe[Wo]="A"))),2)))</f>
        <v/>
      </c>
      <c r="U168" s="123" t="str" cm="1">
        <f t="array" ref="U168">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68" s="117" t="str" cm="1">
        <f t="array" ref="V168">IF(AuswertungA[[#This Row],[Spiele A]]="","",IF(AuswertungA[[#This Row],[Spiele A]]&lt;2,"",ROUND(_xlfn.STDEV.P(_xlfn._xlws.FILTER(Eingabe[GES],(Eingabe[Name]=AuswertungA[[#This Row],[Name]])*(Eingabe[Wo]="A"))),0)))</f>
        <v/>
      </c>
      <c r="W168" s="117" t="str">
        <f>IF(AuswertungA[[#This Row],[Spiele MP A]]="","",ROUND(AVERAGEIFS(Eingabe[GEGGES],Eingabe[Name],AuswertungA[[#This Row],[Name]],Eingabe[Wo],"A"),0))</f>
        <v/>
      </c>
      <c r="X168" s="123" t="str">
        <f>VLOOKUP(AuswertungA[[#This Row],[Name]],PositionA[],21,FALSE)</f>
        <v/>
      </c>
      <c r="Y168" s="123" t="str">
        <f>VLOOKUP(AuswertungA[[#This Row],[Name]],PositionA[],22,FALSE)</f>
        <v/>
      </c>
      <c r="Z168" s="123" t="str">
        <f>VLOOKUP(AuswertungA[[#This Row],[Name]],PositionA[],23,FALSE)</f>
        <v/>
      </c>
      <c r="AA168" s="121" t="str">
        <f>IF(AuswertungA[[#This Row],[Spiele MP A]]="","",ROUND(VLOOKUP(AuswertungA[[#This Row],[Name]],PositionA[],24,FALSE),2))</f>
        <v/>
      </c>
      <c r="AB168" s="123" t="str">
        <f>IFERROR(ROUND(AVERAGEIFS(Eingabe[Rang],Eingabe[Name],AuswertungA[[#This Row],[Name]],Eingabe[Wo],"A"),1),"")</f>
        <v/>
      </c>
      <c r="AC168" s="123" t="str" cm="1">
        <f t="array" ref="AC168">IFERROR(ROUND(MEDIAN(_xlfn._xlws.FILTER(Eingabe[GES],(Eingabe[Name]=AuswertungA[[#This Row],[Name]])*(Eingabe[Wo]="A"))),0),"")</f>
        <v/>
      </c>
      <c r="AD168" s="121" t="str">
        <f>IFERROR(AuswertungA[[#This Row],[STABW A]]/AuswertungA[[#This Row],[GES A]],"")</f>
        <v/>
      </c>
      <c r="AE168" s="123" t="str" cm="1">
        <f t="array" ref="AE168">IFERROR(ROUND(_xlfn.QUARTILE.INC(_xlfn._xlws.FILTER(Eingabe[GES],(Eingabe[Name]=AuswertungA[[#This Row],[Name]])*(Eingabe[Wo]="A")),3)-_xlfn.QUARTILE.INC(_xlfn._xlws.FILTER(Eingabe[GES],(Eingabe[Name]=AuswertungA[[#This Row],[Name]])*(Eingabe[Wo]="A")),1),0),"")</f>
        <v/>
      </c>
      <c r="AF168" s="123" t="str">
        <f>IFERROR(1/AuswertungA[[#This Row],[VK A]],"")</f>
        <v/>
      </c>
      <c r="AG168" s="123" t="str">
        <f>IFERROR(AuswertungA[[#This Row],[Volle A]]/AuswertungA[[#This Row],[Räumer A]]-2,"")</f>
        <v/>
      </c>
      <c r="AH168" s="117" t="str">
        <f>IFERROR(ROUND((AuswertungA[[#This Row],[Spiele A]]*60)/(AuswertungA[[#This Row],[Fehler A]]*AuswertungA[[#This Row],[Spiele A]]),0),"")</f>
        <v/>
      </c>
      <c r="AI168" s="123" t="str" cm="1">
        <f t="array" ref="AI168">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68" s="267" t="str">
        <f>IFERROR(ROUND(AVERAGEIFS(Eingabe[MP],Eingabe[Diff],"&lt;15",Eingabe[Name],AuswertungA[[#This Row],[Name]],Eingabe[Wo],"A")-AuswertungA[[#This Row],[MP A]],2),"")</f>
        <v/>
      </c>
      <c r="AK168" s="117" t="str" cm="1">
        <f t="array" ref="AK168">IFERROR(ROUND(AVERAGE(_xlfn._xlws.FILTER(Eingabe[GES],(Eingabe[Name]=AuswertungA[[#This Row],[Name]])*(Eingabe[Wo]="A")*(Eingabe[GEGGES]&gt;(AuswertungA[[#This Row],[GES A]]+20))))-AuswertungA[[#This Row],[GES A]],0),"")</f>
        <v/>
      </c>
      <c r="AL168" s="117" t="str" cm="1">
        <f t="array" ref="AL168">IFERROR(ROUND(AVERAGE(_xlfn._xlws.FILTER(Eingabe[GES],(Eingabe[Name]=AuswertungA[[#This Row],[Name]])*(Eingabe[Wo]="A")*(Eingabe[GEGGES]&lt;(AuswertungA[[#This Row],[GES A]]-20))))-AuswertungA[[#This Row],[GES A]],0),"")</f>
        <v/>
      </c>
    </row>
    <row r="169" spans="2:38" x14ac:dyDescent="0.3">
      <c r="B169" s="118" t="str">
        <f t="shared" ref="B169:B213" si="3">B63</f>
        <v>Ben Böhmer</v>
      </c>
      <c r="C169" s="119" t="str">
        <f>IF(AuswertungA[[#This Row],[Name]]="","",VLOOKUP(AuswertungA[[#This Row],[Name]],Teamzuordnung[[Name]:[Team]],2,TRUE))</f>
        <v>U14</v>
      </c>
      <c r="D169" s="122">
        <f>COUNTIFS(Eingabe[Name],AuswertungA[[#This Row],[Name]],Eingabe[Wo],"A")</f>
        <v>4</v>
      </c>
      <c r="E169" s="117" t="str">
        <f>IF(AuswertungA[[#This Row],[Spiele A]]="","",IF(AuswertungA[[#This Row],[Spiele A]]-COUNTIFS(Eingabe[Name],AuswertungA[[#This Row],[Name]],Eingabe[MP],"",Eingabe[Wo],"A")=0,"",AuswertungA[[#This Row],[Spiele A]]-COUNTIFS(Eingabe[Name],AuswertungA[[#This Row],[Name]],Eingabe[MP],"",Eingabe[Wo],"A")))</f>
        <v/>
      </c>
      <c r="F169" s="117">
        <f>IF(AuswertungA[[#This Row],[Spiele A]]=0,"",ROUND(AVERAGEIFS(Eingabe[Volle],Eingabe[Name],AuswertungA[[#This Row],[Name]],Eingabe[Wo],"A"),0))</f>
        <v>249</v>
      </c>
      <c r="G169" s="117">
        <f>IF(AuswertungA[[#This Row],[Spiele A]]=0,"",ROUND(AVERAGEIFS(Eingabe[Räumer],Eingabe[Name],AuswertungA[[#This Row],[Name]],Eingabe[Wo],"A"),0))</f>
        <v>80</v>
      </c>
      <c r="H169" s="123">
        <f>IF(AuswertungA[[#This Row],[Spiele A]]=0,"",ROUND(AVERAGEIFS(Eingabe[Fehler],Eingabe[Name],AuswertungA[[#This Row],[Name]],Eingabe[Wo],"A"),1))</f>
        <v>34.799999999999997</v>
      </c>
      <c r="I169" s="117">
        <f>IF(AuswertungA[[#This Row],[Spiele A]]=0,"",ROUND(AVERAGEIFS(Eingabe[GES],Eingabe[Name],AuswertungA[[#This Row],[Name]],Eingabe[Wo],"A"),0))</f>
        <v>329</v>
      </c>
      <c r="J169" s="123" t="str">
        <f>IF(AuswertungA[[#This Row],[Spiele MP A]]="","",ROUND(AVERAGEIFS(Eingabe[SP],Eingabe[Name],AuswertungA[[#This Row],[Name]],Eingabe[Wo],"A"),2))</f>
        <v/>
      </c>
      <c r="K169" s="121" t="str">
        <f>IF(AuswertungA[[#This Row],[Spiele MP A]]="","",ROUND(AVERAGEIFS(Eingabe[MP],Eingabe[Name],AuswertungA[[#This Row],[Name]],Eingabe[Wo],"A"),2))</f>
        <v/>
      </c>
      <c r="L169" s="117">
        <f>IFERROR(ROUND(AVERAGEIFS(Eingabe[S1],Eingabe[Name],AuswertungA[[#This Row],[Name]],Eingabe[Wo],"A"),0),"")</f>
        <v>85</v>
      </c>
      <c r="M169" s="268">
        <f>IFERROR(ROUND(AVERAGEIFS(Eingabe[S2],Eingabe[Name],AuswertungA[[#This Row],[Name]],Eingabe[Wo],"A"),0),"")</f>
        <v>93</v>
      </c>
      <c r="N169" s="117">
        <f>IFERROR(ROUND(AVERAGEIFS(Eingabe[S3],Eingabe[Name],AuswertungA[[#This Row],[Name]],Eingabe[Wo],"A"),0),"")</f>
        <v>68</v>
      </c>
      <c r="O169" s="268">
        <f>IFERROR(ROUND(AVERAGEIFS(Eingabe[S4],Eingabe[Name],AuswertungA[[#This Row],[Name]],Eingabe[Wo],"A"),0),"")</f>
        <v>86</v>
      </c>
      <c r="P169" s="121" t="str">
        <f>IF(AuswertungA[[#This Row],[Spiele MP A]]="","",ROUND(AVERAGEIFS(Eingabe[S1P],Eingabe[Name],AuswertungA[[#This Row],[Name]],Eingabe[Wo],"A"),2))</f>
        <v/>
      </c>
      <c r="Q169" s="121" t="str">
        <f>IF(AuswertungA[[#This Row],[Spiele MP A]]="","",ROUND(AVERAGEIFS(Eingabe[S2P],Eingabe[Name],AuswertungA[[#This Row],[Name]],Eingabe[Wo],"A"),2))</f>
        <v/>
      </c>
      <c r="R169" s="121" t="str">
        <f>IF(AuswertungA[[#This Row],[Spiele MP A]]="","",ROUND(AVERAGEIFS(Eingabe[S3P],Eingabe[Name],AuswertungA[[#This Row],[Name]],Eingabe[Wo],"A"),2))</f>
        <v/>
      </c>
      <c r="S169" s="121" t="str">
        <f>IF(AuswertungA[[#This Row],[Spiele MP A]]="","",ROUND(AVERAGEIFS(Eingabe[S4P],Eingabe[Name],AuswertungA[[#This Row],[Name]],Eingabe[Wo],"A"),2))</f>
        <v/>
      </c>
      <c r="T169" s="123" cm="1">
        <f t="array" ref="T169">IF(AuswertungA[[#This Row],[Spiele A]]="","",IF(AuswertungA[[#This Row],[Spiele A]]&lt;2,"",ROUND(SLOPE(_xlfn._xlws.FILTER(Eingabe[GES],(Eingabe[Name]=AuswertungA[[#This Row],[Name]])*(Eingabe[Wo]="A")),_xlfn._xlws.FILTER(Eingabe[KW],(Eingabe[Name]=AuswertungA[[#This Row],[Name]])*(Eingabe[Wo]="A"))),2)))</f>
        <v>1.34</v>
      </c>
      <c r="U169" s="123" cm="1">
        <f t="array" ref="U169">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0.21</v>
      </c>
      <c r="V169" s="117" cm="1">
        <f t="array" ref="V169">IF(AuswertungA[[#This Row],[Spiele A]]="","",IF(AuswertungA[[#This Row],[Spiele A]]&lt;2,"",ROUND(_xlfn.STDEV.P(_xlfn._xlws.FILTER(Eingabe[GES],(Eingabe[Name]=AuswertungA[[#This Row],[Name]])*(Eingabe[Wo]="A"))),0)))</f>
        <v>21</v>
      </c>
      <c r="W169" s="117" t="str">
        <f>IF(AuswertungA[[#This Row],[Spiele MP A]]="","",ROUND(AVERAGEIFS(Eingabe[GEGGES],Eingabe[Name],AuswertungA[[#This Row],[Name]],Eingabe[Wo],"A"),0))</f>
        <v/>
      </c>
      <c r="X169" s="123" t="str">
        <f>VLOOKUP(AuswertungA[[#This Row],[Name]],PositionA[],21,FALSE)</f>
        <v/>
      </c>
      <c r="Y169" s="123" t="str">
        <f>VLOOKUP(AuswertungA[[#This Row],[Name]],PositionA[],22,FALSE)</f>
        <v/>
      </c>
      <c r="Z169" s="123" t="str">
        <f>VLOOKUP(AuswertungA[[#This Row],[Name]],PositionA[],23,FALSE)</f>
        <v/>
      </c>
      <c r="AA169" s="121" t="str">
        <f>IF(AuswertungA[[#This Row],[Spiele MP A]]="","",ROUND(VLOOKUP(AuswertungA[[#This Row],[Name]],PositionA[],24,FALSE),2))</f>
        <v/>
      </c>
      <c r="AB169" s="123">
        <f>IFERROR(ROUND(AVERAGEIFS(Eingabe[Rang],Eingabe[Name],AuswertungA[[#This Row],[Name]],Eingabe[Wo],"A"),1),"")</f>
        <v>3.5</v>
      </c>
      <c r="AC169" s="123" cm="1">
        <f t="array" ref="AC169">IFERROR(ROUND(MEDIAN(_xlfn._xlws.FILTER(Eingabe[GES],(Eingabe[Name]=AuswertungA[[#This Row],[Name]])*(Eingabe[Wo]="A"))),0),"")</f>
        <v>334</v>
      </c>
      <c r="AD169" s="121">
        <f>IFERROR(AuswertungA[[#This Row],[STABW A]]/AuswertungA[[#This Row],[GES A]],"")</f>
        <v>6.3829787234042548E-2</v>
      </c>
      <c r="AE169" s="123" cm="1">
        <f t="array" ref="AE169">IFERROR(ROUND(_xlfn.QUARTILE.INC(_xlfn._xlws.FILTER(Eingabe[GES],(Eingabe[Name]=AuswertungA[[#This Row],[Name]])*(Eingabe[Wo]="A")),3)-_xlfn.QUARTILE.INC(_xlfn._xlws.FILTER(Eingabe[GES],(Eingabe[Name]=AuswertungA[[#This Row],[Name]])*(Eingabe[Wo]="A")),1),0),"")</f>
        <v>32</v>
      </c>
      <c r="AF169" s="123">
        <f>IFERROR(1/AuswertungA[[#This Row],[VK A]],"")</f>
        <v>15.666666666666668</v>
      </c>
      <c r="AG169" s="123">
        <f>IFERROR(AuswertungA[[#This Row],[Volle A]]/AuswertungA[[#This Row],[Räumer A]]-2,"")</f>
        <v>1.1124999999999998</v>
      </c>
      <c r="AH169" s="117">
        <f>IFERROR(ROUND((AuswertungA[[#This Row],[Spiele A]]*60)/(AuswertungA[[#This Row],[Fehler A]]*AuswertungA[[#This Row],[Spiele A]]),0),"")</f>
        <v>2</v>
      </c>
      <c r="AI169" s="123" t="str" cm="1">
        <f t="array" ref="AI169">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69" s="267" t="str">
        <f>IFERROR(ROUND(AVERAGEIFS(Eingabe[MP],Eingabe[Diff],"&lt;15",Eingabe[Name],AuswertungA[[#This Row],[Name]],Eingabe[Wo],"A")-AuswertungA[[#This Row],[MP A]],2),"")</f>
        <v/>
      </c>
      <c r="AK169" s="117" t="str" cm="1">
        <f t="array" ref="AK169">IFERROR(ROUND(AVERAGE(_xlfn._xlws.FILTER(Eingabe[GES],(Eingabe[Name]=AuswertungA[[#This Row],[Name]])*(Eingabe[Wo]="A")*(Eingabe[GEGGES]&gt;(AuswertungA[[#This Row],[GES A]]+20))))-AuswertungA[[#This Row],[GES A]],0),"")</f>
        <v/>
      </c>
      <c r="AL169" s="117" cm="1">
        <f t="array" ref="AL169">IFERROR(ROUND(AVERAGE(_xlfn._xlws.FILTER(Eingabe[GES],(Eingabe[Name]=AuswertungA[[#This Row],[Name]])*(Eingabe[Wo]="A")*(Eingabe[GEGGES]&lt;(AuswertungA[[#This Row],[GES A]]-20))))-AuswertungA[[#This Row],[GES A]],0),"")</f>
        <v>0</v>
      </c>
    </row>
    <row r="170" spans="2:38" x14ac:dyDescent="0.3">
      <c r="B170" s="118" t="str">
        <f t="shared" si="3"/>
        <v>Bruno Bergelt</v>
      </c>
      <c r="C170" s="119" t="str">
        <f>IF(AuswertungA[[#This Row],[Name]]="","",VLOOKUP(AuswertungA[[#This Row],[Name]],Teamzuordnung[[Name]:[Team]],2,TRUE))</f>
        <v>U14</v>
      </c>
      <c r="D170" s="122">
        <f>COUNTIFS(Eingabe[Name],AuswertungA[[#This Row],[Name]],Eingabe[Wo],"A")</f>
        <v>4</v>
      </c>
      <c r="E170" s="117" t="str">
        <f>IF(AuswertungA[[#This Row],[Spiele A]]="","",IF(AuswertungA[[#This Row],[Spiele A]]-COUNTIFS(Eingabe[Name],AuswertungA[[#This Row],[Name]],Eingabe[MP],"",Eingabe[Wo],"A")=0,"",AuswertungA[[#This Row],[Spiele A]]-COUNTIFS(Eingabe[Name],AuswertungA[[#This Row],[Name]],Eingabe[MP],"",Eingabe[Wo],"A")))</f>
        <v/>
      </c>
      <c r="F170" s="117">
        <f>IF(AuswertungA[[#This Row],[Spiele A]]=0,"",ROUND(AVERAGEIFS(Eingabe[Volle],Eingabe[Name],AuswertungA[[#This Row],[Name]],Eingabe[Wo],"A"),0))</f>
        <v>285</v>
      </c>
      <c r="G170" s="117">
        <f>IF(AuswertungA[[#This Row],[Spiele A]]=0,"",ROUND(AVERAGEIFS(Eingabe[Räumer],Eingabe[Name],AuswertungA[[#This Row],[Name]],Eingabe[Wo],"A"),0))</f>
        <v>99</v>
      </c>
      <c r="H170" s="123">
        <f>IF(AuswertungA[[#This Row],[Spiele A]]=0,"",ROUND(AVERAGEIFS(Eingabe[Fehler],Eingabe[Name],AuswertungA[[#This Row],[Name]],Eingabe[Wo],"A"),1))</f>
        <v>22</v>
      </c>
      <c r="I170" s="117">
        <f>IF(AuswertungA[[#This Row],[Spiele A]]=0,"",ROUND(AVERAGEIFS(Eingabe[GES],Eingabe[Name],AuswertungA[[#This Row],[Name]],Eingabe[Wo],"A"),0))</f>
        <v>383</v>
      </c>
      <c r="J170" s="123" t="str">
        <f>IF(AuswertungA[[#This Row],[Spiele MP A]]="","",ROUND(AVERAGEIFS(Eingabe[SP],Eingabe[Name],AuswertungA[[#This Row],[Name]],Eingabe[Wo],"A"),2))</f>
        <v/>
      </c>
      <c r="K170" s="121" t="str">
        <f>IF(AuswertungA[[#This Row],[Spiele MP A]]="","",ROUND(AVERAGEIFS(Eingabe[MP],Eingabe[Name],AuswertungA[[#This Row],[Name]],Eingabe[Wo],"A"),2))</f>
        <v/>
      </c>
      <c r="L170" s="117">
        <f>IFERROR(ROUND(AVERAGEIFS(Eingabe[S1],Eingabe[Name],AuswertungA[[#This Row],[Name]],Eingabe[Wo],"A"),0),"")</f>
        <v>99</v>
      </c>
      <c r="M170" s="268">
        <f>IFERROR(ROUND(AVERAGEIFS(Eingabe[S2],Eingabe[Name],AuswertungA[[#This Row],[Name]],Eingabe[Wo],"A"),0),"")</f>
        <v>97</v>
      </c>
      <c r="N170" s="117">
        <f>IFERROR(ROUND(AVERAGEIFS(Eingabe[S3],Eingabe[Name],AuswertungA[[#This Row],[Name]],Eingabe[Wo],"A"),0),"")</f>
        <v>90</v>
      </c>
      <c r="O170" s="268">
        <f>IFERROR(ROUND(AVERAGEIFS(Eingabe[S4],Eingabe[Name],AuswertungA[[#This Row],[Name]],Eingabe[Wo],"A"),0),"")</f>
        <v>98</v>
      </c>
      <c r="P170" s="121" t="str">
        <f>IF(AuswertungA[[#This Row],[Spiele MP A]]="","",ROUND(AVERAGEIFS(Eingabe[S1P],Eingabe[Name],AuswertungA[[#This Row],[Name]],Eingabe[Wo],"A"),2))</f>
        <v/>
      </c>
      <c r="Q170" s="121" t="str">
        <f>IF(AuswertungA[[#This Row],[Spiele MP A]]="","",ROUND(AVERAGEIFS(Eingabe[S2P],Eingabe[Name],AuswertungA[[#This Row],[Name]],Eingabe[Wo],"A"),2))</f>
        <v/>
      </c>
      <c r="R170" s="121" t="str">
        <f>IF(AuswertungA[[#This Row],[Spiele MP A]]="","",ROUND(AVERAGEIFS(Eingabe[S3P],Eingabe[Name],AuswertungA[[#This Row],[Name]],Eingabe[Wo],"A"),2))</f>
        <v/>
      </c>
      <c r="S170" s="121" t="str">
        <f>IF(AuswertungA[[#This Row],[Spiele MP A]]="","",ROUND(AVERAGEIFS(Eingabe[S4P],Eingabe[Name],AuswertungA[[#This Row],[Name]],Eingabe[Wo],"A"),2))</f>
        <v/>
      </c>
      <c r="T170" s="123" cm="1">
        <f t="array" ref="T170">IF(AuswertungA[[#This Row],[Spiele A]]="","",IF(AuswertungA[[#This Row],[Spiele A]]&lt;2,"",ROUND(SLOPE(_xlfn._xlws.FILTER(Eingabe[GES],(Eingabe[Name]=AuswertungA[[#This Row],[Name]])*(Eingabe[Wo]="A")),_xlfn._xlws.FILTER(Eingabe[KW],(Eingabe[Name]=AuswertungA[[#This Row],[Name]])*(Eingabe[Wo]="A"))),2)))</f>
        <v>1.7</v>
      </c>
      <c r="U170" s="123" cm="1">
        <f t="array" ref="U170">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3.62</v>
      </c>
      <c r="V170" s="117" cm="1">
        <f t="array" ref="V170">IF(AuswertungA[[#This Row],[Spiele A]]="","",IF(AuswertungA[[#This Row],[Spiele A]]&lt;2,"",ROUND(_xlfn.STDEV.P(_xlfn._xlws.FILTER(Eingabe[GES],(Eingabe[Name]=AuswertungA[[#This Row],[Name]])*(Eingabe[Wo]="A"))),0)))</f>
        <v>13</v>
      </c>
      <c r="W170" s="117" t="str">
        <f>IF(AuswertungA[[#This Row],[Spiele MP A]]="","",ROUND(AVERAGEIFS(Eingabe[GEGGES],Eingabe[Name],AuswertungA[[#This Row],[Name]],Eingabe[Wo],"A"),0))</f>
        <v/>
      </c>
      <c r="X170" s="123" t="str">
        <f>VLOOKUP(AuswertungA[[#This Row],[Name]],PositionA[],21,FALSE)</f>
        <v/>
      </c>
      <c r="Y170" s="123" t="str">
        <f>VLOOKUP(AuswertungA[[#This Row],[Name]],PositionA[],22,FALSE)</f>
        <v/>
      </c>
      <c r="Z170" s="123" t="str">
        <f>VLOOKUP(AuswertungA[[#This Row],[Name]],PositionA[],23,FALSE)</f>
        <v/>
      </c>
      <c r="AA170" s="121" t="str">
        <f>IF(AuswertungA[[#This Row],[Spiele MP A]]="","",ROUND(VLOOKUP(AuswertungA[[#This Row],[Name]],PositionA[],24,FALSE),2))</f>
        <v/>
      </c>
      <c r="AB170" s="123">
        <f>IFERROR(ROUND(AVERAGEIFS(Eingabe[Rang],Eingabe[Name],AuswertungA[[#This Row],[Name]],Eingabe[Wo],"A"),1),"")</f>
        <v>2</v>
      </c>
      <c r="AC170" s="123" cm="1">
        <f t="array" ref="AC170">IFERROR(ROUND(MEDIAN(_xlfn._xlws.FILTER(Eingabe[GES],(Eingabe[Name]=AuswertungA[[#This Row],[Name]])*(Eingabe[Wo]="A"))),0),"")</f>
        <v>387</v>
      </c>
      <c r="AD170" s="121">
        <f>IFERROR(AuswertungA[[#This Row],[STABW A]]/AuswertungA[[#This Row],[GES A]],"")</f>
        <v>3.3942558746736295E-2</v>
      </c>
      <c r="AE170" s="123" cm="1">
        <f t="array" ref="AE170">IFERROR(ROUND(_xlfn.QUARTILE.INC(_xlfn._xlws.FILTER(Eingabe[GES],(Eingabe[Name]=AuswertungA[[#This Row],[Name]])*(Eingabe[Wo]="A")),3)-_xlfn.QUARTILE.INC(_xlfn._xlws.FILTER(Eingabe[GES],(Eingabe[Name]=AuswertungA[[#This Row],[Name]])*(Eingabe[Wo]="A")),1),0),"")</f>
        <v>14</v>
      </c>
      <c r="AF170" s="123">
        <f>IFERROR(1/AuswertungA[[#This Row],[VK A]],"")</f>
        <v>29.46153846153846</v>
      </c>
      <c r="AG170" s="123">
        <f>IFERROR(AuswertungA[[#This Row],[Volle A]]/AuswertungA[[#This Row],[Räumer A]]-2,"")</f>
        <v>0.8787878787878789</v>
      </c>
      <c r="AH170" s="117">
        <f>IFERROR(ROUND((AuswertungA[[#This Row],[Spiele A]]*60)/(AuswertungA[[#This Row],[Fehler A]]*AuswertungA[[#This Row],[Spiele A]]),0),"")</f>
        <v>3</v>
      </c>
      <c r="AI170" s="123" t="str" cm="1">
        <f t="array" ref="AI170">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70" s="267" t="str">
        <f>IFERROR(ROUND(AVERAGEIFS(Eingabe[MP],Eingabe[Diff],"&lt;15",Eingabe[Name],AuswertungA[[#This Row],[Name]],Eingabe[Wo],"A")-AuswertungA[[#This Row],[MP A]],2),"")</f>
        <v/>
      </c>
      <c r="AK170" s="117" t="str" cm="1">
        <f t="array" ref="AK170">IFERROR(ROUND(AVERAGE(_xlfn._xlws.FILTER(Eingabe[GES],(Eingabe[Name]=AuswertungA[[#This Row],[Name]])*(Eingabe[Wo]="A")*(Eingabe[GEGGES]&gt;(AuswertungA[[#This Row],[GES A]]+20))))-AuswertungA[[#This Row],[GES A]],0),"")</f>
        <v/>
      </c>
      <c r="AL170" s="117" cm="1">
        <f t="array" ref="AL170">IFERROR(ROUND(AVERAGE(_xlfn._xlws.FILTER(Eingabe[GES],(Eingabe[Name]=AuswertungA[[#This Row],[Name]])*(Eingabe[Wo]="A")*(Eingabe[GEGGES]&lt;(AuswertungA[[#This Row],[GES A]]-20))))-AuswertungA[[#This Row],[GES A]],0),"")</f>
        <v>0</v>
      </c>
    </row>
    <row r="171" spans="2:38" ht="15" customHeight="1" x14ac:dyDescent="0.3">
      <c r="B171" s="118" t="str">
        <f t="shared" si="3"/>
        <v>Cora Keller</v>
      </c>
      <c r="C171" s="119" t="str">
        <f>IF(AuswertungA[[#This Row],[Name]]="","",VLOOKUP(AuswertungA[[#This Row],[Name]],Teamzuordnung[[Name]:[Team]],2,TRUE))</f>
        <v>U19</v>
      </c>
      <c r="D171" s="122">
        <f>COUNTIFS(Eingabe[Name],AuswertungA[[#This Row],[Name]],Eingabe[Wo],"A")</f>
        <v>10</v>
      </c>
      <c r="E171" s="117">
        <f>IF(AuswertungA[[#This Row],[Spiele A]]="","",IF(AuswertungA[[#This Row],[Spiele A]]-COUNTIFS(Eingabe[Name],AuswertungA[[#This Row],[Name]],Eingabe[MP],"",Eingabe[Wo],"A")=0,"",AuswertungA[[#This Row],[Spiele A]]-COUNTIFS(Eingabe[Name],AuswertungA[[#This Row],[Name]],Eingabe[MP],"",Eingabe[Wo],"A")))</f>
        <v>3</v>
      </c>
      <c r="F171" s="117">
        <f>IF(AuswertungA[[#This Row],[Spiele A]]=0,"",ROUND(AVERAGEIFS(Eingabe[Volle],Eingabe[Name],AuswertungA[[#This Row],[Name]],Eingabe[Wo],"A"),0))</f>
        <v>348</v>
      </c>
      <c r="G171" s="117">
        <f>IF(AuswertungA[[#This Row],[Spiele A]]=0,"",ROUND(AVERAGEIFS(Eingabe[Räumer],Eingabe[Name],AuswertungA[[#This Row],[Name]],Eingabe[Wo],"A"),0))</f>
        <v>154</v>
      </c>
      <c r="H171" s="123">
        <f>IF(AuswertungA[[#This Row],[Spiele A]]=0,"",ROUND(AVERAGEIFS(Eingabe[Fehler],Eingabe[Name],AuswertungA[[#This Row],[Name]],Eingabe[Wo],"A"),1))</f>
        <v>11.6</v>
      </c>
      <c r="I171" s="117">
        <f>IF(AuswertungA[[#This Row],[Spiele A]]=0,"",ROUND(AVERAGEIFS(Eingabe[GES],Eingabe[Name],AuswertungA[[#This Row],[Name]],Eingabe[Wo],"A"),0))</f>
        <v>502</v>
      </c>
      <c r="J171" s="123">
        <f>IF(AuswertungA[[#This Row],[Spiele MP A]]="","",ROUND(AVERAGEIFS(Eingabe[SP],Eingabe[Name],AuswertungA[[#This Row],[Name]],Eingabe[Wo],"A"),2))</f>
        <v>2</v>
      </c>
      <c r="K171" s="121">
        <f>IF(AuswertungA[[#This Row],[Spiele MP A]]="","",ROUND(AVERAGEIFS(Eingabe[MP],Eingabe[Name],AuswertungA[[#This Row],[Name]],Eingabe[Wo],"A"),2))</f>
        <v>0.67</v>
      </c>
      <c r="L171" s="117">
        <f>IFERROR(ROUND(AVERAGEIFS(Eingabe[S1],Eingabe[Name],AuswertungA[[#This Row],[Name]],Eingabe[Wo],"A"),0),"")</f>
        <v>130</v>
      </c>
      <c r="M171" s="268">
        <f>IFERROR(ROUND(AVERAGEIFS(Eingabe[S2],Eingabe[Name],AuswertungA[[#This Row],[Name]],Eingabe[Wo],"A"),0),"")</f>
        <v>127</v>
      </c>
      <c r="N171" s="117">
        <f>IFERROR(ROUND(AVERAGEIFS(Eingabe[S3],Eingabe[Name],AuswertungA[[#This Row],[Name]],Eingabe[Wo],"A"),0),"")</f>
        <v>122</v>
      </c>
      <c r="O171" s="268">
        <f>IFERROR(ROUND(AVERAGEIFS(Eingabe[S4],Eingabe[Name],AuswertungA[[#This Row],[Name]],Eingabe[Wo],"A"),0),"")</f>
        <v>123</v>
      </c>
      <c r="P171" s="121">
        <f>IF(AuswertungA[[#This Row],[Spiele MP A]]="","",ROUND(AVERAGEIFS(Eingabe[S1P],Eingabe[Name],AuswertungA[[#This Row],[Name]],Eingabe[Wo],"A"),2))</f>
        <v>0.33</v>
      </c>
      <c r="Q171" s="121">
        <f>IF(AuswertungA[[#This Row],[Spiele MP A]]="","",ROUND(AVERAGEIFS(Eingabe[S2P],Eingabe[Name],AuswertungA[[#This Row],[Name]],Eingabe[Wo],"A"),2))</f>
        <v>0.67</v>
      </c>
      <c r="R171" s="121">
        <f>IF(AuswertungA[[#This Row],[Spiele MP A]]="","",ROUND(AVERAGEIFS(Eingabe[S3P],Eingabe[Name],AuswertungA[[#This Row],[Name]],Eingabe[Wo],"A"),2))</f>
        <v>0.67</v>
      </c>
      <c r="S171" s="121">
        <f>IF(AuswertungA[[#This Row],[Spiele MP A]]="","",ROUND(AVERAGEIFS(Eingabe[S4P],Eingabe[Name],AuswertungA[[#This Row],[Name]],Eingabe[Wo],"A"),2))</f>
        <v>0.33</v>
      </c>
      <c r="T171" s="123" cm="1">
        <f t="array" ref="T171">IF(AuswertungA[[#This Row],[Spiele A]]="","",IF(AuswertungA[[#This Row],[Spiele A]]&lt;2,"",ROUND(SLOPE(_xlfn._xlws.FILTER(Eingabe[GES],(Eingabe[Name]=AuswertungA[[#This Row],[Name]])*(Eingabe[Wo]="A")),_xlfn._xlws.FILTER(Eingabe[KW],(Eingabe[Name]=AuswertungA[[#This Row],[Name]])*(Eingabe[Wo]="A"))),2)))</f>
        <v>-0.12</v>
      </c>
      <c r="U171" s="123" cm="1">
        <f t="array" ref="U171">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24.5</v>
      </c>
      <c r="V171" s="117" cm="1">
        <f t="array" ref="V171">IF(AuswertungA[[#This Row],[Spiele A]]="","",IF(AuswertungA[[#This Row],[Spiele A]]&lt;2,"",ROUND(_xlfn.STDEV.P(_xlfn._xlws.FILTER(Eingabe[GES],(Eingabe[Name]=AuswertungA[[#This Row],[Name]])*(Eingabe[Wo]="A"))),0)))</f>
        <v>33</v>
      </c>
      <c r="W171" s="117">
        <f>IF(AuswertungA[[#This Row],[Spiele MP A]]="","",ROUND(AVERAGEIFS(Eingabe[GEGGES],Eingabe[Name],AuswertungA[[#This Row],[Name]],Eingabe[Wo],"A"),0))</f>
        <v>482</v>
      </c>
      <c r="X171" s="123" t="str">
        <f>VLOOKUP(AuswertungA[[#This Row],[Name]],PositionA[],21,FALSE)</f>
        <v>[1][2][3]</v>
      </c>
      <c r="Y171" s="123">
        <f>VLOOKUP(AuswertungA[[#This Row],[Name]],PositionA[],22,FALSE)</f>
        <v>1</v>
      </c>
      <c r="Z171" s="123" t="str">
        <f>VLOOKUP(AuswertungA[[#This Row],[Name]],PositionA[],23,FALSE)</f>
        <v>[2][3]</v>
      </c>
      <c r="AA171" s="121">
        <f>IF(AuswertungA[[#This Row],[Spiele MP A]]="","",ROUND(VLOOKUP(AuswertungA[[#This Row],[Name]],PositionA[],24,FALSE),2))</f>
        <v>1</v>
      </c>
      <c r="AB171" s="123">
        <f>IFERROR(ROUND(AVERAGEIFS(Eingabe[Rang],Eingabe[Name],AuswertungA[[#This Row],[Name]],Eingabe[Wo],"A"),1),"")</f>
        <v>2.6</v>
      </c>
      <c r="AC171" s="123" cm="1">
        <f t="array" ref="AC171">IFERROR(ROUND(MEDIAN(_xlfn._xlws.FILTER(Eingabe[GES],(Eingabe[Name]=AuswertungA[[#This Row],[Name]])*(Eingabe[Wo]="A"))),0),"")</f>
        <v>513</v>
      </c>
      <c r="AD171" s="121">
        <f>IFERROR(AuswertungA[[#This Row],[STABW A]]/AuswertungA[[#This Row],[GES A]],"")</f>
        <v>6.5737051792828682E-2</v>
      </c>
      <c r="AE171" s="123" cm="1">
        <f t="array" ref="AE171">IFERROR(ROUND(_xlfn.QUARTILE.INC(_xlfn._xlws.FILTER(Eingabe[GES],(Eingabe[Name]=AuswertungA[[#This Row],[Name]])*(Eingabe[Wo]="A")),3)-_xlfn.QUARTILE.INC(_xlfn._xlws.FILTER(Eingabe[GES],(Eingabe[Name]=AuswertungA[[#This Row],[Name]])*(Eingabe[Wo]="A")),1),0),"")</f>
        <v>48</v>
      </c>
      <c r="AF171" s="123">
        <f>IFERROR(1/AuswertungA[[#This Row],[VK A]],"")</f>
        <v>15.212121212121213</v>
      </c>
      <c r="AG171" s="123">
        <f>IFERROR(AuswertungA[[#This Row],[Volle A]]/AuswertungA[[#This Row],[Räumer A]]-2,"")</f>
        <v>0.25974025974025983</v>
      </c>
      <c r="AH171" s="117">
        <f>IFERROR(ROUND((AuswertungA[[#This Row],[Spiele A]]*60)/(AuswertungA[[#This Row],[Fehler A]]*AuswertungA[[#This Row],[Spiele A]]),0),"")</f>
        <v>5</v>
      </c>
      <c r="AI171" s="123" t="str" cm="1">
        <f t="array" ref="AI171">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71" s="267" t="str">
        <f>IFERROR(ROUND(AVERAGEIFS(Eingabe[MP],Eingabe[Diff],"&lt;15",Eingabe[Name],AuswertungA[[#This Row],[Name]],Eingabe[Wo],"A")-AuswertungA[[#This Row],[MP A]],2),"")</f>
        <v/>
      </c>
      <c r="AK171" s="117" t="str" cm="1">
        <f t="array" ref="AK171">IFERROR(ROUND(AVERAGE(_xlfn._xlws.FILTER(Eingabe[GES],(Eingabe[Name]=AuswertungA[[#This Row],[Name]])*(Eingabe[Wo]="A")*(Eingabe[GEGGES]&gt;(AuswertungA[[#This Row],[GES A]]+20))))-AuswertungA[[#This Row],[GES A]],0),"")</f>
        <v/>
      </c>
      <c r="AL171" s="117" cm="1">
        <f t="array" ref="AL171">IFERROR(ROUND(AVERAGE(_xlfn._xlws.FILTER(Eingabe[GES],(Eingabe[Name]=AuswertungA[[#This Row],[Name]])*(Eingabe[Wo]="A")*(Eingabe[GEGGES]&lt;(AuswertungA[[#This Row],[GES A]]-20))))-AuswertungA[[#This Row],[GES A]],0),"")</f>
        <v>6</v>
      </c>
    </row>
    <row r="172" spans="2:38" x14ac:dyDescent="0.3">
      <c r="B172" s="118" t="str">
        <f t="shared" si="3"/>
        <v>Dietmar Klose</v>
      </c>
      <c r="C172" s="119" t="str">
        <f>IF(AuswertungA[[#This Row],[Name]]="","",VLOOKUP(AuswertungA[[#This Row],[Name]],Teamzuordnung[[Name]:[Team]],2,TRUE))</f>
        <v>D</v>
      </c>
      <c r="D172" s="122">
        <f>COUNTIFS(Eingabe[Name],AuswertungA[[#This Row],[Name]],Eingabe[Wo],"A")</f>
        <v>0</v>
      </c>
      <c r="E172" s="117" t="str">
        <f>IF(AuswertungA[[#This Row],[Spiele A]]="","",IF(AuswertungA[[#This Row],[Spiele A]]-COUNTIFS(Eingabe[Name],AuswertungA[[#This Row],[Name]],Eingabe[MP],"",Eingabe[Wo],"A")=0,"",AuswertungA[[#This Row],[Spiele A]]-COUNTIFS(Eingabe[Name],AuswertungA[[#This Row],[Name]],Eingabe[MP],"",Eingabe[Wo],"A")))</f>
        <v/>
      </c>
      <c r="F172" s="117" t="str">
        <f>IF(AuswertungA[[#This Row],[Spiele A]]=0,"",ROUND(AVERAGEIFS(Eingabe[Volle],Eingabe[Name],AuswertungA[[#This Row],[Name]],Eingabe[Wo],"A"),0))</f>
        <v/>
      </c>
      <c r="G172" s="117" t="str">
        <f>IF(AuswertungA[[#This Row],[Spiele A]]=0,"",ROUND(AVERAGEIFS(Eingabe[Räumer],Eingabe[Name],AuswertungA[[#This Row],[Name]],Eingabe[Wo],"A"),0))</f>
        <v/>
      </c>
      <c r="H172" s="123" t="str">
        <f>IF(AuswertungA[[#This Row],[Spiele A]]=0,"",ROUND(AVERAGEIFS(Eingabe[Fehler],Eingabe[Name],AuswertungA[[#This Row],[Name]],Eingabe[Wo],"A"),1))</f>
        <v/>
      </c>
      <c r="I172" s="117" t="str">
        <f>IF(AuswertungA[[#This Row],[Spiele A]]=0,"",ROUND(AVERAGEIFS(Eingabe[GES],Eingabe[Name],AuswertungA[[#This Row],[Name]],Eingabe[Wo],"A"),0))</f>
        <v/>
      </c>
      <c r="J172" s="123" t="str">
        <f>IF(AuswertungA[[#This Row],[Spiele MP A]]="","",ROUND(AVERAGEIFS(Eingabe[SP],Eingabe[Name],AuswertungA[[#This Row],[Name]],Eingabe[Wo],"A"),2))</f>
        <v/>
      </c>
      <c r="K172" s="121" t="str">
        <f>IF(AuswertungA[[#This Row],[Spiele MP A]]="","",ROUND(AVERAGEIFS(Eingabe[MP],Eingabe[Name],AuswertungA[[#This Row],[Name]],Eingabe[Wo],"A"),2))</f>
        <v/>
      </c>
      <c r="L172" s="117" t="str">
        <f>IFERROR(ROUND(AVERAGEIFS(Eingabe[S1],Eingabe[Name],AuswertungA[[#This Row],[Name]],Eingabe[Wo],"A"),0),"")</f>
        <v/>
      </c>
      <c r="M172" s="268" t="str">
        <f>IFERROR(ROUND(AVERAGEIFS(Eingabe[S2],Eingabe[Name],AuswertungA[[#This Row],[Name]],Eingabe[Wo],"A"),0),"")</f>
        <v/>
      </c>
      <c r="N172" s="117" t="str">
        <f>IFERROR(ROUND(AVERAGEIFS(Eingabe[S3],Eingabe[Name],AuswertungA[[#This Row],[Name]],Eingabe[Wo],"A"),0),"")</f>
        <v/>
      </c>
      <c r="O172" s="268" t="str">
        <f>IFERROR(ROUND(AVERAGEIFS(Eingabe[S4],Eingabe[Name],AuswertungA[[#This Row],[Name]],Eingabe[Wo],"A"),0),"")</f>
        <v/>
      </c>
      <c r="P172" s="121" t="str">
        <f>IF(AuswertungA[[#This Row],[Spiele MP A]]="","",ROUND(AVERAGEIFS(Eingabe[S1P],Eingabe[Name],AuswertungA[[#This Row],[Name]],Eingabe[Wo],"A"),2))</f>
        <v/>
      </c>
      <c r="Q172" s="121" t="str">
        <f>IF(AuswertungA[[#This Row],[Spiele MP A]]="","",ROUND(AVERAGEIFS(Eingabe[S2P],Eingabe[Name],AuswertungA[[#This Row],[Name]],Eingabe[Wo],"A"),2))</f>
        <v/>
      </c>
      <c r="R172" s="121" t="str">
        <f>IF(AuswertungA[[#This Row],[Spiele MP A]]="","",ROUND(AVERAGEIFS(Eingabe[S3P],Eingabe[Name],AuswertungA[[#This Row],[Name]],Eingabe[Wo],"A"),2))</f>
        <v/>
      </c>
      <c r="S172" s="121" t="str">
        <f>IF(AuswertungA[[#This Row],[Spiele MP A]]="","",ROUND(AVERAGEIFS(Eingabe[S4P],Eingabe[Name],AuswertungA[[#This Row],[Name]],Eingabe[Wo],"A"),2))</f>
        <v/>
      </c>
      <c r="T172" s="123" t="str" cm="1">
        <f t="array" ref="T172">IF(AuswertungA[[#This Row],[Spiele A]]="","",IF(AuswertungA[[#This Row],[Spiele A]]&lt;2,"",ROUND(SLOPE(_xlfn._xlws.FILTER(Eingabe[GES],(Eingabe[Name]=AuswertungA[[#This Row],[Name]])*(Eingabe[Wo]="A")),_xlfn._xlws.FILTER(Eingabe[KW],(Eingabe[Name]=AuswertungA[[#This Row],[Name]])*(Eingabe[Wo]="A"))),2)))</f>
        <v/>
      </c>
      <c r="U172" s="123" t="str" cm="1">
        <f t="array" ref="U172">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72" s="117" t="str" cm="1">
        <f t="array" ref="V172">IF(AuswertungA[[#This Row],[Spiele A]]="","",IF(AuswertungA[[#This Row],[Spiele A]]&lt;2,"",ROUND(_xlfn.STDEV.P(_xlfn._xlws.FILTER(Eingabe[GES],(Eingabe[Name]=AuswertungA[[#This Row],[Name]])*(Eingabe[Wo]="A"))),0)))</f>
        <v/>
      </c>
      <c r="W172" s="117" t="str">
        <f>IF(AuswertungA[[#This Row],[Spiele MP A]]="","",ROUND(AVERAGEIFS(Eingabe[GEGGES],Eingabe[Name],AuswertungA[[#This Row],[Name]],Eingabe[Wo],"A"),0))</f>
        <v/>
      </c>
      <c r="X172" s="123" t="str">
        <f>VLOOKUP(AuswertungA[[#This Row],[Name]],PositionA[],21,FALSE)</f>
        <v/>
      </c>
      <c r="Y172" s="123" t="str">
        <f>VLOOKUP(AuswertungA[[#This Row],[Name]],PositionA[],22,FALSE)</f>
        <v/>
      </c>
      <c r="Z172" s="123" t="str">
        <f>VLOOKUP(AuswertungA[[#This Row],[Name]],PositionA[],23,FALSE)</f>
        <v/>
      </c>
      <c r="AA172" s="121" t="str">
        <f>IF(AuswertungA[[#This Row],[Spiele MP A]]="","",ROUND(VLOOKUP(AuswertungA[[#This Row],[Name]],PositionA[],24,FALSE),2))</f>
        <v/>
      </c>
      <c r="AB172" s="123" t="str">
        <f>IFERROR(ROUND(AVERAGEIFS(Eingabe[Rang],Eingabe[Name],AuswertungA[[#This Row],[Name]],Eingabe[Wo],"A"),1),"")</f>
        <v/>
      </c>
      <c r="AC172" s="123" t="str" cm="1">
        <f t="array" ref="AC172">IFERROR(ROUND(MEDIAN(_xlfn._xlws.FILTER(Eingabe[GES],(Eingabe[Name]=AuswertungA[[#This Row],[Name]])*(Eingabe[Wo]="A"))),0),"")</f>
        <v/>
      </c>
      <c r="AD172" s="121" t="str">
        <f>IFERROR(AuswertungA[[#This Row],[STABW A]]/AuswertungA[[#This Row],[GES A]],"")</f>
        <v/>
      </c>
      <c r="AE172" s="123" t="str" cm="1">
        <f t="array" ref="AE172">IFERROR(ROUND(_xlfn.QUARTILE.INC(_xlfn._xlws.FILTER(Eingabe[GES],(Eingabe[Name]=AuswertungA[[#This Row],[Name]])*(Eingabe[Wo]="A")),3)-_xlfn.QUARTILE.INC(_xlfn._xlws.FILTER(Eingabe[GES],(Eingabe[Name]=AuswertungA[[#This Row],[Name]])*(Eingabe[Wo]="A")),1),0),"")</f>
        <v/>
      </c>
      <c r="AF172" s="123" t="str">
        <f>IFERROR(1/AuswertungA[[#This Row],[VK A]],"")</f>
        <v/>
      </c>
      <c r="AG172" s="123" t="str">
        <f>IFERROR(AuswertungA[[#This Row],[Volle A]]/AuswertungA[[#This Row],[Räumer A]]-2,"")</f>
        <v/>
      </c>
      <c r="AH172" s="117" t="str">
        <f>IFERROR(ROUND((AuswertungA[[#This Row],[Spiele A]]*60)/(AuswertungA[[#This Row],[Fehler A]]*AuswertungA[[#This Row],[Spiele A]]),0),"")</f>
        <v/>
      </c>
      <c r="AI172" s="123" t="str" cm="1">
        <f t="array" ref="AI172">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72" s="267" t="str">
        <f>IFERROR(ROUND(AVERAGEIFS(Eingabe[MP],Eingabe[Diff],"&lt;15",Eingabe[Name],AuswertungA[[#This Row],[Name]],Eingabe[Wo],"A")-AuswertungA[[#This Row],[MP A]],2),"")</f>
        <v/>
      </c>
      <c r="AK172" s="117" t="str" cm="1">
        <f t="array" ref="AK172">IFERROR(ROUND(AVERAGE(_xlfn._xlws.FILTER(Eingabe[GES],(Eingabe[Name]=AuswertungA[[#This Row],[Name]])*(Eingabe[Wo]="A")*(Eingabe[GEGGES]&gt;(AuswertungA[[#This Row],[GES A]]+20))))-AuswertungA[[#This Row],[GES A]],0),"")</f>
        <v/>
      </c>
      <c r="AL172" s="117" t="str" cm="1">
        <f t="array" ref="AL172">IFERROR(ROUND(AVERAGE(_xlfn._xlws.FILTER(Eingabe[GES],(Eingabe[Name]=AuswertungA[[#This Row],[Name]])*(Eingabe[Wo]="A")*(Eingabe[GEGGES]&lt;(AuswertungA[[#This Row],[GES A]]-20))))-AuswertungA[[#This Row],[GES A]],0),"")</f>
        <v/>
      </c>
    </row>
    <row r="173" spans="2:38" x14ac:dyDescent="0.3">
      <c r="B173" s="118" t="str">
        <f t="shared" si="3"/>
        <v>Emelie Schiffel</v>
      </c>
      <c r="C173" s="119" t="str">
        <f>IF(AuswertungA[[#This Row],[Name]]="","",VLOOKUP(AuswertungA[[#This Row],[Name]],Teamzuordnung[[Name]:[Team]],2,TRUE))</f>
        <v>U14</v>
      </c>
      <c r="D173" s="122">
        <f>COUNTIFS(Eingabe[Name],AuswertungA[[#This Row],[Name]],Eingabe[Wo],"A")</f>
        <v>8</v>
      </c>
      <c r="E173" s="117" t="str">
        <f>IF(AuswertungA[[#This Row],[Spiele A]]="","",IF(AuswertungA[[#This Row],[Spiele A]]-COUNTIFS(Eingabe[Name],AuswertungA[[#This Row],[Name]],Eingabe[MP],"",Eingabe[Wo],"A")=0,"",AuswertungA[[#This Row],[Spiele A]]-COUNTIFS(Eingabe[Name],AuswertungA[[#This Row],[Name]],Eingabe[MP],"",Eingabe[Wo],"A")))</f>
        <v/>
      </c>
      <c r="F173" s="117">
        <f>IF(AuswertungA[[#This Row],[Spiele A]]=0,"",ROUND(AVERAGEIFS(Eingabe[Volle],Eingabe[Name],AuswertungA[[#This Row],[Name]],Eingabe[Wo],"A"),0))</f>
        <v>302</v>
      </c>
      <c r="G173" s="117">
        <f>IF(AuswertungA[[#This Row],[Spiele A]]=0,"",ROUND(AVERAGEIFS(Eingabe[Räumer],Eingabe[Name],AuswertungA[[#This Row],[Name]],Eingabe[Wo],"A"),0))</f>
        <v>109</v>
      </c>
      <c r="H173" s="123">
        <f>IF(AuswertungA[[#This Row],[Spiele A]]=0,"",ROUND(AVERAGEIFS(Eingabe[Fehler],Eingabe[Name],AuswertungA[[#This Row],[Name]],Eingabe[Wo],"A"),1))</f>
        <v>23.1</v>
      </c>
      <c r="I173" s="117">
        <f>IF(AuswertungA[[#This Row],[Spiele A]]=0,"",ROUND(AVERAGEIFS(Eingabe[GES],Eingabe[Name],AuswertungA[[#This Row],[Name]],Eingabe[Wo],"A"),0))</f>
        <v>411</v>
      </c>
      <c r="J173" s="123" t="str">
        <f>IF(AuswertungA[[#This Row],[Spiele MP A]]="","",ROUND(AVERAGEIFS(Eingabe[SP],Eingabe[Name],AuswertungA[[#This Row],[Name]],Eingabe[Wo],"A"),2))</f>
        <v/>
      </c>
      <c r="K173" s="121" t="str">
        <f>IF(AuswertungA[[#This Row],[Spiele MP A]]="","",ROUND(AVERAGEIFS(Eingabe[MP],Eingabe[Name],AuswertungA[[#This Row],[Name]],Eingabe[Wo],"A"),2))</f>
        <v/>
      </c>
      <c r="L173" s="117">
        <f>IFERROR(ROUND(AVERAGEIFS(Eingabe[S1],Eingabe[Name],AuswertungA[[#This Row],[Name]],Eingabe[Wo],"A"),0),"")</f>
        <v>104</v>
      </c>
      <c r="M173" s="268">
        <f>IFERROR(ROUND(AVERAGEIFS(Eingabe[S2],Eingabe[Name],AuswertungA[[#This Row],[Name]],Eingabe[Wo],"A"),0),"")</f>
        <v>111</v>
      </c>
      <c r="N173" s="117">
        <f>IFERROR(ROUND(AVERAGEIFS(Eingabe[S3],Eingabe[Name],AuswertungA[[#This Row],[Name]],Eingabe[Wo],"A"),0),"")</f>
        <v>95</v>
      </c>
      <c r="O173" s="268">
        <f>IFERROR(ROUND(AVERAGEIFS(Eingabe[S4],Eingabe[Name],AuswertungA[[#This Row],[Name]],Eingabe[Wo],"A"),0),"")</f>
        <v>99</v>
      </c>
      <c r="P173" s="121" t="str">
        <f>IF(AuswertungA[[#This Row],[Spiele MP A]]="","",ROUND(AVERAGEIFS(Eingabe[S1P],Eingabe[Name],AuswertungA[[#This Row],[Name]],Eingabe[Wo],"A"),2))</f>
        <v/>
      </c>
      <c r="Q173" s="121" t="str">
        <f>IF(AuswertungA[[#This Row],[Spiele MP A]]="","",ROUND(AVERAGEIFS(Eingabe[S2P],Eingabe[Name],AuswertungA[[#This Row],[Name]],Eingabe[Wo],"A"),2))</f>
        <v/>
      </c>
      <c r="R173" s="121" t="str">
        <f>IF(AuswertungA[[#This Row],[Spiele MP A]]="","",ROUND(AVERAGEIFS(Eingabe[S3P],Eingabe[Name],AuswertungA[[#This Row],[Name]],Eingabe[Wo],"A"),2))</f>
        <v/>
      </c>
      <c r="S173" s="121" t="str">
        <f>IF(AuswertungA[[#This Row],[Spiele MP A]]="","",ROUND(AVERAGEIFS(Eingabe[S4P],Eingabe[Name],AuswertungA[[#This Row],[Name]],Eingabe[Wo],"A"),2))</f>
        <v/>
      </c>
      <c r="T173" s="123" cm="1">
        <f t="array" ref="T173">IF(AuswertungA[[#This Row],[Spiele A]]="","",IF(AuswertungA[[#This Row],[Spiele A]]&lt;2,"",ROUND(SLOPE(_xlfn._xlws.FILTER(Eingabe[GES],(Eingabe[Name]=AuswertungA[[#This Row],[Name]])*(Eingabe[Wo]="A")),_xlfn._xlws.FILTER(Eingabe[KW],(Eingabe[Name]=AuswertungA[[#This Row],[Name]])*(Eingabe[Wo]="A"))),2)))</f>
        <v>-0.83</v>
      </c>
      <c r="U173" s="123" cm="1">
        <f t="array" ref="U173">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-2.42</v>
      </c>
      <c r="V173" s="117" cm="1">
        <f t="array" ref="V173">IF(AuswertungA[[#This Row],[Spiele A]]="","",IF(AuswertungA[[#This Row],[Spiele A]]&lt;2,"",ROUND(_xlfn.STDEV.P(_xlfn._xlws.FILTER(Eingabe[GES],(Eingabe[Name]=AuswertungA[[#This Row],[Name]])*(Eingabe[Wo]="A"))),0)))</f>
        <v>42</v>
      </c>
      <c r="W173" s="117" t="str">
        <f>IF(AuswertungA[[#This Row],[Spiele MP A]]="","",ROUND(AVERAGEIFS(Eingabe[GEGGES],Eingabe[Name],AuswertungA[[#This Row],[Name]],Eingabe[Wo],"A"),0))</f>
        <v/>
      </c>
      <c r="X173" s="123" t="str">
        <f>VLOOKUP(AuswertungA[[#This Row],[Name]],PositionA[],21,FALSE)</f>
        <v/>
      </c>
      <c r="Y173" s="123" t="str">
        <f>VLOOKUP(AuswertungA[[#This Row],[Name]],PositionA[],22,FALSE)</f>
        <v/>
      </c>
      <c r="Z173" s="123" t="str">
        <f>VLOOKUP(AuswertungA[[#This Row],[Name]],PositionA[],23,FALSE)</f>
        <v/>
      </c>
      <c r="AA173" s="121" t="str">
        <f>IF(AuswertungA[[#This Row],[Spiele MP A]]="","",ROUND(VLOOKUP(AuswertungA[[#This Row],[Name]],PositionA[],24,FALSE),2))</f>
        <v/>
      </c>
      <c r="AB173" s="123">
        <f>IFERROR(ROUND(AVERAGEIFS(Eingabe[Rang],Eingabe[Name],AuswertungA[[#This Row],[Name]],Eingabe[Wo],"A"),1),"")</f>
        <v>2</v>
      </c>
      <c r="AC173" s="123" cm="1">
        <f t="array" ref="AC173">IFERROR(ROUND(MEDIAN(_xlfn._xlws.FILTER(Eingabe[GES],(Eingabe[Name]=AuswertungA[[#This Row],[Name]])*(Eingabe[Wo]="A"))),0),"")</f>
        <v>422</v>
      </c>
      <c r="AD173" s="121">
        <f>IFERROR(AuswertungA[[#This Row],[STABW A]]/AuswertungA[[#This Row],[GES A]],"")</f>
        <v>0.10218978102189781</v>
      </c>
      <c r="AE173" s="123" cm="1">
        <f t="array" ref="AE173">IFERROR(ROUND(_xlfn.QUARTILE.INC(_xlfn._xlws.FILTER(Eingabe[GES],(Eingabe[Name]=AuswertungA[[#This Row],[Name]])*(Eingabe[Wo]="A")),3)-_xlfn.QUARTILE.INC(_xlfn._xlws.FILTER(Eingabe[GES],(Eingabe[Name]=AuswertungA[[#This Row],[Name]])*(Eingabe[Wo]="A")),1),0),"")</f>
        <v>46</v>
      </c>
      <c r="AF173" s="123">
        <f>IFERROR(1/AuswertungA[[#This Row],[VK A]],"")</f>
        <v>9.7857142857142865</v>
      </c>
      <c r="AG173" s="123">
        <f>IFERROR(AuswertungA[[#This Row],[Volle A]]/AuswertungA[[#This Row],[Räumer A]]-2,"")</f>
        <v>0.77064220183486221</v>
      </c>
      <c r="AH173" s="117">
        <f>IFERROR(ROUND((AuswertungA[[#This Row],[Spiele A]]*60)/(AuswertungA[[#This Row],[Fehler A]]*AuswertungA[[#This Row],[Spiele A]]),0),"")</f>
        <v>3</v>
      </c>
      <c r="AI173" s="123" t="str" cm="1">
        <f t="array" ref="AI173">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73" s="267" t="str">
        <f>IFERROR(ROUND(AVERAGEIFS(Eingabe[MP],Eingabe[Diff],"&lt;15",Eingabe[Name],AuswertungA[[#This Row],[Name]],Eingabe[Wo],"A")-AuswertungA[[#This Row],[MP A]],2),"")</f>
        <v/>
      </c>
      <c r="AK173" s="117" t="str" cm="1">
        <f t="array" ref="AK173">IFERROR(ROUND(AVERAGE(_xlfn._xlws.FILTER(Eingabe[GES],(Eingabe[Name]=AuswertungA[[#This Row],[Name]])*(Eingabe[Wo]="A")*(Eingabe[GEGGES]&gt;(AuswertungA[[#This Row],[GES A]]+20))))-AuswertungA[[#This Row],[GES A]],0),"")</f>
        <v/>
      </c>
      <c r="AL173" s="117" cm="1">
        <f t="array" ref="AL173">IFERROR(ROUND(AVERAGE(_xlfn._xlws.FILTER(Eingabe[GES],(Eingabe[Name]=AuswertungA[[#This Row],[Name]])*(Eingabe[Wo]="A")*(Eingabe[GEGGES]&lt;(AuswertungA[[#This Row],[GES A]]-20))))-AuswertungA[[#This Row],[GES A]],0),"")</f>
        <v>-1</v>
      </c>
    </row>
    <row r="174" spans="2:38" x14ac:dyDescent="0.3">
      <c r="B174" s="118" t="str">
        <f t="shared" si="3"/>
        <v>Emma Hettmann</v>
      </c>
      <c r="C174" s="119" t="str">
        <f>IF(AuswertungA[[#This Row],[Name]]="","",VLOOKUP(AuswertungA[[#This Row],[Name]],Teamzuordnung[[Name]:[Team]],2,TRUE))</f>
        <v>U19</v>
      </c>
      <c r="D174" s="122">
        <f>COUNTIFS(Eingabe[Name],AuswertungA[[#This Row],[Name]],Eingabe[Wo],"A")</f>
        <v>8</v>
      </c>
      <c r="E174" s="117" t="str">
        <f>IF(AuswertungA[[#This Row],[Spiele A]]="","",IF(AuswertungA[[#This Row],[Spiele A]]-COUNTIFS(Eingabe[Name],AuswertungA[[#This Row],[Name]],Eingabe[MP],"",Eingabe[Wo],"A")=0,"",AuswertungA[[#This Row],[Spiele A]]-COUNTIFS(Eingabe[Name],AuswertungA[[#This Row],[Name]],Eingabe[MP],"",Eingabe[Wo],"A")))</f>
        <v/>
      </c>
      <c r="F174" s="117">
        <f>IF(AuswertungA[[#This Row],[Spiele A]]=0,"",ROUND(AVERAGEIFS(Eingabe[Volle],Eingabe[Name],AuswertungA[[#This Row],[Name]],Eingabe[Wo],"A"),0))</f>
        <v>367</v>
      </c>
      <c r="G174" s="117">
        <f>IF(AuswertungA[[#This Row],[Spiele A]]=0,"",ROUND(AVERAGEIFS(Eingabe[Räumer],Eingabe[Name],AuswertungA[[#This Row],[Name]],Eingabe[Wo],"A"),0))</f>
        <v>172</v>
      </c>
      <c r="H174" s="123">
        <f>IF(AuswertungA[[#This Row],[Spiele A]]=0,"",ROUND(AVERAGEIFS(Eingabe[Fehler],Eingabe[Name],AuswertungA[[#This Row],[Name]],Eingabe[Wo],"A"),1))</f>
        <v>4.8</v>
      </c>
      <c r="I174" s="117">
        <f>IF(AuswertungA[[#This Row],[Spiele A]]=0,"",ROUND(AVERAGEIFS(Eingabe[GES],Eingabe[Name],AuswertungA[[#This Row],[Name]],Eingabe[Wo],"A"),0))</f>
        <v>540</v>
      </c>
      <c r="J174" s="123" t="str">
        <f>IF(AuswertungA[[#This Row],[Spiele MP A]]="","",ROUND(AVERAGEIFS(Eingabe[SP],Eingabe[Name],AuswertungA[[#This Row],[Name]],Eingabe[Wo],"A"),2))</f>
        <v/>
      </c>
      <c r="K174" s="121" t="str">
        <f>IF(AuswertungA[[#This Row],[Spiele MP A]]="","",ROUND(AVERAGEIFS(Eingabe[MP],Eingabe[Name],AuswertungA[[#This Row],[Name]],Eingabe[Wo],"A"),2))</f>
        <v/>
      </c>
      <c r="L174" s="117">
        <f>IFERROR(ROUND(AVERAGEIFS(Eingabe[S1],Eingabe[Name],AuswertungA[[#This Row],[Name]],Eingabe[Wo],"A"),0),"")</f>
        <v>142</v>
      </c>
      <c r="M174" s="268">
        <f>IFERROR(ROUND(AVERAGEIFS(Eingabe[S2],Eingabe[Name],AuswertungA[[#This Row],[Name]],Eingabe[Wo],"A"),0),"")</f>
        <v>134</v>
      </c>
      <c r="N174" s="117">
        <f>IFERROR(ROUND(AVERAGEIFS(Eingabe[S3],Eingabe[Name],AuswertungA[[#This Row],[Name]],Eingabe[Wo],"A"),0),"")</f>
        <v>134</v>
      </c>
      <c r="O174" s="268">
        <f>IFERROR(ROUND(AVERAGEIFS(Eingabe[S4],Eingabe[Name],AuswertungA[[#This Row],[Name]],Eingabe[Wo],"A"),0),"")</f>
        <v>131</v>
      </c>
      <c r="P174" s="121" t="str">
        <f>IF(AuswertungA[[#This Row],[Spiele MP A]]="","",ROUND(AVERAGEIFS(Eingabe[S1P],Eingabe[Name],AuswertungA[[#This Row],[Name]],Eingabe[Wo],"A"),2))</f>
        <v/>
      </c>
      <c r="Q174" s="121" t="str">
        <f>IF(AuswertungA[[#This Row],[Spiele MP A]]="","",ROUND(AVERAGEIFS(Eingabe[S2P],Eingabe[Name],AuswertungA[[#This Row],[Name]],Eingabe[Wo],"A"),2))</f>
        <v/>
      </c>
      <c r="R174" s="121" t="str">
        <f>IF(AuswertungA[[#This Row],[Spiele MP A]]="","",ROUND(AVERAGEIFS(Eingabe[S3P],Eingabe[Name],AuswertungA[[#This Row],[Name]],Eingabe[Wo],"A"),2))</f>
        <v/>
      </c>
      <c r="S174" s="121" t="str">
        <f>IF(AuswertungA[[#This Row],[Spiele MP A]]="","",ROUND(AVERAGEIFS(Eingabe[S4P],Eingabe[Name],AuswertungA[[#This Row],[Name]],Eingabe[Wo],"A"),2))</f>
        <v/>
      </c>
      <c r="T174" s="123" cm="1">
        <f t="array" ref="T174">IF(AuswertungA[[#This Row],[Spiele A]]="","",IF(AuswertungA[[#This Row],[Spiele A]]&lt;2,"",ROUND(SLOPE(_xlfn._xlws.FILTER(Eingabe[GES],(Eingabe[Name]=AuswertungA[[#This Row],[Name]])*(Eingabe[Wo]="A")),_xlfn._xlws.FILTER(Eingabe[KW],(Eingabe[Name]=AuswertungA[[#This Row],[Name]])*(Eingabe[Wo]="A"))),2)))</f>
        <v>-0.32</v>
      </c>
      <c r="U174" s="123" cm="1">
        <f t="array" ref="U174">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-0.03</v>
      </c>
      <c r="V174" s="117" cm="1">
        <f t="array" ref="V174">IF(AuswertungA[[#This Row],[Spiele A]]="","",IF(AuswertungA[[#This Row],[Spiele A]]&lt;2,"",ROUND(_xlfn.STDEV.P(_xlfn._xlws.FILTER(Eingabe[GES],(Eingabe[Name]=AuswertungA[[#This Row],[Name]])*(Eingabe[Wo]="A"))),0)))</f>
        <v>20</v>
      </c>
      <c r="W174" s="117" t="str">
        <f>IF(AuswertungA[[#This Row],[Spiele MP A]]="","",ROUND(AVERAGEIFS(Eingabe[GEGGES],Eingabe[Name],AuswertungA[[#This Row],[Name]],Eingabe[Wo],"A"),0))</f>
        <v/>
      </c>
      <c r="X174" s="123" t="str">
        <f>VLOOKUP(AuswertungA[[#This Row],[Name]],PositionA[],21,FALSE)</f>
        <v/>
      </c>
      <c r="Y174" s="123" t="str">
        <f>VLOOKUP(AuswertungA[[#This Row],[Name]],PositionA[],22,FALSE)</f>
        <v/>
      </c>
      <c r="Z174" s="123" t="str">
        <f>VLOOKUP(AuswertungA[[#This Row],[Name]],PositionA[],23,FALSE)</f>
        <v/>
      </c>
      <c r="AA174" s="121" t="str">
        <f>IF(AuswertungA[[#This Row],[Spiele MP A]]="","",ROUND(VLOOKUP(AuswertungA[[#This Row],[Name]],PositionA[],24,FALSE),2))</f>
        <v/>
      </c>
      <c r="AB174" s="123">
        <f>IFERROR(ROUND(AVERAGEIFS(Eingabe[Rang],Eingabe[Name],AuswertungA[[#This Row],[Name]],Eingabe[Wo],"A"),1),"")</f>
        <v>1.2</v>
      </c>
      <c r="AC174" s="123" cm="1">
        <f t="array" ref="AC174">IFERROR(ROUND(MEDIAN(_xlfn._xlws.FILTER(Eingabe[GES],(Eingabe[Name]=AuswertungA[[#This Row],[Name]])*(Eingabe[Wo]="A"))),0),"")</f>
        <v>535</v>
      </c>
      <c r="AD174" s="121">
        <f>IFERROR(AuswertungA[[#This Row],[STABW A]]/AuswertungA[[#This Row],[GES A]],"")</f>
        <v>3.7037037037037035E-2</v>
      </c>
      <c r="AE174" s="123" cm="1">
        <f t="array" ref="AE174">IFERROR(ROUND(_xlfn.QUARTILE.INC(_xlfn._xlws.FILTER(Eingabe[GES],(Eingabe[Name]=AuswertungA[[#This Row],[Name]])*(Eingabe[Wo]="A")),3)-_xlfn.QUARTILE.INC(_xlfn._xlws.FILTER(Eingabe[GES],(Eingabe[Name]=AuswertungA[[#This Row],[Name]])*(Eingabe[Wo]="A")),1),0),"")</f>
        <v>16</v>
      </c>
      <c r="AF174" s="123">
        <f>IFERROR(1/AuswertungA[[#This Row],[VK A]],"")</f>
        <v>27</v>
      </c>
      <c r="AG174" s="123">
        <f>IFERROR(AuswertungA[[#This Row],[Volle A]]/AuswertungA[[#This Row],[Räumer A]]-2,"")</f>
        <v>0.13372093023255793</v>
      </c>
      <c r="AH174" s="117">
        <f>IFERROR(ROUND((AuswertungA[[#This Row],[Spiele A]]*60)/(AuswertungA[[#This Row],[Fehler A]]*AuswertungA[[#This Row],[Spiele A]]),0),"")</f>
        <v>13</v>
      </c>
      <c r="AI174" s="123" t="str" cm="1">
        <f t="array" ref="AI174">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74" s="267" t="str">
        <f>IFERROR(ROUND(AVERAGEIFS(Eingabe[MP],Eingabe[Diff],"&lt;15",Eingabe[Name],AuswertungA[[#This Row],[Name]],Eingabe[Wo],"A")-AuswertungA[[#This Row],[MP A]],2),"")</f>
        <v/>
      </c>
      <c r="AK174" s="117" t="str" cm="1">
        <f t="array" ref="AK174">IFERROR(ROUND(AVERAGE(_xlfn._xlws.FILTER(Eingabe[GES],(Eingabe[Name]=AuswertungA[[#This Row],[Name]])*(Eingabe[Wo]="A")*(Eingabe[GEGGES]&gt;(AuswertungA[[#This Row],[GES A]]+20))))-AuswertungA[[#This Row],[GES A]],0),"")</f>
        <v/>
      </c>
      <c r="AL174" s="117" cm="1">
        <f t="array" ref="AL174">IFERROR(ROUND(AVERAGE(_xlfn._xlws.FILTER(Eingabe[GES],(Eingabe[Name]=AuswertungA[[#This Row],[Name]])*(Eingabe[Wo]="A")*(Eingabe[GEGGES]&lt;(AuswertungA[[#This Row],[GES A]]-20))))-AuswertungA[[#This Row],[GES A]],0),"")</f>
        <v>-1</v>
      </c>
    </row>
    <row r="175" spans="2:38" x14ac:dyDescent="0.3">
      <c r="B175" s="118" t="str">
        <f t="shared" si="3"/>
        <v>Erik Krutak</v>
      </c>
      <c r="C175" s="119" t="str">
        <f>IF(AuswertungA[[#This Row],[Name]]="","",VLOOKUP(AuswertungA[[#This Row],[Name]],Teamzuordnung[[Name]:[Team]],2,TRUE))</f>
        <v>Z</v>
      </c>
      <c r="D175" s="122">
        <f>COUNTIFS(Eingabe[Name],AuswertungA[[#This Row],[Name]],Eingabe[Wo],"A")</f>
        <v>7</v>
      </c>
      <c r="E175" s="117">
        <f>IF(AuswertungA[[#This Row],[Spiele A]]="","",IF(AuswertungA[[#This Row],[Spiele A]]-COUNTIFS(Eingabe[Name],AuswertungA[[#This Row],[Name]],Eingabe[MP],"",Eingabe[Wo],"A")=0,"",AuswertungA[[#This Row],[Spiele A]]-COUNTIFS(Eingabe[Name],AuswertungA[[#This Row],[Name]],Eingabe[MP],"",Eingabe[Wo],"A")))</f>
        <v>5</v>
      </c>
      <c r="F175" s="117">
        <f>IF(AuswertungA[[#This Row],[Spiele A]]=0,"",ROUND(AVERAGEIFS(Eingabe[Volle],Eingabe[Name],AuswertungA[[#This Row],[Name]],Eingabe[Wo],"A"),0))</f>
        <v>353</v>
      </c>
      <c r="G175" s="117">
        <f>IF(AuswertungA[[#This Row],[Spiele A]]=0,"",ROUND(AVERAGEIFS(Eingabe[Räumer],Eingabe[Name],AuswertungA[[#This Row],[Name]],Eingabe[Wo],"A"),0))</f>
        <v>181</v>
      </c>
      <c r="H175" s="123">
        <f>IF(AuswertungA[[#This Row],[Spiele A]]=0,"",ROUND(AVERAGEIFS(Eingabe[Fehler],Eingabe[Name],AuswertungA[[#This Row],[Name]],Eingabe[Wo],"A"),1))</f>
        <v>5.9</v>
      </c>
      <c r="I175" s="117">
        <f>IF(AuswertungA[[#This Row],[Spiele A]]=0,"",ROUND(AVERAGEIFS(Eingabe[GES],Eingabe[Name],AuswertungA[[#This Row],[Name]],Eingabe[Wo],"A"),0))</f>
        <v>534</v>
      </c>
      <c r="J175" s="123">
        <f>IF(AuswertungA[[#This Row],[Spiele MP A]]="","",ROUND(AVERAGEIFS(Eingabe[SP],Eingabe[Name],AuswertungA[[#This Row],[Name]],Eingabe[Wo],"A"),2))</f>
        <v>1.2</v>
      </c>
      <c r="K175" s="121">
        <f>IF(AuswertungA[[#This Row],[Spiele MP A]]="","",ROUND(AVERAGEIFS(Eingabe[MP],Eingabe[Name],AuswertungA[[#This Row],[Name]],Eingabe[Wo],"A"),2))</f>
        <v>0</v>
      </c>
      <c r="L175" s="117">
        <f>IFERROR(ROUND(AVERAGEIFS(Eingabe[S1],Eingabe[Name],AuswertungA[[#This Row],[Name]],Eingabe[Wo],"A"),0),"")</f>
        <v>135</v>
      </c>
      <c r="M175" s="268">
        <f>IFERROR(ROUND(AVERAGEIFS(Eingabe[S2],Eingabe[Name],AuswertungA[[#This Row],[Name]],Eingabe[Wo],"A"),0),"")</f>
        <v>127</v>
      </c>
      <c r="N175" s="117">
        <f>IFERROR(ROUND(AVERAGEIFS(Eingabe[S3],Eingabe[Name],AuswertungA[[#This Row],[Name]],Eingabe[Wo],"A"),0),"")</f>
        <v>130</v>
      </c>
      <c r="O175" s="268">
        <f>IFERROR(ROUND(AVERAGEIFS(Eingabe[S4],Eingabe[Name],AuswertungA[[#This Row],[Name]],Eingabe[Wo],"A"),0),"")</f>
        <v>142</v>
      </c>
      <c r="P175" s="121">
        <f>IF(AuswertungA[[#This Row],[Spiele MP A]]="","",ROUND(AVERAGEIFS(Eingabe[S1P],Eingabe[Name],AuswertungA[[#This Row],[Name]],Eingabe[Wo],"A"),2))</f>
        <v>0.2</v>
      </c>
      <c r="Q175" s="121">
        <f>IF(AuswertungA[[#This Row],[Spiele MP A]]="","",ROUND(AVERAGEIFS(Eingabe[S2P],Eingabe[Name],AuswertungA[[#This Row],[Name]],Eingabe[Wo],"A"),2))</f>
        <v>0.2</v>
      </c>
      <c r="R175" s="121">
        <f>IF(AuswertungA[[#This Row],[Spiele MP A]]="","",ROUND(AVERAGEIFS(Eingabe[S3P],Eingabe[Name],AuswertungA[[#This Row],[Name]],Eingabe[Wo],"A"),2))</f>
        <v>0</v>
      </c>
      <c r="S175" s="121">
        <f>IF(AuswertungA[[#This Row],[Spiele MP A]]="","",ROUND(AVERAGEIFS(Eingabe[S4P],Eingabe[Name],AuswertungA[[#This Row],[Name]],Eingabe[Wo],"A"),2))</f>
        <v>0.8</v>
      </c>
      <c r="T175" s="123" cm="1">
        <f t="array" ref="T175">IF(AuswertungA[[#This Row],[Spiele A]]="","",IF(AuswertungA[[#This Row],[Spiele A]]&lt;2,"",ROUND(SLOPE(_xlfn._xlws.FILTER(Eingabe[GES],(Eingabe[Name]=AuswertungA[[#This Row],[Name]])*(Eingabe[Wo]="A")),_xlfn._xlws.FILTER(Eingabe[KW],(Eingabe[Name]=AuswertungA[[#This Row],[Name]])*(Eingabe[Wo]="A"))),2)))</f>
        <v>-0.86</v>
      </c>
      <c r="U175" s="123" cm="1">
        <f t="array" ref="U175">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-7.0000000000000007E-2</v>
      </c>
      <c r="V175" s="117" cm="1">
        <f t="array" ref="V175">IF(AuswertungA[[#This Row],[Spiele A]]="","",IF(AuswertungA[[#This Row],[Spiele A]]&lt;2,"",ROUND(_xlfn.STDEV.P(_xlfn._xlws.FILTER(Eingabe[GES],(Eingabe[Name]=AuswertungA[[#This Row],[Name]])*(Eingabe[Wo]="A"))),0)))</f>
        <v>21</v>
      </c>
      <c r="W175" s="117">
        <f>IF(AuswertungA[[#This Row],[Spiele MP A]]="","",ROUND(AVERAGEIFS(Eingabe[GEGGES],Eingabe[Name],AuswertungA[[#This Row],[Name]],Eingabe[Wo],"A"),0))</f>
        <v>556</v>
      </c>
      <c r="X175" s="123" t="str">
        <f>VLOOKUP(AuswertungA[[#This Row],[Name]],PositionA[],21,FALSE)</f>
        <v>[5]</v>
      </c>
      <c r="Y175" s="123">
        <f>VLOOKUP(AuswertungA[[#This Row],[Name]],PositionA[],22,FALSE)</f>
        <v>3</v>
      </c>
      <c r="Z175" s="123" t="str">
        <f>VLOOKUP(AuswertungA[[#This Row],[Name]],PositionA[],23,FALSE)</f>
        <v>[5][6]</v>
      </c>
      <c r="AA175" s="121">
        <f>IF(AuswertungA[[#This Row],[Spiele MP A]]="","",ROUND(VLOOKUP(AuswertungA[[#This Row],[Name]],PositionA[],24,FALSE),2))</f>
        <v>0</v>
      </c>
      <c r="AB175" s="123">
        <f>IFERROR(ROUND(AVERAGEIFS(Eingabe[Rang],Eingabe[Name],AuswertungA[[#This Row],[Name]],Eingabe[Wo],"A"),1),"")</f>
        <v>4</v>
      </c>
      <c r="AC175" s="123" cm="1">
        <f t="array" ref="AC175">IFERROR(ROUND(MEDIAN(_xlfn._xlws.FILTER(Eingabe[GES],(Eingabe[Name]=AuswertungA[[#This Row],[Name]])*(Eingabe[Wo]="A"))),0),"")</f>
        <v>531</v>
      </c>
      <c r="AD175" s="121">
        <f>IFERROR(AuswertungA[[#This Row],[STABW A]]/AuswertungA[[#This Row],[GES A]],"")</f>
        <v>3.9325842696629212E-2</v>
      </c>
      <c r="AE175" s="123" cm="1">
        <f t="array" ref="AE175">IFERROR(ROUND(_xlfn.QUARTILE.INC(_xlfn._xlws.FILTER(Eingabe[GES],(Eingabe[Name]=AuswertungA[[#This Row],[Name]])*(Eingabe[Wo]="A")),3)-_xlfn.QUARTILE.INC(_xlfn._xlws.FILTER(Eingabe[GES],(Eingabe[Name]=AuswertungA[[#This Row],[Name]])*(Eingabe[Wo]="A")),1),0),"")</f>
        <v>31</v>
      </c>
      <c r="AF175" s="123">
        <f>IFERROR(1/AuswertungA[[#This Row],[VK A]],"")</f>
        <v>25.428571428571431</v>
      </c>
      <c r="AG175" s="123">
        <f>IFERROR(AuswertungA[[#This Row],[Volle A]]/AuswertungA[[#This Row],[Räumer A]]-2,"")</f>
        <v>-4.9723756906077332E-2</v>
      </c>
      <c r="AH175" s="117">
        <f>IFERROR(ROUND((AuswertungA[[#This Row],[Spiele A]]*60)/(AuswertungA[[#This Row],[Fehler A]]*AuswertungA[[#This Row],[Spiele A]]),0),"")</f>
        <v>10</v>
      </c>
      <c r="AI175" s="123" cm="1">
        <f t="array" ref="AI175">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-0.14285714285714285</v>
      </c>
      <c r="AJ175" s="267">
        <f>IFERROR(ROUND(AVERAGEIFS(Eingabe[MP],Eingabe[Diff],"&lt;15",Eingabe[Name],AuswertungA[[#This Row],[Name]],Eingabe[Wo],"A")-AuswertungA[[#This Row],[MP A]],2),"")</f>
        <v>0</v>
      </c>
      <c r="AK175" s="117" cm="1">
        <f t="array" ref="AK175">IFERROR(ROUND(AVERAGE(_xlfn._xlws.FILTER(Eingabe[GES],(Eingabe[Name]=AuswertungA[[#This Row],[Name]])*(Eingabe[Wo]="A")*(Eingabe[GEGGES]&gt;(AuswertungA[[#This Row],[GES A]]+20))))-AuswertungA[[#This Row],[GES A]],0),"")</f>
        <v>13</v>
      </c>
      <c r="AL175" s="117" cm="1">
        <f t="array" ref="AL175">IFERROR(ROUND(AVERAGE(_xlfn._xlws.FILTER(Eingabe[GES],(Eingabe[Name]=AuswertungA[[#This Row],[Name]])*(Eingabe[Wo]="A")*(Eingabe[GEGGES]&lt;(AuswertungA[[#This Row],[GES A]]-20))))-AuswertungA[[#This Row],[GES A]],0),"")</f>
        <v>-9</v>
      </c>
    </row>
    <row r="176" spans="2:38" x14ac:dyDescent="0.3">
      <c r="B176" s="118" t="str">
        <f t="shared" si="3"/>
        <v>Florian Jäger</v>
      </c>
      <c r="C176" s="119" t="str">
        <f>IF(AuswertungA[[#This Row],[Name]]="","",VLOOKUP(AuswertungA[[#This Row],[Name]],Teamzuordnung[[Name]:[Team]],2,TRUE))</f>
        <v>D</v>
      </c>
      <c r="D176" s="122">
        <f>COUNTIFS(Eingabe[Name],AuswertungA[[#This Row],[Name]],Eingabe[Wo],"A")</f>
        <v>1</v>
      </c>
      <c r="E176" s="117">
        <f>IF(AuswertungA[[#This Row],[Spiele A]]="","",IF(AuswertungA[[#This Row],[Spiele A]]-COUNTIFS(Eingabe[Name],AuswertungA[[#This Row],[Name]],Eingabe[MP],"",Eingabe[Wo],"A")=0,"",AuswertungA[[#This Row],[Spiele A]]-COUNTIFS(Eingabe[Name],AuswertungA[[#This Row],[Name]],Eingabe[MP],"",Eingabe[Wo],"A")))</f>
        <v>1</v>
      </c>
      <c r="F176" s="117">
        <f>IF(AuswertungA[[#This Row],[Spiele A]]=0,"",ROUND(AVERAGEIFS(Eingabe[Volle],Eingabe[Name],AuswertungA[[#This Row],[Name]],Eingabe[Wo],"A"),0))</f>
        <v>325</v>
      </c>
      <c r="G176" s="117">
        <f>IF(AuswertungA[[#This Row],[Spiele A]]=0,"",ROUND(AVERAGEIFS(Eingabe[Räumer],Eingabe[Name],AuswertungA[[#This Row],[Name]],Eingabe[Wo],"A"),0))</f>
        <v>186</v>
      </c>
      <c r="H176" s="123">
        <f>IF(AuswertungA[[#This Row],[Spiele A]]=0,"",ROUND(AVERAGEIFS(Eingabe[Fehler],Eingabe[Name],AuswertungA[[#This Row],[Name]],Eingabe[Wo],"A"),1))</f>
        <v>4</v>
      </c>
      <c r="I176" s="117">
        <f>IF(AuswertungA[[#This Row],[Spiele A]]=0,"",ROUND(AVERAGEIFS(Eingabe[GES],Eingabe[Name],AuswertungA[[#This Row],[Name]],Eingabe[Wo],"A"),0))</f>
        <v>511</v>
      </c>
      <c r="J176" s="123">
        <f>IF(AuswertungA[[#This Row],[Spiele MP A]]="","",ROUND(AVERAGEIFS(Eingabe[SP],Eingabe[Name],AuswertungA[[#This Row],[Name]],Eingabe[Wo],"A"),2))</f>
        <v>3</v>
      </c>
      <c r="K176" s="121">
        <f>IF(AuswertungA[[#This Row],[Spiele MP A]]="","",ROUND(AVERAGEIFS(Eingabe[MP],Eingabe[Name],AuswertungA[[#This Row],[Name]],Eingabe[Wo],"A"),2))</f>
        <v>1</v>
      </c>
      <c r="L176" s="117">
        <f>IFERROR(ROUND(AVERAGEIFS(Eingabe[S1],Eingabe[Name],AuswertungA[[#This Row],[Name]],Eingabe[Wo],"A"),0),"")</f>
        <v>137</v>
      </c>
      <c r="M176" s="268">
        <f>IFERROR(ROUND(AVERAGEIFS(Eingabe[S2],Eingabe[Name],AuswertungA[[#This Row],[Name]],Eingabe[Wo],"A"),0),"")</f>
        <v>134</v>
      </c>
      <c r="N176" s="117">
        <f>IFERROR(ROUND(AVERAGEIFS(Eingabe[S3],Eingabe[Name],AuswertungA[[#This Row],[Name]],Eingabe[Wo],"A"),0),"")</f>
        <v>129</v>
      </c>
      <c r="O176" s="268">
        <f>IFERROR(ROUND(AVERAGEIFS(Eingabe[S4],Eingabe[Name],AuswertungA[[#This Row],[Name]],Eingabe[Wo],"A"),0),"")</f>
        <v>111</v>
      </c>
      <c r="P176" s="121">
        <f>IF(AuswertungA[[#This Row],[Spiele MP A]]="","",ROUND(AVERAGEIFS(Eingabe[S1P],Eingabe[Name],AuswertungA[[#This Row],[Name]],Eingabe[Wo],"A"),2))</f>
        <v>1</v>
      </c>
      <c r="Q176" s="121">
        <f>IF(AuswertungA[[#This Row],[Spiele MP A]]="","",ROUND(AVERAGEIFS(Eingabe[S2P],Eingabe[Name],AuswertungA[[#This Row],[Name]],Eingabe[Wo],"A"),2))</f>
        <v>1</v>
      </c>
      <c r="R176" s="121">
        <f>IF(AuswertungA[[#This Row],[Spiele MP A]]="","",ROUND(AVERAGEIFS(Eingabe[S3P],Eingabe[Name],AuswertungA[[#This Row],[Name]],Eingabe[Wo],"A"),2))</f>
        <v>1</v>
      </c>
      <c r="S176" s="121">
        <f>IF(AuswertungA[[#This Row],[Spiele MP A]]="","",ROUND(AVERAGEIFS(Eingabe[S4P],Eingabe[Name],AuswertungA[[#This Row],[Name]],Eingabe[Wo],"A"),2))</f>
        <v>0</v>
      </c>
      <c r="T176" s="123" t="str" cm="1">
        <f t="array" ref="T176">IF(AuswertungA[[#This Row],[Spiele A]]="","",IF(AuswertungA[[#This Row],[Spiele A]]&lt;2,"",ROUND(SLOPE(_xlfn._xlws.FILTER(Eingabe[GES],(Eingabe[Name]=AuswertungA[[#This Row],[Name]])*(Eingabe[Wo]="A")),_xlfn._xlws.FILTER(Eingabe[KW],(Eingabe[Name]=AuswertungA[[#This Row],[Name]])*(Eingabe[Wo]="A"))),2)))</f>
        <v/>
      </c>
      <c r="U176" s="123" t="str" cm="1">
        <f t="array" ref="U176">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76" s="117" t="str" cm="1">
        <f t="array" ref="V176">IF(AuswertungA[[#This Row],[Spiele A]]="","",IF(AuswertungA[[#This Row],[Spiele A]]&lt;2,"",ROUND(_xlfn.STDEV.P(_xlfn._xlws.FILTER(Eingabe[GES],(Eingabe[Name]=AuswertungA[[#This Row],[Name]])*(Eingabe[Wo]="A"))),0)))</f>
        <v/>
      </c>
      <c r="W176" s="117">
        <f>IF(AuswertungA[[#This Row],[Spiele MP A]]="","",ROUND(AVERAGEIFS(Eingabe[GEGGES],Eingabe[Name],AuswertungA[[#This Row],[Name]],Eingabe[Wo],"A"),0))</f>
        <v>481</v>
      </c>
      <c r="X176" s="123" t="str">
        <f>VLOOKUP(AuswertungA[[#This Row],[Name]],PositionA[],21,FALSE)</f>
        <v>[6]</v>
      </c>
      <c r="Y176" s="123">
        <f>VLOOKUP(AuswertungA[[#This Row],[Name]],PositionA[],22,FALSE)</f>
        <v>1</v>
      </c>
      <c r="Z176" s="123" t="str">
        <f>VLOOKUP(AuswertungA[[#This Row],[Name]],PositionA[],23,FALSE)</f>
        <v>[6]</v>
      </c>
      <c r="AA176" s="121">
        <f>IF(AuswertungA[[#This Row],[Spiele MP A]]="","",ROUND(VLOOKUP(AuswertungA[[#This Row],[Name]],PositionA[],24,FALSE),2))</f>
        <v>1</v>
      </c>
      <c r="AB176" s="123">
        <f>IFERROR(ROUND(AVERAGEIFS(Eingabe[Rang],Eingabe[Name],AuswertungA[[#This Row],[Name]],Eingabe[Wo],"A"),1),"")</f>
        <v>3</v>
      </c>
      <c r="AC176" s="123" cm="1">
        <f t="array" ref="AC176">IFERROR(ROUND(MEDIAN(_xlfn._xlws.FILTER(Eingabe[GES],(Eingabe[Name]=AuswertungA[[#This Row],[Name]])*(Eingabe[Wo]="A"))),0),"")</f>
        <v>511</v>
      </c>
      <c r="AD176" s="121" t="str">
        <f>IFERROR(AuswertungA[[#This Row],[STABW A]]/AuswertungA[[#This Row],[GES A]],"")</f>
        <v/>
      </c>
      <c r="AE176" s="123" cm="1">
        <f t="array" ref="AE176">IFERROR(ROUND(_xlfn.QUARTILE.INC(_xlfn._xlws.FILTER(Eingabe[GES],(Eingabe[Name]=AuswertungA[[#This Row],[Name]])*(Eingabe[Wo]="A")),3)-_xlfn.QUARTILE.INC(_xlfn._xlws.FILTER(Eingabe[GES],(Eingabe[Name]=AuswertungA[[#This Row],[Name]])*(Eingabe[Wo]="A")),1),0),"")</f>
        <v>0</v>
      </c>
      <c r="AF176" s="123" t="str">
        <f>IFERROR(1/AuswertungA[[#This Row],[VK A]],"")</f>
        <v/>
      </c>
      <c r="AG176" s="123">
        <f>IFERROR(AuswertungA[[#This Row],[Volle A]]/AuswertungA[[#This Row],[Räumer A]]-2,"")</f>
        <v>-0.25268817204301075</v>
      </c>
      <c r="AH176" s="117">
        <f>IFERROR(ROUND((AuswertungA[[#This Row],[Spiele A]]*60)/(AuswertungA[[#This Row],[Fehler A]]*AuswertungA[[#This Row],[Spiele A]]),0),"")</f>
        <v>15</v>
      </c>
      <c r="AI176" s="123" t="str" cm="1">
        <f t="array" ref="AI176">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76" s="267" t="str">
        <f>IFERROR(ROUND(AVERAGEIFS(Eingabe[MP],Eingabe[Diff],"&lt;15",Eingabe[Name],AuswertungA[[#This Row],[Name]],Eingabe[Wo],"A")-AuswertungA[[#This Row],[MP A]],2),"")</f>
        <v/>
      </c>
      <c r="AK176" s="117" t="str" cm="1">
        <f t="array" ref="AK176">IFERROR(ROUND(AVERAGE(_xlfn._xlws.FILTER(Eingabe[GES],(Eingabe[Name]=AuswertungA[[#This Row],[Name]])*(Eingabe[Wo]="A")*(Eingabe[GEGGES]&gt;(AuswertungA[[#This Row],[GES A]]+20))))-AuswertungA[[#This Row],[GES A]],0),"")</f>
        <v/>
      </c>
      <c r="AL176" s="117" cm="1">
        <f t="array" ref="AL176">IFERROR(ROUND(AVERAGE(_xlfn._xlws.FILTER(Eingabe[GES],(Eingabe[Name]=AuswertungA[[#This Row],[Name]])*(Eingabe[Wo]="A")*(Eingabe[GEGGES]&lt;(AuswertungA[[#This Row],[GES A]]-20))))-AuswertungA[[#This Row],[GES A]],0),"")</f>
        <v>0</v>
      </c>
    </row>
    <row r="177" spans="2:38" x14ac:dyDescent="0.3">
      <c r="B177" s="118" t="str">
        <f t="shared" si="3"/>
        <v>Heike Scholz</v>
      </c>
      <c r="C177" s="119" t="str">
        <f>IF(AuswertungA[[#This Row],[Name]]="","",VLOOKUP(AuswertungA[[#This Row],[Name]],Teamzuordnung[[Name]:[Team]],2,TRUE))</f>
        <v>F</v>
      </c>
      <c r="D177" s="122">
        <f>COUNTIFS(Eingabe[Name],AuswertungA[[#This Row],[Name]],Eingabe[Wo],"A")</f>
        <v>6</v>
      </c>
      <c r="E177" s="117">
        <f>IF(AuswertungA[[#This Row],[Spiele A]]="","",IF(AuswertungA[[#This Row],[Spiele A]]-COUNTIFS(Eingabe[Name],AuswertungA[[#This Row],[Name]],Eingabe[MP],"",Eingabe[Wo],"A")=0,"",AuswertungA[[#This Row],[Spiele A]]-COUNTIFS(Eingabe[Name],AuswertungA[[#This Row],[Name]],Eingabe[MP],"",Eingabe[Wo],"A")))</f>
        <v>4</v>
      </c>
      <c r="F177" s="117">
        <f>IF(AuswertungA[[#This Row],[Spiele A]]=0,"",ROUND(AVERAGEIFS(Eingabe[Volle],Eingabe[Name],AuswertungA[[#This Row],[Name]],Eingabe[Wo],"A"),0))</f>
        <v>348</v>
      </c>
      <c r="G177" s="117">
        <f>IF(AuswertungA[[#This Row],[Spiele A]]=0,"",ROUND(AVERAGEIFS(Eingabe[Räumer],Eingabe[Name],AuswertungA[[#This Row],[Name]],Eingabe[Wo],"A"),0))</f>
        <v>163</v>
      </c>
      <c r="H177" s="123">
        <f>IF(AuswertungA[[#This Row],[Spiele A]]=0,"",ROUND(AVERAGEIFS(Eingabe[Fehler],Eingabe[Name],AuswertungA[[#This Row],[Name]],Eingabe[Wo],"A"),1))</f>
        <v>8</v>
      </c>
      <c r="I177" s="117">
        <f>IF(AuswertungA[[#This Row],[Spiele A]]=0,"",ROUND(AVERAGEIFS(Eingabe[GES],Eingabe[Name],AuswertungA[[#This Row],[Name]],Eingabe[Wo],"A"),0))</f>
        <v>511</v>
      </c>
      <c r="J177" s="123">
        <f>IF(AuswertungA[[#This Row],[Spiele MP A]]="","",ROUND(AVERAGEIFS(Eingabe[SP],Eingabe[Name],AuswertungA[[#This Row],[Name]],Eingabe[Wo],"A"),2))</f>
        <v>1.75</v>
      </c>
      <c r="K177" s="121">
        <f>IF(AuswertungA[[#This Row],[Spiele MP A]]="","",ROUND(AVERAGEIFS(Eingabe[MP],Eingabe[Name],AuswertungA[[#This Row],[Name]],Eingabe[Wo],"A"),2))</f>
        <v>0.75</v>
      </c>
      <c r="L177" s="117">
        <f>IFERROR(ROUND(AVERAGEIFS(Eingabe[S1],Eingabe[Name],AuswertungA[[#This Row],[Name]],Eingabe[Wo],"A"),0),"")</f>
        <v>131</v>
      </c>
      <c r="M177" s="268">
        <f>IFERROR(ROUND(AVERAGEIFS(Eingabe[S2],Eingabe[Name],AuswertungA[[#This Row],[Name]],Eingabe[Wo],"A"),0),"")</f>
        <v>125</v>
      </c>
      <c r="N177" s="117">
        <f>IFERROR(ROUND(AVERAGEIFS(Eingabe[S3],Eingabe[Name],AuswertungA[[#This Row],[Name]],Eingabe[Wo],"A"),0),"")</f>
        <v>123</v>
      </c>
      <c r="O177" s="268">
        <f>IFERROR(ROUND(AVERAGEIFS(Eingabe[S4],Eingabe[Name],AuswertungA[[#This Row],[Name]],Eingabe[Wo],"A"),0),"")</f>
        <v>137</v>
      </c>
      <c r="P177" s="121">
        <f>IF(AuswertungA[[#This Row],[Spiele MP A]]="","",ROUND(AVERAGEIFS(Eingabe[S1P],Eingabe[Name],AuswertungA[[#This Row],[Name]],Eingabe[Wo],"A"),2))</f>
        <v>0.5</v>
      </c>
      <c r="Q177" s="121">
        <f>IF(AuswertungA[[#This Row],[Spiele MP A]]="","",ROUND(AVERAGEIFS(Eingabe[S2P],Eingabe[Name],AuswertungA[[#This Row],[Name]],Eingabe[Wo],"A"),2))</f>
        <v>0.25</v>
      </c>
      <c r="R177" s="121">
        <f>IF(AuswertungA[[#This Row],[Spiele MP A]]="","",ROUND(AVERAGEIFS(Eingabe[S3P],Eingabe[Name],AuswertungA[[#This Row],[Name]],Eingabe[Wo],"A"),2))</f>
        <v>0.25</v>
      </c>
      <c r="S177" s="121">
        <f>IF(AuswertungA[[#This Row],[Spiele MP A]]="","",ROUND(AVERAGEIFS(Eingabe[S4P],Eingabe[Name],AuswertungA[[#This Row],[Name]],Eingabe[Wo],"A"),2))</f>
        <v>0.75</v>
      </c>
      <c r="T177" s="123" cm="1">
        <f t="array" ref="T177">IF(AuswertungA[[#This Row],[Spiele A]]="","",IF(AuswertungA[[#This Row],[Spiele A]]&lt;2,"",ROUND(SLOPE(_xlfn._xlws.FILTER(Eingabe[GES],(Eingabe[Name]=AuswertungA[[#This Row],[Name]])*(Eingabe[Wo]="A")),_xlfn._xlws.FILTER(Eingabe[KW],(Eingabe[Name]=AuswertungA[[#This Row],[Name]])*(Eingabe[Wo]="A"))),2)))</f>
        <v>0.38</v>
      </c>
      <c r="U177" s="123" cm="1">
        <f t="array" ref="U177">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9.57</v>
      </c>
      <c r="V177" s="117" cm="1">
        <f t="array" ref="V177">IF(AuswertungA[[#This Row],[Spiele A]]="","",IF(AuswertungA[[#This Row],[Spiele A]]&lt;2,"",ROUND(_xlfn.STDEV.P(_xlfn._xlws.FILTER(Eingabe[GES],(Eingabe[Name]=AuswertungA[[#This Row],[Name]])*(Eingabe[Wo]="A"))),0)))</f>
        <v>15</v>
      </c>
      <c r="W177" s="117">
        <f>IF(AuswertungA[[#This Row],[Spiele MP A]]="","",ROUND(AVERAGEIFS(Eingabe[GEGGES],Eingabe[Name],AuswertungA[[#This Row],[Name]],Eingabe[Wo],"A"),0))</f>
        <v>527</v>
      </c>
      <c r="X177" s="123" t="str">
        <f>VLOOKUP(AuswertungA[[#This Row],[Name]],PositionA[],21,FALSE)</f>
        <v>[4]</v>
      </c>
      <c r="Y177" s="123">
        <f>VLOOKUP(AuswertungA[[#This Row],[Name]],PositionA[],22,FALSE)</f>
        <v>3</v>
      </c>
      <c r="Z177" s="123" t="str">
        <f>VLOOKUP(AuswertungA[[#This Row],[Name]],PositionA[],23,FALSE)</f>
        <v>[3]</v>
      </c>
      <c r="AA177" s="121">
        <f>IF(AuswertungA[[#This Row],[Spiele MP A]]="","",ROUND(VLOOKUP(AuswertungA[[#This Row],[Name]],PositionA[],24,FALSE),2))</f>
        <v>1</v>
      </c>
      <c r="AB177" s="123">
        <f>IFERROR(ROUND(AVERAGEIFS(Eingabe[Rang],Eingabe[Name],AuswertungA[[#This Row],[Name]],Eingabe[Wo],"A"),1),"")</f>
        <v>2.8</v>
      </c>
      <c r="AC177" s="123" cm="1">
        <f t="array" ref="AC177">IFERROR(ROUND(MEDIAN(_xlfn._xlws.FILTER(Eingabe[GES],(Eingabe[Name]=AuswertungA[[#This Row],[Name]])*(Eingabe[Wo]="A"))),0),"")</f>
        <v>510</v>
      </c>
      <c r="AD177" s="121">
        <f>IFERROR(AuswertungA[[#This Row],[STABW A]]/AuswertungA[[#This Row],[GES A]],"")</f>
        <v>2.9354207436399216E-2</v>
      </c>
      <c r="AE177" s="123" cm="1">
        <f t="array" ref="AE177">IFERROR(ROUND(_xlfn.QUARTILE.INC(_xlfn._xlws.FILTER(Eingabe[GES],(Eingabe[Name]=AuswertungA[[#This Row],[Name]])*(Eingabe[Wo]="A")),3)-_xlfn.QUARTILE.INC(_xlfn._xlws.FILTER(Eingabe[GES],(Eingabe[Name]=AuswertungA[[#This Row],[Name]])*(Eingabe[Wo]="A")),1),0),"")</f>
        <v>5</v>
      </c>
      <c r="AF177" s="123">
        <f>IFERROR(1/AuswertungA[[#This Row],[VK A]],"")</f>
        <v>34.06666666666667</v>
      </c>
      <c r="AG177" s="123">
        <f>IFERROR(AuswertungA[[#This Row],[Volle A]]/AuswertungA[[#This Row],[Räumer A]]-2,"")</f>
        <v>0.13496932515337434</v>
      </c>
      <c r="AH177" s="117">
        <f>IFERROR(ROUND((AuswertungA[[#This Row],[Spiele A]]*60)/(AuswertungA[[#This Row],[Fehler A]]*AuswertungA[[#This Row],[Spiele A]]),0),"")</f>
        <v>8</v>
      </c>
      <c r="AI177" s="123" cm="1">
        <f t="array" ref="AI177">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-0.13333333333333333</v>
      </c>
      <c r="AJ177" s="267">
        <f>IFERROR(ROUND(AVERAGEIFS(Eingabe[MP],Eingabe[Diff],"&lt;15",Eingabe[Name],AuswertungA[[#This Row],[Name]],Eingabe[Wo],"A")-AuswertungA[[#This Row],[MP A]],2),"")</f>
        <v>0.25</v>
      </c>
      <c r="AK177" s="117" cm="1">
        <f t="array" ref="AK177">IFERROR(ROUND(AVERAGE(_xlfn._xlws.FILTER(Eingabe[GES],(Eingabe[Name]=AuswertungA[[#This Row],[Name]])*(Eingabe[Wo]="A")*(Eingabe[GEGGES]&gt;(AuswertungA[[#This Row],[GES A]]+20))))-AuswertungA[[#This Row],[GES A]],0),"")</f>
        <v>-2</v>
      </c>
      <c r="AL177" s="117" cm="1">
        <f t="array" ref="AL177">IFERROR(ROUND(AVERAGE(_xlfn._xlws.FILTER(Eingabe[GES],(Eingabe[Name]=AuswertungA[[#This Row],[Name]])*(Eingabe[Wo]="A")*(Eingabe[GEGGES]&lt;(AuswertungA[[#This Row],[GES A]]-20))))-AuswertungA[[#This Row],[GES A]],0),"")</f>
        <v>-11</v>
      </c>
    </row>
    <row r="178" spans="2:38" x14ac:dyDescent="0.3">
      <c r="B178" s="118" t="str">
        <f t="shared" si="3"/>
        <v>Heiko Fuhrmann</v>
      </c>
      <c r="C178" s="119" t="str">
        <f>IF(AuswertungA[[#This Row],[Name]]="","",VLOOKUP(AuswertungA[[#This Row],[Name]],Teamzuordnung[[Name]:[Team]],2,TRUE))</f>
        <v>E</v>
      </c>
      <c r="D178" s="122">
        <f>COUNTIFS(Eingabe[Name],AuswertungA[[#This Row],[Name]],Eingabe[Wo],"A")</f>
        <v>6</v>
      </c>
      <c r="E178" s="117">
        <f>IF(AuswertungA[[#This Row],[Spiele A]]="","",IF(AuswertungA[[#This Row],[Spiele A]]-COUNTIFS(Eingabe[Name],AuswertungA[[#This Row],[Name]],Eingabe[MP],"",Eingabe[Wo],"A")=0,"",AuswertungA[[#This Row],[Spiele A]]-COUNTIFS(Eingabe[Name],AuswertungA[[#This Row],[Name]],Eingabe[MP],"",Eingabe[Wo],"A")))</f>
        <v>6</v>
      </c>
      <c r="F178" s="117">
        <f>IF(AuswertungA[[#This Row],[Spiele A]]=0,"",ROUND(AVERAGEIFS(Eingabe[Volle],Eingabe[Name],AuswertungA[[#This Row],[Name]],Eingabe[Wo],"A"),0))</f>
        <v>368</v>
      </c>
      <c r="G178" s="117">
        <f>IF(AuswertungA[[#This Row],[Spiele A]]=0,"",ROUND(AVERAGEIFS(Eingabe[Räumer],Eingabe[Name],AuswertungA[[#This Row],[Name]],Eingabe[Wo],"A"),0))</f>
        <v>179</v>
      </c>
      <c r="H178" s="123">
        <f>IF(AuswertungA[[#This Row],[Spiele A]]=0,"",ROUND(AVERAGEIFS(Eingabe[Fehler],Eingabe[Name],AuswertungA[[#This Row],[Name]],Eingabe[Wo],"A"),1))</f>
        <v>6.3</v>
      </c>
      <c r="I178" s="117">
        <f>IF(AuswertungA[[#This Row],[Spiele A]]=0,"",ROUND(AVERAGEIFS(Eingabe[GES],Eingabe[Name],AuswertungA[[#This Row],[Name]],Eingabe[Wo],"A"),0))</f>
        <v>547</v>
      </c>
      <c r="J178" s="123">
        <f>IF(AuswertungA[[#This Row],[Spiele MP A]]="","",ROUND(AVERAGEIFS(Eingabe[SP],Eingabe[Name],AuswertungA[[#This Row],[Name]],Eingabe[Wo],"A"),2))</f>
        <v>2.17</v>
      </c>
      <c r="K178" s="121">
        <f>IF(AuswertungA[[#This Row],[Spiele MP A]]="","",ROUND(AVERAGEIFS(Eingabe[MP],Eingabe[Name],AuswertungA[[#This Row],[Name]],Eingabe[Wo],"A"),2))</f>
        <v>0.33</v>
      </c>
      <c r="L178" s="117">
        <f>IFERROR(ROUND(AVERAGEIFS(Eingabe[S1],Eingabe[Name],AuswertungA[[#This Row],[Name]],Eingabe[Wo],"A"),0),"")</f>
        <v>147</v>
      </c>
      <c r="M178" s="268">
        <f>IFERROR(ROUND(AVERAGEIFS(Eingabe[S2],Eingabe[Name],AuswertungA[[#This Row],[Name]],Eingabe[Wo],"A"),0),"")</f>
        <v>130</v>
      </c>
      <c r="N178" s="117">
        <f>IFERROR(ROUND(AVERAGEIFS(Eingabe[S3],Eingabe[Name],AuswertungA[[#This Row],[Name]],Eingabe[Wo],"A"),0),"")</f>
        <v>137</v>
      </c>
      <c r="O178" s="268">
        <f>IFERROR(ROUND(AVERAGEIFS(Eingabe[S4],Eingabe[Name],AuswertungA[[#This Row],[Name]],Eingabe[Wo],"A"),0),"")</f>
        <v>133</v>
      </c>
      <c r="P178" s="121">
        <f>IF(AuswertungA[[#This Row],[Spiele MP A]]="","",ROUND(AVERAGEIFS(Eingabe[S1P],Eingabe[Name],AuswertungA[[#This Row],[Name]],Eingabe[Wo],"A"),2))</f>
        <v>0.83</v>
      </c>
      <c r="Q178" s="121">
        <f>IF(AuswertungA[[#This Row],[Spiele MP A]]="","",ROUND(AVERAGEIFS(Eingabe[S2P],Eingabe[Name],AuswertungA[[#This Row],[Name]],Eingabe[Wo],"A"),2))</f>
        <v>0.5</v>
      </c>
      <c r="R178" s="121">
        <f>IF(AuswertungA[[#This Row],[Spiele MP A]]="","",ROUND(AVERAGEIFS(Eingabe[S3P],Eingabe[Name],AuswertungA[[#This Row],[Name]],Eingabe[Wo],"A"),2))</f>
        <v>0.33</v>
      </c>
      <c r="S178" s="121">
        <f>IF(AuswertungA[[#This Row],[Spiele MP A]]="","",ROUND(AVERAGEIFS(Eingabe[S4P],Eingabe[Name],AuswertungA[[#This Row],[Name]],Eingabe[Wo],"A"),2))</f>
        <v>0.5</v>
      </c>
      <c r="T178" s="123" cm="1">
        <f t="array" ref="T178">IF(AuswertungA[[#This Row],[Spiele A]]="","",IF(AuswertungA[[#This Row],[Spiele A]]&lt;2,"",ROUND(SLOPE(_xlfn._xlws.FILTER(Eingabe[GES],(Eingabe[Name]=AuswertungA[[#This Row],[Name]])*(Eingabe[Wo]="A")),_xlfn._xlws.FILTER(Eingabe[KW],(Eingabe[Name]=AuswertungA[[#This Row],[Name]])*(Eingabe[Wo]="A"))),2)))</f>
        <v>3.43</v>
      </c>
      <c r="U178" s="123" cm="1">
        <f t="array" ref="U178">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5.0199999999999996</v>
      </c>
      <c r="V178" s="117" cm="1">
        <f t="array" ref="V178">IF(AuswertungA[[#This Row],[Spiele A]]="","",IF(AuswertungA[[#This Row],[Spiele A]]&lt;2,"",ROUND(_xlfn.STDEV.P(_xlfn._xlws.FILTER(Eingabe[GES],(Eingabe[Name]=AuswertungA[[#This Row],[Name]])*(Eingabe[Wo]="A"))),0)))</f>
        <v>25</v>
      </c>
      <c r="W178" s="117">
        <f>IF(AuswertungA[[#This Row],[Spiele MP A]]="","",ROUND(AVERAGEIFS(Eingabe[GEGGES],Eingabe[Name],AuswertungA[[#This Row],[Name]],Eingabe[Wo],"A"),0))</f>
        <v>552</v>
      </c>
      <c r="X178" s="123" t="str">
        <f>VLOOKUP(AuswertungA[[#This Row],[Name]],PositionA[],21,FALSE)</f>
        <v>[5]</v>
      </c>
      <c r="Y178" s="123">
        <f>VLOOKUP(AuswertungA[[#This Row],[Name]],PositionA[],22,FALSE)</f>
        <v>3</v>
      </c>
      <c r="Z178" s="123" t="str">
        <f>VLOOKUP(AuswertungA[[#This Row],[Name]],PositionA[],23,FALSE)</f>
        <v>[5]</v>
      </c>
      <c r="AA178" s="121">
        <f>IF(AuswertungA[[#This Row],[Spiele MP A]]="","",ROUND(VLOOKUP(AuswertungA[[#This Row],[Name]],PositionA[],24,FALSE),2))</f>
        <v>0.67</v>
      </c>
      <c r="AB178" s="123">
        <f>IFERROR(ROUND(AVERAGEIFS(Eingabe[Rang],Eingabe[Name],AuswertungA[[#This Row],[Name]],Eingabe[Wo],"A"),1),"")</f>
        <v>3.4</v>
      </c>
      <c r="AC178" s="123" cm="1">
        <f t="array" ref="AC178">IFERROR(ROUND(MEDIAN(_xlfn._xlws.FILTER(Eingabe[GES],(Eingabe[Name]=AuswertungA[[#This Row],[Name]])*(Eingabe[Wo]="A"))),0),"")</f>
        <v>539</v>
      </c>
      <c r="AD178" s="121">
        <f>IFERROR(AuswertungA[[#This Row],[STABW A]]/AuswertungA[[#This Row],[GES A]],"")</f>
        <v>4.5703839122486288E-2</v>
      </c>
      <c r="AE178" s="123" cm="1">
        <f t="array" ref="AE178">IFERROR(ROUND(_xlfn.QUARTILE.INC(_xlfn._xlws.FILTER(Eingabe[GES],(Eingabe[Name]=AuswertungA[[#This Row],[Name]])*(Eingabe[Wo]="A")),3)-_xlfn.QUARTILE.INC(_xlfn._xlws.FILTER(Eingabe[GES],(Eingabe[Name]=AuswertungA[[#This Row],[Name]])*(Eingabe[Wo]="A")),1),0),"")</f>
        <v>34</v>
      </c>
      <c r="AF178" s="123">
        <f>IFERROR(1/AuswertungA[[#This Row],[VK A]],"")</f>
        <v>21.88</v>
      </c>
      <c r="AG178" s="123">
        <f>IFERROR(AuswertungA[[#This Row],[Volle A]]/AuswertungA[[#This Row],[Räumer A]]-2,"")</f>
        <v>5.5865921787709549E-2</v>
      </c>
      <c r="AH178" s="117">
        <f>IFERROR(ROUND((AuswertungA[[#This Row],[Spiele A]]*60)/(AuswertungA[[#This Row],[Fehler A]]*AuswertungA[[#This Row],[Spiele A]]),0),"")</f>
        <v>10</v>
      </c>
      <c r="AI178" s="123" t="str" cm="1">
        <f t="array" ref="AI178">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78" s="267" t="str">
        <f>IFERROR(ROUND(AVERAGEIFS(Eingabe[MP],Eingabe[Diff],"&lt;15",Eingabe[Name],AuswertungA[[#This Row],[Name]],Eingabe[Wo],"A")-AuswertungA[[#This Row],[MP A]],2),"")</f>
        <v/>
      </c>
      <c r="AK178" s="117" cm="1">
        <f t="array" ref="AK178">IFERROR(ROUND(AVERAGE(_xlfn._xlws.FILTER(Eingabe[GES],(Eingabe[Name]=AuswertungA[[#This Row],[Name]])*(Eingabe[Wo]="A")*(Eingabe[GEGGES]&gt;(AuswertungA[[#This Row],[GES A]]+20))))-AuswertungA[[#This Row],[GES A]],0),"")</f>
        <v>12</v>
      </c>
      <c r="AL178" s="117" cm="1">
        <f t="array" ref="AL178">IFERROR(ROUND(AVERAGE(_xlfn._xlws.FILTER(Eingabe[GES],(Eingabe[Name]=AuswertungA[[#This Row],[Name]])*(Eingabe[Wo]="A")*(Eingabe[GEGGES]&lt;(AuswertungA[[#This Row],[GES A]]-20))))-AuswertungA[[#This Row],[GES A]],0),"")</f>
        <v>-12</v>
      </c>
    </row>
    <row r="179" spans="2:38" x14ac:dyDescent="0.3">
      <c r="B179" s="118" t="str">
        <f t="shared" si="3"/>
        <v>Heiko Wüstling</v>
      </c>
      <c r="C179" s="119" t="str">
        <f>IF(AuswertungA[[#This Row],[Name]]="","",VLOOKUP(AuswertungA[[#This Row],[Name]],Teamzuordnung[[Name]:[Team]],2,TRUE))</f>
        <v>D</v>
      </c>
      <c r="D179" s="122">
        <f>COUNTIFS(Eingabe[Name],AuswertungA[[#This Row],[Name]],Eingabe[Wo],"A")</f>
        <v>0</v>
      </c>
      <c r="E179" s="117" t="str">
        <f>IF(AuswertungA[[#This Row],[Spiele A]]="","",IF(AuswertungA[[#This Row],[Spiele A]]-COUNTIFS(Eingabe[Name],AuswertungA[[#This Row],[Name]],Eingabe[MP],"",Eingabe[Wo],"A")=0,"",AuswertungA[[#This Row],[Spiele A]]-COUNTIFS(Eingabe[Name],AuswertungA[[#This Row],[Name]],Eingabe[MP],"",Eingabe[Wo],"A")))</f>
        <v/>
      </c>
      <c r="F179" s="117" t="str">
        <f>IF(AuswertungA[[#This Row],[Spiele A]]=0,"",ROUND(AVERAGEIFS(Eingabe[Volle],Eingabe[Name],AuswertungA[[#This Row],[Name]],Eingabe[Wo],"A"),0))</f>
        <v/>
      </c>
      <c r="G179" s="117" t="str">
        <f>IF(AuswertungA[[#This Row],[Spiele A]]=0,"",ROUND(AVERAGEIFS(Eingabe[Räumer],Eingabe[Name],AuswertungA[[#This Row],[Name]],Eingabe[Wo],"A"),0))</f>
        <v/>
      </c>
      <c r="H179" s="123" t="str">
        <f>IF(AuswertungA[[#This Row],[Spiele A]]=0,"",ROUND(AVERAGEIFS(Eingabe[Fehler],Eingabe[Name],AuswertungA[[#This Row],[Name]],Eingabe[Wo],"A"),1))</f>
        <v/>
      </c>
      <c r="I179" s="117" t="str">
        <f>IF(AuswertungA[[#This Row],[Spiele A]]=0,"",ROUND(AVERAGEIFS(Eingabe[GES],Eingabe[Name],AuswertungA[[#This Row],[Name]],Eingabe[Wo],"A"),0))</f>
        <v/>
      </c>
      <c r="J179" s="123" t="str">
        <f>IF(AuswertungA[[#This Row],[Spiele MP A]]="","",ROUND(AVERAGEIFS(Eingabe[SP],Eingabe[Name],AuswertungA[[#This Row],[Name]],Eingabe[Wo],"A"),2))</f>
        <v/>
      </c>
      <c r="K179" s="121" t="str">
        <f>IF(AuswertungA[[#This Row],[Spiele MP A]]="","",ROUND(AVERAGEIFS(Eingabe[MP],Eingabe[Name],AuswertungA[[#This Row],[Name]],Eingabe[Wo],"A"),2))</f>
        <v/>
      </c>
      <c r="L179" s="117" t="str">
        <f>IFERROR(ROUND(AVERAGEIFS(Eingabe[S1],Eingabe[Name],AuswertungA[[#This Row],[Name]],Eingabe[Wo],"A"),0),"")</f>
        <v/>
      </c>
      <c r="M179" s="268" t="str">
        <f>IFERROR(ROUND(AVERAGEIFS(Eingabe[S2],Eingabe[Name],AuswertungA[[#This Row],[Name]],Eingabe[Wo],"A"),0),"")</f>
        <v/>
      </c>
      <c r="N179" s="117" t="str">
        <f>IFERROR(ROUND(AVERAGEIFS(Eingabe[S3],Eingabe[Name],AuswertungA[[#This Row],[Name]],Eingabe[Wo],"A"),0),"")</f>
        <v/>
      </c>
      <c r="O179" s="268" t="str">
        <f>IFERROR(ROUND(AVERAGEIFS(Eingabe[S4],Eingabe[Name],AuswertungA[[#This Row],[Name]],Eingabe[Wo],"A"),0),"")</f>
        <v/>
      </c>
      <c r="P179" s="121" t="str">
        <f>IF(AuswertungA[[#This Row],[Spiele MP A]]="","",ROUND(AVERAGEIFS(Eingabe[S1P],Eingabe[Name],AuswertungA[[#This Row],[Name]],Eingabe[Wo],"A"),2))</f>
        <v/>
      </c>
      <c r="Q179" s="121" t="str">
        <f>IF(AuswertungA[[#This Row],[Spiele MP A]]="","",ROUND(AVERAGEIFS(Eingabe[S2P],Eingabe[Name],AuswertungA[[#This Row],[Name]],Eingabe[Wo],"A"),2))</f>
        <v/>
      </c>
      <c r="R179" s="121" t="str">
        <f>IF(AuswertungA[[#This Row],[Spiele MP A]]="","",ROUND(AVERAGEIFS(Eingabe[S3P],Eingabe[Name],AuswertungA[[#This Row],[Name]],Eingabe[Wo],"A"),2))</f>
        <v/>
      </c>
      <c r="S179" s="121" t="str">
        <f>IF(AuswertungA[[#This Row],[Spiele MP A]]="","",ROUND(AVERAGEIFS(Eingabe[S4P],Eingabe[Name],AuswertungA[[#This Row],[Name]],Eingabe[Wo],"A"),2))</f>
        <v/>
      </c>
      <c r="T179" s="123" t="str" cm="1">
        <f t="array" ref="T179">IF(AuswertungA[[#This Row],[Spiele A]]="","",IF(AuswertungA[[#This Row],[Spiele A]]&lt;2,"",ROUND(SLOPE(_xlfn._xlws.FILTER(Eingabe[GES],(Eingabe[Name]=AuswertungA[[#This Row],[Name]])*(Eingabe[Wo]="A")),_xlfn._xlws.FILTER(Eingabe[KW],(Eingabe[Name]=AuswertungA[[#This Row],[Name]])*(Eingabe[Wo]="A"))),2)))</f>
        <v/>
      </c>
      <c r="U179" s="123" t="str" cm="1">
        <f t="array" ref="U179">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79" s="117" t="str" cm="1">
        <f t="array" ref="V179">IF(AuswertungA[[#This Row],[Spiele A]]="","",IF(AuswertungA[[#This Row],[Spiele A]]&lt;2,"",ROUND(_xlfn.STDEV.P(_xlfn._xlws.FILTER(Eingabe[GES],(Eingabe[Name]=AuswertungA[[#This Row],[Name]])*(Eingabe[Wo]="A"))),0)))</f>
        <v/>
      </c>
      <c r="W179" s="117" t="str">
        <f>IF(AuswertungA[[#This Row],[Spiele MP A]]="","",ROUND(AVERAGEIFS(Eingabe[GEGGES],Eingabe[Name],AuswertungA[[#This Row],[Name]],Eingabe[Wo],"A"),0))</f>
        <v/>
      </c>
      <c r="X179" s="123" t="str">
        <f>VLOOKUP(AuswertungA[[#This Row],[Name]],PositionA[],21,FALSE)</f>
        <v/>
      </c>
      <c r="Y179" s="123" t="str">
        <f>VLOOKUP(AuswertungA[[#This Row],[Name]],PositionA[],22,FALSE)</f>
        <v/>
      </c>
      <c r="Z179" s="123" t="str">
        <f>VLOOKUP(AuswertungA[[#This Row],[Name]],PositionA[],23,FALSE)</f>
        <v/>
      </c>
      <c r="AA179" s="121" t="str">
        <f>IF(AuswertungA[[#This Row],[Spiele MP A]]="","",ROUND(VLOOKUP(AuswertungA[[#This Row],[Name]],PositionA[],24,FALSE),2))</f>
        <v/>
      </c>
      <c r="AB179" s="123" t="str">
        <f>IFERROR(ROUND(AVERAGEIFS(Eingabe[Rang],Eingabe[Name],AuswertungA[[#This Row],[Name]],Eingabe[Wo],"A"),1),"")</f>
        <v/>
      </c>
      <c r="AC179" s="123" t="str" cm="1">
        <f t="array" ref="AC179">IFERROR(ROUND(MEDIAN(_xlfn._xlws.FILTER(Eingabe[GES],(Eingabe[Name]=AuswertungA[[#This Row],[Name]])*(Eingabe[Wo]="A"))),0),"")</f>
        <v/>
      </c>
      <c r="AD179" s="121" t="str">
        <f>IFERROR(AuswertungA[[#This Row],[STABW A]]/AuswertungA[[#This Row],[GES A]],"")</f>
        <v/>
      </c>
      <c r="AE179" s="123" t="str" cm="1">
        <f t="array" ref="AE179">IFERROR(ROUND(_xlfn.QUARTILE.INC(_xlfn._xlws.FILTER(Eingabe[GES],(Eingabe[Name]=AuswertungA[[#This Row],[Name]])*(Eingabe[Wo]="A")),3)-_xlfn.QUARTILE.INC(_xlfn._xlws.FILTER(Eingabe[GES],(Eingabe[Name]=AuswertungA[[#This Row],[Name]])*(Eingabe[Wo]="A")),1),0),"")</f>
        <v/>
      </c>
      <c r="AF179" s="123" t="str">
        <f>IFERROR(1/AuswertungA[[#This Row],[VK A]],"")</f>
        <v/>
      </c>
      <c r="AG179" s="123" t="str">
        <f>IFERROR(AuswertungA[[#This Row],[Volle A]]/AuswertungA[[#This Row],[Räumer A]]-2,"")</f>
        <v/>
      </c>
      <c r="AH179" s="117" t="str">
        <f>IFERROR(ROUND((AuswertungA[[#This Row],[Spiele A]]*60)/(AuswertungA[[#This Row],[Fehler A]]*AuswertungA[[#This Row],[Spiele A]]),0),"")</f>
        <v/>
      </c>
      <c r="AI179" s="123" t="str" cm="1">
        <f t="array" ref="AI179">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79" s="267" t="str">
        <f>IFERROR(ROUND(AVERAGEIFS(Eingabe[MP],Eingabe[Diff],"&lt;15",Eingabe[Name],AuswertungA[[#This Row],[Name]],Eingabe[Wo],"A")-AuswertungA[[#This Row],[MP A]],2),"")</f>
        <v/>
      </c>
      <c r="AK179" s="117" t="str" cm="1">
        <f t="array" ref="AK179">IFERROR(ROUND(AVERAGE(_xlfn._xlws.FILTER(Eingabe[GES],(Eingabe[Name]=AuswertungA[[#This Row],[Name]])*(Eingabe[Wo]="A")*(Eingabe[GEGGES]&gt;(AuswertungA[[#This Row],[GES A]]+20))))-AuswertungA[[#This Row],[GES A]],0),"")</f>
        <v/>
      </c>
      <c r="AL179" s="117" t="str" cm="1">
        <f t="array" ref="AL179">IFERROR(ROUND(AVERAGE(_xlfn._xlws.FILTER(Eingabe[GES],(Eingabe[Name]=AuswertungA[[#This Row],[Name]])*(Eingabe[Wo]="A")*(Eingabe[GEGGES]&lt;(AuswertungA[[#This Row],[GES A]]-20))))-AuswertungA[[#This Row],[GES A]],0),"")</f>
        <v/>
      </c>
    </row>
    <row r="180" spans="2:38" x14ac:dyDescent="0.3">
      <c r="B180" s="118" t="str">
        <f t="shared" si="3"/>
        <v>Jens Starke</v>
      </c>
      <c r="C180" s="119" t="str">
        <f>IF(AuswertungA[[#This Row],[Name]]="","",VLOOKUP(AuswertungA[[#This Row],[Name]],Teamzuordnung[[Name]:[Team]],2,TRUE))</f>
        <v>D</v>
      </c>
      <c r="D180" s="122">
        <f>COUNTIFS(Eingabe[Name],AuswertungA[[#This Row],[Name]],Eingabe[Wo],"A")</f>
        <v>3</v>
      </c>
      <c r="E180" s="117">
        <f>IF(AuswertungA[[#This Row],[Spiele A]]="","",IF(AuswertungA[[#This Row],[Spiele A]]-COUNTIFS(Eingabe[Name],AuswertungA[[#This Row],[Name]],Eingabe[MP],"",Eingabe[Wo],"A")=0,"",AuswertungA[[#This Row],[Spiele A]]-COUNTIFS(Eingabe[Name],AuswertungA[[#This Row],[Name]],Eingabe[MP],"",Eingabe[Wo],"A")))</f>
        <v>3</v>
      </c>
      <c r="F180" s="117">
        <f>IF(AuswertungA[[#This Row],[Spiele A]]=0,"",ROUND(AVERAGEIFS(Eingabe[Volle],Eingabe[Name],AuswertungA[[#This Row],[Name]],Eingabe[Wo],"A"),0))</f>
        <v>346</v>
      </c>
      <c r="G180" s="117">
        <f>IF(AuswertungA[[#This Row],[Spiele A]]=0,"",ROUND(AVERAGEIFS(Eingabe[Räumer],Eingabe[Name],AuswertungA[[#This Row],[Name]],Eingabe[Wo],"A"),0))</f>
        <v>162</v>
      </c>
      <c r="H180" s="123">
        <f>IF(AuswertungA[[#This Row],[Spiele A]]=0,"",ROUND(AVERAGEIFS(Eingabe[Fehler],Eingabe[Name],AuswertungA[[#This Row],[Name]],Eingabe[Wo],"A"),1))</f>
        <v>7.7</v>
      </c>
      <c r="I180" s="117">
        <f>IF(AuswertungA[[#This Row],[Spiele A]]=0,"",ROUND(AVERAGEIFS(Eingabe[GES],Eingabe[Name],AuswertungA[[#This Row],[Name]],Eingabe[Wo],"A"),0))</f>
        <v>507</v>
      </c>
      <c r="J180" s="123">
        <f>IF(AuswertungA[[#This Row],[Spiele MP A]]="","",ROUND(AVERAGEIFS(Eingabe[SP],Eingabe[Name],AuswertungA[[#This Row],[Name]],Eingabe[Wo],"A"),2))</f>
        <v>1.5</v>
      </c>
      <c r="K180" s="121">
        <f>IF(AuswertungA[[#This Row],[Spiele MP A]]="","",ROUND(AVERAGEIFS(Eingabe[MP],Eingabe[Name],AuswertungA[[#This Row],[Name]],Eingabe[Wo],"A"),2))</f>
        <v>0.33</v>
      </c>
      <c r="L180" s="117">
        <f>IFERROR(ROUND(AVERAGEIFS(Eingabe[S1],Eingabe[Name],AuswertungA[[#This Row],[Name]],Eingabe[Wo],"A"),0),"")</f>
        <v>120</v>
      </c>
      <c r="M180" s="268">
        <f>IFERROR(ROUND(AVERAGEIFS(Eingabe[S2],Eingabe[Name],AuswertungA[[#This Row],[Name]],Eingabe[Wo],"A"),0),"")</f>
        <v>123</v>
      </c>
      <c r="N180" s="117">
        <f>IFERROR(ROUND(AVERAGEIFS(Eingabe[S3],Eingabe[Name],AuswertungA[[#This Row],[Name]],Eingabe[Wo],"A"),0),"")</f>
        <v>130</v>
      </c>
      <c r="O180" s="268">
        <f>IFERROR(ROUND(AVERAGEIFS(Eingabe[S4],Eingabe[Name],AuswertungA[[#This Row],[Name]],Eingabe[Wo],"A"),0),"")</f>
        <v>134</v>
      </c>
      <c r="P180" s="121">
        <f>IF(AuswertungA[[#This Row],[Spiele MP A]]="","",ROUND(AVERAGEIFS(Eingabe[S1P],Eingabe[Name],AuswertungA[[#This Row],[Name]],Eingabe[Wo],"A"),2))</f>
        <v>0.33</v>
      </c>
      <c r="Q180" s="121">
        <f>IF(AuswertungA[[#This Row],[Spiele MP A]]="","",ROUND(AVERAGEIFS(Eingabe[S2P],Eingabe[Name],AuswertungA[[#This Row],[Name]],Eingabe[Wo],"A"),2))</f>
        <v>0.33</v>
      </c>
      <c r="R180" s="121">
        <f>IF(AuswertungA[[#This Row],[Spiele MP A]]="","",ROUND(AVERAGEIFS(Eingabe[S3P],Eingabe[Name],AuswertungA[[#This Row],[Name]],Eingabe[Wo],"A"),2))</f>
        <v>0.5</v>
      </c>
      <c r="S180" s="121">
        <f>IF(AuswertungA[[#This Row],[Spiele MP A]]="","",ROUND(AVERAGEIFS(Eingabe[S4P],Eingabe[Name],AuswertungA[[#This Row],[Name]],Eingabe[Wo],"A"),2))</f>
        <v>0.33</v>
      </c>
      <c r="T180" s="123" cm="1">
        <f t="array" ref="T180">IF(AuswertungA[[#This Row],[Spiele A]]="","",IF(AuswertungA[[#This Row],[Spiele A]]&lt;2,"",ROUND(SLOPE(_xlfn._xlws.FILTER(Eingabe[GES],(Eingabe[Name]=AuswertungA[[#This Row],[Name]])*(Eingabe[Wo]="A")),_xlfn._xlws.FILTER(Eingabe[KW],(Eingabe[Name]=AuswertungA[[#This Row],[Name]])*(Eingabe[Wo]="A"))),2)))</f>
        <v>-2.11</v>
      </c>
      <c r="U180" s="123" cm="1">
        <f t="array" ref="U180">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-2.11</v>
      </c>
      <c r="V180" s="117" cm="1">
        <f t="array" ref="V180">IF(AuswertungA[[#This Row],[Spiele A]]="","",IF(AuswertungA[[#This Row],[Spiele A]]&lt;2,"",ROUND(_xlfn.STDEV.P(_xlfn._xlws.FILTER(Eingabe[GES],(Eingabe[Name]=AuswertungA[[#This Row],[Name]])*(Eingabe[Wo]="A"))),0)))</f>
        <v>13</v>
      </c>
      <c r="W180" s="117">
        <f>IF(AuswertungA[[#This Row],[Spiele MP A]]="","",ROUND(AVERAGEIFS(Eingabe[GEGGES],Eingabe[Name],AuswertungA[[#This Row],[Name]],Eingabe[Wo],"A"),0))</f>
        <v>520</v>
      </c>
      <c r="X180" s="123" t="str">
        <f>VLOOKUP(AuswertungA[[#This Row],[Name]],PositionA[],21,FALSE)</f>
        <v>[1][3][4]</v>
      </c>
      <c r="Y180" s="123">
        <f>VLOOKUP(AuswertungA[[#This Row],[Name]],PositionA[],22,FALSE)</f>
        <v>1</v>
      </c>
      <c r="Z180" s="123" t="str">
        <f>VLOOKUP(AuswertungA[[#This Row],[Name]],PositionA[],23,FALSE)</f>
        <v>[4]</v>
      </c>
      <c r="AA180" s="121">
        <f>IF(AuswertungA[[#This Row],[Spiele MP A]]="","",ROUND(VLOOKUP(AuswertungA[[#This Row],[Name]],PositionA[],24,FALSE),2))</f>
        <v>1</v>
      </c>
      <c r="AB180" s="123">
        <f>IFERROR(ROUND(AVERAGEIFS(Eingabe[Rang],Eingabe[Name],AuswertungA[[#This Row],[Name]],Eingabe[Wo],"A"),1),"")</f>
        <v>3.3</v>
      </c>
      <c r="AC180" s="123" cm="1">
        <f t="array" ref="AC180">IFERROR(ROUND(MEDIAN(_xlfn._xlws.FILTER(Eingabe[GES],(Eingabe[Name]=AuswertungA[[#This Row],[Name]])*(Eingabe[Wo]="A"))),0),"")</f>
        <v>512</v>
      </c>
      <c r="AD180" s="121">
        <f>IFERROR(AuswertungA[[#This Row],[STABW A]]/AuswertungA[[#This Row],[GES A]],"")</f>
        <v>2.564102564102564E-2</v>
      </c>
      <c r="AE180" s="123" cm="1">
        <f t="array" ref="AE180">IFERROR(ROUND(_xlfn.QUARTILE.INC(_xlfn._xlws.FILTER(Eingabe[GES],(Eingabe[Name]=AuswertungA[[#This Row],[Name]])*(Eingabe[Wo]="A")),3)-_xlfn.QUARTILE.INC(_xlfn._xlws.FILTER(Eingabe[GES],(Eingabe[Name]=AuswertungA[[#This Row],[Name]])*(Eingabe[Wo]="A")),1),0),"")</f>
        <v>15</v>
      </c>
      <c r="AF180" s="123">
        <f>IFERROR(1/AuswertungA[[#This Row],[VK A]],"")</f>
        <v>39</v>
      </c>
      <c r="AG180" s="123">
        <f>IFERROR(AuswertungA[[#This Row],[Volle A]]/AuswertungA[[#This Row],[Räumer A]]-2,"")</f>
        <v>0.13580246913580263</v>
      </c>
      <c r="AH180" s="117">
        <f>IFERROR(ROUND((AuswertungA[[#This Row],[Spiele A]]*60)/(AuswertungA[[#This Row],[Fehler A]]*AuswertungA[[#This Row],[Spiele A]]),0),"")</f>
        <v>8</v>
      </c>
      <c r="AI180" s="123" t="str" cm="1">
        <f t="array" ref="AI180">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80" s="267" t="str">
        <f>IFERROR(ROUND(AVERAGEIFS(Eingabe[MP],Eingabe[Diff],"&lt;15",Eingabe[Name],AuswertungA[[#This Row],[Name]],Eingabe[Wo],"A")-AuswertungA[[#This Row],[MP A]],2),"")</f>
        <v/>
      </c>
      <c r="AK180" s="117" cm="1">
        <f t="array" ref="AK180">IFERROR(ROUND(AVERAGE(_xlfn._xlws.FILTER(Eingabe[GES],(Eingabe[Name]=AuswertungA[[#This Row],[Name]])*(Eingabe[Wo]="A")*(Eingabe[GEGGES]&gt;(AuswertungA[[#This Row],[GES A]]+20))))-AuswertungA[[#This Row],[GES A]],0),"")</f>
        <v>9</v>
      </c>
      <c r="AL180" s="117" cm="1">
        <f t="array" ref="AL180">IFERROR(ROUND(AVERAGE(_xlfn._xlws.FILTER(Eingabe[GES],(Eingabe[Name]=AuswertungA[[#This Row],[Name]])*(Eingabe[Wo]="A")*(Eingabe[GEGGES]&lt;(AuswertungA[[#This Row],[GES A]]-20))))-AuswertungA[[#This Row],[GES A]],0),"")</f>
        <v>-17</v>
      </c>
    </row>
    <row r="181" spans="2:38" x14ac:dyDescent="0.3">
      <c r="B181" s="118" t="str">
        <f t="shared" si="3"/>
        <v>Jörg Nötzel</v>
      </c>
      <c r="C181" s="119" t="str">
        <f>IF(AuswertungA[[#This Row],[Name]]="","",VLOOKUP(AuswertungA[[#This Row],[Name]],Teamzuordnung[[Name]:[Team]],2,TRUE))</f>
        <v>D</v>
      </c>
      <c r="D181" s="122">
        <f>COUNTIFS(Eingabe[Name],AuswertungA[[#This Row],[Name]],Eingabe[Wo],"A")</f>
        <v>3</v>
      </c>
      <c r="E181" s="117">
        <f>IF(AuswertungA[[#This Row],[Spiele A]]="","",IF(AuswertungA[[#This Row],[Spiele A]]-COUNTIFS(Eingabe[Name],AuswertungA[[#This Row],[Name]],Eingabe[MP],"",Eingabe[Wo],"A")=0,"",AuswertungA[[#This Row],[Spiele A]]-COUNTIFS(Eingabe[Name],AuswertungA[[#This Row],[Name]],Eingabe[MP],"",Eingabe[Wo],"A")))</f>
        <v>2</v>
      </c>
      <c r="F181" s="117">
        <f>IF(AuswertungA[[#This Row],[Spiele A]]=0,"",ROUND(AVERAGEIFS(Eingabe[Volle],Eingabe[Name],AuswertungA[[#This Row],[Name]],Eingabe[Wo],"A"),0))</f>
        <v>354</v>
      </c>
      <c r="G181" s="117">
        <f>IF(AuswertungA[[#This Row],[Spiele A]]=0,"",ROUND(AVERAGEIFS(Eingabe[Räumer],Eingabe[Name],AuswertungA[[#This Row],[Name]],Eingabe[Wo],"A"),0))</f>
        <v>130</v>
      </c>
      <c r="H181" s="123">
        <f>IF(AuswertungA[[#This Row],[Spiele A]]=0,"",ROUND(AVERAGEIFS(Eingabe[Fehler],Eingabe[Name],AuswertungA[[#This Row],[Name]],Eingabe[Wo],"A"),1))</f>
        <v>14.3</v>
      </c>
      <c r="I181" s="117">
        <f>IF(AuswertungA[[#This Row],[Spiele A]]=0,"",ROUND(AVERAGEIFS(Eingabe[GES],Eingabe[Name],AuswertungA[[#This Row],[Name]],Eingabe[Wo],"A"),0))</f>
        <v>484</v>
      </c>
      <c r="J181" s="123">
        <f>IF(AuswertungA[[#This Row],[Spiele MP A]]="","",ROUND(AVERAGEIFS(Eingabe[SP],Eingabe[Name],AuswertungA[[#This Row],[Name]],Eingabe[Wo],"A"),2))</f>
        <v>2</v>
      </c>
      <c r="K181" s="121">
        <f>IF(AuswertungA[[#This Row],[Spiele MP A]]="","",ROUND(AVERAGEIFS(Eingabe[MP],Eingabe[Name],AuswertungA[[#This Row],[Name]],Eingabe[Wo],"A"),2))</f>
        <v>0.5</v>
      </c>
      <c r="L181" s="117">
        <f>IFERROR(ROUND(AVERAGEIFS(Eingabe[S1],Eingabe[Name],AuswertungA[[#This Row],[Name]],Eingabe[Wo],"A"),0),"")</f>
        <v>127</v>
      </c>
      <c r="M181" s="268">
        <f>IFERROR(ROUND(AVERAGEIFS(Eingabe[S2],Eingabe[Name],AuswertungA[[#This Row],[Name]],Eingabe[Wo],"A"),0),"")</f>
        <v>124</v>
      </c>
      <c r="N181" s="117">
        <f>IFERROR(ROUND(AVERAGEIFS(Eingabe[S3],Eingabe[Name],AuswertungA[[#This Row],[Name]],Eingabe[Wo],"A"),0),"")</f>
        <v>128</v>
      </c>
      <c r="O181" s="268">
        <f>IFERROR(ROUND(AVERAGEIFS(Eingabe[S4],Eingabe[Name],AuswertungA[[#This Row],[Name]],Eingabe[Wo],"A"),0),"")</f>
        <v>128</v>
      </c>
      <c r="P181" s="121">
        <f>IF(AuswertungA[[#This Row],[Spiele MP A]]="","",ROUND(AVERAGEIFS(Eingabe[S1P],Eingabe[Name],AuswertungA[[#This Row],[Name]],Eingabe[Wo],"A"),2))</f>
        <v>0.5</v>
      </c>
      <c r="Q181" s="121">
        <f>IF(AuswertungA[[#This Row],[Spiele MP A]]="","",ROUND(AVERAGEIFS(Eingabe[S2P],Eingabe[Name],AuswertungA[[#This Row],[Name]],Eingabe[Wo],"A"),2))</f>
        <v>0</v>
      </c>
      <c r="R181" s="121">
        <f>IF(AuswertungA[[#This Row],[Spiele MP A]]="","",ROUND(AVERAGEIFS(Eingabe[S3P],Eingabe[Name],AuswertungA[[#This Row],[Name]],Eingabe[Wo],"A"),2))</f>
        <v>1</v>
      </c>
      <c r="S181" s="121">
        <f>IF(AuswertungA[[#This Row],[Spiele MP A]]="","",ROUND(AVERAGEIFS(Eingabe[S4P],Eingabe[Name],AuswertungA[[#This Row],[Name]],Eingabe[Wo],"A"),2))</f>
        <v>0.5</v>
      </c>
      <c r="T181" s="123" cm="1">
        <f t="array" ref="T181">IF(AuswertungA[[#This Row],[Spiele A]]="","",IF(AuswertungA[[#This Row],[Spiele A]]&lt;2,"",ROUND(SLOPE(_xlfn._xlws.FILTER(Eingabe[GES],(Eingabe[Name]=AuswertungA[[#This Row],[Name]])*(Eingabe[Wo]="A")),_xlfn._xlws.FILTER(Eingabe[KW],(Eingabe[Name]=AuswertungA[[#This Row],[Name]])*(Eingabe[Wo]="A"))),2)))</f>
        <v>-1.47</v>
      </c>
      <c r="U181" s="123" cm="1">
        <f t="array" ref="U181">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-1.47</v>
      </c>
      <c r="V181" s="117" cm="1">
        <f t="array" ref="V181">IF(AuswertungA[[#This Row],[Spiele A]]="","",IF(AuswertungA[[#This Row],[Spiele A]]&lt;2,"",ROUND(_xlfn.STDEV.P(_xlfn._xlws.FILTER(Eingabe[GES],(Eingabe[Name]=AuswertungA[[#This Row],[Name]])*(Eingabe[Wo]="A"))),0)))</f>
        <v>30</v>
      </c>
      <c r="W181" s="117">
        <f>IF(AuswertungA[[#This Row],[Spiele MP A]]="","",ROUND(AVERAGEIFS(Eingabe[GEGGES],Eingabe[Name],AuswertungA[[#This Row],[Name]],Eingabe[Wo],"A"),0))</f>
        <v>517</v>
      </c>
      <c r="X181" s="123" t="str">
        <f>VLOOKUP(AuswertungA[[#This Row],[Name]],PositionA[],21,FALSE)</f>
        <v>[2][3]</v>
      </c>
      <c r="Y181" s="123">
        <f>VLOOKUP(AuswertungA[[#This Row],[Name]],PositionA[],22,FALSE)</f>
        <v>1</v>
      </c>
      <c r="Z181" s="123" t="str">
        <f>VLOOKUP(AuswertungA[[#This Row],[Name]],PositionA[],23,FALSE)</f>
        <v>[2]</v>
      </c>
      <c r="AA181" s="121">
        <f>IF(AuswertungA[[#This Row],[Spiele MP A]]="","",ROUND(VLOOKUP(AuswertungA[[#This Row],[Name]],PositionA[],24,FALSE),2))</f>
        <v>1</v>
      </c>
      <c r="AB181" s="123">
        <f>IFERROR(ROUND(AVERAGEIFS(Eingabe[Rang],Eingabe[Name],AuswertungA[[#This Row],[Name]],Eingabe[Wo],"A"),1),"")</f>
        <v>5</v>
      </c>
      <c r="AC181" s="123" cm="1">
        <f t="array" ref="AC181">IFERROR(ROUND(MEDIAN(_xlfn._xlws.FILTER(Eingabe[GES],(Eingabe[Name]=AuswertungA[[#This Row],[Name]])*(Eingabe[Wo]="A"))),0),"")</f>
        <v>503</v>
      </c>
      <c r="AD181" s="121">
        <f>IFERROR(AuswertungA[[#This Row],[STABW A]]/AuswertungA[[#This Row],[GES A]],"")</f>
        <v>6.1983471074380167E-2</v>
      </c>
      <c r="AE181" s="123" cm="1">
        <f t="array" ref="AE181">IFERROR(ROUND(_xlfn.QUARTILE.INC(_xlfn._xlws.FILTER(Eingabe[GES],(Eingabe[Name]=AuswertungA[[#This Row],[Name]])*(Eingabe[Wo]="A")),3)-_xlfn.QUARTILE.INC(_xlfn._xlws.FILTER(Eingabe[GES],(Eingabe[Name]=AuswertungA[[#This Row],[Name]])*(Eingabe[Wo]="A")),1),0),"")</f>
        <v>33</v>
      </c>
      <c r="AF181" s="123">
        <f>IFERROR(1/AuswertungA[[#This Row],[VK A]],"")</f>
        <v>16.133333333333333</v>
      </c>
      <c r="AG181" s="123">
        <f>IFERROR(AuswertungA[[#This Row],[Volle A]]/AuswertungA[[#This Row],[Räumer A]]-2,"")</f>
        <v>0.72307692307692317</v>
      </c>
      <c r="AH181" s="117">
        <f>IFERROR(ROUND((AuswertungA[[#This Row],[Spiele A]]*60)/(AuswertungA[[#This Row],[Fehler A]]*AuswertungA[[#This Row],[Spiele A]]),0),"")</f>
        <v>4</v>
      </c>
      <c r="AI181" s="123" cm="1">
        <f t="array" ref="AI181">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0.76666666666666672</v>
      </c>
      <c r="AJ181" s="267">
        <f>IFERROR(ROUND(AVERAGEIFS(Eingabe[MP],Eingabe[Diff],"&lt;15",Eingabe[Name],AuswertungA[[#This Row],[Name]],Eingabe[Wo],"A")-AuswertungA[[#This Row],[MP A]],2),"")</f>
        <v>0.5</v>
      </c>
      <c r="AK181" s="117" cm="1">
        <f t="array" ref="AK181">IFERROR(ROUND(AVERAGE(_xlfn._xlws.FILTER(Eingabe[GES],(Eingabe[Name]=AuswertungA[[#This Row],[Name]])*(Eingabe[Wo]="A")*(Eingabe[GEGGES]&gt;(AuswertungA[[#This Row],[GES A]]+20))))-AuswertungA[[#This Row],[GES A]],0),"")</f>
        <v>19</v>
      </c>
      <c r="AL181" s="117" cm="1">
        <f t="array" ref="AL181">IFERROR(ROUND(AVERAGE(_xlfn._xlws.FILTER(Eingabe[GES],(Eingabe[Name]=AuswertungA[[#This Row],[Name]])*(Eingabe[Wo]="A")*(Eingabe[GEGGES]&lt;(AuswertungA[[#This Row],[GES A]]-20))))-AuswertungA[[#This Row],[GES A]],0),"")</f>
        <v>-42</v>
      </c>
    </row>
    <row r="182" spans="2:38" x14ac:dyDescent="0.3">
      <c r="B182" s="118" t="str">
        <f t="shared" si="3"/>
        <v>Katrin Fiedler</v>
      </c>
      <c r="C182" s="119" t="str">
        <f>IF(AuswertungA[[#This Row],[Name]]="","",VLOOKUP(AuswertungA[[#This Row],[Name]],Teamzuordnung[[Name]:[Team]],2,TRUE))</f>
        <v>F</v>
      </c>
      <c r="D182" s="120">
        <f>COUNTIFS(Eingabe[Name],AuswertungA[[#This Row],[Name]],Eingabe[Wo],"A")</f>
        <v>3</v>
      </c>
      <c r="E182" s="116">
        <f>IF(AuswertungA[[#This Row],[Spiele A]]="","",IF(AuswertungA[[#This Row],[Spiele A]]-COUNTIFS(Eingabe[Name],AuswertungA[[#This Row],[Name]],Eingabe[MP],"",Eingabe[Wo],"A")=0,"",AuswertungA[[#This Row],[Spiele A]]-COUNTIFS(Eingabe[Name],AuswertungA[[#This Row],[Name]],Eingabe[MP],"",Eingabe[Wo],"A")))</f>
        <v>3</v>
      </c>
      <c r="F182" s="117">
        <f>IF(AuswertungA[[#This Row],[Spiele A]]=0,"",ROUND(AVERAGEIFS(Eingabe[Volle],Eingabe[Name],AuswertungA[[#This Row],[Name]],Eingabe[Wo],"A"),0))</f>
        <v>358</v>
      </c>
      <c r="G182" s="117">
        <f>IF(AuswertungA[[#This Row],[Spiele A]]=0,"",ROUND(AVERAGEIFS(Eingabe[Räumer],Eingabe[Name],AuswertungA[[#This Row],[Name]],Eingabe[Wo],"A"),0))</f>
        <v>152</v>
      </c>
      <c r="H182" s="123">
        <f>IF(AuswertungA[[#This Row],[Spiele A]]=0,"",ROUND(AVERAGEIFS(Eingabe[Fehler],Eingabe[Name],AuswertungA[[#This Row],[Name]],Eingabe[Wo],"A"),1))</f>
        <v>11</v>
      </c>
      <c r="I182" s="117">
        <f>IF(AuswertungA[[#This Row],[Spiele A]]=0,"",ROUND(AVERAGEIFS(Eingabe[GES],Eingabe[Name],AuswertungA[[#This Row],[Name]],Eingabe[Wo],"A"),0))</f>
        <v>510</v>
      </c>
      <c r="J182" s="123">
        <f>IF(AuswertungA[[#This Row],[Spiele MP A]]="","",ROUND(AVERAGEIFS(Eingabe[SP],Eingabe[Name],AuswertungA[[#This Row],[Name]],Eingabe[Wo],"A"),2))</f>
        <v>1.67</v>
      </c>
      <c r="K182" s="121">
        <f>IF(AuswertungA[[#This Row],[Spiele MP A]]="","",ROUND(AVERAGEIFS(Eingabe[MP],Eingabe[Name],AuswertungA[[#This Row],[Name]],Eingabe[Wo],"A"),2))</f>
        <v>0.33</v>
      </c>
      <c r="L182" s="117">
        <f>IFERROR(ROUND(AVERAGEIFS(Eingabe[S1],Eingabe[Name],AuswertungA[[#This Row],[Name]],Eingabe[Wo],"A"),0),"")</f>
        <v>129</v>
      </c>
      <c r="M182" s="268">
        <f>IFERROR(ROUND(AVERAGEIFS(Eingabe[S2],Eingabe[Name],AuswertungA[[#This Row],[Name]],Eingabe[Wo],"A"),0),"")</f>
        <v>132</v>
      </c>
      <c r="N182" s="117">
        <f>IFERROR(ROUND(AVERAGEIFS(Eingabe[S3],Eingabe[Name],AuswertungA[[#This Row],[Name]],Eingabe[Wo],"A"),0),"")</f>
        <v>125</v>
      </c>
      <c r="O182" s="268">
        <f>IFERROR(ROUND(AVERAGEIFS(Eingabe[S4],Eingabe[Name],AuswertungA[[#This Row],[Name]],Eingabe[Wo],"A"),0),"")</f>
        <v>124</v>
      </c>
      <c r="P182" s="121">
        <f>IF(AuswertungA[[#This Row],[Spiele MP A]]="","",ROUND(AVERAGEIFS(Eingabe[S1P],Eingabe[Name],AuswertungA[[#This Row],[Name]],Eingabe[Wo],"A"),2))</f>
        <v>0.33</v>
      </c>
      <c r="Q182" s="121">
        <f>IF(AuswertungA[[#This Row],[Spiele MP A]]="","",ROUND(AVERAGEIFS(Eingabe[S2P],Eingabe[Name],AuswertungA[[#This Row],[Name]],Eingabe[Wo],"A"),2))</f>
        <v>0.33</v>
      </c>
      <c r="R182" s="121">
        <f>IF(AuswertungA[[#This Row],[Spiele MP A]]="","",ROUND(AVERAGEIFS(Eingabe[S3P],Eingabe[Name],AuswertungA[[#This Row],[Name]],Eingabe[Wo],"A"),2))</f>
        <v>0.33</v>
      </c>
      <c r="S182" s="121">
        <f>IF(AuswertungA[[#This Row],[Spiele MP A]]="","",ROUND(AVERAGEIFS(Eingabe[S4P],Eingabe[Name],AuswertungA[[#This Row],[Name]],Eingabe[Wo],"A"),2))</f>
        <v>0.67</v>
      </c>
      <c r="T182" s="123" cm="1">
        <f t="array" ref="T182">IF(AuswertungA[[#This Row],[Spiele A]]="","",IF(AuswertungA[[#This Row],[Spiele A]]&lt;2,"",ROUND(SLOPE(_xlfn._xlws.FILTER(Eingabe[GES],(Eingabe[Name]=AuswertungA[[#This Row],[Name]])*(Eingabe[Wo]="A")),_xlfn._xlws.FILTER(Eingabe[KW],(Eingabe[Name]=AuswertungA[[#This Row],[Name]])*(Eingabe[Wo]="A"))),2)))</f>
        <v>3.3</v>
      </c>
      <c r="U182" s="123" cm="1">
        <f t="array" ref="U182">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3.3</v>
      </c>
      <c r="V182" s="117" cm="1">
        <f t="array" ref="V182">IF(AuswertungA[[#This Row],[Spiele A]]="","",IF(AuswertungA[[#This Row],[Spiele A]]&lt;2,"",ROUND(_xlfn.STDEV.P(_xlfn._xlws.FILTER(Eingabe[GES],(Eingabe[Name]=AuswertungA[[#This Row],[Name]])*(Eingabe[Wo]="A"))),0)))</f>
        <v>29</v>
      </c>
      <c r="W182" s="117">
        <f>IF(AuswertungA[[#This Row],[Spiele MP A]]="","",ROUND(AVERAGEIFS(Eingabe[GEGGES],Eingabe[Name],AuswertungA[[#This Row],[Name]],Eingabe[Wo],"A"),0))</f>
        <v>535</v>
      </c>
      <c r="X182" s="117" t="str">
        <f>VLOOKUP(AuswertungA[[#This Row],[Name]],PositionA[],21,FALSE)</f>
        <v>[6]</v>
      </c>
      <c r="Y182" s="117">
        <f>VLOOKUP(AuswertungA[[#This Row],[Name]],PositionA[],22,FALSE)</f>
        <v>2</v>
      </c>
      <c r="Z182" s="117" t="str">
        <f>VLOOKUP(AuswertungA[[#This Row],[Name]],PositionA[],23,FALSE)</f>
        <v>[6]</v>
      </c>
      <c r="AA182" s="121">
        <f>IF(AuswertungA[[#This Row],[Spiele MP A]]="","",ROUND(VLOOKUP(AuswertungA[[#This Row],[Name]],PositionA[],24,FALSE),2))</f>
        <v>0.5</v>
      </c>
      <c r="AB182" s="123">
        <f>IFERROR(ROUND(AVERAGEIFS(Eingabe[Rang],Eingabe[Name],AuswertungA[[#This Row],[Name]],Eingabe[Wo],"A"),1),"")</f>
        <v>3.3</v>
      </c>
      <c r="AC182" s="123" cm="1">
        <f t="array" ref="AC182">IFERROR(ROUND(MEDIAN(_xlfn._xlws.FILTER(Eingabe[GES],(Eingabe[Name]=AuswertungA[[#This Row],[Name]])*(Eingabe[Wo]="A"))),0),"")</f>
        <v>521</v>
      </c>
      <c r="AD182" s="121">
        <f>IFERROR(AuswertungA[[#This Row],[STABW A]]/AuswertungA[[#This Row],[GES A]],"")</f>
        <v>5.6862745098039215E-2</v>
      </c>
      <c r="AE182" s="123" cm="1">
        <f t="array" ref="AE182">IFERROR(ROUND(_xlfn.QUARTILE.INC(_xlfn._xlws.FILTER(Eingabe[GES],(Eingabe[Name]=AuswertungA[[#This Row],[Name]])*(Eingabe[Wo]="A")),3)-_xlfn.QUARTILE.INC(_xlfn._xlws.FILTER(Eingabe[GES],(Eingabe[Name]=AuswertungA[[#This Row],[Name]])*(Eingabe[Wo]="A")),1),0),"")</f>
        <v>34</v>
      </c>
      <c r="AF182" s="123">
        <f>IFERROR(1/AuswertungA[[#This Row],[VK A]],"")</f>
        <v>17.586206896551726</v>
      </c>
      <c r="AG182" s="123">
        <f>IFERROR(AuswertungA[[#This Row],[Volle A]]/AuswertungA[[#This Row],[Räumer A]]-2,"")</f>
        <v>0.35526315789473673</v>
      </c>
      <c r="AH182" s="117">
        <f>IFERROR(ROUND((AuswertungA[[#This Row],[Spiele A]]*60)/(AuswertungA[[#This Row],[Fehler A]]*AuswertungA[[#This Row],[Spiele A]]),0),"")</f>
        <v>5</v>
      </c>
      <c r="AI182" s="123" cm="1">
        <f t="array" ref="AI182">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0.37931034482758619</v>
      </c>
      <c r="AJ182" s="267">
        <f>IFERROR(ROUND(AVERAGEIFS(Eingabe[MP],Eingabe[Diff],"&lt;15",Eingabe[Name],AuswertungA[[#This Row],[Name]],Eingabe[Wo],"A")-AuswertungA[[#This Row],[MP A]],2),"")</f>
        <v>0.67</v>
      </c>
      <c r="AK182" s="117" cm="1">
        <f t="array" ref="AK182">IFERROR(ROUND(AVERAGE(_xlfn._xlws.FILTER(Eingabe[GES],(Eingabe[Name]=AuswertungA[[#This Row],[Name]])*(Eingabe[Wo]="A")*(Eingabe[GEGGES]&gt;(AuswertungA[[#This Row],[GES A]]+20))))-AuswertungA[[#This Row],[GES A]],0),"")</f>
        <v>29</v>
      </c>
      <c r="AL182" s="117" t="str" cm="1">
        <f t="array" ref="AL182">IFERROR(ROUND(AVERAGE(_xlfn._xlws.FILTER(Eingabe[GES],(Eingabe[Name]=AuswertungA[[#This Row],[Name]])*(Eingabe[Wo]="A")*(Eingabe[GEGGES]&lt;(AuswertungA[[#This Row],[GES A]]-20))))-AuswertungA[[#This Row],[GES A]],0),"")</f>
        <v/>
      </c>
    </row>
    <row r="183" spans="2:38" x14ac:dyDescent="0.3">
      <c r="B183" s="118" t="str">
        <f t="shared" si="3"/>
        <v>Katrin Keller</v>
      </c>
      <c r="C183" s="119" t="str">
        <f>IF(AuswertungA[[#This Row],[Name]]="","",VLOOKUP(AuswertungA[[#This Row],[Name]],Teamzuordnung[[Name]:[Team]],2,TRUE))</f>
        <v>F</v>
      </c>
      <c r="D183" s="122">
        <f>COUNTIFS(Eingabe[Name],AuswertungA[[#This Row],[Name]],Eingabe[Wo],"A")</f>
        <v>7</v>
      </c>
      <c r="E183" s="117">
        <f>IF(AuswertungA[[#This Row],[Spiele A]]="","",IF(AuswertungA[[#This Row],[Spiele A]]-COUNTIFS(Eingabe[Name],AuswertungA[[#This Row],[Name]],Eingabe[MP],"",Eingabe[Wo],"A")=0,"",AuswertungA[[#This Row],[Spiele A]]-COUNTIFS(Eingabe[Name],AuswertungA[[#This Row],[Name]],Eingabe[MP],"",Eingabe[Wo],"A")))</f>
        <v>5</v>
      </c>
      <c r="F183" s="117">
        <f>IF(AuswertungA[[#This Row],[Spiele A]]=0,"",ROUND(AVERAGEIFS(Eingabe[Volle],Eingabe[Name],AuswertungA[[#This Row],[Name]],Eingabe[Wo],"A"),0))</f>
        <v>328</v>
      </c>
      <c r="G183" s="117">
        <f>IF(AuswertungA[[#This Row],[Spiele A]]=0,"",ROUND(AVERAGEIFS(Eingabe[Räumer],Eingabe[Name],AuswertungA[[#This Row],[Name]],Eingabe[Wo],"A"),0))</f>
        <v>138</v>
      </c>
      <c r="H183" s="123">
        <f>IF(AuswertungA[[#This Row],[Spiele A]]=0,"",ROUND(AVERAGEIFS(Eingabe[Fehler],Eingabe[Name],AuswertungA[[#This Row],[Name]],Eingabe[Wo],"A"),1))</f>
        <v>11.6</v>
      </c>
      <c r="I183" s="117">
        <f>IF(AuswertungA[[#This Row],[Spiele A]]=0,"",ROUND(AVERAGEIFS(Eingabe[GES],Eingabe[Name],AuswertungA[[#This Row],[Name]],Eingabe[Wo],"A"),0))</f>
        <v>466</v>
      </c>
      <c r="J183" s="123">
        <f>IF(AuswertungA[[#This Row],[Spiele MP A]]="","",ROUND(AVERAGEIFS(Eingabe[SP],Eingabe[Name],AuswertungA[[#This Row],[Name]],Eingabe[Wo],"A"),2))</f>
        <v>1.7</v>
      </c>
      <c r="K183" s="121">
        <f>IF(AuswertungA[[#This Row],[Spiele MP A]]="","",ROUND(AVERAGEIFS(Eingabe[MP],Eingabe[Name],AuswertungA[[#This Row],[Name]],Eingabe[Wo],"A"),2))</f>
        <v>0.4</v>
      </c>
      <c r="L183" s="117">
        <f>IFERROR(ROUND(AVERAGEIFS(Eingabe[S1],Eingabe[Name],AuswertungA[[#This Row],[Name]],Eingabe[Wo],"A"),0),"")</f>
        <v>120</v>
      </c>
      <c r="M183" s="268">
        <f>IFERROR(ROUND(AVERAGEIFS(Eingabe[S2],Eingabe[Name],AuswertungA[[#This Row],[Name]],Eingabe[Wo],"A"),0),"")</f>
        <v>128</v>
      </c>
      <c r="N183" s="117">
        <f>IFERROR(ROUND(AVERAGEIFS(Eingabe[S3],Eingabe[Name],AuswertungA[[#This Row],[Name]],Eingabe[Wo],"A"),0),"")</f>
        <v>119</v>
      </c>
      <c r="O183" s="268">
        <f>IFERROR(ROUND(AVERAGEIFS(Eingabe[S4],Eingabe[Name],AuswertungA[[#This Row],[Name]],Eingabe[Wo],"A"),0),"")</f>
        <v>100</v>
      </c>
      <c r="P183" s="121">
        <f>IF(AuswertungA[[#This Row],[Spiele MP A]]="","",ROUND(AVERAGEIFS(Eingabe[S1P],Eingabe[Name],AuswertungA[[#This Row],[Name]],Eingabe[Wo],"A"),2))</f>
        <v>0.4</v>
      </c>
      <c r="Q183" s="121">
        <f>IF(AuswertungA[[#This Row],[Spiele MP A]]="","",ROUND(AVERAGEIFS(Eingabe[S2P],Eingabe[Name],AuswertungA[[#This Row],[Name]],Eingabe[Wo],"A"),2))</f>
        <v>0.8</v>
      </c>
      <c r="R183" s="121">
        <f>IF(AuswertungA[[#This Row],[Spiele MP A]]="","",ROUND(AVERAGEIFS(Eingabe[S3P],Eingabe[Name],AuswertungA[[#This Row],[Name]],Eingabe[Wo],"A"),2))</f>
        <v>0.4</v>
      </c>
      <c r="S183" s="121">
        <f>IF(AuswertungA[[#This Row],[Spiele MP A]]="","",ROUND(AVERAGEIFS(Eingabe[S4P],Eingabe[Name],AuswertungA[[#This Row],[Name]],Eingabe[Wo],"A"),2))</f>
        <v>0.1</v>
      </c>
      <c r="T183" s="123" cm="1">
        <f t="array" ref="T183">IF(AuswertungA[[#This Row],[Spiele A]]="","",IF(AuswertungA[[#This Row],[Spiele A]]&lt;2,"",ROUND(SLOPE(_xlfn._xlws.FILTER(Eingabe[GES],(Eingabe[Name]=AuswertungA[[#This Row],[Name]])*(Eingabe[Wo]="A")),_xlfn._xlws.FILTER(Eingabe[KW],(Eingabe[Name]=AuswertungA[[#This Row],[Name]])*(Eingabe[Wo]="A"))),2)))</f>
        <v>1.8</v>
      </c>
      <c r="U183" s="123" cm="1">
        <f t="array" ref="U183">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27.14</v>
      </c>
      <c r="V183" s="117" cm="1">
        <f t="array" ref="V183">IF(AuswertungA[[#This Row],[Spiele A]]="","",IF(AuswertungA[[#This Row],[Spiele A]]&lt;2,"",ROUND(_xlfn.STDEV.P(_xlfn._xlws.FILTER(Eingabe[GES],(Eingabe[Name]=AuswertungA[[#This Row],[Name]])*(Eingabe[Wo]="A"))),0)))</f>
        <v>43</v>
      </c>
      <c r="W183" s="117">
        <f>IF(AuswertungA[[#This Row],[Spiele MP A]]="","",ROUND(AVERAGEIFS(Eingabe[GEGGES],Eingabe[Name],AuswertungA[[#This Row],[Name]],Eingabe[Wo],"A"),0))</f>
        <v>509</v>
      </c>
      <c r="X183" s="123" t="str">
        <f>VLOOKUP(AuswertungA[[#This Row],[Name]],PositionA[],21,FALSE)</f>
        <v>[2][3]</v>
      </c>
      <c r="Y183" s="123">
        <f>VLOOKUP(AuswertungA[[#This Row],[Name]],PositionA[],22,FALSE)</f>
        <v>2</v>
      </c>
      <c r="Z183" s="123" t="str">
        <f>VLOOKUP(AuswertungA[[#This Row],[Name]],PositionA[],23,FALSE)</f>
        <v>[2][3]</v>
      </c>
      <c r="AA183" s="121">
        <f>IF(AuswertungA[[#This Row],[Spiele MP A]]="","",ROUND(VLOOKUP(AuswertungA[[#This Row],[Name]],PositionA[],24,FALSE),2))</f>
        <v>0.5</v>
      </c>
      <c r="AB183" s="123">
        <f>IFERROR(ROUND(AVERAGEIFS(Eingabe[Rang],Eingabe[Name],AuswertungA[[#This Row],[Name]],Eingabe[Wo],"A"),1),"")</f>
        <v>4.4000000000000004</v>
      </c>
      <c r="AC183" s="123" cm="1">
        <f t="array" ref="AC183">IFERROR(ROUND(MEDIAN(_xlfn._xlws.FILTER(Eingabe[GES],(Eingabe[Name]=AuswertungA[[#This Row],[Name]])*(Eingabe[Wo]="A"))),0),"")</f>
        <v>470</v>
      </c>
      <c r="AD183" s="121">
        <f>IFERROR(AuswertungA[[#This Row],[STABW A]]/AuswertungA[[#This Row],[GES A]],"")</f>
        <v>9.2274678111587988E-2</v>
      </c>
      <c r="AE183" s="123" cm="1">
        <f t="array" ref="AE183">IFERROR(ROUND(_xlfn.QUARTILE.INC(_xlfn._xlws.FILTER(Eingabe[GES],(Eingabe[Name]=AuswertungA[[#This Row],[Name]])*(Eingabe[Wo]="A")),3)-_xlfn.QUARTILE.INC(_xlfn._xlws.FILTER(Eingabe[GES],(Eingabe[Name]=AuswertungA[[#This Row],[Name]])*(Eingabe[Wo]="A")),1),0),"")</f>
        <v>61</v>
      </c>
      <c r="AF183" s="123">
        <f>IFERROR(1/AuswertungA[[#This Row],[VK A]],"")</f>
        <v>10.837209302325581</v>
      </c>
      <c r="AG183" s="123">
        <f>IFERROR(AuswertungA[[#This Row],[Volle A]]/AuswertungA[[#This Row],[Räumer A]]-2,"")</f>
        <v>0.37681159420289845</v>
      </c>
      <c r="AH183" s="117">
        <f>IFERROR(ROUND((AuswertungA[[#This Row],[Spiele A]]*60)/(AuswertungA[[#This Row],[Fehler A]]*AuswertungA[[#This Row],[Spiele A]]),0),"")</f>
        <v>5</v>
      </c>
      <c r="AI183" s="123" cm="1">
        <f t="array" ref="AI183">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0.53488372093023251</v>
      </c>
      <c r="AJ183" s="267">
        <f>IFERROR(ROUND(AVERAGEIFS(Eingabe[MP],Eingabe[Diff],"&lt;15",Eingabe[Name],AuswertungA[[#This Row],[Name]],Eingabe[Wo],"A")-AuswertungA[[#This Row],[MP A]],2),"")</f>
        <v>0.1</v>
      </c>
      <c r="AK183" s="117" cm="1">
        <f t="array" ref="AK183">IFERROR(ROUND(AVERAGE(_xlfn._xlws.FILTER(Eingabe[GES],(Eingabe[Name]=AuswertungA[[#This Row],[Name]])*(Eingabe[Wo]="A")*(Eingabe[GEGGES]&gt;(AuswertungA[[#This Row],[GES A]]+20))))-AuswertungA[[#This Row],[GES A]],0),"")</f>
        <v>30</v>
      </c>
      <c r="AL183" s="117" cm="1">
        <f t="array" ref="AL183">IFERROR(ROUND(AVERAGE(_xlfn._xlws.FILTER(Eingabe[GES],(Eingabe[Name]=AuswertungA[[#This Row],[Name]])*(Eingabe[Wo]="A")*(Eingabe[GEGGES]&lt;(AuswertungA[[#This Row],[GES A]]-20))))-AuswertungA[[#This Row],[GES A]],0),"")</f>
        <v>-8</v>
      </c>
    </row>
    <row r="184" spans="2:38" x14ac:dyDescent="0.3">
      <c r="B184" s="118" t="str">
        <f t="shared" si="3"/>
        <v>Konrad Scheller</v>
      </c>
      <c r="C184" s="119" t="str">
        <f>IF(AuswertungA[[#This Row],[Name]]="","",VLOOKUP(AuswertungA[[#This Row],[Name]],Teamzuordnung[[Name]:[Team]],2,TRUE))</f>
        <v>D</v>
      </c>
      <c r="D184" s="122">
        <f>COUNTIFS(Eingabe[Name],AuswertungA[[#This Row],[Name]],Eingabe[Wo],"A")</f>
        <v>0</v>
      </c>
      <c r="E184" s="117" t="str">
        <f>IF(AuswertungA[[#This Row],[Spiele A]]="","",IF(AuswertungA[[#This Row],[Spiele A]]-COUNTIFS(Eingabe[Name],AuswertungA[[#This Row],[Name]],Eingabe[MP],"",Eingabe[Wo],"A")=0,"",AuswertungA[[#This Row],[Spiele A]]-COUNTIFS(Eingabe[Name],AuswertungA[[#This Row],[Name]],Eingabe[MP],"",Eingabe[Wo],"A")))</f>
        <v/>
      </c>
      <c r="F184" s="117" t="str">
        <f>IF(AuswertungA[[#This Row],[Spiele A]]=0,"",ROUND(AVERAGEIFS(Eingabe[Volle],Eingabe[Name],AuswertungA[[#This Row],[Name]],Eingabe[Wo],"A"),0))</f>
        <v/>
      </c>
      <c r="G184" s="117" t="str">
        <f>IF(AuswertungA[[#This Row],[Spiele A]]=0,"",ROUND(AVERAGEIFS(Eingabe[Räumer],Eingabe[Name],AuswertungA[[#This Row],[Name]],Eingabe[Wo],"A"),0))</f>
        <v/>
      </c>
      <c r="H184" s="123" t="str">
        <f>IF(AuswertungA[[#This Row],[Spiele A]]=0,"",ROUND(AVERAGEIFS(Eingabe[Fehler],Eingabe[Name],AuswertungA[[#This Row],[Name]],Eingabe[Wo],"A"),1))</f>
        <v/>
      </c>
      <c r="I184" s="117" t="str">
        <f>IF(AuswertungA[[#This Row],[Spiele A]]=0,"",ROUND(AVERAGEIFS(Eingabe[GES],Eingabe[Name],AuswertungA[[#This Row],[Name]],Eingabe[Wo],"A"),0))</f>
        <v/>
      </c>
      <c r="J184" s="123" t="str">
        <f>IF(AuswertungA[[#This Row],[Spiele MP A]]="","",ROUND(AVERAGEIFS(Eingabe[SP],Eingabe[Name],AuswertungA[[#This Row],[Name]],Eingabe[Wo],"A"),2))</f>
        <v/>
      </c>
      <c r="K184" s="121" t="str">
        <f>IF(AuswertungA[[#This Row],[Spiele MP A]]="","",ROUND(AVERAGEIFS(Eingabe[MP],Eingabe[Name],AuswertungA[[#This Row],[Name]],Eingabe[Wo],"A"),2))</f>
        <v/>
      </c>
      <c r="L184" s="117" t="str">
        <f>IFERROR(ROUND(AVERAGEIFS(Eingabe[S1],Eingabe[Name],AuswertungA[[#This Row],[Name]],Eingabe[Wo],"A"),0),"")</f>
        <v/>
      </c>
      <c r="M184" s="268" t="str">
        <f>IFERROR(ROUND(AVERAGEIFS(Eingabe[S2],Eingabe[Name],AuswertungA[[#This Row],[Name]],Eingabe[Wo],"A"),0),"")</f>
        <v/>
      </c>
      <c r="N184" s="117" t="str">
        <f>IFERROR(ROUND(AVERAGEIFS(Eingabe[S3],Eingabe[Name],AuswertungA[[#This Row],[Name]],Eingabe[Wo],"A"),0),"")</f>
        <v/>
      </c>
      <c r="O184" s="268" t="str">
        <f>IFERROR(ROUND(AVERAGEIFS(Eingabe[S4],Eingabe[Name],AuswertungA[[#This Row],[Name]],Eingabe[Wo],"A"),0),"")</f>
        <v/>
      </c>
      <c r="P184" s="121" t="str">
        <f>IF(AuswertungA[[#This Row],[Spiele MP A]]="","",ROUND(AVERAGEIFS(Eingabe[S1P],Eingabe[Name],AuswertungA[[#This Row],[Name]],Eingabe[Wo],"A"),2))</f>
        <v/>
      </c>
      <c r="Q184" s="121" t="str">
        <f>IF(AuswertungA[[#This Row],[Spiele MP A]]="","",ROUND(AVERAGEIFS(Eingabe[S2P],Eingabe[Name],AuswertungA[[#This Row],[Name]],Eingabe[Wo],"A"),2))</f>
        <v/>
      </c>
      <c r="R184" s="121" t="str">
        <f>IF(AuswertungA[[#This Row],[Spiele MP A]]="","",ROUND(AVERAGEIFS(Eingabe[S3P],Eingabe[Name],AuswertungA[[#This Row],[Name]],Eingabe[Wo],"A"),2))</f>
        <v/>
      </c>
      <c r="S184" s="121" t="str">
        <f>IF(AuswertungA[[#This Row],[Spiele MP A]]="","",ROUND(AVERAGEIFS(Eingabe[S4P],Eingabe[Name],AuswertungA[[#This Row],[Name]],Eingabe[Wo],"A"),2))</f>
        <v/>
      </c>
      <c r="T184" s="123" t="str" cm="1">
        <f t="array" ref="T184">IF(AuswertungA[[#This Row],[Spiele A]]="","",IF(AuswertungA[[#This Row],[Spiele A]]&lt;2,"",ROUND(SLOPE(_xlfn._xlws.FILTER(Eingabe[GES],(Eingabe[Name]=AuswertungA[[#This Row],[Name]])*(Eingabe[Wo]="A")),_xlfn._xlws.FILTER(Eingabe[KW],(Eingabe[Name]=AuswertungA[[#This Row],[Name]])*(Eingabe[Wo]="A"))),2)))</f>
        <v/>
      </c>
      <c r="U184" s="123" t="str" cm="1">
        <f t="array" ref="U184">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84" s="117" t="str" cm="1">
        <f t="array" ref="V184">IF(AuswertungA[[#This Row],[Spiele A]]="","",IF(AuswertungA[[#This Row],[Spiele A]]&lt;2,"",ROUND(_xlfn.STDEV.P(_xlfn._xlws.FILTER(Eingabe[GES],(Eingabe[Name]=AuswertungA[[#This Row],[Name]])*(Eingabe[Wo]="A"))),0)))</f>
        <v/>
      </c>
      <c r="W184" s="117" t="str">
        <f>IF(AuswertungA[[#This Row],[Spiele MP A]]="","",ROUND(AVERAGEIFS(Eingabe[GEGGES],Eingabe[Name],AuswertungA[[#This Row],[Name]],Eingabe[Wo],"A"),0))</f>
        <v/>
      </c>
      <c r="X184" s="123" t="str">
        <f>VLOOKUP(AuswertungA[[#This Row],[Name]],PositionA[],21,FALSE)</f>
        <v/>
      </c>
      <c r="Y184" s="123" t="str">
        <f>VLOOKUP(AuswertungA[[#This Row],[Name]],PositionA[],22,FALSE)</f>
        <v/>
      </c>
      <c r="Z184" s="123" t="str">
        <f>VLOOKUP(AuswertungA[[#This Row],[Name]],PositionA[],23,FALSE)</f>
        <v/>
      </c>
      <c r="AA184" s="121" t="str">
        <f>IF(AuswertungA[[#This Row],[Spiele MP A]]="","",ROUND(VLOOKUP(AuswertungA[[#This Row],[Name]],PositionA[],24,FALSE),2))</f>
        <v/>
      </c>
      <c r="AB184" s="123" t="str">
        <f>IFERROR(ROUND(AVERAGEIFS(Eingabe[Rang],Eingabe[Name],AuswertungA[[#This Row],[Name]],Eingabe[Wo],"A"),1),"")</f>
        <v/>
      </c>
      <c r="AC184" s="123" t="str" cm="1">
        <f t="array" ref="AC184">IFERROR(ROUND(MEDIAN(_xlfn._xlws.FILTER(Eingabe[GES],(Eingabe[Name]=AuswertungA[[#This Row],[Name]])*(Eingabe[Wo]="A"))),0),"")</f>
        <v/>
      </c>
      <c r="AD184" s="121" t="str">
        <f>IFERROR(AuswertungA[[#This Row],[STABW A]]/AuswertungA[[#This Row],[GES A]],"")</f>
        <v/>
      </c>
      <c r="AE184" s="123" t="str" cm="1">
        <f t="array" ref="AE184">IFERROR(ROUND(_xlfn.QUARTILE.INC(_xlfn._xlws.FILTER(Eingabe[GES],(Eingabe[Name]=AuswertungA[[#This Row],[Name]])*(Eingabe[Wo]="A")),3)-_xlfn.QUARTILE.INC(_xlfn._xlws.FILTER(Eingabe[GES],(Eingabe[Name]=AuswertungA[[#This Row],[Name]])*(Eingabe[Wo]="A")),1),0),"")</f>
        <v/>
      </c>
      <c r="AF184" s="123" t="str">
        <f>IFERROR(1/AuswertungA[[#This Row],[VK A]],"")</f>
        <v/>
      </c>
      <c r="AG184" s="123" t="str">
        <f>IFERROR(AuswertungA[[#This Row],[Volle A]]/AuswertungA[[#This Row],[Räumer A]]-2,"")</f>
        <v/>
      </c>
      <c r="AH184" s="117" t="str">
        <f>IFERROR(ROUND((AuswertungA[[#This Row],[Spiele A]]*60)/(AuswertungA[[#This Row],[Fehler A]]*AuswertungA[[#This Row],[Spiele A]]),0),"")</f>
        <v/>
      </c>
      <c r="AI184" s="123" t="str" cm="1">
        <f t="array" ref="AI184">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84" s="267" t="str">
        <f>IFERROR(ROUND(AVERAGEIFS(Eingabe[MP],Eingabe[Diff],"&lt;15",Eingabe[Name],AuswertungA[[#This Row],[Name]],Eingabe[Wo],"A")-AuswertungA[[#This Row],[MP A]],2),"")</f>
        <v/>
      </c>
      <c r="AK184" s="117" t="str" cm="1">
        <f t="array" ref="AK184">IFERROR(ROUND(AVERAGE(_xlfn._xlws.FILTER(Eingabe[GES],(Eingabe[Name]=AuswertungA[[#This Row],[Name]])*(Eingabe[Wo]="A")*(Eingabe[GEGGES]&gt;(AuswertungA[[#This Row],[GES A]]+20))))-AuswertungA[[#This Row],[GES A]],0),"")</f>
        <v/>
      </c>
      <c r="AL184" s="117" t="str" cm="1">
        <f t="array" ref="AL184">IFERROR(ROUND(AVERAGE(_xlfn._xlws.FILTER(Eingabe[GES],(Eingabe[Name]=AuswertungA[[#This Row],[Name]])*(Eingabe[Wo]="A")*(Eingabe[GEGGES]&lt;(AuswertungA[[#This Row],[GES A]]-20))))-AuswertungA[[#This Row],[GES A]],0),"")</f>
        <v/>
      </c>
    </row>
    <row r="185" spans="2:38" x14ac:dyDescent="0.3">
      <c r="B185" s="118" t="str">
        <f t="shared" si="3"/>
        <v>Lea Meinert</v>
      </c>
      <c r="C185" s="119" t="str">
        <f>IF(AuswertungA[[#This Row],[Name]]="","",VLOOKUP(AuswertungA[[#This Row],[Name]],Teamzuordnung[[Name]:[Team]],2,TRUE))</f>
        <v>F</v>
      </c>
      <c r="D185" s="122">
        <f>COUNTIFS(Eingabe[Name],AuswertungA[[#This Row],[Name]],Eingabe[Wo],"A")</f>
        <v>5</v>
      </c>
      <c r="E185" s="117">
        <f>IF(AuswertungA[[#This Row],[Spiele A]]="","",IF(AuswertungA[[#This Row],[Spiele A]]-COUNTIFS(Eingabe[Name],AuswertungA[[#This Row],[Name]],Eingabe[MP],"",Eingabe[Wo],"A")=0,"",AuswertungA[[#This Row],[Spiele A]]-COUNTIFS(Eingabe[Name],AuswertungA[[#This Row],[Name]],Eingabe[MP],"",Eingabe[Wo],"A")))</f>
        <v>3</v>
      </c>
      <c r="F185" s="117">
        <f>IF(AuswertungA[[#This Row],[Spiele A]]=0,"",ROUND(AVERAGEIFS(Eingabe[Volle],Eingabe[Name],AuswertungA[[#This Row],[Name]],Eingabe[Wo],"A"),0))</f>
        <v>342</v>
      </c>
      <c r="G185" s="117">
        <f>IF(AuswertungA[[#This Row],[Spiele A]]=0,"",ROUND(AVERAGEIFS(Eingabe[Räumer],Eingabe[Name],AuswertungA[[#This Row],[Name]],Eingabe[Wo],"A"),0))</f>
        <v>142</v>
      </c>
      <c r="H185" s="123">
        <f>IF(AuswertungA[[#This Row],[Spiele A]]=0,"",ROUND(AVERAGEIFS(Eingabe[Fehler],Eingabe[Name],AuswertungA[[#This Row],[Name]],Eingabe[Wo],"A"),1))</f>
        <v>9</v>
      </c>
      <c r="I185" s="117">
        <f>IF(AuswertungA[[#This Row],[Spiele A]]=0,"",ROUND(AVERAGEIFS(Eingabe[GES],Eingabe[Name],AuswertungA[[#This Row],[Name]],Eingabe[Wo],"A"),0))</f>
        <v>483</v>
      </c>
      <c r="J185" s="123">
        <f>IF(AuswertungA[[#This Row],[Spiele MP A]]="","",ROUND(AVERAGEIFS(Eingabe[SP],Eingabe[Name],AuswertungA[[#This Row],[Name]],Eingabe[Wo],"A"),2))</f>
        <v>0.67</v>
      </c>
      <c r="K185" s="121">
        <f>IF(AuswertungA[[#This Row],[Spiele MP A]]="","",ROUND(AVERAGEIFS(Eingabe[MP],Eingabe[Name],AuswertungA[[#This Row],[Name]],Eingabe[Wo],"A"),2))</f>
        <v>0</v>
      </c>
      <c r="L185" s="117">
        <f>IFERROR(ROUND(AVERAGEIFS(Eingabe[S1],Eingabe[Name],AuswertungA[[#This Row],[Name]],Eingabe[Wo],"A"),0),"")</f>
        <v>124</v>
      </c>
      <c r="M185" s="268">
        <f>IFERROR(ROUND(AVERAGEIFS(Eingabe[S2],Eingabe[Name],AuswertungA[[#This Row],[Name]],Eingabe[Wo],"A"),0),"")</f>
        <v>118</v>
      </c>
      <c r="N185" s="117">
        <f>IFERROR(ROUND(AVERAGEIFS(Eingabe[S3],Eingabe[Name],AuswertungA[[#This Row],[Name]],Eingabe[Wo],"A"),0),"")</f>
        <v>122</v>
      </c>
      <c r="O185" s="268">
        <f>IFERROR(ROUND(AVERAGEIFS(Eingabe[S4],Eingabe[Name],AuswertungA[[#This Row],[Name]],Eingabe[Wo],"A"),0),"")</f>
        <v>119</v>
      </c>
      <c r="P185" s="121">
        <f>IF(AuswertungA[[#This Row],[Spiele MP A]]="","",ROUND(AVERAGEIFS(Eingabe[S1P],Eingabe[Name],AuswertungA[[#This Row],[Name]],Eingabe[Wo],"A"),2))</f>
        <v>0</v>
      </c>
      <c r="Q185" s="121">
        <f>IF(AuswertungA[[#This Row],[Spiele MP A]]="","",ROUND(AVERAGEIFS(Eingabe[S2P],Eingabe[Name],AuswertungA[[#This Row],[Name]],Eingabe[Wo],"A"),2))</f>
        <v>0</v>
      </c>
      <c r="R185" s="121">
        <f>IF(AuswertungA[[#This Row],[Spiele MP A]]="","",ROUND(AVERAGEIFS(Eingabe[S3P],Eingabe[Name],AuswertungA[[#This Row],[Name]],Eingabe[Wo],"A"),2))</f>
        <v>0.33</v>
      </c>
      <c r="S185" s="121">
        <f>IF(AuswertungA[[#This Row],[Spiele MP A]]="","",ROUND(AVERAGEIFS(Eingabe[S4P],Eingabe[Name],AuswertungA[[#This Row],[Name]],Eingabe[Wo],"A"),2))</f>
        <v>0.33</v>
      </c>
      <c r="T185" s="123" cm="1">
        <f t="array" ref="T185">IF(AuswertungA[[#This Row],[Spiele A]]="","",IF(AuswertungA[[#This Row],[Spiele A]]&lt;2,"",ROUND(SLOPE(_xlfn._xlws.FILTER(Eingabe[GES],(Eingabe[Name]=AuswertungA[[#This Row],[Name]])*(Eingabe[Wo]="A")),_xlfn._xlws.FILTER(Eingabe[KW],(Eingabe[Name]=AuswertungA[[#This Row],[Name]])*(Eingabe[Wo]="A"))),2)))</f>
        <v>1.1499999999999999</v>
      </c>
      <c r="U185" s="123" cm="1">
        <f t="array" ref="U185">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6.14</v>
      </c>
      <c r="V185" s="117" cm="1">
        <f t="array" ref="V185">IF(AuswertungA[[#This Row],[Spiele A]]="","",IF(AuswertungA[[#This Row],[Spiele A]]&lt;2,"",ROUND(_xlfn.STDEV.P(_xlfn._xlws.FILTER(Eingabe[GES],(Eingabe[Name]=AuswertungA[[#This Row],[Name]])*(Eingabe[Wo]="A"))),0)))</f>
        <v>30</v>
      </c>
      <c r="W185" s="117">
        <f>IF(AuswertungA[[#This Row],[Spiele MP A]]="","",ROUND(AVERAGEIFS(Eingabe[GEGGES],Eingabe[Name],AuswertungA[[#This Row],[Name]],Eingabe[Wo],"A"),0))</f>
        <v>507</v>
      </c>
      <c r="X185" s="123" t="str">
        <f>VLOOKUP(AuswertungA[[#This Row],[Name]],PositionA[],21,FALSE)</f>
        <v>[1]</v>
      </c>
      <c r="Y185" s="123">
        <f>VLOOKUP(AuswertungA[[#This Row],[Name]],PositionA[],22,FALSE)</f>
        <v>2</v>
      </c>
      <c r="Z185" s="123" t="str">
        <f>VLOOKUP(AuswertungA[[#This Row],[Name]],PositionA[],23,FALSE)</f>
        <v>[1][2]</v>
      </c>
      <c r="AA185" s="121">
        <f>IF(AuswertungA[[#This Row],[Spiele MP A]]="","",ROUND(VLOOKUP(AuswertungA[[#This Row],[Name]],PositionA[],24,FALSE),2))</f>
        <v>0</v>
      </c>
      <c r="AB185" s="123">
        <f>IFERROR(ROUND(AVERAGEIFS(Eingabe[Rang],Eingabe[Name],AuswertungA[[#This Row],[Name]],Eingabe[Wo],"A"),1),"")</f>
        <v>5.3</v>
      </c>
      <c r="AC185" s="123" cm="1">
        <f t="array" ref="AC185">IFERROR(ROUND(MEDIAN(_xlfn._xlws.FILTER(Eingabe[GES],(Eingabe[Name]=AuswertungA[[#This Row],[Name]])*(Eingabe[Wo]="A"))),0),"")</f>
        <v>480</v>
      </c>
      <c r="AD185" s="121">
        <f>IFERROR(AuswertungA[[#This Row],[STABW A]]/AuswertungA[[#This Row],[GES A]],"")</f>
        <v>6.2111801242236024E-2</v>
      </c>
      <c r="AE185" s="123" cm="1">
        <f t="array" ref="AE185">IFERROR(ROUND(_xlfn.QUARTILE.INC(_xlfn._xlws.FILTER(Eingabe[GES],(Eingabe[Name]=AuswertungA[[#This Row],[Name]])*(Eingabe[Wo]="A")),3)-_xlfn.QUARTILE.INC(_xlfn._xlws.FILTER(Eingabe[GES],(Eingabe[Name]=AuswertungA[[#This Row],[Name]])*(Eingabe[Wo]="A")),1),0),"")</f>
        <v>4</v>
      </c>
      <c r="AF185" s="123">
        <f>IFERROR(1/AuswertungA[[#This Row],[VK A]],"")</f>
        <v>16.100000000000001</v>
      </c>
      <c r="AG185" s="123">
        <f>IFERROR(AuswertungA[[#This Row],[Volle A]]/AuswertungA[[#This Row],[Räumer A]]-2,"")</f>
        <v>0.40845070422535201</v>
      </c>
      <c r="AH185" s="117">
        <f>IFERROR(ROUND((AuswertungA[[#This Row],[Spiele A]]*60)/(AuswertungA[[#This Row],[Fehler A]]*AuswertungA[[#This Row],[Spiele A]]),0),"")</f>
        <v>7</v>
      </c>
      <c r="AI185" s="123" t="str" cm="1">
        <f t="array" ref="AI185">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85" s="267" t="str">
        <f>IFERROR(ROUND(AVERAGEIFS(Eingabe[MP],Eingabe[Diff],"&lt;15",Eingabe[Name],AuswertungA[[#This Row],[Name]],Eingabe[Wo],"A")-AuswertungA[[#This Row],[MP A]],2),"")</f>
        <v/>
      </c>
      <c r="AK185" s="117" cm="1">
        <f t="array" ref="AK185">IFERROR(ROUND(AVERAGE(_xlfn._xlws.FILTER(Eingabe[GES],(Eingabe[Name]=AuswertungA[[#This Row],[Name]])*(Eingabe[Wo]="A")*(Eingabe[GEGGES]&gt;(AuswertungA[[#This Row],[GES A]]+20))))-AuswertungA[[#This Row],[GES A]],0),"")</f>
        <v>-1</v>
      </c>
      <c r="AL185" s="117" cm="1">
        <f t="array" ref="AL185">IFERROR(ROUND(AVERAGE(_xlfn._xlws.FILTER(Eingabe[GES],(Eingabe[Name]=AuswertungA[[#This Row],[Name]])*(Eingabe[Wo]="A")*(Eingabe[GEGGES]&lt;(AuswertungA[[#This Row],[GES A]]-20))))-AuswertungA[[#This Row],[GES A]],0),"")</f>
        <v>24</v>
      </c>
    </row>
    <row r="186" spans="2:38" x14ac:dyDescent="0.3">
      <c r="B186" s="118" t="str">
        <f t="shared" si="3"/>
        <v>Lisa Marutschke</v>
      </c>
      <c r="C186" s="119" t="str">
        <f>IF(AuswertungA[[#This Row],[Name]]="","",VLOOKUP(AuswertungA[[#This Row],[Name]],Teamzuordnung[[Name]:[Team]],2,TRUE))</f>
        <v>U14</v>
      </c>
      <c r="D186" s="122">
        <f>COUNTIFS(Eingabe[Name],AuswertungA[[#This Row],[Name]],Eingabe[Wo],"A")</f>
        <v>7</v>
      </c>
      <c r="E186" s="117" t="str">
        <f>IF(AuswertungA[[#This Row],[Spiele A]]="","",IF(AuswertungA[[#This Row],[Spiele A]]-COUNTIFS(Eingabe[Name],AuswertungA[[#This Row],[Name]],Eingabe[MP],"",Eingabe[Wo],"A")=0,"",AuswertungA[[#This Row],[Spiele A]]-COUNTIFS(Eingabe[Name],AuswertungA[[#This Row],[Name]],Eingabe[MP],"",Eingabe[Wo],"A")))</f>
        <v/>
      </c>
      <c r="F186" s="117">
        <f>IF(AuswertungA[[#This Row],[Spiele A]]=0,"",ROUND(AVERAGEIFS(Eingabe[Volle],Eingabe[Name],AuswertungA[[#This Row],[Name]],Eingabe[Wo],"A"),0))</f>
        <v>274</v>
      </c>
      <c r="G186" s="117">
        <f>IF(AuswertungA[[#This Row],[Spiele A]]=0,"",ROUND(AVERAGEIFS(Eingabe[Räumer],Eingabe[Name],AuswertungA[[#This Row],[Name]],Eingabe[Wo],"A"),0))</f>
        <v>89</v>
      </c>
      <c r="H186" s="123">
        <f>IF(AuswertungA[[#This Row],[Spiele A]]=0,"",ROUND(AVERAGEIFS(Eingabe[Fehler],Eingabe[Name],AuswertungA[[#This Row],[Name]],Eingabe[Wo],"A"),1))</f>
        <v>28.4</v>
      </c>
      <c r="I186" s="117">
        <f>IF(AuswertungA[[#This Row],[Spiele A]]=0,"",ROUND(AVERAGEIFS(Eingabe[GES],Eingabe[Name],AuswertungA[[#This Row],[Name]],Eingabe[Wo],"A"),0))</f>
        <v>363</v>
      </c>
      <c r="J186" s="123" t="str">
        <f>IF(AuswertungA[[#This Row],[Spiele MP A]]="","",ROUND(AVERAGEIFS(Eingabe[SP],Eingabe[Name],AuswertungA[[#This Row],[Name]],Eingabe[Wo],"A"),2))</f>
        <v/>
      </c>
      <c r="K186" s="121" t="str">
        <f>IF(AuswertungA[[#This Row],[Spiele MP A]]="","",ROUND(AVERAGEIFS(Eingabe[MP],Eingabe[Name],AuswertungA[[#This Row],[Name]],Eingabe[Wo],"A"),2))</f>
        <v/>
      </c>
      <c r="L186" s="117">
        <f>IFERROR(ROUND(AVERAGEIFS(Eingabe[S1],Eingabe[Name],AuswertungA[[#This Row],[Name]],Eingabe[Wo],"A"),0),"")</f>
        <v>82</v>
      </c>
      <c r="M186" s="268">
        <f>IFERROR(ROUND(AVERAGEIFS(Eingabe[S2],Eingabe[Name],AuswertungA[[#This Row],[Name]],Eingabe[Wo],"A"),0),"")</f>
        <v>91</v>
      </c>
      <c r="N186" s="117">
        <f>IFERROR(ROUND(AVERAGEIFS(Eingabe[S3],Eingabe[Name],AuswertungA[[#This Row],[Name]],Eingabe[Wo],"A"),0),"")</f>
        <v>92</v>
      </c>
      <c r="O186" s="268">
        <f>IFERROR(ROUND(AVERAGEIFS(Eingabe[S4],Eingabe[Name],AuswertungA[[#This Row],[Name]],Eingabe[Wo],"A"),0),"")</f>
        <v>99</v>
      </c>
      <c r="P186" s="121" t="str">
        <f>IF(AuswertungA[[#This Row],[Spiele MP A]]="","",ROUND(AVERAGEIFS(Eingabe[S1P],Eingabe[Name],AuswertungA[[#This Row],[Name]],Eingabe[Wo],"A"),2))</f>
        <v/>
      </c>
      <c r="Q186" s="121" t="str">
        <f>IF(AuswertungA[[#This Row],[Spiele MP A]]="","",ROUND(AVERAGEIFS(Eingabe[S2P],Eingabe[Name],AuswertungA[[#This Row],[Name]],Eingabe[Wo],"A"),2))</f>
        <v/>
      </c>
      <c r="R186" s="121" t="str">
        <f>IF(AuswertungA[[#This Row],[Spiele MP A]]="","",ROUND(AVERAGEIFS(Eingabe[S3P],Eingabe[Name],AuswertungA[[#This Row],[Name]],Eingabe[Wo],"A"),2))</f>
        <v/>
      </c>
      <c r="S186" s="121" t="str">
        <f>IF(AuswertungA[[#This Row],[Spiele MP A]]="","",ROUND(AVERAGEIFS(Eingabe[S4P],Eingabe[Name],AuswertungA[[#This Row],[Name]],Eingabe[Wo],"A"),2))</f>
        <v/>
      </c>
      <c r="T186" s="123" cm="1">
        <f t="array" ref="T186">IF(AuswertungA[[#This Row],[Spiele A]]="","",IF(AuswertungA[[#This Row],[Spiele A]]&lt;2,"",ROUND(SLOPE(_xlfn._xlws.FILTER(Eingabe[GES],(Eingabe[Name]=AuswertungA[[#This Row],[Name]])*(Eingabe[Wo]="A")),_xlfn._xlws.FILTER(Eingabe[KW],(Eingabe[Name]=AuswertungA[[#This Row],[Name]])*(Eingabe[Wo]="A"))),2)))</f>
        <v>-0.44</v>
      </c>
      <c r="U186" s="123" cm="1">
        <f t="array" ref="U186">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0.62</v>
      </c>
      <c r="V186" s="117" cm="1">
        <f t="array" ref="V186">IF(AuswertungA[[#This Row],[Spiele A]]="","",IF(AuswertungA[[#This Row],[Spiele A]]&lt;2,"",ROUND(_xlfn.STDEV.P(_xlfn._xlws.FILTER(Eingabe[GES],(Eingabe[Name]=AuswertungA[[#This Row],[Name]])*(Eingabe[Wo]="A"))),0)))</f>
        <v>25</v>
      </c>
      <c r="W186" s="117" t="str">
        <f>IF(AuswertungA[[#This Row],[Spiele MP A]]="","",ROUND(AVERAGEIFS(Eingabe[GEGGES],Eingabe[Name],AuswertungA[[#This Row],[Name]],Eingabe[Wo],"A"),0))</f>
        <v/>
      </c>
      <c r="X186" s="123" t="str">
        <f>VLOOKUP(AuswertungA[[#This Row],[Name]],PositionA[],21,FALSE)</f>
        <v/>
      </c>
      <c r="Y186" s="123" t="str">
        <f>VLOOKUP(AuswertungA[[#This Row],[Name]],PositionA[],22,FALSE)</f>
        <v/>
      </c>
      <c r="Z186" s="123" t="str">
        <f>VLOOKUP(AuswertungA[[#This Row],[Name]],PositionA[],23,FALSE)</f>
        <v/>
      </c>
      <c r="AA186" s="121" t="str">
        <f>IF(AuswertungA[[#This Row],[Spiele MP A]]="","",ROUND(VLOOKUP(AuswertungA[[#This Row],[Name]],PositionA[],24,FALSE),2))</f>
        <v/>
      </c>
      <c r="AB186" s="123">
        <f>IFERROR(ROUND(AVERAGEIFS(Eingabe[Rang],Eingabe[Name],AuswertungA[[#This Row],[Name]],Eingabe[Wo],"A"),1),"")</f>
        <v>3</v>
      </c>
      <c r="AC186" s="123" cm="1">
        <f t="array" ref="AC186">IFERROR(ROUND(MEDIAN(_xlfn._xlws.FILTER(Eingabe[GES],(Eingabe[Name]=AuswertungA[[#This Row],[Name]])*(Eingabe[Wo]="A"))),0),"")</f>
        <v>374</v>
      </c>
      <c r="AD186" s="121">
        <f>IFERROR(AuswertungA[[#This Row],[STABW A]]/AuswertungA[[#This Row],[GES A]],"")</f>
        <v>6.8870523415977963E-2</v>
      </c>
      <c r="AE186" s="123" cm="1">
        <f t="array" ref="AE186">IFERROR(ROUND(_xlfn.QUARTILE.INC(_xlfn._xlws.FILTER(Eingabe[GES],(Eingabe[Name]=AuswertungA[[#This Row],[Name]])*(Eingabe[Wo]="A")),3)-_xlfn.QUARTILE.INC(_xlfn._xlws.FILTER(Eingabe[GES],(Eingabe[Name]=AuswertungA[[#This Row],[Name]])*(Eingabe[Wo]="A")),1),0),"")</f>
        <v>35</v>
      </c>
      <c r="AF186" s="123">
        <f>IFERROR(1/AuswertungA[[#This Row],[VK A]],"")</f>
        <v>14.52</v>
      </c>
      <c r="AG186" s="123">
        <f>IFERROR(AuswertungA[[#This Row],[Volle A]]/AuswertungA[[#This Row],[Räumer A]]-2,"")</f>
        <v>1.0786516853932584</v>
      </c>
      <c r="AH186" s="117">
        <f>IFERROR(ROUND((AuswertungA[[#This Row],[Spiele A]]*60)/(AuswertungA[[#This Row],[Fehler A]]*AuswertungA[[#This Row],[Spiele A]]),0),"")</f>
        <v>2</v>
      </c>
      <c r="AI186" s="123" t="str" cm="1">
        <f t="array" ref="AI186">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86" s="267" t="str">
        <f>IFERROR(ROUND(AVERAGEIFS(Eingabe[MP],Eingabe[Diff],"&lt;15",Eingabe[Name],AuswertungA[[#This Row],[Name]],Eingabe[Wo],"A")-AuswertungA[[#This Row],[MP A]],2),"")</f>
        <v/>
      </c>
      <c r="AK186" s="117" t="str" cm="1">
        <f t="array" ref="AK186">IFERROR(ROUND(AVERAGE(_xlfn._xlws.FILTER(Eingabe[GES],(Eingabe[Name]=AuswertungA[[#This Row],[Name]])*(Eingabe[Wo]="A")*(Eingabe[GEGGES]&gt;(AuswertungA[[#This Row],[GES A]]+20))))-AuswertungA[[#This Row],[GES A]],0),"")</f>
        <v/>
      </c>
      <c r="AL186" s="117" cm="1">
        <f t="array" ref="AL186">IFERROR(ROUND(AVERAGE(_xlfn._xlws.FILTER(Eingabe[GES],(Eingabe[Name]=AuswertungA[[#This Row],[Name]])*(Eingabe[Wo]="A")*(Eingabe[GEGGES]&lt;(AuswertungA[[#This Row],[GES A]]-20))))-AuswertungA[[#This Row],[GES A]],0),"")</f>
        <v>0</v>
      </c>
    </row>
    <row r="187" spans="2:38" x14ac:dyDescent="0.3">
      <c r="B187" s="118" t="str">
        <f t="shared" si="3"/>
        <v>Luca Landau</v>
      </c>
      <c r="C187" s="119" t="str">
        <f>IF(AuswertungA[[#This Row],[Name]]="","",VLOOKUP(AuswertungA[[#This Row],[Name]],Teamzuordnung[[Name]:[Team]],2,TRUE))</f>
        <v>D</v>
      </c>
      <c r="D187" s="122">
        <f>COUNTIFS(Eingabe[Name],AuswertungA[[#This Row],[Name]],Eingabe[Wo],"A")</f>
        <v>0</v>
      </c>
      <c r="E187" s="117" t="str">
        <f>IF(AuswertungA[[#This Row],[Spiele A]]="","",IF(AuswertungA[[#This Row],[Spiele A]]-COUNTIFS(Eingabe[Name],AuswertungA[[#This Row],[Name]],Eingabe[MP],"",Eingabe[Wo],"A")=0,"",AuswertungA[[#This Row],[Spiele A]]-COUNTIFS(Eingabe[Name],AuswertungA[[#This Row],[Name]],Eingabe[MP],"",Eingabe[Wo],"A")))</f>
        <v/>
      </c>
      <c r="F187" s="117" t="str">
        <f>IF(AuswertungA[[#This Row],[Spiele A]]=0,"",ROUND(AVERAGEIFS(Eingabe[Volle],Eingabe[Name],AuswertungA[[#This Row],[Name]],Eingabe[Wo],"A"),0))</f>
        <v/>
      </c>
      <c r="G187" s="117" t="str">
        <f>IF(AuswertungA[[#This Row],[Spiele A]]=0,"",ROUND(AVERAGEIFS(Eingabe[Räumer],Eingabe[Name],AuswertungA[[#This Row],[Name]],Eingabe[Wo],"A"),0))</f>
        <v/>
      </c>
      <c r="H187" s="123" t="str">
        <f>IF(AuswertungA[[#This Row],[Spiele A]]=0,"",ROUND(AVERAGEIFS(Eingabe[Fehler],Eingabe[Name],AuswertungA[[#This Row],[Name]],Eingabe[Wo],"A"),1))</f>
        <v/>
      </c>
      <c r="I187" s="117" t="str">
        <f>IF(AuswertungA[[#This Row],[Spiele A]]=0,"",ROUND(AVERAGEIFS(Eingabe[GES],Eingabe[Name],AuswertungA[[#This Row],[Name]],Eingabe[Wo],"A"),0))</f>
        <v/>
      </c>
      <c r="J187" s="123" t="str">
        <f>IF(AuswertungA[[#This Row],[Spiele MP A]]="","",ROUND(AVERAGEIFS(Eingabe[SP],Eingabe[Name],AuswertungA[[#This Row],[Name]],Eingabe[Wo],"A"),2))</f>
        <v/>
      </c>
      <c r="K187" s="121" t="str">
        <f>IF(AuswertungA[[#This Row],[Spiele MP A]]="","",ROUND(AVERAGEIFS(Eingabe[MP],Eingabe[Name],AuswertungA[[#This Row],[Name]],Eingabe[Wo],"A"),2))</f>
        <v/>
      </c>
      <c r="L187" s="117" t="str">
        <f>IFERROR(ROUND(AVERAGEIFS(Eingabe[S1],Eingabe[Name],AuswertungA[[#This Row],[Name]],Eingabe[Wo],"A"),0),"")</f>
        <v/>
      </c>
      <c r="M187" s="268" t="str">
        <f>IFERROR(ROUND(AVERAGEIFS(Eingabe[S2],Eingabe[Name],AuswertungA[[#This Row],[Name]],Eingabe[Wo],"A"),0),"")</f>
        <v/>
      </c>
      <c r="N187" s="117" t="str">
        <f>IFERROR(ROUND(AVERAGEIFS(Eingabe[S3],Eingabe[Name],AuswertungA[[#This Row],[Name]],Eingabe[Wo],"A"),0),"")</f>
        <v/>
      </c>
      <c r="O187" s="268" t="str">
        <f>IFERROR(ROUND(AVERAGEIFS(Eingabe[S4],Eingabe[Name],AuswertungA[[#This Row],[Name]],Eingabe[Wo],"A"),0),"")</f>
        <v/>
      </c>
      <c r="P187" s="121" t="str">
        <f>IF(AuswertungA[[#This Row],[Spiele MP A]]="","",ROUND(AVERAGEIFS(Eingabe[S1P],Eingabe[Name],AuswertungA[[#This Row],[Name]],Eingabe[Wo],"A"),2))</f>
        <v/>
      </c>
      <c r="Q187" s="121" t="str">
        <f>IF(AuswertungA[[#This Row],[Spiele MP A]]="","",ROUND(AVERAGEIFS(Eingabe[S2P],Eingabe[Name],AuswertungA[[#This Row],[Name]],Eingabe[Wo],"A"),2))</f>
        <v/>
      </c>
      <c r="R187" s="121" t="str">
        <f>IF(AuswertungA[[#This Row],[Spiele MP A]]="","",ROUND(AVERAGEIFS(Eingabe[S3P],Eingabe[Name],AuswertungA[[#This Row],[Name]],Eingabe[Wo],"A"),2))</f>
        <v/>
      </c>
      <c r="S187" s="121" t="str">
        <f>IF(AuswertungA[[#This Row],[Spiele MP A]]="","",ROUND(AVERAGEIFS(Eingabe[S4P],Eingabe[Name],AuswertungA[[#This Row],[Name]],Eingabe[Wo],"A"),2))</f>
        <v/>
      </c>
      <c r="T187" s="123" t="str" cm="1">
        <f t="array" ref="T187">IF(AuswertungA[[#This Row],[Spiele A]]="","",IF(AuswertungA[[#This Row],[Spiele A]]&lt;2,"",ROUND(SLOPE(_xlfn._xlws.FILTER(Eingabe[GES],(Eingabe[Name]=AuswertungA[[#This Row],[Name]])*(Eingabe[Wo]="A")),_xlfn._xlws.FILTER(Eingabe[KW],(Eingabe[Name]=AuswertungA[[#This Row],[Name]])*(Eingabe[Wo]="A"))),2)))</f>
        <v/>
      </c>
      <c r="U187" s="123" t="str" cm="1">
        <f t="array" ref="U187">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87" s="117" t="str" cm="1">
        <f t="array" ref="V187">IF(AuswertungA[[#This Row],[Spiele A]]="","",IF(AuswertungA[[#This Row],[Spiele A]]&lt;2,"",ROUND(_xlfn.STDEV.P(_xlfn._xlws.FILTER(Eingabe[GES],(Eingabe[Name]=AuswertungA[[#This Row],[Name]])*(Eingabe[Wo]="A"))),0)))</f>
        <v/>
      </c>
      <c r="W187" s="117" t="str">
        <f>IF(AuswertungA[[#This Row],[Spiele MP A]]="","",ROUND(AVERAGEIFS(Eingabe[GEGGES],Eingabe[Name],AuswertungA[[#This Row],[Name]],Eingabe[Wo],"A"),0))</f>
        <v/>
      </c>
      <c r="X187" s="123" t="str">
        <f>VLOOKUP(AuswertungA[[#This Row],[Name]],PositionA[],21,FALSE)</f>
        <v/>
      </c>
      <c r="Y187" s="123" t="str">
        <f>VLOOKUP(AuswertungA[[#This Row],[Name]],PositionA[],22,FALSE)</f>
        <v/>
      </c>
      <c r="Z187" s="123" t="str">
        <f>VLOOKUP(AuswertungA[[#This Row],[Name]],PositionA[],23,FALSE)</f>
        <v/>
      </c>
      <c r="AA187" s="121" t="str">
        <f>IF(AuswertungA[[#This Row],[Spiele MP A]]="","",ROUND(VLOOKUP(AuswertungA[[#This Row],[Name]],PositionA[],24,FALSE),2))</f>
        <v/>
      </c>
      <c r="AB187" s="123" t="str">
        <f>IFERROR(ROUND(AVERAGEIFS(Eingabe[Rang],Eingabe[Name],AuswertungA[[#This Row],[Name]],Eingabe[Wo],"A"),1),"")</f>
        <v/>
      </c>
      <c r="AC187" s="123" t="str" cm="1">
        <f t="array" ref="AC187">IFERROR(ROUND(MEDIAN(_xlfn._xlws.FILTER(Eingabe[GES],(Eingabe[Name]=AuswertungA[[#This Row],[Name]])*(Eingabe[Wo]="A"))),0),"")</f>
        <v/>
      </c>
      <c r="AD187" s="121" t="str">
        <f>IFERROR(AuswertungA[[#This Row],[STABW A]]/AuswertungA[[#This Row],[GES A]],"")</f>
        <v/>
      </c>
      <c r="AE187" s="123" t="str" cm="1">
        <f t="array" ref="AE187">IFERROR(ROUND(_xlfn.QUARTILE.INC(_xlfn._xlws.FILTER(Eingabe[GES],(Eingabe[Name]=AuswertungA[[#This Row],[Name]])*(Eingabe[Wo]="A")),3)-_xlfn.QUARTILE.INC(_xlfn._xlws.FILTER(Eingabe[GES],(Eingabe[Name]=AuswertungA[[#This Row],[Name]])*(Eingabe[Wo]="A")),1),0),"")</f>
        <v/>
      </c>
      <c r="AF187" s="123" t="str">
        <f>IFERROR(1/AuswertungA[[#This Row],[VK A]],"")</f>
        <v/>
      </c>
      <c r="AG187" s="123" t="str">
        <f>IFERROR(AuswertungA[[#This Row],[Volle A]]/AuswertungA[[#This Row],[Räumer A]]-2,"")</f>
        <v/>
      </c>
      <c r="AH187" s="117" t="str">
        <f>IFERROR(ROUND((AuswertungA[[#This Row],[Spiele A]]*60)/(AuswertungA[[#This Row],[Fehler A]]*AuswertungA[[#This Row],[Spiele A]]),0),"")</f>
        <v/>
      </c>
      <c r="AI187" s="123" t="str" cm="1">
        <f t="array" ref="AI187">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87" s="267" t="str">
        <f>IFERROR(ROUND(AVERAGEIFS(Eingabe[MP],Eingabe[Diff],"&lt;15",Eingabe[Name],AuswertungA[[#This Row],[Name]],Eingabe[Wo],"A")-AuswertungA[[#This Row],[MP A]],2),"")</f>
        <v/>
      </c>
      <c r="AK187" s="117" t="str" cm="1">
        <f t="array" ref="AK187">IFERROR(ROUND(AVERAGE(_xlfn._xlws.FILTER(Eingabe[GES],(Eingabe[Name]=AuswertungA[[#This Row],[Name]])*(Eingabe[Wo]="A")*(Eingabe[GEGGES]&gt;(AuswertungA[[#This Row],[GES A]]+20))))-AuswertungA[[#This Row],[GES A]],0),"")</f>
        <v/>
      </c>
      <c r="AL187" s="117" t="str" cm="1">
        <f t="array" ref="AL187">IFERROR(ROUND(AVERAGE(_xlfn._xlws.FILTER(Eingabe[GES],(Eingabe[Name]=AuswertungA[[#This Row],[Name]])*(Eingabe[Wo]="A")*(Eingabe[GEGGES]&lt;(AuswertungA[[#This Row],[GES A]]-20))))-AuswertungA[[#This Row],[GES A]],0),"")</f>
        <v/>
      </c>
    </row>
    <row r="188" spans="2:38" x14ac:dyDescent="0.3">
      <c r="B188" s="118" t="str">
        <f t="shared" si="3"/>
        <v>Madlen Baumgarten</v>
      </c>
      <c r="C188" s="119" t="str">
        <f>IF(AuswertungA[[#This Row],[Name]]="","",VLOOKUP(AuswertungA[[#This Row],[Name]],Teamzuordnung[[Name]:[Team]],2,TRUE))</f>
        <v>F</v>
      </c>
      <c r="D188" s="122">
        <f>COUNTIFS(Eingabe[Name],AuswertungA[[#This Row],[Name]],Eingabe[Wo],"A")</f>
        <v>5</v>
      </c>
      <c r="E188" s="117">
        <f>IF(AuswertungA[[#This Row],[Spiele A]]="","",IF(AuswertungA[[#This Row],[Spiele A]]-COUNTIFS(Eingabe[Name],AuswertungA[[#This Row],[Name]],Eingabe[MP],"",Eingabe[Wo],"A")=0,"",AuswertungA[[#This Row],[Spiele A]]-COUNTIFS(Eingabe[Name],AuswertungA[[#This Row],[Name]],Eingabe[MP],"",Eingabe[Wo],"A")))</f>
        <v>5</v>
      </c>
      <c r="F188" s="117">
        <f>IF(AuswertungA[[#This Row],[Spiele A]]=0,"",ROUND(AVERAGEIFS(Eingabe[Volle],Eingabe[Name],AuswertungA[[#This Row],[Name]],Eingabe[Wo],"A"),0))</f>
        <v>353</v>
      </c>
      <c r="G188" s="117">
        <f>IF(AuswertungA[[#This Row],[Spiele A]]=0,"",ROUND(AVERAGEIFS(Eingabe[Räumer],Eingabe[Name],AuswertungA[[#This Row],[Name]],Eingabe[Wo],"A"),0))</f>
        <v>173</v>
      </c>
      <c r="H188" s="123">
        <f>IF(AuswertungA[[#This Row],[Spiele A]]=0,"",ROUND(AVERAGEIFS(Eingabe[Fehler],Eingabe[Name],AuswertungA[[#This Row],[Name]],Eingabe[Wo],"A"),1))</f>
        <v>7.4</v>
      </c>
      <c r="I188" s="117">
        <f>IF(AuswertungA[[#This Row],[Spiele A]]=0,"",ROUND(AVERAGEIFS(Eingabe[GES],Eingabe[Name],AuswertungA[[#This Row],[Name]],Eingabe[Wo],"A"),0))</f>
        <v>526</v>
      </c>
      <c r="J188" s="123">
        <f>IF(AuswertungA[[#This Row],[Spiele MP A]]="","",ROUND(AVERAGEIFS(Eingabe[SP],Eingabe[Name],AuswertungA[[#This Row],[Name]],Eingabe[Wo],"A"),2))</f>
        <v>2</v>
      </c>
      <c r="K188" s="121">
        <f>IF(AuswertungA[[#This Row],[Spiele MP A]]="","",ROUND(AVERAGEIFS(Eingabe[MP],Eingabe[Name],AuswertungA[[#This Row],[Name]],Eingabe[Wo],"A"),2))</f>
        <v>0.6</v>
      </c>
      <c r="L188" s="117">
        <f>IFERROR(ROUND(AVERAGEIFS(Eingabe[S1],Eingabe[Name],AuswertungA[[#This Row],[Name]],Eingabe[Wo],"A"),0),"")</f>
        <v>131</v>
      </c>
      <c r="M188" s="268">
        <f>IFERROR(ROUND(AVERAGEIFS(Eingabe[S2],Eingabe[Name],AuswertungA[[#This Row],[Name]],Eingabe[Wo],"A"),0),"")</f>
        <v>125</v>
      </c>
      <c r="N188" s="117">
        <f>IFERROR(ROUND(AVERAGEIFS(Eingabe[S3],Eingabe[Name],AuswertungA[[#This Row],[Name]],Eingabe[Wo],"A"),0),"")</f>
        <v>141</v>
      </c>
      <c r="O188" s="268">
        <f>IFERROR(ROUND(AVERAGEIFS(Eingabe[S4],Eingabe[Name],AuswertungA[[#This Row],[Name]],Eingabe[Wo],"A"),0),"")</f>
        <v>130</v>
      </c>
      <c r="P188" s="121">
        <f>IF(AuswertungA[[#This Row],[Spiele MP A]]="","",ROUND(AVERAGEIFS(Eingabe[S1P],Eingabe[Name],AuswertungA[[#This Row],[Name]],Eingabe[Wo],"A"),2))</f>
        <v>0.6</v>
      </c>
      <c r="Q188" s="121">
        <f>IF(AuswertungA[[#This Row],[Spiele MP A]]="","",ROUND(AVERAGEIFS(Eingabe[S2P],Eingabe[Name],AuswertungA[[#This Row],[Name]],Eingabe[Wo],"A"),2))</f>
        <v>0.4</v>
      </c>
      <c r="R188" s="121">
        <f>IF(AuswertungA[[#This Row],[Spiele MP A]]="","",ROUND(AVERAGEIFS(Eingabe[S3P],Eingabe[Name],AuswertungA[[#This Row],[Name]],Eingabe[Wo],"A"),2))</f>
        <v>0.6</v>
      </c>
      <c r="S188" s="121">
        <f>IF(AuswertungA[[#This Row],[Spiele MP A]]="","",ROUND(AVERAGEIFS(Eingabe[S4P],Eingabe[Name],AuswertungA[[#This Row],[Name]],Eingabe[Wo],"A"),2))</f>
        <v>0.4</v>
      </c>
      <c r="T188" s="123" cm="1">
        <f t="array" ref="T188">IF(AuswertungA[[#This Row],[Spiele A]]="","",IF(AuswertungA[[#This Row],[Spiele A]]&lt;2,"",ROUND(SLOPE(_xlfn._xlws.FILTER(Eingabe[GES],(Eingabe[Name]=AuswertungA[[#This Row],[Name]])*(Eingabe[Wo]="A")),_xlfn._xlws.FILTER(Eingabe[KW],(Eingabe[Name]=AuswertungA[[#This Row],[Name]])*(Eingabe[Wo]="A"))),2)))</f>
        <v>0.06</v>
      </c>
      <c r="U188" s="123" cm="1">
        <f t="array" ref="U188">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-4.29</v>
      </c>
      <c r="V188" s="117" cm="1">
        <f t="array" ref="V188">IF(AuswertungA[[#This Row],[Spiele A]]="","",IF(AuswertungA[[#This Row],[Spiele A]]&lt;2,"",ROUND(_xlfn.STDEV.P(_xlfn._xlws.FILTER(Eingabe[GES],(Eingabe[Name]=AuswertungA[[#This Row],[Name]])*(Eingabe[Wo]="A"))),0)))</f>
        <v>21</v>
      </c>
      <c r="W188" s="117">
        <f>IF(AuswertungA[[#This Row],[Spiele MP A]]="","",ROUND(AVERAGEIFS(Eingabe[GEGGES],Eingabe[Name],AuswertungA[[#This Row],[Name]],Eingabe[Wo],"A"),0))</f>
        <v>528</v>
      </c>
      <c r="X188" s="123" t="str">
        <f>VLOOKUP(AuswertungA[[#This Row],[Name]],PositionA[],21,FALSE)</f>
        <v>[5]</v>
      </c>
      <c r="Y188" s="123">
        <f>VLOOKUP(AuswertungA[[#This Row],[Name]],PositionA[],22,FALSE)</f>
        <v>3</v>
      </c>
      <c r="Z188" s="123" t="str">
        <f>VLOOKUP(AuswertungA[[#This Row],[Name]],PositionA[],23,FALSE)</f>
        <v>[2]</v>
      </c>
      <c r="AA188" s="121">
        <f>IF(AuswertungA[[#This Row],[Spiele MP A]]="","",ROUND(VLOOKUP(AuswertungA[[#This Row],[Name]],PositionA[],24,FALSE),2))</f>
        <v>1</v>
      </c>
      <c r="AB188" s="123">
        <f>IFERROR(ROUND(AVERAGEIFS(Eingabe[Rang],Eingabe[Name],AuswertungA[[#This Row],[Name]],Eingabe[Wo],"A"),1),"")</f>
        <v>2</v>
      </c>
      <c r="AC188" s="123" cm="1">
        <f t="array" ref="AC188">IFERROR(ROUND(MEDIAN(_xlfn._xlws.FILTER(Eingabe[GES],(Eingabe[Name]=AuswertungA[[#This Row],[Name]])*(Eingabe[Wo]="A"))),0),"")</f>
        <v>528</v>
      </c>
      <c r="AD188" s="121">
        <f>IFERROR(AuswertungA[[#This Row],[STABW A]]/AuswertungA[[#This Row],[GES A]],"")</f>
        <v>3.9923954372623575E-2</v>
      </c>
      <c r="AE188" s="123" cm="1">
        <f t="array" ref="AE188">IFERROR(ROUND(_xlfn.QUARTILE.INC(_xlfn._xlws.FILTER(Eingabe[GES],(Eingabe[Name]=AuswertungA[[#This Row],[Name]])*(Eingabe[Wo]="A")),3)-_xlfn.QUARTILE.INC(_xlfn._xlws.FILTER(Eingabe[GES],(Eingabe[Name]=AuswertungA[[#This Row],[Name]])*(Eingabe[Wo]="A")),1),0),"")</f>
        <v>28</v>
      </c>
      <c r="AF188" s="123">
        <f>IFERROR(1/AuswertungA[[#This Row],[VK A]],"")</f>
        <v>25.047619047619047</v>
      </c>
      <c r="AG188" s="123">
        <f>IFERROR(AuswertungA[[#This Row],[Volle A]]/AuswertungA[[#This Row],[Räumer A]]-2,"")</f>
        <v>4.0462427745664886E-2</v>
      </c>
      <c r="AH188" s="117">
        <f>IFERROR(ROUND((AuswertungA[[#This Row],[Spiele A]]*60)/(AuswertungA[[#This Row],[Fehler A]]*AuswertungA[[#This Row],[Spiele A]]),0),"")</f>
        <v>8</v>
      </c>
      <c r="AI188" s="123" cm="1">
        <f t="array" ref="AI188">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-9.5238095238116896E-3</v>
      </c>
      <c r="AJ188" s="267">
        <f>IFERROR(ROUND(AVERAGEIFS(Eingabe[MP],Eingabe[Diff],"&lt;15",Eingabe[Name],AuswertungA[[#This Row],[Name]],Eingabe[Wo],"A")-AuswertungA[[#This Row],[MP A]],2),"")</f>
        <v>0</v>
      </c>
      <c r="AK188" s="117" cm="1">
        <f t="array" ref="AK188">IFERROR(ROUND(AVERAGE(_xlfn._xlws.FILTER(Eingabe[GES],(Eingabe[Name]=AuswertungA[[#This Row],[Name]])*(Eingabe[Wo]="A")*(Eingabe[GEGGES]&gt;(AuswertungA[[#This Row],[GES A]]+20))))-AuswertungA[[#This Row],[GES A]],0),"")</f>
        <v>32</v>
      </c>
      <c r="AL188" s="117" cm="1">
        <f t="array" ref="AL188">IFERROR(ROUND(AVERAGE(_xlfn._xlws.FILTER(Eingabe[GES],(Eingabe[Name]=AuswertungA[[#This Row],[Name]])*(Eingabe[Wo]="A")*(Eingabe[GEGGES]&lt;(AuswertungA[[#This Row],[GES A]]-20))))-AuswertungA[[#This Row],[GES A]],0),"")</f>
        <v>-27</v>
      </c>
    </row>
    <row r="189" spans="2:38" x14ac:dyDescent="0.3">
      <c r="B189" s="118" t="str">
        <f t="shared" si="3"/>
        <v>Maik Fuhrmann</v>
      </c>
      <c r="C189" s="119" t="str">
        <f>IF(AuswertungA[[#This Row],[Name]]="","",VLOOKUP(AuswertungA[[#This Row],[Name]],Teamzuordnung[[Name]:[Team]],2,TRUE))</f>
        <v>E</v>
      </c>
      <c r="D189" s="122">
        <f>COUNTIFS(Eingabe[Name],AuswertungA[[#This Row],[Name]],Eingabe[Wo],"A")</f>
        <v>8</v>
      </c>
      <c r="E189" s="117">
        <f>IF(AuswertungA[[#This Row],[Spiele A]]="","",IF(AuswertungA[[#This Row],[Spiele A]]-COUNTIFS(Eingabe[Name],AuswertungA[[#This Row],[Name]],Eingabe[MP],"",Eingabe[Wo],"A")=0,"",AuswertungA[[#This Row],[Spiele A]]-COUNTIFS(Eingabe[Name],AuswertungA[[#This Row],[Name]],Eingabe[MP],"",Eingabe[Wo],"A")))</f>
        <v>6</v>
      </c>
      <c r="F189" s="117">
        <f>IF(AuswertungA[[#This Row],[Spiele A]]=0,"",ROUND(AVERAGEIFS(Eingabe[Volle],Eingabe[Name],AuswertungA[[#This Row],[Name]],Eingabe[Wo],"A"),0))</f>
        <v>370</v>
      </c>
      <c r="G189" s="117">
        <f>IF(AuswertungA[[#This Row],[Spiele A]]=0,"",ROUND(AVERAGEIFS(Eingabe[Räumer],Eingabe[Name],AuswertungA[[#This Row],[Name]],Eingabe[Wo],"A"),0))</f>
        <v>191</v>
      </c>
      <c r="H189" s="123">
        <f>IF(AuswertungA[[#This Row],[Spiele A]]=0,"",ROUND(AVERAGEIFS(Eingabe[Fehler],Eingabe[Name],AuswertungA[[#This Row],[Name]],Eingabe[Wo],"A"),1))</f>
        <v>3.4</v>
      </c>
      <c r="I189" s="117">
        <f>IF(AuswertungA[[#This Row],[Spiele A]]=0,"",ROUND(AVERAGEIFS(Eingabe[GES],Eingabe[Name],AuswertungA[[#This Row],[Name]],Eingabe[Wo],"A"),0))</f>
        <v>561</v>
      </c>
      <c r="J189" s="123">
        <f>IF(AuswertungA[[#This Row],[Spiele MP A]]="","",ROUND(AVERAGEIFS(Eingabe[SP],Eingabe[Name],AuswertungA[[#This Row],[Name]],Eingabe[Wo],"A"),2))</f>
        <v>3.42</v>
      </c>
      <c r="K189" s="121">
        <f>IF(AuswertungA[[#This Row],[Spiele MP A]]="","",ROUND(AVERAGEIFS(Eingabe[MP],Eingabe[Name],AuswertungA[[#This Row],[Name]],Eingabe[Wo],"A"),2))</f>
        <v>1</v>
      </c>
      <c r="L189" s="117">
        <f>IFERROR(ROUND(AVERAGEIFS(Eingabe[S1],Eingabe[Name],AuswertungA[[#This Row],[Name]],Eingabe[Wo],"A"),0),"")</f>
        <v>141</v>
      </c>
      <c r="M189" s="268">
        <f>IFERROR(ROUND(AVERAGEIFS(Eingabe[S2],Eingabe[Name],AuswertungA[[#This Row],[Name]],Eingabe[Wo],"A"),0),"")</f>
        <v>138</v>
      </c>
      <c r="N189" s="117">
        <f>IFERROR(ROUND(AVERAGEIFS(Eingabe[S3],Eingabe[Name],AuswertungA[[#This Row],[Name]],Eingabe[Wo],"A"),0),"")</f>
        <v>141</v>
      </c>
      <c r="O189" s="268">
        <f>IFERROR(ROUND(AVERAGEIFS(Eingabe[S4],Eingabe[Name],AuswertungA[[#This Row],[Name]],Eingabe[Wo],"A"),0),"")</f>
        <v>146</v>
      </c>
      <c r="P189" s="121">
        <f>IF(AuswertungA[[#This Row],[Spiele MP A]]="","",ROUND(AVERAGEIFS(Eingabe[S1P],Eingabe[Name],AuswertungA[[#This Row],[Name]],Eingabe[Wo],"A"),2))</f>
        <v>0.92</v>
      </c>
      <c r="Q189" s="121">
        <f>IF(AuswertungA[[#This Row],[Spiele MP A]]="","",ROUND(AVERAGEIFS(Eingabe[S2P],Eingabe[Name],AuswertungA[[#This Row],[Name]],Eingabe[Wo],"A"),2))</f>
        <v>0.83</v>
      </c>
      <c r="R189" s="121">
        <f>IF(AuswertungA[[#This Row],[Spiele MP A]]="","",ROUND(AVERAGEIFS(Eingabe[S3P],Eingabe[Name],AuswertungA[[#This Row],[Name]],Eingabe[Wo],"A"),2))</f>
        <v>0.83</v>
      </c>
      <c r="S189" s="121">
        <f>IF(AuswertungA[[#This Row],[Spiele MP A]]="","",ROUND(AVERAGEIFS(Eingabe[S4P],Eingabe[Name],AuswertungA[[#This Row],[Name]],Eingabe[Wo],"A"),2))</f>
        <v>0.83</v>
      </c>
      <c r="T189" s="123" cm="1">
        <f t="array" ref="T189">IF(AuswertungA[[#This Row],[Spiele A]]="","",IF(AuswertungA[[#This Row],[Spiele A]]&lt;2,"",ROUND(SLOPE(_xlfn._xlws.FILTER(Eingabe[GES],(Eingabe[Name]=AuswertungA[[#This Row],[Name]])*(Eingabe[Wo]="A")),_xlfn._xlws.FILTER(Eingabe[KW],(Eingabe[Name]=AuswertungA[[#This Row],[Name]])*(Eingabe[Wo]="A"))),2)))</f>
        <v>1.2</v>
      </c>
      <c r="U189" s="123" cm="1">
        <f t="array" ref="U189">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-8.7799999999999994</v>
      </c>
      <c r="V189" s="117" cm="1">
        <f t="array" ref="V189">IF(AuswertungA[[#This Row],[Spiele A]]="","",IF(AuswertungA[[#This Row],[Spiele A]]&lt;2,"",ROUND(_xlfn.STDEV.P(_xlfn._xlws.FILTER(Eingabe[GES],(Eingabe[Name]=AuswertungA[[#This Row],[Name]])*(Eingabe[Wo]="A"))),0)))</f>
        <v>39</v>
      </c>
      <c r="W189" s="117">
        <f>IF(AuswertungA[[#This Row],[Spiele MP A]]="","",ROUND(AVERAGEIFS(Eingabe[GEGGES],Eingabe[Name],AuswertungA[[#This Row],[Name]],Eingabe[Wo],"A"),0))</f>
        <v>520</v>
      </c>
      <c r="X189" s="123" t="str">
        <f>VLOOKUP(AuswertungA[[#This Row],[Name]],PositionA[],21,FALSE)</f>
        <v>[1][2]</v>
      </c>
      <c r="Y189" s="123">
        <f>VLOOKUP(AuswertungA[[#This Row],[Name]],PositionA[],22,FALSE)</f>
        <v>2</v>
      </c>
      <c r="Z189" s="123" t="str">
        <f>VLOOKUP(AuswertungA[[#This Row],[Name]],PositionA[],23,FALSE)</f>
        <v>[1][2][3][4]</v>
      </c>
      <c r="AA189" s="121">
        <f>IF(AuswertungA[[#This Row],[Spiele MP A]]="","",ROUND(VLOOKUP(AuswertungA[[#This Row],[Name]],PositionA[],24,FALSE),2))</f>
        <v>1</v>
      </c>
      <c r="AB189" s="123">
        <f>IFERROR(ROUND(AVERAGEIFS(Eingabe[Rang],Eingabe[Name],AuswertungA[[#This Row],[Name]],Eingabe[Wo],"A"),1),"")</f>
        <v>2</v>
      </c>
      <c r="AC189" s="123" cm="1">
        <f t="array" ref="AC189">IFERROR(ROUND(MEDIAN(_xlfn._xlws.FILTER(Eingabe[GES],(Eingabe[Name]=AuswertungA[[#This Row],[Name]])*(Eingabe[Wo]="A"))),0),"")</f>
        <v>550</v>
      </c>
      <c r="AD189" s="121">
        <f>IFERROR(AuswertungA[[#This Row],[STABW A]]/AuswertungA[[#This Row],[GES A]],"")</f>
        <v>6.9518716577540107E-2</v>
      </c>
      <c r="AE189" s="123" cm="1">
        <f t="array" ref="AE189">IFERROR(ROUND(_xlfn.QUARTILE.INC(_xlfn._xlws.FILTER(Eingabe[GES],(Eingabe[Name]=AuswertungA[[#This Row],[Name]])*(Eingabe[Wo]="A")),3)-_xlfn.QUARTILE.INC(_xlfn._xlws.FILTER(Eingabe[GES],(Eingabe[Name]=AuswertungA[[#This Row],[Name]])*(Eingabe[Wo]="A")),1),0),"")</f>
        <v>66</v>
      </c>
      <c r="AF189" s="123">
        <f>IFERROR(1/AuswertungA[[#This Row],[VK A]],"")</f>
        <v>14.384615384615385</v>
      </c>
      <c r="AG189" s="123">
        <f>IFERROR(AuswertungA[[#This Row],[Volle A]]/AuswertungA[[#This Row],[Räumer A]]-2,"")</f>
        <v>-6.2827225130890119E-2</v>
      </c>
      <c r="AH189" s="117">
        <f>IFERROR(ROUND((AuswertungA[[#This Row],[Spiele A]]*60)/(AuswertungA[[#This Row],[Fehler A]]*AuswertungA[[#This Row],[Spiele A]]),0),"")</f>
        <v>18</v>
      </c>
      <c r="AI189" s="123" t="str" cm="1">
        <f t="array" ref="AI189">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89" s="267" t="str">
        <f>IFERROR(ROUND(AVERAGEIFS(Eingabe[MP],Eingabe[Diff],"&lt;15",Eingabe[Name],AuswertungA[[#This Row],[Name]],Eingabe[Wo],"A")-AuswertungA[[#This Row],[MP A]],2),"")</f>
        <v/>
      </c>
      <c r="AK189" s="117" t="str" cm="1">
        <f t="array" ref="AK189">IFERROR(ROUND(AVERAGE(_xlfn._xlws.FILTER(Eingabe[GES],(Eingabe[Name]=AuswertungA[[#This Row],[Name]])*(Eingabe[Wo]="A")*(Eingabe[GEGGES]&gt;(AuswertungA[[#This Row],[GES A]]+20))))-AuswertungA[[#This Row],[GES A]],0),"")</f>
        <v/>
      </c>
      <c r="AL189" s="117" cm="1">
        <f t="array" ref="AL189">IFERROR(ROUND(AVERAGE(_xlfn._xlws.FILTER(Eingabe[GES],(Eingabe[Name]=AuswertungA[[#This Row],[Name]])*(Eingabe[Wo]="A")*(Eingabe[GEGGES]&lt;(AuswertungA[[#This Row],[GES A]]-20))))-AuswertungA[[#This Row],[GES A]],0),"")</f>
        <v>-16</v>
      </c>
    </row>
    <row r="190" spans="2:38" x14ac:dyDescent="0.3">
      <c r="B190" s="118" t="str">
        <f t="shared" si="3"/>
        <v>Marcel Giese</v>
      </c>
      <c r="C190" s="119" t="str">
        <f>IF(AuswertungA[[#This Row],[Name]]="","",VLOOKUP(AuswertungA[[#This Row],[Name]],Teamzuordnung[[Name]:[Team]],2,TRUE))</f>
        <v>D</v>
      </c>
      <c r="D190" s="122">
        <f>COUNTIFS(Eingabe[Name],AuswertungA[[#This Row],[Name]],Eingabe[Wo],"A")</f>
        <v>2</v>
      </c>
      <c r="E190" s="117">
        <f>IF(AuswertungA[[#This Row],[Spiele A]]="","",IF(AuswertungA[[#This Row],[Spiele A]]-COUNTIFS(Eingabe[Name],AuswertungA[[#This Row],[Name]],Eingabe[MP],"",Eingabe[Wo],"A")=0,"",AuswertungA[[#This Row],[Spiele A]]-COUNTIFS(Eingabe[Name],AuswertungA[[#This Row],[Name]],Eingabe[MP],"",Eingabe[Wo],"A")))</f>
        <v>1</v>
      </c>
      <c r="F190" s="117">
        <f>IF(AuswertungA[[#This Row],[Spiele A]]=0,"",ROUND(AVERAGEIFS(Eingabe[Volle],Eingabe[Name],AuswertungA[[#This Row],[Name]],Eingabe[Wo],"A"),0))</f>
        <v>338</v>
      </c>
      <c r="G190" s="117">
        <f>IF(AuswertungA[[#This Row],[Spiele A]]=0,"",ROUND(AVERAGEIFS(Eingabe[Räumer],Eingabe[Name],AuswertungA[[#This Row],[Name]],Eingabe[Wo],"A"),0))</f>
        <v>143</v>
      </c>
      <c r="H190" s="123">
        <f>IF(AuswertungA[[#This Row],[Spiele A]]=0,"",ROUND(AVERAGEIFS(Eingabe[Fehler],Eingabe[Name],AuswertungA[[#This Row],[Name]],Eingabe[Wo],"A"),1))</f>
        <v>16</v>
      </c>
      <c r="I190" s="117">
        <f>IF(AuswertungA[[#This Row],[Spiele A]]=0,"",ROUND(AVERAGEIFS(Eingabe[GES],Eingabe[Name],AuswertungA[[#This Row],[Name]],Eingabe[Wo],"A"),0))</f>
        <v>480</v>
      </c>
      <c r="J190" s="123">
        <f>IF(AuswertungA[[#This Row],[Spiele MP A]]="","",ROUND(AVERAGEIFS(Eingabe[SP],Eingabe[Name],AuswertungA[[#This Row],[Name]],Eingabe[Wo],"A"),2))</f>
        <v>2.5</v>
      </c>
      <c r="K190" s="121">
        <f>IF(AuswertungA[[#This Row],[Spiele MP A]]="","",ROUND(AVERAGEIFS(Eingabe[MP],Eingabe[Name],AuswertungA[[#This Row],[Name]],Eingabe[Wo],"A"),2))</f>
        <v>1</v>
      </c>
      <c r="L190" s="117">
        <f>IFERROR(ROUND(AVERAGEIFS(Eingabe[S1],Eingabe[Name],AuswertungA[[#This Row],[Name]],Eingabe[Wo],"A"),0),"")</f>
        <v>112</v>
      </c>
      <c r="M190" s="268">
        <f>IFERROR(ROUND(AVERAGEIFS(Eingabe[S2],Eingabe[Name],AuswertungA[[#This Row],[Name]],Eingabe[Wo],"A"),0),"")</f>
        <v>120</v>
      </c>
      <c r="N190" s="117">
        <f>IFERROR(ROUND(AVERAGEIFS(Eingabe[S3],Eingabe[Name],AuswertungA[[#This Row],[Name]],Eingabe[Wo],"A"),0),"")</f>
        <v>118</v>
      </c>
      <c r="O190" s="268">
        <f>IFERROR(ROUND(AVERAGEIFS(Eingabe[S4],Eingabe[Name],AuswertungA[[#This Row],[Name]],Eingabe[Wo],"A"),0),"")</f>
        <v>131</v>
      </c>
      <c r="P190" s="121">
        <f>IF(AuswertungA[[#This Row],[Spiele MP A]]="","",ROUND(AVERAGEIFS(Eingabe[S1P],Eingabe[Name],AuswertungA[[#This Row],[Name]],Eingabe[Wo],"A"),2))</f>
        <v>0.5</v>
      </c>
      <c r="Q190" s="121">
        <f>IF(AuswertungA[[#This Row],[Spiele MP A]]="","",ROUND(AVERAGEIFS(Eingabe[S2P],Eingabe[Name],AuswertungA[[#This Row],[Name]],Eingabe[Wo],"A"),2))</f>
        <v>1</v>
      </c>
      <c r="R190" s="121">
        <f>IF(AuswertungA[[#This Row],[Spiele MP A]]="","",ROUND(AVERAGEIFS(Eingabe[S3P],Eingabe[Name],AuswertungA[[#This Row],[Name]],Eingabe[Wo],"A"),2))</f>
        <v>0</v>
      </c>
      <c r="S190" s="121">
        <f>IF(AuswertungA[[#This Row],[Spiele MP A]]="","",ROUND(AVERAGEIFS(Eingabe[S4P],Eingabe[Name],AuswertungA[[#This Row],[Name]],Eingabe[Wo],"A"),2))</f>
        <v>1</v>
      </c>
      <c r="T190" s="123" cm="1">
        <f t="array" ref="T190">IF(AuswertungA[[#This Row],[Spiele A]]="","",IF(AuswertungA[[#This Row],[Spiele A]]&lt;2,"",ROUND(SLOPE(_xlfn._xlws.FILTER(Eingabe[GES],(Eingabe[Name]=AuswertungA[[#This Row],[Name]])*(Eingabe[Wo]="A")),_xlfn._xlws.FILTER(Eingabe[KW],(Eingabe[Name]=AuswertungA[[#This Row],[Name]])*(Eingabe[Wo]="A"))),2)))</f>
        <v>22</v>
      </c>
      <c r="U190" s="123" cm="1">
        <f t="array" ref="U190">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22</v>
      </c>
      <c r="V190" s="117" cm="1">
        <f t="array" ref="V190">IF(AuswertungA[[#This Row],[Spiele A]]="","",IF(AuswertungA[[#This Row],[Spiele A]]&lt;2,"",ROUND(_xlfn.STDEV.P(_xlfn._xlws.FILTER(Eingabe[GES],(Eingabe[Name]=AuswertungA[[#This Row],[Name]])*(Eingabe[Wo]="A"))),0)))</f>
        <v>11</v>
      </c>
      <c r="W190" s="117">
        <f>IF(AuswertungA[[#This Row],[Spiele MP A]]="","",ROUND(AVERAGEIFS(Eingabe[GEGGES],Eingabe[Name],AuswertungA[[#This Row],[Name]],Eingabe[Wo],"A"),0))</f>
        <v>490</v>
      </c>
      <c r="X190" s="123" t="str">
        <f>VLOOKUP(AuswertungA[[#This Row],[Name]],PositionA[],21,FALSE)</f>
        <v>[1]</v>
      </c>
      <c r="Y190" s="123">
        <f>VLOOKUP(AuswertungA[[#This Row],[Name]],PositionA[],22,FALSE)</f>
        <v>1</v>
      </c>
      <c r="Z190" s="123" t="str">
        <f>VLOOKUP(AuswertungA[[#This Row],[Name]],PositionA[],23,FALSE)</f>
        <v>[1]</v>
      </c>
      <c r="AA190" s="121">
        <f>IF(AuswertungA[[#This Row],[Spiele MP A]]="","",ROUND(VLOOKUP(AuswertungA[[#This Row],[Name]],PositionA[],24,FALSE),2))</f>
        <v>1</v>
      </c>
      <c r="AB190" s="123">
        <f>IFERROR(ROUND(AVERAGEIFS(Eingabe[Rang],Eingabe[Name],AuswertungA[[#This Row],[Name]],Eingabe[Wo],"A"),1),"")</f>
        <v>5</v>
      </c>
      <c r="AC190" s="123" cm="1">
        <f t="array" ref="AC190">IFERROR(ROUND(MEDIAN(_xlfn._xlws.FILTER(Eingabe[GES],(Eingabe[Name]=AuswertungA[[#This Row],[Name]])*(Eingabe[Wo]="A"))),0),"")</f>
        <v>480</v>
      </c>
      <c r="AD190" s="121">
        <f>IFERROR(AuswertungA[[#This Row],[STABW A]]/AuswertungA[[#This Row],[GES A]],"")</f>
        <v>2.2916666666666665E-2</v>
      </c>
      <c r="AE190" s="123" cm="1">
        <f t="array" ref="AE190">IFERROR(ROUND(_xlfn.QUARTILE.INC(_xlfn._xlws.FILTER(Eingabe[GES],(Eingabe[Name]=AuswertungA[[#This Row],[Name]])*(Eingabe[Wo]="A")),3)-_xlfn.QUARTILE.INC(_xlfn._xlws.FILTER(Eingabe[GES],(Eingabe[Name]=AuswertungA[[#This Row],[Name]])*(Eingabe[Wo]="A")),1),0),"")</f>
        <v>11</v>
      </c>
      <c r="AF190" s="123">
        <f>IFERROR(1/AuswertungA[[#This Row],[VK A]],"")</f>
        <v>43.63636363636364</v>
      </c>
      <c r="AG190" s="123">
        <f>IFERROR(AuswertungA[[#This Row],[Volle A]]/AuswertungA[[#This Row],[Räumer A]]-2,"")</f>
        <v>0.36363636363636376</v>
      </c>
      <c r="AH190" s="117">
        <f>IFERROR(ROUND((AuswertungA[[#This Row],[Spiele A]]*60)/(AuswertungA[[#This Row],[Fehler A]]*AuswertungA[[#This Row],[Spiele A]]),0),"")</f>
        <v>4</v>
      </c>
      <c r="AI190" s="123" cm="1">
        <f t="array" ref="AI190">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1</v>
      </c>
      <c r="AJ190" s="267">
        <f>IFERROR(ROUND(AVERAGEIFS(Eingabe[MP],Eingabe[Diff],"&lt;15",Eingabe[Name],AuswertungA[[#This Row],[Name]],Eingabe[Wo],"A")-AuswertungA[[#This Row],[MP A]],2),"")</f>
        <v>0</v>
      </c>
      <c r="AK190" s="117" t="str" cm="1">
        <f t="array" ref="AK190">IFERROR(ROUND(AVERAGE(_xlfn._xlws.FILTER(Eingabe[GES],(Eingabe[Name]=AuswertungA[[#This Row],[Name]])*(Eingabe[Wo]="A")*(Eingabe[GEGGES]&gt;(AuswertungA[[#This Row],[GES A]]+20))))-AuswertungA[[#This Row],[GES A]],0),"")</f>
        <v/>
      </c>
      <c r="AL190" s="117" cm="1">
        <f t="array" ref="AL190">IFERROR(ROUND(AVERAGE(_xlfn._xlws.FILTER(Eingabe[GES],(Eingabe[Name]=AuswertungA[[#This Row],[Name]])*(Eingabe[Wo]="A")*(Eingabe[GEGGES]&lt;(AuswertungA[[#This Row],[GES A]]-20))))-AuswertungA[[#This Row],[GES A]],0),"")</f>
        <v>-11</v>
      </c>
    </row>
    <row r="191" spans="2:38" x14ac:dyDescent="0.3">
      <c r="B191" s="118" t="str">
        <f t="shared" si="3"/>
        <v>Mario Hägemann</v>
      </c>
      <c r="C191" s="119" t="str">
        <f>IF(AuswertungA[[#This Row],[Name]]="","",VLOOKUP(AuswertungA[[#This Row],[Name]],Teamzuordnung[[Name]:[Team]],2,TRUE))</f>
        <v>Z</v>
      </c>
      <c r="D191" s="122">
        <f>COUNTIFS(Eingabe[Name],AuswertungA[[#This Row],[Name]],Eingabe[Wo],"A")</f>
        <v>5</v>
      </c>
      <c r="E191" s="117">
        <f>IF(AuswertungA[[#This Row],[Spiele A]]="","",IF(AuswertungA[[#This Row],[Spiele A]]-COUNTIFS(Eingabe[Name],AuswertungA[[#This Row],[Name]],Eingabe[MP],"",Eingabe[Wo],"A")=0,"",AuswertungA[[#This Row],[Spiele A]]-COUNTIFS(Eingabe[Name],AuswertungA[[#This Row],[Name]],Eingabe[MP],"",Eingabe[Wo],"A")))</f>
        <v>5</v>
      </c>
      <c r="F191" s="117">
        <f>IF(AuswertungA[[#This Row],[Spiele A]]=0,"",ROUND(AVERAGEIFS(Eingabe[Volle],Eingabe[Name],AuswertungA[[#This Row],[Name]],Eingabe[Wo],"A"),0))</f>
        <v>356</v>
      </c>
      <c r="G191" s="117">
        <f>IF(AuswertungA[[#This Row],[Spiele A]]=0,"",ROUND(AVERAGEIFS(Eingabe[Räumer],Eingabe[Name],AuswertungA[[#This Row],[Name]],Eingabe[Wo],"A"),0))</f>
        <v>176</v>
      </c>
      <c r="H191" s="123">
        <f>IF(AuswertungA[[#This Row],[Spiele A]]=0,"",ROUND(AVERAGEIFS(Eingabe[Fehler],Eingabe[Name],AuswertungA[[#This Row],[Name]],Eingabe[Wo],"A"),1))</f>
        <v>5.2</v>
      </c>
      <c r="I191" s="117">
        <f>IF(AuswertungA[[#This Row],[Spiele A]]=0,"",ROUND(AVERAGEIFS(Eingabe[GES],Eingabe[Name],AuswertungA[[#This Row],[Name]],Eingabe[Wo],"A"),0))</f>
        <v>532</v>
      </c>
      <c r="J191" s="123">
        <f>IF(AuswertungA[[#This Row],[Spiele MP A]]="","",ROUND(AVERAGEIFS(Eingabe[SP],Eingabe[Name],AuswertungA[[#This Row],[Name]],Eingabe[Wo],"A"),2))</f>
        <v>2.5</v>
      </c>
      <c r="K191" s="121">
        <f>IF(AuswertungA[[#This Row],[Spiele MP A]]="","",ROUND(AVERAGEIFS(Eingabe[MP],Eingabe[Name],AuswertungA[[#This Row],[Name]],Eingabe[Wo],"A"),2))</f>
        <v>0.8</v>
      </c>
      <c r="L191" s="117">
        <f>IFERROR(ROUND(AVERAGEIFS(Eingabe[S1],Eingabe[Name],AuswertungA[[#This Row],[Name]],Eingabe[Wo],"A"),0),"")</f>
        <v>136</v>
      </c>
      <c r="M191" s="268">
        <f>IFERROR(ROUND(AVERAGEIFS(Eingabe[S2],Eingabe[Name],AuswertungA[[#This Row],[Name]],Eingabe[Wo],"A"),0),"")</f>
        <v>132</v>
      </c>
      <c r="N191" s="117">
        <f>IFERROR(ROUND(AVERAGEIFS(Eingabe[S3],Eingabe[Name],AuswertungA[[#This Row],[Name]],Eingabe[Wo],"A"),0),"")</f>
        <v>130</v>
      </c>
      <c r="O191" s="268">
        <f>IFERROR(ROUND(AVERAGEIFS(Eingabe[S4],Eingabe[Name],AuswertungA[[#This Row],[Name]],Eingabe[Wo],"A"),0),"")</f>
        <v>133</v>
      </c>
      <c r="P191" s="121">
        <f>IF(AuswertungA[[#This Row],[Spiele MP A]]="","",ROUND(AVERAGEIFS(Eingabe[S1P],Eingabe[Name],AuswertungA[[#This Row],[Name]],Eingabe[Wo],"A"),2))</f>
        <v>0.6</v>
      </c>
      <c r="Q191" s="121">
        <f>IF(AuswertungA[[#This Row],[Spiele MP A]]="","",ROUND(AVERAGEIFS(Eingabe[S2P],Eingabe[Name],AuswertungA[[#This Row],[Name]],Eingabe[Wo],"A"),2))</f>
        <v>0.6</v>
      </c>
      <c r="R191" s="121">
        <f>IF(AuswertungA[[#This Row],[Spiele MP A]]="","",ROUND(AVERAGEIFS(Eingabe[S3P],Eingabe[Name],AuswertungA[[#This Row],[Name]],Eingabe[Wo],"A"),2))</f>
        <v>0.5</v>
      </c>
      <c r="S191" s="121">
        <f>IF(AuswertungA[[#This Row],[Spiele MP A]]="","",ROUND(AVERAGEIFS(Eingabe[S4P],Eingabe[Name],AuswertungA[[#This Row],[Name]],Eingabe[Wo],"A"),2))</f>
        <v>0.8</v>
      </c>
      <c r="T191" s="123" cm="1">
        <f t="array" ref="T191">IF(AuswertungA[[#This Row],[Spiele A]]="","",IF(AuswertungA[[#This Row],[Spiele A]]&lt;2,"",ROUND(SLOPE(_xlfn._xlws.FILTER(Eingabe[GES],(Eingabe[Name]=AuswertungA[[#This Row],[Name]])*(Eingabe[Wo]="A")),_xlfn._xlws.FILTER(Eingabe[KW],(Eingabe[Name]=AuswertungA[[#This Row],[Name]])*(Eingabe[Wo]="A"))),2)))</f>
        <v>0.37</v>
      </c>
      <c r="U191" s="123" cm="1">
        <f t="array" ref="U191">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-4.21</v>
      </c>
      <c r="V191" s="117" cm="1">
        <f t="array" ref="V191">IF(AuswertungA[[#This Row],[Spiele A]]="","",IF(AuswertungA[[#This Row],[Spiele A]]&lt;2,"",ROUND(_xlfn.STDEV.P(_xlfn._xlws.FILTER(Eingabe[GES],(Eingabe[Name]=AuswertungA[[#This Row],[Name]])*(Eingabe[Wo]="A"))),0)))</f>
        <v>20</v>
      </c>
      <c r="W191" s="117">
        <f>IF(AuswertungA[[#This Row],[Spiele MP A]]="","",ROUND(AVERAGEIFS(Eingabe[GEGGES],Eingabe[Name],AuswertungA[[#This Row],[Name]],Eingabe[Wo],"A"),0))</f>
        <v>519</v>
      </c>
      <c r="X191" s="123" t="str">
        <f>VLOOKUP(AuswertungA[[#This Row],[Name]],PositionA[],21,FALSE)</f>
        <v>[1][3]</v>
      </c>
      <c r="Y191" s="123">
        <f>VLOOKUP(AuswertungA[[#This Row],[Name]],PositionA[],22,FALSE)</f>
        <v>2</v>
      </c>
      <c r="Z191" s="123" t="str">
        <f>VLOOKUP(AuswertungA[[#This Row],[Name]],PositionA[],23,FALSE)</f>
        <v>[1][3]</v>
      </c>
      <c r="AA191" s="121">
        <f>IF(AuswertungA[[#This Row],[Spiele MP A]]="","",ROUND(VLOOKUP(AuswertungA[[#This Row],[Name]],PositionA[],24,FALSE),2))</f>
        <v>1</v>
      </c>
      <c r="AB191" s="123">
        <f>IFERROR(ROUND(AVERAGEIFS(Eingabe[Rang],Eingabe[Name],AuswertungA[[#This Row],[Name]],Eingabe[Wo],"A"),1),"")</f>
        <v>3.2</v>
      </c>
      <c r="AC191" s="123" cm="1">
        <f t="array" ref="AC191">IFERROR(ROUND(MEDIAN(_xlfn._xlws.FILTER(Eingabe[GES],(Eingabe[Name]=AuswertungA[[#This Row],[Name]])*(Eingabe[Wo]="A"))),0),"")</f>
        <v>526</v>
      </c>
      <c r="AD191" s="121">
        <f>IFERROR(AuswertungA[[#This Row],[STABW A]]/AuswertungA[[#This Row],[GES A]],"")</f>
        <v>3.7593984962406013E-2</v>
      </c>
      <c r="AE191" s="123" cm="1">
        <f t="array" ref="AE191">IFERROR(ROUND(_xlfn.QUARTILE.INC(_xlfn._xlws.FILTER(Eingabe[GES],(Eingabe[Name]=AuswertungA[[#This Row],[Name]])*(Eingabe[Wo]="A")),3)-_xlfn.QUARTILE.INC(_xlfn._xlws.FILTER(Eingabe[GES],(Eingabe[Name]=AuswertungA[[#This Row],[Name]])*(Eingabe[Wo]="A")),1),0),"")</f>
        <v>26</v>
      </c>
      <c r="AF191" s="123">
        <f>IFERROR(1/AuswertungA[[#This Row],[VK A]],"")</f>
        <v>26.6</v>
      </c>
      <c r="AG191" s="123">
        <f>IFERROR(AuswertungA[[#This Row],[Volle A]]/AuswertungA[[#This Row],[Räumer A]]-2,"")</f>
        <v>2.2727272727272929E-2</v>
      </c>
      <c r="AH191" s="117">
        <f>IFERROR(ROUND((AuswertungA[[#This Row],[Spiele A]]*60)/(AuswertungA[[#This Row],[Fehler A]]*AuswertungA[[#This Row],[Spiele A]]),0),"")</f>
        <v>12</v>
      </c>
      <c r="AI191" s="123" cm="1">
        <f t="array" ref="AI191">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1.5</v>
      </c>
      <c r="AJ191" s="267">
        <f>IFERROR(ROUND(AVERAGEIFS(Eingabe[MP],Eingabe[Diff],"&lt;15",Eingabe[Name],AuswertungA[[#This Row],[Name]],Eingabe[Wo],"A")-AuswertungA[[#This Row],[MP A]],2),"")</f>
        <v>0.2</v>
      </c>
      <c r="AK191" s="117" cm="1">
        <f t="array" ref="AK191">IFERROR(ROUND(AVERAGE(_xlfn._xlws.FILTER(Eingabe[GES],(Eingabe[Name]=AuswertungA[[#This Row],[Name]])*(Eingabe[Wo]="A")*(Eingabe[GEGGES]&gt;(AuswertungA[[#This Row],[GES A]]+20))))-AuswertungA[[#This Row],[GES A]],0),"")</f>
        <v>30</v>
      </c>
      <c r="AL191" s="117" cm="1">
        <f t="array" ref="AL191">IFERROR(ROUND(AVERAGE(_xlfn._xlws.FILTER(Eingabe[GES],(Eingabe[Name]=AuswertungA[[#This Row],[Name]])*(Eingabe[Wo]="A")*(Eingabe[GEGGES]&lt;(AuswertungA[[#This Row],[GES A]]-20))))-AuswertungA[[#This Row],[GES A]],0),"")</f>
        <v>-9</v>
      </c>
    </row>
    <row r="192" spans="2:38" x14ac:dyDescent="0.3">
      <c r="B192" s="118" t="str">
        <f t="shared" si="3"/>
        <v>Markus Unvericht</v>
      </c>
      <c r="C192" s="119" t="str">
        <f>IF(AuswertungA[[#This Row],[Name]]="","",VLOOKUP(AuswertungA[[#This Row],[Name]],Teamzuordnung[[Name]:[Team]],2,TRUE))</f>
        <v>D</v>
      </c>
      <c r="D192" s="122">
        <f>COUNTIFS(Eingabe[Name],AuswertungA[[#This Row],[Name]],Eingabe[Wo],"A")</f>
        <v>0</v>
      </c>
      <c r="E192" s="117" t="str">
        <f>IF(AuswertungA[[#This Row],[Spiele A]]="","",IF(AuswertungA[[#This Row],[Spiele A]]-COUNTIFS(Eingabe[Name],AuswertungA[[#This Row],[Name]],Eingabe[MP],"",Eingabe[Wo],"A")=0,"",AuswertungA[[#This Row],[Spiele A]]-COUNTIFS(Eingabe[Name],AuswertungA[[#This Row],[Name]],Eingabe[MP],"",Eingabe[Wo],"A")))</f>
        <v/>
      </c>
      <c r="F192" s="117" t="str">
        <f>IF(AuswertungA[[#This Row],[Spiele A]]=0,"",ROUND(AVERAGEIFS(Eingabe[Volle],Eingabe[Name],AuswertungA[[#This Row],[Name]],Eingabe[Wo],"A"),0))</f>
        <v/>
      </c>
      <c r="G192" s="117" t="str">
        <f>IF(AuswertungA[[#This Row],[Spiele A]]=0,"",ROUND(AVERAGEIFS(Eingabe[Räumer],Eingabe[Name],AuswertungA[[#This Row],[Name]],Eingabe[Wo],"A"),0))</f>
        <v/>
      </c>
      <c r="H192" s="123" t="str">
        <f>IF(AuswertungA[[#This Row],[Spiele A]]=0,"",ROUND(AVERAGEIFS(Eingabe[Fehler],Eingabe[Name],AuswertungA[[#This Row],[Name]],Eingabe[Wo],"A"),1))</f>
        <v/>
      </c>
      <c r="I192" s="117" t="str">
        <f>IF(AuswertungA[[#This Row],[Spiele A]]=0,"",ROUND(AVERAGEIFS(Eingabe[GES],Eingabe[Name],AuswertungA[[#This Row],[Name]],Eingabe[Wo],"A"),0))</f>
        <v/>
      </c>
      <c r="J192" s="123" t="str">
        <f>IF(AuswertungA[[#This Row],[Spiele MP A]]="","",ROUND(AVERAGEIFS(Eingabe[SP],Eingabe[Name],AuswertungA[[#This Row],[Name]],Eingabe[Wo],"A"),2))</f>
        <v/>
      </c>
      <c r="K192" s="121" t="str">
        <f>IF(AuswertungA[[#This Row],[Spiele MP A]]="","",ROUND(AVERAGEIFS(Eingabe[MP],Eingabe[Name],AuswertungA[[#This Row],[Name]],Eingabe[Wo],"A"),2))</f>
        <v/>
      </c>
      <c r="L192" s="117" t="str">
        <f>IFERROR(ROUND(AVERAGEIFS(Eingabe[S1],Eingabe[Name],AuswertungA[[#This Row],[Name]],Eingabe[Wo],"A"),0),"")</f>
        <v/>
      </c>
      <c r="M192" s="268" t="str">
        <f>IFERROR(ROUND(AVERAGEIFS(Eingabe[S2],Eingabe[Name],AuswertungA[[#This Row],[Name]],Eingabe[Wo],"A"),0),"")</f>
        <v/>
      </c>
      <c r="N192" s="117" t="str">
        <f>IFERROR(ROUND(AVERAGEIFS(Eingabe[S3],Eingabe[Name],AuswertungA[[#This Row],[Name]],Eingabe[Wo],"A"),0),"")</f>
        <v/>
      </c>
      <c r="O192" s="268" t="str">
        <f>IFERROR(ROUND(AVERAGEIFS(Eingabe[S4],Eingabe[Name],AuswertungA[[#This Row],[Name]],Eingabe[Wo],"A"),0),"")</f>
        <v/>
      </c>
      <c r="P192" s="121" t="str">
        <f>IF(AuswertungA[[#This Row],[Spiele MP A]]="","",ROUND(AVERAGEIFS(Eingabe[S1P],Eingabe[Name],AuswertungA[[#This Row],[Name]],Eingabe[Wo],"A"),2))</f>
        <v/>
      </c>
      <c r="Q192" s="121" t="str">
        <f>IF(AuswertungA[[#This Row],[Spiele MP A]]="","",ROUND(AVERAGEIFS(Eingabe[S2P],Eingabe[Name],AuswertungA[[#This Row],[Name]],Eingabe[Wo],"A"),2))</f>
        <v/>
      </c>
      <c r="R192" s="121" t="str">
        <f>IF(AuswertungA[[#This Row],[Spiele MP A]]="","",ROUND(AVERAGEIFS(Eingabe[S3P],Eingabe[Name],AuswertungA[[#This Row],[Name]],Eingabe[Wo],"A"),2))</f>
        <v/>
      </c>
      <c r="S192" s="121" t="str">
        <f>IF(AuswertungA[[#This Row],[Spiele MP A]]="","",ROUND(AVERAGEIFS(Eingabe[S4P],Eingabe[Name],AuswertungA[[#This Row],[Name]],Eingabe[Wo],"A"),2))</f>
        <v/>
      </c>
      <c r="T192" s="123" t="str" cm="1">
        <f t="array" ref="T192">IF(AuswertungA[[#This Row],[Spiele A]]="","",IF(AuswertungA[[#This Row],[Spiele A]]&lt;2,"",ROUND(SLOPE(_xlfn._xlws.FILTER(Eingabe[GES],(Eingabe[Name]=AuswertungA[[#This Row],[Name]])*(Eingabe[Wo]="A")),_xlfn._xlws.FILTER(Eingabe[KW],(Eingabe[Name]=AuswertungA[[#This Row],[Name]])*(Eingabe[Wo]="A"))),2)))</f>
        <v/>
      </c>
      <c r="U192" s="123" t="str" cm="1">
        <f t="array" ref="U192">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92" s="117" t="str" cm="1">
        <f t="array" ref="V192">IF(AuswertungA[[#This Row],[Spiele A]]="","",IF(AuswertungA[[#This Row],[Spiele A]]&lt;2,"",ROUND(_xlfn.STDEV.P(_xlfn._xlws.FILTER(Eingabe[GES],(Eingabe[Name]=AuswertungA[[#This Row],[Name]])*(Eingabe[Wo]="A"))),0)))</f>
        <v/>
      </c>
      <c r="W192" s="117" t="str">
        <f>IF(AuswertungA[[#This Row],[Spiele MP A]]="","",ROUND(AVERAGEIFS(Eingabe[GEGGES],Eingabe[Name],AuswertungA[[#This Row],[Name]],Eingabe[Wo],"A"),0))</f>
        <v/>
      </c>
      <c r="X192" s="123" t="str">
        <f>VLOOKUP(AuswertungA[[#This Row],[Name]],PositionA[],21,FALSE)</f>
        <v/>
      </c>
      <c r="Y192" s="123" t="str">
        <f>VLOOKUP(AuswertungA[[#This Row],[Name]],PositionA[],22,FALSE)</f>
        <v/>
      </c>
      <c r="Z192" s="123" t="str">
        <f>VLOOKUP(AuswertungA[[#This Row],[Name]],PositionA[],23,FALSE)</f>
        <v/>
      </c>
      <c r="AA192" s="121" t="str">
        <f>IF(AuswertungA[[#This Row],[Spiele MP A]]="","",ROUND(VLOOKUP(AuswertungA[[#This Row],[Name]],PositionA[],24,FALSE),2))</f>
        <v/>
      </c>
      <c r="AB192" s="123" t="str">
        <f>IFERROR(ROUND(AVERAGEIFS(Eingabe[Rang],Eingabe[Name],AuswertungA[[#This Row],[Name]],Eingabe[Wo],"A"),1),"")</f>
        <v/>
      </c>
      <c r="AC192" s="123" t="str" cm="1">
        <f t="array" ref="AC192">IFERROR(ROUND(MEDIAN(_xlfn._xlws.FILTER(Eingabe[GES],(Eingabe[Name]=AuswertungA[[#This Row],[Name]])*(Eingabe[Wo]="A"))),0),"")</f>
        <v/>
      </c>
      <c r="AD192" s="121" t="str">
        <f>IFERROR(AuswertungA[[#This Row],[STABW A]]/AuswertungA[[#This Row],[GES A]],"")</f>
        <v/>
      </c>
      <c r="AE192" s="123" t="str" cm="1">
        <f t="array" ref="AE192">IFERROR(ROUND(_xlfn.QUARTILE.INC(_xlfn._xlws.FILTER(Eingabe[GES],(Eingabe[Name]=AuswertungA[[#This Row],[Name]])*(Eingabe[Wo]="A")),3)-_xlfn.QUARTILE.INC(_xlfn._xlws.FILTER(Eingabe[GES],(Eingabe[Name]=AuswertungA[[#This Row],[Name]])*(Eingabe[Wo]="A")),1),0),"")</f>
        <v/>
      </c>
      <c r="AF192" s="123" t="str">
        <f>IFERROR(1/AuswertungA[[#This Row],[VK A]],"")</f>
        <v/>
      </c>
      <c r="AG192" s="123" t="str">
        <f>IFERROR(AuswertungA[[#This Row],[Volle A]]/AuswertungA[[#This Row],[Räumer A]]-2,"")</f>
        <v/>
      </c>
      <c r="AH192" s="117" t="str">
        <f>IFERROR(ROUND((AuswertungA[[#This Row],[Spiele A]]*60)/(AuswertungA[[#This Row],[Fehler A]]*AuswertungA[[#This Row],[Spiele A]]),0),"")</f>
        <v/>
      </c>
      <c r="AI192" s="123" t="str" cm="1">
        <f t="array" ref="AI192">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92" s="267" t="str">
        <f>IFERROR(ROUND(AVERAGEIFS(Eingabe[MP],Eingabe[Diff],"&lt;15",Eingabe[Name],AuswertungA[[#This Row],[Name]],Eingabe[Wo],"A")-AuswertungA[[#This Row],[MP A]],2),"")</f>
        <v/>
      </c>
      <c r="AK192" s="117" t="str" cm="1">
        <f t="array" ref="AK192">IFERROR(ROUND(AVERAGE(_xlfn._xlws.FILTER(Eingabe[GES],(Eingabe[Name]=AuswertungA[[#This Row],[Name]])*(Eingabe[Wo]="A")*(Eingabe[GEGGES]&gt;(AuswertungA[[#This Row],[GES A]]+20))))-AuswertungA[[#This Row],[GES A]],0),"")</f>
        <v/>
      </c>
      <c r="AL192" s="117" t="str" cm="1">
        <f t="array" ref="AL192">IFERROR(ROUND(AVERAGE(_xlfn._xlws.FILTER(Eingabe[GES],(Eingabe[Name]=AuswertungA[[#This Row],[Name]])*(Eingabe[Wo]="A")*(Eingabe[GEGGES]&lt;(AuswertungA[[#This Row],[GES A]]-20))))-AuswertungA[[#This Row],[GES A]],0),"")</f>
        <v/>
      </c>
    </row>
    <row r="193" spans="2:38" x14ac:dyDescent="0.3">
      <c r="B193" s="118" t="str">
        <f t="shared" si="3"/>
        <v>Martin Börner</v>
      </c>
      <c r="C193" s="119" t="str">
        <f>IF(AuswertungA[[#This Row],[Name]]="","",VLOOKUP(AuswertungA[[#This Row],[Name]],Teamzuordnung[[Name]:[Team]],2,TRUE))</f>
        <v>Z</v>
      </c>
      <c r="D193" s="120">
        <f>COUNTIFS(Eingabe[Name],AuswertungA[[#This Row],[Name]],Eingabe[Wo],"A")</f>
        <v>0</v>
      </c>
      <c r="E193" s="116" t="str">
        <f>IF(AuswertungA[[#This Row],[Spiele A]]="","",IF(AuswertungA[[#This Row],[Spiele A]]-COUNTIFS(Eingabe[Name],AuswertungA[[#This Row],[Name]],Eingabe[MP],"",Eingabe[Wo],"A")=0,"",AuswertungA[[#This Row],[Spiele A]]-COUNTIFS(Eingabe[Name],AuswertungA[[#This Row],[Name]],Eingabe[MP],"",Eingabe[Wo],"A")))</f>
        <v/>
      </c>
      <c r="F193" s="117" t="str">
        <f>IF(AuswertungA[[#This Row],[Spiele A]]=0,"",ROUND(AVERAGEIFS(Eingabe[Volle],Eingabe[Name],AuswertungA[[#This Row],[Name]],Eingabe[Wo],"A"),0))</f>
        <v/>
      </c>
      <c r="G193" s="117" t="str">
        <f>IF(AuswertungA[[#This Row],[Spiele A]]=0,"",ROUND(AVERAGEIFS(Eingabe[Räumer],Eingabe[Name],AuswertungA[[#This Row],[Name]],Eingabe[Wo],"A"),0))</f>
        <v/>
      </c>
      <c r="H193" s="123" t="str">
        <f>IF(AuswertungA[[#This Row],[Spiele A]]=0,"",ROUND(AVERAGEIFS(Eingabe[Fehler],Eingabe[Name],AuswertungA[[#This Row],[Name]],Eingabe[Wo],"A"),1))</f>
        <v/>
      </c>
      <c r="I193" s="117" t="str">
        <f>IF(AuswertungA[[#This Row],[Spiele A]]=0,"",ROUND(AVERAGEIFS(Eingabe[GES],Eingabe[Name],AuswertungA[[#This Row],[Name]],Eingabe[Wo],"A"),0))</f>
        <v/>
      </c>
      <c r="J193" s="123" t="str">
        <f>IF(AuswertungA[[#This Row],[Spiele MP A]]="","",ROUND(AVERAGEIFS(Eingabe[SP],Eingabe[Name],AuswertungA[[#This Row],[Name]],Eingabe[Wo],"A"),2))</f>
        <v/>
      </c>
      <c r="K193" s="121" t="str">
        <f>IF(AuswertungA[[#This Row],[Spiele MP A]]="","",ROUND(AVERAGEIFS(Eingabe[MP],Eingabe[Name],AuswertungA[[#This Row],[Name]],Eingabe[Wo],"A"),2))</f>
        <v/>
      </c>
      <c r="L193" s="117" t="str">
        <f>IFERROR(ROUND(AVERAGEIFS(Eingabe[S1],Eingabe[Name],AuswertungA[[#This Row],[Name]],Eingabe[Wo],"A"),0),"")</f>
        <v/>
      </c>
      <c r="M193" s="268" t="str">
        <f>IFERROR(ROUND(AVERAGEIFS(Eingabe[S2],Eingabe[Name],AuswertungA[[#This Row],[Name]],Eingabe[Wo],"A"),0),"")</f>
        <v/>
      </c>
      <c r="N193" s="117" t="str">
        <f>IFERROR(ROUND(AVERAGEIFS(Eingabe[S3],Eingabe[Name],AuswertungA[[#This Row],[Name]],Eingabe[Wo],"A"),0),"")</f>
        <v/>
      </c>
      <c r="O193" s="268" t="str">
        <f>IFERROR(ROUND(AVERAGEIFS(Eingabe[S4],Eingabe[Name],AuswertungA[[#This Row],[Name]],Eingabe[Wo],"A"),0),"")</f>
        <v/>
      </c>
      <c r="P193" s="121" t="str">
        <f>IF(AuswertungA[[#This Row],[Spiele MP A]]="","",ROUND(AVERAGEIFS(Eingabe[S1P],Eingabe[Name],AuswertungA[[#This Row],[Name]],Eingabe[Wo],"A"),2))</f>
        <v/>
      </c>
      <c r="Q193" s="121" t="str">
        <f>IF(AuswertungA[[#This Row],[Spiele MP A]]="","",ROUND(AVERAGEIFS(Eingabe[S2P],Eingabe[Name],AuswertungA[[#This Row],[Name]],Eingabe[Wo],"A"),2))</f>
        <v/>
      </c>
      <c r="R193" s="121" t="str">
        <f>IF(AuswertungA[[#This Row],[Spiele MP A]]="","",ROUND(AVERAGEIFS(Eingabe[S3P],Eingabe[Name],AuswertungA[[#This Row],[Name]],Eingabe[Wo],"A"),2))</f>
        <v/>
      </c>
      <c r="S193" s="121" t="str">
        <f>IF(AuswertungA[[#This Row],[Spiele MP A]]="","",ROUND(AVERAGEIFS(Eingabe[S4P],Eingabe[Name],AuswertungA[[#This Row],[Name]],Eingabe[Wo],"A"),2))</f>
        <v/>
      </c>
      <c r="T193" s="123" t="str" cm="1">
        <f t="array" ref="T193">IF(AuswertungA[[#This Row],[Spiele A]]="","",IF(AuswertungA[[#This Row],[Spiele A]]&lt;2,"",ROUND(SLOPE(_xlfn._xlws.FILTER(Eingabe[GES],(Eingabe[Name]=AuswertungA[[#This Row],[Name]])*(Eingabe[Wo]="A")),_xlfn._xlws.FILTER(Eingabe[KW],(Eingabe[Name]=AuswertungA[[#This Row],[Name]])*(Eingabe[Wo]="A"))),2)))</f>
        <v/>
      </c>
      <c r="U193" s="123" t="str" cm="1">
        <f t="array" ref="U193">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93" s="117" t="str" cm="1">
        <f t="array" ref="V193">IF(AuswertungA[[#This Row],[Spiele A]]="","",IF(AuswertungA[[#This Row],[Spiele A]]&lt;2,"",ROUND(_xlfn.STDEV.P(_xlfn._xlws.FILTER(Eingabe[GES],(Eingabe[Name]=AuswertungA[[#This Row],[Name]])*(Eingabe[Wo]="A"))),0)))</f>
        <v/>
      </c>
      <c r="W193" s="117" t="str">
        <f>IF(AuswertungA[[#This Row],[Spiele MP A]]="","",ROUND(AVERAGEIFS(Eingabe[GEGGES],Eingabe[Name],AuswertungA[[#This Row],[Name]],Eingabe[Wo],"A"),0))</f>
        <v/>
      </c>
      <c r="X193" s="116" t="str">
        <f>VLOOKUP(AuswertungA[[#This Row],[Name]],PositionA[],21,FALSE)</f>
        <v/>
      </c>
      <c r="Y193" s="116" t="str">
        <f>VLOOKUP(AuswertungA[[#This Row],[Name]],PositionA[],22,FALSE)</f>
        <v/>
      </c>
      <c r="Z193" s="116" t="str">
        <f>VLOOKUP(AuswertungA[[#This Row],[Name]],PositionA[],23,FALSE)</f>
        <v/>
      </c>
      <c r="AA193" s="121" t="str">
        <f>IF(AuswertungA[[#This Row],[Spiele MP A]]="","",ROUND(VLOOKUP(AuswertungA[[#This Row],[Name]],PositionA[],24,FALSE),2))</f>
        <v/>
      </c>
      <c r="AB193" s="123" t="str">
        <f>IFERROR(ROUND(AVERAGEIFS(Eingabe[Rang],Eingabe[Name],AuswertungA[[#This Row],[Name]],Eingabe[Wo],"A"),1),"")</f>
        <v/>
      </c>
      <c r="AC193" s="123" t="str" cm="1">
        <f t="array" ref="AC193">IFERROR(ROUND(MEDIAN(_xlfn._xlws.FILTER(Eingabe[GES],(Eingabe[Name]=AuswertungA[[#This Row],[Name]])*(Eingabe[Wo]="A"))),0),"")</f>
        <v/>
      </c>
      <c r="AD193" s="121" t="str">
        <f>IFERROR(AuswertungA[[#This Row],[STABW A]]/AuswertungA[[#This Row],[GES A]],"")</f>
        <v/>
      </c>
      <c r="AE193" s="123" t="str" cm="1">
        <f t="array" ref="AE193">IFERROR(ROUND(_xlfn.QUARTILE.INC(_xlfn._xlws.FILTER(Eingabe[GES],(Eingabe[Name]=AuswertungA[[#This Row],[Name]])*(Eingabe[Wo]="A")),3)-_xlfn.QUARTILE.INC(_xlfn._xlws.FILTER(Eingabe[GES],(Eingabe[Name]=AuswertungA[[#This Row],[Name]])*(Eingabe[Wo]="A")),1),0),"")</f>
        <v/>
      </c>
      <c r="AF193" s="123" t="str">
        <f>IFERROR(1/AuswertungA[[#This Row],[VK A]],"")</f>
        <v/>
      </c>
      <c r="AG193" s="123" t="str">
        <f>IFERROR(AuswertungA[[#This Row],[Volle A]]/AuswertungA[[#This Row],[Räumer A]]-2,"")</f>
        <v/>
      </c>
      <c r="AH193" s="117" t="str">
        <f>IFERROR(ROUND((AuswertungA[[#This Row],[Spiele A]]*60)/(AuswertungA[[#This Row],[Fehler A]]*AuswertungA[[#This Row],[Spiele A]]),0),"")</f>
        <v/>
      </c>
      <c r="AI193" s="123" t="str" cm="1">
        <f t="array" ref="AI193">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93" s="267" t="str">
        <f>IFERROR(ROUND(AVERAGEIFS(Eingabe[MP],Eingabe[Diff],"&lt;15",Eingabe[Name],AuswertungA[[#This Row],[Name]],Eingabe[Wo],"A")-AuswertungA[[#This Row],[MP A]],2),"")</f>
        <v/>
      </c>
      <c r="AK193" s="117" t="str" cm="1">
        <f t="array" ref="AK193">IFERROR(ROUND(AVERAGE(_xlfn._xlws.FILTER(Eingabe[GES],(Eingabe[Name]=AuswertungA[[#This Row],[Name]])*(Eingabe[Wo]="A")*(Eingabe[GEGGES]&gt;(AuswertungA[[#This Row],[GES A]]+20))))-AuswertungA[[#This Row],[GES A]],0),"")</f>
        <v/>
      </c>
      <c r="AL193" s="117" t="str" cm="1">
        <f t="array" ref="AL193">IFERROR(ROUND(AVERAGE(_xlfn._xlws.FILTER(Eingabe[GES],(Eingabe[Name]=AuswertungA[[#This Row],[Name]])*(Eingabe[Wo]="A")*(Eingabe[GEGGES]&lt;(AuswertungA[[#This Row],[GES A]]-20))))-AuswertungA[[#This Row],[GES A]],0),"")</f>
        <v/>
      </c>
    </row>
    <row r="194" spans="2:38" x14ac:dyDescent="0.3">
      <c r="B194" s="118" t="str">
        <f t="shared" si="3"/>
        <v>Max Dost</v>
      </c>
      <c r="C194" s="119" t="str">
        <f>IF(AuswertungA[[#This Row],[Name]]="","",VLOOKUP(AuswertungA[[#This Row],[Name]],Teamzuordnung[[Name]:[Team]],2,TRUE))</f>
        <v>D</v>
      </c>
      <c r="D194" s="122">
        <f>COUNTIFS(Eingabe[Name],AuswertungA[[#This Row],[Name]],Eingabe[Wo],"A")</f>
        <v>0</v>
      </c>
      <c r="E194" s="117" t="str">
        <f>IF(AuswertungA[[#This Row],[Spiele A]]="","",IF(AuswertungA[[#This Row],[Spiele A]]-COUNTIFS(Eingabe[Name],AuswertungA[[#This Row],[Name]],Eingabe[MP],"",Eingabe[Wo],"A")=0,"",AuswertungA[[#This Row],[Spiele A]]-COUNTIFS(Eingabe[Name],AuswertungA[[#This Row],[Name]],Eingabe[MP],"",Eingabe[Wo],"A")))</f>
        <v/>
      </c>
      <c r="F194" s="117" t="str">
        <f>IF(AuswertungA[[#This Row],[Spiele A]]=0,"",ROUND(AVERAGEIFS(Eingabe[Volle],Eingabe[Name],AuswertungA[[#This Row],[Name]],Eingabe[Wo],"A"),0))</f>
        <v/>
      </c>
      <c r="G194" s="117" t="str">
        <f>IF(AuswertungA[[#This Row],[Spiele A]]=0,"",ROUND(AVERAGEIFS(Eingabe[Räumer],Eingabe[Name],AuswertungA[[#This Row],[Name]],Eingabe[Wo],"A"),0))</f>
        <v/>
      </c>
      <c r="H194" s="123" t="str">
        <f>IF(AuswertungA[[#This Row],[Spiele A]]=0,"",ROUND(AVERAGEIFS(Eingabe[Fehler],Eingabe[Name],AuswertungA[[#This Row],[Name]],Eingabe[Wo],"A"),1))</f>
        <v/>
      </c>
      <c r="I194" s="117" t="str">
        <f>IF(AuswertungA[[#This Row],[Spiele A]]=0,"",ROUND(AVERAGEIFS(Eingabe[GES],Eingabe[Name],AuswertungA[[#This Row],[Name]],Eingabe[Wo],"A"),0))</f>
        <v/>
      </c>
      <c r="J194" s="123" t="str">
        <f>IF(AuswertungA[[#This Row],[Spiele MP A]]="","",ROUND(AVERAGEIFS(Eingabe[SP],Eingabe[Name],AuswertungA[[#This Row],[Name]],Eingabe[Wo],"A"),2))</f>
        <v/>
      </c>
      <c r="K194" s="121" t="str">
        <f>IF(AuswertungA[[#This Row],[Spiele MP A]]="","",ROUND(AVERAGEIFS(Eingabe[MP],Eingabe[Name],AuswertungA[[#This Row],[Name]],Eingabe[Wo],"A"),2))</f>
        <v/>
      </c>
      <c r="L194" s="117" t="str">
        <f>IFERROR(ROUND(AVERAGEIFS(Eingabe[S1],Eingabe[Name],AuswertungA[[#This Row],[Name]],Eingabe[Wo],"A"),0),"")</f>
        <v/>
      </c>
      <c r="M194" s="268" t="str">
        <f>IFERROR(ROUND(AVERAGEIFS(Eingabe[S2],Eingabe[Name],AuswertungA[[#This Row],[Name]],Eingabe[Wo],"A"),0),"")</f>
        <v/>
      </c>
      <c r="N194" s="117" t="str">
        <f>IFERROR(ROUND(AVERAGEIFS(Eingabe[S3],Eingabe[Name],AuswertungA[[#This Row],[Name]],Eingabe[Wo],"A"),0),"")</f>
        <v/>
      </c>
      <c r="O194" s="268" t="str">
        <f>IFERROR(ROUND(AVERAGEIFS(Eingabe[S4],Eingabe[Name],AuswertungA[[#This Row],[Name]],Eingabe[Wo],"A"),0),"")</f>
        <v/>
      </c>
      <c r="P194" s="121" t="str">
        <f>IF(AuswertungA[[#This Row],[Spiele MP A]]="","",ROUND(AVERAGEIFS(Eingabe[S1P],Eingabe[Name],AuswertungA[[#This Row],[Name]],Eingabe[Wo],"A"),2))</f>
        <v/>
      </c>
      <c r="Q194" s="121" t="str">
        <f>IF(AuswertungA[[#This Row],[Spiele MP A]]="","",ROUND(AVERAGEIFS(Eingabe[S2P],Eingabe[Name],AuswertungA[[#This Row],[Name]],Eingabe[Wo],"A"),2))</f>
        <v/>
      </c>
      <c r="R194" s="121" t="str">
        <f>IF(AuswertungA[[#This Row],[Spiele MP A]]="","",ROUND(AVERAGEIFS(Eingabe[S3P],Eingabe[Name],AuswertungA[[#This Row],[Name]],Eingabe[Wo],"A"),2))</f>
        <v/>
      </c>
      <c r="S194" s="121" t="str">
        <f>IF(AuswertungA[[#This Row],[Spiele MP A]]="","",ROUND(AVERAGEIFS(Eingabe[S4P],Eingabe[Name],AuswertungA[[#This Row],[Name]],Eingabe[Wo],"A"),2))</f>
        <v/>
      </c>
      <c r="T194" s="123" t="str" cm="1">
        <f t="array" ref="T194">IF(AuswertungA[[#This Row],[Spiele A]]="","",IF(AuswertungA[[#This Row],[Spiele A]]&lt;2,"",ROUND(SLOPE(_xlfn._xlws.FILTER(Eingabe[GES],(Eingabe[Name]=AuswertungA[[#This Row],[Name]])*(Eingabe[Wo]="A")),_xlfn._xlws.FILTER(Eingabe[KW],(Eingabe[Name]=AuswertungA[[#This Row],[Name]])*(Eingabe[Wo]="A"))),2)))</f>
        <v/>
      </c>
      <c r="U194" s="123" t="str" cm="1">
        <f t="array" ref="U194">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94" s="117" t="str" cm="1">
        <f t="array" ref="V194">IF(AuswertungA[[#This Row],[Spiele A]]="","",IF(AuswertungA[[#This Row],[Spiele A]]&lt;2,"",ROUND(_xlfn.STDEV.P(_xlfn._xlws.FILTER(Eingabe[GES],(Eingabe[Name]=AuswertungA[[#This Row],[Name]])*(Eingabe[Wo]="A"))),0)))</f>
        <v/>
      </c>
      <c r="W194" s="117" t="str">
        <f>IF(AuswertungA[[#This Row],[Spiele MP A]]="","",ROUND(AVERAGEIFS(Eingabe[GEGGES],Eingabe[Name],AuswertungA[[#This Row],[Name]],Eingabe[Wo],"A"),0))</f>
        <v/>
      </c>
      <c r="X194" s="123" t="str">
        <f>VLOOKUP(AuswertungA[[#This Row],[Name]],PositionA[],21,FALSE)</f>
        <v/>
      </c>
      <c r="Y194" s="123" t="str">
        <f>VLOOKUP(AuswertungA[[#This Row],[Name]],PositionA[],22,FALSE)</f>
        <v/>
      </c>
      <c r="Z194" s="123" t="str">
        <f>VLOOKUP(AuswertungA[[#This Row],[Name]],PositionA[],23,FALSE)</f>
        <v/>
      </c>
      <c r="AA194" s="121" t="str">
        <f>IF(AuswertungA[[#This Row],[Spiele MP A]]="","",ROUND(VLOOKUP(AuswertungA[[#This Row],[Name]],PositionA[],24,FALSE),2))</f>
        <v/>
      </c>
      <c r="AB194" s="123" t="str">
        <f>IFERROR(ROUND(AVERAGEIFS(Eingabe[Rang],Eingabe[Name],AuswertungA[[#This Row],[Name]],Eingabe[Wo],"A"),1),"")</f>
        <v/>
      </c>
      <c r="AC194" s="123" t="str" cm="1">
        <f t="array" ref="AC194">IFERROR(ROUND(MEDIAN(_xlfn._xlws.FILTER(Eingabe[GES],(Eingabe[Name]=AuswertungA[[#This Row],[Name]])*(Eingabe[Wo]="A"))),0),"")</f>
        <v/>
      </c>
      <c r="AD194" s="121" t="str">
        <f>IFERROR(AuswertungA[[#This Row],[STABW A]]/AuswertungA[[#This Row],[GES A]],"")</f>
        <v/>
      </c>
      <c r="AE194" s="123" t="str" cm="1">
        <f t="array" ref="AE194">IFERROR(ROUND(_xlfn.QUARTILE.INC(_xlfn._xlws.FILTER(Eingabe[GES],(Eingabe[Name]=AuswertungA[[#This Row],[Name]])*(Eingabe[Wo]="A")),3)-_xlfn.QUARTILE.INC(_xlfn._xlws.FILTER(Eingabe[GES],(Eingabe[Name]=AuswertungA[[#This Row],[Name]])*(Eingabe[Wo]="A")),1),0),"")</f>
        <v/>
      </c>
      <c r="AF194" s="123" t="str">
        <f>IFERROR(1/AuswertungA[[#This Row],[VK A]],"")</f>
        <v/>
      </c>
      <c r="AG194" s="123" t="str">
        <f>IFERROR(AuswertungA[[#This Row],[Volle A]]/AuswertungA[[#This Row],[Räumer A]]-2,"")</f>
        <v/>
      </c>
      <c r="AH194" s="117" t="str">
        <f>IFERROR(ROUND((AuswertungA[[#This Row],[Spiele A]]*60)/(AuswertungA[[#This Row],[Fehler A]]*AuswertungA[[#This Row],[Spiele A]]),0),"")</f>
        <v/>
      </c>
      <c r="AI194" s="123" t="str" cm="1">
        <f t="array" ref="AI194">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94" s="267" t="str">
        <f>IFERROR(ROUND(AVERAGEIFS(Eingabe[MP],Eingabe[Diff],"&lt;15",Eingabe[Name],AuswertungA[[#This Row],[Name]],Eingabe[Wo],"A")-AuswertungA[[#This Row],[MP A]],2),"")</f>
        <v/>
      </c>
      <c r="AK194" s="117" t="str" cm="1">
        <f t="array" ref="AK194">IFERROR(ROUND(AVERAGE(_xlfn._xlws.FILTER(Eingabe[GES],(Eingabe[Name]=AuswertungA[[#This Row],[Name]])*(Eingabe[Wo]="A")*(Eingabe[GEGGES]&gt;(AuswertungA[[#This Row],[GES A]]+20))))-AuswertungA[[#This Row],[GES A]],0),"")</f>
        <v/>
      </c>
      <c r="AL194" s="117" t="str" cm="1">
        <f t="array" ref="AL194">IFERROR(ROUND(AVERAGE(_xlfn._xlws.FILTER(Eingabe[GES],(Eingabe[Name]=AuswertungA[[#This Row],[Name]])*(Eingabe[Wo]="A")*(Eingabe[GEGGES]&lt;(AuswertungA[[#This Row],[GES A]]-20))))-AuswertungA[[#This Row],[GES A]],0),"")</f>
        <v/>
      </c>
    </row>
    <row r="195" spans="2:38" x14ac:dyDescent="0.3">
      <c r="B195" s="118" t="str">
        <f t="shared" si="3"/>
        <v>Michael Becker</v>
      </c>
      <c r="C195" s="119" t="str">
        <f>IF(AuswertungA[[#This Row],[Name]]="","",VLOOKUP(AuswertungA[[#This Row],[Name]],Teamzuordnung[[Name]:[Team]],2,TRUE))</f>
        <v>D</v>
      </c>
      <c r="D195" s="122">
        <f>COUNTIFS(Eingabe[Name],AuswertungA[[#This Row],[Name]],Eingabe[Wo],"A")</f>
        <v>0</v>
      </c>
      <c r="E195" s="117" t="str">
        <f>IF(AuswertungA[[#This Row],[Spiele A]]="","",IF(AuswertungA[[#This Row],[Spiele A]]-COUNTIFS(Eingabe[Name],AuswertungA[[#This Row],[Name]],Eingabe[MP],"",Eingabe[Wo],"A")=0,"",AuswertungA[[#This Row],[Spiele A]]-COUNTIFS(Eingabe[Name],AuswertungA[[#This Row],[Name]],Eingabe[MP],"",Eingabe[Wo],"A")))</f>
        <v/>
      </c>
      <c r="F195" s="117" t="str">
        <f>IF(AuswertungA[[#This Row],[Spiele A]]=0,"",ROUND(AVERAGEIFS(Eingabe[Volle],Eingabe[Name],AuswertungA[[#This Row],[Name]],Eingabe[Wo],"A"),0))</f>
        <v/>
      </c>
      <c r="G195" s="117" t="str">
        <f>IF(AuswertungA[[#This Row],[Spiele A]]=0,"",ROUND(AVERAGEIFS(Eingabe[Räumer],Eingabe[Name],AuswertungA[[#This Row],[Name]],Eingabe[Wo],"A"),0))</f>
        <v/>
      </c>
      <c r="H195" s="123" t="str">
        <f>IF(AuswertungA[[#This Row],[Spiele A]]=0,"",ROUND(AVERAGEIFS(Eingabe[Fehler],Eingabe[Name],AuswertungA[[#This Row],[Name]],Eingabe[Wo],"A"),1))</f>
        <v/>
      </c>
      <c r="I195" s="117" t="str">
        <f>IF(AuswertungA[[#This Row],[Spiele A]]=0,"",ROUND(AVERAGEIFS(Eingabe[GES],Eingabe[Name],AuswertungA[[#This Row],[Name]],Eingabe[Wo],"A"),0))</f>
        <v/>
      </c>
      <c r="J195" s="123" t="str">
        <f>IF(AuswertungA[[#This Row],[Spiele MP A]]="","",ROUND(AVERAGEIFS(Eingabe[SP],Eingabe[Name],AuswertungA[[#This Row],[Name]],Eingabe[Wo],"A"),2))</f>
        <v/>
      </c>
      <c r="K195" s="121" t="str">
        <f>IF(AuswertungA[[#This Row],[Spiele MP A]]="","",ROUND(AVERAGEIFS(Eingabe[MP],Eingabe[Name],AuswertungA[[#This Row],[Name]],Eingabe[Wo],"A"),2))</f>
        <v/>
      </c>
      <c r="L195" s="117" t="str">
        <f>IFERROR(ROUND(AVERAGEIFS(Eingabe[S1],Eingabe[Name],AuswertungA[[#This Row],[Name]],Eingabe[Wo],"A"),0),"")</f>
        <v/>
      </c>
      <c r="M195" s="268" t="str">
        <f>IFERROR(ROUND(AVERAGEIFS(Eingabe[S2],Eingabe[Name],AuswertungA[[#This Row],[Name]],Eingabe[Wo],"A"),0),"")</f>
        <v/>
      </c>
      <c r="N195" s="117" t="str">
        <f>IFERROR(ROUND(AVERAGEIFS(Eingabe[S3],Eingabe[Name],AuswertungA[[#This Row],[Name]],Eingabe[Wo],"A"),0),"")</f>
        <v/>
      </c>
      <c r="O195" s="268" t="str">
        <f>IFERROR(ROUND(AVERAGEIFS(Eingabe[S4],Eingabe[Name],AuswertungA[[#This Row],[Name]],Eingabe[Wo],"A"),0),"")</f>
        <v/>
      </c>
      <c r="P195" s="121" t="str">
        <f>IF(AuswertungA[[#This Row],[Spiele MP A]]="","",ROUND(AVERAGEIFS(Eingabe[S1P],Eingabe[Name],AuswertungA[[#This Row],[Name]],Eingabe[Wo],"A"),2))</f>
        <v/>
      </c>
      <c r="Q195" s="121" t="str">
        <f>IF(AuswertungA[[#This Row],[Spiele MP A]]="","",ROUND(AVERAGEIFS(Eingabe[S2P],Eingabe[Name],AuswertungA[[#This Row],[Name]],Eingabe[Wo],"A"),2))</f>
        <v/>
      </c>
      <c r="R195" s="121" t="str">
        <f>IF(AuswertungA[[#This Row],[Spiele MP A]]="","",ROUND(AVERAGEIFS(Eingabe[S3P],Eingabe[Name],AuswertungA[[#This Row],[Name]],Eingabe[Wo],"A"),2))</f>
        <v/>
      </c>
      <c r="S195" s="121" t="str">
        <f>IF(AuswertungA[[#This Row],[Spiele MP A]]="","",ROUND(AVERAGEIFS(Eingabe[S4P],Eingabe[Name],AuswertungA[[#This Row],[Name]],Eingabe[Wo],"A"),2))</f>
        <v/>
      </c>
      <c r="T195" s="123" t="str" cm="1">
        <f t="array" ref="T195">IF(AuswertungA[[#This Row],[Spiele A]]="","",IF(AuswertungA[[#This Row],[Spiele A]]&lt;2,"",ROUND(SLOPE(_xlfn._xlws.FILTER(Eingabe[GES],(Eingabe[Name]=AuswertungA[[#This Row],[Name]])*(Eingabe[Wo]="A")),_xlfn._xlws.FILTER(Eingabe[KW],(Eingabe[Name]=AuswertungA[[#This Row],[Name]])*(Eingabe[Wo]="A"))),2)))</f>
        <v/>
      </c>
      <c r="U195" s="123" t="str" cm="1">
        <f t="array" ref="U195">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95" s="117" t="str" cm="1">
        <f t="array" ref="V195">IF(AuswertungA[[#This Row],[Spiele A]]="","",IF(AuswertungA[[#This Row],[Spiele A]]&lt;2,"",ROUND(_xlfn.STDEV.P(_xlfn._xlws.FILTER(Eingabe[GES],(Eingabe[Name]=AuswertungA[[#This Row],[Name]])*(Eingabe[Wo]="A"))),0)))</f>
        <v/>
      </c>
      <c r="W195" s="117" t="str">
        <f>IF(AuswertungA[[#This Row],[Spiele MP A]]="","",ROUND(AVERAGEIFS(Eingabe[GEGGES],Eingabe[Name],AuswertungA[[#This Row],[Name]],Eingabe[Wo],"A"),0))</f>
        <v/>
      </c>
      <c r="X195" s="123" t="str">
        <f>VLOOKUP(AuswertungA[[#This Row],[Name]],PositionA[],21,FALSE)</f>
        <v/>
      </c>
      <c r="Y195" s="123" t="str">
        <f>VLOOKUP(AuswertungA[[#This Row],[Name]],PositionA[],22,FALSE)</f>
        <v/>
      </c>
      <c r="Z195" s="123" t="str">
        <f>VLOOKUP(AuswertungA[[#This Row],[Name]],PositionA[],23,FALSE)</f>
        <v/>
      </c>
      <c r="AA195" s="121" t="str">
        <f>IF(AuswertungA[[#This Row],[Spiele MP A]]="","",ROUND(VLOOKUP(AuswertungA[[#This Row],[Name]],PositionA[],24,FALSE),2))</f>
        <v/>
      </c>
      <c r="AB195" s="123" t="str">
        <f>IFERROR(ROUND(AVERAGEIFS(Eingabe[Rang],Eingabe[Name],AuswertungA[[#This Row],[Name]],Eingabe[Wo],"A"),1),"")</f>
        <v/>
      </c>
      <c r="AC195" s="123" t="str" cm="1">
        <f t="array" ref="AC195">IFERROR(ROUND(MEDIAN(_xlfn._xlws.FILTER(Eingabe[GES],(Eingabe[Name]=AuswertungA[[#This Row],[Name]])*(Eingabe[Wo]="A"))),0),"")</f>
        <v/>
      </c>
      <c r="AD195" s="121" t="str">
        <f>IFERROR(AuswertungA[[#This Row],[STABW A]]/AuswertungA[[#This Row],[GES A]],"")</f>
        <v/>
      </c>
      <c r="AE195" s="123" t="str" cm="1">
        <f t="array" ref="AE195">IFERROR(ROUND(_xlfn.QUARTILE.INC(_xlfn._xlws.FILTER(Eingabe[GES],(Eingabe[Name]=AuswertungA[[#This Row],[Name]])*(Eingabe[Wo]="A")),3)-_xlfn.QUARTILE.INC(_xlfn._xlws.FILTER(Eingabe[GES],(Eingabe[Name]=AuswertungA[[#This Row],[Name]])*(Eingabe[Wo]="A")),1),0),"")</f>
        <v/>
      </c>
      <c r="AF195" s="123" t="str">
        <f>IFERROR(1/AuswertungA[[#This Row],[VK A]],"")</f>
        <v/>
      </c>
      <c r="AG195" s="123" t="str">
        <f>IFERROR(AuswertungA[[#This Row],[Volle A]]/AuswertungA[[#This Row],[Räumer A]]-2,"")</f>
        <v/>
      </c>
      <c r="AH195" s="117" t="str">
        <f>IFERROR(ROUND((AuswertungA[[#This Row],[Spiele A]]*60)/(AuswertungA[[#This Row],[Fehler A]]*AuswertungA[[#This Row],[Spiele A]]),0),"")</f>
        <v/>
      </c>
      <c r="AI195" s="123" t="str" cm="1">
        <f t="array" ref="AI195">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95" s="267" t="str">
        <f>IFERROR(ROUND(AVERAGEIFS(Eingabe[MP],Eingabe[Diff],"&lt;15",Eingabe[Name],AuswertungA[[#This Row],[Name]],Eingabe[Wo],"A")-AuswertungA[[#This Row],[MP A]],2),"")</f>
        <v/>
      </c>
      <c r="AK195" s="117" t="str" cm="1">
        <f t="array" ref="AK195">IFERROR(ROUND(AVERAGE(_xlfn._xlws.FILTER(Eingabe[GES],(Eingabe[Name]=AuswertungA[[#This Row],[Name]])*(Eingabe[Wo]="A")*(Eingabe[GEGGES]&gt;(AuswertungA[[#This Row],[GES A]]+20))))-AuswertungA[[#This Row],[GES A]],0),"")</f>
        <v/>
      </c>
      <c r="AL195" s="117" t="str" cm="1">
        <f t="array" ref="AL195">IFERROR(ROUND(AVERAGE(_xlfn._xlws.FILTER(Eingabe[GES],(Eingabe[Name]=AuswertungA[[#This Row],[Name]])*(Eingabe[Wo]="A")*(Eingabe[GEGGES]&lt;(AuswertungA[[#This Row],[GES A]]-20))))-AuswertungA[[#This Row],[GES A]],0),"")</f>
        <v/>
      </c>
    </row>
    <row r="196" spans="2:38" x14ac:dyDescent="0.3">
      <c r="B196" s="118" t="str">
        <f t="shared" si="3"/>
        <v>Michael Klose</v>
      </c>
      <c r="C196" s="119" t="str">
        <f>IF(AuswertungA[[#This Row],[Name]]="","",VLOOKUP(AuswertungA[[#This Row],[Name]],Teamzuordnung[[Name]:[Team]],2,TRUE))</f>
        <v>D</v>
      </c>
      <c r="D196" s="120">
        <f>COUNTIFS(Eingabe[Name],AuswertungA[[#This Row],[Name]],Eingabe[Wo],"A")</f>
        <v>0</v>
      </c>
      <c r="E196" s="116" t="str">
        <f>IF(AuswertungA[[#This Row],[Spiele A]]="","",IF(AuswertungA[[#This Row],[Spiele A]]-COUNTIFS(Eingabe[Name],AuswertungA[[#This Row],[Name]],Eingabe[MP],"",Eingabe[Wo],"A")=0,"",AuswertungA[[#This Row],[Spiele A]]-COUNTIFS(Eingabe[Name],AuswertungA[[#This Row],[Name]],Eingabe[MP],"",Eingabe[Wo],"A")))</f>
        <v/>
      </c>
      <c r="F196" s="117" t="str">
        <f>IF(AuswertungA[[#This Row],[Spiele A]]=0,"",ROUND(AVERAGEIFS(Eingabe[Volle],Eingabe[Name],AuswertungA[[#This Row],[Name]],Eingabe[Wo],"A"),0))</f>
        <v/>
      </c>
      <c r="G196" s="117" t="str">
        <f>IF(AuswertungA[[#This Row],[Spiele A]]=0,"",ROUND(AVERAGEIFS(Eingabe[Räumer],Eingabe[Name],AuswertungA[[#This Row],[Name]],Eingabe[Wo],"A"),0))</f>
        <v/>
      </c>
      <c r="H196" s="123" t="str">
        <f>IF(AuswertungA[[#This Row],[Spiele A]]=0,"",ROUND(AVERAGEIFS(Eingabe[Fehler],Eingabe[Name],AuswertungA[[#This Row],[Name]],Eingabe[Wo],"A"),1))</f>
        <v/>
      </c>
      <c r="I196" s="117" t="str">
        <f>IF(AuswertungA[[#This Row],[Spiele A]]=0,"",ROUND(AVERAGEIFS(Eingabe[GES],Eingabe[Name],AuswertungA[[#This Row],[Name]],Eingabe[Wo],"A"),0))</f>
        <v/>
      </c>
      <c r="J196" s="123" t="str">
        <f>IF(AuswertungA[[#This Row],[Spiele MP A]]="","",ROUND(AVERAGEIFS(Eingabe[SP],Eingabe[Name],AuswertungA[[#This Row],[Name]],Eingabe[Wo],"A"),2))</f>
        <v/>
      </c>
      <c r="K196" s="121" t="str">
        <f>IF(AuswertungA[[#This Row],[Spiele MP A]]="","",ROUND(AVERAGEIFS(Eingabe[MP],Eingabe[Name],AuswertungA[[#This Row],[Name]],Eingabe[Wo],"A"),2))</f>
        <v/>
      </c>
      <c r="L196" s="117" t="str">
        <f>IFERROR(ROUND(AVERAGEIFS(Eingabe[S1],Eingabe[Name],AuswertungA[[#This Row],[Name]],Eingabe[Wo],"A"),0),"")</f>
        <v/>
      </c>
      <c r="M196" s="268" t="str">
        <f>IFERROR(ROUND(AVERAGEIFS(Eingabe[S2],Eingabe[Name],AuswertungA[[#This Row],[Name]],Eingabe[Wo],"A"),0),"")</f>
        <v/>
      </c>
      <c r="N196" s="117" t="str">
        <f>IFERROR(ROUND(AVERAGEIFS(Eingabe[S3],Eingabe[Name],AuswertungA[[#This Row],[Name]],Eingabe[Wo],"A"),0),"")</f>
        <v/>
      </c>
      <c r="O196" s="268" t="str">
        <f>IFERROR(ROUND(AVERAGEIFS(Eingabe[S4],Eingabe[Name],AuswertungA[[#This Row],[Name]],Eingabe[Wo],"A"),0),"")</f>
        <v/>
      </c>
      <c r="P196" s="121" t="str">
        <f>IF(AuswertungA[[#This Row],[Spiele MP A]]="","",ROUND(AVERAGEIFS(Eingabe[S1P],Eingabe[Name],AuswertungA[[#This Row],[Name]],Eingabe[Wo],"A"),2))</f>
        <v/>
      </c>
      <c r="Q196" s="121" t="str">
        <f>IF(AuswertungA[[#This Row],[Spiele MP A]]="","",ROUND(AVERAGEIFS(Eingabe[S2P],Eingabe[Name],AuswertungA[[#This Row],[Name]],Eingabe[Wo],"A"),2))</f>
        <v/>
      </c>
      <c r="R196" s="121" t="str">
        <f>IF(AuswertungA[[#This Row],[Spiele MP A]]="","",ROUND(AVERAGEIFS(Eingabe[S3P],Eingabe[Name],AuswertungA[[#This Row],[Name]],Eingabe[Wo],"A"),2))</f>
        <v/>
      </c>
      <c r="S196" s="121" t="str">
        <f>IF(AuswertungA[[#This Row],[Spiele MP A]]="","",ROUND(AVERAGEIFS(Eingabe[S4P],Eingabe[Name],AuswertungA[[#This Row],[Name]],Eingabe[Wo],"A"),2))</f>
        <v/>
      </c>
      <c r="T196" s="123" t="str" cm="1">
        <f t="array" ref="T196">IF(AuswertungA[[#This Row],[Spiele A]]="","",IF(AuswertungA[[#This Row],[Spiele A]]&lt;2,"",ROUND(SLOPE(_xlfn._xlws.FILTER(Eingabe[GES],(Eingabe[Name]=AuswertungA[[#This Row],[Name]])*(Eingabe[Wo]="A")),_xlfn._xlws.FILTER(Eingabe[KW],(Eingabe[Name]=AuswertungA[[#This Row],[Name]])*(Eingabe[Wo]="A"))),2)))</f>
        <v/>
      </c>
      <c r="U196" s="123" t="str" cm="1">
        <f t="array" ref="U196">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96" s="117" t="str" cm="1">
        <f t="array" ref="V196">IF(AuswertungA[[#This Row],[Spiele A]]="","",IF(AuswertungA[[#This Row],[Spiele A]]&lt;2,"",ROUND(_xlfn.STDEV.P(_xlfn._xlws.FILTER(Eingabe[GES],(Eingabe[Name]=AuswertungA[[#This Row],[Name]])*(Eingabe[Wo]="A"))),0)))</f>
        <v/>
      </c>
      <c r="W196" s="117" t="str">
        <f>IF(AuswertungA[[#This Row],[Spiele MP A]]="","",ROUND(AVERAGEIFS(Eingabe[GEGGES],Eingabe[Name],AuswertungA[[#This Row],[Name]],Eingabe[Wo],"A"),0))</f>
        <v/>
      </c>
      <c r="X196" s="116" t="str">
        <f>VLOOKUP(AuswertungA[[#This Row],[Name]],PositionA[],21,FALSE)</f>
        <v/>
      </c>
      <c r="Y196" s="116" t="str">
        <f>VLOOKUP(AuswertungA[[#This Row],[Name]],PositionA[],22,FALSE)</f>
        <v/>
      </c>
      <c r="Z196" s="116" t="str">
        <f>VLOOKUP(AuswertungA[[#This Row],[Name]],PositionA[],23,FALSE)</f>
        <v/>
      </c>
      <c r="AA196" s="121" t="str">
        <f>IF(AuswertungA[[#This Row],[Spiele MP A]]="","",ROUND(VLOOKUP(AuswertungA[[#This Row],[Name]],PositionA[],24,FALSE),2))</f>
        <v/>
      </c>
      <c r="AB196" s="123" t="str">
        <f>IFERROR(ROUND(AVERAGEIFS(Eingabe[Rang],Eingabe[Name],AuswertungA[[#This Row],[Name]],Eingabe[Wo],"A"),1),"")</f>
        <v/>
      </c>
      <c r="AC196" s="123" t="str" cm="1">
        <f t="array" ref="AC196">IFERROR(ROUND(MEDIAN(_xlfn._xlws.FILTER(Eingabe[GES],(Eingabe[Name]=AuswertungA[[#This Row],[Name]])*(Eingabe[Wo]="A"))),0),"")</f>
        <v/>
      </c>
      <c r="AD196" s="121" t="str">
        <f>IFERROR(AuswertungA[[#This Row],[STABW A]]/AuswertungA[[#This Row],[GES A]],"")</f>
        <v/>
      </c>
      <c r="AE196" s="123" t="str" cm="1">
        <f t="array" ref="AE196">IFERROR(ROUND(_xlfn.QUARTILE.INC(_xlfn._xlws.FILTER(Eingabe[GES],(Eingabe[Name]=AuswertungA[[#This Row],[Name]])*(Eingabe[Wo]="A")),3)-_xlfn.QUARTILE.INC(_xlfn._xlws.FILTER(Eingabe[GES],(Eingabe[Name]=AuswertungA[[#This Row],[Name]])*(Eingabe[Wo]="A")),1),0),"")</f>
        <v/>
      </c>
      <c r="AF196" s="123" t="str">
        <f>IFERROR(1/AuswertungA[[#This Row],[VK A]],"")</f>
        <v/>
      </c>
      <c r="AG196" s="123" t="str">
        <f>IFERROR(AuswertungA[[#This Row],[Volle A]]/AuswertungA[[#This Row],[Räumer A]]-2,"")</f>
        <v/>
      </c>
      <c r="AH196" s="117" t="str">
        <f>IFERROR(ROUND((AuswertungA[[#This Row],[Spiele A]]*60)/(AuswertungA[[#This Row],[Fehler A]]*AuswertungA[[#This Row],[Spiele A]]),0),"")</f>
        <v/>
      </c>
      <c r="AI196" s="123" t="str" cm="1">
        <f t="array" ref="AI196">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96" s="267" t="str">
        <f>IFERROR(ROUND(AVERAGEIFS(Eingabe[MP],Eingabe[Diff],"&lt;15",Eingabe[Name],AuswertungA[[#This Row],[Name]],Eingabe[Wo],"A")-AuswertungA[[#This Row],[MP A]],2),"")</f>
        <v/>
      </c>
      <c r="AK196" s="117" t="str" cm="1">
        <f t="array" ref="AK196">IFERROR(ROUND(AVERAGE(_xlfn._xlws.FILTER(Eingabe[GES],(Eingabe[Name]=AuswertungA[[#This Row],[Name]])*(Eingabe[Wo]="A")*(Eingabe[GEGGES]&gt;(AuswertungA[[#This Row],[GES A]]+20))))-AuswertungA[[#This Row],[GES A]],0),"")</f>
        <v/>
      </c>
      <c r="AL196" s="117" t="str" cm="1">
        <f t="array" ref="AL196">IFERROR(ROUND(AVERAGE(_xlfn._xlws.FILTER(Eingabe[GES],(Eingabe[Name]=AuswertungA[[#This Row],[Name]])*(Eingabe[Wo]="A")*(Eingabe[GEGGES]&lt;(AuswertungA[[#This Row],[GES A]]-20))))-AuswertungA[[#This Row],[GES A]],0),"")</f>
        <v/>
      </c>
    </row>
    <row r="197" spans="2:38" x14ac:dyDescent="0.3">
      <c r="B197" s="118" t="str">
        <f t="shared" si="3"/>
        <v>Mick Becker</v>
      </c>
      <c r="C197" s="119" t="str">
        <f>IF(AuswertungA[[#This Row],[Name]]="","",VLOOKUP(AuswertungA[[#This Row],[Name]],Teamzuordnung[[Name]:[Team]],2,TRUE))</f>
        <v>Z</v>
      </c>
      <c r="D197" s="122">
        <f>COUNTIFS(Eingabe[Name],AuswertungA[[#This Row],[Name]],Eingabe[Wo],"A")</f>
        <v>0</v>
      </c>
      <c r="E197" s="117" t="str">
        <f>IF(AuswertungA[[#This Row],[Spiele A]]="","",IF(AuswertungA[[#This Row],[Spiele A]]-COUNTIFS(Eingabe[Name],AuswertungA[[#This Row],[Name]],Eingabe[MP],"",Eingabe[Wo],"A")=0,"",AuswertungA[[#This Row],[Spiele A]]-COUNTIFS(Eingabe[Name],AuswertungA[[#This Row],[Name]],Eingabe[MP],"",Eingabe[Wo],"A")))</f>
        <v/>
      </c>
      <c r="F197" s="117" t="str">
        <f>IF(AuswertungA[[#This Row],[Spiele A]]=0,"",ROUND(AVERAGEIFS(Eingabe[Volle],Eingabe[Name],AuswertungA[[#This Row],[Name]],Eingabe[Wo],"A"),0))</f>
        <v/>
      </c>
      <c r="G197" s="117" t="str">
        <f>IF(AuswertungA[[#This Row],[Spiele A]]=0,"",ROUND(AVERAGEIFS(Eingabe[Räumer],Eingabe[Name],AuswertungA[[#This Row],[Name]],Eingabe[Wo],"A"),0))</f>
        <v/>
      </c>
      <c r="H197" s="123" t="str">
        <f>IF(AuswertungA[[#This Row],[Spiele A]]=0,"",ROUND(AVERAGEIFS(Eingabe[Fehler],Eingabe[Name],AuswertungA[[#This Row],[Name]],Eingabe[Wo],"A"),1))</f>
        <v/>
      </c>
      <c r="I197" s="117" t="str">
        <f>IF(AuswertungA[[#This Row],[Spiele A]]=0,"",ROUND(AVERAGEIFS(Eingabe[GES],Eingabe[Name],AuswertungA[[#This Row],[Name]],Eingabe[Wo],"A"),0))</f>
        <v/>
      </c>
      <c r="J197" s="123" t="str">
        <f>IF(AuswertungA[[#This Row],[Spiele MP A]]="","",ROUND(AVERAGEIFS(Eingabe[SP],Eingabe[Name],AuswertungA[[#This Row],[Name]],Eingabe[Wo],"A"),2))</f>
        <v/>
      </c>
      <c r="K197" s="121" t="str">
        <f>IF(AuswertungA[[#This Row],[Spiele MP A]]="","",ROUND(AVERAGEIFS(Eingabe[MP],Eingabe[Name],AuswertungA[[#This Row],[Name]],Eingabe[Wo],"A"),2))</f>
        <v/>
      </c>
      <c r="L197" s="117" t="str">
        <f>IFERROR(ROUND(AVERAGEIFS(Eingabe[S1],Eingabe[Name],AuswertungA[[#This Row],[Name]],Eingabe[Wo],"A"),0),"")</f>
        <v/>
      </c>
      <c r="M197" s="268" t="str">
        <f>IFERROR(ROUND(AVERAGEIFS(Eingabe[S2],Eingabe[Name],AuswertungA[[#This Row],[Name]],Eingabe[Wo],"A"),0),"")</f>
        <v/>
      </c>
      <c r="N197" s="117" t="str">
        <f>IFERROR(ROUND(AVERAGEIFS(Eingabe[S3],Eingabe[Name],AuswertungA[[#This Row],[Name]],Eingabe[Wo],"A"),0),"")</f>
        <v/>
      </c>
      <c r="O197" s="268" t="str">
        <f>IFERROR(ROUND(AVERAGEIFS(Eingabe[S4],Eingabe[Name],AuswertungA[[#This Row],[Name]],Eingabe[Wo],"A"),0),"")</f>
        <v/>
      </c>
      <c r="P197" s="121" t="str">
        <f>IF(AuswertungA[[#This Row],[Spiele MP A]]="","",ROUND(AVERAGEIFS(Eingabe[S1P],Eingabe[Name],AuswertungA[[#This Row],[Name]],Eingabe[Wo],"A"),2))</f>
        <v/>
      </c>
      <c r="Q197" s="121" t="str">
        <f>IF(AuswertungA[[#This Row],[Spiele MP A]]="","",ROUND(AVERAGEIFS(Eingabe[S2P],Eingabe[Name],AuswertungA[[#This Row],[Name]],Eingabe[Wo],"A"),2))</f>
        <v/>
      </c>
      <c r="R197" s="121" t="str">
        <f>IF(AuswertungA[[#This Row],[Spiele MP A]]="","",ROUND(AVERAGEIFS(Eingabe[S3P],Eingabe[Name],AuswertungA[[#This Row],[Name]],Eingabe[Wo],"A"),2))</f>
        <v/>
      </c>
      <c r="S197" s="121" t="str">
        <f>IF(AuswertungA[[#This Row],[Spiele MP A]]="","",ROUND(AVERAGEIFS(Eingabe[S4P],Eingabe[Name],AuswertungA[[#This Row],[Name]],Eingabe[Wo],"A"),2))</f>
        <v/>
      </c>
      <c r="T197" s="123" t="str" cm="1">
        <f t="array" ref="T197">IF(AuswertungA[[#This Row],[Spiele A]]="","",IF(AuswertungA[[#This Row],[Spiele A]]&lt;2,"",ROUND(SLOPE(_xlfn._xlws.FILTER(Eingabe[GES],(Eingabe[Name]=AuswertungA[[#This Row],[Name]])*(Eingabe[Wo]="A")),_xlfn._xlws.FILTER(Eingabe[KW],(Eingabe[Name]=AuswertungA[[#This Row],[Name]])*(Eingabe[Wo]="A"))),2)))</f>
        <v/>
      </c>
      <c r="U197" s="123" t="str" cm="1">
        <f t="array" ref="U197">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97" s="117" t="str" cm="1">
        <f t="array" ref="V197">IF(AuswertungA[[#This Row],[Spiele A]]="","",IF(AuswertungA[[#This Row],[Spiele A]]&lt;2,"",ROUND(_xlfn.STDEV.P(_xlfn._xlws.FILTER(Eingabe[GES],(Eingabe[Name]=AuswertungA[[#This Row],[Name]])*(Eingabe[Wo]="A"))),0)))</f>
        <v/>
      </c>
      <c r="W197" s="117" t="str">
        <f>IF(AuswertungA[[#This Row],[Spiele MP A]]="","",ROUND(AVERAGEIFS(Eingabe[GEGGES],Eingabe[Name],AuswertungA[[#This Row],[Name]],Eingabe[Wo],"A"),0))</f>
        <v/>
      </c>
      <c r="X197" s="123" t="str">
        <f>VLOOKUP(AuswertungA[[#This Row],[Name]],PositionA[],21,FALSE)</f>
        <v/>
      </c>
      <c r="Y197" s="123" t="str">
        <f>VLOOKUP(AuswertungA[[#This Row],[Name]],PositionA[],22,FALSE)</f>
        <v/>
      </c>
      <c r="Z197" s="123" t="str">
        <f>VLOOKUP(AuswertungA[[#This Row],[Name]],PositionA[],23,FALSE)</f>
        <v/>
      </c>
      <c r="AA197" s="121" t="str">
        <f>IF(AuswertungA[[#This Row],[Spiele MP A]]="","",ROUND(VLOOKUP(AuswertungA[[#This Row],[Name]],PositionA[],24,FALSE),2))</f>
        <v/>
      </c>
      <c r="AB197" s="123" t="str">
        <f>IFERROR(ROUND(AVERAGEIFS(Eingabe[Rang],Eingabe[Name],AuswertungA[[#This Row],[Name]],Eingabe[Wo],"A"),1),"")</f>
        <v/>
      </c>
      <c r="AC197" s="123" t="str" cm="1">
        <f t="array" ref="AC197">IFERROR(ROUND(MEDIAN(_xlfn._xlws.FILTER(Eingabe[GES],(Eingabe[Name]=AuswertungA[[#This Row],[Name]])*(Eingabe[Wo]="A"))),0),"")</f>
        <v/>
      </c>
      <c r="AD197" s="121" t="str">
        <f>IFERROR(AuswertungA[[#This Row],[STABW A]]/AuswertungA[[#This Row],[GES A]],"")</f>
        <v/>
      </c>
      <c r="AE197" s="123" t="str" cm="1">
        <f t="array" ref="AE197">IFERROR(ROUND(_xlfn.QUARTILE.INC(_xlfn._xlws.FILTER(Eingabe[GES],(Eingabe[Name]=AuswertungA[[#This Row],[Name]])*(Eingabe[Wo]="A")),3)-_xlfn.QUARTILE.INC(_xlfn._xlws.FILTER(Eingabe[GES],(Eingabe[Name]=AuswertungA[[#This Row],[Name]])*(Eingabe[Wo]="A")),1),0),"")</f>
        <v/>
      </c>
      <c r="AF197" s="123" t="str">
        <f>IFERROR(1/AuswertungA[[#This Row],[VK A]],"")</f>
        <v/>
      </c>
      <c r="AG197" s="123" t="str">
        <f>IFERROR(AuswertungA[[#This Row],[Volle A]]/AuswertungA[[#This Row],[Räumer A]]-2,"")</f>
        <v/>
      </c>
      <c r="AH197" s="117" t="str">
        <f>IFERROR(ROUND((AuswertungA[[#This Row],[Spiele A]]*60)/(AuswertungA[[#This Row],[Fehler A]]*AuswertungA[[#This Row],[Spiele A]]),0),"")</f>
        <v/>
      </c>
      <c r="AI197" s="123" t="str" cm="1">
        <f t="array" ref="AI197">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97" s="267" t="str">
        <f>IFERROR(ROUND(AVERAGEIFS(Eingabe[MP],Eingabe[Diff],"&lt;15",Eingabe[Name],AuswertungA[[#This Row],[Name]],Eingabe[Wo],"A")-AuswertungA[[#This Row],[MP A]],2),"")</f>
        <v/>
      </c>
      <c r="AK197" s="117" t="str" cm="1">
        <f t="array" ref="AK197">IFERROR(ROUND(AVERAGE(_xlfn._xlws.FILTER(Eingabe[GES],(Eingabe[Name]=AuswertungA[[#This Row],[Name]])*(Eingabe[Wo]="A")*(Eingabe[GEGGES]&gt;(AuswertungA[[#This Row],[GES A]]+20))))-AuswertungA[[#This Row],[GES A]],0),"")</f>
        <v/>
      </c>
      <c r="AL197" s="117" t="str" cm="1">
        <f t="array" ref="AL197">IFERROR(ROUND(AVERAGE(_xlfn._xlws.FILTER(Eingabe[GES],(Eingabe[Name]=AuswertungA[[#This Row],[Name]])*(Eingabe[Wo]="A")*(Eingabe[GEGGES]&lt;(AuswertungA[[#This Row],[GES A]]-20))))-AuswertungA[[#This Row],[GES A]],0),"")</f>
        <v/>
      </c>
    </row>
    <row r="198" spans="2:38" x14ac:dyDescent="0.3">
      <c r="B198" s="118" t="str">
        <f t="shared" si="3"/>
        <v>Olaf Kurtze</v>
      </c>
      <c r="C198" s="119" t="str">
        <f>IF(AuswertungA[[#This Row],[Name]]="","",VLOOKUP(AuswertungA[[#This Row],[Name]],Teamzuordnung[[Name]:[Team]],2,TRUE))</f>
        <v>Z</v>
      </c>
      <c r="D198" s="122">
        <f>COUNTIFS(Eingabe[Name],AuswertungA[[#This Row],[Name]],Eingabe[Wo],"A")</f>
        <v>4</v>
      </c>
      <c r="E198" s="117">
        <f>IF(AuswertungA[[#This Row],[Spiele A]]="","",IF(AuswertungA[[#This Row],[Spiele A]]-COUNTIFS(Eingabe[Name],AuswertungA[[#This Row],[Name]],Eingabe[MP],"",Eingabe[Wo],"A")=0,"",AuswertungA[[#This Row],[Spiele A]]-COUNTIFS(Eingabe[Name],AuswertungA[[#This Row],[Name]],Eingabe[MP],"",Eingabe[Wo],"A")))</f>
        <v>4</v>
      </c>
      <c r="F198" s="117">
        <f>IF(AuswertungA[[#This Row],[Spiele A]]=0,"",ROUND(AVERAGEIFS(Eingabe[Volle],Eingabe[Name],AuswertungA[[#This Row],[Name]],Eingabe[Wo],"A"),0))</f>
        <v>367</v>
      </c>
      <c r="G198" s="117">
        <f>IF(AuswertungA[[#This Row],[Spiele A]]=0,"",ROUND(AVERAGEIFS(Eingabe[Räumer],Eingabe[Name],AuswertungA[[#This Row],[Name]],Eingabe[Wo],"A"),0))</f>
        <v>165</v>
      </c>
      <c r="H198" s="123">
        <f>IF(AuswertungA[[#This Row],[Spiele A]]=0,"",ROUND(AVERAGEIFS(Eingabe[Fehler],Eingabe[Name],AuswertungA[[#This Row],[Name]],Eingabe[Wo],"A"),1))</f>
        <v>8.8000000000000007</v>
      </c>
      <c r="I198" s="117">
        <f>IF(AuswertungA[[#This Row],[Spiele A]]=0,"",ROUND(AVERAGEIFS(Eingabe[GES],Eingabe[Name],AuswertungA[[#This Row],[Name]],Eingabe[Wo],"A"),0))</f>
        <v>531</v>
      </c>
      <c r="J198" s="123">
        <f>IF(AuswertungA[[#This Row],[Spiele MP A]]="","",ROUND(AVERAGEIFS(Eingabe[SP],Eingabe[Name],AuswertungA[[#This Row],[Name]],Eingabe[Wo],"A"),2))</f>
        <v>1.75</v>
      </c>
      <c r="K198" s="121">
        <f>IF(AuswertungA[[#This Row],[Spiele MP A]]="","",ROUND(AVERAGEIFS(Eingabe[MP],Eingabe[Name],AuswertungA[[#This Row],[Name]],Eingabe[Wo],"A"),2))</f>
        <v>0.25</v>
      </c>
      <c r="L198" s="117">
        <f>IFERROR(ROUND(AVERAGEIFS(Eingabe[S1],Eingabe[Name],AuswertungA[[#This Row],[Name]],Eingabe[Wo],"A"),0),"")</f>
        <v>133</v>
      </c>
      <c r="M198" s="268">
        <f>IFERROR(ROUND(AVERAGEIFS(Eingabe[S2],Eingabe[Name],AuswertungA[[#This Row],[Name]],Eingabe[Wo],"A"),0),"")</f>
        <v>132</v>
      </c>
      <c r="N198" s="117">
        <f>IFERROR(ROUND(AVERAGEIFS(Eingabe[S3],Eingabe[Name],AuswertungA[[#This Row],[Name]],Eingabe[Wo],"A"),0),"")</f>
        <v>128</v>
      </c>
      <c r="O198" s="268">
        <f>IFERROR(ROUND(AVERAGEIFS(Eingabe[S4],Eingabe[Name],AuswertungA[[#This Row],[Name]],Eingabe[Wo],"A"),0),"")</f>
        <v>139</v>
      </c>
      <c r="P198" s="121">
        <f>IF(AuswertungA[[#This Row],[Spiele MP A]]="","",ROUND(AVERAGEIFS(Eingabe[S1P],Eingabe[Name],AuswertungA[[#This Row],[Name]],Eingabe[Wo],"A"),2))</f>
        <v>0.5</v>
      </c>
      <c r="Q198" s="121">
        <f>IF(AuswertungA[[#This Row],[Spiele MP A]]="","",ROUND(AVERAGEIFS(Eingabe[S2P],Eingabe[Name],AuswertungA[[#This Row],[Name]],Eingabe[Wo],"A"),2))</f>
        <v>0.5</v>
      </c>
      <c r="R198" s="121">
        <f>IF(AuswertungA[[#This Row],[Spiele MP A]]="","",ROUND(AVERAGEIFS(Eingabe[S3P],Eingabe[Name],AuswertungA[[#This Row],[Name]],Eingabe[Wo],"A"),2))</f>
        <v>0.25</v>
      </c>
      <c r="S198" s="121">
        <f>IF(AuswertungA[[#This Row],[Spiele MP A]]="","",ROUND(AVERAGEIFS(Eingabe[S4P],Eingabe[Name],AuswertungA[[#This Row],[Name]],Eingabe[Wo],"A"),2))</f>
        <v>0.5</v>
      </c>
      <c r="T198" s="123" cm="1">
        <f t="array" ref="T198">IF(AuswertungA[[#This Row],[Spiele A]]="","",IF(AuswertungA[[#This Row],[Spiele A]]&lt;2,"",ROUND(SLOPE(_xlfn._xlws.FILTER(Eingabe[GES],(Eingabe[Name]=AuswertungA[[#This Row],[Name]])*(Eingabe[Wo]="A")),_xlfn._xlws.FILTER(Eingabe[KW],(Eingabe[Name]=AuswertungA[[#This Row],[Name]])*(Eingabe[Wo]="A"))),2)))</f>
        <v>-2.14</v>
      </c>
      <c r="U198" s="123" cm="1">
        <f t="array" ref="U198">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-7.66</v>
      </c>
      <c r="V198" s="117" cm="1">
        <f t="array" ref="V198">IF(AuswertungA[[#This Row],[Spiele A]]="","",IF(AuswertungA[[#This Row],[Spiele A]]&lt;2,"",ROUND(_xlfn.STDEV.P(_xlfn._xlws.FILTER(Eingabe[GES],(Eingabe[Name]=AuswertungA[[#This Row],[Name]])*(Eingabe[Wo]="A"))),0)))</f>
        <v>31</v>
      </c>
      <c r="W198" s="117">
        <f>IF(AuswertungA[[#This Row],[Spiele MP A]]="","",ROUND(AVERAGEIFS(Eingabe[GEGGES],Eingabe[Name],AuswertungA[[#This Row],[Name]],Eingabe[Wo],"A"),0))</f>
        <v>543</v>
      </c>
      <c r="X198" s="123" t="str">
        <f>VLOOKUP(AuswertungA[[#This Row],[Name]],PositionA[],21,FALSE)</f>
        <v>[1]</v>
      </c>
      <c r="Y198" s="123">
        <f>VLOOKUP(AuswertungA[[#This Row],[Name]],PositionA[],22,FALSE)</f>
        <v>3</v>
      </c>
      <c r="Z198" s="123" t="str">
        <f>VLOOKUP(AuswertungA[[#This Row],[Name]],PositionA[],23,FALSE)</f>
        <v>[1]</v>
      </c>
      <c r="AA198" s="121">
        <f>IF(AuswertungA[[#This Row],[Spiele MP A]]="","",ROUND(VLOOKUP(AuswertungA[[#This Row],[Name]],PositionA[],24,FALSE),2))</f>
        <v>0.33</v>
      </c>
      <c r="AB198" s="123">
        <f>IFERROR(ROUND(AVERAGEIFS(Eingabe[Rang],Eingabe[Name],AuswertungA[[#This Row],[Name]],Eingabe[Wo],"A"),1),"")</f>
        <v>3.5</v>
      </c>
      <c r="AC198" s="123" cm="1">
        <f t="array" ref="AC198">IFERROR(ROUND(MEDIAN(_xlfn._xlws.FILTER(Eingabe[GES],(Eingabe[Name]=AuswertungA[[#This Row],[Name]])*(Eingabe[Wo]="A"))),0),"")</f>
        <v>532</v>
      </c>
      <c r="AD198" s="121">
        <f>IFERROR(AuswertungA[[#This Row],[STABW A]]/AuswertungA[[#This Row],[GES A]],"")</f>
        <v>5.8380414312617701E-2</v>
      </c>
      <c r="AE198" s="123" cm="1">
        <f t="array" ref="AE198">IFERROR(ROUND(_xlfn.QUARTILE.INC(_xlfn._xlws.FILTER(Eingabe[GES],(Eingabe[Name]=AuswertungA[[#This Row],[Name]])*(Eingabe[Wo]="A")),3)-_xlfn.QUARTILE.INC(_xlfn._xlws.FILTER(Eingabe[GES],(Eingabe[Name]=AuswertungA[[#This Row],[Name]])*(Eingabe[Wo]="A")),1),0),"")</f>
        <v>27</v>
      </c>
      <c r="AF198" s="123">
        <f>IFERROR(1/AuswertungA[[#This Row],[VK A]],"")</f>
        <v>17.129032258064516</v>
      </c>
      <c r="AG198" s="123">
        <f>IFERROR(AuswertungA[[#This Row],[Volle A]]/AuswertungA[[#This Row],[Räumer A]]-2,"")</f>
        <v>0.22424242424242413</v>
      </c>
      <c r="AH198" s="117">
        <f>IFERROR(ROUND((AuswertungA[[#This Row],[Spiele A]]*60)/(AuswertungA[[#This Row],[Fehler A]]*AuswertungA[[#This Row],[Spiele A]]),0),"")</f>
        <v>7</v>
      </c>
      <c r="AI198" s="123" t="str" cm="1">
        <f t="array" ref="AI198">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98" s="267" t="str">
        <f>IFERROR(ROUND(AVERAGEIFS(Eingabe[MP],Eingabe[Diff],"&lt;15",Eingabe[Name],AuswertungA[[#This Row],[Name]],Eingabe[Wo],"A")-AuswertungA[[#This Row],[MP A]],2),"")</f>
        <v/>
      </c>
      <c r="AK198" s="117" cm="1">
        <f t="array" ref="AK198">IFERROR(ROUND(AVERAGE(_xlfn._xlws.FILTER(Eingabe[GES],(Eingabe[Name]=AuswertungA[[#This Row],[Name]])*(Eingabe[Wo]="A")*(Eingabe[GEGGES]&gt;(AuswertungA[[#This Row],[GES A]]+20))))-AuswertungA[[#This Row],[GES A]],0),"")</f>
        <v>4</v>
      </c>
      <c r="AL198" s="117" t="str" cm="1">
        <f t="array" ref="AL198">IFERROR(ROUND(AVERAGE(_xlfn._xlws.FILTER(Eingabe[GES],(Eingabe[Name]=AuswertungA[[#This Row],[Name]])*(Eingabe[Wo]="A")*(Eingabe[GEGGES]&lt;(AuswertungA[[#This Row],[GES A]]-20))))-AuswertungA[[#This Row],[GES A]],0),"")</f>
        <v/>
      </c>
    </row>
    <row r="199" spans="2:38" x14ac:dyDescent="0.3">
      <c r="B199" s="118" t="str">
        <f t="shared" si="3"/>
        <v>Patrick Frenzel</v>
      </c>
      <c r="C199" s="119" t="str">
        <f>IF(AuswertungA[[#This Row],[Name]]="","",VLOOKUP(AuswertungA[[#This Row],[Name]],Teamzuordnung[[Name]:[Team]],2,TRUE))</f>
        <v>D</v>
      </c>
      <c r="D199" s="122">
        <f>COUNTIFS(Eingabe[Name],AuswertungA[[#This Row],[Name]],Eingabe[Wo],"A")</f>
        <v>1</v>
      </c>
      <c r="E199" s="117">
        <f>IF(AuswertungA[[#This Row],[Spiele A]]="","",IF(AuswertungA[[#This Row],[Spiele A]]-COUNTIFS(Eingabe[Name],AuswertungA[[#This Row],[Name]],Eingabe[MP],"",Eingabe[Wo],"A")=0,"",AuswertungA[[#This Row],[Spiele A]]-COUNTIFS(Eingabe[Name],AuswertungA[[#This Row],[Name]],Eingabe[MP],"",Eingabe[Wo],"A")))</f>
        <v>1</v>
      </c>
      <c r="F199" s="117">
        <f>IF(AuswertungA[[#This Row],[Spiele A]]=0,"",ROUND(AVERAGEIFS(Eingabe[Volle],Eingabe[Name],AuswertungA[[#This Row],[Name]],Eingabe[Wo],"A"),0))</f>
        <v>351</v>
      </c>
      <c r="G199" s="117">
        <f>IF(AuswertungA[[#This Row],[Spiele A]]=0,"",ROUND(AVERAGEIFS(Eingabe[Räumer],Eingabe[Name],AuswertungA[[#This Row],[Name]],Eingabe[Wo],"A"),0))</f>
        <v>191</v>
      </c>
      <c r="H199" s="123">
        <f>IF(AuswertungA[[#This Row],[Spiele A]]=0,"",ROUND(AVERAGEIFS(Eingabe[Fehler],Eingabe[Name],AuswertungA[[#This Row],[Name]],Eingabe[Wo],"A"),1))</f>
        <v>12</v>
      </c>
      <c r="I199" s="117">
        <f>IF(AuswertungA[[#This Row],[Spiele A]]=0,"",ROUND(AVERAGEIFS(Eingabe[GES],Eingabe[Name],AuswertungA[[#This Row],[Name]],Eingabe[Wo],"A"),0))</f>
        <v>542</v>
      </c>
      <c r="J199" s="123">
        <f>IF(AuswertungA[[#This Row],[Spiele MP A]]="","",ROUND(AVERAGEIFS(Eingabe[SP],Eingabe[Name],AuswertungA[[#This Row],[Name]],Eingabe[Wo],"A"),2))</f>
        <v>2</v>
      </c>
      <c r="K199" s="121">
        <f>IF(AuswertungA[[#This Row],[Spiele MP A]]="","",ROUND(AVERAGEIFS(Eingabe[MP],Eingabe[Name],AuswertungA[[#This Row],[Name]],Eingabe[Wo],"A"),2))</f>
        <v>0</v>
      </c>
      <c r="L199" s="117">
        <f>IFERROR(ROUND(AVERAGEIFS(Eingabe[S1],Eingabe[Name],AuswertungA[[#This Row],[Name]],Eingabe[Wo],"A"),0),"")</f>
        <v>140</v>
      </c>
      <c r="M199" s="268">
        <f>IFERROR(ROUND(AVERAGEIFS(Eingabe[S2],Eingabe[Name],AuswertungA[[#This Row],[Name]],Eingabe[Wo],"A"),0),"")</f>
        <v>126</v>
      </c>
      <c r="N199" s="117">
        <f>IFERROR(ROUND(AVERAGEIFS(Eingabe[S3],Eingabe[Name],AuswertungA[[#This Row],[Name]],Eingabe[Wo],"A"),0),"")</f>
        <v>130</v>
      </c>
      <c r="O199" s="268">
        <f>IFERROR(ROUND(AVERAGEIFS(Eingabe[S4],Eingabe[Name],AuswertungA[[#This Row],[Name]],Eingabe[Wo],"A"),0),"")</f>
        <v>146</v>
      </c>
      <c r="P199" s="121">
        <f>IF(AuswertungA[[#This Row],[Spiele MP A]]="","",ROUND(AVERAGEIFS(Eingabe[S1P],Eingabe[Name],AuswertungA[[#This Row],[Name]],Eingabe[Wo],"A"),2))</f>
        <v>1</v>
      </c>
      <c r="Q199" s="121">
        <f>IF(AuswertungA[[#This Row],[Spiele MP A]]="","",ROUND(AVERAGEIFS(Eingabe[S2P],Eingabe[Name],AuswertungA[[#This Row],[Name]],Eingabe[Wo],"A"),2))</f>
        <v>0</v>
      </c>
      <c r="R199" s="121">
        <f>IF(AuswertungA[[#This Row],[Spiele MP A]]="","",ROUND(AVERAGEIFS(Eingabe[S3P],Eingabe[Name],AuswertungA[[#This Row],[Name]],Eingabe[Wo],"A"),2))</f>
        <v>0</v>
      </c>
      <c r="S199" s="121">
        <f>IF(AuswertungA[[#This Row],[Spiele MP A]]="","",ROUND(AVERAGEIFS(Eingabe[S4P],Eingabe[Name],AuswertungA[[#This Row],[Name]],Eingabe[Wo],"A"),2))</f>
        <v>1</v>
      </c>
      <c r="T199" s="123" t="str" cm="1">
        <f t="array" ref="T199">IF(AuswertungA[[#This Row],[Spiele A]]="","",IF(AuswertungA[[#This Row],[Spiele A]]&lt;2,"",ROUND(SLOPE(_xlfn._xlws.FILTER(Eingabe[GES],(Eingabe[Name]=AuswertungA[[#This Row],[Name]])*(Eingabe[Wo]="A")),_xlfn._xlws.FILTER(Eingabe[KW],(Eingabe[Name]=AuswertungA[[#This Row],[Name]])*(Eingabe[Wo]="A"))),2)))</f>
        <v/>
      </c>
      <c r="U199" s="123" t="str" cm="1">
        <f t="array" ref="U199">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99" s="117" t="str" cm="1">
        <f t="array" ref="V199">IF(AuswertungA[[#This Row],[Spiele A]]="","",IF(AuswertungA[[#This Row],[Spiele A]]&lt;2,"",ROUND(_xlfn.STDEV.P(_xlfn._xlws.FILTER(Eingabe[GES],(Eingabe[Name]=AuswertungA[[#This Row],[Name]])*(Eingabe[Wo]="A"))),0)))</f>
        <v/>
      </c>
      <c r="W199" s="117">
        <f>IF(AuswertungA[[#This Row],[Spiele MP A]]="","",ROUND(AVERAGEIFS(Eingabe[GEGGES],Eingabe[Name],AuswertungA[[#This Row],[Name]],Eingabe[Wo],"A"),0))</f>
        <v>550</v>
      </c>
      <c r="X199" s="123" t="str">
        <f>VLOOKUP(AuswertungA[[#This Row],[Name]],PositionA[],21,FALSE)</f>
        <v>[4]</v>
      </c>
      <c r="Y199" s="123">
        <f>VLOOKUP(AuswertungA[[#This Row],[Name]],PositionA[],22,FALSE)</f>
        <v>1</v>
      </c>
      <c r="Z199" s="123" t="str">
        <f>VLOOKUP(AuswertungA[[#This Row],[Name]],PositionA[],23,FALSE)</f>
        <v>[4]</v>
      </c>
      <c r="AA199" s="121">
        <f>IF(AuswertungA[[#This Row],[Spiele MP A]]="","",ROUND(VLOOKUP(AuswertungA[[#This Row],[Name]],PositionA[],24,FALSE),2))</f>
        <v>0</v>
      </c>
      <c r="AB199" s="123">
        <f>IFERROR(ROUND(AVERAGEIFS(Eingabe[Rang],Eingabe[Name],AuswertungA[[#This Row],[Name]],Eingabe[Wo],"A"),1),"")</f>
        <v>1</v>
      </c>
      <c r="AC199" s="123" cm="1">
        <f t="array" ref="AC199">IFERROR(ROUND(MEDIAN(_xlfn._xlws.FILTER(Eingabe[GES],(Eingabe[Name]=AuswertungA[[#This Row],[Name]])*(Eingabe[Wo]="A"))),0),"")</f>
        <v>542</v>
      </c>
      <c r="AD199" s="121" t="str">
        <f>IFERROR(AuswertungA[[#This Row],[STABW A]]/AuswertungA[[#This Row],[GES A]],"")</f>
        <v/>
      </c>
      <c r="AE199" s="123" cm="1">
        <f t="array" ref="AE199">IFERROR(ROUND(_xlfn.QUARTILE.INC(_xlfn._xlws.FILTER(Eingabe[GES],(Eingabe[Name]=AuswertungA[[#This Row],[Name]])*(Eingabe[Wo]="A")),3)-_xlfn.QUARTILE.INC(_xlfn._xlws.FILTER(Eingabe[GES],(Eingabe[Name]=AuswertungA[[#This Row],[Name]])*(Eingabe[Wo]="A")),1),0),"")</f>
        <v>0</v>
      </c>
      <c r="AF199" s="123" t="str">
        <f>IFERROR(1/AuswertungA[[#This Row],[VK A]],"")</f>
        <v/>
      </c>
      <c r="AG199" s="123">
        <f>IFERROR(AuswertungA[[#This Row],[Volle A]]/AuswertungA[[#This Row],[Räumer A]]-2,"")</f>
        <v>-0.16230366492146597</v>
      </c>
      <c r="AH199" s="117">
        <f>IFERROR(ROUND((AuswertungA[[#This Row],[Spiele A]]*60)/(AuswertungA[[#This Row],[Fehler A]]*AuswertungA[[#This Row],[Spiele A]]),0),"")</f>
        <v>5</v>
      </c>
      <c r="AI199" s="123" t="str" cm="1">
        <f t="array" ref="AI199">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99" s="267">
        <f>IFERROR(ROUND(AVERAGEIFS(Eingabe[MP],Eingabe[Diff],"&lt;15",Eingabe[Name],AuswertungA[[#This Row],[Name]],Eingabe[Wo],"A")-AuswertungA[[#This Row],[MP A]],2),"")</f>
        <v>0</v>
      </c>
      <c r="AK199" s="117" t="str" cm="1">
        <f t="array" ref="AK199">IFERROR(ROUND(AVERAGE(_xlfn._xlws.FILTER(Eingabe[GES],(Eingabe[Name]=AuswertungA[[#This Row],[Name]])*(Eingabe[Wo]="A")*(Eingabe[GEGGES]&gt;(AuswertungA[[#This Row],[GES A]]+20))))-AuswertungA[[#This Row],[GES A]],0),"")</f>
        <v/>
      </c>
      <c r="AL199" s="117" t="str" cm="1">
        <f t="array" ref="AL199">IFERROR(ROUND(AVERAGE(_xlfn._xlws.FILTER(Eingabe[GES],(Eingabe[Name]=AuswertungA[[#This Row],[Name]])*(Eingabe[Wo]="A")*(Eingabe[GEGGES]&lt;(AuswertungA[[#This Row],[GES A]]-20))))-AuswertungA[[#This Row],[GES A]],0),"")</f>
        <v/>
      </c>
    </row>
    <row r="200" spans="2:38" x14ac:dyDescent="0.3">
      <c r="B200" s="118" t="str">
        <f t="shared" si="3"/>
        <v>Patrick Hohmann</v>
      </c>
      <c r="C200" s="119" t="str">
        <f>IF(AuswertungA[[#This Row],[Name]]="","",VLOOKUP(AuswertungA[[#This Row],[Name]],Teamzuordnung[[Name]:[Team]],2,TRUE))</f>
        <v>E</v>
      </c>
      <c r="D200" s="120">
        <f>COUNTIFS(Eingabe[Name],AuswertungA[[#This Row],[Name]],Eingabe[Wo],"A")</f>
        <v>6</v>
      </c>
      <c r="E200" s="116">
        <f>IF(AuswertungA[[#This Row],[Spiele A]]="","",IF(AuswertungA[[#This Row],[Spiele A]]-COUNTIFS(Eingabe[Name],AuswertungA[[#This Row],[Name]],Eingabe[MP],"",Eingabe[Wo],"A")=0,"",AuswertungA[[#This Row],[Spiele A]]-COUNTIFS(Eingabe[Name],AuswertungA[[#This Row],[Name]],Eingabe[MP],"",Eingabe[Wo],"A")))</f>
        <v>4</v>
      </c>
      <c r="F200" s="117">
        <f>IF(AuswertungA[[#This Row],[Spiele A]]=0,"",ROUND(AVERAGEIFS(Eingabe[Volle],Eingabe[Name],AuswertungA[[#This Row],[Name]],Eingabe[Wo],"A"),0))</f>
        <v>356</v>
      </c>
      <c r="G200" s="117">
        <f>IF(AuswertungA[[#This Row],[Spiele A]]=0,"",ROUND(AVERAGEIFS(Eingabe[Räumer],Eingabe[Name],AuswertungA[[#This Row],[Name]],Eingabe[Wo],"A"),0))</f>
        <v>164</v>
      </c>
      <c r="H200" s="123">
        <f>IF(AuswertungA[[#This Row],[Spiele A]]=0,"",ROUND(AVERAGEIFS(Eingabe[Fehler],Eingabe[Name],AuswertungA[[#This Row],[Name]],Eingabe[Wo],"A"),1))</f>
        <v>7.7</v>
      </c>
      <c r="I200" s="117">
        <f>IF(AuswertungA[[#This Row],[Spiele A]]=0,"",ROUND(AVERAGEIFS(Eingabe[GES],Eingabe[Name],AuswertungA[[#This Row],[Name]],Eingabe[Wo],"A"),0))</f>
        <v>520</v>
      </c>
      <c r="J200" s="123">
        <f>IF(AuswertungA[[#This Row],[Spiele MP A]]="","",ROUND(AVERAGEIFS(Eingabe[SP],Eingabe[Name],AuswertungA[[#This Row],[Name]],Eingabe[Wo],"A"),2))</f>
        <v>2</v>
      </c>
      <c r="K200" s="121">
        <f>IF(AuswertungA[[#This Row],[Spiele MP A]]="","",ROUND(AVERAGEIFS(Eingabe[MP],Eingabe[Name],AuswertungA[[#This Row],[Name]],Eingabe[Wo],"A"),2))</f>
        <v>0.38</v>
      </c>
      <c r="L200" s="117">
        <f>IFERROR(ROUND(AVERAGEIFS(Eingabe[S1],Eingabe[Name],AuswertungA[[#This Row],[Name]],Eingabe[Wo],"A"),0),"")</f>
        <v>128</v>
      </c>
      <c r="M200" s="268">
        <f>IFERROR(ROUND(AVERAGEIFS(Eingabe[S2],Eingabe[Name],AuswertungA[[#This Row],[Name]],Eingabe[Wo],"A"),0),"")</f>
        <v>137</v>
      </c>
      <c r="N200" s="117">
        <f>IFERROR(ROUND(AVERAGEIFS(Eingabe[S3],Eingabe[Name],AuswertungA[[#This Row],[Name]],Eingabe[Wo],"A"),0),"")</f>
        <v>127</v>
      </c>
      <c r="O200" s="268">
        <f>IFERROR(ROUND(AVERAGEIFS(Eingabe[S4],Eingabe[Name],AuswertungA[[#This Row],[Name]],Eingabe[Wo],"A"),0),"")</f>
        <v>130</v>
      </c>
      <c r="P200" s="121">
        <f>IF(AuswertungA[[#This Row],[Spiele MP A]]="","",ROUND(AVERAGEIFS(Eingabe[S1P],Eingabe[Name],AuswertungA[[#This Row],[Name]],Eingabe[Wo],"A"),2))</f>
        <v>0.75</v>
      </c>
      <c r="Q200" s="121">
        <f>IF(AuswertungA[[#This Row],[Spiele MP A]]="","",ROUND(AVERAGEIFS(Eingabe[S2P],Eingabe[Name],AuswertungA[[#This Row],[Name]],Eingabe[Wo],"A"),2))</f>
        <v>0.5</v>
      </c>
      <c r="R200" s="121">
        <f>IF(AuswertungA[[#This Row],[Spiele MP A]]="","",ROUND(AVERAGEIFS(Eingabe[S3P],Eingabe[Name],AuswertungA[[#This Row],[Name]],Eingabe[Wo],"A"),2))</f>
        <v>0.25</v>
      </c>
      <c r="S200" s="121">
        <f>IF(AuswertungA[[#This Row],[Spiele MP A]]="","",ROUND(AVERAGEIFS(Eingabe[S4P],Eingabe[Name],AuswertungA[[#This Row],[Name]],Eingabe[Wo],"A"),2))</f>
        <v>0.5</v>
      </c>
      <c r="T200" s="123" cm="1">
        <f t="array" ref="T200">IF(AuswertungA[[#This Row],[Spiele A]]="","",IF(AuswertungA[[#This Row],[Spiele A]]&lt;2,"",ROUND(SLOPE(_xlfn._xlws.FILTER(Eingabe[GES],(Eingabe[Name]=AuswertungA[[#This Row],[Name]])*(Eingabe[Wo]="A")),_xlfn._xlws.FILTER(Eingabe[KW],(Eingabe[Name]=AuswertungA[[#This Row],[Name]])*(Eingabe[Wo]="A"))),2)))</f>
        <v>-0.05</v>
      </c>
      <c r="U200" s="123" cm="1">
        <f t="array" ref="U200">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-0.62</v>
      </c>
      <c r="V200" s="117" cm="1">
        <f t="array" ref="V200">IF(AuswertungA[[#This Row],[Spiele A]]="","",IF(AuswertungA[[#This Row],[Spiele A]]&lt;2,"",ROUND(_xlfn.STDEV.P(_xlfn._xlws.FILTER(Eingabe[GES],(Eingabe[Name]=AuswertungA[[#This Row],[Name]])*(Eingabe[Wo]="A"))),0)))</f>
        <v>21</v>
      </c>
      <c r="W200" s="117">
        <f>IF(AuswertungA[[#This Row],[Spiele MP A]]="","",ROUND(AVERAGEIFS(Eingabe[GEGGES],Eingabe[Name],AuswertungA[[#This Row],[Name]],Eingabe[Wo],"A"),0))</f>
        <v>538</v>
      </c>
      <c r="X200" s="116" t="str">
        <f>VLOOKUP(AuswertungA[[#This Row],[Name]],PositionA[],21,FALSE)</f>
        <v>[1][3][4][6]</v>
      </c>
      <c r="Y200" s="116">
        <f>VLOOKUP(AuswertungA[[#This Row],[Name]],PositionA[],22,FALSE)</f>
        <v>1</v>
      </c>
      <c r="Z200" s="116" t="str">
        <f>VLOOKUP(AuswertungA[[#This Row],[Name]],PositionA[],23,FALSE)</f>
        <v>[4]</v>
      </c>
      <c r="AA200" s="121">
        <f>IF(AuswertungA[[#This Row],[Spiele MP A]]="","",ROUND(VLOOKUP(AuswertungA[[#This Row],[Name]],PositionA[],24,FALSE),2))</f>
        <v>1</v>
      </c>
      <c r="AB200" s="123">
        <f>IFERROR(ROUND(AVERAGEIFS(Eingabe[Rang],Eingabe[Name],AuswertungA[[#This Row],[Name]],Eingabe[Wo],"A"),1),"")</f>
        <v>4</v>
      </c>
      <c r="AC200" s="123" cm="1">
        <f t="array" ref="AC200">IFERROR(ROUND(MEDIAN(_xlfn._xlws.FILTER(Eingabe[GES],(Eingabe[Name]=AuswertungA[[#This Row],[Name]])*(Eingabe[Wo]="A"))),0),"")</f>
        <v>516</v>
      </c>
      <c r="AD200" s="121">
        <f>IFERROR(AuswertungA[[#This Row],[STABW A]]/AuswertungA[[#This Row],[GES A]],"")</f>
        <v>4.0384615384615387E-2</v>
      </c>
      <c r="AE200" s="123" cm="1">
        <f t="array" ref="AE200">IFERROR(ROUND(_xlfn.QUARTILE.INC(_xlfn._xlws.FILTER(Eingabe[GES],(Eingabe[Name]=AuswertungA[[#This Row],[Name]])*(Eingabe[Wo]="A")),3)-_xlfn.QUARTILE.INC(_xlfn._xlws.FILTER(Eingabe[GES],(Eingabe[Name]=AuswertungA[[#This Row],[Name]])*(Eingabe[Wo]="A")),1),0),"")</f>
        <v>17</v>
      </c>
      <c r="AF200" s="123">
        <f>IFERROR(1/AuswertungA[[#This Row],[VK A]],"")</f>
        <v>24.761904761904759</v>
      </c>
      <c r="AG200" s="123">
        <f>IFERROR(AuswertungA[[#This Row],[Volle A]]/AuswertungA[[#This Row],[Räumer A]]-2,"")</f>
        <v>0.17073170731707332</v>
      </c>
      <c r="AH200" s="117">
        <f>IFERROR(ROUND((AuswertungA[[#This Row],[Spiele A]]*60)/(AuswertungA[[#This Row],[Fehler A]]*AuswertungA[[#This Row],[Spiele A]]),0),"")</f>
        <v>8</v>
      </c>
      <c r="AI200" s="123" cm="1">
        <f t="array" ref="AI200">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-0.21428571428571427</v>
      </c>
      <c r="AJ200" s="267">
        <f>IFERROR(ROUND(AVERAGEIFS(Eingabe[MP],Eingabe[Diff],"&lt;15",Eingabe[Name],AuswertungA[[#This Row],[Name]],Eingabe[Wo],"A")-AuswertungA[[#This Row],[MP A]],2),"")</f>
        <v>0.37</v>
      </c>
      <c r="AK200" s="117" cm="1">
        <f t="array" ref="AK200">IFERROR(ROUND(AVERAGE(_xlfn._xlws.FILTER(Eingabe[GES],(Eingabe[Name]=AuswertungA[[#This Row],[Name]])*(Eingabe[Wo]="A")*(Eingabe[GEGGES]&gt;(AuswertungA[[#This Row],[GES A]]+20))))-AuswertungA[[#This Row],[GES A]],0),"")</f>
        <v>24</v>
      </c>
      <c r="AL200" s="117" cm="1">
        <f t="array" ref="AL200">IFERROR(ROUND(AVERAGE(_xlfn._xlws.FILTER(Eingabe[GES],(Eingabe[Name]=AuswertungA[[#This Row],[Name]])*(Eingabe[Wo]="A")*(Eingabe[GEGGES]&lt;(AuswertungA[[#This Row],[GES A]]-20))))-AuswertungA[[#This Row],[GES A]],0),"")</f>
        <v>-19</v>
      </c>
    </row>
    <row r="201" spans="2:38" x14ac:dyDescent="0.3">
      <c r="B201" s="118" t="str">
        <f t="shared" si="3"/>
        <v>Peter Paulmann</v>
      </c>
      <c r="C201" s="119" t="str">
        <f>IF(AuswertungA[[#This Row],[Name]]="","",VLOOKUP(AuswertungA[[#This Row],[Name]],Teamzuordnung[[Name]:[Team]],2,TRUE))</f>
        <v>D</v>
      </c>
      <c r="D201" s="120">
        <f>COUNTIFS(Eingabe[Name],AuswertungA[[#This Row],[Name]],Eingabe[Wo],"A")</f>
        <v>4</v>
      </c>
      <c r="E201" s="116">
        <f>IF(AuswertungA[[#This Row],[Spiele A]]="","",IF(AuswertungA[[#This Row],[Spiele A]]-COUNTIFS(Eingabe[Name],AuswertungA[[#This Row],[Name]],Eingabe[MP],"",Eingabe[Wo],"A")=0,"",AuswertungA[[#This Row],[Spiele A]]-COUNTIFS(Eingabe[Name],AuswertungA[[#This Row],[Name]],Eingabe[MP],"",Eingabe[Wo],"A")))</f>
        <v>2</v>
      </c>
      <c r="F201" s="117">
        <f>IF(AuswertungA[[#This Row],[Spiele A]]=0,"",ROUND(AVERAGEIFS(Eingabe[Volle],Eingabe[Name],AuswertungA[[#This Row],[Name]],Eingabe[Wo],"A"),0))</f>
        <v>350</v>
      </c>
      <c r="G201" s="117">
        <f>IF(AuswertungA[[#This Row],[Spiele A]]=0,"",ROUND(AVERAGEIFS(Eingabe[Räumer],Eingabe[Name],AuswertungA[[#This Row],[Name]],Eingabe[Wo],"A"),0))</f>
        <v>176</v>
      </c>
      <c r="H201" s="123">
        <f>IF(AuswertungA[[#This Row],[Spiele A]]=0,"",ROUND(AVERAGEIFS(Eingabe[Fehler],Eingabe[Name],AuswertungA[[#This Row],[Name]],Eingabe[Wo],"A"),1))</f>
        <v>7</v>
      </c>
      <c r="I201" s="117">
        <f>IF(AuswertungA[[#This Row],[Spiele A]]=0,"",ROUND(AVERAGEIFS(Eingabe[GES],Eingabe[Name],AuswertungA[[#This Row],[Name]],Eingabe[Wo],"A"),0))</f>
        <v>527</v>
      </c>
      <c r="J201" s="123">
        <f>IF(AuswertungA[[#This Row],[Spiele MP A]]="","",ROUND(AVERAGEIFS(Eingabe[SP],Eingabe[Name],AuswertungA[[#This Row],[Name]],Eingabe[Wo],"A"),2))</f>
        <v>2.25</v>
      </c>
      <c r="K201" s="121">
        <f>IF(AuswertungA[[#This Row],[Spiele MP A]]="","",ROUND(AVERAGEIFS(Eingabe[MP],Eingabe[Name],AuswertungA[[#This Row],[Name]],Eingabe[Wo],"A"),2))</f>
        <v>0.5</v>
      </c>
      <c r="L201" s="117">
        <f>IFERROR(ROUND(AVERAGEIFS(Eingabe[S1],Eingabe[Name],AuswertungA[[#This Row],[Name]],Eingabe[Wo],"A"),0),"")</f>
        <v>140</v>
      </c>
      <c r="M201" s="268">
        <f>IFERROR(ROUND(AVERAGEIFS(Eingabe[S2],Eingabe[Name],AuswertungA[[#This Row],[Name]],Eingabe[Wo],"A"),0),"")</f>
        <v>127</v>
      </c>
      <c r="N201" s="117">
        <f>IFERROR(ROUND(AVERAGEIFS(Eingabe[S3],Eingabe[Name],AuswertungA[[#This Row],[Name]],Eingabe[Wo],"A"),0),"")</f>
        <v>126</v>
      </c>
      <c r="O201" s="268">
        <f>IFERROR(ROUND(AVERAGEIFS(Eingabe[S4],Eingabe[Name],AuswertungA[[#This Row],[Name]],Eingabe[Wo],"A"),0),"")</f>
        <v>138</v>
      </c>
      <c r="P201" s="121">
        <f>IF(AuswertungA[[#This Row],[Spiele MP A]]="","",ROUND(AVERAGEIFS(Eingabe[S1P],Eingabe[Name],AuswertungA[[#This Row],[Name]],Eingabe[Wo],"A"),2))</f>
        <v>1</v>
      </c>
      <c r="Q201" s="121">
        <f>IF(AuswertungA[[#This Row],[Spiele MP A]]="","",ROUND(AVERAGEIFS(Eingabe[S2P],Eingabe[Name],AuswertungA[[#This Row],[Name]],Eingabe[Wo],"A"),2))</f>
        <v>0.5</v>
      </c>
      <c r="R201" s="121">
        <f>IF(AuswertungA[[#This Row],[Spiele MP A]]="","",ROUND(AVERAGEIFS(Eingabe[S3P],Eingabe[Name],AuswertungA[[#This Row],[Name]],Eingabe[Wo],"A"),2))</f>
        <v>0.5</v>
      </c>
      <c r="S201" s="121">
        <f>IF(AuswertungA[[#This Row],[Spiele MP A]]="","",ROUND(AVERAGEIFS(Eingabe[S4P],Eingabe[Name],AuswertungA[[#This Row],[Name]],Eingabe[Wo],"A"),2))</f>
        <v>0.25</v>
      </c>
      <c r="T201" s="123" cm="1">
        <f t="array" ref="T201">IF(AuswertungA[[#This Row],[Spiele A]]="","",IF(AuswertungA[[#This Row],[Spiele A]]&lt;2,"",ROUND(SLOPE(_xlfn._xlws.FILTER(Eingabe[GES],(Eingabe[Name]=AuswertungA[[#This Row],[Name]])*(Eingabe[Wo]="A")),_xlfn._xlws.FILTER(Eingabe[KW],(Eingabe[Name]=AuswertungA[[#This Row],[Name]])*(Eingabe[Wo]="A"))),2)))</f>
        <v>3.51</v>
      </c>
      <c r="U201" s="123" cm="1">
        <f t="array" ref="U201">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-4.29</v>
      </c>
      <c r="V201" s="117" cm="1">
        <f t="array" ref="V201">IF(AuswertungA[[#This Row],[Spiele A]]="","",IF(AuswertungA[[#This Row],[Spiele A]]&lt;2,"",ROUND(_xlfn.STDEV.P(_xlfn._xlws.FILTER(Eingabe[GES],(Eingabe[Name]=AuswertungA[[#This Row],[Name]])*(Eingabe[Wo]="A"))),0)))</f>
        <v>23</v>
      </c>
      <c r="W201" s="117">
        <f>IF(AuswertungA[[#This Row],[Spiele MP A]]="","",ROUND(AVERAGEIFS(Eingabe[GEGGES],Eingabe[Name],AuswertungA[[#This Row],[Name]],Eingabe[Wo],"A"),0))</f>
        <v>511</v>
      </c>
      <c r="X201" s="116" t="str">
        <f>VLOOKUP(AuswertungA[[#This Row],[Name]],PositionA[],21,FALSE)</f>
        <v>[5][6]</v>
      </c>
      <c r="Y201" s="116">
        <f>VLOOKUP(AuswertungA[[#This Row],[Name]],PositionA[],22,FALSE)</f>
        <v>1</v>
      </c>
      <c r="Z201" s="116" t="str">
        <f>VLOOKUP(AuswertungA[[#This Row],[Name]],PositionA[],23,FALSE)</f>
        <v>[6]</v>
      </c>
      <c r="AA201" s="121">
        <f>IF(AuswertungA[[#This Row],[Spiele MP A]]="","",ROUND(VLOOKUP(AuswertungA[[#This Row],[Name]],PositionA[],24,FALSE),2))</f>
        <v>1</v>
      </c>
      <c r="AB201" s="123">
        <f>IFERROR(ROUND(AVERAGEIFS(Eingabe[Rang],Eingabe[Name],AuswertungA[[#This Row],[Name]],Eingabe[Wo],"A"),1),"")</f>
        <v>2.5</v>
      </c>
      <c r="AC201" s="123" cm="1">
        <f t="array" ref="AC201">IFERROR(ROUND(MEDIAN(_xlfn._xlws.FILTER(Eingabe[GES],(Eingabe[Name]=AuswertungA[[#This Row],[Name]])*(Eingabe[Wo]="A"))),0),"")</f>
        <v>524</v>
      </c>
      <c r="AD201" s="121">
        <f>IFERROR(AuswertungA[[#This Row],[STABW A]]/AuswertungA[[#This Row],[GES A]],"")</f>
        <v>4.3643263757115747E-2</v>
      </c>
      <c r="AE201" s="123" cm="1">
        <f t="array" ref="AE201">IFERROR(ROUND(_xlfn.QUARTILE.INC(_xlfn._xlws.FILTER(Eingabe[GES],(Eingabe[Name]=AuswertungA[[#This Row],[Name]])*(Eingabe[Wo]="A")),3)-_xlfn.QUARTILE.INC(_xlfn._xlws.FILTER(Eingabe[GES],(Eingabe[Name]=AuswertungA[[#This Row],[Name]])*(Eingabe[Wo]="A")),1),0),"")</f>
        <v>20</v>
      </c>
      <c r="AF201" s="123">
        <f>IFERROR(1/AuswertungA[[#This Row],[VK A]],"")</f>
        <v>22.913043478260871</v>
      </c>
      <c r="AG201" s="123">
        <f>IFERROR(AuswertungA[[#This Row],[Volle A]]/AuswertungA[[#This Row],[Räumer A]]-2,"")</f>
        <v>-1.1363636363636465E-2</v>
      </c>
      <c r="AH201" s="117">
        <f>IFERROR(ROUND((AuswertungA[[#This Row],[Spiele A]]*60)/(AuswertungA[[#This Row],[Fehler A]]*AuswertungA[[#This Row],[Spiele A]]),0),"")</f>
        <v>9</v>
      </c>
      <c r="AI201" s="123" cm="1">
        <f t="array" ref="AI201">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-1.2608695652173914</v>
      </c>
      <c r="AJ201" s="267">
        <f>IFERROR(ROUND(AVERAGEIFS(Eingabe[MP],Eingabe[Diff],"&lt;15",Eingabe[Name],AuswertungA[[#This Row],[Name]],Eingabe[Wo],"A")-AuswertungA[[#This Row],[MP A]],2),"")</f>
        <v>-0.5</v>
      </c>
      <c r="AK201" s="117" t="str" cm="1">
        <f t="array" ref="AK201">IFERROR(ROUND(AVERAGE(_xlfn._xlws.FILTER(Eingabe[GES],(Eingabe[Name]=AuswertungA[[#This Row],[Name]])*(Eingabe[Wo]="A")*(Eingabe[GEGGES]&gt;(AuswertungA[[#This Row],[GES A]]+20))))-AuswertungA[[#This Row],[GES A]],0),"")</f>
        <v/>
      </c>
      <c r="AL201" s="117" cm="1">
        <f t="array" ref="AL201">IFERROR(ROUND(AVERAGE(_xlfn._xlws.FILTER(Eingabe[GES],(Eingabe[Name]=AuswertungA[[#This Row],[Name]])*(Eingabe[Wo]="A")*(Eingabe[GEGGES]&lt;(AuswertungA[[#This Row],[GES A]]-20))))-AuswertungA[[#This Row],[GES A]],0),"")</f>
        <v>-12</v>
      </c>
    </row>
    <row r="202" spans="2:38" x14ac:dyDescent="0.3">
      <c r="B202" s="118" t="str">
        <f t="shared" si="3"/>
        <v>Peter Weißling</v>
      </c>
      <c r="C202" s="119" t="str">
        <f>IF(AuswertungA[[#This Row],[Name]]="","",VLOOKUP(AuswertungA[[#This Row],[Name]],Teamzuordnung[[Name]:[Team]],2,TRUE))</f>
        <v>D</v>
      </c>
      <c r="D202" s="120">
        <f>COUNTIFS(Eingabe[Name],AuswertungA[[#This Row],[Name]],Eingabe[Wo],"A")</f>
        <v>1</v>
      </c>
      <c r="E202" s="116">
        <f>IF(AuswertungA[[#This Row],[Spiele A]]="","",IF(AuswertungA[[#This Row],[Spiele A]]-COUNTIFS(Eingabe[Name],AuswertungA[[#This Row],[Name]],Eingabe[MP],"",Eingabe[Wo],"A")=0,"",AuswertungA[[#This Row],[Spiele A]]-COUNTIFS(Eingabe[Name],AuswertungA[[#This Row],[Name]],Eingabe[MP],"",Eingabe[Wo],"A")))</f>
        <v>1</v>
      </c>
      <c r="F202" s="117">
        <f>IF(AuswertungA[[#This Row],[Spiele A]]=0,"",ROUND(AVERAGEIFS(Eingabe[Volle],Eingabe[Name],AuswertungA[[#This Row],[Name]],Eingabe[Wo],"A"),0))</f>
        <v>342</v>
      </c>
      <c r="G202" s="117">
        <f>IF(AuswertungA[[#This Row],[Spiele A]]=0,"",ROUND(AVERAGEIFS(Eingabe[Räumer],Eingabe[Name],AuswertungA[[#This Row],[Name]],Eingabe[Wo],"A"),0))</f>
        <v>145</v>
      </c>
      <c r="H202" s="123">
        <f>IF(AuswertungA[[#This Row],[Spiele A]]=0,"",ROUND(AVERAGEIFS(Eingabe[Fehler],Eingabe[Name],AuswertungA[[#This Row],[Name]],Eingabe[Wo],"A"),1))</f>
        <v>8</v>
      </c>
      <c r="I202" s="117">
        <f>IF(AuswertungA[[#This Row],[Spiele A]]=0,"",ROUND(AVERAGEIFS(Eingabe[GES],Eingabe[Name],AuswertungA[[#This Row],[Name]],Eingabe[Wo],"A"),0))</f>
        <v>487</v>
      </c>
      <c r="J202" s="123">
        <f>IF(AuswertungA[[#This Row],[Spiele MP A]]="","",ROUND(AVERAGEIFS(Eingabe[SP],Eingabe[Name],AuswertungA[[#This Row],[Name]],Eingabe[Wo],"A"),2))</f>
        <v>2</v>
      </c>
      <c r="K202" s="121">
        <f>IF(AuswertungA[[#This Row],[Spiele MP A]]="","",ROUND(AVERAGEIFS(Eingabe[MP],Eingabe[Name],AuswertungA[[#This Row],[Name]],Eingabe[Wo],"A"),2))</f>
        <v>1</v>
      </c>
      <c r="L202" s="117">
        <f>IFERROR(ROUND(AVERAGEIFS(Eingabe[S1],Eingabe[Name],AuswertungA[[#This Row],[Name]],Eingabe[Wo],"A"),0),"")</f>
        <v>113</v>
      </c>
      <c r="M202" s="268">
        <f>IFERROR(ROUND(AVERAGEIFS(Eingabe[S2],Eingabe[Name],AuswertungA[[#This Row],[Name]],Eingabe[Wo],"A"),0),"")</f>
        <v>138</v>
      </c>
      <c r="N202" s="117">
        <f>IFERROR(ROUND(AVERAGEIFS(Eingabe[S3],Eingabe[Name],AuswertungA[[#This Row],[Name]],Eingabe[Wo],"A"),0),"")</f>
        <v>130</v>
      </c>
      <c r="O202" s="268">
        <f>IFERROR(ROUND(AVERAGEIFS(Eingabe[S4],Eingabe[Name],AuswertungA[[#This Row],[Name]],Eingabe[Wo],"A"),0),"")</f>
        <v>106</v>
      </c>
      <c r="P202" s="121">
        <f>IF(AuswertungA[[#This Row],[Spiele MP A]]="","",ROUND(AVERAGEIFS(Eingabe[S1P],Eingabe[Name],AuswertungA[[#This Row],[Name]],Eingabe[Wo],"A"),2))</f>
        <v>0</v>
      </c>
      <c r="Q202" s="121">
        <f>IF(AuswertungA[[#This Row],[Spiele MP A]]="","",ROUND(AVERAGEIFS(Eingabe[S2P],Eingabe[Name],AuswertungA[[#This Row],[Name]],Eingabe[Wo],"A"),2))</f>
        <v>1</v>
      </c>
      <c r="R202" s="121">
        <f>IF(AuswertungA[[#This Row],[Spiele MP A]]="","",ROUND(AVERAGEIFS(Eingabe[S3P],Eingabe[Name],AuswertungA[[#This Row],[Name]],Eingabe[Wo],"A"),2))</f>
        <v>1</v>
      </c>
      <c r="S202" s="121">
        <f>IF(AuswertungA[[#This Row],[Spiele MP A]]="","",ROUND(AVERAGEIFS(Eingabe[S4P],Eingabe[Name],AuswertungA[[#This Row],[Name]],Eingabe[Wo],"A"),2))</f>
        <v>0</v>
      </c>
      <c r="T202" s="123" t="str" cm="1">
        <f t="array" ref="T202">IF(AuswertungA[[#This Row],[Spiele A]]="","",IF(AuswertungA[[#This Row],[Spiele A]]&lt;2,"",ROUND(SLOPE(_xlfn._xlws.FILTER(Eingabe[GES],(Eingabe[Name]=AuswertungA[[#This Row],[Name]])*(Eingabe[Wo]="A")),_xlfn._xlws.FILTER(Eingabe[KW],(Eingabe[Name]=AuswertungA[[#This Row],[Name]])*(Eingabe[Wo]="A"))),2)))</f>
        <v/>
      </c>
      <c r="U202" s="123" t="str" cm="1">
        <f t="array" ref="U202">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202" s="117" t="str" cm="1">
        <f t="array" ref="V202">IF(AuswertungA[[#This Row],[Spiele A]]="","",IF(AuswertungA[[#This Row],[Spiele A]]&lt;2,"",ROUND(_xlfn.STDEV.P(_xlfn._xlws.FILTER(Eingabe[GES],(Eingabe[Name]=AuswertungA[[#This Row],[Name]])*(Eingabe[Wo]="A"))),0)))</f>
        <v/>
      </c>
      <c r="W202" s="117">
        <f>IF(AuswertungA[[#This Row],[Spiele MP A]]="","",ROUND(AVERAGEIFS(Eingabe[GEGGES],Eingabe[Name],AuswertungA[[#This Row],[Name]],Eingabe[Wo],"A"),0))</f>
        <v>473</v>
      </c>
      <c r="X202" s="116" t="str">
        <f>VLOOKUP(AuswertungA[[#This Row],[Name]],PositionA[],21,FALSE)</f>
        <v>[3]</v>
      </c>
      <c r="Y202" s="116">
        <f>VLOOKUP(AuswertungA[[#This Row],[Name]],PositionA[],22,FALSE)</f>
        <v>1</v>
      </c>
      <c r="Z202" s="116" t="str">
        <f>VLOOKUP(AuswertungA[[#This Row],[Name]],PositionA[],23,FALSE)</f>
        <v>[3]</v>
      </c>
      <c r="AA202" s="121">
        <f>IF(AuswertungA[[#This Row],[Spiele MP A]]="","",ROUND(VLOOKUP(AuswertungA[[#This Row],[Name]],PositionA[],24,FALSE),2))</f>
        <v>1</v>
      </c>
      <c r="AB202" s="123">
        <f>IFERROR(ROUND(AVERAGEIFS(Eingabe[Rang],Eingabe[Name],AuswertungA[[#This Row],[Name]],Eingabe[Wo],"A"),1),"")</f>
        <v>5</v>
      </c>
      <c r="AC202" s="123" cm="1">
        <f t="array" ref="AC202">IFERROR(ROUND(MEDIAN(_xlfn._xlws.FILTER(Eingabe[GES],(Eingabe[Name]=AuswertungA[[#This Row],[Name]])*(Eingabe[Wo]="A"))),0),"")</f>
        <v>487</v>
      </c>
      <c r="AD202" s="121" t="str">
        <f>IFERROR(AuswertungA[[#This Row],[STABW A]]/AuswertungA[[#This Row],[GES A]],"")</f>
        <v/>
      </c>
      <c r="AE202" s="123" cm="1">
        <f t="array" ref="AE202">IFERROR(ROUND(_xlfn.QUARTILE.INC(_xlfn._xlws.FILTER(Eingabe[GES],(Eingabe[Name]=AuswertungA[[#This Row],[Name]])*(Eingabe[Wo]="A")),3)-_xlfn.QUARTILE.INC(_xlfn._xlws.FILTER(Eingabe[GES],(Eingabe[Name]=AuswertungA[[#This Row],[Name]])*(Eingabe[Wo]="A")),1),0),"")</f>
        <v>0</v>
      </c>
      <c r="AF202" s="123" t="str">
        <f>IFERROR(1/AuswertungA[[#This Row],[VK A]],"")</f>
        <v/>
      </c>
      <c r="AG202" s="123">
        <f>IFERROR(AuswertungA[[#This Row],[Volle A]]/AuswertungA[[#This Row],[Räumer A]]-2,"")</f>
        <v>0.35862068965517224</v>
      </c>
      <c r="AH202" s="117">
        <f>IFERROR(ROUND((AuswertungA[[#This Row],[Spiele A]]*60)/(AuswertungA[[#This Row],[Fehler A]]*AuswertungA[[#This Row],[Spiele A]]),0),"")</f>
        <v>8</v>
      </c>
      <c r="AI202" s="123" t="str" cm="1">
        <f t="array" ref="AI202">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202" s="267">
        <f>IFERROR(ROUND(AVERAGEIFS(Eingabe[MP],Eingabe[Diff],"&lt;15",Eingabe[Name],AuswertungA[[#This Row],[Name]],Eingabe[Wo],"A")-AuswertungA[[#This Row],[MP A]],2),"")</f>
        <v>0</v>
      </c>
      <c r="AK202" s="117" t="str" cm="1">
        <f t="array" ref="AK202">IFERROR(ROUND(AVERAGE(_xlfn._xlws.FILTER(Eingabe[GES],(Eingabe[Name]=AuswertungA[[#This Row],[Name]])*(Eingabe[Wo]="A")*(Eingabe[GEGGES]&gt;(AuswertungA[[#This Row],[GES A]]+20))))-AuswertungA[[#This Row],[GES A]],0),"")</f>
        <v/>
      </c>
      <c r="AL202" s="117" t="str" cm="1">
        <f t="array" ref="AL202">IFERROR(ROUND(AVERAGE(_xlfn._xlws.FILTER(Eingabe[GES],(Eingabe[Name]=AuswertungA[[#This Row],[Name]])*(Eingabe[Wo]="A")*(Eingabe[GEGGES]&lt;(AuswertungA[[#This Row],[GES A]]-20))))-AuswertungA[[#This Row],[GES A]],0),"")</f>
        <v/>
      </c>
    </row>
    <row r="203" spans="2:38" x14ac:dyDescent="0.3">
      <c r="B203" s="118" t="str">
        <f t="shared" si="3"/>
        <v>Petra Kubon</v>
      </c>
      <c r="C203" s="119" t="str">
        <f>IF(AuswertungA[[#This Row],[Name]]="","",VLOOKUP(AuswertungA[[#This Row],[Name]],Teamzuordnung[[Name]:[Team]],2,TRUE))</f>
        <v>F</v>
      </c>
      <c r="D203" s="120">
        <f>COUNTIFS(Eingabe[Name],AuswertungA[[#This Row],[Name]],Eingabe[Wo],"A")</f>
        <v>0</v>
      </c>
      <c r="E203" s="116" t="str">
        <f>IF(AuswertungA[[#This Row],[Spiele A]]="","",IF(AuswertungA[[#This Row],[Spiele A]]-COUNTIFS(Eingabe[Name],AuswertungA[[#This Row],[Name]],Eingabe[MP],"",Eingabe[Wo],"A")=0,"",AuswertungA[[#This Row],[Spiele A]]-COUNTIFS(Eingabe[Name],AuswertungA[[#This Row],[Name]],Eingabe[MP],"",Eingabe[Wo],"A")))</f>
        <v/>
      </c>
      <c r="F203" s="117" t="str">
        <f>IF(AuswertungA[[#This Row],[Spiele A]]=0,"",ROUND(AVERAGEIFS(Eingabe[Volle],Eingabe[Name],AuswertungA[[#This Row],[Name]],Eingabe[Wo],"A"),0))</f>
        <v/>
      </c>
      <c r="G203" s="117" t="str">
        <f>IF(AuswertungA[[#This Row],[Spiele A]]=0,"",ROUND(AVERAGEIFS(Eingabe[Räumer],Eingabe[Name],AuswertungA[[#This Row],[Name]],Eingabe[Wo],"A"),0))</f>
        <v/>
      </c>
      <c r="H203" s="123" t="str">
        <f>IF(AuswertungA[[#This Row],[Spiele A]]=0,"",ROUND(AVERAGEIFS(Eingabe[Fehler],Eingabe[Name],AuswertungA[[#This Row],[Name]],Eingabe[Wo],"A"),1))</f>
        <v/>
      </c>
      <c r="I203" s="117" t="str">
        <f>IF(AuswertungA[[#This Row],[Spiele A]]=0,"",ROUND(AVERAGEIFS(Eingabe[GES],Eingabe[Name],AuswertungA[[#This Row],[Name]],Eingabe[Wo],"A"),0))</f>
        <v/>
      </c>
      <c r="J203" s="123" t="str">
        <f>IF(AuswertungA[[#This Row],[Spiele MP A]]="","",ROUND(AVERAGEIFS(Eingabe[SP],Eingabe[Name],AuswertungA[[#This Row],[Name]],Eingabe[Wo],"A"),2))</f>
        <v/>
      </c>
      <c r="K203" s="121" t="str">
        <f>IF(AuswertungA[[#This Row],[Spiele MP A]]="","",ROUND(AVERAGEIFS(Eingabe[MP],Eingabe[Name],AuswertungA[[#This Row],[Name]],Eingabe[Wo],"A"),2))</f>
        <v/>
      </c>
      <c r="L203" s="117" t="str">
        <f>IFERROR(ROUND(AVERAGEIFS(Eingabe[S1],Eingabe[Name],AuswertungA[[#This Row],[Name]],Eingabe[Wo],"A"),0),"")</f>
        <v/>
      </c>
      <c r="M203" s="268" t="str">
        <f>IFERROR(ROUND(AVERAGEIFS(Eingabe[S2],Eingabe[Name],AuswertungA[[#This Row],[Name]],Eingabe[Wo],"A"),0),"")</f>
        <v/>
      </c>
      <c r="N203" s="117" t="str">
        <f>IFERROR(ROUND(AVERAGEIFS(Eingabe[S3],Eingabe[Name],AuswertungA[[#This Row],[Name]],Eingabe[Wo],"A"),0),"")</f>
        <v/>
      </c>
      <c r="O203" s="268" t="str">
        <f>IFERROR(ROUND(AVERAGEIFS(Eingabe[S4],Eingabe[Name],AuswertungA[[#This Row],[Name]],Eingabe[Wo],"A"),0),"")</f>
        <v/>
      </c>
      <c r="P203" s="121" t="str">
        <f>IF(AuswertungA[[#This Row],[Spiele MP A]]="","",ROUND(AVERAGEIFS(Eingabe[S1P],Eingabe[Name],AuswertungA[[#This Row],[Name]],Eingabe[Wo],"A"),2))</f>
        <v/>
      </c>
      <c r="Q203" s="121" t="str">
        <f>IF(AuswertungA[[#This Row],[Spiele MP A]]="","",ROUND(AVERAGEIFS(Eingabe[S2P],Eingabe[Name],AuswertungA[[#This Row],[Name]],Eingabe[Wo],"A"),2))</f>
        <v/>
      </c>
      <c r="R203" s="121" t="str">
        <f>IF(AuswertungA[[#This Row],[Spiele MP A]]="","",ROUND(AVERAGEIFS(Eingabe[S3P],Eingabe[Name],AuswertungA[[#This Row],[Name]],Eingabe[Wo],"A"),2))</f>
        <v/>
      </c>
      <c r="S203" s="121" t="str">
        <f>IF(AuswertungA[[#This Row],[Spiele MP A]]="","",ROUND(AVERAGEIFS(Eingabe[S4P],Eingabe[Name],AuswertungA[[#This Row],[Name]],Eingabe[Wo],"A"),2))</f>
        <v/>
      </c>
      <c r="T203" s="123" t="str" cm="1">
        <f t="array" ref="T203">IF(AuswertungA[[#This Row],[Spiele A]]="","",IF(AuswertungA[[#This Row],[Spiele A]]&lt;2,"",ROUND(SLOPE(_xlfn._xlws.FILTER(Eingabe[GES],(Eingabe[Name]=AuswertungA[[#This Row],[Name]])*(Eingabe[Wo]="A")),_xlfn._xlws.FILTER(Eingabe[KW],(Eingabe[Name]=AuswertungA[[#This Row],[Name]])*(Eingabe[Wo]="A"))),2)))</f>
        <v/>
      </c>
      <c r="U203" s="123" t="str" cm="1">
        <f t="array" ref="U203">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203" s="117" t="str" cm="1">
        <f t="array" ref="V203">IF(AuswertungA[[#This Row],[Spiele A]]="","",IF(AuswertungA[[#This Row],[Spiele A]]&lt;2,"",ROUND(_xlfn.STDEV.P(_xlfn._xlws.FILTER(Eingabe[GES],(Eingabe[Name]=AuswertungA[[#This Row],[Name]])*(Eingabe[Wo]="A"))),0)))</f>
        <v/>
      </c>
      <c r="W203" s="117" t="str">
        <f>IF(AuswertungA[[#This Row],[Spiele MP A]]="","",ROUND(AVERAGEIFS(Eingabe[GEGGES],Eingabe[Name],AuswertungA[[#This Row],[Name]],Eingabe[Wo],"A"),0))</f>
        <v/>
      </c>
      <c r="X203" s="116" t="str">
        <f>VLOOKUP(AuswertungA[[#This Row],[Name]],PositionA[],21,FALSE)</f>
        <v/>
      </c>
      <c r="Y203" s="116" t="str">
        <f>VLOOKUP(AuswertungA[[#This Row],[Name]],PositionA[],22,FALSE)</f>
        <v/>
      </c>
      <c r="Z203" s="116" t="str">
        <f>VLOOKUP(AuswertungA[[#This Row],[Name]],PositionA[],23,FALSE)</f>
        <v/>
      </c>
      <c r="AA203" s="121" t="str">
        <f>IF(AuswertungA[[#This Row],[Spiele MP A]]="","",ROUND(VLOOKUP(AuswertungA[[#This Row],[Name]],PositionA[],24,FALSE),2))</f>
        <v/>
      </c>
      <c r="AB203" s="123" t="str">
        <f>IFERROR(ROUND(AVERAGEIFS(Eingabe[Rang],Eingabe[Name],AuswertungA[[#This Row],[Name]],Eingabe[Wo],"A"),1),"")</f>
        <v/>
      </c>
      <c r="AC203" s="123" t="str" cm="1">
        <f t="array" ref="AC203">IFERROR(ROUND(MEDIAN(_xlfn._xlws.FILTER(Eingabe[GES],(Eingabe[Name]=AuswertungA[[#This Row],[Name]])*(Eingabe[Wo]="A"))),0),"")</f>
        <v/>
      </c>
      <c r="AD203" s="121" t="str">
        <f>IFERROR(AuswertungA[[#This Row],[STABW A]]/AuswertungA[[#This Row],[GES A]],"")</f>
        <v/>
      </c>
      <c r="AE203" s="123" t="str" cm="1">
        <f t="array" ref="AE203">IFERROR(ROUND(_xlfn.QUARTILE.INC(_xlfn._xlws.FILTER(Eingabe[GES],(Eingabe[Name]=AuswertungA[[#This Row],[Name]])*(Eingabe[Wo]="A")),3)-_xlfn.QUARTILE.INC(_xlfn._xlws.FILTER(Eingabe[GES],(Eingabe[Name]=AuswertungA[[#This Row],[Name]])*(Eingabe[Wo]="A")),1),0),"")</f>
        <v/>
      </c>
      <c r="AF203" s="123" t="str">
        <f>IFERROR(1/AuswertungA[[#This Row],[VK A]],"")</f>
        <v/>
      </c>
      <c r="AG203" s="123" t="str">
        <f>IFERROR(AuswertungA[[#This Row],[Volle A]]/AuswertungA[[#This Row],[Räumer A]]-2,"")</f>
        <v/>
      </c>
      <c r="AH203" s="117" t="str">
        <f>IFERROR(ROUND((AuswertungA[[#This Row],[Spiele A]]*60)/(AuswertungA[[#This Row],[Fehler A]]*AuswertungA[[#This Row],[Spiele A]]),0),"")</f>
        <v/>
      </c>
      <c r="AI203" s="123" t="str" cm="1">
        <f t="array" ref="AI203">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203" s="267" t="str">
        <f>IFERROR(ROUND(AVERAGEIFS(Eingabe[MP],Eingabe[Diff],"&lt;15",Eingabe[Name],AuswertungA[[#This Row],[Name]],Eingabe[Wo],"A")-AuswertungA[[#This Row],[MP A]],2),"")</f>
        <v/>
      </c>
      <c r="AK203" s="117" t="str" cm="1">
        <f t="array" ref="AK203">IFERROR(ROUND(AVERAGE(_xlfn._xlws.FILTER(Eingabe[GES],(Eingabe[Name]=AuswertungA[[#This Row],[Name]])*(Eingabe[Wo]="A")*(Eingabe[GEGGES]&gt;(AuswertungA[[#This Row],[GES A]]+20))))-AuswertungA[[#This Row],[GES A]],0),"")</f>
        <v/>
      </c>
      <c r="AL203" s="117" t="str" cm="1">
        <f t="array" ref="AL203">IFERROR(ROUND(AVERAGE(_xlfn._xlws.FILTER(Eingabe[GES],(Eingabe[Name]=AuswertungA[[#This Row],[Name]])*(Eingabe[Wo]="A")*(Eingabe[GEGGES]&lt;(AuswertungA[[#This Row],[GES A]]-20))))-AuswertungA[[#This Row],[GES A]],0),"")</f>
        <v/>
      </c>
    </row>
    <row r="204" spans="2:38" x14ac:dyDescent="0.3">
      <c r="B204" s="118" t="str">
        <f t="shared" si="3"/>
        <v>Philipp Paulmann</v>
      </c>
      <c r="C204" s="119" t="str">
        <f>IF(AuswertungA[[#This Row],[Name]]="","",VLOOKUP(AuswertungA[[#This Row],[Name]],Teamzuordnung[[Name]:[Team]],2,TRUE))</f>
        <v>E</v>
      </c>
      <c r="D204" s="120">
        <f>COUNTIFS(Eingabe[Name],AuswertungA[[#This Row],[Name]],Eingabe[Wo],"A")</f>
        <v>5</v>
      </c>
      <c r="E204" s="116">
        <f>IF(AuswertungA[[#This Row],[Spiele A]]="","",IF(AuswertungA[[#This Row],[Spiele A]]-COUNTIFS(Eingabe[Name],AuswertungA[[#This Row],[Name]],Eingabe[MP],"",Eingabe[Wo],"A")=0,"",AuswertungA[[#This Row],[Spiele A]]-COUNTIFS(Eingabe[Name],AuswertungA[[#This Row],[Name]],Eingabe[MP],"",Eingabe[Wo],"A")))</f>
        <v>5</v>
      </c>
      <c r="F204" s="117">
        <f>IF(AuswertungA[[#This Row],[Spiele A]]=0,"",ROUND(AVERAGEIFS(Eingabe[Volle],Eingabe[Name],AuswertungA[[#This Row],[Name]],Eingabe[Wo],"A"),0))</f>
        <v>368</v>
      </c>
      <c r="G204" s="117">
        <f>IF(AuswertungA[[#This Row],[Spiele A]]=0,"",ROUND(AVERAGEIFS(Eingabe[Räumer],Eingabe[Name],AuswertungA[[#This Row],[Name]],Eingabe[Wo],"A"),0))</f>
        <v>198</v>
      </c>
      <c r="H204" s="123">
        <f>IF(AuswertungA[[#This Row],[Spiele A]]=0,"",ROUND(AVERAGEIFS(Eingabe[Fehler],Eingabe[Name],AuswertungA[[#This Row],[Name]],Eingabe[Wo],"A"),1))</f>
        <v>4.5999999999999996</v>
      </c>
      <c r="I204" s="117">
        <f>IF(AuswertungA[[#This Row],[Spiele A]]=0,"",ROUND(AVERAGEIFS(Eingabe[GES],Eingabe[Name],AuswertungA[[#This Row],[Name]],Eingabe[Wo],"A"),0))</f>
        <v>566</v>
      </c>
      <c r="J204" s="123">
        <f>IF(AuswertungA[[#This Row],[Spiele MP A]]="","",ROUND(AVERAGEIFS(Eingabe[SP],Eingabe[Name],AuswertungA[[#This Row],[Name]],Eingabe[Wo],"A"),2))</f>
        <v>1.7</v>
      </c>
      <c r="K204" s="121">
        <f>IF(AuswertungA[[#This Row],[Spiele MP A]]="","",ROUND(AVERAGEIFS(Eingabe[MP],Eingabe[Name],AuswertungA[[#This Row],[Name]],Eingabe[Wo],"A"),2))</f>
        <v>0.4</v>
      </c>
      <c r="L204" s="117">
        <f>IFERROR(ROUND(AVERAGEIFS(Eingabe[S1],Eingabe[Name],AuswertungA[[#This Row],[Name]],Eingabe[Wo],"A"),0),"")</f>
        <v>151</v>
      </c>
      <c r="M204" s="268">
        <f>IFERROR(ROUND(AVERAGEIFS(Eingabe[S2],Eingabe[Name],AuswertungA[[#This Row],[Name]],Eingabe[Wo],"A"),0),"")</f>
        <v>142</v>
      </c>
      <c r="N204" s="117">
        <f>IFERROR(ROUND(AVERAGEIFS(Eingabe[S3],Eingabe[Name],AuswertungA[[#This Row],[Name]],Eingabe[Wo],"A"),0),"")</f>
        <v>137</v>
      </c>
      <c r="O204" s="268">
        <f>IFERROR(ROUND(AVERAGEIFS(Eingabe[S4],Eingabe[Name],AuswertungA[[#This Row],[Name]],Eingabe[Wo],"A"),0),"")</f>
        <v>134</v>
      </c>
      <c r="P204" s="121">
        <f>IF(AuswertungA[[#This Row],[Spiele MP A]]="","",ROUND(AVERAGEIFS(Eingabe[S1P],Eingabe[Name],AuswertungA[[#This Row],[Name]],Eingabe[Wo],"A"),2))</f>
        <v>0.7</v>
      </c>
      <c r="Q204" s="121">
        <f>IF(AuswertungA[[#This Row],[Spiele MP A]]="","",ROUND(AVERAGEIFS(Eingabe[S2P],Eingabe[Name],AuswertungA[[#This Row],[Name]],Eingabe[Wo],"A"),2))</f>
        <v>0.6</v>
      </c>
      <c r="R204" s="121">
        <f>IF(AuswertungA[[#This Row],[Spiele MP A]]="","",ROUND(AVERAGEIFS(Eingabe[S3P],Eingabe[Name],AuswertungA[[#This Row],[Name]],Eingabe[Wo],"A"),2))</f>
        <v>0.2</v>
      </c>
      <c r="S204" s="121">
        <f>IF(AuswertungA[[#This Row],[Spiele MP A]]="","",ROUND(AVERAGEIFS(Eingabe[S4P],Eingabe[Name],AuswertungA[[#This Row],[Name]],Eingabe[Wo],"A"),2))</f>
        <v>0.2</v>
      </c>
      <c r="T204" s="123" cm="1">
        <f t="array" ref="T204">IF(AuswertungA[[#This Row],[Spiele A]]="","",IF(AuswertungA[[#This Row],[Spiele A]]&lt;2,"",ROUND(SLOPE(_xlfn._xlws.FILTER(Eingabe[GES],(Eingabe[Name]=AuswertungA[[#This Row],[Name]])*(Eingabe[Wo]="A")),_xlfn._xlws.FILTER(Eingabe[KW],(Eingabe[Name]=AuswertungA[[#This Row],[Name]])*(Eingabe[Wo]="A"))),2)))</f>
        <v>-0.92</v>
      </c>
      <c r="U204" s="123" cm="1">
        <f t="array" ref="U204">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-9.5399999999999991</v>
      </c>
      <c r="V204" s="117" cm="1">
        <f t="array" ref="V204">IF(AuswertungA[[#This Row],[Spiele A]]="","",IF(AuswertungA[[#This Row],[Spiele A]]&lt;2,"",ROUND(_xlfn.STDEV.P(_xlfn._xlws.FILTER(Eingabe[GES],(Eingabe[Name]=AuswertungA[[#This Row],[Name]])*(Eingabe[Wo]="A"))),0)))</f>
        <v>47</v>
      </c>
      <c r="W204" s="117">
        <f>IF(AuswertungA[[#This Row],[Spiele MP A]]="","",ROUND(AVERAGEIFS(Eingabe[GEGGES],Eingabe[Name],AuswertungA[[#This Row],[Name]],Eingabe[Wo],"A"),0))</f>
        <v>574</v>
      </c>
      <c r="X204" s="116" t="str">
        <f>VLOOKUP(AuswertungA[[#This Row],[Name]],PositionA[],21,FALSE)</f>
        <v>[6]</v>
      </c>
      <c r="Y204" s="116">
        <f>VLOOKUP(AuswertungA[[#This Row],[Name]],PositionA[],22,FALSE)</f>
        <v>3</v>
      </c>
      <c r="Z204" s="116" t="str">
        <f>VLOOKUP(AuswertungA[[#This Row],[Name]],PositionA[],23,FALSE)</f>
        <v>[5]</v>
      </c>
      <c r="AA204" s="121">
        <f>IF(AuswertungA[[#This Row],[Spiele MP A]]="","",ROUND(VLOOKUP(AuswertungA[[#This Row],[Name]],PositionA[],24,FALSE),2))</f>
        <v>0.5</v>
      </c>
      <c r="AB204" s="123">
        <f>IFERROR(ROUND(AVERAGEIFS(Eingabe[Rang],Eingabe[Name],AuswertungA[[#This Row],[Name]],Eingabe[Wo],"A"),1),"")</f>
        <v>2.8</v>
      </c>
      <c r="AC204" s="123" cm="1">
        <f t="array" ref="AC204">IFERROR(ROUND(MEDIAN(_xlfn._xlws.FILTER(Eingabe[GES],(Eingabe[Name]=AuswertungA[[#This Row],[Name]])*(Eingabe[Wo]="A"))),0),"")</f>
        <v>550</v>
      </c>
      <c r="AD204" s="121">
        <f>IFERROR(AuswertungA[[#This Row],[STABW A]]/AuswertungA[[#This Row],[GES A]],"")</f>
        <v>8.3038869257950523E-2</v>
      </c>
      <c r="AE204" s="123" cm="1">
        <f t="array" ref="AE204">IFERROR(ROUND(_xlfn.QUARTILE.INC(_xlfn._xlws.FILTER(Eingabe[GES],(Eingabe[Name]=AuswertungA[[#This Row],[Name]])*(Eingabe[Wo]="A")),3)-_xlfn.QUARTILE.INC(_xlfn._xlws.FILTER(Eingabe[GES],(Eingabe[Name]=AuswertungA[[#This Row],[Name]])*(Eingabe[Wo]="A")),1),0),"")</f>
        <v>39</v>
      </c>
      <c r="AF204" s="123">
        <f>IFERROR(1/AuswertungA[[#This Row],[VK A]],"")</f>
        <v>12.042553191489363</v>
      </c>
      <c r="AG204" s="123">
        <f>IFERROR(AuswertungA[[#This Row],[Volle A]]/AuswertungA[[#This Row],[Räumer A]]-2,"")</f>
        <v>-0.14141414141414144</v>
      </c>
      <c r="AH204" s="117">
        <f>IFERROR(ROUND((AuswertungA[[#This Row],[Spiele A]]*60)/(AuswertungA[[#This Row],[Fehler A]]*AuswertungA[[#This Row],[Spiele A]]),0),"")</f>
        <v>13</v>
      </c>
      <c r="AI204" s="123" t="str" cm="1">
        <f t="array" ref="AI204">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204" s="267" t="str">
        <f>IFERROR(ROUND(AVERAGEIFS(Eingabe[MP],Eingabe[Diff],"&lt;15",Eingabe[Name],AuswertungA[[#This Row],[Name]],Eingabe[Wo],"A")-AuswertungA[[#This Row],[MP A]],2),"")</f>
        <v/>
      </c>
      <c r="AK204" s="117" cm="1">
        <f t="array" ref="AK204">IFERROR(ROUND(AVERAGE(_xlfn._xlws.FILTER(Eingabe[GES],(Eingabe[Name]=AuswertungA[[#This Row],[Name]])*(Eingabe[Wo]="A")*(Eingabe[GEGGES]&gt;(AuswertungA[[#This Row],[GES A]]+20))))-AuswertungA[[#This Row],[GES A]],0),"")</f>
        <v>-32</v>
      </c>
      <c r="AL204" s="117" cm="1">
        <f t="array" ref="AL204">IFERROR(ROUND(AVERAGE(_xlfn._xlws.FILTER(Eingabe[GES],(Eingabe[Name]=AuswertungA[[#This Row],[Name]])*(Eingabe[Wo]="A")*(Eingabe[GEGGES]&lt;(AuswertungA[[#This Row],[GES A]]-20))))-AuswertungA[[#This Row],[GES A]],0),"")</f>
        <v>12</v>
      </c>
    </row>
    <row r="205" spans="2:38" x14ac:dyDescent="0.3">
      <c r="B205" s="118" t="str">
        <f t="shared" si="3"/>
        <v>Pia Wätzig</v>
      </c>
      <c r="C205" s="119" t="str">
        <f>IF(AuswertungA[[#This Row],[Name]]="","",VLOOKUP(AuswertungA[[#This Row],[Name]],Teamzuordnung[[Name]:[Team]],2,TRUE))</f>
        <v>U19</v>
      </c>
      <c r="D205" s="120">
        <f>COUNTIFS(Eingabe[Name],AuswertungA[[#This Row],[Name]],Eingabe[Wo],"A")</f>
        <v>9</v>
      </c>
      <c r="E205" s="116">
        <f>IF(AuswertungA[[#This Row],[Spiele A]]="","",IF(AuswertungA[[#This Row],[Spiele A]]-COUNTIFS(Eingabe[Name],AuswertungA[[#This Row],[Name]],Eingabe[MP],"",Eingabe[Wo],"A")=0,"",AuswertungA[[#This Row],[Spiele A]]-COUNTIFS(Eingabe[Name],AuswertungA[[#This Row],[Name]],Eingabe[MP],"",Eingabe[Wo],"A")))</f>
        <v>2</v>
      </c>
      <c r="F205" s="117">
        <f>IF(AuswertungA[[#This Row],[Spiele A]]=0,"",ROUND(AVERAGEIFS(Eingabe[Volle],Eingabe[Name],AuswertungA[[#This Row],[Name]],Eingabe[Wo],"A"),0))</f>
        <v>331</v>
      </c>
      <c r="G205" s="117">
        <f>IF(AuswertungA[[#This Row],[Spiele A]]=0,"",ROUND(AVERAGEIFS(Eingabe[Räumer],Eingabe[Name],AuswertungA[[#This Row],[Name]],Eingabe[Wo],"A"),0))</f>
        <v>136</v>
      </c>
      <c r="H205" s="123">
        <f>IF(AuswertungA[[#This Row],[Spiele A]]=0,"",ROUND(AVERAGEIFS(Eingabe[Fehler],Eingabe[Name],AuswertungA[[#This Row],[Name]],Eingabe[Wo],"A"),1))</f>
        <v>15.2</v>
      </c>
      <c r="I205" s="117">
        <f>IF(AuswertungA[[#This Row],[Spiele A]]=0,"",ROUND(AVERAGEIFS(Eingabe[GES],Eingabe[Name],AuswertungA[[#This Row],[Name]],Eingabe[Wo],"A"),0))</f>
        <v>467</v>
      </c>
      <c r="J205" s="123">
        <f>IF(AuswertungA[[#This Row],[Spiele MP A]]="","",ROUND(AVERAGEIFS(Eingabe[SP],Eingabe[Name],AuswertungA[[#This Row],[Name]],Eingabe[Wo],"A"),2))</f>
        <v>0.5</v>
      </c>
      <c r="K205" s="121">
        <f>IF(AuswertungA[[#This Row],[Spiele MP A]]="","",ROUND(AVERAGEIFS(Eingabe[MP],Eingabe[Name],AuswertungA[[#This Row],[Name]],Eingabe[Wo],"A"),2))</f>
        <v>0</v>
      </c>
      <c r="L205" s="117">
        <f>IFERROR(ROUND(AVERAGEIFS(Eingabe[S1],Eingabe[Name],AuswertungA[[#This Row],[Name]],Eingabe[Wo],"A"),0),"")</f>
        <v>119</v>
      </c>
      <c r="M205" s="268">
        <f>IFERROR(ROUND(AVERAGEIFS(Eingabe[S2],Eingabe[Name],AuswertungA[[#This Row],[Name]],Eingabe[Wo],"A"),0),"")</f>
        <v>119</v>
      </c>
      <c r="N205" s="117">
        <f>IFERROR(ROUND(AVERAGEIFS(Eingabe[S3],Eingabe[Name],AuswertungA[[#This Row],[Name]],Eingabe[Wo],"A"),0),"")</f>
        <v>112</v>
      </c>
      <c r="O205" s="268">
        <f>IFERROR(ROUND(AVERAGEIFS(Eingabe[S4],Eingabe[Name],AuswertungA[[#This Row],[Name]],Eingabe[Wo],"A"),0),"")</f>
        <v>117</v>
      </c>
      <c r="P205" s="121">
        <f>IF(AuswertungA[[#This Row],[Spiele MP A]]="","",ROUND(AVERAGEIFS(Eingabe[S1P],Eingabe[Name],AuswertungA[[#This Row],[Name]],Eingabe[Wo],"A"),2))</f>
        <v>0</v>
      </c>
      <c r="Q205" s="121">
        <f>IF(AuswertungA[[#This Row],[Spiele MP A]]="","",ROUND(AVERAGEIFS(Eingabe[S2P],Eingabe[Name],AuswertungA[[#This Row],[Name]],Eingabe[Wo],"A"),2))</f>
        <v>0</v>
      </c>
      <c r="R205" s="121">
        <f>IF(AuswertungA[[#This Row],[Spiele MP A]]="","",ROUND(AVERAGEIFS(Eingabe[S3P],Eingabe[Name],AuswertungA[[#This Row],[Name]],Eingabe[Wo],"A"),2))</f>
        <v>0</v>
      </c>
      <c r="S205" s="121">
        <f>IF(AuswertungA[[#This Row],[Spiele MP A]]="","",ROUND(AVERAGEIFS(Eingabe[S4P],Eingabe[Name],AuswertungA[[#This Row],[Name]],Eingabe[Wo],"A"),2))</f>
        <v>0.5</v>
      </c>
      <c r="T205" s="123" cm="1">
        <f t="array" ref="T205">IF(AuswertungA[[#This Row],[Spiele A]]="","",IF(AuswertungA[[#This Row],[Spiele A]]&lt;2,"",ROUND(SLOPE(_xlfn._xlws.FILTER(Eingabe[GES],(Eingabe[Name]=AuswertungA[[#This Row],[Name]])*(Eingabe[Wo]="A")),_xlfn._xlws.FILTER(Eingabe[KW],(Eingabe[Name]=AuswertungA[[#This Row],[Name]])*(Eingabe[Wo]="A"))),2)))</f>
        <v>1.22</v>
      </c>
      <c r="U205" s="123" cm="1">
        <f t="array" ref="U205">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24.5</v>
      </c>
      <c r="V205" s="117" cm="1">
        <f t="array" ref="V205">IF(AuswertungA[[#This Row],[Spiele A]]="","",IF(AuswertungA[[#This Row],[Spiele A]]&lt;2,"",ROUND(_xlfn.STDEV.P(_xlfn._xlws.FILTER(Eingabe[GES],(Eingabe[Name]=AuswertungA[[#This Row],[Name]])*(Eingabe[Wo]="A"))),0)))</f>
        <v>30</v>
      </c>
      <c r="W205" s="117">
        <f>IF(AuswertungA[[#This Row],[Spiele MP A]]="","",ROUND(AVERAGEIFS(Eingabe[GEGGES],Eingabe[Name],AuswertungA[[#This Row],[Name]],Eingabe[Wo],"A"),0))</f>
        <v>539</v>
      </c>
      <c r="X205" s="116" t="str">
        <f>VLOOKUP(AuswertungA[[#This Row],[Name]],PositionA[],21,FALSE)</f>
        <v>[1][3]</v>
      </c>
      <c r="Y205" s="116">
        <f>VLOOKUP(AuswertungA[[#This Row],[Name]],PositionA[],22,FALSE)</f>
        <v>1</v>
      </c>
      <c r="Z205" s="116" t="str">
        <f>VLOOKUP(AuswertungA[[#This Row],[Name]],PositionA[],23,FALSE)</f>
        <v>[1][3]</v>
      </c>
      <c r="AA205" s="121">
        <f>IF(AuswertungA[[#This Row],[Spiele MP A]]="","",ROUND(VLOOKUP(AuswertungA[[#This Row],[Name]],PositionA[],24,FALSE),2))</f>
        <v>0</v>
      </c>
      <c r="AB205" s="123">
        <f>IFERROR(ROUND(AVERAGEIFS(Eingabe[Rang],Eingabe[Name],AuswertungA[[#This Row],[Name]],Eingabe[Wo],"A"),1),"")</f>
        <v>4</v>
      </c>
      <c r="AC205" s="123" cm="1">
        <f t="array" ref="AC205">IFERROR(ROUND(MEDIAN(_xlfn._xlws.FILTER(Eingabe[GES],(Eingabe[Name]=AuswertungA[[#This Row],[Name]])*(Eingabe[Wo]="A"))),0),"")</f>
        <v>477</v>
      </c>
      <c r="AD205" s="121">
        <f>IFERROR(AuswertungA[[#This Row],[STABW A]]/AuswertungA[[#This Row],[GES A]],"")</f>
        <v>6.4239828693790149E-2</v>
      </c>
      <c r="AE205" s="123" cm="1">
        <f t="array" ref="AE205">IFERROR(ROUND(_xlfn.QUARTILE.INC(_xlfn._xlws.FILTER(Eingabe[GES],(Eingabe[Name]=AuswertungA[[#This Row],[Name]])*(Eingabe[Wo]="A")),3)-_xlfn.QUARTILE.INC(_xlfn._xlws.FILTER(Eingabe[GES],(Eingabe[Name]=AuswertungA[[#This Row],[Name]])*(Eingabe[Wo]="A")),1),0),"")</f>
        <v>28</v>
      </c>
      <c r="AF205" s="123">
        <f>IFERROR(1/AuswertungA[[#This Row],[VK A]],"")</f>
        <v>15.566666666666666</v>
      </c>
      <c r="AG205" s="123">
        <f>IFERROR(AuswertungA[[#This Row],[Volle A]]/AuswertungA[[#This Row],[Räumer A]]-2,"")</f>
        <v>0.4338235294117645</v>
      </c>
      <c r="AH205" s="117">
        <f>IFERROR(ROUND((AuswertungA[[#This Row],[Spiele A]]*60)/(AuswertungA[[#This Row],[Fehler A]]*AuswertungA[[#This Row],[Spiele A]]),0),"")</f>
        <v>4</v>
      </c>
      <c r="AI205" s="123" t="str" cm="1">
        <f t="array" ref="AI205">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205" s="267" t="str">
        <f>IFERROR(ROUND(AVERAGEIFS(Eingabe[MP],Eingabe[Diff],"&lt;15",Eingabe[Name],AuswertungA[[#This Row],[Name]],Eingabe[Wo],"A")-AuswertungA[[#This Row],[MP A]],2),"")</f>
        <v/>
      </c>
      <c r="AK205" s="117" cm="1">
        <f t="array" ref="AK205">IFERROR(ROUND(AVERAGE(_xlfn._xlws.FILTER(Eingabe[GES],(Eingabe[Name]=AuswertungA[[#This Row],[Name]])*(Eingabe[Wo]="A")*(Eingabe[GEGGES]&gt;(AuswertungA[[#This Row],[GES A]]+20))))-AuswertungA[[#This Row],[GES A]],0),"")</f>
        <v>23</v>
      </c>
      <c r="AL205" s="117" cm="1">
        <f t="array" ref="AL205">IFERROR(ROUND(AVERAGE(_xlfn._xlws.FILTER(Eingabe[GES],(Eingabe[Name]=AuswertungA[[#This Row],[Name]])*(Eingabe[Wo]="A")*(Eingabe[GEGGES]&lt;(AuswertungA[[#This Row],[GES A]]-20))))-AuswertungA[[#This Row],[GES A]],0),"")</f>
        <v>-7</v>
      </c>
    </row>
    <row r="206" spans="2:38" x14ac:dyDescent="0.3">
      <c r="B206" s="118" t="str">
        <f t="shared" si="3"/>
        <v>Sophia Stirl</v>
      </c>
      <c r="C206" s="119" t="str">
        <f>IF(AuswertungA[[#This Row],[Name]]="","",VLOOKUP(AuswertungA[[#This Row],[Name]],Teamzuordnung[[Name]:[Team]],2,TRUE))</f>
        <v>U14</v>
      </c>
      <c r="D206" s="120">
        <f>COUNTIFS(Eingabe[Name],AuswertungA[[#This Row],[Name]],Eingabe[Wo],"A")</f>
        <v>6</v>
      </c>
      <c r="E206" s="116" t="str">
        <f>IF(AuswertungA[[#This Row],[Spiele A]]="","",IF(AuswertungA[[#This Row],[Spiele A]]-COUNTIFS(Eingabe[Name],AuswertungA[[#This Row],[Name]],Eingabe[MP],"",Eingabe[Wo],"A")=0,"",AuswertungA[[#This Row],[Spiele A]]-COUNTIFS(Eingabe[Name],AuswertungA[[#This Row],[Name]],Eingabe[MP],"",Eingabe[Wo],"A")))</f>
        <v/>
      </c>
      <c r="F206" s="117">
        <f>IF(AuswertungA[[#This Row],[Spiele A]]=0,"",ROUND(AVERAGEIFS(Eingabe[Volle],Eingabe[Name],AuswertungA[[#This Row],[Name]],Eingabe[Wo],"A"),0))</f>
        <v>296</v>
      </c>
      <c r="G206" s="117">
        <f>IF(AuswertungA[[#This Row],[Spiele A]]=0,"",ROUND(AVERAGEIFS(Eingabe[Räumer],Eingabe[Name],AuswertungA[[#This Row],[Name]],Eingabe[Wo],"A"),0))</f>
        <v>95</v>
      </c>
      <c r="H206" s="123">
        <f>IF(AuswertungA[[#This Row],[Spiele A]]=0,"",ROUND(AVERAGEIFS(Eingabe[Fehler],Eingabe[Name],AuswertungA[[#This Row],[Name]],Eingabe[Wo],"A"),1))</f>
        <v>24.8</v>
      </c>
      <c r="I206" s="117">
        <f>IF(AuswertungA[[#This Row],[Spiele A]]=0,"",ROUND(AVERAGEIFS(Eingabe[GES],Eingabe[Name],AuswertungA[[#This Row],[Name]],Eingabe[Wo],"A"),0))</f>
        <v>391</v>
      </c>
      <c r="J206" s="123" t="str">
        <f>IF(AuswertungA[[#This Row],[Spiele MP A]]="","",ROUND(AVERAGEIFS(Eingabe[SP],Eingabe[Name],AuswertungA[[#This Row],[Name]],Eingabe[Wo],"A"),2))</f>
        <v/>
      </c>
      <c r="K206" s="121" t="str">
        <f>IF(AuswertungA[[#This Row],[Spiele MP A]]="","",ROUND(AVERAGEIFS(Eingabe[MP],Eingabe[Name],AuswertungA[[#This Row],[Name]],Eingabe[Wo],"A"),2))</f>
        <v/>
      </c>
      <c r="L206" s="117">
        <f>IFERROR(ROUND(AVERAGEIFS(Eingabe[S1],Eingabe[Name],AuswertungA[[#This Row],[Name]],Eingabe[Wo],"A"),0),"")</f>
        <v>96</v>
      </c>
      <c r="M206" s="268">
        <f>IFERROR(ROUND(AVERAGEIFS(Eingabe[S2],Eingabe[Name],AuswertungA[[#This Row],[Name]],Eingabe[Wo],"A"),0),"")</f>
        <v>101</v>
      </c>
      <c r="N206" s="117">
        <f>IFERROR(ROUND(AVERAGEIFS(Eingabe[S3],Eingabe[Name],AuswertungA[[#This Row],[Name]],Eingabe[Wo],"A"),0),"")</f>
        <v>95</v>
      </c>
      <c r="O206" s="268">
        <f>IFERROR(ROUND(AVERAGEIFS(Eingabe[S4],Eingabe[Name],AuswertungA[[#This Row],[Name]],Eingabe[Wo],"A"),0),"")</f>
        <v>99</v>
      </c>
      <c r="P206" s="121" t="str">
        <f>IF(AuswertungA[[#This Row],[Spiele MP A]]="","",ROUND(AVERAGEIFS(Eingabe[S1P],Eingabe[Name],AuswertungA[[#This Row],[Name]],Eingabe[Wo],"A"),2))</f>
        <v/>
      </c>
      <c r="Q206" s="121" t="str">
        <f>IF(AuswertungA[[#This Row],[Spiele MP A]]="","",ROUND(AVERAGEIFS(Eingabe[S2P],Eingabe[Name],AuswertungA[[#This Row],[Name]],Eingabe[Wo],"A"),2))</f>
        <v/>
      </c>
      <c r="R206" s="121" t="str">
        <f>IF(AuswertungA[[#This Row],[Spiele MP A]]="","",ROUND(AVERAGEIFS(Eingabe[S3P],Eingabe[Name],AuswertungA[[#This Row],[Name]],Eingabe[Wo],"A"),2))</f>
        <v/>
      </c>
      <c r="S206" s="121" t="str">
        <f>IF(AuswertungA[[#This Row],[Spiele MP A]]="","",ROUND(AVERAGEIFS(Eingabe[S4P],Eingabe[Name],AuswertungA[[#This Row],[Name]],Eingabe[Wo],"A"),2))</f>
        <v/>
      </c>
      <c r="T206" s="123" cm="1">
        <f t="array" ref="T206">IF(AuswertungA[[#This Row],[Spiele A]]="","",IF(AuswertungA[[#This Row],[Spiele A]]&lt;2,"",ROUND(SLOPE(_xlfn._xlws.FILTER(Eingabe[GES],(Eingabe[Name]=AuswertungA[[#This Row],[Name]])*(Eingabe[Wo]="A")),_xlfn._xlws.FILTER(Eingabe[KW],(Eingabe[Name]=AuswertungA[[#This Row],[Name]])*(Eingabe[Wo]="A"))),2)))</f>
        <v>1.61</v>
      </c>
      <c r="U206" s="123" cm="1">
        <f t="array" ref="U206">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-2.76</v>
      </c>
      <c r="V206" s="117" cm="1">
        <f t="array" ref="V206">IF(AuswertungA[[#This Row],[Spiele A]]="","",IF(AuswertungA[[#This Row],[Spiele A]]&lt;2,"",ROUND(_xlfn.STDEV.P(_xlfn._xlws.FILTER(Eingabe[GES],(Eingabe[Name]=AuswertungA[[#This Row],[Name]])*(Eingabe[Wo]="A"))),0)))</f>
        <v>33</v>
      </c>
      <c r="W206" s="117" t="str">
        <f>IF(AuswertungA[[#This Row],[Spiele MP A]]="","",ROUND(AVERAGEIFS(Eingabe[GEGGES],Eingabe[Name],AuswertungA[[#This Row],[Name]],Eingabe[Wo],"A"),0))</f>
        <v/>
      </c>
      <c r="X206" s="116" t="str">
        <f>VLOOKUP(AuswertungA[[#This Row],[Name]],PositionA[],21,FALSE)</f>
        <v/>
      </c>
      <c r="Y206" s="116" t="str">
        <f>VLOOKUP(AuswertungA[[#This Row],[Name]],PositionA[],22,FALSE)</f>
        <v/>
      </c>
      <c r="Z206" s="116" t="str">
        <f>VLOOKUP(AuswertungA[[#This Row],[Name]],PositionA[],23,FALSE)</f>
        <v/>
      </c>
      <c r="AA206" s="121" t="str">
        <f>IF(AuswertungA[[#This Row],[Spiele MP A]]="","",ROUND(VLOOKUP(AuswertungA[[#This Row],[Name]],PositionA[],24,FALSE),2))</f>
        <v/>
      </c>
      <c r="AB206" s="123">
        <f>IFERROR(ROUND(AVERAGEIFS(Eingabe[Rang],Eingabe[Name],AuswertungA[[#This Row],[Name]],Eingabe[Wo],"A"),1),"")</f>
        <v>2</v>
      </c>
      <c r="AC206" s="123" cm="1">
        <f t="array" ref="AC206">IFERROR(ROUND(MEDIAN(_xlfn._xlws.FILTER(Eingabe[GES],(Eingabe[Name]=AuswertungA[[#This Row],[Name]])*(Eingabe[Wo]="A"))),0),"")</f>
        <v>379</v>
      </c>
      <c r="AD206" s="121">
        <f>IFERROR(AuswertungA[[#This Row],[STABW A]]/AuswertungA[[#This Row],[GES A]],"")</f>
        <v>8.4398976982097182E-2</v>
      </c>
      <c r="AE206" s="123" cm="1">
        <f t="array" ref="AE206">IFERROR(ROUND(_xlfn.QUARTILE.INC(_xlfn._xlws.FILTER(Eingabe[GES],(Eingabe[Name]=AuswertungA[[#This Row],[Name]])*(Eingabe[Wo]="A")),3)-_xlfn.QUARTILE.INC(_xlfn._xlws.FILTER(Eingabe[GES],(Eingabe[Name]=AuswertungA[[#This Row],[Name]])*(Eingabe[Wo]="A")),1),0),"")</f>
        <v>56</v>
      </c>
      <c r="AF206" s="123">
        <f>IFERROR(1/AuswertungA[[#This Row],[VK A]],"")</f>
        <v>11.84848484848485</v>
      </c>
      <c r="AG206" s="123">
        <f>IFERROR(AuswertungA[[#This Row],[Volle A]]/AuswertungA[[#This Row],[Räumer A]]-2,"")</f>
        <v>1.1157894736842104</v>
      </c>
      <c r="AH206" s="117">
        <f>IFERROR(ROUND((AuswertungA[[#This Row],[Spiele A]]*60)/(AuswertungA[[#This Row],[Fehler A]]*AuswertungA[[#This Row],[Spiele A]]),0),"")</f>
        <v>2</v>
      </c>
      <c r="AI206" s="123" t="str" cm="1">
        <f t="array" ref="AI206">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206" s="267" t="str">
        <f>IFERROR(ROUND(AVERAGEIFS(Eingabe[MP],Eingabe[Diff],"&lt;15",Eingabe[Name],AuswertungA[[#This Row],[Name]],Eingabe[Wo],"A")-AuswertungA[[#This Row],[MP A]],2),"")</f>
        <v/>
      </c>
      <c r="AK206" s="117" t="str" cm="1">
        <f t="array" ref="AK206">IFERROR(ROUND(AVERAGE(_xlfn._xlws.FILTER(Eingabe[GES],(Eingabe[Name]=AuswertungA[[#This Row],[Name]])*(Eingabe[Wo]="A")*(Eingabe[GEGGES]&gt;(AuswertungA[[#This Row],[GES A]]+20))))-AuswertungA[[#This Row],[GES A]],0),"")</f>
        <v/>
      </c>
      <c r="AL206" s="117" cm="1">
        <f t="array" ref="AL206">IFERROR(ROUND(AVERAGE(_xlfn._xlws.FILTER(Eingabe[GES],(Eingabe[Name]=AuswertungA[[#This Row],[Name]])*(Eingabe[Wo]="A")*(Eingabe[GEGGES]&lt;(AuswertungA[[#This Row],[GES A]]-20))))-AuswertungA[[#This Row],[GES A]],0),"")</f>
        <v>0</v>
      </c>
    </row>
    <row r="207" spans="2:38" x14ac:dyDescent="0.3">
      <c r="B207" s="118" t="str">
        <f t="shared" si="3"/>
        <v>Stefan Teuber</v>
      </c>
      <c r="C207" s="119" t="str">
        <f>IF(AuswertungA[[#This Row],[Name]]="","",VLOOKUP(AuswertungA[[#This Row],[Name]],Teamzuordnung[[Name]:[Team]],2,TRUE))</f>
        <v>E</v>
      </c>
      <c r="D207" s="120">
        <f>COUNTIFS(Eingabe[Name],AuswertungA[[#This Row],[Name]],Eingabe[Wo],"A")</f>
        <v>5</v>
      </c>
      <c r="E207" s="116">
        <f>IF(AuswertungA[[#This Row],[Spiele A]]="","",IF(AuswertungA[[#This Row],[Spiele A]]-COUNTIFS(Eingabe[Name],AuswertungA[[#This Row],[Name]],Eingabe[MP],"",Eingabe[Wo],"A")=0,"",AuswertungA[[#This Row],[Spiele A]]-COUNTIFS(Eingabe[Name],AuswertungA[[#This Row],[Name]],Eingabe[MP],"",Eingabe[Wo],"A")))</f>
        <v>5</v>
      </c>
      <c r="F207" s="117">
        <f>IF(AuswertungA[[#This Row],[Spiele A]]=0,"",ROUND(AVERAGEIFS(Eingabe[Volle],Eingabe[Name],AuswertungA[[#This Row],[Name]],Eingabe[Wo],"A"),0))</f>
        <v>368</v>
      </c>
      <c r="G207" s="117">
        <f>IF(AuswertungA[[#This Row],[Spiele A]]=0,"",ROUND(AVERAGEIFS(Eingabe[Räumer],Eingabe[Name],AuswertungA[[#This Row],[Name]],Eingabe[Wo],"A"),0))</f>
        <v>177</v>
      </c>
      <c r="H207" s="123">
        <f>IF(AuswertungA[[#This Row],[Spiele A]]=0,"",ROUND(AVERAGEIFS(Eingabe[Fehler],Eingabe[Name],AuswertungA[[#This Row],[Name]],Eingabe[Wo],"A"),1))</f>
        <v>6.4</v>
      </c>
      <c r="I207" s="117">
        <f>IF(AuswertungA[[#This Row],[Spiele A]]=0,"",ROUND(AVERAGEIFS(Eingabe[GES],Eingabe[Name],AuswertungA[[#This Row],[Name]],Eingabe[Wo],"A"),0))</f>
        <v>545</v>
      </c>
      <c r="J207" s="123">
        <f>IF(AuswertungA[[#This Row],[Spiele MP A]]="","",ROUND(AVERAGEIFS(Eingabe[SP],Eingabe[Name],AuswertungA[[#This Row],[Name]],Eingabe[Wo],"A"),2))</f>
        <v>2.1</v>
      </c>
      <c r="K207" s="121">
        <f>IF(AuswertungA[[#This Row],[Spiele MP A]]="","",ROUND(AVERAGEIFS(Eingabe[MP],Eingabe[Name],AuswertungA[[#This Row],[Name]],Eingabe[Wo],"A"),2))</f>
        <v>0.4</v>
      </c>
      <c r="L207" s="117">
        <f>IFERROR(ROUND(AVERAGEIFS(Eingabe[S1],Eingabe[Name],AuswertungA[[#This Row],[Name]],Eingabe[Wo],"A"),0),"")</f>
        <v>136</v>
      </c>
      <c r="M207" s="268">
        <f>IFERROR(ROUND(AVERAGEIFS(Eingabe[S2],Eingabe[Name],AuswertungA[[#This Row],[Name]],Eingabe[Wo],"A"),0),"")</f>
        <v>138</v>
      </c>
      <c r="N207" s="117">
        <f>IFERROR(ROUND(AVERAGEIFS(Eingabe[S3],Eingabe[Name],AuswertungA[[#This Row],[Name]],Eingabe[Wo],"A"),0),"")</f>
        <v>133</v>
      </c>
      <c r="O207" s="268">
        <f>IFERROR(ROUND(AVERAGEIFS(Eingabe[S4],Eingabe[Name],AuswertungA[[#This Row],[Name]],Eingabe[Wo],"A"),0),"")</f>
        <v>138</v>
      </c>
      <c r="P207" s="121">
        <f>IF(AuswertungA[[#This Row],[Spiele MP A]]="","",ROUND(AVERAGEIFS(Eingabe[S1P],Eingabe[Name],AuswertungA[[#This Row],[Name]],Eingabe[Wo],"A"),2))</f>
        <v>0.5</v>
      </c>
      <c r="Q207" s="121">
        <f>IF(AuswertungA[[#This Row],[Spiele MP A]]="","",ROUND(AVERAGEIFS(Eingabe[S2P],Eingabe[Name],AuswertungA[[#This Row],[Name]],Eingabe[Wo],"A"),2))</f>
        <v>0.8</v>
      </c>
      <c r="R207" s="121">
        <f>IF(AuswertungA[[#This Row],[Spiele MP A]]="","",ROUND(AVERAGEIFS(Eingabe[S3P],Eingabe[Name],AuswertungA[[#This Row],[Name]],Eingabe[Wo],"A"),2))</f>
        <v>0.4</v>
      </c>
      <c r="S207" s="121">
        <f>IF(AuswertungA[[#This Row],[Spiele MP A]]="","",ROUND(AVERAGEIFS(Eingabe[S4P],Eingabe[Name],AuswertungA[[#This Row],[Name]],Eingabe[Wo],"A"),2))</f>
        <v>0.4</v>
      </c>
      <c r="T207" s="123" cm="1">
        <f t="array" ref="T207">IF(AuswertungA[[#This Row],[Spiele A]]="","",IF(AuswertungA[[#This Row],[Spiele A]]&lt;2,"",ROUND(SLOPE(_xlfn._xlws.FILTER(Eingabe[GES],(Eingabe[Name]=AuswertungA[[#This Row],[Name]])*(Eingabe[Wo]="A")),_xlfn._xlws.FILTER(Eingabe[KW],(Eingabe[Name]=AuswertungA[[#This Row],[Name]])*(Eingabe[Wo]="A"))),2)))</f>
        <v>2.4500000000000002</v>
      </c>
      <c r="U207" s="123" cm="1">
        <f t="array" ref="U207">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3.98</v>
      </c>
      <c r="V207" s="117" cm="1">
        <f t="array" ref="V207">IF(AuswertungA[[#This Row],[Spiele A]]="","",IF(AuswertungA[[#This Row],[Spiele A]]&lt;2,"",ROUND(_xlfn.STDEV.P(_xlfn._xlws.FILTER(Eingabe[GES],(Eingabe[Name]=AuswertungA[[#This Row],[Name]])*(Eingabe[Wo]="A"))),0)))</f>
        <v>21</v>
      </c>
      <c r="W207" s="117">
        <f>IF(AuswertungA[[#This Row],[Spiele MP A]]="","",ROUND(AVERAGEIFS(Eingabe[GEGGES],Eingabe[Name],AuswertungA[[#This Row],[Name]],Eingabe[Wo],"A"),0))</f>
        <v>551</v>
      </c>
      <c r="X207" s="116" t="str">
        <f>VLOOKUP(AuswertungA[[#This Row],[Name]],PositionA[],21,FALSE)</f>
        <v>[2][4]</v>
      </c>
      <c r="Y207" s="116">
        <f>VLOOKUP(AuswertungA[[#This Row],[Name]],PositionA[],22,FALSE)</f>
        <v>2</v>
      </c>
      <c r="Z207" s="116" t="str">
        <f>VLOOKUP(AuswertungA[[#This Row],[Name]],PositionA[],23,FALSE)</f>
        <v>[1]</v>
      </c>
      <c r="AA207" s="121">
        <f>IF(AuswertungA[[#This Row],[Spiele MP A]]="","",ROUND(VLOOKUP(AuswertungA[[#This Row],[Name]],PositionA[],24,FALSE),2))</f>
        <v>1</v>
      </c>
      <c r="AB207" s="123">
        <f>IFERROR(ROUND(AVERAGEIFS(Eingabe[Rang],Eingabe[Name],AuswertungA[[#This Row],[Name]],Eingabe[Wo],"A"),1),"")</f>
        <v>3</v>
      </c>
      <c r="AC207" s="123" cm="1">
        <f t="array" ref="AC207">IFERROR(ROUND(MEDIAN(_xlfn._xlws.FILTER(Eingabe[GES],(Eingabe[Name]=AuswertungA[[#This Row],[Name]])*(Eingabe[Wo]="A"))),0),"")</f>
        <v>537</v>
      </c>
      <c r="AD207" s="121">
        <f>IFERROR(AuswertungA[[#This Row],[STABW A]]/AuswertungA[[#This Row],[GES A]],"")</f>
        <v>3.8532110091743121E-2</v>
      </c>
      <c r="AE207" s="123" cm="1">
        <f t="array" ref="AE207">IFERROR(ROUND(_xlfn.QUARTILE.INC(_xlfn._xlws.FILTER(Eingabe[GES],(Eingabe[Name]=AuswertungA[[#This Row],[Name]])*(Eingabe[Wo]="A")),3)-_xlfn.QUARTILE.INC(_xlfn._xlws.FILTER(Eingabe[GES],(Eingabe[Name]=AuswertungA[[#This Row],[Name]])*(Eingabe[Wo]="A")),1),0),"")</f>
        <v>27</v>
      </c>
      <c r="AF207" s="123">
        <f>IFERROR(1/AuswertungA[[#This Row],[VK A]],"")</f>
        <v>25.952380952380953</v>
      </c>
      <c r="AG207" s="123">
        <f>IFERROR(AuswertungA[[#This Row],[Volle A]]/AuswertungA[[#This Row],[Räumer A]]-2,"")</f>
        <v>7.909604519774005E-2</v>
      </c>
      <c r="AH207" s="117">
        <f>IFERROR(ROUND((AuswertungA[[#This Row],[Spiele A]]*60)/(AuswertungA[[#This Row],[Fehler A]]*AuswertungA[[#This Row],[Spiele A]]),0),"")</f>
        <v>9</v>
      </c>
      <c r="AI207" s="123" cm="1">
        <f t="array" ref="AI207">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0.11904761904761904</v>
      </c>
      <c r="AJ207" s="267">
        <f>IFERROR(ROUND(AVERAGEIFS(Eingabe[MP],Eingabe[Diff],"&lt;15",Eingabe[Name],AuswertungA[[#This Row],[Name]],Eingabe[Wo],"A")-AuswertungA[[#This Row],[MP A]],2),"")</f>
        <v>-0.4</v>
      </c>
      <c r="AK207" s="117" cm="1">
        <f t="array" ref="AK207">IFERROR(ROUND(AVERAGE(_xlfn._xlws.FILTER(Eingabe[GES],(Eingabe[Name]=AuswertungA[[#This Row],[Name]])*(Eingabe[Wo]="A")*(Eingabe[GEGGES]&gt;(AuswertungA[[#This Row],[GES A]]+20))))-AuswertungA[[#This Row],[GES A]],0),"")</f>
        <v>-23</v>
      </c>
      <c r="AL207" s="117" cm="1">
        <f t="array" ref="AL207">IFERROR(ROUND(AVERAGE(_xlfn._xlws.FILTER(Eingabe[GES],(Eingabe[Name]=AuswertungA[[#This Row],[Name]])*(Eingabe[Wo]="A")*(Eingabe[GEGGES]&lt;(AuswertungA[[#This Row],[GES A]]-20))))-AuswertungA[[#This Row],[GES A]],0),"")</f>
        <v>-14</v>
      </c>
    </row>
    <row r="208" spans="2:38" x14ac:dyDescent="0.3">
      <c r="B208" s="118" t="str">
        <f t="shared" si="3"/>
        <v>Stefan Ulbricht</v>
      </c>
      <c r="C208" s="119" t="str">
        <f>IF(AuswertungA[[#This Row],[Name]]="","",VLOOKUP(AuswertungA[[#This Row],[Name]],Teamzuordnung[[Name]:[Team]],2,TRUE))</f>
        <v>Z</v>
      </c>
      <c r="D208" s="120">
        <f>COUNTIFS(Eingabe[Name],AuswertungA[[#This Row],[Name]],Eingabe[Wo],"A")</f>
        <v>4</v>
      </c>
      <c r="E208" s="116">
        <f>IF(AuswertungA[[#This Row],[Spiele A]]="","",IF(AuswertungA[[#This Row],[Spiele A]]-COUNTIFS(Eingabe[Name],AuswertungA[[#This Row],[Name]],Eingabe[MP],"",Eingabe[Wo],"A")=0,"",AuswertungA[[#This Row],[Spiele A]]-COUNTIFS(Eingabe[Name],AuswertungA[[#This Row],[Name]],Eingabe[MP],"",Eingabe[Wo],"A")))</f>
        <v>4</v>
      </c>
      <c r="F208" s="117">
        <f>IF(AuswertungA[[#This Row],[Spiele A]]=0,"",ROUND(AVERAGEIFS(Eingabe[Volle],Eingabe[Name],AuswertungA[[#This Row],[Name]],Eingabe[Wo],"A"),0))</f>
        <v>354</v>
      </c>
      <c r="G208" s="117">
        <f>IF(AuswertungA[[#This Row],[Spiele A]]=0,"",ROUND(AVERAGEIFS(Eingabe[Räumer],Eingabe[Name],AuswertungA[[#This Row],[Name]],Eingabe[Wo],"A"),0))</f>
        <v>188</v>
      </c>
      <c r="H208" s="123">
        <f>IF(AuswertungA[[#This Row],[Spiele A]]=0,"",ROUND(AVERAGEIFS(Eingabe[Fehler],Eingabe[Name],AuswertungA[[#This Row],[Name]],Eingabe[Wo],"A"),1))</f>
        <v>6.3</v>
      </c>
      <c r="I208" s="117">
        <f>IF(AuswertungA[[#This Row],[Spiele A]]=0,"",ROUND(AVERAGEIFS(Eingabe[GES],Eingabe[Name],AuswertungA[[#This Row],[Name]],Eingabe[Wo],"A"),0))</f>
        <v>542</v>
      </c>
      <c r="J208" s="123">
        <f>IF(AuswertungA[[#This Row],[Spiele MP A]]="","",ROUND(AVERAGEIFS(Eingabe[SP],Eingabe[Name],AuswertungA[[#This Row],[Name]],Eingabe[Wo],"A"),2))</f>
        <v>2.75</v>
      </c>
      <c r="K208" s="121">
        <f>IF(AuswertungA[[#This Row],[Spiele MP A]]="","",ROUND(AVERAGEIFS(Eingabe[MP],Eingabe[Name],AuswertungA[[#This Row],[Name]],Eingabe[Wo],"A"),2))</f>
        <v>0.75</v>
      </c>
      <c r="L208" s="117">
        <f>IFERROR(ROUND(AVERAGEIFS(Eingabe[S1],Eingabe[Name],AuswertungA[[#This Row],[Name]],Eingabe[Wo],"A"),0),"")</f>
        <v>130</v>
      </c>
      <c r="M208" s="268">
        <f>IFERROR(ROUND(AVERAGEIFS(Eingabe[S2],Eingabe[Name],AuswertungA[[#This Row],[Name]],Eingabe[Wo],"A"),0),"")</f>
        <v>134</v>
      </c>
      <c r="N208" s="117">
        <f>IFERROR(ROUND(AVERAGEIFS(Eingabe[S3],Eingabe[Name],AuswertungA[[#This Row],[Name]],Eingabe[Wo],"A"),0),"")</f>
        <v>139</v>
      </c>
      <c r="O208" s="268">
        <f>IFERROR(ROUND(AVERAGEIFS(Eingabe[S4],Eingabe[Name],AuswertungA[[#This Row],[Name]],Eingabe[Wo],"A"),0),"")</f>
        <v>138</v>
      </c>
      <c r="P208" s="121">
        <f>IF(AuswertungA[[#This Row],[Spiele MP A]]="","",ROUND(AVERAGEIFS(Eingabe[S1P],Eingabe[Name],AuswertungA[[#This Row],[Name]],Eingabe[Wo],"A"),2))</f>
        <v>0.5</v>
      </c>
      <c r="Q208" s="121">
        <f>IF(AuswertungA[[#This Row],[Spiele MP A]]="","",ROUND(AVERAGEIFS(Eingabe[S2P],Eingabe[Name],AuswertungA[[#This Row],[Name]],Eingabe[Wo],"A"),2))</f>
        <v>0.75</v>
      </c>
      <c r="R208" s="121">
        <f>IF(AuswertungA[[#This Row],[Spiele MP A]]="","",ROUND(AVERAGEIFS(Eingabe[S3P],Eingabe[Name],AuswertungA[[#This Row],[Name]],Eingabe[Wo],"A"),2))</f>
        <v>0.75</v>
      </c>
      <c r="S208" s="121">
        <f>IF(AuswertungA[[#This Row],[Spiele MP A]]="","",ROUND(AVERAGEIFS(Eingabe[S4P],Eingabe[Name],AuswertungA[[#This Row],[Name]],Eingabe[Wo],"A"),2))</f>
        <v>0.75</v>
      </c>
      <c r="T208" s="123" cm="1">
        <f t="array" ref="T208">IF(AuswertungA[[#This Row],[Spiele A]]="","",IF(AuswertungA[[#This Row],[Spiele A]]&lt;2,"",ROUND(SLOPE(_xlfn._xlws.FILTER(Eingabe[GES],(Eingabe[Name]=AuswertungA[[#This Row],[Name]])*(Eingabe[Wo]="A")),_xlfn._xlws.FILTER(Eingabe[KW],(Eingabe[Name]=AuswertungA[[#This Row],[Name]])*(Eingabe[Wo]="A"))),2)))</f>
        <v>-5.34</v>
      </c>
      <c r="U208" s="123" cm="1">
        <f t="array" ref="U208">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-13.13</v>
      </c>
      <c r="V208" s="117" cm="1">
        <f t="array" ref="V208">IF(AuswertungA[[#This Row],[Spiele A]]="","",IF(AuswertungA[[#This Row],[Spiele A]]&lt;2,"",ROUND(_xlfn.STDEV.P(_xlfn._xlws.FILTER(Eingabe[GES],(Eingabe[Name]=AuswertungA[[#This Row],[Name]])*(Eingabe[Wo]="A"))),0)))</f>
        <v>51</v>
      </c>
      <c r="W208" s="117">
        <f>IF(AuswertungA[[#This Row],[Spiele MP A]]="","",ROUND(AVERAGEIFS(Eingabe[GEGGES],Eingabe[Name],AuswertungA[[#This Row],[Name]],Eingabe[Wo],"A"),0))</f>
        <v>490</v>
      </c>
      <c r="X208" s="116" t="str">
        <f>VLOOKUP(AuswertungA[[#This Row],[Name]],PositionA[],21,FALSE)</f>
        <v>[4]</v>
      </c>
      <c r="Y208" s="116">
        <f>VLOOKUP(AuswertungA[[#This Row],[Name]],PositionA[],22,FALSE)</f>
        <v>3</v>
      </c>
      <c r="Z208" s="116" t="str">
        <f>VLOOKUP(AuswertungA[[#This Row],[Name]],PositionA[],23,FALSE)</f>
        <v>[4]</v>
      </c>
      <c r="AA208" s="121">
        <f>IF(AuswertungA[[#This Row],[Spiele MP A]]="","",ROUND(VLOOKUP(AuswertungA[[#This Row],[Name]],PositionA[],24,FALSE),2))</f>
        <v>1</v>
      </c>
      <c r="AB208" s="123">
        <f>IFERROR(ROUND(AVERAGEIFS(Eingabe[Rang],Eingabe[Name],AuswertungA[[#This Row],[Name]],Eingabe[Wo],"A"),1),"")</f>
        <v>3.8</v>
      </c>
      <c r="AC208" s="123" cm="1">
        <f t="array" ref="AC208">IFERROR(ROUND(MEDIAN(_xlfn._xlws.FILTER(Eingabe[GES],(Eingabe[Name]=AuswertungA[[#This Row],[Name]])*(Eingabe[Wo]="A"))),0),"")</f>
        <v>525</v>
      </c>
      <c r="AD208" s="278">
        <f>IFERROR(AuswertungA[[#This Row],[STABW A]]/AuswertungA[[#This Row],[GES A]],"")</f>
        <v>9.4095940959409596E-2</v>
      </c>
      <c r="AE208" s="279" cm="1">
        <f t="array" ref="AE208">IFERROR(ROUND(_xlfn.QUARTILE.INC(_xlfn._xlws.FILTER(Eingabe[GES],(Eingabe[Name]=AuswertungA[[#This Row],[Name]])*(Eingabe[Wo]="A")),3)-_xlfn.QUARTILE.INC(_xlfn._xlws.FILTER(Eingabe[GES],(Eingabe[Name]=AuswertungA[[#This Row],[Name]])*(Eingabe[Wo]="A")),1),0),"")</f>
        <v>40</v>
      </c>
      <c r="AF208" s="279">
        <f>IFERROR(1/AuswertungA[[#This Row],[VK A]],"")</f>
        <v>10.627450980392156</v>
      </c>
      <c r="AG208" s="279">
        <f>IFERROR(AuswertungA[[#This Row],[Volle A]]/AuswertungA[[#This Row],[Räumer A]]-2,"")</f>
        <v>-0.11702127659574457</v>
      </c>
      <c r="AH208" s="364">
        <f>IFERROR(ROUND((AuswertungA[[#This Row],[Spiele A]]*60)/(AuswertungA[[#This Row],[Fehler A]]*AuswertungA[[#This Row],[Spiele A]]),0),"")</f>
        <v>10</v>
      </c>
      <c r="AI208" s="123" t="str" cm="1">
        <f t="array" ref="AI208">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208" s="267" t="str">
        <f>IFERROR(ROUND(AVERAGEIFS(Eingabe[MP],Eingabe[Diff],"&lt;15",Eingabe[Name],AuswertungA[[#This Row],[Name]],Eingabe[Wo],"A")-AuswertungA[[#This Row],[MP A]],2),"")</f>
        <v/>
      </c>
      <c r="AK208" s="364" t="str" cm="1">
        <f t="array" ref="AK208">IFERROR(ROUND(AVERAGE(_xlfn._xlws.FILTER(Eingabe[GES],(Eingabe[Name]=AuswertungA[[#This Row],[Name]])*(Eingabe[Wo]="A")*(Eingabe[GEGGES]&gt;(AuswertungA[[#This Row],[GES A]]+20))))-AuswertungA[[#This Row],[GES A]],0),"")</f>
        <v/>
      </c>
      <c r="AL208" s="364" cm="1">
        <f t="array" ref="AL208">IFERROR(ROUND(AVERAGE(_xlfn._xlws.FILTER(Eingabe[GES],(Eingabe[Name]=AuswertungA[[#This Row],[Name]])*(Eingabe[Wo]="A")*(Eingabe[GEGGES]&lt;(AuswertungA[[#This Row],[GES A]]-20))))-AuswertungA[[#This Row],[GES A]],0),"")</f>
        <v>0</v>
      </c>
    </row>
    <row r="209" spans="2:38" x14ac:dyDescent="0.3">
      <c r="B209" s="118" t="str">
        <f t="shared" si="3"/>
        <v>Sylke Schmidt</v>
      </c>
      <c r="C209" s="119" t="str">
        <f>IF(AuswertungA[[#This Row],[Name]]="","",VLOOKUP(AuswertungA[[#This Row],[Name]],Teamzuordnung[[Name]:[Team]],2,TRUE))</f>
        <v>F</v>
      </c>
      <c r="D209" s="120">
        <f>COUNTIFS(Eingabe[Name],AuswertungA[[#This Row],[Name]],Eingabe[Wo],"A")</f>
        <v>4</v>
      </c>
      <c r="E209" s="116">
        <f>IF(AuswertungA[[#This Row],[Spiele A]]="","",IF(AuswertungA[[#This Row],[Spiele A]]-COUNTIFS(Eingabe[Name],AuswertungA[[#This Row],[Name]],Eingabe[MP],"",Eingabe[Wo],"A")=0,"",AuswertungA[[#This Row],[Spiele A]]-COUNTIFS(Eingabe[Name],AuswertungA[[#This Row],[Name]],Eingabe[MP],"",Eingabe[Wo],"A")))</f>
        <v>4</v>
      </c>
      <c r="F209" s="117">
        <f>IF(AuswertungA[[#This Row],[Spiele A]]=0,"",ROUND(AVERAGEIFS(Eingabe[Volle],Eingabe[Name],AuswertungA[[#This Row],[Name]],Eingabe[Wo],"A"),0))</f>
        <v>367</v>
      </c>
      <c r="G209" s="117">
        <f>IF(AuswertungA[[#This Row],[Spiele A]]=0,"",ROUND(AVERAGEIFS(Eingabe[Räumer],Eingabe[Name],AuswertungA[[#This Row],[Name]],Eingabe[Wo],"A"),0))</f>
        <v>158</v>
      </c>
      <c r="H209" s="123">
        <f>IF(AuswertungA[[#This Row],[Spiele A]]=0,"",ROUND(AVERAGEIFS(Eingabe[Fehler],Eingabe[Name],AuswertungA[[#This Row],[Name]],Eingabe[Wo],"A"),1))</f>
        <v>11</v>
      </c>
      <c r="I209" s="117">
        <f>IF(AuswertungA[[#This Row],[Spiele A]]=0,"",ROUND(AVERAGEIFS(Eingabe[GES],Eingabe[Name],AuswertungA[[#This Row],[Name]],Eingabe[Wo],"A"),0))</f>
        <v>524</v>
      </c>
      <c r="J209" s="123">
        <f>IF(AuswertungA[[#This Row],[Spiele MP A]]="","",ROUND(AVERAGEIFS(Eingabe[SP],Eingabe[Name],AuswertungA[[#This Row],[Name]],Eingabe[Wo],"A"),2))</f>
        <v>2.25</v>
      </c>
      <c r="K209" s="121">
        <f>IF(AuswertungA[[#This Row],[Spiele MP A]]="","",ROUND(AVERAGEIFS(Eingabe[MP],Eingabe[Name],AuswertungA[[#This Row],[Name]],Eingabe[Wo],"A"),2))</f>
        <v>0.75</v>
      </c>
      <c r="L209" s="117">
        <f>IFERROR(ROUND(AVERAGEIFS(Eingabe[S1],Eingabe[Name],AuswertungA[[#This Row],[Name]],Eingabe[Wo],"A"),0),"")</f>
        <v>131</v>
      </c>
      <c r="M209" s="268">
        <f>IFERROR(ROUND(AVERAGEIFS(Eingabe[S2],Eingabe[Name],AuswertungA[[#This Row],[Name]],Eingabe[Wo],"A"),0),"")</f>
        <v>138</v>
      </c>
      <c r="N209" s="117">
        <f>IFERROR(ROUND(AVERAGEIFS(Eingabe[S3],Eingabe[Name],AuswertungA[[#This Row],[Name]],Eingabe[Wo],"A"),0),"")</f>
        <v>128</v>
      </c>
      <c r="O209" s="268">
        <f>IFERROR(ROUND(AVERAGEIFS(Eingabe[S4],Eingabe[Name],AuswertungA[[#This Row],[Name]],Eingabe[Wo],"A"),0),"")</f>
        <v>127</v>
      </c>
      <c r="P209" s="121">
        <f>IF(AuswertungA[[#This Row],[Spiele MP A]]="","",ROUND(AVERAGEIFS(Eingabe[S1P],Eingabe[Name],AuswertungA[[#This Row],[Name]],Eingabe[Wo],"A"),2))</f>
        <v>0.75</v>
      </c>
      <c r="Q209" s="121">
        <f>IF(AuswertungA[[#This Row],[Spiele MP A]]="","",ROUND(AVERAGEIFS(Eingabe[S2P],Eingabe[Name],AuswertungA[[#This Row],[Name]],Eingabe[Wo],"A"),2))</f>
        <v>0.5</v>
      </c>
      <c r="R209" s="121">
        <f>IF(AuswertungA[[#This Row],[Spiele MP A]]="","",ROUND(AVERAGEIFS(Eingabe[S3P],Eingabe[Name],AuswertungA[[#This Row],[Name]],Eingabe[Wo],"A"),2))</f>
        <v>0.5</v>
      </c>
      <c r="S209" s="121">
        <f>IF(AuswertungA[[#This Row],[Spiele MP A]]="","",ROUND(AVERAGEIFS(Eingabe[S4P],Eingabe[Name],AuswertungA[[#This Row],[Name]],Eingabe[Wo],"A"),2))</f>
        <v>0.5</v>
      </c>
      <c r="T209" s="123" cm="1">
        <f t="array" ref="T209">IF(AuswertungA[[#This Row],[Spiele A]]="","",IF(AuswertungA[[#This Row],[Spiele A]]&lt;2,"",ROUND(SLOPE(_xlfn._xlws.FILTER(Eingabe[GES],(Eingabe[Name]=AuswertungA[[#This Row],[Name]])*(Eingabe[Wo]="A")),_xlfn._xlws.FILTER(Eingabe[KW],(Eingabe[Name]=AuswertungA[[#This Row],[Name]])*(Eingabe[Wo]="A"))),2)))</f>
        <v>2.68</v>
      </c>
      <c r="U209" s="123" cm="1">
        <f t="array" ref="U209">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1.04</v>
      </c>
      <c r="V209" s="117" cm="1">
        <f t="array" ref="V209">IF(AuswertungA[[#This Row],[Spiele A]]="","",IF(AuswertungA[[#This Row],[Spiele A]]&lt;2,"",ROUND(_xlfn.STDEV.P(_xlfn._xlws.FILTER(Eingabe[GES],(Eingabe[Name]=AuswertungA[[#This Row],[Name]])*(Eingabe[Wo]="A"))),0)))</f>
        <v>24</v>
      </c>
      <c r="W209" s="117">
        <f>IF(AuswertungA[[#This Row],[Spiele MP A]]="","",ROUND(AVERAGEIFS(Eingabe[GEGGES],Eingabe[Name],AuswertungA[[#This Row],[Name]],Eingabe[Wo],"A"),0))</f>
        <v>504</v>
      </c>
      <c r="X209" s="116" t="str">
        <f>VLOOKUP(AuswertungA[[#This Row],[Name]],PositionA[],21,FALSE)</f>
        <v>[5][6]</v>
      </c>
      <c r="Y209" s="116">
        <f>VLOOKUP(AuswertungA[[#This Row],[Name]],PositionA[],22,FALSE)</f>
        <v>2</v>
      </c>
      <c r="Z209" s="116" t="str">
        <f>VLOOKUP(AuswertungA[[#This Row],[Name]],PositionA[],23,FALSE)</f>
        <v>[6]</v>
      </c>
      <c r="AA209" s="121">
        <f>IF(AuswertungA[[#This Row],[Spiele MP A]]="","",ROUND(VLOOKUP(AuswertungA[[#This Row],[Name]],PositionA[],24,FALSE),2))</f>
        <v>1</v>
      </c>
      <c r="AB209" s="123">
        <f>IFERROR(ROUND(AVERAGEIFS(Eingabe[Rang],Eingabe[Name],AuswertungA[[#This Row],[Name]],Eingabe[Wo],"A"),1),"")</f>
        <v>3</v>
      </c>
      <c r="AC209" s="123" cm="1">
        <f t="array" ref="AC209">IFERROR(ROUND(MEDIAN(_xlfn._xlws.FILTER(Eingabe[GES],(Eingabe[Name]=AuswertungA[[#This Row],[Name]])*(Eingabe[Wo]="A"))),0),"")</f>
        <v>525</v>
      </c>
      <c r="AD209" s="278">
        <f>IFERROR(AuswertungA[[#This Row],[STABW A]]/AuswertungA[[#This Row],[GES A]],"")</f>
        <v>4.5801526717557252E-2</v>
      </c>
      <c r="AE209" s="279" cm="1">
        <f t="array" ref="AE209">IFERROR(ROUND(_xlfn.QUARTILE.INC(_xlfn._xlws.FILTER(Eingabe[GES],(Eingabe[Name]=AuswertungA[[#This Row],[Name]])*(Eingabe[Wo]="A")),3)-_xlfn.QUARTILE.INC(_xlfn._xlws.FILTER(Eingabe[GES],(Eingabe[Name]=AuswertungA[[#This Row],[Name]])*(Eingabe[Wo]="A")),1),0),"")</f>
        <v>44</v>
      </c>
      <c r="AF209" s="279">
        <f>IFERROR(1/AuswertungA[[#This Row],[VK A]],"")</f>
        <v>21.833333333333332</v>
      </c>
      <c r="AG209" s="279">
        <f>IFERROR(AuswertungA[[#This Row],[Volle A]]/AuswertungA[[#This Row],[Räumer A]]-2,"")</f>
        <v>0.32278481012658222</v>
      </c>
      <c r="AH209" s="364">
        <f>IFERROR(ROUND((AuswertungA[[#This Row],[Spiele A]]*60)/(AuswertungA[[#This Row],[Fehler A]]*AuswertungA[[#This Row],[Spiele A]]),0),"")</f>
        <v>5</v>
      </c>
      <c r="AI209" s="123" cm="1">
        <f t="array" ref="AI209">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1.125</v>
      </c>
      <c r="AJ209" s="267">
        <f>IFERROR(ROUND(AVERAGEIFS(Eingabe[MP],Eingabe[Diff],"&lt;15",Eingabe[Name],AuswertungA[[#This Row],[Name]],Eingabe[Wo],"A")-AuswertungA[[#This Row],[MP A]],2),"")</f>
        <v>0.25</v>
      </c>
      <c r="AK209" s="364" cm="1">
        <f t="array" ref="AK209">IFERROR(ROUND(AVERAGE(_xlfn._xlws.FILTER(Eingabe[GES],(Eingabe[Name]=AuswertungA[[#This Row],[Name]])*(Eingabe[Wo]="A")*(Eingabe[GEGGES]&gt;(AuswertungA[[#This Row],[GES A]]+20))))-AuswertungA[[#This Row],[GES A]],0),"")</f>
        <v>27</v>
      </c>
      <c r="AL209" s="364" cm="1">
        <f t="array" ref="AL209">IFERROR(ROUND(AVERAGE(_xlfn._xlws.FILTER(Eingabe[GES],(Eingabe[Name]=AuswertungA[[#This Row],[Name]])*(Eingabe[Wo]="A")*(Eingabe[GEGGES]&lt;(AuswertungA[[#This Row],[GES A]]-20))))-AuswertungA[[#This Row],[GES A]],0),"")</f>
        <v>1</v>
      </c>
    </row>
    <row r="210" spans="2:38" x14ac:dyDescent="0.3">
      <c r="B210" s="118" t="str">
        <f t="shared" si="3"/>
        <v>Tim Becker</v>
      </c>
      <c r="C210" s="119" t="str">
        <f>IF(AuswertungA[[#This Row],[Name]]="","",VLOOKUP(AuswertungA[[#This Row],[Name]],Teamzuordnung[[Name]:[Team]],2,TRUE))</f>
        <v>E</v>
      </c>
      <c r="D210" s="120">
        <f>COUNTIFS(Eingabe[Name],AuswertungA[[#This Row],[Name]],Eingabe[Wo],"A")</f>
        <v>3</v>
      </c>
      <c r="E210" s="116">
        <f>IF(AuswertungA[[#This Row],[Spiele A]]="","",IF(AuswertungA[[#This Row],[Spiele A]]-COUNTIFS(Eingabe[Name],AuswertungA[[#This Row],[Name]],Eingabe[MP],"",Eingabe[Wo],"A")=0,"",AuswertungA[[#This Row],[Spiele A]]-COUNTIFS(Eingabe[Name],AuswertungA[[#This Row],[Name]],Eingabe[MP],"",Eingabe[Wo],"A")))</f>
        <v>3</v>
      </c>
      <c r="F210" s="117">
        <f>IF(AuswertungA[[#This Row],[Spiele A]]=0,"",ROUND(AVERAGEIFS(Eingabe[Volle],Eingabe[Name],AuswertungA[[#This Row],[Name]],Eingabe[Wo],"A"),0))</f>
        <v>365</v>
      </c>
      <c r="G210" s="117">
        <f>IF(AuswertungA[[#This Row],[Spiele A]]=0,"",ROUND(AVERAGEIFS(Eingabe[Räumer],Eingabe[Name],AuswertungA[[#This Row],[Name]],Eingabe[Wo],"A"),0))</f>
        <v>162</v>
      </c>
      <c r="H210" s="123">
        <f>IF(AuswertungA[[#This Row],[Spiele A]]=0,"",ROUND(AVERAGEIFS(Eingabe[Fehler],Eingabe[Name],AuswertungA[[#This Row],[Name]],Eingabe[Wo],"A"),1))</f>
        <v>6.3</v>
      </c>
      <c r="I210" s="117">
        <f>IF(AuswertungA[[#This Row],[Spiele A]]=0,"",ROUND(AVERAGEIFS(Eingabe[GES],Eingabe[Name],AuswertungA[[#This Row],[Name]],Eingabe[Wo],"A"),0))</f>
        <v>527</v>
      </c>
      <c r="J210" s="123">
        <f>IF(AuswertungA[[#This Row],[Spiele MP A]]="","",ROUND(AVERAGEIFS(Eingabe[SP],Eingabe[Name],AuswertungA[[#This Row],[Name]],Eingabe[Wo],"A"),2))</f>
        <v>1.83</v>
      </c>
      <c r="K210" s="121">
        <f>IF(AuswertungA[[#This Row],[Spiele MP A]]="","",ROUND(AVERAGEIFS(Eingabe[MP],Eingabe[Name],AuswertungA[[#This Row],[Name]],Eingabe[Wo],"A"),2))</f>
        <v>0.33</v>
      </c>
      <c r="L210" s="117">
        <f>IFERROR(ROUND(AVERAGEIFS(Eingabe[S1],Eingabe[Name],AuswertungA[[#This Row],[Name]],Eingabe[Wo],"A"),0),"")</f>
        <v>122</v>
      </c>
      <c r="M210" s="268">
        <f>IFERROR(ROUND(AVERAGEIFS(Eingabe[S2],Eingabe[Name],AuswertungA[[#This Row],[Name]],Eingabe[Wo],"A"),0),"")</f>
        <v>138</v>
      </c>
      <c r="N210" s="117">
        <f>IFERROR(ROUND(AVERAGEIFS(Eingabe[S3],Eingabe[Name],AuswertungA[[#This Row],[Name]],Eingabe[Wo],"A"),0),"")</f>
        <v>134</v>
      </c>
      <c r="O210" s="268">
        <f>IFERROR(ROUND(AVERAGEIFS(Eingabe[S4],Eingabe[Name],AuswertungA[[#This Row],[Name]],Eingabe[Wo],"A"),0),"")</f>
        <v>133</v>
      </c>
      <c r="P210" s="121">
        <f>IF(AuswertungA[[#This Row],[Spiele MP A]]="","",ROUND(AVERAGEIFS(Eingabe[S1P],Eingabe[Name],AuswertungA[[#This Row],[Name]],Eingabe[Wo],"A"),2))</f>
        <v>0.17</v>
      </c>
      <c r="Q210" s="121">
        <f>IF(AuswertungA[[#This Row],[Spiele MP A]]="","",ROUND(AVERAGEIFS(Eingabe[S2P],Eingabe[Name],AuswertungA[[#This Row],[Name]],Eingabe[Wo],"A"),2))</f>
        <v>0.67</v>
      </c>
      <c r="R210" s="121">
        <f>IF(AuswertungA[[#This Row],[Spiele MP A]]="","",ROUND(AVERAGEIFS(Eingabe[S3P],Eingabe[Name],AuswertungA[[#This Row],[Name]],Eingabe[Wo],"A"),2))</f>
        <v>0.33</v>
      </c>
      <c r="S210" s="121">
        <f>IF(AuswertungA[[#This Row],[Spiele MP A]]="","",ROUND(AVERAGEIFS(Eingabe[S4P],Eingabe[Name],AuswertungA[[#This Row],[Name]],Eingabe[Wo],"A"),2))</f>
        <v>0.67</v>
      </c>
      <c r="T210" s="123" cm="1">
        <f t="array" ref="T210">IF(AuswertungA[[#This Row],[Spiele A]]="","",IF(AuswertungA[[#This Row],[Spiele A]]&lt;2,"",ROUND(SLOPE(_xlfn._xlws.FILTER(Eingabe[GES],(Eingabe[Name]=AuswertungA[[#This Row],[Name]])*(Eingabe[Wo]="A")),_xlfn._xlws.FILTER(Eingabe[KW],(Eingabe[Name]=AuswertungA[[#This Row],[Name]])*(Eingabe[Wo]="A"))),2)))</f>
        <v>2.5299999999999998</v>
      </c>
      <c r="U210" s="123" cm="1">
        <f t="array" ref="U210">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2.5299999999999998</v>
      </c>
      <c r="V210" s="117" cm="1">
        <f t="array" ref="V210">IF(AuswertungA[[#This Row],[Spiele A]]="","",IF(AuswertungA[[#This Row],[Spiele A]]&lt;2,"",ROUND(_xlfn.STDEV.P(_xlfn._xlws.FILTER(Eingabe[GES],(Eingabe[Name]=AuswertungA[[#This Row],[Name]])*(Eingabe[Wo]="A"))),0)))</f>
        <v>23</v>
      </c>
      <c r="W210" s="117">
        <f>IF(AuswertungA[[#This Row],[Spiele MP A]]="","",ROUND(AVERAGEIFS(Eingabe[GEGGES],Eingabe[Name],AuswertungA[[#This Row],[Name]],Eingabe[Wo],"A"),0))</f>
        <v>546</v>
      </c>
      <c r="X210" s="116" t="str">
        <f>VLOOKUP(AuswertungA[[#This Row],[Name]],PositionA[],21,FALSE)</f>
        <v>[3]</v>
      </c>
      <c r="Y210" s="116">
        <f>VLOOKUP(AuswertungA[[#This Row],[Name]],PositionA[],22,FALSE)</f>
        <v>3</v>
      </c>
      <c r="Z210" s="116" t="str">
        <f>VLOOKUP(AuswertungA[[#This Row],[Name]],PositionA[],23,FALSE)</f>
        <v>[3]</v>
      </c>
      <c r="AA210" s="121">
        <f>IF(AuswertungA[[#This Row],[Spiele MP A]]="","",ROUND(VLOOKUP(AuswertungA[[#This Row],[Name]],PositionA[],24,FALSE),2))</f>
        <v>0.33</v>
      </c>
      <c r="AB210" s="123">
        <f>IFERROR(ROUND(AVERAGEIFS(Eingabe[Rang],Eingabe[Name],AuswertungA[[#This Row],[Name]],Eingabe[Wo],"A"),1),"")</f>
        <v>4</v>
      </c>
      <c r="AC210" s="123" cm="1">
        <f t="array" ref="AC210">IFERROR(ROUND(MEDIAN(_xlfn._xlws.FILTER(Eingabe[GES],(Eingabe[Name]=AuswertungA[[#This Row],[Name]])*(Eingabe[Wo]="A"))),0),"")</f>
        <v>531</v>
      </c>
      <c r="AD210" s="278">
        <f>IFERROR(AuswertungA[[#This Row],[STABW A]]/AuswertungA[[#This Row],[GES A]],"")</f>
        <v>4.3643263757115747E-2</v>
      </c>
      <c r="AE210" s="279" cm="1">
        <f t="array" ref="AE210">IFERROR(ROUND(_xlfn.QUARTILE.INC(_xlfn._xlws.FILTER(Eingabe[GES],(Eingabe[Name]=AuswertungA[[#This Row],[Name]])*(Eingabe[Wo]="A")),3)-_xlfn.QUARTILE.INC(_xlfn._xlws.FILTER(Eingabe[GES],(Eingabe[Name]=AuswertungA[[#This Row],[Name]])*(Eingabe[Wo]="A")),1),0),"")</f>
        <v>29</v>
      </c>
      <c r="AF210" s="279">
        <f>IFERROR(1/AuswertungA[[#This Row],[VK A]],"")</f>
        <v>22.913043478260871</v>
      </c>
      <c r="AG210" s="279">
        <f>IFERROR(AuswertungA[[#This Row],[Volle A]]/AuswertungA[[#This Row],[Räumer A]]-2,"")</f>
        <v>0.25308641975308621</v>
      </c>
      <c r="AH210" s="364">
        <f>IFERROR(ROUND((AuswertungA[[#This Row],[Spiele A]]*60)/(AuswertungA[[#This Row],[Fehler A]]*AuswertungA[[#This Row],[Spiele A]]),0),"")</f>
        <v>10</v>
      </c>
      <c r="AI210" s="123" cm="1">
        <f t="array" ref="AI210">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-0.10869565217391304</v>
      </c>
      <c r="AJ210" s="267">
        <f>IFERROR(ROUND(AVERAGEIFS(Eingabe[MP],Eingabe[Diff],"&lt;15",Eingabe[Name],AuswertungA[[#This Row],[Name]],Eingabe[Wo],"A")-AuswertungA[[#This Row],[MP A]],2),"")</f>
        <v>0.17</v>
      </c>
      <c r="AK210" s="364" cm="1">
        <f t="array" ref="AK210">IFERROR(ROUND(AVERAGE(_xlfn._xlws.FILTER(Eingabe[GES],(Eingabe[Name]=AuswertungA[[#This Row],[Name]])*(Eingabe[Wo]="A")*(Eingabe[GEGGES]&gt;(AuswertungA[[#This Row],[GES A]]+20))))-AuswertungA[[#This Row],[GES A]],0),"")</f>
        <v>4</v>
      </c>
      <c r="AL210" s="364" cm="1">
        <f t="array" ref="AL210">IFERROR(ROUND(AVERAGE(_xlfn._xlws.FILTER(Eingabe[GES],(Eingabe[Name]=AuswertungA[[#This Row],[Name]])*(Eingabe[Wo]="A")*(Eingabe[GEGGES]&lt;(AuswertungA[[#This Row],[GES A]]-20))))-AuswertungA[[#This Row],[GES A]],0),"")</f>
        <v>-31</v>
      </c>
    </row>
    <row r="211" spans="2:38" x14ac:dyDescent="0.3">
      <c r="B211" s="118" t="str">
        <f t="shared" si="3"/>
        <v>Tim Beger</v>
      </c>
      <c r="C211" s="119" t="str">
        <f>IF(AuswertungA[[#This Row],[Name]]="","",VLOOKUP(AuswertungA[[#This Row],[Name]],Teamzuordnung[[Name]:[Team]],2,TRUE))</f>
        <v>Z</v>
      </c>
      <c r="D211" s="120">
        <f>COUNTIFS(Eingabe[Name],AuswertungA[[#This Row],[Name]],Eingabe[Wo],"A")</f>
        <v>7</v>
      </c>
      <c r="E211" s="116">
        <f>IF(AuswertungA[[#This Row],[Spiele A]]="","",IF(AuswertungA[[#This Row],[Spiele A]]-COUNTIFS(Eingabe[Name],AuswertungA[[#This Row],[Name]],Eingabe[MP],"",Eingabe[Wo],"A")=0,"",AuswertungA[[#This Row],[Spiele A]]-COUNTIFS(Eingabe[Name],AuswertungA[[#This Row],[Name]],Eingabe[MP],"",Eingabe[Wo],"A")))</f>
        <v>5</v>
      </c>
      <c r="F211" s="117">
        <f>IF(AuswertungA[[#This Row],[Spiele A]]=0,"",ROUND(AVERAGEIFS(Eingabe[Volle],Eingabe[Name],AuswertungA[[#This Row],[Name]],Eingabe[Wo],"A"),0))</f>
        <v>368</v>
      </c>
      <c r="G211" s="117">
        <f>IF(AuswertungA[[#This Row],[Spiele A]]=0,"",ROUND(AVERAGEIFS(Eingabe[Räumer],Eingabe[Name],AuswertungA[[#This Row],[Name]],Eingabe[Wo],"A"),0))</f>
        <v>178</v>
      </c>
      <c r="H211" s="123">
        <f>IF(AuswertungA[[#This Row],[Spiele A]]=0,"",ROUND(AVERAGEIFS(Eingabe[Fehler],Eingabe[Name],AuswertungA[[#This Row],[Name]],Eingabe[Wo],"A"),1))</f>
        <v>7.6</v>
      </c>
      <c r="I211" s="117">
        <f>IF(AuswertungA[[#This Row],[Spiele A]]=0,"",ROUND(AVERAGEIFS(Eingabe[GES],Eingabe[Name],AuswertungA[[#This Row],[Name]],Eingabe[Wo],"A"),0))</f>
        <v>546</v>
      </c>
      <c r="J211" s="123">
        <f>IF(AuswertungA[[#This Row],[Spiele MP A]]="","",ROUND(AVERAGEIFS(Eingabe[SP],Eingabe[Name],AuswertungA[[#This Row],[Name]],Eingabe[Wo],"A"),2))</f>
        <v>1.9</v>
      </c>
      <c r="K211" s="121">
        <f>IF(AuswertungA[[#This Row],[Spiele MP A]]="","",ROUND(AVERAGEIFS(Eingabe[MP],Eingabe[Name],AuswertungA[[#This Row],[Name]],Eingabe[Wo],"A"),2))</f>
        <v>0.6</v>
      </c>
      <c r="L211" s="117">
        <f>IFERROR(ROUND(AVERAGEIFS(Eingabe[S1],Eingabe[Name],AuswertungA[[#This Row],[Name]],Eingabe[Wo],"A"),0),"")</f>
        <v>142</v>
      </c>
      <c r="M211" s="268">
        <f>IFERROR(ROUND(AVERAGEIFS(Eingabe[S2],Eingabe[Name],AuswertungA[[#This Row],[Name]],Eingabe[Wo],"A"),0),"")</f>
        <v>131</v>
      </c>
      <c r="N211" s="117">
        <f>IFERROR(ROUND(AVERAGEIFS(Eingabe[S3],Eingabe[Name],AuswertungA[[#This Row],[Name]],Eingabe[Wo],"A"),0),"")</f>
        <v>130</v>
      </c>
      <c r="O211" s="268">
        <f>IFERROR(ROUND(AVERAGEIFS(Eingabe[S4],Eingabe[Name],AuswertungA[[#This Row],[Name]],Eingabe[Wo],"A"),0),"")</f>
        <v>140</v>
      </c>
      <c r="P211" s="121">
        <f>IF(AuswertungA[[#This Row],[Spiele MP A]]="","",ROUND(AVERAGEIFS(Eingabe[S1P],Eingabe[Name],AuswertungA[[#This Row],[Name]],Eingabe[Wo],"A"),2))</f>
        <v>0.8</v>
      </c>
      <c r="Q211" s="121">
        <f>IF(AuswertungA[[#This Row],[Spiele MP A]]="","",ROUND(AVERAGEIFS(Eingabe[S2P],Eingabe[Name],AuswertungA[[#This Row],[Name]],Eingabe[Wo],"A"),2))</f>
        <v>0.2</v>
      </c>
      <c r="R211" s="121">
        <f>IF(AuswertungA[[#This Row],[Spiele MP A]]="","",ROUND(AVERAGEIFS(Eingabe[S3P],Eingabe[Name],AuswertungA[[#This Row],[Name]],Eingabe[Wo],"A"),2))</f>
        <v>0.4</v>
      </c>
      <c r="S211" s="121">
        <f>IF(AuswertungA[[#This Row],[Spiele MP A]]="","",ROUND(AVERAGEIFS(Eingabe[S4P],Eingabe[Name],AuswertungA[[#This Row],[Name]],Eingabe[Wo],"A"),2))</f>
        <v>0.5</v>
      </c>
      <c r="T211" s="123" cm="1">
        <f t="array" ref="T211">IF(AuswertungA[[#This Row],[Spiele A]]="","",IF(AuswertungA[[#This Row],[Spiele A]]&lt;2,"",ROUND(SLOPE(_xlfn._xlws.FILTER(Eingabe[GES],(Eingabe[Name]=AuswertungA[[#This Row],[Name]])*(Eingabe[Wo]="A")),_xlfn._xlws.FILTER(Eingabe[KW],(Eingabe[Name]=AuswertungA[[#This Row],[Name]])*(Eingabe[Wo]="A"))),2)))</f>
        <v>-2.37</v>
      </c>
      <c r="U211" s="123" cm="1">
        <f t="array" ref="U211">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-19.86</v>
      </c>
      <c r="V211" s="117" cm="1">
        <f t="array" ref="V211">IF(AuswertungA[[#This Row],[Spiele A]]="","",IF(AuswertungA[[#This Row],[Spiele A]]&lt;2,"",ROUND(_xlfn.STDEV.P(_xlfn._xlws.FILTER(Eingabe[GES],(Eingabe[Name]=AuswertungA[[#This Row],[Name]])*(Eingabe[Wo]="A"))),0)))</f>
        <v>24</v>
      </c>
      <c r="W211" s="117">
        <f>IF(AuswertungA[[#This Row],[Spiele MP A]]="","",ROUND(AVERAGEIFS(Eingabe[GEGGES],Eingabe[Name],AuswertungA[[#This Row],[Name]],Eingabe[Wo],"A"),0))</f>
        <v>543</v>
      </c>
      <c r="X211" s="116" t="str">
        <f>VLOOKUP(AuswertungA[[#This Row],[Name]],PositionA[],21,FALSE)</f>
        <v>[6]</v>
      </c>
      <c r="Y211" s="116">
        <f>VLOOKUP(AuswertungA[[#This Row],[Name]],PositionA[],22,FALSE)</f>
        <v>2</v>
      </c>
      <c r="Z211" s="116" t="str">
        <f>VLOOKUP(AuswertungA[[#This Row],[Name]],PositionA[],23,FALSE)</f>
        <v>[2][3][5]</v>
      </c>
      <c r="AA211" s="121">
        <f>IF(AuswertungA[[#This Row],[Spiele MP A]]="","",ROUND(VLOOKUP(AuswertungA[[#This Row],[Name]],PositionA[],24,FALSE),2))</f>
        <v>1</v>
      </c>
      <c r="AB211" s="123">
        <f>IFERROR(ROUND(AVERAGEIFS(Eingabe[Rang],Eingabe[Name],AuswertungA[[#This Row],[Name]],Eingabe[Wo],"A"),1),"")</f>
        <v>2.6</v>
      </c>
      <c r="AC211" s="123" cm="1">
        <f t="array" ref="AC211">IFERROR(ROUND(MEDIAN(_xlfn._xlws.FILTER(Eingabe[GES],(Eingabe[Name]=AuswertungA[[#This Row],[Name]])*(Eingabe[Wo]="A"))),0),"")</f>
        <v>554</v>
      </c>
      <c r="AD211" s="278">
        <f>IFERROR(AuswertungA[[#This Row],[STABW A]]/AuswertungA[[#This Row],[GES A]],"")</f>
        <v>4.3956043956043959E-2</v>
      </c>
      <c r="AE211" s="279" cm="1">
        <f t="array" ref="AE211">IFERROR(ROUND(_xlfn.QUARTILE.INC(_xlfn._xlws.FILTER(Eingabe[GES],(Eingabe[Name]=AuswertungA[[#This Row],[Name]])*(Eingabe[Wo]="A")),3)-_xlfn.QUARTILE.INC(_xlfn._xlws.FILTER(Eingabe[GES],(Eingabe[Name]=AuswertungA[[#This Row],[Name]])*(Eingabe[Wo]="A")),1),0),"")</f>
        <v>31</v>
      </c>
      <c r="AF211" s="279">
        <f>IFERROR(1/AuswertungA[[#This Row],[VK A]],"")</f>
        <v>22.75</v>
      </c>
      <c r="AG211" s="279">
        <f>IFERROR(AuswertungA[[#This Row],[Volle A]]/AuswertungA[[#This Row],[Räumer A]]-2,"")</f>
        <v>6.7415730337078816E-2</v>
      </c>
      <c r="AH211" s="364">
        <f>IFERROR(ROUND((AuswertungA[[#This Row],[Spiele A]]*60)/(AuswertungA[[#This Row],[Fehler A]]*AuswertungA[[#This Row],[Spiele A]]),0),"")</f>
        <v>8</v>
      </c>
      <c r="AI211" s="123" cm="1">
        <f t="array" ref="AI211">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0.33333333333333331</v>
      </c>
      <c r="AJ211" s="267">
        <f>IFERROR(ROUND(AVERAGEIFS(Eingabe[MP],Eingabe[Diff],"&lt;15",Eingabe[Name],AuswertungA[[#This Row],[Name]],Eingabe[Wo],"A")-AuswertungA[[#This Row],[MP A]],2),"")</f>
        <v>-0.6</v>
      </c>
      <c r="AK211" s="364" cm="1">
        <f t="array" ref="AK211">IFERROR(ROUND(AVERAGE(_xlfn._xlws.FILTER(Eingabe[GES],(Eingabe[Name]=AuswertungA[[#This Row],[Name]])*(Eingabe[Wo]="A")*(Eingabe[GEGGES]&gt;(AuswertungA[[#This Row],[GES A]]+20))))-AuswertungA[[#This Row],[GES A]],0),"")</f>
        <v>16</v>
      </c>
      <c r="AL211" s="364" cm="1">
        <f t="array" ref="AL211">IFERROR(ROUND(AVERAGE(_xlfn._xlws.FILTER(Eingabe[GES],(Eingabe[Name]=AuswertungA[[#This Row],[Name]])*(Eingabe[Wo]="A")*(Eingabe[GEGGES]&lt;(AuswertungA[[#This Row],[GES A]]-20))))-AuswertungA[[#This Row],[GES A]],0),"")</f>
        <v>-14</v>
      </c>
    </row>
    <row r="212" spans="2:38" ht="16.2" thickBot="1" x14ac:dyDescent="0.35">
      <c r="B212" s="118" t="str">
        <f t="shared" si="3"/>
        <v>Ulli Baumgarten</v>
      </c>
      <c r="C212" s="124" t="str">
        <f>IF(AuswertungA[[#This Row],[Name]]="","",VLOOKUP(AuswertungA[[#This Row],[Name]],Teamzuordnung[[Name]:[Team]],2,TRUE))</f>
        <v>D</v>
      </c>
      <c r="D212" s="125">
        <f>COUNTIFS(Eingabe[Name],AuswertungA[[#This Row],[Name]],Eingabe[Wo],"A")</f>
        <v>3</v>
      </c>
      <c r="E212" s="116">
        <f>IF(AuswertungA[[#This Row],[Spiele A]]="","",IF(AuswertungA[[#This Row],[Spiele A]]-COUNTIFS(Eingabe[Name],AuswertungA[[#This Row],[Name]],Eingabe[MP],"",Eingabe[Wo],"A")=0,"",AuswertungA[[#This Row],[Spiele A]]-COUNTIFS(Eingabe[Name],AuswertungA[[#This Row],[Name]],Eingabe[MP],"",Eingabe[Wo],"A")))</f>
        <v>3</v>
      </c>
      <c r="F212" s="117">
        <f>IF(AuswertungA[[#This Row],[Spiele A]]=0,"",ROUND(AVERAGEIFS(Eingabe[Volle],Eingabe[Name],AuswertungA[[#This Row],[Name]],Eingabe[Wo],"A"),0))</f>
        <v>361</v>
      </c>
      <c r="G212" s="117">
        <f>IF(AuswertungA[[#This Row],[Spiele A]]=0,"",ROUND(AVERAGEIFS(Eingabe[Räumer],Eingabe[Name],AuswertungA[[#This Row],[Name]],Eingabe[Wo],"A"),0))</f>
        <v>139</v>
      </c>
      <c r="H212" s="123">
        <f>IF(AuswertungA[[#This Row],[Spiele A]]=0,"",ROUND(AVERAGEIFS(Eingabe[Fehler],Eingabe[Name],AuswertungA[[#This Row],[Name]],Eingabe[Wo],"A"),1))</f>
        <v>10</v>
      </c>
      <c r="I212" s="117">
        <f>IF(AuswertungA[[#This Row],[Spiele A]]=0,"",ROUND(AVERAGEIFS(Eingabe[GES],Eingabe[Name],AuswertungA[[#This Row],[Name]],Eingabe[Wo],"A"),0))</f>
        <v>499</v>
      </c>
      <c r="J212" s="123">
        <f>IF(AuswertungA[[#This Row],[Spiele MP A]]="","",ROUND(AVERAGEIFS(Eingabe[SP],Eingabe[Name],AuswertungA[[#This Row],[Name]],Eingabe[Wo],"A"),2))</f>
        <v>2</v>
      </c>
      <c r="K212" s="121">
        <f>IF(AuswertungA[[#This Row],[Spiele MP A]]="","",ROUND(AVERAGEIFS(Eingabe[MP],Eingabe[Name],AuswertungA[[#This Row],[Name]],Eingabe[Wo],"A"),2))</f>
        <v>0.67</v>
      </c>
      <c r="L212" s="117">
        <f>IFERROR(ROUND(AVERAGEIFS(Eingabe[S1],Eingabe[Name],AuswertungA[[#This Row],[Name]],Eingabe[Wo],"A"),0),"")</f>
        <v>122</v>
      </c>
      <c r="M212" s="268">
        <f>IFERROR(ROUND(AVERAGEIFS(Eingabe[S2],Eingabe[Name],AuswertungA[[#This Row],[Name]],Eingabe[Wo],"A"),0),"")</f>
        <v>126</v>
      </c>
      <c r="N212" s="117">
        <f>IFERROR(ROUND(AVERAGEIFS(Eingabe[S3],Eingabe[Name],AuswertungA[[#This Row],[Name]],Eingabe[Wo],"A"),0),"")</f>
        <v>128</v>
      </c>
      <c r="O212" s="268">
        <f>IFERROR(ROUND(AVERAGEIFS(Eingabe[S4],Eingabe[Name],AuswertungA[[#This Row],[Name]],Eingabe[Wo],"A"),0),"")</f>
        <v>123</v>
      </c>
      <c r="P212" s="121">
        <f>IF(AuswertungA[[#This Row],[Spiele MP A]]="","",ROUND(AVERAGEIFS(Eingabe[S1P],Eingabe[Name],AuswertungA[[#This Row],[Name]],Eingabe[Wo],"A"),2))</f>
        <v>0.33</v>
      </c>
      <c r="Q212" s="121">
        <f>IF(AuswertungA[[#This Row],[Spiele MP A]]="","",ROUND(AVERAGEIFS(Eingabe[S2P],Eingabe[Name],AuswertungA[[#This Row],[Name]],Eingabe[Wo],"A"),2))</f>
        <v>0.67</v>
      </c>
      <c r="R212" s="121">
        <f>IF(AuswertungA[[#This Row],[Spiele MP A]]="","",ROUND(AVERAGEIFS(Eingabe[S3P],Eingabe[Name],AuswertungA[[#This Row],[Name]],Eingabe[Wo],"A"),2))</f>
        <v>0.67</v>
      </c>
      <c r="S212" s="121">
        <f>IF(AuswertungA[[#This Row],[Spiele MP A]]="","",ROUND(AVERAGEIFS(Eingabe[S4P],Eingabe[Name],AuswertungA[[#This Row],[Name]],Eingabe[Wo],"A"),2))</f>
        <v>0.33</v>
      </c>
      <c r="T212" s="123" cm="1">
        <f t="array" ref="T212">IF(AuswertungA[[#This Row],[Spiele A]]="","",IF(AuswertungA[[#This Row],[Spiele A]]&lt;2,"",ROUND(SLOPE(_xlfn._xlws.FILTER(Eingabe[GES],(Eingabe[Name]=AuswertungA[[#This Row],[Name]])*(Eingabe[Wo]="A")),_xlfn._xlws.FILTER(Eingabe[KW],(Eingabe[Name]=AuswertungA[[#This Row],[Name]])*(Eingabe[Wo]="A"))),2)))</f>
        <v>2.58</v>
      </c>
      <c r="U212" s="123" cm="1">
        <f t="array" ref="U212">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2.58</v>
      </c>
      <c r="V212" s="117" cm="1">
        <f t="array" ref="V212">IF(AuswertungA[[#This Row],[Spiele A]]="","",IF(AuswertungA[[#This Row],[Spiele A]]&lt;2,"",ROUND(_xlfn.STDEV.P(_xlfn._xlws.FILTER(Eingabe[GES],(Eingabe[Name]=AuswertungA[[#This Row],[Name]])*(Eingabe[Wo]="A"))),0)))</f>
        <v>12</v>
      </c>
      <c r="W212" s="117">
        <f>IF(AuswertungA[[#This Row],[Spiele MP A]]="","",ROUND(AVERAGEIFS(Eingabe[GEGGES],Eingabe[Name],AuswertungA[[#This Row],[Name]],Eingabe[Wo],"A"),0))</f>
        <v>499</v>
      </c>
      <c r="X212" s="127" t="str">
        <f>VLOOKUP(AuswertungA[[#This Row],[Name]],PositionA[],21,FALSE)</f>
        <v>[2][3][5]</v>
      </c>
      <c r="Y212" s="127">
        <f>VLOOKUP(AuswertungA[[#This Row],[Name]],PositionA[],22,FALSE)</f>
        <v>1</v>
      </c>
      <c r="Z212" s="127" t="str">
        <f>VLOOKUP(AuswertungA[[#This Row],[Name]],PositionA[],23,FALSE)</f>
        <v>[2][3]</v>
      </c>
      <c r="AA212" s="126">
        <f>IF(AuswertungA[[#This Row],[Spiele MP A]]="","",ROUND(VLOOKUP(AuswertungA[[#This Row],[Name]],PositionA[],24,FALSE),2))</f>
        <v>1</v>
      </c>
      <c r="AB212" s="204">
        <f>IFERROR(ROUND(AVERAGEIFS(Eingabe[Rang],Eingabe[Name],AuswertungA[[#This Row],[Name]],Eingabe[Wo],"A"),1),"")</f>
        <v>4.7</v>
      </c>
      <c r="AC212" s="123" cm="1">
        <f t="array" ref="AC212">IFERROR(ROUND(MEDIAN(_xlfn._xlws.FILTER(Eingabe[GES],(Eingabe[Name]=AuswertungA[[#This Row],[Name]])*(Eingabe[Wo]="A"))),0),"")</f>
        <v>502</v>
      </c>
      <c r="AD212" s="278">
        <f>IFERROR(AuswertungA[[#This Row],[STABW A]]/AuswertungA[[#This Row],[GES A]],"")</f>
        <v>2.4048096192384769E-2</v>
      </c>
      <c r="AE212" s="279" cm="1">
        <f t="array" ref="AE212">IFERROR(ROUND(_xlfn.QUARTILE.INC(_xlfn._xlws.FILTER(Eingabe[GES],(Eingabe[Name]=AuswertungA[[#This Row],[Name]])*(Eingabe[Wo]="A")),3)-_xlfn.QUARTILE.INC(_xlfn._xlws.FILTER(Eingabe[GES],(Eingabe[Name]=AuswertungA[[#This Row],[Name]])*(Eingabe[Wo]="A")),1),0),"")</f>
        <v>15</v>
      </c>
      <c r="AF212" s="279">
        <f>IFERROR(1/AuswertungA[[#This Row],[VK A]],"")</f>
        <v>41.583333333333336</v>
      </c>
      <c r="AG212" s="279">
        <f>IFERROR(AuswertungA[[#This Row],[Volle A]]/AuswertungA[[#This Row],[Räumer A]]-2,"")</f>
        <v>0.59712230215827322</v>
      </c>
      <c r="AH212" s="364">
        <f>IFERROR(ROUND((AuswertungA[[#This Row],[Spiele A]]*60)/(AuswertungA[[#This Row],[Fehler A]]*AuswertungA[[#This Row],[Spiele A]]),0),"")</f>
        <v>6</v>
      </c>
      <c r="AI212" s="123" cm="1">
        <f t="array" ref="AI212">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0.25</v>
      </c>
      <c r="AJ212" s="267">
        <f>IFERROR(ROUND(AVERAGEIFS(Eingabe[MP],Eingabe[Diff],"&lt;15",Eingabe[Name],AuswertungA[[#This Row],[Name]],Eingabe[Wo],"A")-AuswertungA[[#This Row],[MP A]],2),"")</f>
        <v>0.33</v>
      </c>
      <c r="AK212" s="364" cm="1">
        <f t="array" ref="AK212">IFERROR(ROUND(AVERAGE(_xlfn._xlws.FILTER(Eingabe[GES],(Eingabe[Name]=AuswertungA[[#This Row],[Name]])*(Eingabe[Wo]="A")*(Eingabe[GEGGES]&gt;(AuswertungA[[#This Row],[GES A]]+20))))-AuswertungA[[#This Row],[GES A]],0),"")</f>
        <v>14</v>
      </c>
      <c r="AL212" s="364" cm="1">
        <f t="array" ref="AL212">IFERROR(ROUND(AVERAGE(_xlfn._xlws.FILTER(Eingabe[GES],(Eingabe[Name]=AuswertungA[[#This Row],[Name]])*(Eingabe[Wo]="A")*(Eingabe[GEGGES]&lt;(AuswertungA[[#This Row],[GES A]]-20))))-AuswertungA[[#This Row],[GES A]],0),"")</f>
        <v>-16</v>
      </c>
    </row>
    <row r="213" spans="2:38" ht="16.2" thickBot="1" x14ac:dyDescent="0.35">
      <c r="B213" s="118" t="str">
        <f t="shared" si="3"/>
        <v>Uwe Zippack</v>
      </c>
      <c r="C213" s="119" t="str">
        <f>IF(AuswertungA[[#This Row],[Name]]="","",VLOOKUP(AuswertungA[[#This Row],[Name]],Teamzuordnung[[Name]:[Team]],2,TRUE))</f>
        <v>Z</v>
      </c>
      <c r="D213" s="120">
        <f>COUNTIFS(Eingabe[Name],AuswertungA[[#This Row],[Name]],Eingabe[Wo],"A")</f>
        <v>5</v>
      </c>
      <c r="E213" s="116">
        <f>IF(AuswertungA[[#This Row],[Spiele A]]="","",IF(AuswertungA[[#This Row],[Spiele A]]-COUNTIFS(Eingabe[Name],AuswertungA[[#This Row],[Name]],Eingabe[MP],"",Eingabe[Wo],"A")=0,"",AuswertungA[[#This Row],[Spiele A]]-COUNTIFS(Eingabe[Name],AuswertungA[[#This Row],[Name]],Eingabe[MP],"",Eingabe[Wo],"A")))</f>
        <v>5</v>
      </c>
      <c r="F213" s="117">
        <f>IF(AuswertungA[[#This Row],[Spiele A]]=0,"",ROUND(AVERAGEIFS(Eingabe[Volle],Eingabe[Name],AuswertungA[[#This Row],[Name]],Eingabe[Wo],"A"),0))</f>
        <v>357</v>
      </c>
      <c r="G213" s="117">
        <f>IF(AuswertungA[[#This Row],[Spiele A]]=0,"",ROUND(AVERAGEIFS(Eingabe[Räumer],Eingabe[Name],AuswertungA[[#This Row],[Name]],Eingabe[Wo],"A"),0))</f>
        <v>181</v>
      </c>
      <c r="H213" s="123">
        <f>IF(AuswertungA[[#This Row],[Spiele A]]=0,"",ROUND(AVERAGEIFS(Eingabe[Fehler],Eingabe[Name],AuswertungA[[#This Row],[Name]],Eingabe[Wo],"A"),1))</f>
        <v>4.4000000000000004</v>
      </c>
      <c r="I213" s="117">
        <f>IF(AuswertungA[[#This Row],[Spiele A]]=0,"",ROUND(AVERAGEIFS(Eingabe[GES],Eingabe[Name],AuswertungA[[#This Row],[Name]],Eingabe[Wo],"A"),0))</f>
        <v>538</v>
      </c>
      <c r="J213" s="123">
        <f>IF(AuswertungA[[#This Row],[Spiele MP A]]="","",ROUND(AVERAGEIFS(Eingabe[SP],Eingabe[Name],AuswertungA[[#This Row],[Name]],Eingabe[Wo],"A"),2))</f>
        <v>2.2000000000000002</v>
      </c>
      <c r="K213" s="121">
        <f>IF(AuswertungA[[#This Row],[Spiele MP A]]="","",ROUND(AVERAGEIFS(Eingabe[MP],Eingabe[Name],AuswertungA[[#This Row],[Name]],Eingabe[Wo],"A"),2))</f>
        <v>0.6</v>
      </c>
      <c r="L213" s="117">
        <f>IFERROR(ROUND(AVERAGEIFS(Eingabe[S1],Eingabe[Name],AuswertungA[[#This Row],[Name]],Eingabe[Wo],"A"),0),"")</f>
        <v>139</v>
      </c>
      <c r="M213" s="268">
        <f>IFERROR(ROUND(AVERAGEIFS(Eingabe[S2],Eingabe[Name],AuswertungA[[#This Row],[Name]],Eingabe[Wo],"A"),0),"")</f>
        <v>130</v>
      </c>
      <c r="N213" s="117">
        <f>IFERROR(ROUND(AVERAGEIFS(Eingabe[S3],Eingabe[Name],AuswertungA[[#This Row],[Name]],Eingabe[Wo],"A"),0),"")</f>
        <v>129</v>
      </c>
      <c r="O213" s="268">
        <f>IFERROR(ROUND(AVERAGEIFS(Eingabe[S4],Eingabe[Name],AuswertungA[[#This Row],[Name]],Eingabe[Wo],"A"),0),"")</f>
        <v>140</v>
      </c>
      <c r="P213" s="121">
        <f>IF(AuswertungA[[#This Row],[Spiele MP A]]="","",ROUND(AVERAGEIFS(Eingabe[S1P],Eingabe[Name],AuswertungA[[#This Row],[Name]],Eingabe[Wo],"A"),2))</f>
        <v>0.6</v>
      </c>
      <c r="Q213" s="121">
        <f>IF(AuswertungA[[#This Row],[Spiele MP A]]="","",ROUND(AVERAGEIFS(Eingabe[S2P],Eingabe[Name],AuswertungA[[#This Row],[Name]],Eingabe[Wo],"A"),2))</f>
        <v>0.2</v>
      </c>
      <c r="R213" s="121">
        <f>IF(AuswertungA[[#This Row],[Spiele MP A]]="","",ROUND(AVERAGEIFS(Eingabe[S3P],Eingabe[Name],AuswertungA[[#This Row],[Name]],Eingabe[Wo],"A"),2))</f>
        <v>0.6</v>
      </c>
      <c r="S213" s="121">
        <f>IF(AuswertungA[[#This Row],[Spiele MP A]]="","",ROUND(AVERAGEIFS(Eingabe[S4P],Eingabe[Name],AuswertungA[[#This Row],[Name]],Eingabe[Wo],"A"),2))</f>
        <v>0.8</v>
      </c>
      <c r="T213" s="123" cm="1">
        <f t="array" ref="T213">IF(AuswertungA[[#This Row],[Spiele A]]="","",IF(AuswertungA[[#This Row],[Spiele A]]&lt;2,"",ROUND(SLOPE(_xlfn._xlws.FILTER(Eingabe[GES],(Eingabe[Name]=AuswertungA[[#This Row],[Name]])*(Eingabe[Wo]="A")),_xlfn._xlws.FILTER(Eingabe[KW],(Eingabe[Name]=AuswertungA[[#This Row],[Name]])*(Eingabe[Wo]="A"))),2)))</f>
        <v>-3.24</v>
      </c>
      <c r="U213" s="123" cm="1">
        <f t="array" ref="U213">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-6.07</v>
      </c>
      <c r="V213" s="117" cm="1">
        <f t="array" ref="V213">IF(AuswertungA[[#This Row],[Spiele A]]="","",IF(AuswertungA[[#This Row],[Spiele A]]&lt;2,"",ROUND(_xlfn.STDEV.P(_xlfn._xlws.FILTER(Eingabe[GES],(Eingabe[Name]=AuswertungA[[#This Row],[Name]])*(Eingabe[Wo]="A"))),0)))</f>
        <v>23</v>
      </c>
      <c r="W213" s="117">
        <f>IF(AuswertungA[[#This Row],[Spiele MP A]]="","",ROUND(AVERAGEIFS(Eingabe[GEGGES],Eingabe[Name],AuswertungA[[#This Row],[Name]],Eingabe[Wo],"A"),0))</f>
        <v>539</v>
      </c>
      <c r="X213" s="116" t="str">
        <f>VLOOKUP(AuswertungA[[#This Row],[Name]],PositionA[],21,FALSE)</f>
        <v>[2]</v>
      </c>
      <c r="Y213" s="116">
        <f>VLOOKUP(AuswertungA[[#This Row],[Name]],PositionA[],22,FALSE)</f>
        <v>2</v>
      </c>
      <c r="Z213" s="116" t="str">
        <f>VLOOKUP(AuswertungA[[#This Row],[Name]],PositionA[],23,FALSE)</f>
        <v>[4][6]</v>
      </c>
      <c r="AA213" s="121">
        <f>IF(AuswertungA[[#This Row],[Spiele MP A]]="","",ROUND(VLOOKUP(AuswertungA[[#This Row],[Name]],PositionA[],24,FALSE),2))</f>
        <v>1</v>
      </c>
      <c r="AB213" s="123">
        <f>IFERROR(ROUND(AVERAGEIFS(Eingabe[Rang],Eingabe[Name],AuswertungA[[#This Row],[Name]],Eingabe[Wo],"A"),1),"")</f>
        <v>3</v>
      </c>
      <c r="AC213" s="123" cm="1">
        <f t="array" ref="AC213">IFERROR(ROUND(MEDIAN(_xlfn._xlws.FILTER(Eingabe[GES],(Eingabe[Name]=AuswertungA[[#This Row],[Name]])*(Eingabe[Wo]="A"))),0),"")</f>
        <v>534</v>
      </c>
      <c r="AD213" s="126">
        <f>IFERROR(AuswertungA[[#This Row],[STABW A]]/AuswertungA[[#This Row],[GES A]],"")</f>
        <v>4.2750929368029739E-2</v>
      </c>
      <c r="AE213" s="204" cm="1">
        <f t="array" ref="AE213">IFERROR(ROUND(_xlfn.QUARTILE.INC(_xlfn._xlws.FILTER(Eingabe[GES],(Eingabe[Name]=AuswertungA[[#This Row],[Name]])*(Eingabe[Wo]="A")),3)-_xlfn.QUARTILE.INC(_xlfn._xlws.FILTER(Eingabe[GES],(Eingabe[Name]=AuswertungA[[#This Row],[Name]])*(Eingabe[Wo]="A")),1),0),"")</f>
        <v>27</v>
      </c>
      <c r="AF213" s="204">
        <f>IFERROR(1/AuswertungA[[#This Row],[VK A]],"")</f>
        <v>23.391304347826086</v>
      </c>
      <c r="AG213" s="204">
        <f>IFERROR(AuswertungA[[#This Row],[Volle A]]/AuswertungA[[#This Row],[Räumer A]]-2,"")</f>
        <v>-2.7624309392265234E-2</v>
      </c>
      <c r="AH213" s="365">
        <f>IFERROR(ROUND((AuswertungA[[#This Row],[Spiele A]]*60)/(AuswertungA[[#This Row],[Fehler A]]*AuswertungA[[#This Row],[Spiele A]]),0),"")</f>
        <v>14</v>
      </c>
      <c r="AI213" s="123" cm="1">
        <f t="array" ref="AI213">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-0.21739130434782608</v>
      </c>
      <c r="AJ213" s="267">
        <f>IFERROR(ROUND(AVERAGEIFS(Eingabe[MP],Eingabe[Diff],"&lt;15",Eingabe[Name],AuswertungA[[#This Row],[Name]],Eingabe[Wo],"A")-AuswertungA[[#This Row],[MP A]],2),"")</f>
        <v>0.4</v>
      </c>
      <c r="AK213" s="365" cm="1">
        <f t="array" ref="AK213">IFERROR(ROUND(AVERAGE(_xlfn._xlws.FILTER(Eingabe[GES],(Eingabe[Name]=AuswertungA[[#This Row],[Name]])*(Eingabe[Wo]="A")*(Eingabe[GEGGES]&gt;(AuswertungA[[#This Row],[GES A]]+20))))-AuswertungA[[#This Row],[GES A]],0),"")</f>
        <v>9</v>
      </c>
      <c r="AL213" s="365" cm="1">
        <f t="array" ref="AL213">IFERROR(ROUND(AVERAGE(_xlfn._xlws.FILTER(Eingabe[GES],(Eingabe[Name]=AuswertungA[[#This Row],[Name]])*(Eingabe[Wo]="A")*(Eingabe[GEGGES]&lt;(AuswertungA[[#This Row],[GES A]]-20))))-AuswertungA[[#This Row],[GES A]],0),"")</f>
        <v>-7</v>
      </c>
    </row>
  </sheetData>
  <phoneticPr fontId="1" type="noConversion"/>
  <conditionalFormatting sqref="B57:K57 T57:AA57 B58:AA107 B110:AA160 AB111:AB160 C169:AA213 B214:AB534">
    <cfRule type="expression" dxfId="352" priority="128">
      <formula>$C57="F"</formula>
    </cfRule>
    <cfRule type="expression" dxfId="351" priority="127">
      <formula>$C57="U14"</formula>
    </cfRule>
    <cfRule type="expression" dxfId="350" priority="131">
      <formula>$C57="E"</formula>
    </cfRule>
    <cfRule type="expression" dxfId="349" priority="130">
      <formula>$C57="Z"</formula>
    </cfRule>
    <cfRule type="expression" dxfId="348" priority="129">
      <formula>$C57="D"</formula>
    </cfRule>
  </conditionalFormatting>
  <conditionalFormatting sqref="B57:K57 T57:AA57">
    <cfRule type="containsBlanks" dxfId="347" priority="133">
      <formula>LEN(TRIM(B57))=0</formula>
    </cfRule>
  </conditionalFormatting>
  <conditionalFormatting sqref="B58:AA107 B111:AA160 C169:AA213">
    <cfRule type="containsBlanks" dxfId="346" priority="132">
      <formula>LEN(TRIM(B58))=0</formula>
    </cfRule>
  </conditionalFormatting>
  <conditionalFormatting sqref="B110:AA110">
    <cfRule type="containsBlanks" dxfId="345" priority="203">
      <formula>LEN(TRIM(B110))=0</formula>
    </cfRule>
  </conditionalFormatting>
  <conditionalFormatting sqref="B163:AA163">
    <cfRule type="containsBlanks" dxfId="344" priority="140">
      <formula>LEN(TRIM(B163))=0</formula>
    </cfRule>
  </conditionalFormatting>
  <conditionalFormatting sqref="B163:AA168 B169:B213">
    <cfRule type="expression" dxfId="343" priority="138">
      <formula>$C163="E"</formula>
    </cfRule>
    <cfRule type="expression" dxfId="342" priority="137">
      <formula>$C163="Z"</formula>
    </cfRule>
    <cfRule type="expression" dxfId="341" priority="136">
      <formula>$C163="D"</formula>
    </cfRule>
    <cfRule type="expression" dxfId="340" priority="135">
      <formula>$C163="F"</formula>
    </cfRule>
    <cfRule type="expression" dxfId="339" priority="134">
      <formula>$C163="U14"</formula>
    </cfRule>
  </conditionalFormatting>
  <conditionalFormatting sqref="B164:AA168 B169:B213">
    <cfRule type="containsBlanks" dxfId="338" priority="139">
      <formula>LEN(TRIM(B164))=0</formula>
    </cfRule>
  </conditionalFormatting>
  <conditionalFormatting sqref="B4:BB53">
    <cfRule type="containsBlanks" dxfId="337" priority="287">
      <formula>LEN(TRIM(B4))=0</formula>
    </cfRule>
  </conditionalFormatting>
  <conditionalFormatting sqref="B4:BB54 B55:BN56 B108:AE108 AG108:BN108 B109:BN109 AN110:BJ110 B161:AE161 B162:AL162">
    <cfRule type="expression" dxfId="336" priority="278">
      <formula>$C4="U14"</formula>
    </cfRule>
    <cfRule type="expression" dxfId="335" priority="279">
      <formula>$C4="F"</formula>
    </cfRule>
    <cfRule type="expression" dxfId="334" priority="280">
      <formula>$C4="D"</formula>
    </cfRule>
    <cfRule type="expression" dxfId="333" priority="281">
      <formula>$C4="Z"</formula>
    </cfRule>
    <cfRule type="expression" dxfId="332" priority="282">
      <formula>$C4="E"</formula>
    </cfRule>
  </conditionalFormatting>
  <conditionalFormatting sqref="D3:S3">
    <cfRule type="expression" dxfId="331" priority="103">
      <formula>$C3="U14"</formula>
    </cfRule>
    <cfRule type="containsBlanks" dxfId="330" priority="108">
      <formula>LEN(TRIM(D3))=0</formula>
    </cfRule>
    <cfRule type="expression" dxfId="329" priority="107">
      <formula>$C3="E"</formula>
    </cfRule>
    <cfRule type="expression" dxfId="328" priority="106">
      <formula>$C3="Z"</formula>
    </cfRule>
    <cfRule type="expression" dxfId="327" priority="105">
      <formula>$C3="D"</formula>
    </cfRule>
    <cfRule type="expression" dxfId="326" priority="104">
      <formula>$C3="F"</formula>
    </cfRule>
  </conditionalFormatting>
  <conditionalFormatting sqref="L57:S57">
    <cfRule type="expression" dxfId="325" priority="99">
      <formula>$C57="D"</formula>
    </cfRule>
    <cfRule type="expression" dxfId="324" priority="98">
      <formula>$C57="F"</formula>
    </cfRule>
    <cfRule type="expression" dxfId="323" priority="100">
      <formula>$C57="Z"</formula>
    </cfRule>
    <cfRule type="containsBlanks" dxfId="322" priority="102">
      <formula>LEN(TRIM(L57))=0</formula>
    </cfRule>
    <cfRule type="expression" dxfId="321" priority="101">
      <formula>$C57="E"</formula>
    </cfRule>
    <cfRule type="expression" dxfId="320" priority="97">
      <formula>$C57="U14"</formula>
    </cfRule>
  </conditionalFormatting>
  <conditionalFormatting sqref="AB58:AB107 AB213">
    <cfRule type="expression" dxfId="319" priority="125">
      <formula>$C58="E"</formula>
    </cfRule>
    <cfRule type="expression" dxfId="318" priority="122">
      <formula>$C58="F"</formula>
    </cfRule>
    <cfRule type="expression" dxfId="317" priority="123">
      <formula>$C58="D"</formula>
    </cfRule>
    <cfRule type="expression" dxfId="316" priority="124">
      <formula>$C58="Z"</formula>
    </cfRule>
  </conditionalFormatting>
  <conditionalFormatting sqref="AB58:AB107">
    <cfRule type="containsBlanks" dxfId="315" priority="126">
      <formula>LEN(TRIM(AB58))=0</formula>
    </cfRule>
  </conditionalFormatting>
  <conditionalFormatting sqref="AB164:AB213">
    <cfRule type="expression" dxfId="314" priority="113">
      <formula>$C164="E"</formula>
    </cfRule>
    <cfRule type="containsBlanks" dxfId="313" priority="114">
      <formula>LEN(TRIM(AB164))=0</formula>
    </cfRule>
    <cfRule type="expression" dxfId="312" priority="109">
      <formula>$C164="U14"</formula>
    </cfRule>
    <cfRule type="expression" dxfId="311" priority="110">
      <formula>$C164="F"</formula>
    </cfRule>
    <cfRule type="expression" dxfId="310" priority="111">
      <formula>$C164="D"</formula>
    </cfRule>
    <cfRule type="expression" dxfId="309" priority="112">
      <formula>$C164="Z"</formula>
    </cfRule>
  </conditionalFormatting>
  <conditionalFormatting sqref="AB213 AB58:AB107">
    <cfRule type="expression" dxfId="308" priority="121">
      <formula>$C58="U14"</formula>
    </cfRule>
  </conditionalFormatting>
  <conditionalFormatting sqref="AC58:AC107">
    <cfRule type="expression" dxfId="307" priority="85">
      <formula>$C58="U14"</formula>
    </cfRule>
    <cfRule type="containsBlanks" dxfId="306" priority="90">
      <formula>LEN(TRIM(AC58))=0</formula>
    </cfRule>
    <cfRule type="expression" dxfId="305" priority="89">
      <formula>$C58="E"</formula>
    </cfRule>
    <cfRule type="expression" dxfId="304" priority="88">
      <formula>$C58="Z"</formula>
    </cfRule>
    <cfRule type="expression" dxfId="303" priority="87">
      <formula>$C58="D"</formula>
    </cfRule>
    <cfRule type="expression" dxfId="302" priority="86">
      <formula>$C58="F"</formula>
    </cfRule>
  </conditionalFormatting>
  <conditionalFormatting sqref="AC110:AC160">
    <cfRule type="expression" dxfId="301" priority="117">
      <formula>$C110="D"</formula>
    </cfRule>
    <cfRule type="expression" dxfId="300" priority="118">
      <formula>$C110="Z"</formula>
    </cfRule>
    <cfRule type="expression" dxfId="299" priority="119">
      <formula>$C110="E"</formula>
    </cfRule>
    <cfRule type="expression" dxfId="298" priority="115">
      <formula>$C110="U14"</formula>
    </cfRule>
    <cfRule type="expression" dxfId="297" priority="116">
      <formula>$C110="F"</formula>
    </cfRule>
  </conditionalFormatting>
  <conditionalFormatting sqref="AC111:AC160">
    <cfRule type="containsBlanks" dxfId="296" priority="120">
      <formula>LEN(TRIM(AC111))=0</formula>
    </cfRule>
  </conditionalFormatting>
  <conditionalFormatting sqref="AC164:AC213">
    <cfRule type="expression" dxfId="295" priority="15">
      <formula>$C164="D"</formula>
    </cfRule>
    <cfRule type="containsBlanks" dxfId="294" priority="18">
      <formula>LEN(TRIM(AC164))=0</formula>
    </cfRule>
    <cfRule type="expression" dxfId="293" priority="13">
      <formula>$C164="U14"</formula>
    </cfRule>
    <cfRule type="expression" dxfId="292" priority="14">
      <formula>$C164="F"</formula>
    </cfRule>
    <cfRule type="expression" dxfId="291" priority="16">
      <formula>$C164="Z"</formula>
    </cfRule>
    <cfRule type="expression" dxfId="290" priority="17">
      <formula>$C164="E"</formula>
    </cfRule>
  </conditionalFormatting>
  <conditionalFormatting sqref="AC214:AF533">
    <cfRule type="expression" dxfId="289" priority="2942">
      <formula>$C215="Z"</formula>
    </cfRule>
    <cfRule type="expression" dxfId="288" priority="2941">
      <formula>$C215="D"</formula>
    </cfRule>
    <cfRule type="expression" dxfId="287" priority="2940">
      <formula>$C215="F"</formula>
    </cfRule>
    <cfRule type="expression" dxfId="286" priority="2939">
      <formula>$C215="U14"</formula>
    </cfRule>
    <cfRule type="expression" dxfId="285" priority="2943">
      <formula>$C215="E"</formula>
    </cfRule>
  </conditionalFormatting>
  <conditionalFormatting sqref="AD111:AD160">
    <cfRule type="expression" dxfId="284" priority="55">
      <formula>$C111="U14"</formula>
    </cfRule>
    <cfRule type="expression" dxfId="283" priority="56">
      <formula>$C111="F"</formula>
    </cfRule>
    <cfRule type="expression" dxfId="282" priority="57">
      <formula>$C111="D"</formula>
    </cfRule>
    <cfRule type="expression" dxfId="281" priority="58">
      <formula>$C111="Z"</formula>
    </cfRule>
    <cfRule type="expression" dxfId="280" priority="59">
      <formula>$C111="E"</formula>
    </cfRule>
    <cfRule type="containsBlanks" dxfId="279" priority="60">
      <formula>LEN(TRIM(AD111))=0</formula>
    </cfRule>
  </conditionalFormatting>
  <conditionalFormatting sqref="AD58:AH107">
    <cfRule type="expression" dxfId="278" priority="75">
      <formula>$C58="D"</formula>
    </cfRule>
    <cfRule type="expression" dxfId="277" priority="73">
      <formula>$C58="U14"</formula>
    </cfRule>
    <cfRule type="containsBlanks" dxfId="276" priority="78">
      <formula>LEN(TRIM(AD58))=0</formula>
    </cfRule>
    <cfRule type="expression" dxfId="275" priority="77">
      <formula>$C58="E"</formula>
    </cfRule>
    <cfRule type="expression" dxfId="274" priority="74">
      <formula>$C58="F"</formula>
    </cfRule>
    <cfRule type="expression" dxfId="273" priority="76">
      <formula>$C58="Z"</formula>
    </cfRule>
  </conditionalFormatting>
  <conditionalFormatting sqref="AD164:AH213">
    <cfRule type="expression" dxfId="272" priority="11">
      <formula>$C164="E"</formula>
    </cfRule>
    <cfRule type="expression" dxfId="271" priority="10">
      <formula>$C164="Z"</formula>
    </cfRule>
    <cfRule type="expression" dxfId="270" priority="8">
      <formula>$C164="F"</formula>
    </cfRule>
    <cfRule type="expression" dxfId="269" priority="7">
      <formula>$C164="U14"</formula>
    </cfRule>
    <cfRule type="expression" dxfId="268" priority="9">
      <formula>$C164="D"</formula>
    </cfRule>
    <cfRule type="containsBlanks" dxfId="267" priority="12">
      <formula>LEN(TRIM(AD164))=0</formula>
    </cfRule>
  </conditionalFormatting>
  <conditionalFormatting sqref="AE111:AI160">
    <cfRule type="expression" dxfId="266" priority="51">
      <formula>$C111="D"</formula>
    </cfRule>
    <cfRule type="containsBlanks" dxfId="265" priority="54">
      <formula>LEN(TRIM(AE111))=0</formula>
    </cfRule>
    <cfRule type="expression" dxfId="264" priority="52">
      <formula>$C111="Z"</formula>
    </cfRule>
    <cfRule type="expression" dxfId="263" priority="50">
      <formula>$C111="F"</formula>
    </cfRule>
    <cfRule type="expression" dxfId="262" priority="53">
      <formula>$C111="E"</formula>
    </cfRule>
    <cfRule type="expression" dxfId="261" priority="49">
      <formula>$C111="U14"</formula>
    </cfRule>
  </conditionalFormatting>
  <conditionalFormatting sqref="AG214:BN532">
    <cfRule type="expression" dxfId="260" priority="766">
      <formula>$C216="F"</formula>
    </cfRule>
    <cfRule type="expression" dxfId="259" priority="765">
      <formula>$C216="U14"</formula>
    </cfRule>
    <cfRule type="expression" dxfId="258" priority="767">
      <formula>$C216="D"</formula>
    </cfRule>
    <cfRule type="expression" dxfId="257" priority="768">
      <formula>$C216="Z"</formula>
    </cfRule>
    <cfRule type="expression" dxfId="256" priority="769">
      <formula>$C216="E"</formula>
    </cfRule>
  </conditionalFormatting>
  <conditionalFormatting sqref="AI58:AL107">
    <cfRule type="containsBlanks" dxfId="255" priority="72">
      <formula>LEN(TRIM(AI58))=0</formula>
    </cfRule>
    <cfRule type="expression" dxfId="254" priority="71">
      <formula>$C58="E"</formula>
    </cfRule>
    <cfRule type="expression" dxfId="253" priority="70">
      <formula>$C58="Z"</formula>
    </cfRule>
    <cfRule type="expression" dxfId="252" priority="69">
      <formula>$C58="D"</formula>
    </cfRule>
    <cfRule type="expression" dxfId="251" priority="67">
      <formula>$C58="U14"</formula>
    </cfRule>
    <cfRule type="expression" dxfId="250" priority="68">
      <formula>$C58="F"</formula>
    </cfRule>
  </conditionalFormatting>
  <conditionalFormatting sqref="AI164:AL213">
    <cfRule type="expression" dxfId="249" priority="3">
      <formula>$C164="D"</formula>
    </cfRule>
    <cfRule type="expression" dxfId="248" priority="1">
      <formula>$C164="U14"</formula>
    </cfRule>
    <cfRule type="containsBlanks" dxfId="247" priority="6">
      <formula>LEN(TRIM(AI164))=0</formula>
    </cfRule>
    <cfRule type="expression" dxfId="246" priority="5">
      <formula>$C164="E"</formula>
    </cfRule>
    <cfRule type="expression" dxfId="245" priority="4">
      <formula>$C164="Z"</formula>
    </cfRule>
    <cfRule type="expression" dxfId="244" priority="2">
      <formula>$C164="F"</formula>
    </cfRule>
  </conditionalFormatting>
  <conditionalFormatting sqref="AJ111:AM160">
    <cfRule type="expression" dxfId="243" priority="47">
      <formula>$C111="E"</formula>
    </cfRule>
    <cfRule type="expression" dxfId="242" priority="46">
      <formula>$C111="Z"</formula>
    </cfRule>
    <cfRule type="expression" dxfId="241" priority="45">
      <formula>$C111="D"</formula>
    </cfRule>
    <cfRule type="expression" dxfId="240" priority="43">
      <formula>$C111="U14"</formula>
    </cfRule>
    <cfRule type="expression" dxfId="239" priority="44">
      <formula>$C111="F"</formula>
    </cfRule>
    <cfRule type="containsBlanks" dxfId="238" priority="48">
      <formula>LEN(TRIM(AJ111))=0</formula>
    </cfRule>
  </conditionalFormatting>
  <pageMargins left="0.7" right="0.7" top="0.78740157499999996" bottom="0.78740157499999996" header="0.3" footer="0.3"/>
  <pageSetup paperSize="9" orientation="portrait" horizontalDpi="4294967293" verticalDpi="0"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F530A-2B2C-4875-B835-F6CEB8C1A350}">
  <dimension ref="A2:V14"/>
  <sheetViews>
    <sheetView topLeftCell="G4" workbookViewId="0">
      <selection activeCell="U10" sqref="U10"/>
    </sheetView>
  </sheetViews>
  <sheetFormatPr baseColWidth="10" defaultRowHeight="14.4" x14ac:dyDescent="0.3"/>
  <cols>
    <col min="7" max="7" width="24.5546875" customWidth="1"/>
  </cols>
  <sheetData>
    <row r="2" spans="1:22" x14ac:dyDescent="0.3">
      <c r="A2" t="s">
        <v>775</v>
      </c>
      <c r="B2" t="s">
        <v>13</v>
      </c>
      <c r="C2" t="s">
        <v>769</v>
      </c>
      <c r="D2" t="s">
        <v>770</v>
      </c>
      <c r="I2" t="s">
        <v>455</v>
      </c>
      <c r="J2" cm="1">
        <f t="array" ref="J2:J14">_xlfn._xlws.FILTER(Eingabe[GES],Eingabe[Name]=I2)</f>
        <v>610</v>
      </c>
      <c r="K2" cm="1">
        <f t="array" ref="K2:K14">_xlfn._xlws.FILTER(Eingabe[GEGGES],Eingabe[Name]=I2)</f>
        <v>571</v>
      </c>
      <c r="L2">
        <v>440</v>
      </c>
      <c r="M2">
        <v>440</v>
      </c>
      <c r="S2" cm="1">
        <f t="array" ref="S2:S14">_xlfn._xlws.FILTER(Eingabe[Volle],Eingabe[Name]=I2,"")</f>
        <v>378</v>
      </c>
      <c r="T2" cm="1">
        <f t="array" ref="T2:T14">_xlfn._xlws.FILTER(Eingabe[Räumer],Eingabe[Name]=I2,"")</f>
        <v>232</v>
      </c>
      <c r="U2">
        <v>200</v>
      </c>
      <c r="V2">
        <f>U2/2</f>
        <v>100</v>
      </c>
    </row>
    <row r="3" spans="1:22" x14ac:dyDescent="0.3">
      <c r="A3" t="s">
        <v>759</v>
      </c>
      <c r="B3" t="s">
        <v>776</v>
      </c>
      <c r="C3" t="s">
        <v>771</v>
      </c>
      <c r="D3" t="s">
        <v>774</v>
      </c>
      <c r="J3">
        <v>550</v>
      </c>
      <c r="K3">
        <v>598</v>
      </c>
      <c r="L3">
        <f>L2+20</f>
        <v>460</v>
      </c>
      <c r="M3">
        <f>M2+20</f>
        <v>460</v>
      </c>
      <c r="S3">
        <v>367</v>
      </c>
      <c r="T3">
        <v>183</v>
      </c>
      <c r="U3">
        <v>500</v>
      </c>
      <c r="V3">
        <f>U3/2</f>
        <v>250</v>
      </c>
    </row>
    <row r="4" spans="1:22" x14ac:dyDescent="0.3">
      <c r="A4" t="s">
        <v>777</v>
      </c>
      <c r="B4" t="s">
        <v>772</v>
      </c>
      <c r="C4" t="s">
        <v>773</v>
      </c>
      <c r="D4" t="s">
        <v>774</v>
      </c>
      <c r="J4">
        <v>599</v>
      </c>
      <c r="K4">
        <v>539</v>
      </c>
      <c r="L4">
        <f t="shared" ref="L4:L11" si="0">L3+20</f>
        <v>480</v>
      </c>
      <c r="M4">
        <f t="shared" ref="M4:M11" si="1">M3+20</f>
        <v>480</v>
      </c>
      <c r="S4">
        <v>379</v>
      </c>
      <c r="T4">
        <v>220</v>
      </c>
    </row>
    <row r="5" spans="1:22" x14ac:dyDescent="0.3">
      <c r="A5" t="s">
        <v>760</v>
      </c>
      <c r="B5" t="s">
        <v>778</v>
      </c>
      <c r="C5" t="s">
        <v>779</v>
      </c>
      <c r="D5" t="s">
        <v>774</v>
      </c>
      <c r="J5">
        <v>605</v>
      </c>
      <c r="K5">
        <v>466</v>
      </c>
      <c r="L5">
        <f t="shared" si="0"/>
        <v>500</v>
      </c>
      <c r="M5">
        <f t="shared" si="1"/>
        <v>500</v>
      </c>
      <c r="S5">
        <v>382</v>
      </c>
      <c r="T5">
        <v>223</v>
      </c>
    </row>
    <row r="6" spans="1:22" x14ac:dyDescent="0.3">
      <c r="A6" t="s">
        <v>761</v>
      </c>
      <c r="B6" t="s">
        <v>780</v>
      </c>
      <c r="C6" t="s">
        <v>793</v>
      </c>
      <c r="D6" t="s">
        <v>794</v>
      </c>
      <c r="J6">
        <v>593</v>
      </c>
      <c r="K6">
        <v>521</v>
      </c>
      <c r="L6">
        <f t="shared" si="0"/>
        <v>520</v>
      </c>
      <c r="M6">
        <f t="shared" si="1"/>
        <v>520</v>
      </c>
      <c r="S6">
        <v>385</v>
      </c>
      <c r="T6">
        <v>208</v>
      </c>
    </row>
    <row r="7" spans="1:22" x14ac:dyDescent="0.3">
      <c r="A7" t="s">
        <v>762</v>
      </c>
      <c r="B7" t="s">
        <v>781</v>
      </c>
      <c r="C7" t="s">
        <v>782</v>
      </c>
      <c r="J7">
        <v>536</v>
      </c>
      <c r="K7">
        <v>519</v>
      </c>
      <c r="L7">
        <f t="shared" si="0"/>
        <v>540</v>
      </c>
      <c r="M7">
        <f t="shared" si="1"/>
        <v>540</v>
      </c>
      <c r="S7">
        <v>356</v>
      </c>
      <c r="T7">
        <v>180</v>
      </c>
    </row>
    <row r="8" spans="1:22" x14ac:dyDescent="0.3">
      <c r="A8" t="s">
        <v>766</v>
      </c>
      <c r="B8" t="s">
        <v>790</v>
      </c>
      <c r="C8" t="s">
        <v>791</v>
      </c>
      <c r="J8">
        <v>578</v>
      </c>
      <c r="K8">
        <v>535</v>
      </c>
      <c r="L8">
        <f t="shared" si="0"/>
        <v>560</v>
      </c>
      <c r="M8">
        <f t="shared" si="1"/>
        <v>560</v>
      </c>
      <c r="S8">
        <v>367</v>
      </c>
      <c r="T8">
        <v>211</v>
      </c>
    </row>
    <row r="9" spans="1:22" x14ac:dyDescent="0.3">
      <c r="A9" t="s">
        <v>783</v>
      </c>
      <c r="B9" t="s">
        <v>765</v>
      </c>
      <c r="C9" t="s">
        <v>785</v>
      </c>
      <c r="D9" t="s">
        <v>784</v>
      </c>
      <c r="J9">
        <v>539</v>
      </c>
      <c r="K9">
        <v>589</v>
      </c>
      <c r="L9">
        <f t="shared" si="0"/>
        <v>580</v>
      </c>
      <c r="M9">
        <f t="shared" si="1"/>
        <v>580</v>
      </c>
      <c r="S9">
        <v>350</v>
      </c>
      <c r="T9">
        <v>189</v>
      </c>
    </row>
    <row r="10" spans="1:22" x14ac:dyDescent="0.3">
      <c r="A10" t="s">
        <v>786</v>
      </c>
      <c r="B10" t="s">
        <v>767</v>
      </c>
      <c r="C10" t="s">
        <v>789</v>
      </c>
      <c r="E10" t="s">
        <v>792</v>
      </c>
      <c r="J10">
        <v>519</v>
      </c>
      <c r="K10">
        <v>521</v>
      </c>
      <c r="L10">
        <f t="shared" si="0"/>
        <v>600</v>
      </c>
      <c r="M10">
        <f t="shared" si="1"/>
        <v>600</v>
      </c>
      <c r="S10">
        <v>361</v>
      </c>
      <c r="T10">
        <v>158</v>
      </c>
    </row>
    <row r="11" spans="1:22" x14ac:dyDescent="0.3">
      <c r="A11" t="s">
        <v>787</v>
      </c>
      <c r="B11" t="s">
        <v>768</v>
      </c>
      <c r="C11" t="s">
        <v>788</v>
      </c>
      <c r="E11" t="s">
        <v>792</v>
      </c>
      <c r="J11">
        <v>558</v>
      </c>
      <c r="K11">
        <v>564</v>
      </c>
      <c r="L11">
        <f t="shared" si="0"/>
        <v>620</v>
      </c>
      <c r="M11">
        <f t="shared" si="1"/>
        <v>620</v>
      </c>
      <c r="S11">
        <v>364</v>
      </c>
      <c r="T11">
        <v>194</v>
      </c>
    </row>
    <row r="12" spans="1:22" x14ac:dyDescent="0.3">
      <c r="J12">
        <v>649</v>
      </c>
      <c r="K12">
        <v>556</v>
      </c>
      <c r="S12">
        <v>405</v>
      </c>
      <c r="T12">
        <v>244</v>
      </c>
    </row>
    <row r="13" spans="1:22" x14ac:dyDescent="0.3">
      <c r="J13">
        <v>512</v>
      </c>
      <c r="K13">
        <v>591</v>
      </c>
      <c r="S13">
        <v>349</v>
      </c>
      <c r="T13">
        <v>163</v>
      </c>
    </row>
    <row r="14" spans="1:22" x14ac:dyDescent="0.3">
      <c r="J14">
        <v>540</v>
      </c>
      <c r="K14">
        <v>531</v>
      </c>
      <c r="S14">
        <v>358</v>
      </c>
      <c r="T14">
        <v>182</v>
      </c>
    </row>
  </sheetData>
  <pageMargins left="0.7" right="0.7" top="0.78740157499999996" bottom="0.78740157499999996"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AF844-898B-42F0-ABFC-798EC401DB89}">
  <dimension ref="B1:AJ344"/>
  <sheetViews>
    <sheetView workbookViewId="0">
      <selection activeCell="V11" sqref="V11"/>
    </sheetView>
  </sheetViews>
  <sheetFormatPr baseColWidth="10" defaultRowHeight="14.4" x14ac:dyDescent="0.3"/>
  <cols>
    <col min="1" max="1" width="11.5546875" style="76"/>
    <col min="2" max="2" width="11.6640625" style="76" bestFit="1" customWidth="1"/>
    <col min="3" max="3" width="10.6640625" style="76" customWidth="1"/>
    <col min="4" max="4" width="15.77734375" style="80" customWidth="1"/>
    <col min="5" max="5" width="10.109375" style="76" bestFit="1" customWidth="1"/>
    <col min="6" max="6" width="7.33203125" style="76" bestFit="1" customWidth="1"/>
    <col min="7" max="7" width="10.109375" style="76" bestFit="1" customWidth="1"/>
    <col min="8" max="8" width="5.88671875" style="76" bestFit="1" customWidth="1"/>
    <col min="9" max="9" width="9.77734375" style="76" bestFit="1" customWidth="1"/>
    <col min="10" max="10" width="8.109375" style="76" bestFit="1" customWidth="1"/>
    <col min="11" max="11" width="15.109375" style="76" bestFit="1" customWidth="1"/>
    <col min="12" max="12" width="8.109375" style="76" bestFit="1" customWidth="1"/>
    <col min="13" max="13" width="6.33203125" style="76" bestFit="1" customWidth="1"/>
    <col min="14" max="14" width="9" style="76" bestFit="1" customWidth="1"/>
    <col min="15" max="17" width="12.77734375" style="76" bestFit="1" customWidth="1"/>
    <col min="18" max="18" width="11" style="76" bestFit="1" customWidth="1"/>
    <col min="19" max="19" width="9" style="76" bestFit="1" customWidth="1"/>
    <col min="20" max="20" width="8.109375" style="76" bestFit="1" customWidth="1"/>
    <col min="21" max="21" width="12.88671875" style="76" bestFit="1" customWidth="1"/>
    <col min="22" max="24" width="12.109375" style="76" bestFit="1" customWidth="1"/>
    <col min="25" max="28" width="14.109375" style="76" bestFit="1" customWidth="1"/>
    <col min="29" max="29" width="14.88671875" style="76" bestFit="1" customWidth="1"/>
    <col min="30" max="30" width="19.88671875" style="76" bestFit="1" customWidth="1"/>
    <col min="31" max="32" width="14.109375" style="76" bestFit="1" customWidth="1"/>
    <col min="33" max="33" width="3.77734375" style="76" bestFit="1" customWidth="1"/>
    <col min="34" max="34" width="4.77734375" style="76" bestFit="1" customWidth="1"/>
    <col min="35" max="35" width="8.5546875" style="76" bestFit="1" customWidth="1"/>
    <col min="36" max="36" width="5.77734375" style="76" bestFit="1" customWidth="1"/>
    <col min="37" max="37" width="5.33203125" style="76" bestFit="1" customWidth="1"/>
    <col min="38" max="16384" width="11.5546875" style="76"/>
  </cols>
  <sheetData>
    <row r="1" spans="2:36" ht="15.6" x14ac:dyDescent="0.3">
      <c r="B1" s="78" t="s">
        <v>130</v>
      </c>
      <c r="C1" s="79" t="s">
        <v>455</v>
      </c>
    </row>
    <row r="2" spans="2:36" ht="16.2" thickBot="1" x14ac:dyDescent="0.35">
      <c r="B2" s="78" t="s">
        <v>131</v>
      </c>
      <c r="C2" s="79" t="str">
        <f>VLOOKUP(C1,Teamzuordnung[[Name]:[Team]],2,FALSE)</f>
        <v>E</v>
      </c>
    </row>
    <row r="3" spans="2:36" ht="15.6" x14ac:dyDescent="0.3">
      <c r="B3" s="78"/>
      <c r="C3" s="76">
        <v>3</v>
      </c>
      <c r="D3" s="80">
        <v>5</v>
      </c>
      <c r="E3" s="76">
        <v>6</v>
      </c>
      <c r="F3" s="76">
        <v>7</v>
      </c>
      <c r="G3" s="76">
        <v>8</v>
      </c>
      <c r="H3" s="76">
        <v>9</v>
      </c>
      <c r="I3" s="76">
        <v>10</v>
      </c>
      <c r="J3" s="76">
        <v>22</v>
      </c>
      <c r="K3" s="76">
        <v>19</v>
      </c>
      <c r="N3" s="379" t="s">
        <v>66</v>
      </c>
      <c r="O3" s="380" t="s">
        <v>26</v>
      </c>
      <c r="P3" s="380" t="s">
        <v>118</v>
      </c>
      <c r="Q3" s="381" t="s">
        <v>119</v>
      </c>
      <c r="R3" s="2"/>
      <c r="S3" s="379" t="s">
        <v>221</v>
      </c>
      <c r="T3" s="380" t="s">
        <v>63</v>
      </c>
      <c r="U3" s="380">
        <v>1</v>
      </c>
      <c r="V3" s="380">
        <v>2</v>
      </c>
      <c r="W3" s="380">
        <v>3</v>
      </c>
      <c r="X3" s="381">
        <v>4</v>
      </c>
    </row>
    <row r="4" spans="2:36" ht="15.6" x14ac:dyDescent="0.3">
      <c r="B4" s="374" t="s">
        <v>63</v>
      </c>
      <c r="C4" s="375" t="s">
        <v>100</v>
      </c>
      <c r="D4" s="375" t="s">
        <v>21</v>
      </c>
      <c r="E4" s="375" t="s">
        <v>22</v>
      </c>
      <c r="F4" s="375" t="s">
        <v>23</v>
      </c>
      <c r="G4" s="375" t="s">
        <v>26</v>
      </c>
      <c r="H4" s="375" t="s">
        <v>24</v>
      </c>
      <c r="I4" s="375" t="s">
        <v>412</v>
      </c>
      <c r="J4" s="375" t="s">
        <v>2</v>
      </c>
      <c r="K4" s="375" t="s">
        <v>252</v>
      </c>
      <c r="L4" s="375" t="s">
        <v>621</v>
      </c>
      <c r="N4" s="382">
        <v>1</v>
      </c>
      <c r="O4" s="383" t="str">
        <f>IFERROR(VLOOKUP($C$1,ErgebnisPosition[],N4+2,FALSE),"-")&amp;" ["&amp;IFERROR(ROUND(VLOOKUP($C$1,PositionG[],N4+14,FALSE),2)*100,"-")&amp;"%]"</f>
        <v>540 [0%]</v>
      </c>
      <c r="P4" s="383" t="str">
        <f>VLOOKUP($C$1,ErgebnisPositionH[],N4+2,FALSE)&amp;" ["&amp;IFERROR(ROUND(VLOOKUP($C$1,PositionH[],N4+14,FALSE),2)*100,"-")&amp;"%]"</f>
        <v>540 [0%]</v>
      </c>
      <c r="Q4" s="384" t="str">
        <f>IFERROR(VLOOKUP($C$1,ErgebnisPositionA[],N4+2,FALSE),"-")&amp;" ["&amp;IFERROR(ROUND(VLOOKUP($C$1,PositionA[],N4+14,FALSE),2)*100,"-")&amp;"%]"</f>
        <v xml:space="preserve"> [-%]</v>
      </c>
      <c r="R4" s="2"/>
      <c r="S4" s="382" t="s">
        <v>26</v>
      </c>
      <c r="T4" s="383">
        <f>ROUND(VLOOKUP($C$1,Bahnen[],3,FALSE),1)</f>
        <v>142</v>
      </c>
      <c r="U4" s="383" t="str">
        <f>ROUND(VLOOKUP($C$1,Bahnen[],U3*2+2,FALSE),1)&amp;" ["&amp;ROUND(VLOOKUP($C$1,Bahnen[],U3*2+2,FALSE)-$T$4,1)&amp;"]"</f>
        <v>146,8 [4,8]</v>
      </c>
      <c r="V4" s="383" t="str">
        <f>ROUND(VLOOKUP($C$1,Bahnen[],V3*2+2,FALSE),1)&amp;" ["&amp;ROUND(VLOOKUP($C$1,Bahnen[],V3*2+2,FALSE)-$T$4,1)&amp;"]"</f>
        <v>139,2 [-2,8]</v>
      </c>
      <c r="W4" s="383" t="str">
        <f>ROUND(VLOOKUP($C$1,Bahnen[],W3*2+2,FALSE),1)&amp;" ["&amp;ROUND(VLOOKUP($C$1,Bahnen[],W3*2+2,FALSE)-$T$4,1)&amp;"]"</f>
        <v>141,7 [-0,3]</v>
      </c>
      <c r="X4" s="384" t="str">
        <f>ROUND(VLOOKUP($C$1,Bahnen[],X3*2+2,FALSE),1)&amp;" ["&amp;ROUND(VLOOKUP($C$1,Bahnen[],X3*2+2,FALSE)-$T$4,1)&amp;"]"</f>
        <v>140,6 [-1,4]</v>
      </c>
      <c r="AJ4" s="266"/>
    </row>
    <row r="5" spans="2:36" ht="15.6" x14ac:dyDescent="0.3">
      <c r="B5" s="375" t="s">
        <v>118</v>
      </c>
      <c r="C5" s="376">
        <f>VLOOKUP($C$1,AuswertungH[],C3,FALSE)</f>
        <v>8</v>
      </c>
      <c r="D5" s="376" t="str">
        <f>VLOOKUP($C$1,AuswertungH[],D3,FALSE)&amp;" ["&amp;VLOOKUP($C$1,Rekorde[],14,FALSE)&amp;"]"</f>
        <v>370 [385]</v>
      </c>
      <c r="E5" s="376" t="str">
        <f>VLOOKUP($C$1,AuswertungH[],E3,FALSE)&amp;" ["&amp;VLOOKUP($C$1,Rekorde[],15,FALSE)&amp;"]"</f>
        <v>200 [232]</v>
      </c>
      <c r="F5" s="376">
        <f>VLOOKUP($C$1,AuswertungH[],F3,FALSE)</f>
        <v>1.6</v>
      </c>
      <c r="G5" s="377" t="str">
        <f>VLOOKUP($C$1,AuswertungH[],8,FALSE)&amp;" ["&amp;VLOOKUP($C$1,Rekorde[],13,FALSE)&amp;"]"</f>
        <v>570 [610]</v>
      </c>
      <c r="H5" s="376">
        <f>VLOOKUP($C$1,AuswertungH[],H3,FALSE)</f>
        <v>2.63</v>
      </c>
      <c r="I5" s="378">
        <f>VLOOKUP($C$1,AuswertungH[],I3,FALSE)</f>
        <v>0.75</v>
      </c>
      <c r="J5" s="376">
        <f>VLOOKUP($C$1,AuswertungH[],J3,FALSE)</f>
        <v>529</v>
      </c>
      <c r="K5" s="376">
        <f>VLOOKUP($C$1,AuswertungH[],K3,FALSE)</f>
        <v>-4.1399999999999997</v>
      </c>
      <c r="L5" s="376">
        <f>IFERROR(VLOOKUP($C$1,Vorjahr[],6,FALSE),"")</f>
        <v>569</v>
      </c>
      <c r="N5" s="385">
        <v>2</v>
      </c>
      <c r="O5" s="386" t="str">
        <f>IFERROR(VLOOKUP($C$1,ErgebnisPosition[],N5+2,FALSE),"-")&amp;" ["&amp;IFERROR(ROUND(VLOOKUP($C$1,PositionG[],N5+14,FALSE),2)*100,"-")&amp;"%]"</f>
        <v xml:space="preserve"> [-%]</v>
      </c>
      <c r="P5" s="386" t="str">
        <f>VLOOKUP($C$1,ErgebnisPositionH[],N5+2,FALSE)&amp;" ["&amp;IFERROR(ROUND(VLOOKUP($C$1,PositionH[],N5+14,FALSE),2)*100,"-")&amp;"%]"</f>
        <v xml:space="preserve"> [-%]</v>
      </c>
      <c r="Q5" s="387" t="str">
        <f>IFERROR(VLOOKUP($C$1,ErgebnisPositionA[],N5+2,FALSE),"-")&amp;" ["&amp;IFERROR(ROUND(VLOOKUP($C$1,PositionA[],N5+14,FALSE),2)*100,"-")&amp;"%]"</f>
        <v xml:space="preserve"> [-%]</v>
      </c>
      <c r="R5" s="2"/>
      <c r="S5" s="385" t="s">
        <v>21</v>
      </c>
      <c r="T5" s="386">
        <f>ROUND(VLOOKUP($C$1,Volle[],3,FALSE),1)</f>
        <v>92.3</v>
      </c>
      <c r="U5" s="386" t="str">
        <f>ROUND(VLOOKUP($C$1,Volle[],U3*2+2,FALSE),1)&amp;" ["&amp;ROUND(VLOOKUP($C$1,Volle[],U3*2+2,FALSE)-$T$5,1)&amp;"]"</f>
        <v>93,2 [0,9]</v>
      </c>
      <c r="V5" s="386" t="str">
        <f>ROUND(VLOOKUP($C$1,Volle[],V3*2+2,FALSE),1)&amp;" ["&amp;ROUND(VLOOKUP($C$1,Volle[],V3*2+2,FALSE)-$T$5,1)&amp;"]"</f>
        <v>91,9 [-0,4]</v>
      </c>
      <c r="W5" s="386" t="str">
        <f>ROUND(VLOOKUP($C$1,Volle[],W3*2+2,FALSE),1)&amp;" ["&amp;ROUND(VLOOKUP($C$1,Volle[],W3*2+2,FALSE)-$T$5,1)&amp;"]"</f>
        <v>93,1 [0,8]</v>
      </c>
      <c r="X5" s="387" t="str">
        <f>ROUND(VLOOKUP($C$1,Volle[],X3*2+2,FALSE),1)&amp;" ["&amp;ROUND(VLOOKUP($C$1,Volle[],X3*2+2,FALSE)-$T$5,1)&amp;"]"</f>
        <v>91,2 [-1,1]</v>
      </c>
      <c r="Z5" s="266"/>
      <c r="AB5" s="266"/>
      <c r="AJ5" s="266"/>
    </row>
    <row r="6" spans="2:36" ht="15.6" x14ac:dyDescent="0.3">
      <c r="B6" s="375" t="s">
        <v>119</v>
      </c>
      <c r="C6" s="376">
        <f>VLOOKUP($C$1,AuswertungA[],C3,FALSE)</f>
        <v>5</v>
      </c>
      <c r="D6" s="376" t="str">
        <f>VLOOKUP($C$1,AuswertungA[],D3,FALSE)&amp;" ["&amp;VLOOKUP($C$1,Rekorde[],24,FALSE)&amp;"]"</f>
        <v>368 [405]</v>
      </c>
      <c r="E6" s="376" t="str">
        <f>VLOOKUP($C$1,AuswertungA[],E3,FALSE)&amp;" ["&amp;VLOOKUP($C$1,Rekorde[],25,FALSE)&amp;"]"</f>
        <v>198 [244]</v>
      </c>
      <c r="F6" s="376">
        <f>VLOOKUP($C$1,AuswertungA[],F3,FALSE)</f>
        <v>4.5999999999999996</v>
      </c>
      <c r="G6" s="376" t="str">
        <f>VLOOKUP($C$1,AuswertungA[],G3,FALSE)&amp;" ["&amp;VLOOKUP($C$1,Rekorde[],23,FALSE)&amp;"]"</f>
        <v>566 [649]</v>
      </c>
      <c r="H6" s="376">
        <f>VLOOKUP($C$1,AuswertungA[],H3,FALSE)</f>
        <v>1.7</v>
      </c>
      <c r="I6" s="378">
        <f>VLOOKUP($C$1,AuswertungA[],I3,FALSE)</f>
        <v>0.4</v>
      </c>
      <c r="J6" s="376">
        <f>VLOOKUP($C$1,AuswertungA[],J3,FALSE)</f>
        <v>574</v>
      </c>
      <c r="K6" s="376">
        <f>VLOOKUP($C$1,AuswertungA[],K3,FALSE)</f>
        <v>-0.92</v>
      </c>
      <c r="L6" s="376">
        <f>IFERROR(VLOOKUP($C$1,Vorjahr[],10,FALSE),"")</f>
        <v>574</v>
      </c>
      <c r="N6" s="382">
        <v>3</v>
      </c>
      <c r="O6" s="383" t="str">
        <f>IFERROR(VLOOKUP($C$1,ErgebnisPosition[],N6+2,FALSE),"-")&amp;" ["&amp;IFERROR(ROUND(VLOOKUP($C$1,PositionG[],N6+14,FALSE),2)*100,"-")&amp;"%]"</f>
        <v>519 [100%]</v>
      </c>
      <c r="P6" s="383" t="str">
        <f>VLOOKUP($C$1,ErgebnisPositionH[],N6+2,FALSE)&amp;" ["&amp;IFERROR(ROUND(VLOOKUP($C$1,PositionH[],N6+14,FALSE),2)*100,"-")&amp;"%]"</f>
        <v>519 [100%]</v>
      </c>
      <c r="Q6" s="384" t="str">
        <f>IFERROR(VLOOKUP($C$1,ErgebnisPositionA[],N6+2,FALSE),"-")&amp;" ["&amp;IFERROR(ROUND(VLOOKUP($C$1,PositionA[],N6+14,FALSE),2)*100,"-")&amp;"%]"</f>
        <v xml:space="preserve"> [-%]</v>
      </c>
      <c r="R6" s="2"/>
      <c r="S6" s="382" t="s">
        <v>22</v>
      </c>
      <c r="T6" s="383">
        <f>ROUND(VLOOKUP($C$1,Räumer[],3,FALSE),1)</f>
        <v>49.8</v>
      </c>
      <c r="U6" s="383" t="str">
        <f>ROUND(VLOOKUP($C$1,Räumer[],U3*2+2,FALSE),1)&amp;" ["&amp;ROUND(VLOOKUP($C$1,Räumer[],U3*2+2,FALSE)-$T$6,1)&amp;"]"</f>
        <v>53,7 [3,9]</v>
      </c>
      <c r="V6" s="383" t="str">
        <f>ROUND(VLOOKUP($C$1,Räumer[],V3*2+2,FALSE),1)&amp;" ["&amp;ROUND(VLOOKUP($C$1,Räumer[],V3*2+2,FALSE)-$T$6,1)&amp;"]"</f>
        <v>47,2 [-2,6]</v>
      </c>
      <c r="W6" s="383" t="str">
        <f>ROUND(VLOOKUP($C$1,Räumer[],W3*2+2,FALSE),1)&amp;" ["&amp;ROUND(VLOOKUP($C$1,Räumer[],W3*2+2,FALSE)-$T$6,1)&amp;"]"</f>
        <v>48,6 [-1,2]</v>
      </c>
      <c r="X6" s="384" t="str">
        <f>ROUND(VLOOKUP($C$1,Räumer[],X3*2+2,FALSE),1)&amp;" ["&amp;ROUND(VLOOKUP($C$1,Räumer[],X3*2+2,FALSE)-$T$6,1)&amp;"]"</f>
        <v>49,5 [-0,3]</v>
      </c>
      <c r="AJ6" s="266"/>
    </row>
    <row r="7" spans="2:36" ht="16.2" thickBot="1" x14ac:dyDescent="0.35">
      <c r="B7" s="375" t="s">
        <v>26</v>
      </c>
      <c r="C7" s="376">
        <f>VLOOKUP($C$1,AuswertungG[],C3,FALSE)</f>
        <v>13</v>
      </c>
      <c r="D7" s="376" t="str">
        <f>VLOOKUP($C$1,AuswertungG[],D3,FALSE)&amp;" ["&amp;VLOOKUP($C$1,Rekorde[],4,FALSE)&amp;"]"</f>
        <v>369 [405]</v>
      </c>
      <c r="E7" s="376" t="str">
        <f>VLOOKUP($C$1,AuswertungG[],E3,FALSE)&amp;" ["&amp;VLOOKUP($C$1,Rekorde[],5,FALSE)&amp;"]"</f>
        <v>199 [244]</v>
      </c>
      <c r="F7" s="376">
        <f>VLOOKUP($C$1,AuswertungG[],F3,FALSE)</f>
        <v>2.8</v>
      </c>
      <c r="G7" s="376" t="str">
        <f>VLOOKUP($C$1,AuswertungG[],G3,FALSE)&amp;" ["&amp;VLOOKUP($C$1,Rekorde[],3,FALSE)&amp;"]"</f>
        <v>568 [649]</v>
      </c>
      <c r="H7" s="376">
        <f>VLOOKUP($C$1,AuswertungG[],H3,FALSE)</f>
        <v>2.2999999999999998</v>
      </c>
      <c r="I7" s="378">
        <f>VLOOKUP($C$1,AuswertungG[],I3,FALSE)</f>
        <v>0.62</v>
      </c>
      <c r="J7" s="376">
        <f>VLOOKUP($C$1,AuswertungG[],J3,FALSE)</f>
        <v>546</v>
      </c>
      <c r="K7" s="376">
        <f>VLOOKUP($C$1,AuswertungG[],K3,FALSE)</f>
        <v>-3.17</v>
      </c>
      <c r="L7" s="376">
        <f>IFERROR(VLOOKUP($C$1,Vorjahr[],2,FALSE),"")</f>
        <v>572</v>
      </c>
      <c r="N7" s="385">
        <v>4</v>
      </c>
      <c r="O7" s="386" t="str">
        <f>IFERROR(VLOOKUP($C$1,ErgebnisPosition[],N7+2,FALSE),"-")&amp;" ["&amp;IFERROR(ROUND(VLOOKUP($C$1,PositionG[],N7+14,FALSE),2)*100,"-")&amp;"%]"</f>
        <v xml:space="preserve"> [-%]</v>
      </c>
      <c r="P7" s="386" t="str">
        <f>VLOOKUP($C$1,ErgebnisPositionH[],N7+2,FALSE)&amp;" ["&amp;IFERROR(ROUND(VLOOKUP($C$1,PositionH[],N7+14,FALSE),2)*100,"-")&amp;"%]"</f>
        <v xml:space="preserve"> [-%]</v>
      </c>
      <c r="Q7" s="387" t="str">
        <f>IFERROR(VLOOKUP($C$1,ErgebnisPositionA[],N7+2,FALSE),"-")&amp;" ["&amp;IFERROR(ROUND(VLOOKUP($C$1,PositionA[],N7+14,FALSE),2)*100,"-")&amp;"%]"</f>
        <v xml:space="preserve"> [-%]</v>
      </c>
      <c r="R7" s="2"/>
      <c r="S7" s="388" t="s">
        <v>23</v>
      </c>
      <c r="T7" s="389">
        <f>ROUND(VLOOKUP($C$1,Fehler[],3,FALSE),1)</f>
        <v>0.8</v>
      </c>
      <c r="U7" s="389" t="str">
        <f>ROUND(VLOOKUP($C$1,Fehler[],U3*2+2,FALSE),1)&amp;" ["&amp;ROUND(VLOOKUP($C$1,Fehler[],U3*2+2,FALSE)-$T$7,1)&amp;"]"</f>
        <v>0,4 [-0,4]</v>
      </c>
      <c r="V7" s="389" t="str">
        <f>ROUND(VLOOKUP($C$1,Fehler[],V3*2+2,FALSE),1)&amp;" ["&amp;ROUND(VLOOKUP($C$1,Fehler[],V3*2+2,FALSE)-$T$7,1)&amp;"]"</f>
        <v>0,9 [0,1]</v>
      </c>
      <c r="W7" s="389" t="str">
        <f>ROUND(VLOOKUP($C$1,Fehler[],W3*2+2,FALSE),1)&amp;" ["&amp;ROUND(VLOOKUP($C$1,Fehler[],W3*2+2,FALSE)-$T$7,1)&amp;"]"</f>
        <v>1,1 [0,3]</v>
      </c>
      <c r="X7" s="390" t="str">
        <f>ROUND(VLOOKUP($C$1,Fehler[],X3*2+2,FALSE),1)&amp;" ["&amp;ROUND(VLOOKUP($C$1,Fehler[],X3*2+2,FALSE)-$T$7,1)&amp;"]"</f>
        <v>0,4 [-0,4]</v>
      </c>
      <c r="Z7" s="266"/>
      <c r="AB7" s="266"/>
      <c r="AJ7" s="266"/>
    </row>
    <row r="8" spans="2:36" ht="15.6" x14ac:dyDescent="0.3">
      <c r="N8" s="382">
        <v>5</v>
      </c>
      <c r="O8" s="383" t="str">
        <f>IFERROR(VLOOKUP($C$1,ErgebnisPosition[],N8+2,FALSE),"-")&amp;" ["&amp;IFERROR(ROUND(VLOOKUP($C$1,PositionG[],N8+14,FALSE),2)*100,"-")&amp;"%]"</f>
        <v>579 [75%]</v>
      </c>
      <c r="P8" s="383" t="str">
        <f>VLOOKUP($C$1,ErgebnisPositionH[],N8+2,FALSE)&amp;" ["&amp;IFERROR(ROUND(VLOOKUP($C$1,PositionH[],N8+14,FALSE),2)*100,"-")&amp;"%]"</f>
        <v>584 [83%]</v>
      </c>
      <c r="Q8" s="384" t="str">
        <f>IFERROR(VLOOKUP($C$1,ErgebnisPositionA[],N8+2,FALSE),"-")&amp;" ["&amp;IFERROR(ROUND(VLOOKUP($C$1,PositionA[],N8+14,FALSE),2)*100,"-")&amp;"%]"</f>
        <v>564 [50%]</v>
      </c>
      <c r="R8" s="2"/>
      <c r="S8" s="2"/>
      <c r="T8" s="2"/>
      <c r="U8" s="2"/>
      <c r="V8" s="2"/>
      <c r="W8" s="2"/>
      <c r="X8" s="2"/>
      <c r="AJ8" s="266"/>
    </row>
    <row r="9" spans="2:36" ht="16.2" thickBot="1" x14ac:dyDescent="0.35">
      <c r="B9" s="81" t="s">
        <v>3</v>
      </c>
      <c r="C9" s="81" t="s">
        <v>1</v>
      </c>
      <c r="D9" s="82" t="s">
        <v>2</v>
      </c>
      <c r="E9" s="81" t="s">
        <v>26</v>
      </c>
      <c r="F9" s="81" t="s">
        <v>21</v>
      </c>
      <c r="G9" s="81" t="s">
        <v>22</v>
      </c>
      <c r="H9" s="81" t="s">
        <v>63</v>
      </c>
      <c r="N9" s="388">
        <v>6</v>
      </c>
      <c r="O9" s="389" t="str">
        <f>IFERROR(VLOOKUP($C$1,ErgebnisPosition[],N9+2,FALSE),"-")&amp;" ["&amp;IFERROR(ROUND(VLOOKUP($C$1,PositionG[],N9+14,FALSE),2)*100,"-")&amp;"%]"</f>
        <v>567 [33%]</v>
      </c>
      <c r="P9" s="389" t="str">
        <f>VLOOKUP($C$1,ErgebnisPositionH[],N9+2,FALSE)&amp;" ["&amp;IFERROR(ROUND(VLOOKUP($C$1,PositionH[],N9+14,FALSE),2)*100,"-")&amp;"%]"</f>
        <v xml:space="preserve"> [-%]</v>
      </c>
      <c r="Q9" s="390" t="str">
        <f>IFERROR(VLOOKUP($C$1,ErgebnisPositionA[],N9+2,FALSE),"-")&amp;" ["&amp;IFERROR(ROUND(VLOOKUP($C$1,PositionA[],N9+14,FALSE),2)*100,"-")&amp;"%]"</f>
        <v>567 [33%]</v>
      </c>
      <c r="R9" s="2"/>
      <c r="S9" s="2"/>
      <c r="T9" s="2"/>
      <c r="U9" s="2"/>
      <c r="V9" s="391"/>
      <c r="W9" s="2"/>
      <c r="X9" s="391"/>
      <c r="Z9" s="266"/>
      <c r="AB9" s="266"/>
      <c r="AJ9" s="266"/>
    </row>
    <row r="10" spans="2:36" x14ac:dyDescent="0.3">
      <c r="B10" s="77" cm="1">
        <f t="array" ref="B10:H22">_xlfn._xlws.SORT(_xlfn.CHOOSECOLS(_xlfn._xlws.FILTER(Eingabe[],Eingabe[Name]=C1,""),9,8,41,31,28,29,47),1,1,FALSE)</f>
        <v>45913</v>
      </c>
      <c r="C10" s="76" t="str">
        <v>E-L-1</v>
      </c>
      <c r="D10" s="80" t="str">
        <v>TSV 90 Zwickau II [H]</v>
      </c>
      <c r="E10" s="76">
        <v>610</v>
      </c>
      <c r="F10" s="76">
        <v>378</v>
      </c>
      <c r="G10" s="76">
        <v>232</v>
      </c>
      <c r="H10" s="97">
        <v>568</v>
      </c>
    </row>
    <row r="11" spans="2:36" x14ac:dyDescent="0.3">
      <c r="B11" s="77">
        <v>45920</v>
      </c>
      <c r="C11" s="76" t="str">
        <v>E-L-2</v>
      </c>
      <c r="D11" s="80" t="str">
        <v>Brand-Erbisdorf</v>
      </c>
      <c r="E11" s="76">
        <v>550</v>
      </c>
      <c r="F11" s="76">
        <v>367</v>
      </c>
      <c r="G11" s="76">
        <v>183</v>
      </c>
      <c r="H11" s="97">
        <v>568</v>
      </c>
    </row>
    <row r="12" spans="2:36" x14ac:dyDescent="0.3">
      <c r="B12" s="77">
        <v>45927</v>
      </c>
      <c r="C12" s="76" t="str">
        <v>E-L-3</v>
      </c>
      <c r="D12" s="80" t="str">
        <v>SG Grün-Weiß Mehltheuer II [H]</v>
      </c>
      <c r="E12" s="76">
        <v>599</v>
      </c>
      <c r="F12" s="76">
        <v>379</v>
      </c>
      <c r="G12" s="76">
        <v>220</v>
      </c>
      <c r="H12" s="97">
        <v>568</v>
      </c>
    </row>
    <row r="13" spans="2:36" x14ac:dyDescent="0.3">
      <c r="B13" s="77">
        <v>45962</v>
      </c>
      <c r="C13" s="76" t="str">
        <v>E-DKBC-Pokal-2</v>
      </c>
      <c r="D13" s="80" t="str">
        <v>TuS Gerolsheim [H]</v>
      </c>
      <c r="E13" s="76">
        <v>558</v>
      </c>
      <c r="F13" s="76">
        <v>364</v>
      </c>
      <c r="G13" s="76">
        <v>194</v>
      </c>
      <c r="H13" s="97">
        <v>568</v>
      </c>
    </row>
    <row r="14" spans="2:36" x14ac:dyDescent="0.3">
      <c r="B14" s="77">
        <v>45969</v>
      </c>
      <c r="C14" s="76" t="str">
        <v>E-L-6</v>
      </c>
      <c r="D14" s="80" t="str">
        <v>KSV Blau-Gelb Taucha II [H]</v>
      </c>
      <c r="E14" s="76">
        <v>605</v>
      </c>
      <c r="F14" s="76">
        <v>382</v>
      </c>
      <c r="G14" s="76">
        <v>223</v>
      </c>
      <c r="H14" s="97">
        <v>568</v>
      </c>
    </row>
    <row r="15" spans="2:36" x14ac:dyDescent="0.3">
      <c r="B15" s="77">
        <v>45976</v>
      </c>
      <c r="C15" s="76" t="str">
        <v>E-L-7</v>
      </c>
      <c r="D15" s="80" t="str">
        <v>SG Hohentanne [H]</v>
      </c>
      <c r="E15" s="76">
        <v>593</v>
      </c>
      <c r="F15" s="76">
        <v>385</v>
      </c>
      <c r="G15" s="76">
        <v>208</v>
      </c>
      <c r="H15" s="97">
        <v>568</v>
      </c>
    </row>
    <row r="16" spans="2:36" x14ac:dyDescent="0.3">
      <c r="B16" s="77">
        <v>45983</v>
      </c>
      <c r="C16" s="76" t="str">
        <v>E-P-1</v>
      </c>
      <c r="D16" s="80" t="str">
        <v>Leipzig</v>
      </c>
      <c r="E16" s="76">
        <v>649</v>
      </c>
      <c r="F16" s="76">
        <v>405</v>
      </c>
      <c r="G16" s="76">
        <v>244</v>
      </c>
      <c r="H16" s="97">
        <v>568</v>
      </c>
    </row>
    <row r="17" spans="2:8" x14ac:dyDescent="0.3">
      <c r="B17" s="77">
        <v>45990</v>
      </c>
      <c r="C17" s="76" t="str">
        <v>E-L-8</v>
      </c>
      <c r="D17" s="80" t="str">
        <v>SKV 9-Pins Stollberg II [H]</v>
      </c>
      <c r="E17" s="76">
        <v>536</v>
      </c>
      <c r="F17" s="76">
        <v>356</v>
      </c>
      <c r="G17" s="76">
        <v>180</v>
      </c>
      <c r="H17" s="97">
        <v>568</v>
      </c>
    </row>
    <row r="18" spans="2:8" x14ac:dyDescent="0.3">
      <c r="B18" s="77">
        <v>45997</v>
      </c>
      <c r="C18" s="76" t="str">
        <v>E-DKBC-Pokal-3</v>
      </c>
      <c r="D18" s="80" t="str">
        <v>Köthen</v>
      </c>
      <c r="E18" s="76">
        <v>512</v>
      </c>
      <c r="F18" s="76">
        <v>349</v>
      </c>
      <c r="G18" s="76">
        <v>163</v>
      </c>
      <c r="H18" s="97">
        <v>568</v>
      </c>
    </row>
    <row r="19" spans="2:8" x14ac:dyDescent="0.3">
      <c r="B19" s="77">
        <v>46004</v>
      </c>
      <c r="C19" s="76" t="str">
        <v>E-L-9</v>
      </c>
      <c r="D19" s="80" t="str">
        <v>Treuen</v>
      </c>
      <c r="E19" s="76">
        <v>578</v>
      </c>
      <c r="F19" s="76">
        <v>367</v>
      </c>
      <c r="G19" s="76">
        <v>211</v>
      </c>
      <c r="H19" s="97">
        <v>568</v>
      </c>
    </row>
    <row r="20" spans="2:8" x14ac:dyDescent="0.3">
      <c r="B20" s="77">
        <v>46039</v>
      </c>
      <c r="C20" s="76" t="str">
        <v>E-L-10</v>
      </c>
      <c r="D20" s="80" t="str">
        <v>Zwickau</v>
      </c>
      <c r="E20" s="76">
        <v>539</v>
      </c>
      <c r="F20" s="76">
        <v>350</v>
      </c>
      <c r="G20" s="76">
        <v>189</v>
      </c>
      <c r="H20" s="97">
        <v>568</v>
      </c>
    </row>
    <row r="21" spans="2:8" x14ac:dyDescent="0.3">
      <c r="B21" s="77">
        <v>46046</v>
      </c>
      <c r="C21" s="76" t="str">
        <v>E-L-11</v>
      </c>
      <c r="D21" s="80" t="str">
        <v>SpG Großschirma/Brand-Erbisdorf [H]</v>
      </c>
      <c r="E21" s="76">
        <v>519</v>
      </c>
      <c r="F21" s="76">
        <v>361</v>
      </c>
      <c r="G21" s="76">
        <v>158</v>
      </c>
      <c r="H21" s="97">
        <v>568</v>
      </c>
    </row>
    <row r="22" spans="2:8" x14ac:dyDescent="0.3">
      <c r="B22" s="77">
        <v>46052</v>
      </c>
      <c r="C22" s="76" t="str">
        <v>E-P-2</v>
      </c>
      <c r="D22" s="80" t="str">
        <v>Königsbrücker KV WR [H]</v>
      </c>
      <c r="E22" s="76">
        <v>540</v>
      </c>
      <c r="F22" s="76">
        <v>358</v>
      </c>
      <c r="G22" s="76">
        <v>182</v>
      </c>
      <c r="H22" s="97">
        <v>568</v>
      </c>
    </row>
    <row r="23" spans="2:8" x14ac:dyDescent="0.3">
      <c r="B23" s="77"/>
      <c r="D23" s="76"/>
      <c r="H23" s="97"/>
    </row>
    <row r="24" spans="2:8" x14ac:dyDescent="0.3">
      <c r="B24" s="77"/>
      <c r="D24" s="76"/>
      <c r="H24" s="97"/>
    </row>
    <row r="25" spans="2:8" x14ac:dyDescent="0.3">
      <c r="B25" s="77"/>
      <c r="D25" s="76"/>
      <c r="H25" s="97"/>
    </row>
    <row r="26" spans="2:8" x14ac:dyDescent="0.3">
      <c r="B26" s="77"/>
      <c r="D26" s="76"/>
      <c r="H26" s="97"/>
    </row>
    <row r="27" spans="2:8" x14ac:dyDescent="0.3">
      <c r="B27" s="77"/>
      <c r="D27" s="76"/>
    </row>
    <row r="28" spans="2:8" x14ac:dyDescent="0.3">
      <c r="B28" s="77"/>
      <c r="D28" s="76"/>
    </row>
    <row r="29" spans="2:8" x14ac:dyDescent="0.3">
      <c r="B29" s="77"/>
      <c r="D29" s="76"/>
    </row>
    <row r="30" spans="2:8" x14ac:dyDescent="0.3">
      <c r="B30" s="77"/>
      <c r="D30" s="76"/>
    </row>
    <row r="31" spans="2:8" x14ac:dyDescent="0.3">
      <c r="B31" s="77"/>
      <c r="D31" s="76"/>
    </row>
    <row r="32" spans="2:8" x14ac:dyDescent="0.3">
      <c r="B32" s="77"/>
      <c r="D32" s="76"/>
    </row>
    <row r="33" spans="2:13" x14ac:dyDescent="0.3">
      <c r="B33" s="77"/>
      <c r="D33" s="76"/>
    </row>
    <row r="34" spans="2:13" x14ac:dyDescent="0.3">
      <c r="B34" s="77"/>
      <c r="D34" s="76"/>
    </row>
    <row r="35" spans="2:13" x14ac:dyDescent="0.3">
      <c r="B35" s="77"/>
      <c r="D35" s="76"/>
    </row>
    <row r="36" spans="2:13" x14ac:dyDescent="0.3">
      <c r="B36" s="77"/>
      <c r="D36" s="76"/>
    </row>
    <row r="37" spans="2:13" x14ac:dyDescent="0.3">
      <c r="B37" s="77"/>
      <c r="D37" s="76"/>
    </row>
    <row r="38" spans="2:13" x14ac:dyDescent="0.3">
      <c r="B38" s="77"/>
      <c r="D38" s="76"/>
    </row>
    <row r="39" spans="2:13" ht="15.6" x14ac:dyDescent="0.3">
      <c r="B39" s="450" t="s">
        <v>408</v>
      </c>
      <c r="C39" s="450"/>
      <c r="D39" s="450"/>
      <c r="E39" s="450"/>
      <c r="F39" s="450"/>
      <c r="G39" s="450"/>
      <c r="H39" s="450"/>
      <c r="I39" s="450"/>
      <c r="J39" s="450"/>
      <c r="K39" s="450"/>
      <c r="L39" s="450"/>
    </row>
    <row r="40" spans="2:13" x14ac:dyDescent="0.3">
      <c r="C40" s="175" t="s">
        <v>63</v>
      </c>
      <c r="D40" s="175" t="s">
        <v>196</v>
      </c>
      <c r="G40" s="78" t="s">
        <v>409</v>
      </c>
      <c r="I40" s="78" t="s">
        <v>410</v>
      </c>
      <c r="K40" s="448" t="s">
        <v>411</v>
      </c>
      <c r="L40" s="448"/>
      <c r="M40" s="366">
        <f>D41</f>
        <v>39</v>
      </c>
    </row>
    <row r="41" spans="2:13" ht="15.6" x14ac:dyDescent="0.3">
      <c r="B41" s="79" t="str">
        <f>C1</f>
        <v>Philipp Paulmann</v>
      </c>
      <c r="C41" s="174">
        <f>IF(B42="H",VLOOKUP(B41,AuswertungH[],8,FALSE),IF(B42="A",VLOOKUP(B41,AuswertungA[],8,FALSE),VLOOKUP(B41,AuswertungG[],8,FALSE)))</f>
        <v>568</v>
      </c>
      <c r="D41" s="183">
        <f>IF(B42="H",VLOOKUP(B41,AuswertungH[],21,FALSE),IF(B42="A",VLOOKUP(B41,AuswertungA[],21,FALSE),VLOOKUP(B41,AuswertungG[],21,FALSE)))</f>
        <v>39</v>
      </c>
      <c r="G41" s="184">
        <v>550</v>
      </c>
      <c r="I41" s="184">
        <v>520</v>
      </c>
      <c r="K41" s="79">
        <f>C41-M40</f>
        <v>529</v>
      </c>
      <c r="L41" s="79">
        <f>C41+M40</f>
        <v>607</v>
      </c>
    </row>
    <row r="42" spans="2:13" ht="15.6" x14ac:dyDescent="0.3">
      <c r="B42" s="79" t="s">
        <v>39</v>
      </c>
      <c r="D42" s="76"/>
      <c r="G42" s="167">
        <f>SUMIF(B44:B344,"&gt;="&amp;G41,C44:C344)</f>
        <v>0.66518653855037324</v>
      </c>
      <c r="I42" s="167">
        <f>SUMIF(B44:B344,"&lt;="&amp;I41,C44:C344)</f>
        <v>0.11161537992748383</v>
      </c>
      <c r="K42" s="449">
        <f>1-SUMIF(B44:B344,"&lt;="&amp;K41,C44:C344)-SUMIF(B44:B344,"&gt;="&amp;L41,C44:C344)</f>
        <v>0.69365473266243416</v>
      </c>
      <c r="L42" s="449"/>
    </row>
    <row r="44" spans="2:13" x14ac:dyDescent="0.3">
      <c r="B44" s="76">
        <v>350</v>
      </c>
      <c r="C44" s="166">
        <f>_xlfn.NORM.DIST(B44,$C$41,$D$41,FALSE)</f>
        <v>1.6789170258315482E-9</v>
      </c>
    </row>
    <row r="45" spans="2:13" x14ac:dyDescent="0.3">
      <c r="B45" s="76">
        <v>351</v>
      </c>
      <c r="C45" s="166">
        <f t="shared" ref="C45:C107" si="0">_xlfn.NORM.DIST(B45,$C$41,$D$41,FALSE)</f>
        <v>1.9370127866845082E-9</v>
      </c>
    </row>
    <row r="46" spans="2:13" x14ac:dyDescent="0.3">
      <c r="B46" s="76">
        <v>352</v>
      </c>
      <c r="C46" s="166">
        <f t="shared" si="0"/>
        <v>2.2333161666021534E-9</v>
      </c>
    </row>
    <row r="47" spans="2:13" x14ac:dyDescent="0.3">
      <c r="B47" s="76">
        <v>353</v>
      </c>
      <c r="C47" s="166">
        <f t="shared" si="0"/>
        <v>2.5732524777842601E-9</v>
      </c>
    </row>
    <row r="48" spans="2:13" x14ac:dyDescent="0.3">
      <c r="B48" s="76">
        <v>354</v>
      </c>
      <c r="C48" s="166">
        <f t="shared" si="0"/>
        <v>2.9629823013397571E-9</v>
      </c>
    </row>
    <row r="49" spans="2:3" x14ac:dyDescent="0.3">
      <c r="B49" s="76">
        <v>355</v>
      </c>
      <c r="C49" s="166">
        <f t="shared" si="0"/>
        <v>3.409495980889118E-9</v>
      </c>
    </row>
    <row r="50" spans="2:3" x14ac:dyDescent="0.3">
      <c r="B50" s="76">
        <v>356</v>
      </c>
      <c r="C50" s="166">
        <f t="shared" si="0"/>
        <v>3.9207195311135897E-9</v>
      </c>
    </row>
    <row r="51" spans="2:3" x14ac:dyDescent="0.3">
      <c r="B51" s="76">
        <v>357</v>
      </c>
      <c r="C51" s="166">
        <f t="shared" si="0"/>
        <v>4.5056332411340132E-9</v>
      </c>
    </row>
    <row r="52" spans="2:3" x14ac:dyDescent="0.3">
      <c r="B52" s="76">
        <v>358</v>
      </c>
      <c r="C52" s="166">
        <f t="shared" si="0"/>
        <v>5.1744043832003749E-9</v>
      </c>
    </row>
    <row r="53" spans="2:3" x14ac:dyDescent="0.3">
      <c r="B53" s="76">
        <v>359</v>
      </c>
      <c r="C53" s="166">
        <f t="shared" si="0"/>
        <v>5.9385355794868608E-9</v>
      </c>
    </row>
    <row r="54" spans="2:3" x14ac:dyDescent="0.3">
      <c r="B54" s="76">
        <v>360</v>
      </c>
      <c r="C54" s="166">
        <f t="shared" si="0"/>
        <v>6.8110305346715702E-9</v>
      </c>
    </row>
    <row r="55" spans="2:3" x14ac:dyDescent="0.3">
      <c r="B55" s="76">
        <v>361</v>
      </c>
      <c r="C55" s="166">
        <f t="shared" si="0"/>
        <v>7.8065790103345694E-9</v>
      </c>
    </row>
    <row r="56" spans="2:3" x14ac:dyDescent="0.3">
      <c r="B56" s="76">
        <v>362</v>
      </c>
      <c r="C56" s="166">
        <f t="shared" si="0"/>
        <v>8.9417630999646601E-9</v>
      </c>
    </row>
    <row r="57" spans="2:3" x14ac:dyDescent="0.3">
      <c r="B57" s="76">
        <v>363</v>
      </c>
      <c r="C57" s="166">
        <f t="shared" si="0"/>
        <v>1.0235287061502324E-8</v>
      </c>
    </row>
    <row r="58" spans="2:3" x14ac:dyDescent="0.3">
      <c r="B58" s="76">
        <v>364</v>
      </c>
      <c r="C58" s="166">
        <f t="shared" si="0"/>
        <v>1.1708233178866226E-8</v>
      </c>
    </row>
    <row r="59" spans="2:3" x14ac:dyDescent="0.3">
      <c r="B59" s="76">
        <v>365</v>
      </c>
      <c r="C59" s="166">
        <f t="shared" si="0"/>
        <v>1.3384346355860783E-8</v>
      </c>
    </row>
    <row r="60" spans="2:3" x14ac:dyDescent="0.3">
      <c r="B60" s="76">
        <v>366</v>
      </c>
      <c r="C60" s="166">
        <f t="shared" si="0"/>
        <v>1.5290350396307448E-8</v>
      </c>
    </row>
    <row r="61" spans="2:3" x14ac:dyDescent="0.3">
      <c r="B61" s="76">
        <v>367</v>
      </c>
      <c r="C61" s="166">
        <f t="shared" si="0"/>
        <v>1.7456299194284076E-8</v>
      </c>
    </row>
    <row r="62" spans="2:3" x14ac:dyDescent="0.3">
      <c r="B62" s="76">
        <v>368</v>
      </c>
      <c r="C62" s="166">
        <f t="shared" si="0"/>
        <v>1.991596634910771E-8</v>
      </c>
    </row>
    <row r="63" spans="2:3" x14ac:dyDescent="0.3">
      <c r="B63" s="76">
        <v>369</v>
      </c>
      <c r="C63" s="166">
        <f t="shared" si="0"/>
        <v>2.2707277032290999E-8</v>
      </c>
    </row>
    <row r="64" spans="2:3" x14ac:dyDescent="0.3">
      <c r="B64" s="76">
        <v>370</v>
      </c>
      <c r="C64" s="166">
        <f t="shared" si="0"/>
        <v>2.5872786269279352E-8</v>
      </c>
    </row>
    <row r="65" spans="2:3" x14ac:dyDescent="0.3">
      <c r="B65" s="76">
        <v>371</v>
      </c>
      <c r="C65" s="166">
        <f t="shared" si="0"/>
        <v>2.9460208158481774E-8</v>
      </c>
    </row>
    <row r="66" spans="2:3" x14ac:dyDescent="0.3">
      <c r="B66" s="76">
        <v>372</v>
      </c>
      <c r="C66" s="166">
        <f t="shared" si="0"/>
        <v>3.3523000935064309E-8</v>
      </c>
    </row>
    <row r="67" spans="2:3" x14ac:dyDescent="0.3">
      <c r="B67" s="76">
        <v>373</v>
      </c>
      <c r="C67" s="166">
        <f t="shared" si="0"/>
        <v>3.8121013198315329E-8</v>
      </c>
    </row>
    <row r="68" spans="2:3" x14ac:dyDescent="0.3">
      <c r="B68" s="76">
        <v>374</v>
      </c>
      <c r="C68" s="166">
        <f t="shared" si="0"/>
        <v>4.3321197060184637E-8</v>
      </c>
    </row>
    <row r="69" spans="2:3" x14ac:dyDescent="0.3">
      <c r="B69" s="76">
        <v>375</v>
      </c>
      <c r="C69" s="166">
        <f t="shared" si="0"/>
        <v>4.9198394439904061E-8</v>
      </c>
    </row>
    <row r="70" spans="2:3" x14ac:dyDescent="0.3">
      <c r="B70" s="76">
        <v>376</v>
      </c>
      <c r="C70" s="166">
        <f t="shared" si="0"/>
        <v>5.5836203226396984E-8</v>
      </c>
    </row>
    <row r="71" spans="2:3" x14ac:dyDescent="0.3">
      <c r="B71" s="76">
        <v>377</v>
      </c>
      <c r="C71" s="166">
        <f t="shared" si="0"/>
        <v>6.3327930557406741E-8</v>
      </c>
    </row>
    <row r="72" spans="2:3" x14ac:dyDescent="0.3">
      <c r="B72" s="76">
        <v>378</v>
      </c>
      <c r="C72" s="166">
        <f t="shared" si="0"/>
        <v>7.1777641022744665E-8</v>
      </c>
    </row>
    <row r="73" spans="2:3" x14ac:dyDescent="0.3">
      <c r="B73" s="76">
        <v>379</v>
      </c>
      <c r="C73" s="166">
        <f t="shared" si="0"/>
        <v>8.1301308189513775E-8</v>
      </c>
    </row>
    <row r="74" spans="2:3" x14ac:dyDescent="0.3">
      <c r="B74" s="76">
        <v>380</v>
      </c>
      <c r="C74" s="166">
        <f t="shared" si="0"/>
        <v>9.2028078470205023E-8</v>
      </c>
    </row>
    <row r="75" spans="2:3" x14ac:dyDescent="0.3">
      <c r="B75" s="76">
        <v>381</v>
      </c>
      <c r="C75" s="166">
        <f t="shared" si="0"/>
        <v>1.0410165701063793E-7</v>
      </c>
    </row>
    <row r="76" spans="2:3" x14ac:dyDescent="0.3">
      <c r="B76" s="76">
        <v>382</v>
      </c>
      <c r="C76" s="166">
        <f t="shared" si="0"/>
        <v>1.1768182596413038E-7</v>
      </c>
    </row>
    <row r="77" spans="2:3" x14ac:dyDescent="0.3">
      <c r="B77" s="76">
        <v>383</v>
      </c>
      <c r="C77" s="166">
        <f t="shared" si="0"/>
        <v>1.3294610624110641E-7</v>
      </c>
    </row>
    <row r="78" spans="2:3" x14ac:dyDescent="0.3">
      <c r="B78" s="76">
        <v>384</v>
      </c>
      <c r="C78" s="166">
        <f t="shared" si="0"/>
        <v>1.5009157457946933E-7</v>
      </c>
    </row>
    <row r="79" spans="2:3" x14ac:dyDescent="0.3">
      <c r="B79" s="76">
        <v>385</v>
      </c>
      <c r="C79" s="166">
        <f t="shared" si="0"/>
        <v>1.6933684857009588E-7</v>
      </c>
    </row>
    <row r="80" spans="2:3" x14ac:dyDescent="0.3">
      <c r="B80" s="76">
        <v>386</v>
      </c>
      <c r="C80" s="166">
        <f t="shared" si="0"/>
        <v>1.9092425309307668E-7</v>
      </c>
    </row>
    <row r="81" spans="2:3" x14ac:dyDescent="0.3">
      <c r="B81" s="76">
        <v>387</v>
      </c>
      <c r="C81" s="166">
        <f t="shared" si="0"/>
        <v>2.1512218247290102E-7</v>
      </c>
    </row>
    <row r="82" spans="2:3" x14ac:dyDescent="0.3">
      <c r="B82" s="76">
        <v>388</v>
      </c>
      <c r="C82" s="166">
        <f t="shared" si="0"/>
        <v>2.4222767354328433E-7</v>
      </c>
    </row>
    <row r="83" spans="2:3" x14ac:dyDescent="0.3">
      <c r="B83" s="76">
        <v>389</v>
      </c>
      <c r="C83" s="166">
        <f t="shared" si="0"/>
        <v>2.7256920572314701E-7</v>
      </c>
    </row>
    <row r="84" spans="2:3" x14ac:dyDescent="0.3">
      <c r="B84" s="76">
        <v>390</v>
      </c>
      <c r="C84" s="166">
        <f t="shared" si="0"/>
        <v>3.065097451422057E-7</v>
      </c>
    </row>
    <row r="85" spans="2:3" x14ac:dyDescent="0.3">
      <c r="B85" s="76">
        <v>391</v>
      </c>
      <c r="C85" s="166">
        <f t="shared" si="0"/>
        <v>3.4445005081517997E-7</v>
      </c>
    </row>
    <row r="86" spans="2:3" x14ac:dyDescent="0.3">
      <c r="B86" s="76">
        <v>392</v>
      </c>
      <c r="C86" s="166">
        <f t="shared" si="0"/>
        <v>3.8683226184474641E-7</v>
      </c>
    </row>
    <row r="87" spans="2:3" x14ac:dyDescent="0.3">
      <c r="B87" s="76">
        <v>393</v>
      </c>
      <c r="C87" s="166">
        <f t="shared" si="0"/>
        <v>4.3414378563147234E-7</v>
      </c>
    </row>
    <row r="88" spans="2:3" x14ac:dyDescent="0.3">
      <c r="B88" s="76">
        <v>394</v>
      </c>
      <c r="C88" s="166">
        <f t="shared" si="0"/>
        <v>4.8692150807986032E-7</v>
      </c>
    </row>
    <row r="89" spans="2:3" x14ac:dyDescent="0.3">
      <c r="B89" s="76">
        <v>395</v>
      </c>
      <c r="C89" s="166">
        <f t="shared" si="0"/>
        <v>5.4575634780869345E-7</v>
      </c>
    </row>
    <row r="90" spans="2:3" x14ac:dyDescent="0.3">
      <c r="B90" s="76">
        <v>396</v>
      </c>
      <c r="C90" s="166">
        <f t="shared" si="0"/>
        <v>6.1129817739558729E-7</v>
      </c>
    </row>
    <row r="91" spans="2:3" x14ac:dyDescent="0.3">
      <c r="B91" s="76">
        <v>397</v>
      </c>
      <c r="C91" s="166">
        <f t="shared" si="0"/>
        <v>6.8426113570398624E-7</v>
      </c>
    </row>
    <row r="92" spans="2:3" x14ac:dyDescent="0.3">
      <c r="B92" s="76">
        <v>398</v>
      </c>
      <c r="C92" s="166">
        <f t="shared" si="0"/>
        <v>7.6542935634910027E-7</v>
      </c>
    </row>
    <row r="93" spans="2:3" x14ac:dyDescent="0.3">
      <c r="B93" s="76">
        <v>399</v>
      </c>
      <c r="C93" s="166">
        <f t="shared" si="0"/>
        <v>8.5566313834970319E-7</v>
      </c>
    </row>
    <row r="94" spans="2:3" x14ac:dyDescent="0.3">
      <c r="B94" s="76">
        <v>400</v>
      </c>
      <c r="C94" s="166">
        <f t="shared" si="0"/>
        <v>9.5590558597725861E-7</v>
      </c>
    </row>
    <row r="95" spans="2:3" x14ac:dyDescent="0.3">
      <c r="B95" s="76">
        <v>401</v>
      </c>
      <c r="C95" s="166">
        <f t="shared" si="0"/>
        <v>1.0671897457430411E-6</v>
      </c>
    </row>
    <row r="96" spans="2:3" x14ac:dyDescent="0.3">
      <c r="B96" s="76">
        <v>402</v>
      </c>
      <c r="C96" s="166">
        <f t="shared" si="0"/>
        <v>1.1906462693480667E-6</v>
      </c>
    </row>
    <row r="97" spans="2:3" x14ac:dyDescent="0.3">
      <c r="B97" s="76">
        <v>403</v>
      </c>
      <c r="C97" s="166">
        <f t="shared" si="0"/>
        <v>1.3275116322486917E-6</v>
      </c>
    </row>
    <row r="98" spans="2:3" x14ac:dyDescent="0.3">
      <c r="B98" s="76">
        <v>404</v>
      </c>
      <c r="C98" s="166">
        <f t="shared" si="0"/>
        <v>1.4791369382509268E-6</v>
      </c>
    </row>
    <row r="99" spans="2:3" x14ac:dyDescent="0.3">
      <c r="B99" s="76">
        <v>405</v>
      </c>
      <c r="C99" s="166">
        <f t="shared" si="0"/>
        <v>1.6469973412263307E-6</v>
      </c>
    </row>
    <row r="100" spans="2:3" x14ac:dyDescent="0.3">
      <c r="B100" s="76">
        <v>406</v>
      </c>
      <c r="C100" s="166">
        <f t="shared" si="0"/>
        <v>1.8327021156279794E-6</v>
      </c>
    </row>
    <row r="101" spans="2:3" x14ac:dyDescent="0.3">
      <c r="B101" s="76">
        <v>407</v>
      </c>
      <c r="C101" s="166">
        <f t="shared" si="0"/>
        <v>2.0380054079621723E-6</v>
      </c>
    </row>
    <row r="102" spans="2:3" x14ac:dyDescent="0.3">
      <c r="B102" s="76">
        <v>408</v>
      </c>
      <c r="C102" s="166">
        <f t="shared" si="0"/>
        <v>2.2648177017246981E-6</v>
      </c>
    </row>
    <row r="103" spans="2:3" x14ac:dyDescent="0.3">
      <c r="B103" s="76">
        <v>409</v>
      </c>
      <c r="C103" s="166">
        <f t="shared" si="0"/>
        <v>2.5152180285233243E-6</v>
      </c>
    </row>
    <row r="104" spans="2:3" x14ac:dyDescent="0.3">
      <c r="B104" s="76">
        <v>410</v>
      </c>
      <c r="C104" s="166">
        <f t="shared" si="0"/>
        <v>2.7914669581636994E-6</v>
      </c>
    </row>
    <row r="105" spans="2:3" x14ac:dyDescent="0.3">
      <c r="B105" s="76">
        <v>411</v>
      </c>
      <c r="C105" s="166">
        <f t="shared" si="0"/>
        <v>3.0960204003555205E-6</v>
      </c>
    </row>
    <row r="106" spans="2:3" x14ac:dyDescent="0.3">
      <c r="B106" s="76">
        <v>412</v>
      </c>
      <c r="C106" s="166">
        <f t="shared" si="0"/>
        <v>3.4315442503816763E-6</v>
      </c>
    </row>
    <row r="107" spans="2:3" x14ac:dyDescent="0.3">
      <c r="B107" s="76">
        <v>413</v>
      </c>
      <c r="C107" s="166">
        <f t="shared" si="0"/>
        <v>3.8009299105444492E-6</v>
      </c>
    </row>
    <row r="108" spans="2:3" x14ac:dyDescent="0.3">
      <c r="B108" s="76">
        <v>414</v>
      </c>
      <c r="C108" s="166">
        <f t="shared" ref="C108:C171" si="1">_xlfn.NORM.DIST(B108,$C$41,$D$41,FALSE)</f>
        <v>4.2073107184404805E-6</v>
      </c>
    </row>
    <row r="109" spans="2:3" x14ac:dyDescent="0.3">
      <c r="B109" s="76">
        <v>415</v>
      </c>
      <c r="C109" s="166">
        <f t="shared" si="1"/>
        <v>4.654079312098396E-6</v>
      </c>
    </row>
    <row r="110" spans="2:3" x14ac:dyDescent="0.3">
      <c r="B110" s="76">
        <v>416</v>
      </c>
      <c r="C110" s="166">
        <f t="shared" si="1"/>
        <v>5.1449059607190176E-6</v>
      </c>
    </row>
    <row r="111" spans="2:3" x14ac:dyDescent="0.3">
      <c r="B111" s="76">
        <v>417</v>
      </c>
      <c r="C111" s="166">
        <f t="shared" si="1"/>
        <v>5.6837578881657316E-6</v>
      </c>
    </row>
    <row r="112" spans="2:3" x14ac:dyDescent="0.3">
      <c r="B112" s="76">
        <v>418</v>
      </c>
      <c r="C112" s="166">
        <f t="shared" si="1"/>
        <v>6.2749196144397414E-6</v>
      </c>
    </row>
    <row r="113" spans="2:3" x14ac:dyDescent="0.3">
      <c r="B113" s="76">
        <v>419</v>
      </c>
      <c r="C113" s="166">
        <f t="shared" si="1"/>
        <v>6.9230143381200531E-6</v>
      </c>
    </row>
    <row r="114" spans="2:3" x14ac:dyDescent="0.3">
      <c r="B114" s="76">
        <v>420</v>
      </c>
      <c r="C114" s="166">
        <f t="shared" si="1"/>
        <v>7.6330263801277724E-6</v>
      </c>
    </row>
    <row r="115" spans="2:3" x14ac:dyDescent="0.3">
      <c r="B115" s="76">
        <v>421</v>
      </c>
      <c r="C115" s="166">
        <f t="shared" si="1"/>
        <v>8.4103247061678127E-6</v>
      </c>
    </row>
    <row r="116" spans="2:3" x14ac:dyDescent="0.3">
      <c r="B116" s="76">
        <v>422</v>
      </c>
      <c r="C116" s="166">
        <f t="shared" si="1"/>
        <v>9.2606875417859311E-6</v>
      </c>
    </row>
    <row r="117" spans="2:3" x14ac:dyDescent="0.3">
      <c r="B117" s="76">
        <v>423</v>
      </c>
      <c r="C117" s="166">
        <f t="shared" si="1"/>
        <v>1.0190328090134268E-5</v>
      </c>
    </row>
    <row r="118" spans="2:3" x14ac:dyDescent="0.3">
      <c r="B118" s="76">
        <v>424</v>
      </c>
      <c r="C118" s="166">
        <f t="shared" si="1"/>
        <v>1.1205921358244175E-5</v>
      </c>
    </row>
    <row r="119" spans="2:3" x14ac:dyDescent="0.3">
      <c r="B119" s="76">
        <v>425</v>
      </c>
      <c r="C119" s="166">
        <f t="shared" si="1"/>
        <v>1.2314632092841555E-5</v>
      </c>
    </row>
    <row r="120" spans="2:3" x14ac:dyDescent="0.3">
      <c r="B120" s="76">
        <v>426</v>
      </c>
      <c r="C120" s="166">
        <f t="shared" si="1"/>
        <v>1.3524143821488826E-5</v>
      </c>
    </row>
    <row r="121" spans="2:3" x14ac:dyDescent="0.3">
      <c r="B121" s="76">
        <v>427</v>
      </c>
      <c r="C121" s="166">
        <f t="shared" si="1"/>
        <v>1.4842688989084128E-5</v>
      </c>
    </row>
    <row r="122" spans="2:3" x14ac:dyDescent="0.3">
      <c r="B122" s="76">
        <v>428</v>
      </c>
      <c r="C122" s="166">
        <f t="shared" si="1"/>
        <v>1.6279080173474509E-5</v>
      </c>
    </row>
    <row r="123" spans="2:3" x14ac:dyDescent="0.3">
      <c r="B123" s="76">
        <v>429</v>
      </c>
      <c r="C123" s="166">
        <f t="shared" si="1"/>
        <v>1.7842742357137672E-5</v>
      </c>
    </row>
    <row r="124" spans="2:3" x14ac:dyDescent="0.3">
      <c r="B124" s="76">
        <v>430</v>
      </c>
      <c r="C124" s="166">
        <f t="shared" si="1"/>
        <v>1.9543746224541522E-5</v>
      </c>
    </row>
    <row r="125" spans="2:3" x14ac:dyDescent="0.3">
      <c r="B125" s="76">
        <v>431</v>
      </c>
      <c r="C125" s="166">
        <f t="shared" si="1"/>
        <v>2.1392842446898304E-5</v>
      </c>
    </row>
    <row r="126" spans="2:3" x14ac:dyDescent="0.3">
      <c r="B126" s="76">
        <v>432</v>
      </c>
      <c r="C126" s="166">
        <f t="shared" si="1"/>
        <v>2.3401496907585176E-5</v>
      </c>
    </row>
    <row r="127" spans="2:3" x14ac:dyDescent="0.3">
      <c r="B127" s="76">
        <v>433</v>
      </c>
      <c r="C127" s="166">
        <f t="shared" si="1"/>
        <v>2.5581926812502654E-5</v>
      </c>
    </row>
    <row r="128" spans="2:3" x14ac:dyDescent="0.3">
      <c r="B128" s="76">
        <v>434</v>
      </c>
      <c r="C128" s="166">
        <f t="shared" si="1"/>
        <v>2.7947137620093634E-5</v>
      </c>
    </row>
    <row r="129" spans="2:3" x14ac:dyDescent="0.3">
      <c r="B129" s="76">
        <v>435</v>
      </c>
      <c r="C129" s="166">
        <f t="shared" si="1"/>
        <v>3.0510960715650189E-5</v>
      </c>
    </row>
    <row r="130" spans="2:3" x14ac:dyDescent="0.3">
      <c r="B130" s="76">
        <v>436</v>
      </c>
      <c r="C130" s="166">
        <f t="shared" si="1"/>
        <v>3.328809174390966E-5</v>
      </c>
    </row>
    <row r="131" spans="2:3" x14ac:dyDescent="0.3">
      <c r="B131" s="76">
        <v>437</v>
      </c>
      <c r="C131" s="166">
        <f t="shared" si="1"/>
        <v>3.6294129502794896E-5</v>
      </c>
    </row>
    <row r="132" spans="2:3" x14ac:dyDescent="0.3">
      <c r="B132" s="76">
        <v>438</v>
      </c>
      <c r="C132" s="166">
        <f t="shared" si="1"/>
        <v>3.954561528951552E-5</v>
      </c>
    </row>
    <row r="133" spans="2:3" x14ac:dyDescent="0.3">
      <c r="B133" s="76">
        <v>439</v>
      </c>
      <c r="C133" s="166">
        <f t="shared" si="1"/>
        <v>4.3060072578134953E-5</v>
      </c>
    </row>
    <row r="134" spans="2:3" x14ac:dyDescent="0.3">
      <c r="B134" s="76">
        <v>440</v>
      </c>
      <c r="C134" s="166">
        <f t="shared" si="1"/>
        <v>4.685604689515959E-5</v>
      </c>
    </row>
    <row r="135" spans="2:3" x14ac:dyDescent="0.3">
      <c r="B135" s="76">
        <v>441</v>
      </c>
      <c r="C135" s="166">
        <f t="shared" si="1"/>
        <v>5.0953145746758918E-5</v>
      </c>
    </row>
    <row r="136" spans="2:3" x14ac:dyDescent="0.3">
      <c r="B136" s="76">
        <v>442</v>
      </c>
      <c r="C136" s="166">
        <f t="shared" si="1"/>
        <v>5.5372078437919006E-5</v>
      </c>
    </row>
    <row r="137" spans="2:3" x14ac:dyDescent="0.3">
      <c r="B137" s="76">
        <v>443</v>
      </c>
      <c r="C137" s="166">
        <f t="shared" si="1"/>
        <v>6.0134695610221107E-5</v>
      </c>
    </row>
    <row r="138" spans="2:3" x14ac:dyDescent="0.3">
      <c r="B138" s="76">
        <v>444</v>
      </c>
      <c r="C138" s="166">
        <f t="shared" si="1"/>
        <v>6.5264028311077905E-5</v>
      </c>
    </row>
    <row r="139" spans="2:3" x14ac:dyDescent="0.3">
      <c r="B139" s="76">
        <v>445</v>
      </c>
      <c r="C139" s="166">
        <f t="shared" si="1"/>
        <v>7.0784326393212485E-5</v>
      </c>
    </row>
    <row r="140" spans="2:3" x14ac:dyDescent="0.3">
      <c r="B140" s="76">
        <v>446</v>
      </c>
      <c r="C140" s="166">
        <f t="shared" si="1"/>
        <v>7.6721096029007865E-5</v>
      </c>
    </row>
    <row r="141" spans="2:3" x14ac:dyDescent="0.3">
      <c r="B141" s="76">
        <v>447</v>
      </c>
      <c r="C141" s="166">
        <f t="shared" si="1"/>
        <v>8.3101136110151974E-5</v>
      </c>
    </row>
    <row r="142" spans="2:3" x14ac:dyDescent="0.3">
      <c r="B142" s="76">
        <v>448</v>
      </c>
      <c r="C142" s="166">
        <f t="shared" si="1"/>
        <v>8.9952573288855754E-5</v>
      </c>
    </row>
    <row r="143" spans="2:3" x14ac:dyDescent="0.3">
      <c r="B143" s="76">
        <v>449</v>
      </c>
      <c r="C143" s="166">
        <f t="shared" si="1"/>
        <v>9.7304895402905279E-5</v>
      </c>
    </row>
    <row r="144" spans="2:3" x14ac:dyDescent="0.3">
      <c r="B144" s="76">
        <v>450</v>
      </c>
      <c r="C144" s="166">
        <f t="shared" si="1"/>
        <v>1.0518898301303115E-4</v>
      </c>
    </row>
    <row r="145" spans="2:3" x14ac:dyDescent="0.3">
      <c r="B145" s="76">
        <v>451</v>
      </c>
      <c r="C145" s="166">
        <f t="shared" si="1"/>
        <v>1.1363713876764121E-4</v>
      </c>
    </row>
    <row r="146" spans="2:3" x14ac:dyDescent="0.3">
      <c r="B146" s="76">
        <v>452</v>
      </c>
      <c r="C146" s="166">
        <f t="shared" si="1"/>
        <v>1.2268311429697079E-4</v>
      </c>
    </row>
    <row r="147" spans="2:3" x14ac:dyDescent="0.3">
      <c r="B147" s="76">
        <v>453</v>
      </c>
      <c r="C147" s="166">
        <f t="shared" si="1"/>
        <v>1.3236213432629124E-4</v>
      </c>
    </row>
    <row r="148" spans="2:3" x14ac:dyDescent="0.3">
      <c r="B148" s="76">
        <v>454</v>
      </c>
      <c r="C148" s="166">
        <f t="shared" si="1"/>
        <v>1.4271091768608093E-4</v>
      </c>
    </row>
    <row r="149" spans="2:3" x14ac:dyDescent="0.3">
      <c r="B149" s="76">
        <v>455</v>
      </c>
      <c r="C149" s="166">
        <f t="shared" si="1"/>
        <v>1.5376769488615534E-4</v>
      </c>
    </row>
    <row r="150" spans="2:3" x14ac:dyDescent="0.3">
      <c r="B150" s="76">
        <v>456</v>
      </c>
      <c r="C150" s="166">
        <f t="shared" si="1"/>
        <v>1.6557222191079199E-4</v>
      </c>
    </row>
    <row r="151" spans="2:3" x14ac:dyDescent="0.3">
      <c r="B151" s="76">
        <v>457</v>
      </c>
      <c r="C151" s="166">
        <f t="shared" si="1"/>
        <v>1.7816578988300572E-4</v>
      </c>
    </row>
    <row r="152" spans="2:3" x14ac:dyDescent="0.3">
      <c r="B152" s="76">
        <v>458</v>
      </c>
      <c r="C152" s="166">
        <f t="shared" si="1"/>
        <v>1.9159123023848893E-4</v>
      </c>
    </row>
    <row r="153" spans="2:3" x14ac:dyDescent="0.3">
      <c r="B153" s="76">
        <v>459</v>
      </c>
      <c r="C153" s="166">
        <f t="shared" si="1"/>
        <v>2.0589291504344838E-4</v>
      </c>
    </row>
    <row r="154" spans="2:3" x14ac:dyDescent="0.3">
      <c r="B154" s="76">
        <v>460</v>
      </c>
      <c r="C154" s="166">
        <f t="shared" si="1"/>
        <v>2.211167520858028E-4</v>
      </c>
    </row>
    <row r="155" spans="2:3" x14ac:dyDescent="0.3">
      <c r="B155" s="76">
        <v>461</v>
      </c>
      <c r="C155" s="166">
        <f t="shared" si="1"/>
        <v>2.3731017436610458E-4</v>
      </c>
    </row>
    <row r="156" spans="2:3" x14ac:dyDescent="0.3">
      <c r="B156" s="76">
        <v>462</v>
      </c>
      <c r="C156" s="166">
        <f t="shared" si="1"/>
        <v>2.5452212361323263E-4</v>
      </c>
    </row>
    <row r="157" spans="2:3" x14ac:dyDescent="0.3">
      <c r="B157" s="76">
        <v>463</v>
      </c>
      <c r="C157" s="166">
        <f t="shared" si="1"/>
        <v>2.7280302745055237E-4</v>
      </c>
    </row>
    <row r="158" spans="2:3" x14ac:dyDescent="0.3">
      <c r="B158" s="76">
        <v>464</v>
      </c>
      <c r="C158" s="166">
        <f t="shared" si="1"/>
        <v>2.9220476984096009E-4</v>
      </c>
    </row>
    <row r="159" spans="2:3" x14ac:dyDescent="0.3">
      <c r="B159" s="76">
        <v>465</v>
      </c>
      <c r="C159" s="166">
        <f t="shared" si="1"/>
        <v>3.1278065444417742E-4</v>
      </c>
    </row>
    <row r="160" spans="2:3" x14ac:dyDescent="0.3">
      <c r="B160" s="76">
        <v>466</v>
      </c>
      <c r="C160" s="166">
        <f t="shared" si="1"/>
        <v>3.345853605269691E-4</v>
      </c>
    </row>
    <row r="161" spans="2:3" x14ac:dyDescent="0.3">
      <c r="B161" s="76">
        <v>467</v>
      </c>
      <c r="C161" s="166">
        <f t="shared" si="1"/>
        <v>3.5767489107673013E-4</v>
      </c>
    </row>
    <row r="162" spans="2:3" x14ac:dyDescent="0.3">
      <c r="B162" s="76">
        <v>468</v>
      </c>
      <c r="C162" s="166">
        <f t="shared" si="1"/>
        <v>3.8210651278127898E-4</v>
      </c>
    </row>
    <row r="163" spans="2:3" x14ac:dyDescent="0.3">
      <c r="B163" s="76">
        <v>469</v>
      </c>
      <c r="C163" s="166">
        <f t="shared" si="1"/>
        <v>4.0793868755276976E-4</v>
      </c>
    </row>
    <row r="164" spans="2:3" x14ac:dyDescent="0.3">
      <c r="B164" s="76">
        <v>470</v>
      </c>
      <c r="C164" s="166">
        <f t="shared" si="1"/>
        <v>4.3523099529152036E-4</v>
      </c>
    </row>
    <row r="165" spans="2:3" x14ac:dyDescent="0.3">
      <c r="B165" s="76">
        <v>471</v>
      </c>
      <c r="C165" s="166">
        <f t="shared" si="1"/>
        <v>4.6404404760633938E-4</v>
      </c>
    </row>
    <row r="166" spans="2:3" x14ac:dyDescent="0.3">
      <c r="B166" s="76">
        <v>472</v>
      </c>
      <c r="C166" s="166">
        <f t="shared" si="1"/>
        <v>4.9443939223164229E-4</v>
      </c>
    </row>
    <row r="167" spans="2:3" x14ac:dyDescent="0.3">
      <c r="B167" s="76">
        <v>473</v>
      </c>
      <c r="C167" s="166">
        <f t="shared" si="1"/>
        <v>5.2647940790841597E-4</v>
      </c>
    </row>
    <row r="168" spans="2:3" x14ac:dyDescent="0.3">
      <c r="B168" s="76">
        <v>474</v>
      </c>
      <c r="C168" s="166">
        <f t="shared" si="1"/>
        <v>5.6022718952586609E-4</v>
      </c>
    </row>
    <row r="169" spans="2:3" x14ac:dyDescent="0.3">
      <c r="B169" s="76">
        <v>475</v>
      </c>
      <c r="C169" s="166">
        <f t="shared" si="1"/>
        <v>5.9574642335347454E-4</v>
      </c>
    </row>
    <row r="170" spans="2:3" x14ac:dyDescent="0.3">
      <c r="B170" s="76">
        <v>476</v>
      </c>
      <c r="C170" s="166">
        <f t="shared" si="1"/>
        <v>6.3310125222912025E-4</v>
      </c>
    </row>
    <row r="171" spans="2:3" x14ac:dyDescent="0.3">
      <c r="B171" s="76">
        <v>477</v>
      </c>
      <c r="C171" s="166">
        <f t="shared" si="1"/>
        <v>6.7235613060793542E-4</v>
      </c>
    </row>
    <row r="172" spans="2:3" x14ac:dyDescent="0.3">
      <c r="B172" s="76">
        <v>478</v>
      </c>
      <c r="C172" s="166">
        <f t="shared" ref="C172:C235" si="2">_xlfn.NORM.DIST(B172,$C$41,$D$41,FALSE)</f>
        <v>7.1357566941858712E-4</v>
      </c>
    </row>
    <row r="173" spans="2:3" x14ac:dyDescent="0.3">
      <c r="B173" s="76">
        <v>479</v>
      </c>
      <c r="C173" s="166">
        <f t="shared" si="2"/>
        <v>7.5682447071863466E-4</v>
      </c>
    </row>
    <row r="174" spans="2:3" x14ac:dyDescent="0.3">
      <c r="B174" s="76">
        <v>480</v>
      </c>
      <c r="C174" s="166">
        <f t="shared" si="2"/>
        <v>8.021669521884779E-4</v>
      </c>
    </row>
    <row r="175" spans="2:3" x14ac:dyDescent="0.3">
      <c r="B175" s="76">
        <v>481</v>
      </c>
      <c r="C175" s="166">
        <f t="shared" si="2"/>
        <v>8.4966716155395123E-4</v>
      </c>
    </row>
    <row r="176" spans="2:3" x14ac:dyDescent="0.3">
      <c r="B176" s="76">
        <v>482</v>
      </c>
      <c r="C176" s="166">
        <f t="shared" si="2"/>
        <v>8.9938858108086852E-4</v>
      </c>
    </row>
    <row r="177" spans="2:3" x14ac:dyDescent="0.3">
      <c r="B177" s="76">
        <v>483</v>
      </c>
      <c r="C177" s="166">
        <f t="shared" si="2"/>
        <v>9.5139392234043225E-4</v>
      </c>
    </row>
    <row r="178" spans="2:3" x14ac:dyDescent="0.3">
      <c r="B178" s="76">
        <v>484</v>
      </c>
      <c r="C178" s="166">
        <f t="shared" si="2"/>
        <v>1.0057449115023363E-3</v>
      </c>
    </row>
    <row r="179" spans="2:3" x14ac:dyDescent="0.3">
      <c r="B179" s="76">
        <v>485</v>
      </c>
      <c r="C179" s="166">
        <f t="shared" si="2"/>
        <v>1.0625020654723425E-3</v>
      </c>
    </row>
    <row r="180" spans="2:3" x14ac:dyDescent="0.3">
      <c r="B180" s="76">
        <v>486</v>
      </c>
      <c r="C180" s="166">
        <f t="shared" si="2"/>
        <v>1.121724459252815E-3</v>
      </c>
    </row>
    <row r="181" spans="2:3" x14ac:dyDescent="0.3">
      <c r="B181" s="76">
        <v>487</v>
      </c>
      <c r="C181" s="166">
        <f t="shared" si="2"/>
        <v>1.183469484967985E-3</v>
      </c>
    </row>
    <row r="182" spans="2:3" x14ac:dyDescent="0.3">
      <c r="B182" s="76">
        <v>488</v>
      </c>
      <c r="C182" s="166">
        <f t="shared" si="2"/>
        <v>1.2477926030601799E-3</v>
      </c>
    </row>
    <row r="183" spans="2:3" x14ac:dyDescent="0.3">
      <c r="B183" s="76">
        <v>489</v>
      </c>
      <c r="C183" s="166">
        <f t="shared" si="2"/>
        <v>1.314747086228626E-3</v>
      </c>
    </row>
    <row r="184" spans="2:3" x14ac:dyDescent="0.3">
      <c r="B184" s="76">
        <v>490</v>
      </c>
      <c r="C184" s="166">
        <f t="shared" si="2"/>
        <v>1.3843837567484119E-3</v>
      </c>
    </row>
    <row r="185" spans="2:3" x14ac:dyDescent="0.3">
      <c r="B185" s="76">
        <v>491</v>
      </c>
      <c r="C185" s="166">
        <f t="shared" si="2"/>
        <v>1.4567507178732634E-3</v>
      </c>
    </row>
    <row r="186" spans="2:3" x14ac:dyDescent="0.3">
      <c r="B186" s="76">
        <v>492</v>
      </c>
      <c r="C186" s="166">
        <f t="shared" si="2"/>
        <v>1.5318930800917645E-3</v>
      </c>
    </row>
    <row r="187" spans="2:3" x14ac:dyDescent="0.3">
      <c r="B187" s="76">
        <v>493</v>
      </c>
      <c r="C187" s="166">
        <f t="shared" si="2"/>
        <v>1.6098526830719178E-3</v>
      </c>
    </row>
    <row r="188" spans="2:3" x14ac:dyDescent="0.3">
      <c r="B188" s="76">
        <v>494</v>
      </c>
      <c r="C188" s="166">
        <f t="shared" si="2"/>
        <v>1.6906678141932236E-3</v>
      </c>
    </row>
    <row r="189" spans="2:3" x14ac:dyDescent="0.3">
      <c r="B189" s="76">
        <v>495</v>
      </c>
      <c r="C189" s="166">
        <f t="shared" si="2"/>
        <v>1.7743729246282101E-3</v>
      </c>
    </row>
    <row r="190" spans="2:3" x14ac:dyDescent="0.3">
      <c r="B190" s="76">
        <v>496</v>
      </c>
      <c r="C190" s="166">
        <f t="shared" si="2"/>
        <v>1.8609983439961855E-3</v>
      </c>
    </row>
    <row r="191" spans="2:3" x14ac:dyDescent="0.3">
      <c r="B191" s="76">
        <v>497</v>
      </c>
      <c r="C191" s="166">
        <f t="shared" si="2"/>
        <v>1.9505699946703646E-3</v>
      </c>
    </row>
    <row r="192" spans="2:3" x14ac:dyDescent="0.3">
      <c r="B192" s="76">
        <v>498</v>
      </c>
      <c r="C192" s="166">
        <f t="shared" si="2"/>
        <v>2.0431091068750669E-3</v>
      </c>
    </row>
    <row r="193" spans="2:3" x14ac:dyDescent="0.3">
      <c r="B193" s="76">
        <v>499</v>
      </c>
      <c r="C193" s="166">
        <f t="shared" si="2"/>
        <v>2.1386319357618025E-3</v>
      </c>
    </row>
    <row r="194" spans="2:3" x14ac:dyDescent="0.3">
      <c r="B194" s="76">
        <v>500</v>
      </c>
      <c r="C194" s="166">
        <f t="shared" si="2"/>
        <v>2.2371494817013471E-3</v>
      </c>
    </row>
    <row r="195" spans="2:3" x14ac:dyDescent="0.3">
      <c r="B195" s="76">
        <v>501</v>
      </c>
      <c r="C195" s="166">
        <f t="shared" si="2"/>
        <v>2.3386672150728953E-3</v>
      </c>
    </row>
    <row r="196" spans="2:3" x14ac:dyDescent="0.3">
      <c r="B196" s="76">
        <v>502</v>
      </c>
      <c r="C196" s="166">
        <f t="shared" si="2"/>
        <v>2.4431848068704716E-3</v>
      </c>
    </row>
    <row r="197" spans="2:3" x14ac:dyDescent="0.3">
      <c r="B197" s="76">
        <v>503</v>
      </c>
      <c r="C197" s="166">
        <f t="shared" si="2"/>
        <v>2.5506958664807352E-3</v>
      </c>
    </row>
    <row r="198" spans="2:3" x14ac:dyDescent="0.3">
      <c r="B198" s="76">
        <v>504</v>
      </c>
      <c r="C198" s="166">
        <f t="shared" si="2"/>
        <v>2.6611876880143965E-3</v>
      </c>
    </row>
    <row r="199" spans="2:3" x14ac:dyDescent="0.3">
      <c r="B199" s="76">
        <v>505</v>
      </c>
      <c r="C199" s="166">
        <f t="shared" si="2"/>
        <v>2.7746410065955357E-3</v>
      </c>
    </row>
    <row r="200" spans="2:3" x14ac:dyDescent="0.3">
      <c r="B200" s="76">
        <v>506</v>
      </c>
      <c r="C200" s="166">
        <f t="shared" si="2"/>
        <v>2.8910297660285581E-3</v>
      </c>
    </row>
    <row r="201" spans="2:3" x14ac:dyDescent="0.3">
      <c r="B201" s="76">
        <v>507</v>
      </c>
      <c r="C201" s="166">
        <f t="shared" si="2"/>
        <v>3.0103208992709753E-3</v>
      </c>
    </row>
    <row r="202" spans="2:3" x14ac:dyDescent="0.3">
      <c r="B202" s="76">
        <v>508</v>
      </c>
      <c r="C202" s="166">
        <f t="shared" si="2"/>
        <v>3.1324741231415149E-3</v>
      </c>
    </row>
    <row r="203" spans="2:3" x14ac:dyDescent="0.3">
      <c r="B203" s="76">
        <v>509</v>
      </c>
      <c r="C203" s="166">
        <f t="shared" si="2"/>
        <v>3.2574417486865388E-3</v>
      </c>
    </row>
    <row r="204" spans="2:3" x14ac:dyDescent="0.3">
      <c r="B204" s="76">
        <v>510</v>
      </c>
      <c r="C204" s="166">
        <f t="shared" si="2"/>
        <v>3.3851685086135424E-3</v>
      </c>
    </row>
    <row r="205" spans="2:3" x14ac:dyDescent="0.3">
      <c r="B205" s="76">
        <v>511</v>
      </c>
      <c r="C205" s="166">
        <f t="shared" si="2"/>
        <v>3.5155914031779834E-3</v>
      </c>
    </row>
    <row r="206" spans="2:3" x14ac:dyDescent="0.3">
      <c r="B206" s="76">
        <v>512</v>
      </c>
      <c r="C206" s="166">
        <f t="shared" si="2"/>
        <v>3.6486395658789175E-3</v>
      </c>
    </row>
    <row r="207" spans="2:3" x14ac:dyDescent="0.3">
      <c r="B207" s="76">
        <v>513</v>
      </c>
      <c r="C207" s="166">
        <f t="shared" si="2"/>
        <v>3.784234150279665E-3</v>
      </c>
    </row>
    <row r="208" spans="2:3" x14ac:dyDescent="0.3">
      <c r="B208" s="76">
        <v>514</v>
      </c>
      <c r="C208" s="166">
        <f t="shared" si="2"/>
        <v>3.9222882392217712E-3</v>
      </c>
    </row>
    <row r="209" spans="2:3" x14ac:dyDescent="0.3">
      <c r="B209" s="76">
        <v>515</v>
      </c>
      <c r="C209" s="166">
        <f t="shared" si="2"/>
        <v>4.0627067776440959E-3</v>
      </c>
    </row>
    <row r="210" spans="2:3" x14ac:dyDescent="0.3">
      <c r="B210" s="76">
        <v>516</v>
      </c>
      <c r="C210" s="166">
        <f t="shared" si="2"/>
        <v>4.2053865301536833E-3</v>
      </c>
    </row>
    <row r="211" spans="2:3" x14ac:dyDescent="0.3">
      <c r="B211" s="76">
        <v>517</v>
      </c>
      <c r="C211" s="166">
        <f t="shared" si="2"/>
        <v>4.3502160644213576E-3</v>
      </c>
    </row>
    <row r="212" spans="2:3" x14ac:dyDescent="0.3">
      <c r="B212" s="76">
        <v>518</v>
      </c>
      <c r="C212" s="166">
        <f t="shared" si="2"/>
        <v>4.4970757613929163E-3</v>
      </c>
    </row>
    <row r="213" spans="2:3" x14ac:dyDescent="0.3">
      <c r="B213" s="76">
        <v>519</v>
      </c>
      <c r="C213" s="166">
        <f t="shared" si="2"/>
        <v>4.6458378532163603E-3</v>
      </c>
    </row>
    <row r="214" spans="2:3" x14ac:dyDescent="0.3">
      <c r="B214" s="76">
        <v>520</v>
      </c>
      <c r="C214" s="166">
        <f t="shared" si="2"/>
        <v>4.7963664896873148E-3</v>
      </c>
    </row>
    <row r="215" spans="2:3" x14ac:dyDescent="0.3">
      <c r="B215" s="76">
        <v>521</v>
      </c>
      <c r="C215" s="166">
        <f t="shared" si="2"/>
        <v>4.9485178339087436E-3</v>
      </c>
    </row>
    <row r="216" spans="2:3" x14ac:dyDescent="0.3">
      <c r="B216" s="76">
        <v>522</v>
      </c>
      <c r="C216" s="166">
        <f t="shared" si="2"/>
        <v>5.1021401877477425E-3</v>
      </c>
    </row>
    <row r="217" spans="2:3" x14ac:dyDescent="0.3">
      <c r="B217" s="76">
        <v>523</v>
      </c>
      <c r="C217" s="166">
        <f t="shared" si="2"/>
        <v>5.2570741475520301E-3</v>
      </c>
    </row>
    <row r="218" spans="2:3" x14ac:dyDescent="0.3">
      <c r="B218" s="76">
        <v>524</v>
      </c>
      <c r="C218" s="166">
        <f t="shared" si="2"/>
        <v>5.4131527904621914E-3</v>
      </c>
    </row>
    <row r="219" spans="2:3" x14ac:dyDescent="0.3">
      <c r="B219" s="76">
        <v>525</v>
      </c>
      <c r="C219" s="166">
        <f t="shared" si="2"/>
        <v>5.5702018915234448E-3</v>
      </c>
    </row>
    <row r="220" spans="2:3" x14ac:dyDescent="0.3">
      <c r="B220" s="76">
        <v>526</v>
      </c>
      <c r="C220" s="166">
        <f t="shared" si="2"/>
        <v>5.7280401716630546E-3</v>
      </c>
    </row>
    <row r="221" spans="2:3" x14ac:dyDescent="0.3">
      <c r="B221" s="76">
        <v>527</v>
      </c>
      <c r="C221" s="166">
        <f t="shared" si="2"/>
        <v>5.8864795764575675E-3</v>
      </c>
    </row>
    <row r="222" spans="2:3" x14ac:dyDescent="0.3">
      <c r="B222" s="76">
        <v>528</v>
      </c>
      <c r="C222" s="166">
        <f t="shared" si="2"/>
        <v>6.0453255854680905E-3</v>
      </c>
    </row>
    <row r="223" spans="2:3" x14ac:dyDescent="0.3">
      <c r="B223" s="76">
        <v>529</v>
      </c>
      <c r="C223" s="166">
        <f t="shared" si="2"/>
        <v>6.2043775517729065E-3</v>
      </c>
    </row>
    <row r="224" spans="2:3" x14ac:dyDescent="0.3">
      <c r="B224" s="76">
        <v>530</v>
      </c>
      <c r="C224" s="166">
        <f t="shared" si="2"/>
        <v>6.3634290711756213E-3</v>
      </c>
    </row>
    <row r="225" spans="2:3" x14ac:dyDescent="0.3">
      <c r="B225" s="76">
        <v>531</v>
      </c>
      <c r="C225" s="166">
        <f t="shared" si="2"/>
        <v>6.5222683804143505E-3</v>
      </c>
    </row>
    <row r="226" spans="2:3" x14ac:dyDescent="0.3">
      <c r="B226" s="76">
        <v>532</v>
      </c>
      <c r="C226" s="166">
        <f t="shared" si="2"/>
        <v>6.6806787835444895E-3</v>
      </c>
    </row>
    <row r="227" spans="2:3" x14ac:dyDescent="0.3">
      <c r="B227" s="76">
        <v>533</v>
      </c>
      <c r="C227" s="166">
        <f t="shared" si="2"/>
        <v>6.8384391055147887E-3</v>
      </c>
    </row>
    <row r="228" spans="2:3" x14ac:dyDescent="0.3">
      <c r="B228" s="76">
        <v>534</v>
      </c>
      <c r="C228" s="166">
        <f t="shared" si="2"/>
        <v>6.9953241718051264E-3</v>
      </c>
    </row>
    <row r="229" spans="2:3" x14ac:dyDescent="0.3">
      <c r="B229" s="76">
        <v>535</v>
      </c>
      <c r="C229" s="166">
        <f t="shared" si="2"/>
        <v>7.1511053128451288E-3</v>
      </c>
    </row>
    <row r="230" spans="2:3" x14ac:dyDescent="0.3">
      <c r="B230" s="76">
        <v>536</v>
      </c>
      <c r="C230" s="166">
        <f t="shared" si="2"/>
        <v>7.3055508917868935E-3</v>
      </c>
    </row>
    <row r="231" spans="2:3" x14ac:dyDescent="0.3">
      <c r="B231" s="76">
        <v>537</v>
      </c>
      <c r="C231" s="166">
        <f t="shared" si="2"/>
        <v>7.4584268540631663E-3</v>
      </c>
    </row>
    <row r="232" spans="2:3" x14ac:dyDescent="0.3">
      <c r="B232" s="76">
        <v>538</v>
      </c>
      <c r="C232" s="166">
        <f t="shared" si="2"/>
        <v>7.6094972970255723E-3</v>
      </c>
    </row>
    <row r="233" spans="2:3" x14ac:dyDescent="0.3">
      <c r="B233" s="76">
        <v>539</v>
      </c>
      <c r="C233" s="166">
        <f t="shared" si="2"/>
        <v>7.7585250578268549E-3</v>
      </c>
    </row>
    <row r="234" spans="2:3" x14ac:dyDescent="0.3">
      <c r="B234" s="76">
        <v>540</v>
      </c>
      <c r="C234" s="166">
        <f t="shared" si="2"/>
        <v>7.9052723175871194E-3</v>
      </c>
    </row>
    <row r="235" spans="2:3" x14ac:dyDescent="0.3">
      <c r="B235" s="76">
        <v>541</v>
      </c>
      <c r="C235" s="166">
        <f t="shared" si="2"/>
        <v>8.0495012197682354E-3</v>
      </c>
    </row>
    <row r="236" spans="2:3" x14ac:dyDescent="0.3">
      <c r="B236" s="76">
        <v>542</v>
      </c>
      <c r="C236" s="166">
        <f t="shared" ref="C236:C299" si="3">_xlfn.NORM.DIST(B236,$C$41,$D$41,FALSE)</f>
        <v>8.1909745005731335E-3</v>
      </c>
    </row>
    <row r="237" spans="2:3" x14ac:dyDescent="0.3">
      <c r="B237" s="76">
        <v>543</v>
      </c>
      <c r="C237" s="166">
        <f t="shared" si="3"/>
        <v>8.3294561290889624E-3</v>
      </c>
    </row>
    <row r="238" spans="2:3" x14ac:dyDescent="0.3">
      <c r="B238" s="76">
        <v>544</v>
      </c>
      <c r="C238" s="166">
        <f t="shared" si="3"/>
        <v>8.4647119548054098E-3</v>
      </c>
    </row>
    <row r="239" spans="2:3" x14ac:dyDescent="0.3">
      <c r="B239" s="76">
        <v>545</v>
      </c>
      <c r="C239" s="166">
        <f t="shared" si="3"/>
        <v>8.596510360062962E-3</v>
      </c>
    </row>
    <row r="240" spans="2:3" x14ac:dyDescent="0.3">
      <c r="B240" s="76">
        <v>546</v>
      </c>
      <c r="C240" s="166">
        <f t="shared" si="3"/>
        <v>8.7246229149207984E-3</v>
      </c>
    </row>
    <row r="241" spans="2:3" x14ac:dyDescent="0.3">
      <c r="B241" s="76">
        <v>547</v>
      </c>
      <c r="C241" s="166">
        <f t="shared" si="3"/>
        <v>8.8488250318812314E-3</v>
      </c>
    </row>
    <row r="242" spans="2:3" x14ac:dyDescent="0.3">
      <c r="B242" s="76">
        <v>548</v>
      </c>
      <c r="C242" s="166">
        <f t="shared" si="3"/>
        <v>8.9688966178675302E-3</v>
      </c>
    </row>
    <row r="243" spans="2:3" x14ac:dyDescent="0.3">
      <c r="B243" s="76">
        <v>549</v>
      </c>
      <c r="C243" s="166">
        <f t="shared" si="3"/>
        <v>9.0846227208250443E-3</v>
      </c>
    </row>
    <row r="244" spans="2:3" x14ac:dyDescent="0.3">
      <c r="B244" s="76">
        <v>550</v>
      </c>
      <c r="C244" s="166">
        <f t="shared" si="3"/>
        <v>9.1957941683021328E-3</v>
      </c>
    </row>
    <row r="245" spans="2:3" x14ac:dyDescent="0.3">
      <c r="B245" s="76">
        <v>551</v>
      </c>
      <c r="C245" s="166">
        <f t="shared" si="3"/>
        <v>9.3022081953678046E-3</v>
      </c>
    </row>
    <row r="246" spans="2:3" x14ac:dyDescent="0.3">
      <c r="B246" s="76">
        <v>552</v>
      </c>
      <c r="C246" s="166">
        <f t="shared" si="3"/>
        <v>9.4036690592373667E-3</v>
      </c>
    </row>
    <row r="247" spans="2:3" x14ac:dyDescent="0.3">
      <c r="B247" s="76">
        <v>553</v>
      </c>
      <c r="C247" s="166">
        <f t="shared" si="3"/>
        <v>9.4999886380058695E-3</v>
      </c>
    </row>
    <row r="248" spans="2:3" x14ac:dyDescent="0.3">
      <c r="B248" s="76">
        <v>554</v>
      </c>
      <c r="C248" s="166">
        <f t="shared" si="3"/>
        <v>9.590987010931671E-3</v>
      </c>
    </row>
    <row r="249" spans="2:3" x14ac:dyDescent="0.3">
      <c r="B249" s="76">
        <v>555</v>
      </c>
      <c r="C249" s="166">
        <f t="shared" si="3"/>
        <v>9.6764930177690549E-3</v>
      </c>
    </row>
    <row r="250" spans="2:3" x14ac:dyDescent="0.3">
      <c r="B250" s="76">
        <v>556</v>
      </c>
      <c r="C250" s="166">
        <f t="shared" si="3"/>
        <v>9.756344794719261E-3</v>
      </c>
    </row>
    <row r="251" spans="2:3" x14ac:dyDescent="0.3">
      <c r="B251" s="76">
        <v>557</v>
      </c>
      <c r="C251" s="166">
        <f t="shared" si="3"/>
        <v>9.8303902846531722E-3</v>
      </c>
    </row>
    <row r="252" spans="2:3" x14ac:dyDescent="0.3">
      <c r="B252" s="76">
        <v>558</v>
      </c>
      <c r="C252" s="166">
        <f t="shared" si="3"/>
        <v>9.8984877193562092E-3</v>
      </c>
    </row>
    <row r="253" spans="2:3" x14ac:dyDescent="0.3">
      <c r="B253" s="76">
        <v>559</v>
      </c>
      <c r="C253" s="166">
        <f t="shared" si="3"/>
        <v>9.9605060716557604E-3</v>
      </c>
    </row>
    <row r="254" spans="2:3" x14ac:dyDescent="0.3">
      <c r="B254" s="76">
        <v>560</v>
      </c>
      <c r="C254" s="166">
        <f t="shared" si="3"/>
        <v>1.0016325475413623E-2</v>
      </c>
    </row>
    <row r="255" spans="2:3" x14ac:dyDescent="0.3">
      <c r="B255" s="76">
        <v>561</v>
      </c>
      <c r="C255" s="166">
        <f t="shared" si="3"/>
        <v>1.0065837611499623E-2</v>
      </c>
    </row>
    <row r="256" spans="2:3" x14ac:dyDescent="0.3">
      <c r="B256" s="76">
        <v>562</v>
      </c>
      <c r="C256" s="166">
        <f t="shared" si="3"/>
        <v>1.0108946058007091E-2</v>
      </c>
    </row>
    <row r="257" spans="2:3" x14ac:dyDescent="0.3">
      <c r="B257" s="76">
        <v>563</v>
      </c>
      <c r="C257" s="166">
        <f t="shared" si="3"/>
        <v>1.0145566603125416E-2</v>
      </c>
    </row>
    <row r="258" spans="2:3" x14ac:dyDescent="0.3">
      <c r="B258" s="76">
        <v>564</v>
      </c>
      <c r="C258" s="166">
        <f t="shared" si="3"/>
        <v>1.0175627519248847E-2</v>
      </c>
    </row>
    <row r="259" spans="2:3" x14ac:dyDescent="0.3">
      <c r="B259" s="76">
        <v>565</v>
      </c>
      <c r="C259" s="166">
        <f t="shared" si="3"/>
        <v>1.0199069797072687E-2</v>
      </c>
    </row>
    <row r="260" spans="2:3" x14ac:dyDescent="0.3">
      <c r="B260" s="76">
        <v>566</v>
      </c>
      <c r="C260" s="166">
        <f t="shared" si="3"/>
        <v>1.0215847338607529E-2</v>
      </c>
    </row>
    <row r="261" spans="2:3" x14ac:dyDescent="0.3">
      <c r="B261" s="76">
        <v>567</v>
      </c>
      <c r="C261" s="166">
        <f t="shared" si="3"/>
        <v>1.0225927108227879E-2</v>
      </c>
    </row>
    <row r="262" spans="2:3" x14ac:dyDescent="0.3">
      <c r="B262" s="76">
        <v>568</v>
      </c>
      <c r="C262" s="166">
        <f t="shared" si="3"/>
        <v>1.0229289241062377E-2</v>
      </c>
    </row>
    <row r="263" spans="2:3" x14ac:dyDescent="0.3">
      <c r="B263" s="76">
        <v>569</v>
      </c>
      <c r="C263" s="166">
        <f t="shared" si="3"/>
        <v>1.0225927108227879E-2</v>
      </c>
    </row>
    <row r="264" spans="2:3" x14ac:dyDescent="0.3">
      <c r="B264" s="76">
        <v>570</v>
      </c>
      <c r="C264" s="166">
        <f t="shared" si="3"/>
        <v>1.0215847338607529E-2</v>
      </c>
    </row>
    <row r="265" spans="2:3" x14ac:dyDescent="0.3">
      <c r="B265" s="76">
        <v>571</v>
      </c>
      <c r="C265" s="166">
        <f t="shared" si="3"/>
        <v>1.0199069797072687E-2</v>
      </c>
    </row>
    <row r="266" spans="2:3" x14ac:dyDescent="0.3">
      <c r="B266" s="76">
        <v>572</v>
      </c>
      <c r="C266" s="166">
        <f t="shared" si="3"/>
        <v>1.0175627519248847E-2</v>
      </c>
    </row>
    <row r="267" spans="2:3" x14ac:dyDescent="0.3">
      <c r="B267" s="76">
        <v>573</v>
      </c>
      <c r="C267" s="166">
        <f t="shared" si="3"/>
        <v>1.0145566603125416E-2</v>
      </c>
    </row>
    <row r="268" spans="2:3" x14ac:dyDescent="0.3">
      <c r="B268" s="76">
        <v>574</v>
      </c>
      <c r="C268" s="166">
        <f t="shared" si="3"/>
        <v>1.0108946058007091E-2</v>
      </c>
    </row>
    <row r="269" spans="2:3" x14ac:dyDescent="0.3">
      <c r="B269" s="76">
        <v>575</v>
      </c>
      <c r="C269" s="166">
        <f t="shared" si="3"/>
        <v>1.0065837611499623E-2</v>
      </c>
    </row>
    <row r="270" spans="2:3" x14ac:dyDescent="0.3">
      <c r="B270" s="76">
        <v>576</v>
      </c>
      <c r="C270" s="166">
        <f t="shared" si="3"/>
        <v>1.0016325475413623E-2</v>
      </c>
    </row>
    <row r="271" spans="2:3" x14ac:dyDescent="0.3">
      <c r="B271" s="76">
        <v>577</v>
      </c>
      <c r="C271" s="166">
        <f t="shared" si="3"/>
        <v>9.9605060716557604E-3</v>
      </c>
    </row>
    <row r="272" spans="2:3" x14ac:dyDescent="0.3">
      <c r="B272" s="76">
        <v>578</v>
      </c>
      <c r="C272" s="166">
        <f t="shared" si="3"/>
        <v>9.8984877193562092E-3</v>
      </c>
    </row>
    <row r="273" spans="2:3" x14ac:dyDescent="0.3">
      <c r="B273" s="76">
        <v>579</v>
      </c>
      <c r="C273" s="166">
        <f t="shared" si="3"/>
        <v>9.8303902846531722E-3</v>
      </c>
    </row>
    <row r="274" spans="2:3" x14ac:dyDescent="0.3">
      <c r="B274" s="76">
        <v>580</v>
      </c>
      <c r="C274" s="166">
        <f t="shared" si="3"/>
        <v>9.756344794719261E-3</v>
      </c>
    </row>
    <row r="275" spans="2:3" x14ac:dyDescent="0.3">
      <c r="B275" s="76">
        <v>581</v>
      </c>
      <c r="C275" s="166">
        <f t="shared" si="3"/>
        <v>9.6764930177690549E-3</v>
      </c>
    </row>
    <row r="276" spans="2:3" x14ac:dyDescent="0.3">
      <c r="B276" s="76">
        <v>582</v>
      </c>
      <c r="C276" s="166">
        <f t="shared" si="3"/>
        <v>9.590987010931671E-3</v>
      </c>
    </row>
    <row r="277" spans="2:3" x14ac:dyDescent="0.3">
      <c r="B277" s="76">
        <v>583</v>
      </c>
      <c r="C277" s="166">
        <f t="shared" si="3"/>
        <v>9.4999886380058695E-3</v>
      </c>
    </row>
    <row r="278" spans="2:3" x14ac:dyDescent="0.3">
      <c r="B278" s="76">
        <v>584</v>
      </c>
      <c r="C278" s="166">
        <f t="shared" si="3"/>
        <v>9.4036690592373667E-3</v>
      </c>
    </row>
    <row r="279" spans="2:3" x14ac:dyDescent="0.3">
      <c r="B279" s="76">
        <v>585</v>
      </c>
      <c r="C279" s="166">
        <f t="shared" si="3"/>
        <v>9.3022081953678046E-3</v>
      </c>
    </row>
    <row r="280" spans="2:3" x14ac:dyDescent="0.3">
      <c r="B280" s="76">
        <v>586</v>
      </c>
      <c r="C280" s="166">
        <f t="shared" si="3"/>
        <v>9.1957941683021328E-3</v>
      </c>
    </row>
    <row r="281" spans="2:3" x14ac:dyDescent="0.3">
      <c r="B281" s="76">
        <v>587</v>
      </c>
      <c r="C281" s="166">
        <f t="shared" si="3"/>
        <v>9.0846227208250443E-3</v>
      </c>
    </row>
    <row r="282" spans="2:3" x14ac:dyDescent="0.3">
      <c r="B282" s="76">
        <v>588</v>
      </c>
      <c r="C282" s="166">
        <f t="shared" si="3"/>
        <v>8.9688966178675302E-3</v>
      </c>
    </row>
    <row r="283" spans="2:3" x14ac:dyDescent="0.3">
      <c r="B283" s="76">
        <v>589</v>
      </c>
      <c r="C283" s="166">
        <f t="shared" si="3"/>
        <v>8.8488250318812314E-3</v>
      </c>
    </row>
    <row r="284" spans="2:3" x14ac:dyDescent="0.3">
      <c r="B284" s="76">
        <v>590</v>
      </c>
      <c r="C284" s="166">
        <f t="shared" si="3"/>
        <v>8.7246229149207984E-3</v>
      </c>
    </row>
    <row r="285" spans="2:3" x14ac:dyDescent="0.3">
      <c r="B285" s="76">
        <v>591</v>
      </c>
      <c r="C285" s="166">
        <f t="shared" si="3"/>
        <v>8.596510360062962E-3</v>
      </c>
    </row>
    <row r="286" spans="2:3" x14ac:dyDescent="0.3">
      <c r="B286" s="76">
        <v>592</v>
      </c>
      <c r="C286" s="166">
        <f t="shared" si="3"/>
        <v>8.4647119548054098E-3</v>
      </c>
    </row>
    <row r="287" spans="2:3" x14ac:dyDescent="0.3">
      <c r="B287" s="76">
        <v>593</v>
      </c>
      <c r="C287" s="166">
        <f t="shared" si="3"/>
        <v>8.3294561290889624E-3</v>
      </c>
    </row>
    <row r="288" spans="2:3" x14ac:dyDescent="0.3">
      <c r="B288" s="76">
        <v>594</v>
      </c>
      <c r="C288" s="166">
        <f t="shared" si="3"/>
        <v>8.1909745005731335E-3</v>
      </c>
    </row>
    <row r="289" spans="2:3" x14ac:dyDescent="0.3">
      <c r="B289" s="76">
        <v>595</v>
      </c>
      <c r="C289" s="166">
        <f t="shared" si="3"/>
        <v>8.0495012197682354E-3</v>
      </c>
    </row>
    <row r="290" spans="2:3" x14ac:dyDescent="0.3">
      <c r="B290" s="76">
        <v>596</v>
      </c>
      <c r="C290" s="166">
        <f t="shared" si="3"/>
        <v>7.9052723175871194E-3</v>
      </c>
    </row>
    <row r="291" spans="2:3" x14ac:dyDescent="0.3">
      <c r="B291" s="76">
        <v>597</v>
      </c>
      <c r="C291" s="166">
        <f t="shared" si="3"/>
        <v>7.7585250578268549E-3</v>
      </c>
    </row>
    <row r="292" spans="2:3" x14ac:dyDescent="0.3">
      <c r="B292" s="76">
        <v>598</v>
      </c>
      <c r="C292" s="166">
        <f t="shared" si="3"/>
        <v>7.6094972970255723E-3</v>
      </c>
    </row>
    <row r="293" spans="2:3" x14ac:dyDescent="0.3">
      <c r="B293" s="76">
        <v>599</v>
      </c>
      <c r="C293" s="166">
        <f t="shared" si="3"/>
        <v>7.4584268540631663E-3</v>
      </c>
    </row>
    <row r="294" spans="2:3" x14ac:dyDescent="0.3">
      <c r="B294" s="76">
        <v>600</v>
      </c>
      <c r="C294" s="166">
        <f t="shared" si="3"/>
        <v>7.3055508917868935E-3</v>
      </c>
    </row>
    <row r="295" spans="2:3" x14ac:dyDescent="0.3">
      <c r="B295" s="76">
        <v>601</v>
      </c>
      <c r="C295" s="166">
        <f t="shared" si="3"/>
        <v>7.1511053128451288E-3</v>
      </c>
    </row>
    <row r="296" spans="2:3" x14ac:dyDescent="0.3">
      <c r="B296" s="76">
        <v>602</v>
      </c>
      <c r="C296" s="166">
        <f t="shared" si="3"/>
        <v>6.9953241718051264E-3</v>
      </c>
    </row>
    <row r="297" spans="2:3" x14ac:dyDescent="0.3">
      <c r="B297" s="76">
        <v>603</v>
      </c>
      <c r="C297" s="166">
        <f t="shared" si="3"/>
        <v>6.8384391055147887E-3</v>
      </c>
    </row>
    <row r="298" spans="2:3" x14ac:dyDescent="0.3">
      <c r="B298" s="76">
        <v>604</v>
      </c>
      <c r="C298" s="166">
        <f t="shared" si="3"/>
        <v>6.6806787835444895E-3</v>
      </c>
    </row>
    <row r="299" spans="2:3" x14ac:dyDescent="0.3">
      <c r="B299" s="76">
        <v>605</v>
      </c>
      <c r="C299" s="166">
        <f t="shared" si="3"/>
        <v>6.5222683804143505E-3</v>
      </c>
    </row>
    <row r="300" spans="2:3" x14ac:dyDescent="0.3">
      <c r="B300" s="76">
        <v>606</v>
      </c>
      <c r="C300" s="166">
        <f t="shared" ref="C300:C344" si="4">_xlfn.NORM.DIST(B300,$C$41,$D$41,FALSE)</f>
        <v>6.3634290711756213E-3</v>
      </c>
    </row>
    <row r="301" spans="2:3" x14ac:dyDescent="0.3">
      <c r="B301" s="76">
        <v>607</v>
      </c>
      <c r="C301" s="166">
        <f t="shared" si="4"/>
        <v>6.2043775517729065E-3</v>
      </c>
    </row>
    <row r="302" spans="2:3" x14ac:dyDescent="0.3">
      <c r="B302" s="76">
        <v>608</v>
      </c>
      <c r="C302" s="166">
        <f t="shared" si="4"/>
        <v>6.0453255854680905E-3</v>
      </c>
    </row>
    <row r="303" spans="2:3" x14ac:dyDescent="0.3">
      <c r="B303" s="76">
        <v>609</v>
      </c>
      <c r="C303" s="166">
        <f t="shared" si="4"/>
        <v>5.8864795764575675E-3</v>
      </c>
    </row>
    <row r="304" spans="2:3" x14ac:dyDescent="0.3">
      <c r="B304" s="76">
        <v>610</v>
      </c>
      <c r="C304" s="166">
        <f t="shared" si="4"/>
        <v>5.7280401716630546E-3</v>
      </c>
    </row>
    <row r="305" spans="2:3" x14ac:dyDescent="0.3">
      <c r="B305" s="76">
        <v>611</v>
      </c>
      <c r="C305" s="166">
        <f t="shared" si="4"/>
        <v>5.5702018915234448E-3</v>
      </c>
    </row>
    <row r="306" spans="2:3" x14ac:dyDescent="0.3">
      <c r="B306" s="76">
        <v>612</v>
      </c>
      <c r="C306" s="166">
        <f t="shared" si="4"/>
        <v>5.4131527904621914E-3</v>
      </c>
    </row>
    <row r="307" spans="2:3" x14ac:dyDescent="0.3">
      <c r="B307" s="76">
        <v>613</v>
      </c>
      <c r="C307" s="166">
        <f t="shared" si="4"/>
        <v>5.2570741475520301E-3</v>
      </c>
    </row>
    <row r="308" spans="2:3" x14ac:dyDescent="0.3">
      <c r="B308" s="76">
        <v>614</v>
      </c>
      <c r="C308" s="166">
        <f t="shared" si="4"/>
        <v>5.1021401877477425E-3</v>
      </c>
    </row>
    <row r="309" spans="2:3" x14ac:dyDescent="0.3">
      <c r="B309" s="76">
        <v>615</v>
      </c>
      <c r="C309" s="166">
        <f t="shared" si="4"/>
        <v>4.9485178339087436E-3</v>
      </c>
    </row>
    <row r="310" spans="2:3" x14ac:dyDescent="0.3">
      <c r="B310" s="76">
        <v>616</v>
      </c>
      <c r="C310" s="166">
        <f t="shared" si="4"/>
        <v>4.7963664896873148E-3</v>
      </c>
    </row>
    <row r="311" spans="2:3" x14ac:dyDescent="0.3">
      <c r="B311" s="76">
        <v>617</v>
      </c>
      <c r="C311" s="166">
        <f t="shared" si="4"/>
        <v>4.6458378532163603E-3</v>
      </c>
    </row>
    <row r="312" spans="2:3" x14ac:dyDescent="0.3">
      <c r="B312" s="76">
        <v>618</v>
      </c>
      <c r="C312" s="166">
        <f t="shared" si="4"/>
        <v>4.4970757613929163E-3</v>
      </c>
    </row>
    <row r="313" spans="2:3" x14ac:dyDescent="0.3">
      <c r="B313" s="76">
        <v>619</v>
      </c>
      <c r="C313" s="166">
        <f t="shared" si="4"/>
        <v>4.3502160644213576E-3</v>
      </c>
    </row>
    <row r="314" spans="2:3" x14ac:dyDescent="0.3">
      <c r="B314" s="76">
        <v>620</v>
      </c>
      <c r="C314" s="166">
        <f t="shared" si="4"/>
        <v>4.2053865301536833E-3</v>
      </c>
    </row>
    <row r="315" spans="2:3" x14ac:dyDescent="0.3">
      <c r="B315" s="76">
        <v>621</v>
      </c>
      <c r="C315" s="166">
        <f t="shared" si="4"/>
        <v>4.0627067776440959E-3</v>
      </c>
    </row>
    <row r="316" spans="2:3" x14ac:dyDescent="0.3">
      <c r="B316" s="76">
        <v>622</v>
      </c>
      <c r="C316" s="166">
        <f t="shared" si="4"/>
        <v>3.9222882392217712E-3</v>
      </c>
    </row>
    <row r="317" spans="2:3" x14ac:dyDescent="0.3">
      <c r="B317" s="76">
        <v>623</v>
      </c>
      <c r="C317" s="166">
        <f t="shared" si="4"/>
        <v>3.784234150279665E-3</v>
      </c>
    </row>
    <row r="318" spans="2:3" x14ac:dyDescent="0.3">
      <c r="B318" s="76">
        <v>624</v>
      </c>
      <c r="C318" s="166">
        <f t="shared" si="4"/>
        <v>3.6486395658789175E-3</v>
      </c>
    </row>
    <row r="319" spans="2:3" x14ac:dyDescent="0.3">
      <c r="B319" s="76">
        <v>625</v>
      </c>
      <c r="C319" s="166">
        <f t="shared" si="4"/>
        <v>3.5155914031779834E-3</v>
      </c>
    </row>
    <row r="320" spans="2:3" x14ac:dyDescent="0.3">
      <c r="B320" s="76">
        <v>626</v>
      </c>
      <c r="C320" s="166">
        <f t="shared" si="4"/>
        <v>3.3851685086135424E-3</v>
      </c>
    </row>
    <row r="321" spans="2:3" x14ac:dyDescent="0.3">
      <c r="B321" s="76">
        <v>627</v>
      </c>
      <c r="C321" s="166">
        <f t="shared" si="4"/>
        <v>3.2574417486865388E-3</v>
      </c>
    </row>
    <row r="322" spans="2:3" x14ac:dyDescent="0.3">
      <c r="B322" s="76">
        <v>628</v>
      </c>
      <c r="C322" s="166">
        <f t="shared" si="4"/>
        <v>3.1324741231415149E-3</v>
      </c>
    </row>
    <row r="323" spans="2:3" x14ac:dyDescent="0.3">
      <c r="B323" s="76">
        <v>629</v>
      </c>
      <c r="C323" s="166">
        <f t="shared" si="4"/>
        <v>3.0103208992709753E-3</v>
      </c>
    </row>
    <row r="324" spans="2:3" x14ac:dyDescent="0.3">
      <c r="B324" s="76">
        <v>630</v>
      </c>
      <c r="C324" s="166">
        <f t="shared" si="4"/>
        <v>2.8910297660285581E-3</v>
      </c>
    </row>
    <row r="325" spans="2:3" x14ac:dyDescent="0.3">
      <c r="B325" s="76">
        <v>631</v>
      </c>
      <c r="C325" s="166">
        <f t="shared" si="4"/>
        <v>2.7746410065955357E-3</v>
      </c>
    </row>
    <row r="326" spans="2:3" x14ac:dyDescent="0.3">
      <c r="B326" s="76">
        <v>632</v>
      </c>
      <c r="C326" s="166">
        <f t="shared" si="4"/>
        <v>2.6611876880143965E-3</v>
      </c>
    </row>
    <row r="327" spans="2:3" x14ac:dyDescent="0.3">
      <c r="B327" s="76">
        <v>633</v>
      </c>
      <c r="C327" s="166">
        <f t="shared" si="4"/>
        <v>2.5506958664807352E-3</v>
      </c>
    </row>
    <row r="328" spans="2:3" x14ac:dyDescent="0.3">
      <c r="B328" s="76">
        <v>634</v>
      </c>
      <c r="C328" s="166">
        <f t="shared" si="4"/>
        <v>2.4431848068704716E-3</v>
      </c>
    </row>
    <row r="329" spans="2:3" x14ac:dyDescent="0.3">
      <c r="B329" s="76">
        <v>635</v>
      </c>
      <c r="C329" s="166">
        <f t="shared" si="4"/>
        <v>2.3386672150728953E-3</v>
      </c>
    </row>
    <row r="330" spans="2:3" x14ac:dyDescent="0.3">
      <c r="B330" s="76">
        <v>636</v>
      </c>
      <c r="C330" s="166">
        <f t="shared" si="4"/>
        <v>2.2371494817013471E-3</v>
      </c>
    </row>
    <row r="331" spans="2:3" x14ac:dyDescent="0.3">
      <c r="B331" s="76">
        <v>637</v>
      </c>
      <c r="C331" s="166">
        <f t="shared" si="4"/>
        <v>2.1386319357618025E-3</v>
      </c>
    </row>
    <row r="332" spans="2:3" x14ac:dyDescent="0.3">
      <c r="B332" s="76">
        <v>638</v>
      </c>
      <c r="C332" s="166">
        <f t="shared" si="4"/>
        <v>2.0431091068750669E-3</v>
      </c>
    </row>
    <row r="333" spans="2:3" x14ac:dyDescent="0.3">
      <c r="B333" s="76">
        <v>639</v>
      </c>
      <c r="C333" s="166">
        <f t="shared" si="4"/>
        <v>1.9505699946703646E-3</v>
      </c>
    </row>
    <row r="334" spans="2:3" x14ac:dyDescent="0.3">
      <c r="B334" s="76">
        <v>640</v>
      </c>
      <c r="C334" s="166">
        <f t="shared" si="4"/>
        <v>1.8609983439961855E-3</v>
      </c>
    </row>
    <row r="335" spans="2:3" x14ac:dyDescent="0.3">
      <c r="B335" s="76">
        <v>641</v>
      </c>
      <c r="C335" s="166">
        <f t="shared" si="4"/>
        <v>1.7743729246282101E-3</v>
      </c>
    </row>
    <row r="336" spans="2:3" x14ac:dyDescent="0.3">
      <c r="B336" s="76">
        <v>642</v>
      </c>
      <c r="C336" s="166">
        <f t="shared" si="4"/>
        <v>1.6906678141932236E-3</v>
      </c>
    </row>
    <row r="337" spans="2:3" x14ac:dyDescent="0.3">
      <c r="B337" s="76">
        <v>643</v>
      </c>
      <c r="C337" s="166">
        <f t="shared" si="4"/>
        <v>1.6098526830719178E-3</v>
      </c>
    </row>
    <row r="338" spans="2:3" x14ac:dyDescent="0.3">
      <c r="B338" s="76">
        <v>644</v>
      </c>
      <c r="C338" s="166">
        <f t="shared" si="4"/>
        <v>1.5318930800917645E-3</v>
      </c>
    </row>
    <row r="339" spans="2:3" x14ac:dyDescent="0.3">
      <c r="B339" s="76">
        <v>645</v>
      </c>
      <c r="C339" s="166">
        <f t="shared" si="4"/>
        <v>1.4567507178732634E-3</v>
      </c>
    </row>
    <row r="340" spans="2:3" x14ac:dyDescent="0.3">
      <c r="B340" s="76">
        <v>646</v>
      </c>
      <c r="C340" s="166">
        <f t="shared" si="4"/>
        <v>1.3843837567484119E-3</v>
      </c>
    </row>
    <row r="341" spans="2:3" x14ac:dyDescent="0.3">
      <c r="B341" s="76">
        <v>647</v>
      </c>
      <c r="C341" s="166">
        <f t="shared" si="4"/>
        <v>1.314747086228626E-3</v>
      </c>
    </row>
    <row r="342" spans="2:3" x14ac:dyDescent="0.3">
      <c r="B342" s="76">
        <v>648</v>
      </c>
      <c r="C342" s="166">
        <f t="shared" si="4"/>
        <v>1.2477926030601799E-3</v>
      </c>
    </row>
    <row r="343" spans="2:3" x14ac:dyDescent="0.3">
      <c r="B343" s="76">
        <v>649</v>
      </c>
      <c r="C343" s="166">
        <f t="shared" si="4"/>
        <v>1.183469484967985E-3</v>
      </c>
    </row>
    <row r="344" spans="2:3" x14ac:dyDescent="0.3">
      <c r="B344" s="76">
        <v>650</v>
      </c>
      <c r="C344" s="166">
        <f t="shared" si="4"/>
        <v>1.121724459252815E-3</v>
      </c>
    </row>
  </sheetData>
  <mergeCells count="3">
    <mergeCell ref="K40:L40"/>
    <mergeCell ref="K42:L42"/>
    <mergeCell ref="B39:L39"/>
  </mergeCells>
  <phoneticPr fontId="1" type="noConversion"/>
  <conditionalFormatting sqref="B9:H35">
    <cfRule type="containsBlanks" dxfId="237" priority="3">
      <formula>LEN(TRIM(B9))=0</formula>
    </cfRule>
    <cfRule type="notContainsBlanks" dxfId="236" priority="4">
      <formula>LEN(TRIM(B9))&gt;0</formula>
    </cfRule>
  </conditionalFormatting>
  <dataValidations count="1">
    <dataValidation type="list" allowBlank="1" showInputMessage="1" showErrorMessage="1" sqref="B42" xr:uid="{F558C2D1-F976-488A-8C82-A9B8316DB256}">
      <formula1>"A,H,GES"</formula1>
    </dataValidation>
  </dataValidations>
  <pageMargins left="0.7" right="0.7" top="0.78740157499999996" bottom="0.78740157499999996" header="0.3" footer="0.3"/>
  <pageSetup paperSize="9" orientation="portrait" horizontalDpi="4294967293" verticalDpi="0" r:id="rId1"/>
  <ignoredErrors>
    <ignoredError sqref="G5:G7" formula="1"/>
  </ignoredErrors>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31BC10CE-4780-4ADA-ABF1-FD75100DE540}">
          <x14:formula1>
            <xm:f>Übersicht!$B$3:$B$63</xm:f>
          </x14:formula1>
          <xm:sqref>C1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71ED7-AC74-43D4-A2ED-BC12720E9CBC}">
  <dimension ref="B1:AV757"/>
  <sheetViews>
    <sheetView workbookViewId="0">
      <selection activeCell="F18" sqref="F18"/>
    </sheetView>
  </sheetViews>
  <sheetFormatPr baseColWidth="10" defaultRowHeight="15.6" x14ac:dyDescent="0.3"/>
  <cols>
    <col min="1" max="1" width="11.5546875" style="1"/>
    <col min="2" max="2" width="9.33203125" style="1" bestFit="1" customWidth="1"/>
    <col min="3" max="3" width="20.21875" style="1" bestFit="1" customWidth="1"/>
    <col min="4" max="4" width="8.5546875" style="1" customWidth="1"/>
    <col min="5" max="5" width="7.33203125" style="1" bestFit="1" customWidth="1"/>
    <col min="6" max="6" width="7.77734375" style="1" bestFit="1" customWidth="1"/>
    <col min="7" max="7" width="8.5546875" style="1" bestFit="1" customWidth="1"/>
    <col min="8" max="9" width="7.77734375" style="1" customWidth="1"/>
    <col min="10" max="10" width="13.5546875" style="1" customWidth="1"/>
    <col min="11" max="11" width="8.77734375" style="1" customWidth="1"/>
    <col min="12" max="12" width="11.44140625" style="1" bestFit="1" customWidth="1"/>
    <col min="13" max="14" width="9.5546875" style="1" hidden="1" customWidth="1"/>
    <col min="15" max="15" width="8.21875" style="1" bestFit="1" customWidth="1"/>
    <col min="16" max="16" width="10.6640625" style="1" bestFit="1" customWidth="1"/>
    <col min="17" max="17" width="5.88671875" style="1" bestFit="1" customWidth="1"/>
    <col min="18" max="20" width="5.88671875" style="1" hidden="1" customWidth="1"/>
    <col min="21" max="21" width="9.44140625" style="1" hidden="1" customWidth="1"/>
    <col min="22" max="22" width="11.6640625" style="1" bestFit="1" customWidth="1"/>
    <col min="23" max="23" width="9.44140625" style="1" hidden="1" customWidth="1"/>
    <col min="24" max="24" width="8" style="1" hidden="1" customWidth="1"/>
    <col min="25" max="25" width="9.44140625" style="1" bestFit="1" customWidth="1"/>
    <col min="26" max="26" width="10.33203125" style="1" customWidth="1"/>
    <col min="27" max="27" width="13.21875" style="1" customWidth="1"/>
    <col min="28" max="28" width="7.109375" style="1" hidden="1" customWidth="1"/>
    <col min="29" max="31" width="7.5546875" style="1" hidden="1" customWidth="1"/>
    <col min="32" max="32" width="10.5546875" style="1" bestFit="1" customWidth="1"/>
    <col min="33" max="33" width="11.88671875" style="1" hidden="1" customWidth="1"/>
    <col min="34" max="34" width="14.88671875" style="1" hidden="1" customWidth="1"/>
    <col min="35" max="35" width="11.5546875" style="1"/>
    <col min="36" max="36" width="18.21875" style="1" bestFit="1" customWidth="1"/>
    <col min="37" max="16384" width="11.5546875" style="1"/>
  </cols>
  <sheetData>
    <row r="1" spans="3:48" ht="16.2" thickBot="1" x14ac:dyDescent="0.35">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v>21</v>
      </c>
      <c r="X1" s="1">
        <v>22</v>
      </c>
      <c r="Y1" s="1">
        <v>23</v>
      </c>
      <c r="Z1" s="1">
        <v>24</v>
      </c>
      <c r="AA1" s="1">
        <v>25</v>
      </c>
      <c r="AB1" s="1">
        <v>26</v>
      </c>
      <c r="AC1" s="1">
        <v>27</v>
      </c>
      <c r="AD1" s="1">
        <v>28</v>
      </c>
      <c r="AE1" s="1">
        <v>29</v>
      </c>
      <c r="AF1" s="1">
        <v>30</v>
      </c>
    </row>
    <row r="2" spans="3:48" ht="16.2" thickBot="1" x14ac:dyDescent="0.35">
      <c r="C2" s="8" t="s">
        <v>13</v>
      </c>
      <c r="D2" s="47" t="s">
        <v>0</v>
      </c>
      <c r="E2" s="48" t="s">
        <v>39</v>
      </c>
      <c r="F2" s="49" t="s">
        <v>21</v>
      </c>
      <c r="G2" s="49" t="s">
        <v>22</v>
      </c>
      <c r="H2" s="49" t="s">
        <v>32</v>
      </c>
      <c r="I2" s="49" t="s">
        <v>33</v>
      </c>
      <c r="J2" s="49" t="s">
        <v>34</v>
      </c>
      <c r="K2" s="49" t="s">
        <v>35</v>
      </c>
      <c r="L2" s="49" t="s">
        <v>221</v>
      </c>
      <c r="M2" s="49" t="s">
        <v>23</v>
      </c>
      <c r="N2" s="49" t="s">
        <v>40</v>
      </c>
      <c r="O2" s="49" t="s">
        <v>137</v>
      </c>
      <c r="P2" s="49" t="s">
        <v>138</v>
      </c>
      <c r="Q2" s="49" t="s">
        <v>139</v>
      </c>
      <c r="R2" s="49" t="s">
        <v>144</v>
      </c>
      <c r="S2" s="49" t="s">
        <v>145</v>
      </c>
      <c r="T2" s="49" t="s">
        <v>146</v>
      </c>
      <c r="U2" s="49" t="s">
        <v>147</v>
      </c>
      <c r="V2" s="49" t="s">
        <v>222</v>
      </c>
      <c r="W2" s="49" t="s">
        <v>148</v>
      </c>
      <c r="X2" s="49" t="s">
        <v>143</v>
      </c>
      <c r="Y2" s="49" t="s">
        <v>140</v>
      </c>
      <c r="Z2" s="49" t="s">
        <v>141</v>
      </c>
      <c r="AA2" s="49" t="s">
        <v>149</v>
      </c>
      <c r="AB2" s="49" t="s">
        <v>150</v>
      </c>
      <c r="AC2" s="49" t="s">
        <v>151</v>
      </c>
      <c r="AD2" s="49" t="s">
        <v>152</v>
      </c>
      <c r="AE2" s="49" t="s">
        <v>153</v>
      </c>
      <c r="AF2" s="49" t="s">
        <v>223</v>
      </c>
      <c r="AG2" s="49" t="s">
        <v>154</v>
      </c>
      <c r="AH2" s="50" t="s">
        <v>142</v>
      </c>
      <c r="AJ2" s="1" t="s">
        <v>16</v>
      </c>
    </row>
    <row r="3" spans="3:48" x14ac:dyDescent="0.3">
      <c r="C3" s="53" t="s">
        <v>457</v>
      </c>
      <c r="D3" s="12" t="str">
        <f>VLOOKUP(Rekorde[[#This Row],[Name]],Teamzuordnung[[Name]:[Team]],2,FALSE)</f>
        <v>F</v>
      </c>
      <c r="E3" s="51" t="str">
        <f>IF(COUNTIF(Eingabe[Name],Rekorde[[#This Row],[Name]])&gt;0,_xlfn.MAXIFS(Eingabe[GES],Eingabe[Name],Rekorde[[#This Row],[Name]]),"")</f>
        <v/>
      </c>
      <c r="F3" s="51" t="str">
        <f>IF(COUNTIF(Eingabe[Name],Rekorde[[#This Row],[Name]])&gt;0,_xlfn.MAXIFS(Eingabe[Volle],Eingabe[Name],Rekorde[[#This Row],[Name]]),"")</f>
        <v/>
      </c>
      <c r="G3" s="51" t="str">
        <f>IF(COUNTIF(Eingabe[Name],Rekorde[[#This Row],[Name]])&gt;0,_xlfn.MAXIFS(Eingabe[Räumer],Eingabe[Name],Rekorde[[#This Row],[Name]]),"")</f>
        <v/>
      </c>
      <c r="H3" s="51" t="str">
        <f>IF(COUNTIF(Eingabe[Name],Rekorde[[#This Row],[Name]])&gt;0,_xlfn.MAXIFS(Eingabe[S1],Eingabe[Name],Rekorde[[#This Row],[Name]]),"")</f>
        <v/>
      </c>
      <c r="I3" s="51" t="str">
        <f>IF(COUNTIF(Eingabe[Name],Rekorde[[#This Row],[Name]])&gt;0,_xlfn.MAXIFS(Eingabe[S2],Eingabe[Name],Rekorde[[#This Row],[Name]]),"")</f>
        <v/>
      </c>
      <c r="J3" s="51" t="str">
        <f>IF(COUNTIF(Eingabe[Name],Rekorde[[#This Row],[Name]])&gt;0,_xlfn.MAXIFS(Eingabe[S3],Eingabe[Name],Rekorde[[#This Row],[Name]]),"")</f>
        <v/>
      </c>
      <c r="K3" s="51" t="str">
        <f>IF(COUNTIF(Eingabe[Name],Rekorde[[#This Row],[Name]])&gt;0,_xlfn.MAXIFS(Eingabe[S4],Eingabe[Name],Rekorde[[#This Row],[Name]]),"")</f>
        <v/>
      </c>
      <c r="L3" s="51" t="str">
        <f>IF(MAX(Rekorde[[#This Row],[S1]:[S4]])=0,"",MAX(Rekorde[[#This Row],[S1]:[S4]]))</f>
        <v/>
      </c>
      <c r="M3" s="52" t="str">
        <f>IF(COUNTIF(Eingabe[Name],Rekorde[[#This Row],[Name]])&gt;0,_xlfn.MINIFS(Eingabe[Fehler],Eingabe[Name],Rekorde[[#This Row],[Name]]),"")</f>
        <v/>
      </c>
      <c r="N3" s="51" t="str">
        <f>IF(COUNTIF(Eingabe[Name],Rekorde[[#This Row],[Name]])&gt;0,_xlfn.MAXIFS(Eingabe[GEGGES],Eingabe[Name],Rekorde[[#This Row],[Name]]),"")</f>
        <v/>
      </c>
      <c r="O3" s="51" t="str">
        <f>IF(COUNTIFS(Eingabe[Name],Rekorde[[#This Row],[Name]],Eingabe[Wo],"H")&gt;0,_xlfn.MAXIFS(Eingabe[GES],Eingabe[Name],Rekorde[[#This Row],[Name]],Eingabe[Wo],"H"),"")</f>
        <v/>
      </c>
      <c r="P3" s="51" t="str">
        <f>IF(COUNTIFS(Eingabe[Name],Rekorde[[#This Row],[Name]],Eingabe[Wo],"H")&gt;0,_xlfn.MAXIFS(Eingabe[Volle],Eingabe[Name],Rekorde[[#This Row],[Name]],Eingabe[Wo],"H"),"")</f>
        <v/>
      </c>
      <c r="Q3" s="51" t="str">
        <f>IF(COUNTIFS(Eingabe[Name],Rekorde[[#This Row],[Name]],Eingabe[Wo],"H")&gt;0,_xlfn.MAXIFS(Eingabe[Räumer],Eingabe[Name],Rekorde[[#This Row],[Name]],Eingabe[Wo],"H"),"")</f>
        <v/>
      </c>
      <c r="R3" s="51" t="str">
        <f>IF(COUNTIFS(Eingabe[Name],Rekorde[[#This Row],[Name]],Eingabe[Wo],"H")&gt;0,_xlfn.MAXIFS(Eingabe[S1],Eingabe[Name],Rekorde[[#This Row],[Name]],Eingabe[Wo],"H"),"")</f>
        <v/>
      </c>
      <c r="S3" s="51" t="str">
        <f>IF(COUNTIFS(Eingabe[Name],Rekorde[[#This Row],[Name]],Eingabe[Wo],"H")&gt;0,_xlfn.MAXIFS(Eingabe[S2],Eingabe[Name],Rekorde[[#This Row],[Name]],Eingabe[Wo],"H"),"")</f>
        <v/>
      </c>
      <c r="T3" s="51" t="str">
        <f>IF(COUNTIFS(Eingabe[Name],Rekorde[[#This Row],[Name]],Eingabe[Wo],"H")&gt;0,_xlfn.MAXIFS(Eingabe[S3],Eingabe[Name],Rekorde[[#This Row],[Name]],Eingabe[Wo],"H"),"")</f>
        <v/>
      </c>
      <c r="U3" s="51" t="str">
        <f>IF(COUNTIFS(Eingabe[Name],Rekorde[[#This Row],[Name]],Eingabe[Wo],"H")&gt;0,_xlfn.MAXIFS(Eingabe[S4],Eingabe[Name],Rekorde[[#This Row],[Name]],Eingabe[Wo],"H"),"")</f>
        <v/>
      </c>
      <c r="V3" s="51" t="str">
        <f>IF(Rekorde[[#This Row],[S1 H]]="","",MAX(Rekorde[[#This Row],[S1 H]:[S4 H]]))</f>
        <v/>
      </c>
      <c r="W3" s="52" t="str">
        <f>IF(COUNTIFS(Eingabe[Name],Rekorde[[#This Row],[Name]],Eingabe[Wo],"H")&gt;0,_xlfn.MINIFS(Eingabe[Fehler],Eingabe[Name],Rekorde[[#This Row],[Name]],Eingabe[Wo],"H"),"")</f>
        <v/>
      </c>
      <c r="X3" s="51" t="str">
        <f>IF(COUNTIFS(Eingabe[Name],Rekorde[[#This Row],[Name]],Eingabe[Wo],"H")&gt;0,_xlfn.MAXIFS(Eingabe[GEGGES],Eingabe[Name],Rekorde[[#This Row],[Name]],Eingabe[Wo],"H"),"")</f>
        <v/>
      </c>
      <c r="Y3" s="51" t="str">
        <f>IF(COUNTIFS(Eingabe[Name],Rekorde[[#This Row],[Name]],Eingabe[Wo],"A")&gt;0,_xlfn.MAXIFS(Eingabe[GES],Eingabe[Name],Rekorde[[#This Row],[Name]],Eingabe[Wo],"A"),"")</f>
        <v/>
      </c>
      <c r="Z3" s="51" t="str">
        <f>IF(COUNTIFS(Eingabe[Name],Rekorde[[#This Row],[Name]],Eingabe[Wo],"A")&gt;0,_xlfn.MAXIFS(Eingabe[Volle],Eingabe[Name],Rekorde[[#This Row],[Name]],Eingabe[Wo],"A"),"")</f>
        <v/>
      </c>
      <c r="AA3" s="51" t="str">
        <f>IF(COUNTIFS(Eingabe[Name],Rekorde[[#This Row],[Name]],Eingabe[Wo],"A")&gt;0,_xlfn.MAXIFS(Eingabe[Räumer],Eingabe[Name],Rekorde[[#This Row],[Name]],Eingabe[Wo],"A"),"")</f>
        <v/>
      </c>
      <c r="AB3" s="51" t="str">
        <f>IF(COUNTIFS(Eingabe[Name],Rekorde[[#This Row],[Name]],Eingabe[Wo],"A")&gt;0,_xlfn.MAXIFS(Eingabe[S1],Eingabe[Name],Rekorde[[#This Row],[Name]],Eingabe[Wo],"A"),"")</f>
        <v/>
      </c>
      <c r="AC3" s="51" t="str">
        <f>IF(COUNTIFS(Eingabe[Name],Rekorde[[#This Row],[Name]],Eingabe[Wo],"A")&gt;0,_xlfn.MAXIFS(Eingabe[S2],Eingabe[Name],Rekorde[[#This Row],[Name]],Eingabe[Wo],"A"),"")</f>
        <v/>
      </c>
      <c r="AD3" s="51" t="str">
        <f>IF(COUNTIFS(Eingabe[Name],Rekorde[[#This Row],[Name]],Eingabe[Wo],"A")&gt;0,_xlfn.MAXIFS(Eingabe[S3],Eingabe[Name],Rekorde[[#This Row],[Name]],Eingabe[Wo],"A"),"")</f>
        <v/>
      </c>
      <c r="AE3" s="51" t="str">
        <f>IF(COUNTIFS(Eingabe[Name],Rekorde[[#This Row],[Name]],Eingabe[Wo],"A")&gt;0,_xlfn.MAXIFS(Eingabe[S4],Eingabe[Name],Rekorde[[#This Row],[Name]],Eingabe[Wo],"A"),"")</f>
        <v/>
      </c>
      <c r="AF3" s="51" t="str">
        <f>IF(Rekorde[[#This Row],[S1 A]]="","",MAX(Rekorde[[#This Row],[S1 A]:[S4 A]]))</f>
        <v/>
      </c>
      <c r="AG3" s="52" t="str">
        <f>IF(COUNTIFS(Eingabe[Name],Rekorde[[#This Row],[Name]],Eingabe[Wo],"A")&gt;0,_xlfn.MINIFS(Eingabe[Fehler],Eingabe[Name],Rekorde[[#This Row],[Name]],Eingabe[Wo],"A"),"")</f>
        <v/>
      </c>
      <c r="AH3" s="51" t="str">
        <f>IF(COUNTIFS(Eingabe[Name],Rekorde[[#This Row],[Name]],Eingabe[Wo],"A")&gt;0,_xlfn.MAXIFS(Eingabe[GEGGES],Eingabe[Name],Rekorde[[#This Row],[Name]],Eingabe[Wo],"A"),"")</f>
        <v/>
      </c>
      <c r="AJ3" s="231" t="s">
        <v>438</v>
      </c>
      <c r="AK3" s="451" t="s">
        <v>26</v>
      </c>
      <c r="AL3" s="452"/>
      <c r="AM3" s="452"/>
      <c r="AN3" s="453"/>
      <c r="AO3" s="451" t="s">
        <v>118</v>
      </c>
      <c r="AP3" s="452"/>
      <c r="AQ3" s="452"/>
      <c r="AR3" s="453"/>
      <c r="AS3" s="451" t="s">
        <v>119</v>
      </c>
      <c r="AT3" s="452"/>
      <c r="AU3" s="452"/>
      <c r="AV3" s="453"/>
    </row>
    <row r="4" spans="3:48" x14ac:dyDescent="0.3">
      <c r="C4" s="53" t="s">
        <v>459</v>
      </c>
      <c r="D4" s="12" t="str">
        <f>VLOOKUP(Rekorde[[#This Row],[Name]],Teamzuordnung[[Name]:[Team]],2,FALSE)</f>
        <v>D</v>
      </c>
      <c r="E4" s="51" t="str">
        <f>IF(COUNTIF(Eingabe[Name],Rekorde[[#This Row],[Name]])&gt;0,_xlfn.MAXIFS(Eingabe[GES],Eingabe[Name],Rekorde[[#This Row],[Name]]),"")</f>
        <v/>
      </c>
      <c r="F4" s="51" t="str">
        <f>IF(COUNTIF(Eingabe[Name],Rekorde[[#This Row],[Name]])&gt;0,_xlfn.MAXIFS(Eingabe[Volle],Eingabe[Name],Rekorde[[#This Row],[Name]]),"")</f>
        <v/>
      </c>
      <c r="G4" s="51" t="str">
        <f>IF(COUNTIF(Eingabe[Name],Rekorde[[#This Row],[Name]])&gt;0,_xlfn.MAXIFS(Eingabe[Räumer],Eingabe[Name],Rekorde[[#This Row],[Name]]),"")</f>
        <v/>
      </c>
      <c r="H4" s="51" t="str">
        <f>IF(COUNTIF(Eingabe[Name],Rekorde[[#This Row],[Name]])&gt;0,_xlfn.MAXIFS(Eingabe[S1],Eingabe[Name],Rekorde[[#This Row],[Name]]),"")</f>
        <v/>
      </c>
      <c r="I4" s="51" t="str">
        <f>IF(COUNTIF(Eingabe[Name],Rekorde[[#This Row],[Name]])&gt;0,_xlfn.MAXIFS(Eingabe[S2],Eingabe[Name],Rekorde[[#This Row],[Name]]),"")</f>
        <v/>
      </c>
      <c r="J4" s="51" t="str">
        <f>IF(COUNTIF(Eingabe[Name],Rekorde[[#This Row],[Name]])&gt;0,_xlfn.MAXIFS(Eingabe[S3],Eingabe[Name],Rekorde[[#This Row],[Name]]),"")</f>
        <v/>
      </c>
      <c r="K4" s="51" t="str">
        <f>IF(COUNTIF(Eingabe[Name],Rekorde[[#This Row],[Name]])&gt;0,_xlfn.MAXIFS(Eingabe[S4],Eingabe[Name],Rekorde[[#This Row],[Name]]),"")</f>
        <v/>
      </c>
      <c r="L4" s="51" t="str">
        <f>IF(MAX(Rekorde[[#This Row],[S1]:[S4]])=0,"",MAX(Rekorde[[#This Row],[S1]:[S4]]))</f>
        <v/>
      </c>
      <c r="M4" s="52" t="str">
        <f>IF(COUNTIF(Eingabe[Name],Rekorde[[#This Row],[Name]])&gt;0,_xlfn.MINIFS(Eingabe[Fehler],Eingabe[Name],Rekorde[[#This Row],[Name]]),"")</f>
        <v/>
      </c>
      <c r="N4" s="51" t="str">
        <f>IF(COUNTIF(Eingabe[Name],Rekorde[[#This Row],[Name]])&gt;0,_xlfn.MAXIFS(Eingabe[GEGGES],Eingabe[Name],Rekorde[[#This Row],[Name]]),"")</f>
        <v/>
      </c>
      <c r="O4" s="51" t="str">
        <f>IF(COUNTIFS(Eingabe[Name],Rekorde[[#This Row],[Name]],Eingabe[Wo],"H")&gt;0,_xlfn.MAXIFS(Eingabe[GES],Eingabe[Name],Rekorde[[#This Row],[Name]],Eingabe[Wo],"H"),"")</f>
        <v/>
      </c>
      <c r="P4" s="51" t="str">
        <f>IF(COUNTIFS(Eingabe[Name],Rekorde[[#This Row],[Name]],Eingabe[Wo],"H")&gt;0,_xlfn.MAXIFS(Eingabe[Volle],Eingabe[Name],Rekorde[[#This Row],[Name]],Eingabe[Wo],"H"),"")</f>
        <v/>
      </c>
      <c r="Q4" s="51" t="str">
        <f>IF(COUNTIFS(Eingabe[Name],Rekorde[[#This Row],[Name]],Eingabe[Wo],"H")&gt;0,_xlfn.MAXIFS(Eingabe[Räumer],Eingabe[Name],Rekorde[[#This Row],[Name]],Eingabe[Wo],"H"),"")</f>
        <v/>
      </c>
      <c r="R4" s="51" t="str">
        <f>IF(COUNTIFS(Eingabe[Name],Rekorde[[#This Row],[Name]],Eingabe[Wo],"H")&gt;0,_xlfn.MAXIFS(Eingabe[S1],Eingabe[Name],Rekorde[[#This Row],[Name]],Eingabe[Wo],"H"),"")</f>
        <v/>
      </c>
      <c r="S4" s="51" t="str">
        <f>IF(COUNTIFS(Eingabe[Name],Rekorde[[#This Row],[Name]],Eingabe[Wo],"H")&gt;0,_xlfn.MAXIFS(Eingabe[S2],Eingabe[Name],Rekorde[[#This Row],[Name]],Eingabe[Wo],"H"),"")</f>
        <v/>
      </c>
      <c r="T4" s="51" t="str">
        <f>IF(COUNTIFS(Eingabe[Name],Rekorde[[#This Row],[Name]],Eingabe[Wo],"H")&gt;0,_xlfn.MAXIFS(Eingabe[S3],Eingabe[Name],Rekorde[[#This Row],[Name]],Eingabe[Wo],"H"),"")</f>
        <v/>
      </c>
      <c r="U4" s="51" t="str">
        <f>IF(COUNTIFS(Eingabe[Name],Rekorde[[#This Row],[Name]],Eingabe[Wo],"H")&gt;0,_xlfn.MAXIFS(Eingabe[S4],Eingabe[Name],Rekorde[[#This Row],[Name]],Eingabe[Wo],"H"),"")</f>
        <v/>
      </c>
      <c r="V4" s="51" t="str">
        <f>IF(Rekorde[[#This Row],[S1 H]]="","",MAX(Rekorde[[#This Row],[S1 H]:[S4 H]]))</f>
        <v/>
      </c>
      <c r="W4" s="52" t="str">
        <f>IF(COUNTIFS(Eingabe[Name],Rekorde[[#This Row],[Name]],Eingabe[Wo],"H")&gt;0,_xlfn.MINIFS(Eingabe[Fehler],Eingabe[Name],Rekorde[[#This Row],[Name]],Eingabe[Wo],"H"),"")</f>
        <v/>
      </c>
      <c r="X4" s="51" t="str">
        <f>IF(COUNTIFS(Eingabe[Name],Rekorde[[#This Row],[Name]],Eingabe[Wo],"H")&gt;0,_xlfn.MAXIFS(Eingabe[GEGGES],Eingabe[Name],Rekorde[[#This Row],[Name]],Eingabe[Wo],"H"),"")</f>
        <v/>
      </c>
      <c r="Y4" s="51" t="str">
        <f>IF(COUNTIFS(Eingabe[Name],Rekorde[[#This Row],[Name]],Eingabe[Wo],"A")&gt;0,_xlfn.MAXIFS(Eingabe[GES],Eingabe[Name],Rekorde[[#This Row],[Name]],Eingabe[Wo],"A"),"")</f>
        <v/>
      </c>
      <c r="Z4" s="51" t="str">
        <f>IF(COUNTIFS(Eingabe[Name],Rekorde[[#This Row],[Name]],Eingabe[Wo],"A")&gt;0,_xlfn.MAXIFS(Eingabe[Volle],Eingabe[Name],Rekorde[[#This Row],[Name]],Eingabe[Wo],"A"),"")</f>
        <v/>
      </c>
      <c r="AA4" s="51" t="str">
        <f>IF(COUNTIFS(Eingabe[Name],Rekorde[[#This Row],[Name]],Eingabe[Wo],"A")&gt;0,_xlfn.MAXIFS(Eingabe[Räumer],Eingabe[Name],Rekorde[[#This Row],[Name]],Eingabe[Wo],"A"),"")</f>
        <v/>
      </c>
      <c r="AB4" s="51" t="str">
        <f>IF(COUNTIFS(Eingabe[Name],Rekorde[[#This Row],[Name]],Eingabe[Wo],"A")&gt;0,_xlfn.MAXIFS(Eingabe[S1],Eingabe[Name],Rekorde[[#This Row],[Name]],Eingabe[Wo],"A"),"")</f>
        <v/>
      </c>
      <c r="AC4" s="51" t="str">
        <f>IF(COUNTIFS(Eingabe[Name],Rekorde[[#This Row],[Name]],Eingabe[Wo],"A")&gt;0,_xlfn.MAXIFS(Eingabe[S2],Eingabe[Name],Rekorde[[#This Row],[Name]],Eingabe[Wo],"A"),"")</f>
        <v/>
      </c>
      <c r="AD4" s="51" t="str">
        <f>IF(COUNTIFS(Eingabe[Name],Rekorde[[#This Row],[Name]],Eingabe[Wo],"A")&gt;0,_xlfn.MAXIFS(Eingabe[S3],Eingabe[Name],Rekorde[[#This Row],[Name]],Eingabe[Wo],"A"),"")</f>
        <v/>
      </c>
      <c r="AE4" s="51" t="str">
        <f>IF(COUNTIFS(Eingabe[Name],Rekorde[[#This Row],[Name]],Eingabe[Wo],"A")&gt;0,_xlfn.MAXIFS(Eingabe[S4],Eingabe[Name],Rekorde[[#This Row],[Name]],Eingabe[Wo],"A"),"")</f>
        <v/>
      </c>
      <c r="AF4" s="51" t="str">
        <f>IF(Rekorde[[#This Row],[S1 A]]="","",MAX(Rekorde[[#This Row],[S1 A]:[S4 A]]))</f>
        <v/>
      </c>
      <c r="AG4" s="52" t="str">
        <f>IF(COUNTIFS(Eingabe[Name],Rekorde[[#This Row],[Name]],Eingabe[Wo],"A")&gt;0,_xlfn.MINIFS(Eingabe[Fehler],Eingabe[Name],Rekorde[[#This Row],[Name]],Eingabe[Wo],"A"),"")</f>
        <v/>
      </c>
      <c r="AH4" s="51" t="str">
        <f>IF(COUNTIFS(Eingabe[Name],Rekorde[[#This Row],[Name]],Eingabe[Wo],"A")&gt;0,_xlfn.MAXIFS(Eingabe[GEGGES],Eingabe[Name],Rekorde[[#This Row],[Name]],Eingabe[Wo],"A"),"")</f>
        <v/>
      </c>
      <c r="AJ4" s="232" t="s">
        <v>13</v>
      </c>
      <c r="AK4" s="226" t="s">
        <v>26</v>
      </c>
      <c r="AL4" s="227" t="s">
        <v>21</v>
      </c>
      <c r="AM4" s="227" t="s">
        <v>22</v>
      </c>
      <c r="AN4" s="228" t="s">
        <v>221</v>
      </c>
      <c r="AO4" s="226" t="s">
        <v>26</v>
      </c>
      <c r="AP4" s="227" t="s">
        <v>21</v>
      </c>
      <c r="AQ4" s="227" t="s">
        <v>22</v>
      </c>
      <c r="AR4" s="228" t="s">
        <v>221</v>
      </c>
      <c r="AS4" s="226" t="s">
        <v>26</v>
      </c>
      <c r="AT4" s="227" t="s">
        <v>21</v>
      </c>
      <c r="AU4" s="227" t="s">
        <v>22</v>
      </c>
      <c r="AV4" s="228" t="s">
        <v>221</v>
      </c>
    </row>
    <row r="5" spans="3:48" x14ac:dyDescent="0.3">
      <c r="C5" s="53" t="s">
        <v>475</v>
      </c>
      <c r="D5" s="12" t="str">
        <f>VLOOKUP(Rekorde[[#This Row],[Name]],Teamzuordnung[[Name]:[Team]],2,FALSE)</f>
        <v>D</v>
      </c>
      <c r="E5" s="51" t="str">
        <f>IF(COUNTIF(Eingabe[Name],Rekorde[[#This Row],[Name]])&gt;0,_xlfn.MAXIFS(Eingabe[GES],Eingabe[Name],Rekorde[[#This Row],[Name]]),"")</f>
        <v/>
      </c>
      <c r="F5" s="51" t="str">
        <f>IF(COUNTIF(Eingabe[Name],Rekorde[[#This Row],[Name]])&gt;0,_xlfn.MAXIFS(Eingabe[Volle],Eingabe[Name],Rekorde[[#This Row],[Name]]),"")</f>
        <v/>
      </c>
      <c r="G5" s="51" t="str">
        <f>IF(COUNTIF(Eingabe[Name],Rekorde[[#This Row],[Name]])&gt;0,_xlfn.MAXIFS(Eingabe[Räumer],Eingabe[Name],Rekorde[[#This Row],[Name]]),"")</f>
        <v/>
      </c>
      <c r="H5" s="51" t="str">
        <f>IF(COUNTIF(Eingabe[Name],Rekorde[[#This Row],[Name]])&gt;0,_xlfn.MAXIFS(Eingabe[S1],Eingabe[Name],Rekorde[[#This Row],[Name]]),"")</f>
        <v/>
      </c>
      <c r="I5" s="51" t="str">
        <f>IF(COUNTIF(Eingabe[Name],Rekorde[[#This Row],[Name]])&gt;0,_xlfn.MAXIFS(Eingabe[S2],Eingabe[Name],Rekorde[[#This Row],[Name]]),"")</f>
        <v/>
      </c>
      <c r="J5" s="51" t="str">
        <f>IF(COUNTIF(Eingabe[Name],Rekorde[[#This Row],[Name]])&gt;0,_xlfn.MAXIFS(Eingabe[S3],Eingabe[Name],Rekorde[[#This Row],[Name]]),"")</f>
        <v/>
      </c>
      <c r="K5" s="51" t="str">
        <f>IF(COUNTIF(Eingabe[Name],Rekorde[[#This Row],[Name]])&gt;0,_xlfn.MAXIFS(Eingabe[S4],Eingabe[Name],Rekorde[[#This Row],[Name]]),"")</f>
        <v/>
      </c>
      <c r="L5" s="51" t="str">
        <f>IF(MAX(Rekorde[[#This Row],[S1]:[S4]])=0,"",MAX(Rekorde[[#This Row],[S1]:[S4]]))</f>
        <v/>
      </c>
      <c r="M5" s="52" t="str">
        <f>IF(COUNTIF(Eingabe[Name],Rekorde[[#This Row],[Name]])&gt;0,_xlfn.MINIFS(Eingabe[Fehler],Eingabe[Name],Rekorde[[#This Row],[Name]]),"")</f>
        <v/>
      </c>
      <c r="N5" s="51" t="str">
        <f>IF(COUNTIF(Eingabe[Name],Rekorde[[#This Row],[Name]])&gt;0,_xlfn.MAXIFS(Eingabe[GEGGES],Eingabe[Name],Rekorde[[#This Row],[Name]]),"")</f>
        <v/>
      </c>
      <c r="O5" s="51" t="str">
        <f>IF(COUNTIFS(Eingabe[Name],Rekorde[[#This Row],[Name]],Eingabe[Wo],"H")&gt;0,_xlfn.MAXIFS(Eingabe[GES],Eingabe[Name],Rekorde[[#This Row],[Name]],Eingabe[Wo],"H"),"")</f>
        <v/>
      </c>
      <c r="P5" s="51" t="str">
        <f>IF(COUNTIFS(Eingabe[Name],Rekorde[[#This Row],[Name]],Eingabe[Wo],"H")&gt;0,_xlfn.MAXIFS(Eingabe[Volle],Eingabe[Name],Rekorde[[#This Row],[Name]],Eingabe[Wo],"H"),"")</f>
        <v/>
      </c>
      <c r="Q5" s="51" t="str">
        <f>IF(COUNTIFS(Eingabe[Name],Rekorde[[#This Row],[Name]],Eingabe[Wo],"H")&gt;0,_xlfn.MAXIFS(Eingabe[Räumer],Eingabe[Name],Rekorde[[#This Row],[Name]],Eingabe[Wo],"H"),"")</f>
        <v/>
      </c>
      <c r="R5" s="51" t="str">
        <f>IF(COUNTIFS(Eingabe[Name],Rekorde[[#This Row],[Name]],Eingabe[Wo],"H")&gt;0,_xlfn.MAXIFS(Eingabe[S1],Eingabe[Name],Rekorde[[#This Row],[Name]],Eingabe[Wo],"H"),"")</f>
        <v/>
      </c>
      <c r="S5" s="51" t="str">
        <f>IF(COUNTIFS(Eingabe[Name],Rekorde[[#This Row],[Name]],Eingabe[Wo],"H")&gt;0,_xlfn.MAXIFS(Eingabe[S2],Eingabe[Name],Rekorde[[#This Row],[Name]],Eingabe[Wo],"H"),"")</f>
        <v/>
      </c>
      <c r="T5" s="51" t="str">
        <f>IF(COUNTIFS(Eingabe[Name],Rekorde[[#This Row],[Name]],Eingabe[Wo],"H")&gt;0,_xlfn.MAXIFS(Eingabe[S3],Eingabe[Name],Rekorde[[#This Row],[Name]],Eingabe[Wo],"H"),"")</f>
        <v/>
      </c>
      <c r="U5" s="51" t="str">
        <f>IF(COUNTIFS(Eingabe[Name],Rekorde[[#This Row],[Name]],Eingabe[Wo],"H")&gt;0,_xlfn.MAXIFS(Eingabe[S4],Eingabe[Name],Rekorde[[#This Row],[Name]],Eingabe[Wo],"H"),"")</f>
        <v/>
      </c>
      <c r="V5" s="51" t="str">
        <f>IF(Rekorde[[#This Row],[S1 H]]="","",MAX(Rekorde[[#This Row],[S1 H]:[S4 H]]))</f>
        <v/>
      </c>
      <c r="W5" s="52" t="str">
        <f>IF(COUNTIFS(Eingabe[Name],Rekorde[[#This Row],[Name]],Eingabe[Wo],"H")&gt;0,_xlfn.MINIFS(Eingabe[Fehler],Eingabe[Name],Rekorde[[#This Row],[Name]],Eingabe[Wo],"H"),"")</f>
        <v/>
      </c>
      <c r="X5" s="51" t="str">
        <f>IF(COUNTIFS(Eingabe[Name],Rekorde[[#This Row],[Name]],Eingabe[Wo],"H")&gt;0,_xlfn.MAXIFS(Eingabe[GEGGES],Eingabe[Name],Rekorde[[#This Row],[Name]],Eingabe[Wo],"H"),"")</f>
        <v/>
      </c>
      <c r="Y5" s="51" t="str">
        <f>IF(COUNTIFS(Eingabe[Name],Rekorde[[#This Row],[Name]],Eingabe[Wo],"A")&gt;0,_xlfn.MAXIFS(Eingabe[GES],Eingabe[Name],Rekorde[[#This Row],[Name]],Eingabe[Wo],"A"),"")</f>
        <v/>
      </c>
      <c r="Z5" s="51" t="str">
        <f>IF(COUNTIFS(Eingabe[Name],Rekorde[[#This Row],[Name]],Eingabe[Wo],"A")&gt;0,_xlfn.MAXIFS(Eingabe[Volle],Eingabe[Name],Rekorde[[#This Row],[Name]],Eingabe[Wo],"A"),"")</f>
        <v/>
      </c>
      <c r="AA5" s="51" t="str">
        <f>IF(COUNTIFS(Eingabe[Name],Rekorde[[#This Row],[Name]],Eingabe[Wo],"A")&gt;0,_xlfn.MAXIFS(Eingabe[Räumer],Eingabe[Name],Rekorde[[#This Row],[Name]],Eingabe[Wo],"A"),"")</f>
        <v/>
      </c>
      <c r="AB5" s="51" t="str">
        <f>IF(COUNTIFS(Eingabe[Name],Rekorde[[#This Row],[Name]],Eingabe[Wo],"A")&gt;0,_xlfn.MAXIFS(Eingabe[S1],Eingabe[Name],Rekorde[[#This Row],[Name]],Eingabe[Wo],"A"),"")</f>
        <v/>
      </c>
      <c r="AC5" s="51" t="str">
        <f>IF(COUNTIFS(Eingabe[Name],Rekorde[[#This Row],[Name]],Eingabe[Wo],"A")&gt;0,_xlfn.MAXIFS(Eingabe[S2],Eingabe[Name],Rekorde[[#This Row],[Name]],Eingabe[Wo],"A"),"")</f>
        <v/>
      </c>
      <c r="AD5" s="51" t="str">
        <f>IF(COUNTIFS(Eingabe[Name],Rekorde[[#This Row],[Name]],Eingabe[Wo],"A")&gt;0,_xlfn.MAXIFS(Eingabe[S3],Eingabe[Name],Rekorde[[#This Row],[Name]],Eingabe[Wo],"A"),"")</f>
        <v/>
      </c>
      <c r="AE5" s="51" t="str">
        <f>IF(COUNTIFS(Eingabe[Name],Rekorde[[#This Row],[Name]],Eingabe[Wo],"A")&gt;0,_xlfn.MAXIFS(Eingabe[S4],Eingabe[Name],Rekorde[[#This Row],[Name]],Eingabe[Wo],"A"),"")</f>
        <v/>
      </c>
      <c r="AF5" s="51" t="str">
        <f>IF(Rekorde[[#This Row],[S1 A]]="","",MAX(Rekorde[[#This Row],[S1 A]:[S4 A]]))</f>
        <v/>
      </c>
      <c r="AG5" s="52" t="str">
        <f>IF(COUNTIFS(Eingabe[Name],Rekorde[[#This Row],[Name]],Eingabe[Wo],"A")&gt;0,_xlfn.MINIFS(Eingabe[Fehler],Eingabe[Name],Rekorde[[#This Row],[Name]],Eingabe[Wo],"A"),"")</f>
        <v/>
      </c>
      <c r="AH5" s="51" t="str">
        <f>IF(COUNTIFS(Eingabe[Name],Rekorde[[#This Row],[Name]],Eingabe[Wo],"A")&gt;0,_xlfn.MAXIFS(Eingabe[GEGGES],Eingabe[Name],Rekorde[[#This Row],[Name]],Eingabe[Wo],"A"),"")</f>
        <v/>
      </c>
      <c r="AJ5" s="233" t="str" cm="1">
        <f t="array" ref="AJ5:AJ12">_xlfn._xlws.FILTER(Rekorde[Name],Rekorde[Team]=AJ2,"")</f>
        <v>Anastasia Landau</v>
      </c>
      <c r="AK5" s="223" t="str" cm="1">
        <f t="array" ref="AK5:AM12">_xlfn._xlws.FILTER(Rekorde[[GES]:[Räumer]],Rekorde[Team]=AJ2,"")</f>
        <v/>
      </c>
      <c r="AL5" s="222" t="str">
        <v/>
      </c>
      <c r="AM5" s="222" t="str">
        <v/>
      </c>
      <c r="AN5" s="229" t="str" cm="1">
        <f t="array" ref="AN5:AN12">_xlfn._xlws.FILTER(Rekorde[Bahn],Rekorde[Team]=AJ2,"")</f>
        <v/>
      </c>
      <c r="AO5" s="223" t="str" cm="1">
        <f t="array" ref="AO5:AQ12">_xlfn._xlws.FILTER(Rekorde[[GES H]:[Räumer H]],Rekorde[Team]=AJ2,"")</f>
        <v/>
      </c>
      <c r="AP5" s="222" t="str">
        <v/>
      </c>
      <c r="AQ5" s="222" t="str">
        <v/>
      </c>
      <c r="AR5" s="229" t="str" cm="1">
        <f t="array" ref="AR5:AR12">_xlfn._xlws.FILTER(Rekorde[Bahn H],Rekorde[Team]=AJ2,"")</f>
        <v/>
      </c>
      <c r="AS5" s="223" t="str" cm="1">
        <f t="array" ref="AS5:AU12">_xlfn._xlws.FILTER(Rekorde[[GES A]:[Räumer A]],Rekorde[Team]=AJ2,"")</f>
        <v/>
      </c>
      <c r="AT5" s="222" t="str">
        <v/>
      </c>
      <c r="AU5" s="222" t="str">
        <v/>
      </c>
      <c r="AV5" s="229" t="str" cm="1">
        <f t="array" ref="AV5:AV12">_xlfn._xlws.FILTER(Rekorde[Bahn A],Rekorde[Team]=AJ2,"")</f>
        <v/>
      </c>
    </row>
    <row r="6" spans="3:48" x14ac:dyDescent="0.3">
      <c r="C6" s="53" t="s">
        <v>456</v>
      </c>
      <c r="D6" s="12" t="str">
        <f>VLOOKUP(Rekorde[[#This Row],[Name]],Teamzuordnung[[Name]:[Team]],2,FALSE)</f>
        <v>D</v>
      </c>
      <c r="E6" s="51" t="str">
        <f>IF(COUNTIF(Eingabe[Name],Rekorde[[#This Row],[Name]])&gt;0,_xlfn.MAXIFS(Eingabe[GES],Eingabe[Name],Rekorde[[#This Row],[Name]]),"")</f>
        <v/>
      </c>
      <c r="F6" s="51" t="str">
        <f>IF(COUNTIF(Eingabe[Name],Rekorde[[#This Row],[Name]])&gt;0,_xlfn.MAXIFS(Eingabe[Volle],Eingabe[Name],Rekorde[[#This Row],[Name]]),"")</f>
        <v/>
      </c>
      <c r="G6" s="51" t="str">
        <f>IF(COUNTIF(Eingabe[Name],Rekorde[[#This Row],[Name]])&gt;0,_xlfn.MAXIFS(Eingabe[Räumer],Eingabe[Name],Rekorde[[#This Row],[Name]]),"")</f>
        <v/>
      </c>
      <c r="H6" s="51" t="str">
        <f>IF(COUNTIF(Eingabe[Name],Rekorde[[#This Row],[Name]])&gt;0,_xlfn.MAXIFS(Eingabe[S1],Eingabe[Name],Rekorde[[#This Row],[Name]]),"")</f>
        <v/>
      </c>
      <c r="I6" s="51" t="str">
        <f>IF(COUNTIF(Eingabe[Name],Rekorde[[#This Row],[Name]])&gt;0,_xlfn.MAXIFS(Eingabe[S2],Eingabe[Name],Rekorde[[#This Row],[Name]]),"")</f>
        <v/>
      </c>
      <c r="J6" s="51" t="str">
        <f>IF(COUNTIF(Eingabe[Name],Rekorde[[#This Row],[Name]])&gt;0,_xlfn.MAXIFS(Eingabe[S3],Eingabe[Name],Rekorde[[#This Row],[Name]]),"")</f>
        <v/>
      </c>
      <c r="K6" s="51" t="str">
        <f>IF(COUNTIF(Eingabe[Name],Rekorde[[#This Row],[Name]])&gt;0,_xlfn.MAXIFS(Eingabe[S4],Eingabe[Name],Rekorde[[#This Row],[Name]]),"")</f>
        <v/>
      </c>
      <c r="L6" s="51" t="str">
        <f>IF(MAX(Rekorde[[#This Row],[S1]:[S4]])=0,"",MAX(Rekorde[[#This Row],[S1]:[S4]]))</f>
        <v/>
      </c>
      <c r="M6" s="52" t="str">
        <f>IF(COUNTIF(Eingabe[Name],Rekorde[[#This Row],[Name]])&gt;0,_xlfn.MINIFS(Eingabe[Fehler],Eingabe[Name],Rekorde[[#This Row],[Name]]),"")</f>
        <v/>
      </c>
      <c r="N6" s="51" t="str">
        <f>IF(COUNTIF(Eingabe[Name],Rekorde[[#This Row],[Name]])&gt;0,_xlfn.MAXIFS(Eingabe[GEGGES],Eingabe[Name],Rekorde[[#This Row],[Name]]),"")</f>
        <v/>
      </c>
      <c r="O6" s="51" t="str">
        <f>IF(COUNTIFS(Eingabe[Name],Rekorde[[#This Row],[Name]],Eingabe[Wo],"H")&gt;0,_xlfn.MAXIFS(Eingabe[GES],Eingabe[Name],Rekorde[[#This Row],[Name]],Eingabe[Wo],"H"),"")</f>
        <v/>
      </c>
      <c r="P6" s="51" t="str">
        <f>IF(COUNTIFS(Eingabe[Name],Rekorde[[#This Row],[Name]],Eingabe[Wo],"H")&gt;0,_xlfn.MAXIFS(Eingabe[Volle],Eingabe[Name],Rekorde[[#This Row],[Name]],Eingabe[Wo],"H"),"")</f>
        <v/>
      </c>
      <c r="Q6" s="51" t="str">
        <f>IF(COUNTIFS(Eingabe[Name],Rekorde[[#This Row],[Name]],Eingabe[Wo],"H")&gt;0,_xlfn.MAXIFS(Eingabe[Räumer],Eingabe[Name],Rekorde[[#This Row],[Name]],Eingabe[Wo],"H"),"")</f>
        <v/>
      </c>
      <c r="R6" s="51" t="str">
        <f>IF(COUNTIFS(Eingabe[Name],Rekorde[[#This Row],[Name]],Eingabe[Wo],"H")&gt;0,_xlfn.MAXIFS(Eingabe[S1],Eingabe[Name],Rekorde[[#This Row],[Name]],Eingabe[Wo],"H"),"")</f>
        <v/>
      </c>
      <c r="S6" s="51" t="str">
        <f>IF(COUNTIFS(Eingabe[Name],Rekorde[[#This Row],[Name]],Eingabe[Wo],"H")&gt;0,_xlfn.MAXIFS(Eingabe[S2],Eingabe[Name],Rekorde[[#This Row],[Name]],Eingabe[Wo],"H"),"")</f>
        <v/>
      </c>
      <c r="T6" s="51" t="str">
        <f>IF(COUNTIFS(Eingabe[Name],Rekorde[[#This Row],[Name]],Eingabe[Wo],"H")&gt;0,_xlfn.MAXIFS(Eingabe[S3],Eingabe[Name],Rekorde[[#This Row],[Name]],Eingabe[Wo],"H"),"")</f>
        <v/>
      </c>
      <c r="U6" s="51" t="str">
        <f>IF(COUNTIFS(Eingabe[Name],Rekorde[[#This Row],[Name]],Eingabe[Wo],"H")&gt;0,_xlfn.MAXIFS(Eingabe[S4],Eingabe[Name],Rekorde[[#This Row],[Name]],Eingabe[Wo],"H"),"")</f>
        <v/>
      </c>
      <c r="V6" s="51" t="str">
        <f>IF(Rekorde[[#This Row],[S1 H]]="","",MAX(Rekorde[[#This Row],[S1 H]:[S4 H]]))</f>
        <v/>
      </c>
      <c r="W6" s="52" t="str">
        <f>IF(COUNTIFS(Eingabe[Name],Rekorde[[#This Row],[Name]],Eingabe[Wo],"H")&gt;0,_xlfn.MINIFS(Eingabe[Fehler],Eingabe[Name],Rekorde[[#This Row],[Name]],Eingabe[Wo],"H"),"")</f>
        <v/>
      </c>
      <c r="X6" s="51" t="str">
        <f>IF(COUNTIFS(Eingabe[Name],Rekorde[[#This Row],[Name]],Eingabe[Wo],"H")&gt;0,_xlfn.MAXIFS(Eingabe[GEGGES],Eingabe[Name],Rekorde[[#This Row],[Name]],Eingabe[Wo],"H"),"")</f>
        <v/>
      </c>
      <c r="Y6" s="51" t="str">
        <f>IF(COUNTIFS(Eingabe[Name],Rekorde[[#This Row],[Name]],Eingabe[Wo],"A")&gt;0,_xlfn.MAXIFS(Eingabe[GES],Eingabe[Name],Rekorde[[#This Row],[Name]],Eingabe[Wo],"A"),"")</f>
        <v/>
      </c>
      <c r="Z6" s="51" t="str">
        <f>IF(COUNTIFS(Eingabe[Name],Rekorde[[#This Row],[Name]],Eingabe[Wo],"A")&gt;0,_xlfn.MAXIFS(Eingabe[Volle],Eingabe[Name],Rekorde[[#This Row],[Name]],Eingabe[Wo],"A"),"")</f>
        <v/>
      </c>
      <c r="AA6" s="51" t="str">
        <f>IF(COUNTIFS(Eingabe[Name],Rekorde[[#This Row],[Name]],Eingabe[Wo],"A")&gt;0,_xlfn.MAXIFS(Eingabe[Räumer],Eingabe[Name],Rekorde[[#This Row],[Name]],Eingabe[Wo],"A"),"")</f>
        <v/>
      </c>
      <c r="AB6" s="51" t="str">
        <f>IF(COUNTIFS(Eingabe[Name],Rekorde[[#This Row],[Name]],Eingabe[Wo],"A")&gt;0,_xlfn.MAXIFS(Eingabe[S1],Eingabe[Name],Rekorde[[#This Row],[Name]],Eingabe[Wo],"A"),"")</f>
        <v/>
      </c>
      <c r="AC6" s="51" t="str">
        <f>IF(COUNTIFS(Eingabe[Name],Rekorde[[#This Row],[Name]],Eingabe[Wo],"A")&gt;0,_xlfn.MAXIFS(Eingabe[S2],Eingabe[Name],Rekorde[[#This Row],[Name]],Eingabe[Wo],"A"),"")</f>
        <v/>
      </c>
      <c r="AD6" s="51" t="str">
        <f>IF(COUNTIFS(Eingabe[Name],Rekorde[[#This Row],[Name]],Eingabe[Wo],"A")&gt;0,_xlfn.MAXIFS(Eingabe[S3],Eingabe[Name],Rekorde[[#This Row],[Name]],Eingabe[Wo],"A"),"")</f>
        <v/>
      </c>
      <c r="AE6" s="51" t="str">
        <f>IF(COUNTIFS(Eingabe[Name],Rekorde[[#This Row],[Name]],Eingabe[Wo],"A")&gt;0,_xlfn.MAXIFS(Eingabe[S4],Eingabe[Name],Rekorde[[#This Row],[Name]],Eingabe[Wo],"A"),"")</f>
        <v/>
      </c>
      <c r="AF6" s="51" t="str">
        <f>IF(Rekorde[[#This Row],[S1 A]]="","",MAX(Rekorde[[#This Row],[S1 A]:[S4 A]]))</f>
        <v/>
      </c>
      <c r="AG6" s="52" t="str">
        <f>IF(COUNTIFS(Eingabe[Name],Rekorde[[#This Row],[Name]],Eingabe[Wo],"A")&gt;0,_xlfn.MINIFS(Eingabe[Fehler],Eingabe[Name],Rekorde[[#This Row],[Name]],Eingabe[Wo],"A"),"")</f>
        <v/>
      </c>
      <c r="AH6" s="51" t="str">
        <f>IF(COUNTIFS(Eingabe[Name],Rekorde[[#This Row],[Name]],Eingabe[Wo],"A")&gt;0,_xlfn.MAXIFS(Eingabe[GEGGES],Eingabe[Name],Rekorde[[#This Row],[Name]],Eingabe[Wo],"A"),"")</f>
        <v/>
      </c>
      <c r="AJ6" s="233" t="str">
        <v>Madlen Baumgarten</v>
      </c>
      <c r="AK6" s="223">
        <v>558</v>
      </c>
      <c r="AL6" s="222">
        <v>378</v>
      </c>
      <c r="AM6" s="222">
        <v>193</v>
      </c>
      <c r="AN6" s="229">
        <v>159</v>
      </c>
      <c r="AO6" s="223">
        <v>483</v>
      </c>
      <c r="AP6" s="222">
        <v>342</v>
      </c>
      <c r="AQ6" s="222">
        <v>141</v>
      </c>
      <c r="AR6" s="229">
        <v>131</v>
      </c>
      <c r="AS6" s="223">
        <v>558</v>
      </c>
      <c r="AT6" s="222">
        <v>378</v>
      </c>
      <c r="AU6" s="222">
        <v>193</v>
      </c>
      <c r="AV6" s="229">
        <v>159</v>
      </c>
    </row>
    <row r="7" spans="3:48" x14ac:dyDescent="0.3">
      <c r="C7" s="53" t="s">
        <v>496</v>
      </c>
      <c r="D7" s="12" t="str">
        <f>VLOOKUP(Rekorde[[#This Row],[Name]],Teamzuordnung[[Name]:[Team]],2,FALSE)</f>
        <v>D</v>
      </c>
      <c r="E7" s="51" t="str">
        <f>IF(COUNTIF(Eingabe[Name],Rekorde[[#This Row],[Name]])&gt;0,_xlfn.MAXIFS(Eingabe[GES],Eingabe[Name],Rekorde[[#This Row],[Name]]),"")</f>
        <v/>
      </c>
      <c r="F7" s="51" t="str">
        <f>IF(COUNTIF(Eingabe[Name],Rekorde[[#This Row],[Name]])&gt;0,_xlfn.MAXIFS(Eingabe[Volle],Eingabe[Name],Rekorde[[#This Row],[Name]]),"")</f>
        <v/>
      </c>
      <c r="G7" s="51" t="str">
        <f>IF(COUNTIF(Eingabe[Name],Rekorde[[#This Row],[Name]])&gt;0,_xlfn.MAXIFS(Eingabe[Räumer],Eingabe[Name],Rekorde[[#This Row],[Name]]),"")</f>
        <v/>
      </c>
      <c r="H7" s="51" t="str">
        <f>IF(COUNTIF(Eingabe[Name],Rekorde[[#This Row],[Name]])&gt;0,_xlfn.MAXIFS(Eingabe[S1],Eingabe[Name],Rekorde[[#This Row],[Name]]),"")</f>
        <v/>
      </c>
      <c r="I7" s="51" t="str">
        <f>IF(COUNTIF(Eingabe[Name],Rekorde[[#This Row],[Name]])&gt;0,_xlfn.MAXIFS(Eingabe[S2],Eingabe[Name],Rekorde[[#This Row],[Name]]),"")</f>
        <v/>
      </c>
      <c r="J7" s="51" t="str">
        <f>IF(COUNTIF(Eingabe[Name],Rekorde[[#This Row],[Name]])&gt;0,_xlfn.MAXIFS(Eingabe[S3],Eingabe[Name],Rekorde[[#This Row],[Name]]),"")</f>
        <v/>
      </c>
      <c r="K7" s="51" t="str">
        <f>IF(COUNTIF(Eingabe[Name],Rekorde[[#This Row],[Name]])&gt;0,_xlfn.MAXIFS(Eingabe[S4],Eingabe[Name],Rekorde[[#This Row],[Name]]),"")</f>
        <v/>
      </c>
      <c r="L7" s="51" t="str">
        <f>IF(MAX(Rekorde[[#This Row],[S1]:[S4]])=0,"",MAX(Rekorde[[#This Row],[S1]:[S4]]))</f>
        <v/>
      </c>
      <c r="M7" s="52" t="str">
        <f>IF(COUNTIF(Eingabe[Name],Rekorde[[#This Row],[Name]])&gt;0,_xlfn.MINIFS(Eingabe[Fehler],Eingabe[Name],Rekorde[[#This Row],[Name]]),"")</f>
        <v/>
      </c>
      <c r="N7" s="51" t="str">
        <f>IF(COUNTIF(Eingabe[Name],Rekorde[[#This Row],[Name]])&gt;0,_xlfn.MAXIFS(Eingabe[GEGGES],Eingabe[Name],Rekorde[[#This Row],[Name]]),"")</f>
        <v/>
      </c>
      <c r="O7" s="51" t="str">
        <f>IF(COUNTIFS(Eingabe[Name],Rekorde[[#This Row],[Name]],Eingabe[Wo],"H")&gt;0,_xlfn.MAXIFS(Eingabe[GES],Eingabe[Name],Rekorde[[#This Row],[Name]],Eingabe[Wo],"H"),"")</f>
        <v/>
      </c>
      <c r="P7" s="51" t="str">
        <f>IF(COUNTIFS(Eingabe[Name],Rekorde[[#This Row],[Name]],Eingabe[Wo],"H")&gt;0,_xlfn.MAXIFS(Eingabe[Volle],Eingabe[Name],Rekorde[[#This Row],[Name]],Eingabe[Wo],"H"),"")</f>
        <v/>
      </c>
      <c r="Q7" s="51" t="str">
        <f>IF(COUNTIFS(Eingabe[Name],Rekorde[[#This Row],[Name]],Eingabe[Wo],"H")&gt;0,_xlfn.MAXIFS(Eingabe[Räumer],Eingabe[Name],Rekorde[[#This Row],[Name]],Eingabe[Wo],"H"),"")</f>
        <v/>
      </c>
      <c r="R7" s="51" t="str">
        <f>IF(COUNTIFS(Eingabe[Name],Rekorde[[#This Row],[Name]],Eingabe[Wo],"H")&gt;0,_xlfn.MAXIFS(Eingabe[S1],Eingabe[Name],Rekorde[[#This Row],[Name]],Eingabe[Wo],"H"),"")</f>
        <v/>
      </c>
      <c r="S7" s="51" t="str">
        <f>IF(COUNTIFS(Eingabe[Name],Rekorde[[#This Row],[Name]],Eingabe[Wo],"H")&gt;0,_xlfn.MAXIFS(Eingabe[S2],Eingabe[Name],Rekorde[[#This Row],[Name]],Eingabe[Wo],"H"),"")</f>
        <v/>
      </c>
      <c r="T7" s="51" t="str">
        <f>IF(COUNTIFS(Eingabe[Name],Rekorde[[#This Row],[Name]],Eingabe[Wo],"H")&gt;0,_xlfn.MAXIFS(Eingabe[S3],Eingabe[Name],Rekorde[[#This Row],[Name]],Eingabe[Wo],"H"),"")</f>
        <v/>
      </c>
      <c r="U7" s="51" t="str">
        <f>IF(COUNTIFS(Eingabe[Name],Rekorde[[#This Row],[Name]],Eingabe[Wo],"H")&gt;0,_xlfn.MAXIFS(Eingabe[S4],Eingabe[Name],Rekorde[[#This Row],[Name]],Eingabe[Wo],"H"),"")</f>
        <v/>
      </c>
      <c r="V7" s="51" t="str">
        <f>IF(Rekorde[[#This Row],[S1 H]]="","",MAX(Rekorde[[#This Row],[S1 H]:[S4 H]]))</f>
        <v/>
      </c>
      <c r="W7" s="52" t="str">
        <f>IF(COUNTIFS(Eingabe[Name],Rekorde[[#This Row],[Name]],Eingabe[Wo],"H")&gt;0,_xlfn.MINIFS(Eingabe[Fehler],Eingabe[Name],Rekorde[[#This Row],[Name]],Eingabe[Wo],"H"),"")</f>
        <v/>
      </c>
      <c r="X7" s="51" t="str">
        <f>IF(COUNTIFS(Eingabe[Name],Rekorde[[#This Row],[Name]],Eingabe[Wo],"H")&gt;0,_xlfn.MAXIFS(Eingabe[GEGGES],Eingabe[Name],Rekorde[[#This Row],[Name]],Eingabe[Wo],"H"),"")</f>
        <v/>
      </c>
      <c r="Y7" s="51" t="str">
        <f>IF(COUNTIFS(Eingabe[Name],Rekorde[[#This Row],[Name]],Eingabe[Wo],"A")&gt;0,_xlfn.MAXIFS(Eingabe[GES],Eingabe[Name],Rekorde[[#This Row],[Name]],Eingabe[Wo],"A"),"")</f>
        <v/>
      </c>
      <c r="Z7" s="51" t="str">
        <f>IF(COUNTIFS(Eingabe[Name],Rekorde[[#This Row],[Name]],Eingabe[Wo],"A")&gt;0,_xlfn.MAXIFS(Eingabe[Volle],Eingabe[Name],Rekorde[[#This Row],[Name]],Eingabe[Wo],"A"),"")</f>
        <v/>
      </c>
      <c r="AA7" s="51" t="str">
        <f>IF(COUNTIFS(Eingabe[Name],Rekorde[[#This Row],[Name]],Eingabe[Wo],"A")&gt;0,_xlfn.MAXIFS(Eingabe[Räumer],Eingabe[Name],Rekorde[[#This Row],[Name]],Eingabe[Wo],"A"),"")</f>
        <v/>
      </c>
      <c r="AB7" s="51" t="str">
        <f>IF(COUNTIFS(Eingabe[Name],Rekorde[[#This Row],[Name]],Eingabe[Wo],"A")&gt;0,_xlfn.MAXIFS(Eingabe[S1],Eingabe[Name],Rekorde[[#This Row],[Name]],Eingabe[Wo],"A"),"")</f>
        <v/>
      </c>
      <c r="AC7" s="51" t="str">
        <f>IF(COUNTIFS(Eingabe[Name],Rekorde[[#This Row],[Name]],Eingabe[Wo],"A")&gt;0,_xlfn.MAXIFS(Eingabe[S2],Eingabe[Name],Rekorde[[#This Row],[Name]],Eingabe[Wo],"A"),"")</f>
        <v/>
      </c>
      <c r="AD7" s="51" t="str">
        <f>IF(COUNTIFS(Eingabe[Name],Rekorde[[#This Row],[Name]],Eingabe[Wo],"A")&gt;0,_xlfn.MAXIFS(Eingabe[S3],Eingabe[Name],Rekorde[[#This Row],[Name]],Eingabe[Wo],"A"),"")</f>
        <v/>
      </c>
      <c r="AE7" s="51" t="str">
        <f>IF(COUNTIFS(Eingabe[Name],Rekorde[[#This Row],[Name]],Eingabe[Wo],"A")&gt;0,_xlfn.MAXIFS(Eingabe[S4],Eingabe[Name],Rekorde[[#This Row],[Name]],Eingabe[Wo],"A"),"")</f>
        <v/>
      </c>
      <c r="AF7" s="51" t="str">
        <f>IF(Rekorde[[#This Row],[S1 A]]="","",MAX(Rekorde[[#This Row],[S1 A]:[S4 A]]))</f>
        <v/>
      </c>
      <c r="AG7" s="52" t="str">
        <f>IF(COUNTIFS(Eingabe[Name],Rekorde[[#This Row],[Name]],Eingabe[Wo],"A")&gt;0,_xlfn.MINIFS(Eingabe[Fehler],Eingabe[Name],Rekorde[[#This Row],[Name]],Eingabe[Wo],"A"),"")</f>
        <v/>
      </c>
      <c r="AH7" s="51" t="str">
        <f>IF(COUNTIFS(Eingabe[Name],Rekorde[[#This Row],[Name]],Eingabe[Wo],"A")&gt;0,_xlfn.MAXIFS(Eingabe[GEGGES],Eingabe[Name],Rekorde[[#This Row],[Name]],Eingabe[Wo],"A"),"")</f>
        <v/>
      </c>
      <c r="AJ7" s="233" t="str">
        <v>Sylke Schmidt</v>
      </c>
      <c r="AK7" s="223">
        <v>551</v>
      </c>
      <c r="AL7" s="222">
        <v>393</v>
      </c>
      <c r="AM7" s="222">
        <v>180</v>
      </c>
      <c r="AN7" s="229">
        <v>157</v>
      </c>
      <c r="AO7" s="223">
        <v>543</v>
      </c>
      <c r="AP7" s="222">
        <v>369</v>
      </c>
      <c r="AQ7" s="222">
        <v>174</v>
      </c>
      <c r="AR7" s="229">
        <v>151</v>
      </c>
      <c r="AS7" s="223">
        <v>551</v>
      </c>
      <c r="AT7" s="222">
        <v>393</v>
      </c>
      <c r="AU7" s="222">
        <v>180</v>
      </c>
      <c r="AV7" s="229">
        <v>157</v>
      </c>
    </row>
    <row r="8" spans="3:48" x14ac:dyDescent="0.3">
      <c r="C8" s="53" t="s">
        <v>481</v>
      </c>
      <c r="D8" s="12" t="str">
        <f>VLOOKUP(Rekorde[[#This Row],[Name]],Teamzuordnung[[Name]:[Team]],2,FALSE)</f>
        <v>D</v>
      </c>
      <c r="E8" s="51" t="str">
        <f>IF(COUNTIF(Eingabe[Name],Rekorde[[#This Row],[Name]])&gt;0,_xlfn.MAXIFS(Eingabe[GES],Eingabe[Name],Rekorde[[#This Row],[Name]]),"")</f>
        <v/>
      </c>
      <c r="F8" s="51" t="str">
        <f>IF(COUNTIF(Eingabe[Name],Rekorde[[#This Row],[Name]])&gt;0,_xlfn.MAXIFS(Eingabe[Volle],Eingabe[Name],Rekorde[[#This Row],[Name]]),"")</f>
        <v/>
      </c>
      <c r="G8" s="51" t="str">
        <f>IF(COUNTIF(Eingabe[Name],Rekorde[[#This Row],[Name]])&gt;0,_xlfn.MAXIFS(Eingabe[Räumer],Eingabe[Name],Rekorde[[#This Row],[Name]]),"")</f>
        <v/>
      </c>
      <c r="H8" s="51" t="str">
        <f>IF(COUNTIF(Eingabe[Name],Rekorde[[#This Row],[Name]])&gt;0,_xlfn.MAXIFS(Eingabe[S1],Eingabe[Name],Rekorde[[#This Row],[Name]]),"")</f>
        <v/>
      </c>
      <c r="I8" s="51" t="str">
        <f>IF(COUNTIF(Eingabe[Name],Rekorde[[#This Row],[Name]])&gt;0,_xlfn.MAXIFS(Eingabe[S2],Eingabe[Name],Rekorde[[#This Row],[Name]]),"")</f>
        <v/>
      </c>
      <c r="J8" s="51" t="str">
        <f>IF(COUNTIF(Eingabe[Name],Rekorde[[#This Row],[Name]])&gt;0,_xlfn.MAXIFS(Eingabe[S3],Eingabe[Name],Rekorde[[#This Row],[Name]]),"")</f>
        <v/>
      </c>
      <c r="K8" s="51" t="str">
        <f>IF(COUNTIF(Eingabe[Name],Rekorde[[#This Row],[Name]])&gt;0,_xlfn.MAXIFS(Eingabe[S4],Eingabe[Name],Rekorde[[#This Row],[Name]]),"")</f>
        <v/>
      </c>
      <c r="L8" s="51" t="str">
        <f>IF(MAX(Rekorde[[#This Row],[S1]:[S4]])=0,"",MAX(Rekorde[[#This Row],[S1]:[S4]]))</f>
        <v/>
      </c>
      <c r="M8" s="52" t="str">
        <f>IF(COUNTIF(Eingabe[Name],Rekorde[[#This Row],[Name]])&gt;0,_xlfn.MINIFS(Eingabe[Fehler],Eingabe[Name],Rekorde[[#This Row],[Name]]),"")</f>
        <v/>
      </c>
      <c r="N8" s="51" t="str">
        <f>IF(COUNTIF(Eingabe[Name],Rekorde[[#This Row],[Name]])&gt;0,_xlfn.MAXIFS(Eingabe[GEGGES],Eingabe[Name],Rekorde[[#This Row],[Name]]),"")</f>
        <v/>
      </c>
      <c r="O8" s="51" t="str">
        <f>IF(COUNTIFS(Eingabe[Name],Rekorde[[#This Row],[Name]],Eingabe[Wo],"H")&gt;0,_xlfn.MAXIFS(Eingabe[GES],Eingabe[Name],Rekorde[[#This Row],[Name]],Eingabe[Wo],"H"),"")</f>
        <v/>
      </c>
      <c r="P8" s="51" t="str">
        <f>IF(COUNTIFS(Eingabe[Name],Rekorde[[#This Row],[Name]],Eingabe[Wo],"H")&gt;0,_xlfn.MAXIFS(Eingabe[Volle],Eingabe[Name],Rekorde[[#This Row],[Name]],Eingabe[Wo],"H"),"")</f>
        <v/>
      </c>
      <c r="Q8" s="51" t="str">
        <f>IF(COUNTIFS(Eingabe[Name],Rekorde[[#This Row],[Name]],Eingabe[Wo],"H")&gt;0,_xlfn.MAXIFS(Eingabe[Räumer],Eingabe[Name],Rekorde[[#This Row],[Name]],Eingabe[Wo],"H"),"")</f>
        <v/>
      </c>
      <c r="R8" s="51" t="str">
        <f>IF(COUNTIFS(Eingabe[Name],Rekorde[[#This Row],[Name]],Eingabe[Wo],"H")&gt;0,_xlfn.MAXIFS(Eingabe[S1],Eingabe[Name],Rekorde[[#This Row],[Name]],Eingabe[Wo],"H"),"")</f>
        <v/>
      </c>
      <c r="S8" s="51" t="str">
        <f>IF(COUNTIFS(Eingabe[Name],Rekorde[[#This Row],[Name]],Eingabe[Wo],"H")&gt;0,_xlfn.MAXIFS(Eingabe[S2],Eingabe[Name],Rekorde[[#This Row],[Name]],Eingabe[Wo],"H"),"")</f>
        <v/>
      </c>
      <c r="T8" s="51" t="str">
        <f>IF(COUNTIFS(Eingabe[Name],Rekorde[[#This Row],[Name]],Eingabe[Wo],"H")&gt;0,_xlfn.MAXIFS(Eingabe[S3],Eingabe[Name],Rekorde[[#This Row],[Name]],Eingabe[Wo],"H"),"")</f>
        <v/>
      </c>
      <c r="U8" s="51" t="str">
        <f>IF(COUNTIFS(Eingabe[Name],Rekorde[[#This Row],[Name]],Eingabe[Wo],"H")&gt;0,_xlfn.MAXIFS(Eingabe[S4],Eingabe[Name],Rekorde[[#This Row],[Name]],Eingabe[Wo],"H"),"")</f>
        <v/>
      </c>
      <c r="V8" s="51" t="str">
        <f>IF(Rekorde[[#This Row],[S1 H]]="","",MAX(Rekorde[[#This Row],[S1 H]:[S4 H]]))</f>
        <v/>
      </c>
      <c r="W8" s="52" t="str">
        <f>IF(COUNTIFS(Eingabe[Name],Rekorde[[#This Row],[Name]],Eingabe[Wo],"H")&gt;0,_xlfn.MINIFS(Eingabe[Fehler],Eingabe[Name],Rekorde[[#This Row],[Name]],Eingabe[Wo],"H"),"")</f>
        <v/>
      </c>
      <c r="X8" s="51" t="str">
        <f>IF(COUNTIFS(Eingabe[Name],Rekorde[[#This Row],[Name]],Eingabe[Wo],"H")&gt;0,_xlfn.MAXIFS(Eingabe[GEGGES],Eingabe[Name],Rekorde[[#This Row],[Name]],Eingabe[Wo],"H"),"")</f>
        <v/>
      </c>
      <c r="Y8" s="51" t="str">
        <f>IF(COUNTIFS(Eingabe[Name],Rekorde[[#This Row],[Name]],Eingabe[Wo],"A")&gt;0,_xlfn.MAXIFS(Eingabe[GES],Eingabe[Name],Rekorde[[#This Row],[Name]],Eingabe[Wo],"A"),"")</f>
        <v/>
      </c>
      <c r="Z8" s="51" t="str">
        <f>IF(COUNTIFS(Eingabe[Name],Rekorde[[#This Row],[Name]],Eingabe[Wo],"A")&gt;0,_xlfn.MAXIFS(Eingabe[Volle],Eingabe[Name],Rekorde[[#This Row],[Name]],Eingabe[Wo],"A"),"")</f>
        <v/>
      </c>
      <c r="AA8" s="51" t="str">
        <f>IF(COUNTIFS(Eingabe[Name],Rekorde[[#This Row],[Name]],Eingabe[Wo],"A")&gt;0,_xlfn.MAXIFS(Eingabe[Räumer],Eingabe[Name],Rekorde[[#This Row],[Name]],Eingabe[Wo],"A"),"")</f>
        <v/>
      </c>
      <c r="AB8" s="51" t="str">
        <f>IF(COUNTIFS(Eingabe[Name],Rekorde[[#This Row],[Name]],Eingabe[Wo],"A")&gt;0,_xlfn.MAXIFS(Eingabe[S1],Eingabe[Name],Rekorde[[#This Row],[Name]],Eingabe[Wo],"A"),"")</f>
        <v/>
      </c>
      <c r="AC8" s="51" t="str">
        <f>IF(COUNTIFS(Eingabe[Name],Rekorde[[#This Row],[Name]],Eingabe[Wo],"A")&gt;0,_xlfn.MAXIFS(Eingabe[S2],Eingabe[Name],Rekorde[[#This Row],[Name]],Eingabe[Wo],"A"),"")</f>
        <v/>
      </c>
      <c r="AD8" s="51" t="str">
        <f>IF(COUNTIFS(Eingabe[Name],Rekorde[[#This Row],[Name]],Eingabe[Wo],"A")&gt;0,_xlfn.MAXIFS(Eingabe[S3],Eingabe[Name],Rekorde[[#This Row],[Name]],Eingabe[Wo],"A"),"")</f>
        <v/>
      </c>
      <c r="AE8" s="51" t="str">
        <f>IF(COUNTIFS(Eingabe[Name],Rekorde[[#This Row],[Name]],Eingabe[Wo],"A")&gt;0,_xlfn.MAXIFS(Eingabe[S4],Eingabe[Name],Rekorde[[#This Row],[Name]],Eingabe[Wo],"A"),"")</f>
        <v/>
      </c>
      <c r="AF8" s="51" t="str">
        <f>IF(Rekorde[[#This Row],[S1 A]]="","",MAX(Rekorde[[#This Row],[S1 A]:[S4 A]]))</f>
        <v/>
      </c>
      <c r="AG8" s="52" t="str">
        <f>IF(COUNTIFS(Eingabe[Name],Rekorde[[#This Row],[Name]],Eingabe[Wo],"A")&gt;0,_xlfn.MINIFS(Eingabe[Fehler],Eingabe[Name],Rekorde[[#This Row],[Name]],Eingabe[Wo],"A"),"")</f>
        <v/>
      </c>
      <c r="AH8" s="51" t="str">
        <f>IF(COUNTIFS(Eingabe[Name],Rekorde[[#This Row],[Name]],Eingabe[Wo],"A")&gt;0,_xlfn.MAXIFS(Eingabe[GEGGES],Eingabe[Name],Rekorde[[#This Row],[Name]],Eingabe[Wo],"A"),"")</f>
        <v/>
      </c>
      <c r="AJ8" s="233" t="str">
        <v>Katrin Keller</v>
      </c>
      <c r="AK8" s="223">
        <v>537</v>
      </c>
      <c r="AL8" s="222">
        <v>359</v>
      </c>
      <c r="AM8" s="222">
        <v>178</v>
      </c>
      <c r="AN8" s="229">
        <v>154</v>
      </c>
      <c r="AO8" s="223">
        <v>537</v>
      </c>
      <c r="AP8" s="222">
        <v>359</v>
      </c>
      <c r="AQ8" s="222">
        <v>178</v>
      </c>
      <c r="AR8" s="229">
        <v>137</v>
      </c>
      <c r="AS8" s="223">
        <v>510</v>
      </c>
      <c r="AT8" s="222">
        <v>348</v>
      </c>
      <c r="AU8" s="222">
        <v>166</v>
      </c>
      <c r="AV8" s="229">
        <v>154</v>
      </c>
    </row>
    <row r="9" spans="3:48" x14ac:dyDescent="0.3">
      <c r="C9" s="53" t="s">
        <v>487</v>
      </c>
      <c r="D9" s="12" t="str">
        <f>VLOOKUP(Rekorde[[#This Row],[Name]],Teamzuordnung[[Name]:[Team]],2,FALSE)</f>
        <v>D</v>
      </c>
      <c r="E9" s="51" t="str">
        <f>IF(COUNTIF(Eingabe[Name],Rekorde[[#This Row],[Name]])&gt;0,_xlfn.MAXIFS(Eingabe[GES],Eingabe[Name],Rekorde[[#This Row],[Name]]),"")</f>
        <v/>
      </c>
      <c r="F9" s="51" t="str">
        <f>IF(COUNTIF(Eingabe[Name],Rekorde[[#This Row],[Name]])&gt;0,_xlfn.MAXIFS(Eingabe[Volle],Eingabe[Name],Rekorde[[#This Row],[Name]]),"")</f>
        <v/>
      </c>
      <c r="G9" s="51" t="str">
        <f>IF(COUNTIF(Eingabe[Name],Rekorde[[#This Row],[Name]])&gt;0,_xlfn.MAXIFS(Eingabe[Räumer],Eingabe[Name],Rekorde[[#This Row],[Name]]),"")</f>
        <v/>
      </c>
      <c r="H9" s="51" t="str">
        <f>IF(COUNTIF(Eingabe[Name],Rekorde[[#This Row],[Name]])&gt;0,_xlfn.MAXIFS(Eingabe[S1],Eingabe[Name],Rekorde[[#This Row],[Name]]),"")</f>
        <v/>
      </c>
      <c r="I9" s="51" t="str">
        <f>IF(COUNTIF(Eingabe[Name],Rekorde[[#This Row],[Name]])&gt;0,_xlfn.MAXIFS(Eingabe[S2],Eingabe[Name],Rekorde[[#This Row],[Name]]),"")</f>
        <v/>
      </c>
      <c r="J9" s="51" t="str">
        <f>IF(COUNTIF(Eingabe[Name],Rekorde[[#This Row],[Name]])&gt;0,_xlfn.MAXIFS(Eingabe[S3],Eingabe[Name],Rekorde[[#This Row],[Name]]),"")</f>
        <v/>
      </c>
      <c r="K9" s="51" t="str">
        <f>IF(COUNTIF(Eingabe[Name],Rekorde[[#This Row],[Name]])&gt;0,_xlfn.MAXIFS(Eingabe[S4],Eingabe[Name],Rekorde[[#This Row],[Name]]),"")</f>
        <v/>
      </c>
      <c r="L9" s="51" t="str">
        <f>IF(MAX(Rekorde[[#This Row],[S1]:[S4]])=0,"",MAX(Rekorde[[#This Row],[S1]:[S4]]))</f>
        <v/>
      </c>
      <c r="M9" s="52" t="str">
        <f>IF(COUNTIF(Eingabe[Name],Rekorde[[#This Row],[Name]])&gt;0,_xlfn.MINIFS(Eingabe[Fehler],Eingabe[Name],Rekorde[[#This Row],[Name]]),"")</f>
        <v/>
      </c>
      <c r="N9" s="51" t="str">
        <f>IF(COUNTIF(Eingabe[Name],Rekorde[[#This Row],[Name]])&gt;0,_xlfn.MAXIFS(Eingabe[GEGGES],Eingabe[Name],Rekorde[[#This Row],[Name]]),"")</f>
        <v/>
      </c>
      <c r="O9" s="51" t="str">
        <f>IF(COUNTIFS(Eingabe[Name],Rekorde[[#This Row],[Name]],Eingabe[Wo],"H")&gt;0,_xlfn.MAXIFS(Eingabe[GES],Eingabe[Name],Rekorde[[#This Row],[Name]],Eingabe[Wo],"H"),"")</f>
        <v/>
      </c>
      <c r="P9" s="51" t="str">
        <f>IF(COUNTIFS(Eingabe[Name],Rekorde[[#This Row],[Name]],Eingabe[Wo],"H")&gt;0,_xlfn.MAXIFS(Eingabe[Volle],Eingabe[Name],Rekorde[[#This Row],[Name]],Eingabe[Wo],"H"),"")</f>
        <v/>
      </c>
      <c r="Q9" s="51" t="str">
        <f>IF(COUNTIFS(Eingabe[Name],Rekorde[[#This Row],[Name]],Eingabe[Wo],"H")&gt;0,_xlfn.MAXIFS(Eingabe[Räumer],Eingabe[Name],Rekorde[[#This Row],[Name]],Eingabe[Wo],"H"),"")</f>
        <v/>
      </c>
      <c r="R9" s="51" t="str">
        <f>IF(COUNTIFS(Eingabe[Name],Rekorde[[#This Row],[Name]],Eingabe[Wo],"H")&gt;0,_xlfn.MAXIFS(Eingabe[S1],Eingabe[Name],Rekorde[[#This Row],[Name]],Eingabe[Wo],"H"),"")</f>
        <v/>
      </c>
      <c r="S9" s="51" t="str">
        <f>IF(COUNTIFS(Eingabe[Name],Rekorde[[#This Row],[Name]],Eingabe[Wo],"H")&gt;0,_xlfn.MAXIFS(Eingabe[S2],Eingabe[Name],Rekorde[[#This Row],[Name]],Eingabe[Wo],"H"),"")</f>
        <v/>
      </c>
      <c r="T9" s="51" t="str">
        <f>IF(COUNTIFS(Eingabe[Name],Rekorde[[#This Row],[Name]],Eingabe[Wo],"H")&gt;0,_xlfn.MAXIFS(Eingabe[S3],Eingabe[Name],Rekorde[[#This Row],[Name]],Eingabe[Wo],"H"),"")</f>
        <v/>
      </c>
      <c r="U9" s="51" t="str">
        <f>IF(COUNTIFS(Eingabe[Name],Rekorde[[#This Row],[Name]],Eingabe[Wo],"H")&gt;0,_xlfn.MAXIFS(Eingabe[S4],Eingabe[Name],Rekorde[[#This Row],[Name]],Eingabe[Wo],"H"),"")</f>
        <v/>
      </c>
      <c r="V9" s="51" t="str">
        <f>IF(Rekorde[[#This Row],[S1 H]]="","",MAX(Rekorde[[#This Row],[S1 H]:[S4 H]]))</f>
        <v/>
      </c>
      <c r="W9" s="52" t="str">
        <f>IF(COUNTIFS(Eingabe[Name],Rekorde[[#This Row],[Name]],Eingabe[Wo],"H")&gt;0,_xlfn.MINIFS(Eingabe[Fehler],Eingabe[Name],Rekorde[[#This Row],[Name]],Eingabe[Wo],"H"),"")</f>
        <v/>
      </c>
      <c r="X9" s="51" t="str">
        <f>IF(COUNTIFS(Eingabe[Name],Rekorde[[#This Row],[Name]],Eingabe[Wo],"H")&gt;0,_xlfn.MAXIFS(Eingabe[GEGGES],Eingabe[Name],Rekorde[[#This Row],[Name]],Eingabe[Wo],"H"),"")</f>
        <v/>
      </c>
      <c r="Y9" s="51" t="str">
        <f>IF(COUNTIFS(Eingabe[Name],Rekorde[[#This Row],[Name]],Eingabe[Wo],"A")&gt;0,_xlfn.MAXIFS(Eingabe[GES],Eingabe[Name],Rekorde[[#This Row],[Name]],Eingabe[Wo],"A"),"")</f>
        <v/>
      </c>
      <c r="Z9" s="51" t="str">
        <f>IF(COUNTIFS(Eingabe[Name],Rekorde[[#This Row],[Name]],Eingabe[Wo],"A")&gt;0,_xlfn.MAXIFS(Eingabe[Volle],Eingabe[Name],Rekorde[[#This Row],[Name]],Eingabe[Wo],"A"),"")</f>
        <v/>
      </c>
      <c r="AA9" s="51" t="str">
        <f>IF(COUNTIFS(Eingabe[Name],Rekorde[[#This Row],[Name]],Eingabe[Wo],"A")&gt;0,_xlfn.MAXIFS(Eingabe[Räumer],Eingabe[Name],Rekorde[[#This Row],[Name]],Eingabe[Wo],"A"),"")</f>
        <v/>
      </c>
      <c r="AB9" s="51" t="str">
        <f>IF(COUNTIFS(Eingabe[Name],Rekorde[[#This Row],[Name]],Eingabe[Wo],"A")&gt;0,_xlfn.MAXIFS(Eingabe[S1],Eingabe[Name],Rekorde[[#This Row],[Name]],Eingabe[Wo],"A"),"")</f>
        <v/>
      </c>
      <c r="AC9" s="51" t="str">
        <f>IF(COUNTIFS(Eingabe[Name],Rekorde[[#This Row],[Name]],Eingabe[Wo],"A")&gt;0,_xlfn.MAXIFS(Eingabe[S2],Eingabe[Name],Rekorde[[#This Row],[Name]],Eingabe[Wo],"A"),"")</f>
        <v/>
      </c>
      <c r="AD9" s="51" t="str">
        <f>IF(COUNTIFS(Eingabe[Name],Rekorde[[#This Row],[Name]],Eingabe[Wo],"A")&gt;0,_xlfn.MAXIFS(Eingabe[S3],Eingabe[Name],Rekorde[[#This Row],[Name]],Eingabe[Wo],"A"),"")</f>
        <v/>
      </c>
      <c r="AE9" s="51" t="str">
        <f>IF(COUNTIFS(Eingabe[Name],Rekorde[[#This Row],[Name]],Eingabe[Wo],"A")&gt;0,_xlfn.MAXIFS(Eingabe[S4],Eingabe[Name],Rekorde[[#This Row],[Name]],Eingabe[Wo],"A"),"")</f>
        <v/>
      </c>
      <c r="AF9" s="51" t="str">
        <f>IF(Rekorde[[#This Row],[S1 A]]="","",MAX(Rekorde[[#This Row],[S1 A]:[S4 A]]))</f>
        <v/>
      </c>
      <c r="AG9" s="52" t="str">
        <f>IF(COUNTIFS(Eingabe[Name],Rekorde[[#This Row],[Name]],Eingabe[Wo],"A")&gt;0,_xlfn.MINIFS(Eingabe[Fehler],Eingabe[Name],Rekorde[[#This Row],[Name]],Eingabe[Wo],"A"),"")</f>
        <v/>
      </c>
      <c r="AH9" s="51" t="str">
        <f>IF(COUNTIFS(Eingabe[Name],Rekorde[[#This Row],[Name]],Eingabe[Wo],"A")&gt;0,_xlfn.MAXIFS(Eingabe[GEGGES],Eingabe[Name],Rekorde[[#This Row],[Name]],Eingabe[Wo],"A"),"")</f>
        <v/>
      </c>
      <c r="AJ9" s="233" t="str">
        <v>Lea Meinert</v>
      </c>
      <c r="AK9" s="223">
        <v>550</v>
      </c>
      <c r="AL9" s="222">
        <v>390</v>
      </c>
      <c r="AM9" s="222">
        <v>170</v>
      </c>
      <c r="AN9" s="229">
        <v>154</v>
      </c>
      <c r="AO9" s="223">
        <v>550</v>
      </c>
      <c r="AP9" s="222">
        <v>390</v>
      </c>
      <c r="AQ9" s="222">
        <v>160</v>
      </c>
      <c r="AR9" s="229">
        <v>154</v>
      </c>
      <c r="AS9" s="223">
        <v>533</v>
      </c>
      <c r="AT9" s="222">
        <v>363</v>
      </c>
      <c r="AU9" s="222">
        <v>170</v>
      </c>
      <c r="AV9" s="229">
        <v>147</v>
      </c>
    </row>
    <row r="10" spans="3:48" x14ac:dyDescent="0.3">
      <c r="C10" s="53" t="s">
        <v>466</v>
      </c>
      <c r="D10" s="12" t="str">
        <f>VLOOKUP(Rekorde[[#This Row],[Name]],Teamzuordnung[[Name]:[Team]],2,FALSE)</f>
        <v>Z</v>
      </c>
      <c r="E10" s="51" t="str">
        <f>IF(COUNTIF(Eingabe[Name],Rekorde[[#This Row],[Name]])&gt;0,_xlfn.MAXIFS(Eingabe[GES],Eingabe[Name],Rekorde[[#This Row],[Name]]),"")</f>
        <v/>
      </c>
      <c r="F10" s="51" t="str">
        <f>IF(COUNTIF(Eingabe[Name],Rekorde[[#This Row],[Name]])&gt;0,_xlfn.MAXIFS(Eingabe[Volle],Eingabe[Name],Rekorde[[#This Row],[Name]]),"")</f>
        <v/>
      </c>
      <c r="G10" s="51" t="str">
        <f>IF(COUNTIF(Eingabe[Name],Rekorde[[#This Row],[Name]])&gt;0,_xlfn.MAXIFS(Eingabe[Räumer],Eingabe[Name],Rekorde[[#This Row],[Name]]),"")</f>
        <v/>
      </c>
      <c r="H10" s="51" t="str">
        <f>IF(COUNTIF(Eingabe[Name],Rekorde[[#This Row],[Name]])&gt;0,_xlfn.MAXIFS(Eingabe[S1],Eingabe[Name],Rekorde[[#This Row],[Name]]),"")</f>
        <v/>
      </c>
      <c r="I10" s="51" t="str">
        <f>IF(COUNTIF(Eingabe[Name],Rekorde[[#This Row],[Name]])&gt;0,_xlfn.MAXIFS(Eingabe[S2],Eingabe[Name],Rekorde[[#This Row],[Name]]),"")</f>
        <v/>
      </c>
      <c r="J10" s="51" t="str">
        <f>IF(COUNTIF(Eingabe[Name],Rekorde[[#This Row],[Name]])&gt;0,_xlfn.MAXIFS(Eingabe[S3],Eingabe[Name],Rekorde[[#This Row],[Name]]),"")</f>
        <v/>
      </c>
      <c r="K10" s="51" t="str">
        <f>IF(COUNTIF(Eingabe[Name],Rekorde[[#This Row],[Name]])&gt;0,_xlfn.MAXIFS(Eingabe[S4],Eingabe[Name],Rekorde[[#This Row],[Name]]),"")</f>
        <v/>
      </c>
      <c r="L10" s="51" t="str">
        <f>IF(MAX(Rekorde[[#This Row],[S1]:[S4]])=0,"",MAX(Rekorde[[#This Row],[S1]:[S4]]))</f>
        <v/>
      </c>
      <c r="M10" s="52" t="str">
        <f>IF(COUNTIF(Eingabe[Name],Rekorde[[#This Row],[Name]])&gt;0,_xlfn.MINIFS(Eingabe[Fehler],Eingabe[Name],Rekorde[[#This Row],[Name]]),"")</f>
        <v/>
      </c>
      <c r="N10" s="51" t="str">
        <f>IF(COUNTIF(Eingabe[Name],Rekorde[[#This Row],[Name]])&gt;0,_xlfn.MAXIFS(Eingabe[GEGGES],Eingabe[Name],Rekorde[[#This Row],[Name]]),"")</f>
        <v/>
      </c>
      <c r="O10" s="51" t="str">
        <f>IF(COUNTIFS(Eingabe[Name],Rekorde[[#This Row],[Name]],Eingabe[Wo],"H")&gt;0,_xlfn.MAXIFS(Eingabe[GES],Eingabe[Name],Rekorde[[#This Row],[Name]],Eingabe[Wo],"H"),"")</f>
        <v/>
      </c>
      <c r="P10" s="51" t="str">
        <f>IF(COUNTIFS(Eingabe[Name],Rekorde[[#This Row],[Name]],Eingabe[Wo],"H")&gt;0,_xlfn.MAXIFS(Eingabe[Volle],Eingabe[Name],Rekorde[[#This Row],[Name]],Eingabe[Wo],"H"),"")</f>
        <v/>
      </c>
      <c r="Q10" s="51" t="str">
        <f>IF(COUNTIFS(Eingabe[Name],Rekorde[[#This Row],[Name]],Eingabe[Wo],"H")&gt;0,_xlfn.MAXIFS(Eingabe[Räumer],Eingabe[Name],Rekorde[[#This Row],[Name]],Eingabe[Wo],"H"),"")</f>
        <v/>
      </c>
      <c r="R10" s="51" t="str">
        <f>IF(COUNTIFS(Eingabe[Name],Rekorde[[#This Row],[Name]],Eingabe[Wo],"H")&gt;0,_xlfn.MAXIFS(Eingabe[S1],Eingabe[Name],Rekorde[[#This Row],[Name]],Eingabe[Wo],"H"),"")</f>
        <v/>
      </c>
      <c r="S10" s="51" t="str">
        <f>IF(COUNTIFS(Eingabe[Name],Rekorde[[#This Row],[Name]],Eingabe[Wo],"H")&gt;0,_xlfn.MAXIFS(Eingabe[S2],Eingabe[Name],Rekorde[[#This Row],[Name]],Eingabe[Wo],"H"),"")</f>
        <v/>
      </c>
      <c r="T10" s="51" t="str">
        <f>IF(COUNTIFS(Eingabe[Name],Rekorde[[#This Row],[Name]],Eingabe[Wo],"H")&gt;0,_xlfn.MAXIFS(Eingabe[S3],Eingabe[Name],Rekorde[[#This Row],[Name]],Eingabe[Wo],"H"),"")</f>
        <v/>
      </c>
      <c r="U10" s="51" t="str">
        <f>IF(COUNTIFS(Eingabe[Name],Rekorde[[#This Row],[Name]],Eingabe[Wo],"H")&gt;0,_xlfn.MAXIFS(Eingabe[S4],Eingabe[Name],Rekorde[[#This Row],[Name]],Eingabe[Wo],"H"),"")</f>
        <v/>
      </c>
      <c r="V10" s="51" t="str">
        <f>IF(Rekorde[[#This Row],[S1 H]]="","",MAX(Rekorde[[#This Row],[S1 H]:[S4 H]]))</f>
        <v/>
      </c>
      <c r="W10" s="52" t="str">
        <f>IF(COUNTIFS(Eingabe[Name],Rekorde[[#This Row],[Name]],Eingabe[Wo],"H")&gt;0,_xlfn.MINIFS(Eingabe[Fehler],Eingabe[Name],Rekorde[[#This Row],[Name]],Eingabe[Wo],"H"),"")</f>
        <v/>
      </c>
      <c r="X10" s="51" t="str">
        <f>IF(COUNTIFS(Eingabe[Name],Rekorde[[#This Row],[Name]],Eingabe[Wo],"H")&gt;0,_xlfn.MAXIFS(Eingabe[GEGGES],Eingabe[Name],Rekorde[[#This Row],[Name]],Eingabe[Wo],"H"),"")</f>
        <v/>
      </c>
      <c r="Y10" s="51" t="str">
        <f>IF(COUNTIFS(Eingabe[Name],Rekorde[[#This Row],[Name]],Eingabe[Wo],"A")&gt;0,_xlfn.MAXIFS(Eingabe[GES],Eingabe[Name],Rekorde[[#This Row],[Name]],Eingabe[Wo],"A"),"")</f>
        <v/>
      </c>
      <c r="Z10" s="51" t="str">
        <f>IF(COUNTIFS(Eingabe[Name],Rekorde[[#This Row],[Name]],Eingabe[Wo],"A")&gt;0,_xlfn.MAXIFS(Eingabe[Volle],Eingabe[Name],Rekorde[[#This Row],[Name]],Eingabe[Wo],"A"),"")</f>
        <v/>
      </c>
      <c r="AA10" s="51" t="str">
        <f>IF(COUNTIFS(Eingabe[Name],Rekorde[[#This Row],[Name]],Eingabe[Wo],"A")&gt;0,_xlfn.MAXIFS(Eingabe[Räumer],Eingabe[Name],Rekorde[[#This Row],[Name]],Eingabe[Wo],"A"),"")</f>
        <v/>
      </c>
      <c r="AB10" s="51" t="str">
        <f>IF(COUNTIFS(Eingabe[Name],Rekorde[[#This Row],[Name]],Eingabe[Wo],"A")&gt;0,_xlfn.MAXIFS(Eingabe[S1],Eingabe[Name],Rekorde[[#This Row],[Name]],Eingabe[Wo],"A"),"")</f>
        <v/>
      </c>
      <c r="AC10" s="51" t="str">
        <f>IF(COUNTIFS(Eingabe[Name],Rekorde[[#This Row],[Name]],Eingabe[Wo],"A")&gt;0,_xlfn.MAXIFS(Eingabe[S2],Eingabe[Name],Rekorde[[#This Row],[Name]],Eingabe[Wo],"A"),"")</f>
        <v/>
      </c>
      <c r="AD10" s="51" t="str">
        <f>IF(COUNTIFS(Eingabe[Name],Rekorde[[#This Row],[Name]],Eingabe[Wo],"A")&gt;0,_xlfn.MAXIFS(Eingabe[S3],Eingabe[Name],Rekorde[[#This Row],[Name]],Eingabe[Wo],"A"),"")</f>
        <v/>
      </c>
      <c r="AE10" s="51" t="str">
        <f>IF(COUNTIFS(Eingabe[Name],Rekorde[[#This Row],[Name]],Eingabe[Wo],"A")&gt;0,_xlfn.MAXIFS(Eingabe[S4],Eingabe[Name],Rekorde[[#This Row],[Name]],Eingabe[Wo],"A"),"")</f>
        <v/>
      </c>
      <c r="AF10" s="51" t="str">
        <f>IF(Rekorde[[#This Row],[S1 A]]="","",MAX(Rekorde[[#This Row],[S1 A]:[S4 A]]))</f>
        <v/>
      </c>
      <c r="AG10" s="52" t="str">
        <f>IF(COUNTIFS(Eingabe[Name],Rekorde[[#This Row],[Name]],Eingabe[Wo],"A")&gt;0,_xlfn.MINIFS(Eingabe[Fehler],Eingabe[Name],Rekorde[[#This Row],[Name]],Eingabe[Wo],"A"),"")</f>
        <v/>
      </c>
      <c r="AH10" s="51" t="str">
        <f>IF(COUNTIFS(Eingabe[Name],Rekorde[[#This Row],[Name]],Eingabe[Wo],"A")&gt;0,_xlfn.MAXIFS(Eingabe[GEGGES],Eingabe[Name],Rekorde[[#This Row],[Name]],Eingabe[Wo],"A"),"")</f>
        <v/>
      </c>
      <c r="AJ10" s="233" t="str">
        <v>Katrin Fiedler</v>
      </c>
      <c r="AK10" s="223">
        <v>539</v>
      </c>
      <c r="AL10" s="222">
        <v>372</v>
      </c>
      <c r="AM10" s="222">
        <v>194</v>
      </c>
      <c r="AN10" s="229">
        <v>154</v>
      </c>
      <c r="AO10" s="223" t="str">
        <v/>
      </c>
      <c r="AP10" s="222" t="str">
        <v/>
      </c>
      <c r="AQ10" s="222" t="str">
        <v/>
      </c>
      <c r="AR10" s="229" t="str">
        <v/>
      </c>
      <c r="AS10" s="223">
        <v>539</v>
      </c>
      <c r="AT10" s="222">
        <v>372</v>
      </c>
      <c r="AU10" s="222">
        <v>194</v>
      </c>
      <c r="AV10" s="229">
        <v>154</v>
      </c>
    </row>
    <row r="11" spans="3:48" x14ac:dyDescent="0.3">
      <c r="C11" s="53" t="s">
        <v>482</v>
      </c>
      <c r="D11" s="12" t="str">
        <f>VLOOKUP(Rekorde[[#This Row],[Name]],Teamzuordnung[[Name]:[Team]],2,FALSE)</f>
        <v>D</v>
      </c>
      <c r="E11" s="51" t="str">
        <f>IF(COUNTIF(Eingabe[Name],Rekorde[[#This Row],[Name]])&gt;0,_xlfn.MAXIFS(Eingabe[GES],Eingabe[Name],Rekorde[[#This Row],[Name]]),"")</f>
        <v/>
      </c>
      <c r="F11" s="51" t="str">
        <f>IF(COUNTIF(Eingabe[Name],Rekorde[[#This Row],[Name]])&gt;0,_xlfn.MAXIFS(Eingabe[Volle],Eingabe[Name],Rekorde[[#This Row],[Name]]),"")</f>
        <v/>
      </c>
      <c r="G11" s="51" t="str">
        <f>IF(COUNTIF(Eingabe[Name],Rekorde[[#This Row],[Name]])&gt;0,_xlfn.MAXIFS(Eingabe[Räumer],Eingabe[Name],Rekorde[[#This Row],[Name]]),"")</f>
        <v/>
      </c>
      <c r="H11" s="51" t="str">
        <f>IF(COUNTIF(Eingabe[Name],Rekorde[[#This Row],[Name]])&gt;0,_xlfn.MAXIFS(Eingabe[S1],Eingabe[Name],Rekorde[[#This Row],[Name]]),"")</f>
        <v/>
      </c>
      <c r="I11" s="51" t="str">
        <f>IF(COUNTIF(Eingabe[Name],Rekorde[[#This Row],[Name]])&gt;0,_xlfn.MAXIFS(Eingabe[S2],Eingabe[Name],Rekorde[[#This Row],[Name]]),"")</f>
        <v/>
      </c>
      <c r="J11" s="51" t="str">
        <f>IF(COUNTIF(Eingabe[Name],Rekorde[[#This Row],[Name]])&gt;0,_xlfn.MAXIFS(Eingabe[S3],Eingabe[Name],Rekorde[[#This Row],[Name]]),"")</f>
        <v/>
      </c>
      <c r="K11" s="51" t="str">
        <f>IF(COUNTIF(Eingabe[Name],Rekorde[[#This Row],[Name]])&gt;0,_xlfn.MAXIFS(Eingabe[S4],Eingabe[Name],Rekorde[[#This Row],[Name]]),"")</f>
        <v/>
      </c>
      <c r="L11" s="51" t="str">
        <f>IF(MAX(Rekorde[[#This Row],[S1]:[S4]])=0,"",MAX(Rekorde[[#This Row],[S1]:[S4]]))</f>
        <v/>
      </c>
      <c r="M11" s="52" t="str">
        <f>IF(COUNTIF(Eingabe[Name],Rekorde[[#This Row],[Name]])&gt;0,_xlfn.MINIFS(Eingabe[Fehler],Eingabe[Name],Rekorde[[#This Row],[Name]]),"")</f>
        <v/>
      </c>
      <c r="N11" s="51" t="str">
        <f>IF(COUNTIF(Eingabe[Name],Rekorde[[#This Row],[Name]])&gt;0,_xlfn.MAXIFS(Eingabe[GEGGES],Eingabe[Name],Rekorde[[#This Row],[Name]]),"")</f>
        <v/>
      </c>
      <c r="O11" s="51" t="str">
        <f>IF(COUNTIFS(Eingabe[Name],Rekorde[[#This Row],[Name]],Eingabe[Wo],"H")&gt;0,_xlfn.MAXIFS(Eingabe[GES],Eingabe[Name],Rekorde[[#This Row],[Name]],Eingabe[Wo],"H"),"")</f>
        <v/>
      </c>
      <c r="P11" s="51" t="str">
        <f>IF(COUNTIFS(Eingabe[Name],Rekorde[[#This Row],[Name]],Eingabe[Wo],"H")&gt;0,_xlfn.MAXIFS(Eingabe[Volle],Eingabe[Name],Rekorde[[#This Row],[Name]],Eingabe[Wo],"H"),"")</f>
        <v/>
      </c>
      <c r="Q11" s="51" t="str">
        <f>IF(COUNTIFS(Eingabe[Name],Rekorde[[#This Row],[Name]],Eingabe[Wo],"H")&gt;0,_xlfn.MAXIFS(Eingabe[Räumer],Eingabe[Name],Rekorde[[#This Row],[Name]],Eingabe[Wo],"H"),"")</f>
        <v/>
      </c>
      <c r="R11" s="51" t="str">
        <f>IF(COUNTIFS(Eingabe[Name],Rekorde[[#This Row],[Name]],Eingabe[Wo],"H")&gt;0,_xlfn.MAXIFS(Eingabe[S1],Eingabe[Name],Rekorde[[#This Row],[Name]],Eingabe[Wo],"H"),"")</f>
        <v/>
      </c>
      <c r="S11" s="51" t="str">
        <f>IF(COUNTIFS(Eingabe[Name],Rekorde[[#This Row],[Name]],Eingabe[Wo],"H")&gt;0,_xlfn.MAXIFS(Eingabe[S2],Eingabe[Name],Rekorde[[#This Row],[Name]],Eingabe[Wo],"H"),"")</f>
        <v/>
      </c>
      <c r="T11" s="51" t="str">
        <f>IF(COUNTIFS(Eingabe[Name],Rekorde[[#This Row],[Name]],Eingabe[Wo],"H")&gt;0,_xlfn.MAXIFS(Eingabe[S3],Eingabe[Name],Rekorde[[#This Row],[Name]],Eingabe[Wo],"H"),"")</f>
        <v/>
      </c>
      <c r="U11" s="51" t="str">
        <f>IF(COUNTIFS(Eingabe[Name],Rekorde[[#This Row],[Name]],Eingabe[Wo],"H")&gt;0,_xlfn.MAXIFS(Eingabe[S4],Eingabe[Name],Rekorde[[#This Row],[Name]],Eingabe[Wo],"H"),"")</f>
        <v/>
      </c>
      <c r="V11" s="51" t="str">
        <f>IF(Rekorde[[#This Row],[S1 H]]="","",MAX(Rekorde[[#This Row],[S1 H]:[S4 H]]))</f>
        <v/>
      </c>
      <c r="W11" s="52" t="str">
        <f>IF(COUNTIFS(Eingabe[Name],Rekorde[[#This Row],[Name]],Eingabe[Wo],"H")&gt;0,_xlfn.MINIFS(Eingabe[Fehler],Eingabe[Name],Rekorde[[#This Row],[Name]],Eingabe[Wo],"H"),"")</f>
        <v/>
      </c>
      <c r="X11" s="51" t="str">
        <f>IF(COUNTIFS(Eingabe[Name],Rekorde[[#This Row],[Name]],Eingabe[Wo],"H")&gt;0,_xlfn.MAXIFS(Eingabe[GEGGES],Eingabe[Name],Rekorde[[#This Row],[Name]],Eingabe[Wo],"H"),"")</f>
        <v/>
      </c>
      <c r="Y11" s="51" t="str">
        <f>IF(COUNTIFS(Eingabe[Name],Rekorde[[#This Row],[Name]],Eingabe[Wo],"A")&gt;0,_xlfn.MAXIFS(Eingabe[GES],Eingabe[Name],Rekorde[[#This Row],[Name]],Eingabe[Wo],"A"),"")</f>
        <v/>
      </c>
      <c r="Z11" s="51" t="str">
        <f>IF(COUNTIFS(Eingabe[Name],Rekorde[[#This Row],[Name]],Eingabe[Wo],"A")&gt;0,_xlfn.MAXIFS(Eingabe[Volle],Eingabe[Name],Rekorde[[#This Row],[Name]],Eingabe[Wo],"A"),"")</f>
        <v/>
      </c>
      <c r="AA11" s="51" t="str">
        <f>IF(COUNTIFS(Eingabe[Name],Rekorde[[#This Row],[Name]],Eingabe[Wo],"A")&gt;0,_xlfn.MAXIFS(Eingabe[Räumer],Eingabe[Name],Rekorde[[#This Row],[Name]],Eingabe[Wo],"A"),"")</f>
        <v/>
      </c>
      <c r="AB11" s="51" t="str">
        <f>IF(COUNTIFS(Eingabe[Name],Rekorde[[#This Row],[Name]],Eingabe[Wo],"A")&gt;0,_xlfn.MAXIFS(Eingabe[S1],Eingabe[Name],Rekorde[[#This Row],[Name]],Eingabe[Wo],"A"),"")</f>
        <v/>
      </c>
      <c r="AC11" s="51" t="str">
        <f>IF(COUNTIFS(Eingabe[Name],Rekorde[[#This Row],[Name]],Eingabe[Wo],"A")&gt;0,_xlfn.MAXIFS(Eingabe[S2],Eingabe[Name],Rekorde[[#This Row],[Name]],Eingabe[Wo],"A"),"")</f>
        <v/>
      </c>
      <c r="AD11" s="51" t="str">
        <f>IF(COUNTIFS(Eingabe[Name],Rekorde[[#This Row],[Name]],Eingabe[Wo],"A")&gt;0,_xlfn.MAXIFS(Eingabe[S3],Eingabe[Name],Rekorde[[#This Row],[Name]],Eingabe[Wo],"A"),"")</f>
        <v/>
      </c>
      <c r="AE11" s="51" t="str">
        <f>IF(COUNTIFS(Eingabe[Name],Rekorde[[#This Row],[Name]],Eingabe[Wo],"A")&gt;0,_xlfn.MAXIFS(Eingabe[S4],Eingabe[Name],Rekorde[[#This Row],[Name]],Eingabe[Wo],"A"),"")</f>
        <v/>
      </c>
      <c r="AF11" s="51" t="str">
        <f>IF(Rekorde[[#This Row],[S1 A]]="","",MAX(Rekorde[[#This Row],[S1 A]:[S4 A]]))</f>
        <v/>
      </c>
      <c r="AG11" s="52" t="str">
        <f>IF(COUNTIFS(Eingabe[Name],Rekorde[[#This Row],[Name]],Eingabe[Wo],"A")&gt;0,_xlfn.MINIFS(Eingabe[Fehler],Eingabe[Name],Rekorde[[#This Row],[Name]],Eingabe[Wo],"A"),"")</f>
        <v/>
      </c>
      <c r="AH11" s="51" t="str">
        <f>IF(COUNTIFS(Eingabe[Name],Rekorde[[#This Row],[Name]],Eingabe[Wo],"A")&gt;0,_xlfn.MAXIFS(Eingabe[GEGGES],Eingabe[Name],Rekorde[[#This Row],[Name]],Eingabe[Wo],"A"),"")</f>
        <v/>
      </c>
      <c r="AJ11" s="233" t="str">
        <v>Heike Scholz</v>
      </c>
      <c r="AK11" s="223">
        <v>540</v>
      </c>
      <c r="AL11" s="222">
        <v>365</v>
      </c>
      <c r="AM11" s="222">
        <v>177</v>
      </c>
      <c r="AN11" s="229">
        <v>154</v>
      </c>
      <c r="AO11" s="223">
        <v>506</v>
      </c>
      <c r="AP11" s="222">
        <v>363</v>
      </c>
      <c r="AQ11" s="222">
        <v>161</v>
      </c>
      <c r="AR11" s="229">
        <v>136</v>
      </c>
      <c r="AS11" s="223">
        <v>540</v>
      </c>
      <c r="AT11" s="222">
        <v>365</v>
      </c>
      <c r="AU11" s="222">
        <v>177</v>
      </c>
      <c r="AV11" s="229">
        <v>154</v>
      </c>
    </row>
    <row r="12" spans="3:48" x14ac:dyDescent="0.3">
      <c r="C12" s="53" t="s">
        <v>483</v>
      </c>
      <c r="D12" s="12" t="str">
        <f>VLOOKUP(Rekorde[[#This Row],[Name]],Teamzuordnung[[Name]:[Team]],2,FALSE)</f>
        <v>D</v>
      </c>
      <c r="E12" s="51" t="str">
        <f>IF(COUNTIF(Eingabe[Name],Rekorde[[#This Row],[Name]])&gt;0,_xlfn.MAXIFS(Eingabe[GES],Eingabe[Name],Rekorde[[#This Row],[Name]]),"")</f>
        <v/>
      </c>
      <c r="F12" s="51" t="str">
        <f>IF(COUNTIF(Eingabe[Name],Rekorde[[#This Row],[Name]])&gt;0,_xlfn.MAXIFS(Eingabe[Volle],Eingabe[Name],Rekorde[[#This Row],[Name]]),"")</f>
        <v/>
      </c>
      <c r="G12" s="51" t="str">
        <f>IF(COUNTIF(Eingabe[Name],Rekorde[[#This Row],[Name]])&gt;0,_xlfn.MAXIFS(Eingabe[Räumer],Eingabe[Name],Rekorde[[#This Row],[Name]]),"")</f>
        <v/>
      </c>
      <c r="H12" s="51" t="str">
        <f>IF(COUNTIF(Eingabe[Name],Rekorde[[#This Row],[Name]])&gt;0,_xlfn.MAXIFS(Eingabe[S1],Eingabe[Name],Rekorde[[#This Row],[Name]]),"")</f>
        <v/>
      </c>
      <c r="I12" s="51" t="str">
        <f>IF(COUNTIF(Eingabe[Name],Rekorde[[#This Row],[Name]])&gt;0,_xlfn.MAXIFS(Eingabe[S2],Eingabe[Name],Rekorde[[#This Row],[Name]]),"")</f>
        <v/>
      </c>
      <c r="J12" s="51" t="str">
        <f>IF(COUNTIF(Eingabe[Name],Rekorde[[#This Row],[Name]])&gt;0,_xlfn.MAXIFS(Eingabe[S3],Eingabe[Name],Rekorde[[#This Row],[Name]]),"")</f>
        <v/>
      </c>
      <c r="K12" s="51" t="str">
        <f>IF(COUNTIF(Eingabe[Name],Rekorde[[#This Row],[Name]])&gt;0,_xlfn.MAXIFS(Eingabe[S4],Eingabe[Name],Rekorde[[#This Row],[Name]]),"")</f>
        <v/>
      </c>
      <c r="L12" s="51" t="str">
        <f>IF(MAX(Rekorde[[#This Row],[S1]:[S4]])=0,"",MAX(Rekorde[[#This Row],[S1]:[S4]]))</f>
        <v/>
      </c>
      <c r="M12" s="52" t="str">
        <f>IF(COUNTIF(Eingabe[Name],Rekorde[[#This Row],[Name]])&gt;0,_xlfn.MINIFS(Eingabe[Fehler],Eingabe[Name],Rekorde[[#This Row],[Name]]),"")</f>
        <v/>
      </c>
      <c r="N12" s="51" t="str">
        <f>IF(COUNTIF(Eingabe[Name],Rekorde[[#This Row],[Name]])&gt;0,_xlfn.MAXIFS(Eingabe[GEGGES],Eingabe[Name],Rekorde[[#This Row],[Name]]),"")</f>
        <v/>
      </c>
      <c r="O12" s="51" t="str">
        <f>IF(COUNTIFS(Eingabe[Name],Rekorde[[#This Row],[Name]],Eingabe[Wo],"H")&gt;0,_xlfn.MAXIFS(Eingabe[GES],Eingabe[Name],Rekorde[[#This Row],[Name]],Eingabe[Wo],"H"),"")</f>
        <v/>
      </c>
      <c r="P12" s="51" t="str">
        <f>IF(COUNTIFS(Eingabe[Name],Rekorde[[#This Row],[Name]],Eingabe[Wo],"H")&gt;0,_xlfn.MAXIFS(Eingabe[Volle],Eingabe[Name],Rekorde[[#This Row],[Name]],Eingabe[Wo],"H"),"")</f>
        <v/>
      </c>
      <c r="Q12" s="51" t="str">
        <f>IF(COUNTIFS(Eingabe[Name],Rekorde[[#This Row],[Name]],Eingabe[Wo],"H")&gt;0,_xlfn.MAXIFS(Eingabe[Räumer],Eingabe[Name],Rekorde[[#This Row],[Name]],Eingabe[Wo],"H"),"")</f>
        <v/>
      </c>
      <c r="R12" s="51" t="str">
        <f>IF(COUNTIFS(Eingabe[Name],Rekorde[[#This Row],[Name]],Eingabe[Wo],"H")&gt;0,_xlfn.MAXIFS(Eingabe[S1],Eingabe[Name],Rekorde[[#This Row],[Name]],Eingabe[Wo],"H"),"")</f>
        <v/>
      </c>
      <c r="S12" s="51" t="str">
        <f>IF(COUNTIFS(Eingabe[Name],Rekorde[[#This Row],[Name]],Eingabe[Wo],"H")&gt;0,_xlfn.MAXIFS(Eingabe[S2],Eingabe[Name],Rekorde[[#This Row],[Name]],Eingabe[Wo],"H"),"")</f>
        <v/>
      </c>
      <c r="T12" s="51" t="str">
        <f>IF(COUNTIFS(Eingabe[Name],Rekorde[[#This Row],[Name]],Eingabe[Wo],"H")&gt;0,_xlfn.MAXIFS(Eingabe[S3],Eingabe[Name],Rekorde[[#This Row],[Name]],Eingabe[Wo],"H"),"")</f>
        <v/>
      </c>
      <c r="U12" s="51" t="str">
        <f>IF(COUNTIFS(Eingabe[Name],Rekorde[[#This Row],[Name]],Eingabe[Wo],"H")&gt;0,_xlfn.MAXIFS(Eingabe[S4],Eingabe[Name],Rekorde[[#This Row],[Name]],Eingabe[Wo],"H"),"")</f>
        <v/>
      </c>
      <c r="V12" s="51" t="str">
        <f>IF(Rekorde[[#This Row],[S1 H]]="","",MAX(Rekorde[[#This Row],[S1 H]:[S4 H]]))</f>
        <v/>
      </c>
      <c r="W12" s="52" t="str">
        <f>IF(COUNTIFS(Eingabe[Name],Rekorde[[#This Row],[Name]],Eingabe[Wo],"H")&gt;0,_xlfn.MINIFS(Eingabe[Fehler],Eingabe[Name],Rekorde[[#This Row],[Name]],Eingabe[Wo],"H"),"")</f>
        <v/>
      </c>
      <c r="X12" s="51" t="str">
        <f>IF(COUNTIFS(Eingabe[Name],Rekorde[[#This Row],[Name]],Eingabe[Wo],"H")&gt;0,_xlfn.MAXIFS(Eingabe[GEGGES],Eingabe[Name],Rekorde[[#This Row],[Name]],Eingabe[Wo],"H"),"")</f>
        <v/>
      </c>
      <c r="Y12" s="51" t="str">
        <f>IF(COUNTIFS(Eingabe[Name],Rekorde[[#This Row],[Name]],Eingabe[Wo],"A")&gt;0,_xlfn.MAXIFS(Eingabe[GES],Eingabe[Name],Rekorde[[#This Row],[Name]],Eingabe[Wo],"A"),"")</f>
        <v/>
      </c>
      <c r="Z12" s="51" t="str">
        <f>IF(COUNTIFS(Eingabe[Name],Rekorde[[#This Row],[Name]],Eingabe[Wo],"A")&gt;0,_xlfn.MAXIFS(Eingabe[Volle],Eingabe[Name],Rekorde[[#This Row],[Name]],Eingabe[Wo],"A"),"")</f>
        <v/>
      </c>
      <c r="AA12" s="51" t="str">
        <f>IF(COUNTIFS(Eingabe[Name],Rekorde[[#This Row],[Name]],Eingabe[Wo],"A")&gt;0,_xlfn.MAXIFS(Eingabe[Räumer],Eingabe[Name],Rekorde[[#This Row],[Name]],Eingabe[Wo],"A"),"")</f>
        <v/>
      </c>
      <c r="AB12" s="51" t="str">
        <f>IF(COUNTIFS(Eingabe[Name],Rekorde[[#This Row],[Name]],Eingabe[Wo],"A")&gt;0,_xlfn.MAXIFS(Eingabe[S1],Eingabe[Name],Rekorde[[#This Row],[Name]],Eingabe[Wo],"A"),"")</f>
        <v/>
      </c>
      <c r="AC12" s="51" t="str">
        <f>IF(COUNTIFS(Eingabe[Name],Rekorde[[#This Row],[Name]],Eingabe[Wo],"A")&gt;0,_xlfn.MAXIFS(Eingabe[S2],Eingabe[Name],Rekorde[[#This Row],[Name]],Eingabe[Wo],"A"),"")</f>
        <v/>
      </c>
      <c r="AD12" s="51" t="str">
        <f>IF(COUNTIFS(Eingabe[Name],Rekorde[[#This Row],[Name]],Eingabe[Wo],"A")&gt;0,_xlfn.MAXIFS(Eingabe[S3],Eingabe[Name],Rekorde[[#This Row],[Name]],Eingabe[Wo],"A"),"")</f>
        <v/>
      </c>
      <c r="AE12" s="51" t="str">
        <f>IF(COUNTIFS(Eingabe[Name],Rekorde[[#This Row],[Name]],Eingabe[Wo],"A")&gt;0,_xlfn.MAXIFS(Eingabe[S4],Eingabe[Name],Rekorde[[#This Row],[Name]],Eingabe[Wo],"A"),"")</f>
        <v/>
      </c>
      <c r="AF12" s="51" t="str">
        <f>IF(Rekorde[[#This Row],[S1 A]]="","",MAX(Rekorde[[#This Row],[S1 A]:[S4 A]]))</f>
        <v/>
      </c>
      <c r="AG12" s="52" t="str">
        <f>IF(COUNTIFS(Eingabe[Name],Rekorde[[#This Row],[Name]],Eingabe[Wo],"A")&gt;0,_xlfn.MINIFS(Eingabe[Fehler],Eingabe[Name],Rekorde[[#This Row],[Name]],Eingabe[Wo],"A"),"")</f>
        <v/>
      </c>
      <c r="AH12" s="51" t="str">
        <f>IF(COUNTIFS(Eingabe[Name],Rekorde[[#This Row],[Name]],Eingabe[Wo],"A")&gt;0,_xlfn.MAXIFS(Eingabe[GEGGES],Eingabe[Name],Rekorde[[#This Row],[Name]],Eingabe[Wo],"A"),"")</f>
        <v/>
      </c>
      <c r="AJ12" s="233" t="str">
        <v>Petra Kubon</v>
      </c>
      <c r="AK12" s="223">
        <v>477</v>
      </c>
      <c r="AL12" s="222">
        <v>340</v>
      </c>
      <c r="AM12" s="222">
        <v>137</v>
      </c>
      <c r="AN12" s="229">
        <v>127</v>
      </c>
      <c r="AO12" s="223">
        <v>477</v>
      </c>
      <c r="AP12" s="222">
        <v>340</v>
      </c>
      <c r="AQ12" s="222">
        <v>137</v>
      </c>
      <c r="AR12" s="229">
        <v>127</v>
      </c>
      <c r="AS12" s="223" t="str">
        <v/>
      </c>
      <c r="AT12" s="222" t="str">
        <v/>
      </c>
      <c r="AU12" s="222" t="str">
        <v/>
      </c>
      <c r="AV12" s="229" t="str">
        <v/>
      </c>
    </row>
    <row r="13" spans="3:48" x14ac:dyDescent="0.3">
      <c r="C13" s="53" t="s">
        <v>658</v>
      </c>
      <c r="D13" s="12" t="str">
        <f>VLOOKUP(Rekorde[[#This Row],[Name]],Teamzuordnung[[Name]:[Team]],2,FALSE)</f>
        <v>E</v>
      </c>
      <c r="E13" s="51">
        <f>IF(COUNTIF(Eingabe[Name],Rekorde[[#This Row],[Name]])&gt;0,_xlfn.MAXIFS(Eingabe[GES],Eingabe[Name],Rekorde[[#This Row],[Name]]),"")</f>
        <v>628</v>
      </c>
      <c r="F13" s="51">
        <f>IF(COUNTIF(Eingabe[Name],Rekorde[[#This Row],[Name]])&gt;0,_xlfn.MAXIFS(Eingabe[Volle],Eingabe[Name],Rekorde[[#This Row],[Name]]),"")</f>
        <v>405</v>
      </c>
      <c r="G13" s="51">
        <f>IF(COUNTIF(Eingabe[Name],Rekorde[[#This Row],[Name]])&gt;0,_xlfn.MAXIFS(Eingabe[Räumer],Eingabe[Name],Rekorde[[#This Row],[Name]]),"")</f>
        <v>223</v>
      </c>
      <c r="H13" s="51">
        <f>IF(COUNTIF(Eingabe[Name],Rekorde[[#This Row],[Name]])&gt;0,_xlfn.MAXIFS(Eingabe[S1],Eingabe[Name],Rekorde[[#This Row],[Name]]),"")</f>
        <v>163</v>
      </c>
      <c r="I13" s="51">
        <f>IF(COUNTIF(Eingabe[Name],Rekorde[[#This Row],[Name]])&gt;0,_xlfn.MAXIFS(Eingabe[S2],Eingabe[Name],Rekorde[[#This Row],[Name]]),"")</f>
        <v>155</v>
      </c>
      <c r="J13" s="51">
        <f>IF(COUNTIF(Eingabe[Name],Rekorde[[#This Row],[Name]])&gt;0,_xlfn.MAXIFS(Eingabe[S3],Eingabe[Name],Rekorde[[#This Row],[Name]]),"")</f>
        <v>158</v>
      </c>
      <c r="K13" s="51">
        <f>IF(COUNTIF(Eingabe[Name],Rekorde[[#This Row],[Name]])&gt;0,_xlfn.MAXIFS(Eingabe[S4],Eingabe[Name],Rekorde[[#This Row],[Name]]),"")</f>
        <v>173</v>
      </c>
      <c r="L13" s="51">
        <f>IF(MAX(Rekorde[[#This Row],[S1]:[S4]])=0,"",MAX(Rekorde[[#This Row],[S1]:[S4]]))</f>
        <v>173</v>
      </c>
      <c r="M13" s="52">
        <f>IF(COUNTIF(Eingabe[Name],Rekorde[[#This Row],[Name]])&gt;0,_xlfn.MINIFS(Eingabe[Fehler],Eingabe[Name],Rekorde[[#This Row],[Name]]),"")</f>
        <v>1</v>
      </c>
      <c r="N13" s="51">
        <f>IF(COUNTIF(Eingabe[Name],Rekorde[[#This Row],[Name]])&gt;0,_xlfn.MAXIFS(Eingabe[GEGGES],Eingabe[Name],Rekorde[[#This Row],[Name]]),"")</f>
        <v>569</v>
      </c>
      <c r="O13" s="51">
        <f>IF(COUNTIFS(Eingabe[Name],Rekorde[[#This Row],[Name]],Eingabe[Wo],"H")&gt;0,_xlfn.MAXIFS(Eingabe[GES],Eingabe[Name],Rekorde[[#This Row],[Name]],Eingabe[Wo],"H"),"")</f>
        <v>575</v>
      </c>
      <c r="P13" s="51">
        <f>IF(COUNTIFS(Eingabe[Name],Rekorde[[#This Row],[Name]],Eingabe[Wo],"H")&gt;0,_xlfn.MAXIFS(Eingabe[Volle],Eingabe[Name],Rekorde[[#This Row],[Name]],Eingabe[Wo],"H"),"")</f>
        <v>375</v>
      </c>
      <c r="Q13" s="51">
        <f>IF(COUNTIFS(Eingabe[Name],Rekorde[[#This Row],[Name]],Eingabe[Wo],"H")&gt;0,_xlfn.MAXIFS(Eingabe[Räumer],Eingabe[Name],Rekorde[[#This Row],[Name]],Eingabe[Wo],"H"),"")</f>
        <v>206</v>
      </c>
      <c r="R13" s="51">
        <f>IF(COUNTIFS(Eingabe[Name],Rekorde[[#This Row],[Name]],Eingabe[Wo],"H")&gt;0,_xlfn.MAXIFS(Eingabe[S1],Eingabe[Name],Rekorde[[#This Row],[Name]],Eingabe[Wo],"H"),"")</f>
        <v>163</v>
      </c>
      <c r="S13" s="51">
        <f>IF(COUNTIFS(Eingabe[Name],Rekorde[[#This Row],[Name]],Eingabe[Wo],"H")&gt;0,_xlfn.MAXIFS(Eingabe[S2],Eingabe[Name],Rekorde[[#This Row],[Name]],Eingabe[Wo],"H"),"")</f>
        <v>155</v>
      </c>
      <c r="T13" s="51">
        <f>IF(COUNTIFS(Eingabe[Name],Rekorde[[#This Row],[Name]],Eingabe[Wo],"H")&gt;0,_xlfn.MAXIFS(Eingabe[S3],Eingabe[Name],Rekorde[[#This Row],[Name]],Eingabe[Wo],"H"),"")</f>
        <v>158</v>
      </c>
      <c r="U13" s="51">
        <f>IF(COUNTIFS(Eingabe[Name],Rekorde[[#This Row],[Name]],Eingabe[Wo],"H")&gt;0,_xlfn.MAXIFS(Eingabe[S4],Eingabe[Name],Rekorde[[#This Row],[Name]],Eingabe[Wo],"H"),"")</f>
        <v>136</v>
      </c>
      <c r="V13" s="51">
        <f>IF(Rekorde[[#This Row],[S1 H]]="","",MAX(Rekorde[[#This Row],[S1 H]:[S4 H]]))</f>
        <v>163</v>
      </c>
      <c r="W13" s="52">
        <f>IF(COUNTIFS(Eingabe[Name],Rekorde[[#This Row],[Name]],Eingabe[Wo],"H")&gt;0,_xlfn.MINIFS(Eingabe[Fehler],Eingabe[Name],Rekorde[[#This Row],[Name]],Eingabe[Wo],"H"),"")</f>
        <v>1</v>
      </c>
      <c r="X13" s="51">
        <f>IF(COUNTIFS(Eingabe[Name],Rekorde[[#This Row],[Name]],Eingabe[Wo],"H")&gt;0,_xlfn.MAXIFS(Eingabe[GEGGES],Eingabe[Name],Rekorde[[#This Row],[Name]],Eingabe[Wo],"H"),"")</f>
        <v>553</v>
      </c>
      <c r="Y13" s="51">
        <f>IF(COUNTIFS(Eingabe[Name],Rekorde[[#This Row],[Name]],Eingabe[Wo],"A")&gt;0,_xlfn.MAXIFS(Eingabe[GES],Eingabe[Name],Rekorde[[#This Row],[Name]],Eingabe[Wo],"A"),"")</f>
        <v>628</v>
      </c>
      <c r="Z13" s="51">
        <f>IF(COUNTIFS(Eingabe[Name],Rekorde[[#This Row],[Name]],Eingabe[Wo],"A")&gt;0,_xlfn.MAXIFS(Eingabe[Volle],Eingabe[Name],Rekorde[[#This Row],[Name]],Eingabe[Wo],"A"),"")</f>
        <v>405</v>
      </c>
      <c r="AA13" s="51">
        <f>IF(COUNTIFS(Eingabe[Name],Rekorde[[#This Row],[Name]],Eingabe[Wo],"A")&gt;0,_xlfn.MAXIFS(Eingabe[Räumer],Eingabe[Name],Rekorde[[#This Row],[Name]],Eingabe[Wo],"A"),"")</f>
        <v>223</v>
      </c>
      <c r="AB13" s="51">
        <f>IF(COUNTIFS(Eingabe[Name],Rekorde[[#This Row],[Name]],Eingabe[Wo],"A")&gt;0,_xlfn.MAXIFS(Eingabe[S1],Eingabe[Name],Rekorde[[#This Row],[Name]],Eingabe[Wo],"A"),"")</f>
        <v>161</v>
      </c>
      <c r="AC13" s="51">
        <f>IF(COUNTIFS(Eingabe[Name],Rekorde[[#This Row],[Name]],Eingabe[Wo],"A")&gt;0,_xlfn.MAXIFS(Eingabe[S2],Eingabe[Name],Rekorde[[#This Row],[Name]],Eingabe[Wo],"A"),"")</f>
        <v>146</v>
      </c>
      <c r="AD13" s="51">
        <f>IF(COUNTIFS(Eingabe[Name],Rekorde[[#This Row],[Name]],Eingabe[Wo],"A")&gt;0,_xlfn.MAXIFS(Eingabe[S3],Eingabe[Name],Rekorde[[#This Row],[Name]],Eingabe[Wo],"A"),"")</f>
        <v>152</v>
      </c>
      <c r="AE13" s="51">
        <f>IF(COUNTIFS(Eingabe[Name],Rekorde[[#This Row],[Name]],Eingabe[Wo],"A")&gt;0,_xlfn.MAXIFS(Eingabe[S4],Eingabe[Name],Rekorde[[#This Row],[Name]],Eingabe[Wo],"A"),"")</f>
        <v>173</v>
      </c>
      <c r="AF13" s="51">
        <f>IF(Rekorde[[#This Row],[S1 A]]="","",MAX(Rekorde[[#This Row],[S1 A]:[S4 A]]))</f>
        <v>173</v>
      </c>
      <c r="AG13" s="52">
        <f>IF(COUNTIFS(Eingabe[Name],Rekorde[[#This Row],[Name]],Eingabe[Wo],"A")&gt;0,_xlfn.MINIFS(Eingabe[Fehler],Eingabe[Name],Rekorde[[#This Row],[Name]],Eingabe[Wo],"A"),"")</f>
        <v>1</v>
      </c>
      <c r="AH13" s="51">
        <f>IF(COUNTIFS(Eingabe[Name],Rekorde[[#This Row],[Name]],Eingabe[Wo],"A")&gt;0,_xlfn.MAXIFS(Eingabe[GEGGES],Eingabe[Name],Rekorde[[#This Row],[Name]],Eingabe[Wo],"A"),"")</f>
        <v>569</v>
      </c>
      <c r="AJ13" s="233"/>
      <c r="AK13" s="223"/>
      <c r="AL13" s="222"/>
      <c r="AM13" s="222"/>
      <c r="AN13" s="229"/>
      <c r="AO13" s="223"/>
      <c r="AP13" s="222"/>
      <c r="AQ13" s="222"/>
      <c r="AR13" s="229"/>
      <c r="AS13" s="223"/>
      <c r="AT13" s="222"/>
      <c r="AU13" s="222"/>
      <c r="AV13" s="229"/>
    </row>
    <row r="14" spans="3:48" x14ac:dyDescent="0.3">
      <c r="C14" s="53" t="s">
        <v>455</v>
      </c>
      <c r="D14" s="12" t="str">
        <f>VLOOKUP(Rekorde[[#This Row],[Name]],Teamzuordnung[[Name]:[Team]],2,FALSE)</f>
        <v>E</v>
      </c>
      <c r="E14" s="51">
        <f>IF(COUNTIF(Eingabe[Name],Rekorde[[#This Row],[Name]])&gt;0,_xlfn.MAXIFS(Eingabe[GES],Eingabe[Name],Rekorde[[#This Row],[Name]]),"")</f>
        <v>649</v>
      </c>
      <c r="F14" s="51">
        <f>IF(COUNTIF(Eingabe[Name],Rekorde[[#This Row],[Name]])&gt;0,_xlfn.MAXIFS(Eingabe[Volle],Eingabe[Name],Rekorde[[#This Row],[Name]]),"")</f>
        <v>405</v>
      </c>
      <c r="G14" s="51">
        <f>IF(COUNTIF(Eingabe[Name],Rekorde[[#This Row],[Name]])&gt;0,_xlfn.MAXIFS(Eingabe[Räumer],Eingabe[Name],Rekorde[[#This Row],[Name]]),"")</f>
        <v>244</v>
      </c>
      <c r="H14" s="51">
        <f>IF(COUNTIF(Eingabe[Name],Rekorde[[#This Row],[Name]])&gt;0,_xlfn.MAXIFS(Eingabe[S1],Eingabe[Name],Rekorde[[#This Row],[Name]]),"")</f>
        <v>168</v>
      </c>
      <c r="I14" s="51">
        <f>IF(COUNTIF(Eingabe[Name],Rekorde[[#This Row],[Name]])&gt;0,_xlfn.MAXIFS(Eingabe[S2],Eingabe[Name],Rekorde[[#This Row],[Name]]),"")</f>
        <v>171</v>
      </c>
      <c r="J14" s="51">
        <f>IF(COUNTIF(Eingabe[Name],Rekorde[[#This Row],[Name]])&gt;0,_xlfn.MAXIFS(Eingabe[S3],Eingabe[Name],Rekorde[[#This Row],[Name]]),"")</f>
        <v>166</v>
      </c>
      <c r="K14" s="51">
        <f>IF(COUNTIF(Eingabe[Name],Rekorde[[#This Row],[Name]])&gt;0,_xlfn.MAXIFS(Eingabe[S4],Eingabe[Name],Rekorde[[#This Row],[Name]]),"")</f>
        <v>156</v>
      </c>
      <c r="L14" s="51">
        <f>IF(MAX(Rekorde[[#This Row],[S1]:[S4]])=0,"",MAX(Rekorde[[#This Row],[S1]:[S4]]))</f>
        <v>171</v>
      </c>
      <c r="M14" s="52">
        <f>IF(COUNTIF(Eingabe[Name],Rekorde[[#This Row],[Name]])&gt;0,_xlfn.MINIFS(Eingabe[Fehler],Eingabe[Name],Rekorde[[#This Row],[Name]]),"")</f>
        <v>0</v>
      </c>
      <c r="N14" s="51">
        <f>IF(COUNTIF(Eingabe[Name],Rekorde[[#This Row],[Name]])&gt;0,_xlfn.MAXIFS(Eingabe[GEGGES],Eingabe[Name],Rekorde[[#This Row],[Name]]),"")</f>
        <v>598</v>
      </c>
      <c r="O14" s="51">
        <f>IF(COUNTIFS(Eingabe[Name],Rekorde[[#This Row],[Name]],Eingabe[Wo],"H")&gt;0,_xlfn.MAXIFS(Eingabe[GES],Eingabe[Name],Rekorde[[#This Row],[Name]],Eingabe[Wo],"H"),"")</f>
        <v>610</v>
      </c>
      <c r="P14" s="51">
        <f>IF(COUNTIFS(Eingabe[Name],Rekorde[[#This Row],[Name]],Eingabe[Wo],"H")&gt;0,_xlfn.MAXIFS(Eingabe[Volle],Eingabe[Name],Rekorde[[#This Row],[Name]],Eingabe[Wo],"H"),"")</f>
        <v>385</v>
      </c>
      <c r="Q14" s="51">
        <f>IF(COUNTIFS(Eingabe[Name],Rekorde[[#This Row],[Name]],Eingabe[Wo],"H")&gt;0,_xlfn.MAXIFS(Eingabe[Räumer],Eingabe[Name],Rekorde[[#This Row],[Name]],Eingabe[Wo],"H"),"")</f>
        <v>232</v>
      </c>
      <c r="R14" s="51">
        <f>IF(COUNTIFS(Eingabe[Name],Rekorde[[#This Row],[Name]],Eingabe[Wo],"H")&gt;0,_xlfn.MAXIFS(Eingabe[S1],Eingabe[Name],Rekorde[[#This Row],[Name]],Eingabe[Wo],"H"),"")</f>
        <v>161</v>
      </c>
      <c r="S14" s="51">
        <f>IF(COUNTIFS(Eingabe[Name],Rekorde[[#This Row],[Name]],Eingabe[Wo],"H")&gt;0,_xlfn.MAXIFS(Eingabe[S2],Eingabe[Name],Rekorde[[#This Row],[Name]],Eingabe[Wo],"H"),"")</f>
        <v>163</v>
      </c>
      <c r="T14" s="51">
        <f>IF(COUNTIFS(Eingabe[Name],Rekorde[[#This Row],[Name]],Eingabe[Wo],"H")&gt;0,_xlfn.MAXIFS(Eingabe[S3],Eingabe[Name],Rekorde[[#This Row],[Name]],Eingabe[Wo],"H"),"")</f>
        <v>166</v>
      </c>
      <c r="U14" s="51">
        <f>IF(COUNTIFS(Eingabe[Name],Rekorde[[#This Row],[Name]],Eingabe[Wo],"H")&gt;0,_xlfn.MAXIFS(Eingabe[S4],Eingabe[Name],Rekorde[[#This Row],[Name]],Eingabe[Wo],"H"),"")</f>
        <v>156</v>
      </c>
      <c r="V14" s="51">
        <f>IF(Rekorde[[#This Row],[S1 H]]="","",MAX(Rekorde[[#This Row],[S1 H]:[S4 H]]))</f>
        <v>166</v>
      </c>
      <c r="W14" s="52">
        <f>IF(COUNTIFS(Eingabe[Name],Rekorde[[#This Row],[Name]],Eingabe[Wo],"H")&gt;0,_xlfn.MINIFS(Eingabe[Fehler],Eingabe[Name],Rekorde[[#This Row],[Name]],Eingabe[Wo],"H"),"")</f>
        <v>0</v>
      </c>
      <c r="X14" s="51">
        <f>IF(COUNTIFS(Eingabe[Name],Rekorde[[#This Row],[Name]],Eingabe[Wo],"H")&gt;0,_xlfn.MAXIFS(Eingabe[GEGGES],Eingabe[Name],Rekorde[[#This Row],[Name]],Eingabe[Wo],"H"),"")</f>
        <v>571</v>
      </c>
      <c r="Y14" s="51">
        <f>IF(COUNTIFS(Eingabe[Name],Rekorde[[#This Row],[Name]],Eingabe[Wo],"A")&gt;0,_xlfn.MAXIFS(Eingabe[GES],Eingabe[Name],Rekorde[[#This Row],[Name]],Eingabe[Wo],"A"),"")</f>
        <v>649</v>
      </c>
      <c r="Z14" s="51">
        <f>IF(COUNTIFS(Eingabe[Name],Rekorde[[#This Row],[Name]],Eingabe[Wo],"A")&gt;0,_xlfn.MAXIFS(Eingabe[Volle],Eingabe[Name],Rekorde[[#This Row],[Name]],Eingabe[Wo],"A"),"")</f>
        <v>405</v>
      </c>
      <c r="AA14" s="51">
        <f>IF(COUNTIFS(Eingabe[Name],Rekorde[[#This Row],[Name]],Eingabe[Wo],"A")&gt;0,_xlfn.MAXIFS(Eingabe[Räumer],Eingabe[Name],Rekorde[[#This Row],[Name]],Eingabe[Wo],"A"),"")</f>
        <v>244</v>
      </c>
      <c r="AB14" s="51">
        <f>IF(COUNTIFS(Eingabe[Name],Rekorde[[#This Row],[Name]],Eingabe[Wo],"A")&gt;0,_xlfn.MAXIFS(Eingabe[S1],Eingabe[Name],Rekorde[[#This Row],[Name]],Eingabe[Wo],"A"),"")</f>
        <v>168</v>
      </c>
      <c r="AC14" s="51">
        <f>IF(COUNTIFS(Eingabe[Name],Rekorde[[#This Row],[Name]],Eingabe[Wo],"A")&gt;0,_xlfn.MAXIFS(Eingabe[S2],Eingabe[Name],Rekorde[[#This Row],[Name]],Eingabe[Wo],"A"),"")</f>
        <v>171</v>
      </c>
      <c r="AD14" s="51">
        <f>IF(COUNTIFS(Eingabe[Name],Rekorde[[#This Row],[Name]],Eingabe[Wo],"A")&gt;0,_xlfn.MAXIFS(Eingabe[S3],Eingabe[Name],Rekorde[[#This Row],[Name]],Eingabe[Wo],"A"),"")</f>
        <v>162</v>
      </c>
      <c r="AE14" s="51">
        <f>IF(COUNTIFS(Eingabe[Name],Rekorde[[#This Row],[Name]],Eingabe[Wo],"A")&gt;0,_xlfn.MAXIFS(Eingabe[S4],Eingabe[Name],Rekorde[[#This Row],[Name]],Eingabe[Wo],"A"),"")</f>
        <v>148</v>
      </c>
      <c r="AF14" s="51">
        <f>IF(Rekorde[[#This Row],[S1 A]]="","",MAX(Rekorde[[#This Row],[S1 A]:[S4 A]]))</f>
        <v>171</v>
      </c>
      <c r="AG14" s="52">
        <f>IF(COUNTIFS(Eingabe[Name],Rekorde[[#This Row],[Name]],Eingabe[Wo],"A")&gt;0,_xlfn.MINIFS(Eingabe[Fehler],Eingabe[Name],Rekorde[[#This Row],[Name]],Eingabe[Wo],"A"),"")</f>
        <v>2</v>
      </c>
      <c r="AH14" s="51">
        <f>IF(COUNTIFS(Eingabe[Name],Rekorde[[#This Row],[Name]],Eingabe[Wo],"A")&gt;0,_xlfn.MAXIFS(Eingabe[GEGGES],Eingabe[Name],Rekorde[[#This Row],[Name]],Eingabe[Wo],"A"),"")</f>
        <v>598</v>
      </c>
      <c r="AJ14" s="233"/>
      <c r="AK14" s="223"/>
      <c r="AL14" s="222"/>
      <c r="AM14" s="222"/>
      <c r="AN14" s="229"/>
      <c r="AO14" s="223"/>
      <c r="AP14" s="222"/>
      <c r="AQ14" s="222"/>
      <c r="AR14" s="229"/>
      <c r="AS14" s="223"/>
      <c r="AT14" s="222"/>
      <c r="AU14" s="222"/>
      <c r="AV14" s="229"/>
    </row>
    <row r="15" spans="3:48" x14ac:dyDescent="0.3">
      <c r="C15" s="53" t="s">
        <v>659</v>
      </c>
      <c r="D15" s="12" t="str">
        <f>VLOOKUP(Rekorde[[#This Row],[Name]],Teamzuordnung[[Name]:[Team]],2,FALSE)</f>
        <v>E</v>
      </c>
      <c r="E15" s="51">
        <f>IF(COUNTIF(Eingabe[Name],Rekorde[[#This Row],[Name]])&gt;0,_xlfn.MAXIFS(Eingabe[GES],Eingabe[Name],Rekorde[[#This Row],[Name]]),"")</f>
        <v>584</v>
      </c>
      <c r="F15" s="51">
        <f>IF(COUNTIF(Eingabe[Name],Rekorde[[#This Row],[Name]])&gt;0,_xlfn.MAXIFS(Eingabe[Volle],Eingabe[Name],Rekorde[[#This Row],[Name]]),"")</f>
        <v>390</v>
      </c>
      <c r="G15" s="51">
        <f>IF(COUNTIF(Eingabe[Name],Rekorde[[#This Row],[Name]])&gt;0,_xlfn.MAXIFS(Eingabe[Räumer],Eingabe[Name],Rekorde[[#This Row],[Name]]),"")</f>
        <v>194</v>
      </c>
      <c r="H15" s="51">
        <f>IF(COUNTIF(Eingabe[Name],Rekorde[[#This Row],[Name]])&gt;0,_xlfn.MAXIFS(Eingabe[S1],Eingabe[Name],Rekorde[[#This Row],[Name]]),"")</f>
        <v>156</v>
      </c>
      <c r="I15" s="51">
        <f>IF(COUNTIF(Eingabe[Name],Rekorde[[#This Row],[Name]])&gt;0,_xlfn.MAXIFS(Eingabe[S2],Eingabe[Name],Rekorde[[#This Row],[Name]]),"")</f>
        <v>152</v>
      </c>
      <c r="J15" s="51">
        <f>IF(COUNTIF(Eingabe[Name],Rekorde[[#This Row],[Name]])&gt;0,_xlfn.MAXIFS(Eingabe[S3],Eingabe[Name],Rekorde[[#This Row],[Name]]),"")</f>
        <v>168</v>
      </c>
      <c r="K15" s="51">
        <f>IF(COUNTIF(Eingabe[Name],Rekorde[[#This Row],[Name]])&gt;0,_xlfn.MAXIFS(Eingabe[S4],Eingabe[Name],Rekorde[[#This Row],[Name]]),"")</f>
        <v>159</v>
      </c>
      <c r="L15" s="51">
        <f>IF(MAX(Rekorde[[#This Row],[S1]:[S4]])=0,"",MAX(Rekorde[[#This Row],[S1]:[S4]]))</f>
        <v>168</v>
      </c>
      <c r="M15" s="52">
        <f>IF(COUNTIF(Eingabe[Name],Rekorde[[#This Row],[Name]])&gt;0,_xlfn.MINIFS(Eingabe[Fehler],Eingabe[Name],Rekorde[[#This Row],[Name]]),"")</f>
        <v>2</v>
      </c>
      <c r="N15" s="51">
        <f>IF(COUNTIF(Eingabe[Name],Rekorde[[#This Row],[Name]])&gt;0,_xlfn.MAXIFS(Eingabe[GEGGES],Eingabe[Name],Rekorde[[#This Row],[Name]]),"")</f>
        <v>593</v>
      </c>
      <c r="O15" s="51">
        <f>IF(COUNTIFS(Eingabe[Name],Rekorde[[#This Row],[Name]],Eingabe[Wo],"H")&gt;0,_xlfn.MAXIFS(Eingabe[GES],Eingabe[Name],Rekorde[[#This Row],[Name]],Eingabe[Wo],"H"),"")</f>
        <v>552</v>
      </c>
      <c r="P15" s="51">
        <f>IF(COUNTIFS(Eingabe[Name],Rekorde[[#This Row],[Name]],Eingabe[Wo],"H")&gt;0,_xlfn.MAXIFS(Eingabe[Volle],Eingabe[Name],Rekorde[[#This Row],[Name]],Eingabe[Wo],"H"),"")</f>
        <v>372</v>
      </c>
      <c r="Q15" s="51">
        <f>IF(COUNTIFS(Eingabe[Name],Rekorde[[#This Row],[Name]],Eingabe[Wo],"H")&gt;0,_xlfn.MAXIFS(Eingabe[Räumer],Eingabe[Name],Rekorde[[#This Row],[Name]],Eingabe[Wo],"H"),"")</f>
        <v>180</v>
      </c>
      <c r="R15" s="51">
        <f>IF(COUNTIFS(Eingabe[Name],Rekorde[[#This Row],[Name]],Eingabe[Wo],"H")&gt;0,_xlfn.MAXIFS(Eingabe[S1],Eingabe[Name],Rekorde[[#This Row],[Name]],Eingabe[Wo],"H"),"")</f>
        <v>148</v>
      </c>
      <c r="S15" s="51">
        <f>IF(COUNTIFS(Eingabe[Name],Rekorde[[#This Row],[Name]],Eingabe[Wo],"H")&gt;0,_xlfn.MAXIFS(Eingabe[S2],Eingabe[Name],Rekorde[[#This Row],[Name]],Eingabe[Wo],"H"),"")</f>
        <v>142</v>
      </c>
      <c r="T15" s="51">
        <f>IF(COUNTIFS(Eingabe[Name],Rekorde[[#This Row],[Name]],Eingabe[Wo],"H")&gt;0,_xlfn.MAXIFS(Eingabe[S3],Eingabe[Name],Rekorde[[#This Row],[Name]],Eingabe[Wo],"H"),"")</f>
        <v>146</v>
      </c>
      <c r="U15" s="51">
        <f>IF(COUNTIFS(Eingabe[Name],Rekorde[[#This Row],[Name]],Eingabe[Wo],"H")&gt;0,_xlfn.MAXIFS(Eingabe[S4],Eingabe[Name],Rekorde[[#This Row],[Name]],Eingabe[Wo],"H"),"")</f>
        <v>143</v>
      </c>
      <c r="V15" s="51">
        <f>IF(Rekorde[[#This Row],[S1 H]]="","",MAX(Rekorde[[#This Row],[S1 H]:[S4 H]]))</f>
        <v>148</v>
      </c>
      <c r="W15" s="52">
        <f>IF(COUNTIFS(Eingabe[Name],Rekorde[[#This Row],[Name]],Eingabe[Wo],"H")&gt;0,_xlfn.MINIFS(Eingabe[Fehler],Eingabe[Name],Rekorde[[#This Row],[Name]],Eingabe[Wo],"H"),"")</f>
        <v>2</v>
      </c>
      <c r="X15" s="51">
        <f>IF(COUNTIFS(Eingabe[Name],Rekorde[[#This Row],[Name]],Eingabe[Wo],"H")&gt;0,_xlfn.MAXIFS(Eingabe[GEGGES],Eingabe[Name],Rekorde[[#This Row],[Name]],Eingabe[Wo],"H"),"")</f>
        <v>549</v>
      </c>
      <c r="Y15" s="51">
        <f>IF(COUNTIFS(Eingabe[Name],Rekorde[[#This Row],[Name]],Eingabe[Wo],"A")&gt;0,_xlfn.MAXIFS(Eingabe[GES],Eingabe[Name],Rekorde[[#This Row],[Name]],Eingabe[Wo],"A"),"")</f>
        <v>584</v>
      </c>
      <c r="Z15" s="51">
        <f>IF(COUNTIFS(Eingabe[Name],Rekorde[[#This Row],[Name]],Eingabe[Wo],"A")&gt;0,_xlfn.MAXIFS(Eingabe[Volle],Eingabe[Name],Rekorde[[#This Row],[Name]],Eingabe[Wo],"A"),"")</f>
        <v>390</v>
      </c>
      <c r="AA15" s="51">
        <f>IF(COUNTIFS(Eingabe[Name],Rekorde[[#This Row],[Name]],Eingabe[Wo],"A")&gt;0,_xlfn.MAXIFS(Eingabe[Räumer],Eingabe[Name],Rekorde[[#This Row],[Name]],Eingabe[Wo],"A"),"")</f>
        <v>194</v>
      </c>
      <c r="AB15" s="51">
        <f>IF(COUNTIFS(Eingabe[Name],Rekorde[[#This Row],[Name]],Eingabe[Wo],"A")&gt;0,_xlfn.MAXIFS(Eingabe[S1],Eingabe[Name],Rekorde[[#This Row],[Name]],Eingabe[Wo],"A"),"")</f>
        <v>156</v>
      </c>
      <c r="AC15" s="51">
        <f>IF(COUNTIFS(Eingabe[Name],Rekorde[[#This Row],[Name]],Eingabe[Wo],"A")&gt;0,_xlfn.MAXIFS(Eingabe[S2],Eingabe[Name],Rekorde[[#This Row],[Name]],Eingabe[Wo],"A"),"")</f>
        <v>152</v>
      </c>
      <c r="AD15" s="51">
        <f>IF(COUNTIFS(Eingabe[Name],Rekorde[[#This Row],[Name]],Eingabe[Wo],"A")&gt;0,_xlfn.MAXIFS(Eingabe[S3],Eingabe[Name],Rekorde[[#This Row],[Name]],Eingabe[Wo],"A"),"")</f>
        <v>168</v>
      </c>
      <c r="AE15" s="51">
        <f>IF(COUNTIFS(Eingabe[Name],Rekorde[[#This Row],[Name]],Eingabe[Wo],"A")&gt;0,_xlfn.MAXIFS(Eingabe[S4],Eingabe[Name],Rekorde[[#This Row],[Name]],Eingabe[Wo],"A"),"")</f>
        <v>159</v>
      </c>
      <c r="AF15" s="51">
        <f>IF(Rekorde[[#This Row],[S1 A]]="","",MAX(Rekorde[[#This Row],[S1 A]:[S4 A]]))</f>
        <v>168</v>
      </c>
      <c r="AG15" s="52">
        <f>IF(COUNTIFS(Eingabe[Name],Rekorde[[#This Row],[Name]],Eingabe[Wo],"A")&gt;0,_xlfn.MINIFS(Eingabe[Fehler],Eingabe[Name],Rekorde[[#This Row],[Name]],Eingabe[Wo],"A"),"")</f>
        <v>3</v>
      </c>
      <c r="AH15" s="51">
        <f>IF(COUNTIFS(Eingabe[Name],Rekorde[[#This Row],[Name]],Eingabe[Wo],"A")&gt;0,_xlfn.MAXIFS(Eingabe[GEGGES],Eingabe[Name],Rekorde[[#This Row],[Name]],Eingabe[Wo],"A"),"")</f>
        <v>593</v>
      </c>
      <c r="AJ15" s="233"/>
      <c r="AK15" s="223"/>
      <c r="AL15" s="222"/>
      <c r="AM15" s="222"/>
      <c r="AN15" s="229"/>
      <c r="AO15" s="223"/>
      <c r="AP15" s="222"/>
      <c r="AQ15" s="222"/>
      <c r="AR15" s="229"/>
      <c r="AS15" s="223"/>
      <c r="AT15" s="222"/>
      <c r="AU15" s="222"/>
      <c r="AV15" s="229"/>
    </row>
    <row r="16" spans="3:48" x14ac:dyDescent="0.3">
      <c r="C16" s="53" t="s">
        <v>469</v>
      </c>
      <c r="D16" s="12" t="str">
        <f>VLOOKUP(Rekorde[[#This Row],[Name]],Teamzuordnung[[Name]:[Team]],2,FALSE)</f>
        <v>E</v>
      </c>
      <c r="E16" s="51">
        <f>IF(COUNTIF(Eingabe[Name],Rekorde[[#This Row],[Name]])&gt;0,_xlfn.MAXIFS(Eingabe[GES],Eingabe[Name],Rekorde[[#This Row],[Name]]),"")</f>
        <v>574</v>
      </c>
      <c r="F16" s="51">
        <f>IF(COUNTIF(Eingabe[Name],Rekorde[[#This Row],[Name]])&gt;0,_xlfn.MAXIFS(Eingabe[Volle],Eingabe[Name],Rekorde[[#This Row],[Name]]),"")</f>
        <v>387</v>
      </c>
      <c r="G16" s="51">
        <f>IF(COUNTIF(Eingabe[Name],Rekorde[[#This Row],[Name]])&gt;0,_xlfn.MAXIFS(Eingabe[Räumer],Eingabe[Name],Rekorde[[#This Row],[Name]]),"")</f>
        <v>206</v>
      </c>
      <c r="H16" s="51">
        <f>IF(COUNTIF(Eingabe[Name],Rekorde[[#This Row],[Name]])&gt;0,_xlfn.MAXIFS(Eingabe[S1],Eingabe[Name],Rekorde[[#This Row],[Name]]),"")</f>
        <v>145</v>
      </c>
      <c r="I16" s="51">
        <f>IF(COUNTIF(Eingabe[Name],Rekorde[[#This Row],[Name]])&gt;0,_xlfn.MAXIFS(Eingabe[S2],Eingabe[Name],Rekorde[[#This Row],[Name]]),"")</f>
        <v>147</v>
      </c>
      <c r="J16" s="51">
        <f>IF(COUNTIF(Eingabe[Name],Rekorde[[#This Row],[Name]])&gt;0,_xlfn.MAXIFS(Eingabe[S3],Eingabe[Name],Rekorde[[#This Row],[Name]]),"")</f>
        <v>154</v>
      </c>
      <c r="K16" s="51">
        <f>IF(COUNTIF(Eingabe[Name],Rekorde[[#This Row],[Name]])&gt;0,_xlfn.MAXIFS(Eingabe[S4],Eingabe[Name],Rekorde[[#This Row],[Name]]),"")</f>
        <v>167</v>
      </c>
      <c r="L16" s="51">
        <f>IF(MAX(Rekorde[[#This Row],[S1]:[S4]])=0,"",MAX(Rekorde[[#This Row],[S1]:[S4]]))</f>
        <v>167</v>
      </c>
      <c r="M16" s="52">
        <f>IF(COUNTIF(Eingabe[Name],Rekorde[[#This Row],[Name]])&gt;0,_xlfn.MINIFS(Eingabe[Fehler],Eingabe[Name],Rekorde[[#This Row],[Name]]),"")</f>
        <v>1</v>
      </c>
      <c r="N16" s="51">
        <f>IF(COUNTIF(Eingabe[Name],Rekorde[[#This Row],[Name]])&gt;0,_xlfn.MAXIFS(Eingabe[GEGGES],Eingabe[Name],Rekorde[[#This Row],[Name]]),"")</f>
        <v>575</v>
      </c>
      <c r="O16" s="51">
        <f>IF(COUNTIFS(Eingabe[Name],Rekorde[[#This Row],[Name]],Eingabe[Wo],"H")&gt;0,_xlfn.MAXIFS(Eingabe[GES],Eingabe[Name],Rekorde[[#This Row],[Name]],Eingabe[Wo],"H"),"")</f>
        <v>574</v>
      </c>
      <c r="P16" s="51">
        <f>IF(COUNTIFS(Eingabe[Name],Rekorde[[#This Row],[Name]],Eingabe[Wo],"H")&gt;0,_xlfn.MAXIFS(Eingabe[Volle],Eingabe[Name],Rekorde[[#This Row],[Name]],Eingabe[Wo],"H"),"")</f>
        <v>387</v>
      </c>
      <c r="Q16" s="51">
        <f>IF(COUNTIFS(Eingabe[Name],Rekorde[[#This Row],[Name]],Eingabe[Wo],"H")&gt;0,_xlfn.MAXIFS(Eingabe[Räumer],Eingabe[Name],Rekorde[[#This Row],[Name]],Eingabe[Wo],"H"),"")</f>
        <v>192</v>
      </c>
      <c r="R16" s="51">
        <f>IF(COUNTIFS(Eingabe[Name],Rekorde[[#This Row],[Name]],Eingabe[Wo],"H")&gt;0,_xlfn.MAXIFS(Eingabe[S1],Eingabe[Name],Rekorde[[#This Row],[Name]],Eingabe[Wo],"H"),"")</f>
        <v>145</v>
      </c>
      <c r="S16" s="51">
        <f>IF(COUNTIFS(Eingabe[Name],Rekorde[[#This Row],[Name]],Eingabe[Wo],"H")&gt;0,_xlfn.MAXIFS(Eingabe[S2],Eingabe[Name],Rekorde[[#This Row],[Name]],Eingabe[Wo],"H"),"")</f>
        <v>147</v>
      </c>
      <c r="T16" s="51">
        <f>IF(COUNTIFS(Eingabe[Name],Rekorde[[#This Row],[Name]],Eingabe[Wo],"H")&gt;0,_xlfn.MAXIFS(Eingabe[S3],Eingabe[Name],Rekorde[[#This Row],[Name]],Eingabe[Wo],"H"),"")</f>
        <v>154</v>
      </c>
      <c r="U16" s="51">
        <f>IF(COUNTIFS(Eingabe[Name],Rekorde[[#This Row],[Name]],Eingabe[Wo],"H")&gt;0,_xlfn.MAXIFS(Eingabe[S4],Eingabe[Name],Rekorde[[#This Row],[Name]],Eingabe[Wo],"H"),"")</f>
        <v>149</v>
      </c>
      <c r="V16" s="51">
        <f>IF(Rekorde[[#This Row],[S1 H]]="","",MAX(Rekorde[[#This Row],[S1 H]:[S4 H]]))</f>
        <v>154</v>
      </c>
      <c r="W16" s="52">
        <f>IF(COUNTIFS(Eingabe[Name],Rekorde[[#This Row],[Name]],Eingabe[Wo],"H")&gt;0,_xlfn.MINIFS(Eingabe[Fehler],Eingabe[Name],Rekorde[[#This Row],[Name]],Eingabe[Wo],"H"),"")</f>
        <v>1</v>
      </c>
      <c r="X16" s="51">
        <f>IF(COUNTIFS(Eingabe[Name],Rekorde[[#This Row],[Name]],Eingabe[Wo],"H")&gt;0,_xlfn.MAXIFS(Eingabe[GEGGES],Eingabe[Name],Rekorde[[#This Row],[Name]],Eingabe[Wo],"H"),"")</f>
        <v>545</v>
      </c>
      <c r="Y16" s="51">
        <f>IF(COUNTIFS(Eingabe[Name],Rekorde[[#This Row],[Name]],Eingabe[Wo],"A")&gt;0,_xlfn.MAXIFS(Eingabe[GES],Eingabe[Name],Rekorde[[#This Row],[Name]],Eingabe[Wo],"A"),"")</f>
        <v>560</v>
      </c>
      <c r="Z16" s="51">
        <f>IF(COUNTIFS(Eingabe[Name],Rekorde[[#This Row],[Name]],Eingabe[Wo],"A")&gt;0,_xlfn.MAXIFS(Eingabe[Volle],Eingabe[Name],Rekorde[[#This Row],[Name]],Eingabe[Wo],"A"),"")</f>
        <v>366</v>
      </c>
      <c r="AA16" s="51">
        <f>IF(COUNTIFS(Eingabe[Name],Rekorde[[#This Row],[Name]],Eingabe[Wo],"A")&gt;0,_xlfn.MAXIFS(Eingabe[Räumer],Eingabe[Name],Rekorde[[#This Row],[Name]],Eingabe[Wo],"A"),"")</f>
        <v>206</v>
      </c>
      <c r="AB16" s="51">
        <f>IF(COUNTIFS(Eingabe[Name],Rekorde[[#This Row],[Name]],Eingabe[Wo],"A")&gt;0,_xlfn.MAXIFS(Eingabe[S1],Eingabe[Name],Rekorde[[#This Row],[Name]],Eingabe[Wo],"A"),"")</f>
        <v>140</v>
      </c>
      <c r="AC16" s="51">
        <f>IF(COUNTIFS(Eingabe[Name],Rekorde[[#This Row],[Name]],Eingabe[Wo],"A")&gt;0,_xlfn.MAXIFS(Eingabe[S2],Eingabe[Name],Rekorde[[#This Row],[Name]],Eingabe[Wo],"A"),"")</f>
        <v>147</v>
      </c>
      <c r="AD16" s="51">
        <f>IF(COUNTIFS(Eingabe[Name],Rekorde[[#This Row],[Name]],Eingabe[Wo],"A")&gt;0,_xlfn.MAXIFS(Eingabe[S3],Eingabe[Name],Rekorde[[#This Row],[Name]],Eingabe[Wo],"A"),"")</f>
        <v>137</v>
      </c>
      <c r="AE16" s="51">
        <f>IF(COUNTIFS(Eingabe[Name],Rekorde[[#This Row],[Name]],Eingabe[Wo],"A")&gt;0,_xlfn.MAXIFS(Eingabe[S4],Eingabe[Name],Rekorde[[#This Row],[Name]],Eingabe[Wo],"A"),"")</f>
        <v>167</v>
      </c>
      <c r="AF16" s="51">
        <f>IF(Rekorde[[#This Row],[S1 A]]="","",MAX(Rekorde[[#This Row],[S1 A]:[S4 A]]))</f>
        <v>167</v>
      </c>
      <c r="AG16" s="52">
        <f>IF(COUNTIFS(Eingabe[Name],Rekorde[[#This Row],[Name]],Eingabe[Wo],"A")&gt;0,_xlfn.MINIFS(Eingabe[Fehler],Eingabe[Name],Rekorde[[#This Row],[Name]],Eingabe[Wo],"A"),"")</f>
        <v>2</v>
      </c>
      <c r="AH16" s="51">
        <f>IF(COUNTIFS(Eingabe[Name],Rekorde[[#This Row],[Name]],Eingabe[Wo],"A")&gt;0,_xlfn.MAXIFS(Eingabe[GEGGES],Eingabe[Name],Rekorde[[#This Row],[Name]],Eingabe[Wo],"A"),"")</f>
        <v>575</v>
      </c>
      <c r="AJ16" s="233"/>
      <c r="AK16" s="223"/>
      <c r="AL16" s="222"/>
      <c r="AM16" s="222"/>
      <c r="AN16" s="229"/>
      <c r="AO16" s="223"/>
      <c r="AP16" s="222"/>
      <c r="AQ16" s="222"/>
      <c r="AR16" s="229"/>
      <c r="AS16" s="223"/>
      <c r="AT16" s="222"/>
      <c r="AU16" s="222"/>
      <c r="AV16" s="229"/>
    </row>
    <row r="17" spans="3:48" x14ac:dyDescent="0.3">
      <c r="C17" s="53" t="s">
        <v>12</v>
      </c>
      <c r="D17" s="12" t="str">
        <f>VLOOKUP(Rekorde[[#This Row],[Name]],Teamzuordnung[[Name]:[Team]],2,FALSE)</f>
        <v>Z</v>
      </c>
      <c r="E17" s="51">
        <f>IF(COUNTIF(Eingabe[Name],Rekorde[[#This Row],[Name]])&gt;0,_xlfn.MAXIFS(Eingabe[GES],Eingabe[Name],Rekorde[[#This Row],[Name]]),"")</f>
        <v>577</v>
      </c>
      <c r="F17" s="51">
        <f>IF(COUNTIF(Eingabe[Name],Rekorde[[#This Row],[Name]])&gt;0,_xlfn.MAXIFS(Eingabe[Volle],Eingabe[Name],Rekorde[[#This Row],[Name]]),"")</f>
        <v>392</v>
      </c>
      <c r="G17" s="51">
        <f>IF(COUNTIF(Eingabe[Name],Rekorde[[#This Row],[Name]])&gt;0,_xlfn.MAXIFS(Eingabe[Räumer],Eingabe[Name],Rekorde[[#This Row],[Name]]),"")</f>
        <v>193</v>
      </c>
      <c r="H17" s="51">
        <f>IF(COUNTIF(Eingabe[Name],Rekorde[[#This Row],[Name]])&gt;0,_xlfn.MAXIFS(Eingabe[S1],Eingabe[Name],Rekorde[[#This Row],[Name]]),"")</f>
        <v>166</v>
      </c>
      <c r="I17" s="51">
        <f>IF(COUNTIF(Eingabe[Name],Rekorde[[#This Row],[Name]])&gt;0,_xlfn.MAXIFS(Eingabe[S2],Eingabe[Name],Rekorde[[#This Row],[Name]]),"")</f>
        <v>150</v>
      </c>
      <c r="J17" s="51">
        <f>IF(COUNTIF(Eingabe[Name],Rekorde[[#This Row],[Name]])&gt;0,_xlfn.MAXIFS(Eingabe[S3],Eingabe[Name],Rekorde[[#This Row],[Name]]),"")</f>
        <v>150</v>
      </c>
      <c r="K17" s="51">
        <f>IF(COUNTIF(Eingabe[Name],Rekorde[[#This Row],[Name]])&gt;0,_xlfn.MAXIFS(Eingabe[S4],Eingabe[Name],Rekorde[[#This Row],[Name]]),"")</f>
        <v>158</v>
      </c>
      <c r="L17" s="51">
        <f>IF(MAX(Rekorde[[#This Row],[S1]:[S4]])=0,"",MAX(Rekorde[[#This Row],[S1]:[S4]]))</f>
        <v>166</v>
      </c>
      <c r="M17" s="52">
        <f>IF(COUNTIF(Eingabe[Name],Rekorde[[#This Row],[Name]])&gt;0,_xlfn.MINIFS(Eingabe[Fehler],Eingabe[Name],Rekorde[[#This Row],[Name]]),"")</f>
        <v>1</v>
      </c>
      <c r="N17" s="51">
        <f>IF(COUNTIF(Eingabe[Name],Rekorde[[#This Row],[Name]])&gt;0,_xlfn.MAXIFS(Eingabe[GEGGES],Eingabe[Name],Rekorde[[#This Row],[Name]]),"")</f>
        <v>585</v>
      </c>
      <c r="O17" s="51">
        <f>IF(COUNTIFS(Eingabe[Name],Rekorde[[#This Row],[Name]],Eingabe[Wo],"H")&gt;0,_xlfn.MAXIFS(Eingabe[GES],Eingabe[Name],Rekorde[[#This Row],[Name]],Eingabe[Wo],"H"),"")</f>
        <v>533</v>
      </c>
      <c r="P17" s="51">
        <f>IF(COUNTIFS(Eingabe[Name],Rekorde[[#This Row],[Name]],Eingabe[Wo],"H")&gt;0,_xlfn.MAXIFS(Eingabe[Volle],Eingabe[Name],Rekorde[[#This Row],[Name]],Eingabe[Wo],"H"),"")</f>
        <v>367</v>
      </c>
      <c r="Q17" s="51">
        <f>IF(COUNTIFS(Eingabe[Name],Rekorde[[#This Row],[Name]],Eingabe[Wo],"H")&gt;0,_xlfn.MAXIFS(Eingabe[Räumer],Eingabe[Name],Rekorde[[#This Row],[Name]],Eingabe[Wo],"H"),"")</f>
        <v>182</v>
      </c>
      <c r="R17" s="51">
        <f>IF(COUNTIFS(Eingabe[Name],Rekorde[[#This Row],[Name]],Eingabe[Wo],"H")&gt;0,_xlfn.MAXIFS(Eingabe[S1],Eingabe[Name],Rekorde[[#This Row],[Name]],Eingabe[Wo],"H"),"")</f>
        <v>133</v>
      </c>
      <c r="S17" s="51">
        <f>IF(COUNTIFS(Eingabe[Name],Rekorde[[#This Row],[Name]],Eingabe[Wo],"H")&gt;0,_xlfn.MAXIFS(Eingabe[S2],Eingabe[Name],Rekorde[[#This Row],[Name]],Eingabe[Wo],"H"),"")</f>
        <v>144</v>
      </c>
      <c r="T17" s="51">
        <f>IF(COUNTIFS(Eingabe[Name],Rekorde[[#This Row],[Name]],Eingabe[Wo],"H")&gt;0,_xlfn.MAXIFS(Eingabe[S3],Eingabe[Name],Rekorde[[#This Row],[Name]],Eingabe[Wo],"H"),"")</f>
        <v>148</v>
      </c>
      <c r="U17" s="51">
        <f>IF(COUNTIFS(Eingabe[Name],Rekorde[[#This Row],[Name]],Eingabe[Wo],"H")&gt;0,_xlfn.MAXIFS(Eingabe[S4],Eingabe[Name],Rekorde[[#This Row],[Name]],Eingabe[Wo],"H"),"")</f>
        <v>134</v>
      </c>
      <c r="V17" s="51">
        <f>IF(Rekorde[[#This Row],[S1 H]]="","",MAX(Rekorde[[#This Row],[S1 H]:[S4 H]]))</f>
        <v>148</v>
      </c>
      <c r="W17" s="52">
        <f>IF(COUNTIFS(Eingabe[Name],Rekorde[[#This Row],[Name]],Eingabe[Wo],"H")&gt;0,_xlfn.MINIFS(Eingabe[Fehler],Eingabe[Name],Rekorde[[#This Row],[Name]],Eingabe[Wo],"H"),"")</f>
        <v>5</v>
      </c>
      <c r="X17" s="51">
        <f>IF(COUNTIFS(Eingabe[Name],Rekorde[[#This Row],[Name]],Eingabe[Wo],"H")&gt;0,_xlfn.MAXIFS(Eingabe[GEGGES],Eingabe[Name],Rekorde[[#This Row],[Name]],Eingabe[Wo],"H"),"")</f>
        <v>540</v>
      </c>
      <c r="Y17" s="51">
        <f>IF(COUNTIFS(Eingabe[Name],Rekorde[[#This Row],[Name]],Eingabe[Wo],"A")&gt;0,_xlfn.MAXIFS(Eingabe[GES],Eingabe[Name],Rekorde[[#This Row],[Name]],Eingabe[Wo],"A"),"")</f>
        <v>577</v>
      </c>
      <c r="Z17" s="51">
        <f>IF(COUNTIFS(Eingabe[Name],Rekorde[[#This Row],[Name]],Eingabe[Wo],"A")&gt;0,_xlfn.MAXIFS(Eingabe[Volle],Eingabe[Name],Rekorde[[#This Row],[Name]],Eingabe[Wo],"A"),"")</f>
        <v>392</v>
      </c>
      <c r="AA17" s="51">
        <f>IF(COUNTIFS(Eingabe[Name],Rekorde[[#This Row],[Name]],Eingabe[Wo],"A")&gt;0,_xlfn.MAXIFS(Eingabe[Räumer],Eingabe[Name],Rekorde[[#This Row],[Name]],Eingabe[Wo],"A"),"")</f>
        <v>193</v>
      </c>
      <c r="AB17" s="51">
        <f>IF(COUNTIFS(Eingabe[Name],Rekorde[[#This Row],[Name]],Eingabe[Wo],"A")&gt;0,_xlfn.MAXIFS(Eingabe[S1],Eingabe[Name],Rekorde[[#This Row],[Name]],Eingabe[Wo],"A"),"")</f>
        <v>166</v>
      </c>
      <c r="AC17" s="51">
        <f>IF(COUNTIFS(Eingabe[Name],Rekorde[[#This Row],[Name]],Eingabe[Wo],"A")&gt;0,_xlfn.MAXIFS(Eingabe[S2],Eingabe[Name],Rekorde[[#This Row],[Name]],Eingabe[Wo],"A"),"")</f>
        <v>150</v>
      </c>
      <c r="AD17" s="51">
        <f>IF(COUNTIFS(Eingabe[Name],Rekorde[[#This Row],[Name]],Eingabe[Wo],"A")&gt;0,_xlfn.MAXIFS(Eingabe[S3],Eingabe[Name],Rekorde[[#This Row],[Name]],Eingabe[Wo],"A"),"")</f>
        <v>150</v>
      </c>
      <c r="AE17" s="51">
        <f>IF(COUNTIFS(Eingabe[Name],Rekorde[[#This Row],[Name]],Eingabe[Wo],"A")&gt;0,_xlfn.MAXIFS(Eingabe[S4],Eingabe[Name],Rekorde[[#This Row],[Name]],Eingabe[Wo],"A"),"")</f>
        <v>158</v>
      </c>
      <c r="AF17" s="51">
        <f>IF(Rekorde[[#This Row],[S1 A]]="","",MAX(Rekorde[[#This Row],[S1 A]:[S4 A]]))</f>
        <v>166</v>
      </c>
      <c r="AG17" s="52">
        <f>IF(COUNTIFS(Eingabe[Name],Rekorde[[#This Row],[Name]],Eingabe[Wo],"A")&gt;0,_xlfn.MINIFS(Eingabe[Fehler],Eingabe[Name],Rekorde[[#This Row],[Name]],Eingabe[Wo],"A"),"")</f>
        <v>1</v>
      </c>
      <c r="AH17" s="51">
        <f>IF(COUNTIFS(Eingabe[Name],Rekorde[[#This Row],[Name]],Eingabe[Wo],"A")&gt;0,_xlfn.MAXIFS(Eingabe[GEGGES],Eingabe[Name],Rekorde[[#This Row],[Name]],Eingabe[Wo],"A"),"")</f>
        <v>585</v>
      </c>
      <c r="AJ17" s="233"/>
      <c r="AK17" s="223"/>
      <c r="AL17" s="222"/>
      <c r="AM17" s="222"/>
      <c r="AN17" s="229"/>
      <c r="AO17" s="223"/>
      <c r="AP17" s="222"/>
      <c r="AQ17" s="222"/>
      <c r="AR17" s="229"/>
      <c r="AS17" s="223"/>
      <c r="AT17" s="222"/>
      <c r="AU17" s="222"/>
      <c r="AV17" s="229"/>
    </row>
    <row r="18" spans="3:48" ht="16.2" thickBot="1" x14ac:dyDescent="0.35">
      <c r="C18" s="53" t="s">
        <v>6</v>
      </c>
      <c r="D18" s="12" t="str">
        <f>VLOOKUP(Rekorde[[#This Row],[Name]],Teamzuordnung[[Name]:[Team]],2,FALSE)</f>
        <v>E</v>
      </c>
      <c r="E18" s="51">
        <f>IF(COUNTIF(Eingabe[Name],Rekorde[[#This Row],[Name]])&gt;0,_xlfn.MAXIFS(Eingabe[GES],Eingabe[Name],Rekorde[[#This Row],[Name]]),"")</f>
        <v>554</v>
      </c>
      <c r="F18" s="51">
        <f>IF(COUNTIF(Eingabe[Name],Rekorde[[#This Row],[Name]])&gt;0,_xlfn.MAXIFS(Eingabe[Volle],Eingabe[Name],Rekorde[[#This Row],[Name]]),"")</f>
        <v>379</v>
      </c>
      <c r="G18" s="51">
        <f>IF(COUNTIF(Eingabe[Name],Rekorde[[#This Row],[Name]])&gt;0,_xlfn.MAXIFS(Eingabe[Räumer],Eingabe[Name],Rekorde[[#This Row],[Name]]),"")</f>
        <v>188</v>
      </c>
      <c r="H18" s="51">
        <f>IF(COUNTIF(Eingabe[Name],Rekorde[[#This Row],[Name]])&gt;0,_xlfn.MAXIFS(Eingabe[S1],Eingabe[Name],Rekorde[[#This Row],[Name]]),"")</f>
        <v>142</v>
      </c>
      <c r="I18" s="51">
        <f>IF(COUNTIF(Eingabe[Name],Rekorde[[#This Row],[Name]])&gt;0,_xlfn.MAXIFS(Eingabe[S2],Eingabe[Name],Rekorde[[#This Row],[Name]]),"")</f>
        <v>152</v>
      </c>
      <c r="J18" s="51">
        <f>IF(COUNTIF(Eingabe[Name],Rekorde[[#This Row],[Name]])&gt;0,_xlfn.MAXIFS(Eingabe[S3],Eingabe[Name],Rekorde[[#This Row],[Name]]),"")</f>
        <v>144</v>
      </c>
      <c r="K18" s="51">
        <f>IF(COUNTIF(Eingabe[Name],Rekorde[[#This Row],[Name]])&gt;0,_xlfn.MAXIFS(Eingabe[S4],Eingabe[Name],Rekorde[[#This Row],[Name]]),"")</f>
        <v>161</v>
      </c>
      <c r="L18" s="51">
        <f>IF(MAX(Rekorde[[#This Row],[S1]:[S4]])=0,"",MAX(Rekorde[[#This Row],[S1]:[S4]]))</f>
        <v>161</v>
      </c>
      <c r="M18" s="52">
        <f>IF(COUNTIF(Eingabe[Name],Rekorde[[#This Row],[Name]])&gt;0,_xlfn.MINIFS(Eingabe[Fehler],Eingabe[Name],Rekorde[[#This Row],[Name]]),"")</f>
        <v>2</v>
      </c>
      <c r="N18" s="51">
        <f>IF(COUNTIF(Eingabe[Name],Rekorde[[#This Row],[Name]])&gt;0,_xlfn.MAXIFS(Eingabe[GEGGES],Eingabe[Name],Rekorde[[#This Row],[Name]]),"")</f>
        <v>597</v>
      </c>
      <c r="O18" s="51">
        <f>IF(COUNTIFS(Eingabe[Name],Rekorde[[#This Row],[Name]],Eingabe[Wo],"H")&gt;0,_xlfn.MAXIFS(Eingabe[GES],Eingabe[Name],Rekorde[[#This Row],[Name]],Eingabe[Wo],"H"),"")</f>
        <v>554</v>
      </c>
      <c r="P18" s="51">
        <f>IF(COUNTIFS(Eingabe[Name],Rekorde[[#This Row],[Name]],Eingabe[Wo],"H")&gt;0,_xlfn.MAXIFS(Eingabe[Volle],Eingabe[Name],Rekorde[[#This Row],[Name]],Eingabe[Wo],"H"),"")</f>
        <v>379</v>
      </c>
      <c r="Q18" s="51">
        <f>IF(COUNTIFS(Eingabe[Name],Rekorde[[#This Row],[Name]],Eingabe[Wo],"H")&gt;0,_xlfn.MAXIFS(Eingabe[Räumer],Eingabe[Name],Rekorde[[#This Row],[Name]],Eingabe[Wo],"H"),"")</f>
        <v>188</v>
      </c>
      <c r="R18" s="51">
        <f>IF(COUNTIFS(Eingabe[Name],Rekorde[[#This Row],[Name]],Eingabe[Wo],"H")&gt;0,_xlfn.MAXIFS(Eingabe[S1],Eingabe[Name],Rekorde[[#This Row],[Name]],Eingabe[Wo],"H"),"")</f>
        <v>142</v>
      </c>
      <c r="S18" s="51">
        <f>IF(COUNTIFS(Eingabe[Name],Rekorde[[#This Row],[Name]],Eingabe[Wo],"H")&gt;0,_xlfn.MAXIFS(Eingabe[S2],Eingabe[Name],Rekorde[[#This Row],[Name]],Eingabe[Wo],"H"),"")</f>
        <v>139</v>
      </c>
      <c r="T18" s="51">
        <f>IF(COUNTIFS(Eingabe[Name],Rekorde[[#This Row],[Name]],Eingabe[Wo],"H")&gt;0,_xlfn.MAXIFS(Eingabe[S3],Eingabe[Name],Rekorde[[#This Row],[Name]],Eingabe[Wo],"H"),"")</f>
        <v>144</v>
      </c>
      <c r="U18" s="51">
        <f>IF(COUNTIFS(Eingabe[Name],Rekorde[[#This Row],[Name]],Eingabe[Wo],"H")&gt;0,_xlfn.MAXIFS(Eingabe[S4],Eingabe[Name],Rekorde[[#This Row],[Name]],Eingabe[Wo],"H"),"")</f>
        <v>161</v>
      </c>
      <c r="V18" s="51">
        <f>IF(Rekorde[[#This Row],[S1 H]]="","",MAX(Rekorde[[#This Row],[S1 H]:[S4 H]]))</f>
        <v>161</v>
      </c>
      <c r="W18" s="52">
        <f>IF(COUNTIFS(Eingabe[Name],Rekorde[[#This Row],[Name]],Eingabe[Wo],"H")&gt;0,_xlfn.MINIFS(Eingabe[Fehler],Eingabe[Name],Rekorde[[#This Row],[Name]],Eingabe[Wo],"H"),"")</f>
        <v>2</v>
      </c>
      <c r="X18" s="51">
        <f>IF(COUNTIFS(Eingabe[Name],Rekorde[[#This Row],[Name]],Eingabe[Wo],"H")&gt;0,_xlfn.MAXIFS(Eingabe[GEGGES],Eingabe[Name],Rekorde[[#This Row],[Name]],Eingabe[Wo],"H"),"")</f>
        <v>529</v>
      </c>
      <c r="Y18" s="51">
        <f>IF(COUNTIFS(Eingabe[Name],Rekorde[[#This Row],[Name]],Eingabe[Wo],"A")&gt;0,_xlfn.MAXIFS(Eingabe[GES],Eingabe[Name],Rekorde[[#This Row],[Name]],Eingabe[Wo],"A"),"")</f>
        <v>553</v>
      </c>
      <c r="Z18" s="51">
        <f>IF(COUNTIFS(Eingabe[Name],Rekorde[[#This Row],[Name]],Eingabe[Wo],"A")&gt;0,_xlfn.MAXIFS(Eingabe[Volle],Eingabe[Name],Rekorde[[#This Row],[Name]],Eingabe[Wo],"A"),"")</f>
        <v>369</v>
      </c>
      <c r="AA18" s="51">
        <f>IF(COUNTIFS(Eingabe[Name],Rekorde[[#This Row],[Name]],Eingabe[Wo],"A")&gt;0,_xlfn.MAXIFS(Eingabe[Räumer],Eingabe[Name],Rekorde[[#This Row],[Name]],Eingabe[Wo],"A"),"")</f>
        <v>184</v>
      </c>
      <c r="AB18" s="51">
        <f>IF(COUNTIFS(Eingabe[Name],Rekorde[[#This Row],[Name]],Eingabe[Wo],"A")&gt;0,_xlfn.MAXIFS(Eingabe[S1],Eingabe[Name],Rekorde[[#This Row],[Name]],Eingabe[Wo],"A"),"")</f>
        <v>132</v>
      </c>
      <c r="AC18" s="51">
        <f>IF(COUNTIFS(Eingabe[Name],Rekorde[[#This Row],[Name]],Eingabe[Wo],"A")&gt;0,_xlfn.MAXIFS(Eingabe[S2],Eingabe[Name],Rekorde[[#This Row],[Name]],Eingabe[Wo],"A"),"")</f>
        <v>152</v>
      </c>
      <c r="AD18" s="51">
        <f>IF(COUNTIFS(Eingabe[Name],Rekorde[[#This Row],[Name]],Eingabe[Wo],"A")&gt;0,_xlfn.MAXIFS(Eingabe[S3],Eingabe[Name],Rekorde[[#This Row],[Name]],Eingabe[Wo],"A"),"")</f>
        <v>141</v>
      </c>
      <c r="AE18" s="51">
        <f>IF(COUNTIFS(Eingabe[Name],Rekorde[[#This Row],[Name]],Eingabe[Wo],"A")&gt;0,_xlfn.MAXIFS(Eingabe[S4],Eingabe[Name],Rekorde[[#This Row],[Name]],Eingabe[Wo],"A"),"")</f>
        <v>139</v>
      </c>
      <c r="AF18" s="51">
        <f>IF(Rekorde[[#This Row],[S1 A]]="","",MAX(Rekorde[[#This Row],[S1 A]:[S4 A]]))</f>
        <v>152</v>
      </c>
      <c r="AG18" s="52">
        <f>IF(COUNTIFS(Eingabe[Name],Rekorde[[#This Row],[Name]],Eingabe[Wo],"A")&gt;0,_xlfn.MINIFS(Eingabe[Fehler],Eingabe[Name],Rekorde[[#This Row],[Name]],Eingabe[Wo],"A"),"")</f>
        <v>4</v>
      </c>
      <c r="AH18" s="51">
        <f>IF(COUNTIFS(Eingabe[Name],Rekorde[[#This Row],[Name]],Eingabe[Wo],"A")&gt;0,_xlfn.MAXIFS(Eingabe[GEGGES],Eingabe[Name],Rekorde[[#This Row],[Name]],Eingabe[Wo],"A"),"")</f>
        <v>597</v>
      </c>
      <c r="AJ18" s="234"/>
      <c r="AK18" s="224"/>
      <c r="AL18" s="225"/>
      <c r="AM18" s="225"/>
      <c r="AN18" s="230"/>
      <c r="AO18" s="224"/>
      <c r="AP18" s="225"/>
      <c r="AQ18" s="225"/>
      <c r="AR18" s="230"/>
      <c r="AS18" s="224"/>
      <c r="AT18" s="225"/>
      <c r="AU18" s="225"/>
      <c r="AV18" s="230"/>
    </row>
    <row r="19" spans="3:48" x14ac:dyDescent="0.3">
      <c r="C19" s="53" t="s">
        <v>477</v>
      </c>
      <c r="D19" s="12" t="str">
        <f>VLOOKUP(Rekorde[[#This Row],[Name]],Teamzuordnung[[Name]:[Team]],2,FALSE)</f>
        <v>U19</v>
      </c>
      <c r="E19" s="51">
        <f>IF(COUNTIF(Eingabe[Name],Rekorde[[#This Row],[Name]])&gt;0,_xlfn.MAXIFS(Eingabe[GES],Eingabe[Name],Rekorde[[#This Row],[Name]]),"")</f>
        <v>587</v>
      </c>
      <c r="F19" s="51">
        <f>IF(COUNTIF(Eingabe[Name],Rekorde[[#This Row],[Name]])&gt;0,_xlfn.MAXIFS(Eingabe[Volle],Eingabe[Name],Rekorde[[#This Row],[Name]]),"")</f>
        <v>393</v>
      </c>
      <c r="G19" s="51">
        <f>IF(COUNTIF(Eingabe[Name],Rekorde[[#This Row],[Name]])&gt;0,_xlfn.MAXIFS(Eingabe[Räumer],Eingabe[Name],Rekorde[[#This Row],[Name]]),"")</f>
        <v>201</v>
      </c>
      <c r="H19" s="51">
        <f>IF(COUNTIF(Eingabe[Name],Rekorde[[#This Row],[Name]])&gt;0,_xlfn.MAXIFS(Eingabe[S1],Eingabe[Name],Rekorde[[#This Row],[Name]]),"")</f>
        <v>160</v>
      </c>
      <c r="I19" s="51">
        <f>IF(COUNTIF(Eingabe[Name],Rekorde[[#This Row],[Name]])&gt;0,_xlfn.MAXIFS(Eingabe[S2],Eingabe[Name],Rekorde[[#This Row],[Name]]),"")</f>
        <v>147</v>
      </c>
      <c r="J19" s="51">
        <f>IF(COUNTIF(Eingabe[Name],Rekorde[[#This Row],[Name]])&gt;0,_xlfn.MAXIFS(Eingabe[S3],Eingabe[Name],Rekorde[[#This Row],[Name]]),"")</f>
        <v>160</v>
      </c>
      <c r="K19" s="51">
        <f>IF(COUNTIF(Eingabe[Name],Rekorde[[#This Row],[Name]])&gt;0,_xlfn.MAXIFS(Eingabe[S4],Eingabe[Name],Rekorde[[#This Row],[Name]]),"")</f>
        <v>152</v>
      </c>
      <c r="L19" s="51">
        <f>IF(MAX(Rekorde[[#This Row],[S1]:[S4]])=0,"",MAX(Rekorde[[#This Row],[S1]:[S4]]))</f>
        <v>160</v>
      </c>
      <c r="M19" s="52">
        <f>IF(COUNTIF(Eingabe[Name],Rekorde[[#This Row],[Name]])&gt;0,_xlfn.MINIFS(Eingabe[Fehler],Eingabe[Name],Rekorde[[#This Row],[Name]]),"")</f>
        <v>2</v>
      </c>
      <c r="N19" s="51">
        <f>IF(COUNTIF(Eingabe[Name],Rekorde[[#This Row],[Name]])&gt;0,_xlfn.MAXIFS(Eingabe[GEGGES],Eingabe[Name],Rekorde[[#This Row],[Name]]),"")</f>
        <v>445</v>
      </c>
      <c r="O19" s="51">
        <f>IF(COUNTIFS(Eingabe[Name],Rekorde[[#This Row],[Name]],Eingabe[Wo],"H")&gt;0,_xlfn.MAXIFS(Eingabe[GES],Eingabe[Name],Rekorde[[#This Row],[Name]],Eingabe[Wo],"H"),"")</f>
        <v>564</v>
      </c>
      <c r="P19" s="51">
        <f>IF(COUNTIFS(Eingabe[Name],Rekorde[[#This Row],[Name]],Eingabe[Wo],"H")&gt;0,_xlfn.MAXIFS(Eingabe[Volle],Eingabe[Name],Rekorde[[#This Row],[Name]],Eingabe[Wo],"H"),"")</f>
        <v>363</v>
      </c>
      <c r="Q19" s="51">
        <f>IF(COUNTIFS(Eingabe[Name],Rekorde[[#This Row],[Name]],Eingabe[Wo],"H")&gt;0,_xlfn.MAXIFS(Eingabe[Räumer],Eingabe[Name],Rekorde[[#This Row],[Name]],Eingabe[Wo],"H"),"")</f>
        <v>201</v>
      </c>
      <c r="R19" s="51">
        <f>IF(COUNTIFS(Eingabe[Name],Rekorde[[#This Row],[Name]],Eingabe[Wo],"H")&gt;0,_xlfn.MAXIFS(Eingabe[S1],Eingabe[Name],Rekorde[[#This Row],[Name]],Eingabe[Wo],"H"),"")</f>
        <v>146</v>
      </c>
      <c r="S19" s="51">
        <f>IF(COUNTIFS(Eingabe[Name],Rekorde[[#This Row],[Name]],Eingabe[Wo],"H")&gt;0,_xlfn.MAXIFS(Eingabe[S2],Eingabe[Name],Rekorde[[#This Row],[Name]],Eingabe[Wo],"H"),"")</f>
        <v>136</v>
      </c>
      <c r="T19" s="51">
        <f>IF(COUNTIFS(Eingabe[Name],Rekorde[[#This Row],[Name]],Eingabe[Wo],"H")&gt;0,_xlfn.MAXIFS(Eingabe[S3],Eingabe[Name],Rekorde[[#This Row],[Name]],Eingabe[Wo],"H"),"")</f>
        <v>160</v>
      </c>
      <c r="U19" s="51">
        <f>IF(COUNTIFS(Eingabe[Name],Rekorde[[#This Row],[Name]],Eingabe[Wo],"H")&gt;0,_xlfn.MAXIFS(Eingabe[S4],Eingabe[Name],Rekorde[[#This Row],[Name]],Eingabe[Wo],"H"),"")</f>
        <v>144</v>
      </c>
      <c r="V19" s="51">
        <f>IF(Rekorde[[#This Row],[S1 H]]="","",MAX(Rekorde[[#This Row],[S1 H]:[S4 H]]))</f>
        <v>160</v>
      </c>
      <c r="W19" s="52">
        <f>IF(COUNTIFS(Eingabe[Name],Rekorde[[#This Row],[Name]],Eingabe[Wo],"H")&gt;0,_xlfn.MINIFS(Eingabe[Fehler],Eingabe[Name],Rekorde[[#This Row],[Name]],Eingabe[Wo],"H"),"")</f>
        <v>4</v>
      </c>
      <c r="X19" s="51">
        <f>IF(COUNTIFS(Eingabe[Name],Rekorde[[#This Row],[Name]],Eingabe[Wo],"H")&gt;0,_xlfn.MAXIFS(Eingabe[GEGGES],Eingabe[Name],Rekorde[[#This Row],[Name]],Eingabe[Wo],"H"),"")</f>
        <v>445</v>
      </c>
      <c r="Y19" s="51">
        <f>IF(COUNTIFS(Eingabe[Name],Rekorde[[#This Row],[Name]],Eingabe[Wo],"A")&gt;0,_xlfn.MAXIFS(Eingabe[GES],Eingabe[Name],Rekorde[[#This Row],[Name]],Eingabe[Wo],"A"),"")</f>
        <v>587</v>
      </c>
      <c r="Z19" s="51">
        <f>IF(COUNTIFS(Eingabe[Name],Rekorde[[#This Row],[Name]],Eingabe[Wo],"A")&gt;0,_xlfn.MAXIFS(Eingabe[Volle],Eingabe[Name],Rekorde[[#This Row],[Name]],Eingabe[Wo],"A"),"")</f>
        <v>393</v>
      </c>
      <c r="AA19" s="51">
        <f>IF(COUNTIFS(Eingabe[Name],Rekorde[[#This Row],[Name]],Eingabe[Wo],"A")&gt;0,_xlfn.MAXIFS(Eingabe[Räumer],Eingabe[Name],Rekorde[[#This Row],[Name]],Eingabe[Wo],"A"),"")</f>
        <v>194</v>
      </c>
      <c r="AB19" s="51">
        <f>IF(COUNTIFS(Eingabe[Name],Rekorde[[#This Row],[Name]],Eingabe[Wo],"A")&gt;0,_xlfn.MAXIFS(Eingabe[S1],Eingabe[Name],Rekorde[[#This Row],[Name]],Eingabe[Wo],"A"),"")</f>
        <v>160</v>
      </c>
      <c r="AC19" s="51">
        <f>IF(COUNTIFS(Eingabe[Name],Rekorde[[#This Row],[Name]],Eingabe[Wo],"A")&gt;0,_xlfn.MAXIFS(Eingabe[S2],Eingabe[Name],Rekorde[[#This Row],[Name]],Eingabe[Wo],"A"),"")</f>
        <v>147</v>
      </c>
      <c r="AD19" s="51">
        <f>IF(COUNTIFS(Eingabe[Name],Rekorde[[#This Row],[Name]],Eingabe[Wo],"A")&gt;0,_xlfn.MAXIFS(Eingabe[S3],Eingabe[Name],Rekorde[[#This Row],[Name]],Eingabe[Wo],"A"),"")</f>
        <v>154</v>
      </c>
      <c r="AE19" s="51">
        <f>IF(COUNTIFS(Eingabe[Name],Rekorde[[#This Row],[Name]],Eingabe[Wo],"A")&gt;0,_xlfn.MAXIFS(Eingabe[S4],Eingabe[Name],Rekorde[[#This Row],[Name]],Eingabe[Wo],"A"),"")</f>
        <v>152</v>
      </c>
      <c r="AF19" s="51">
        <f>IF(Rekorde[[#This Row],[S1 A]]="","",MAX(Rekorde[[#This Row],[S1 A]:[S4 A]]))</f>
        <v>160</v>
      </c>
      <c r="AG19" s="52">
        <f>IF(COUNTIFS(Eingabe[Name],Rekorde[[#This Row],[Name]],Eingabe[Wo],"A")&gt;0,_xlfn.MINIFS(Eingabe[Fehler],Eingabe[Name],Rekorde[[#This Row],[Name]],Eingabe[Wo],"A"),"")</f>
        <v>2</v>
      </c>
      <c r="AH19" s="51">
        <f>IF(COUNTIFS(Eingabe[Name],Rekorde[[#This Row],[Name]],Eingabe[Wo],"A")&gt;0,_xlfn.MAXIFS(Eingabe[GEGGES],Eingabe[Name],Rekorde[[#This Row],[Name]],Eingabe[Wo],"A"),"")</f>
        <v>0</v>
      </c>
    </row>
    <row r="20" spans="3:48" x14ac:dyDescent="0.3">
      <c r="C20" s="53" t="s">
        <v>592</v>
      </c>
      <c r="D20" s="12" t="str">
        <f>VLOOKUP(Rekorde[[#This Row],[Name]],Teamzuordnung[[Name]:[Team]],2,FALSE)</f>
        <v>F</v>
      </c>
      <c r="E20" s="51">
        <f>IF(COUNTIF(Eingabe[Name],Rekorde[[#This Row],[Name]])&gt;0,_xlfn.MAXIFS(Eingabe[GES],Eingabe[Name],Rekorde[[#This Row],[Name]]),"")</f>
        <v>558</v>
      </c>
      <c r="F20" s="51">
        <f>IF(COUNTIF(Eingabe[Name],Rekorde[[#This Row],[Name]])&gt;0,_xlfn.MAXIFS(Eingabe[Volle],Eingabe[Name],Rekorde[[#This Row],[Name]]),"")</f>
        <v>378</v>
      </c>
      <c r="G20" s="51">
        <f>IF(COUNTIF(Eingabe[Name],Rekorde[[#This Row],[Name]])&gt;0,_xlfn.MAXIFS(Eingabe[Räumer],Eingabe[Name],Rekorde[[#This Row],[Name]]),"")</f>
        <v>193</v>
      </c>
      <c r="H20" s="51">
        <f>IF(COUNTIF(Eingabe[Name],Rekorde[[#This Row],[Name]])&gt;0,_xlfn.MAXIFS(Eingabe[S1],Eingabe[Name],Rekorde[[#This Row],[Name]]),"")</f>
        <v>143</v>
      </c>
      <c r="I20" s="51">
        <f>IF(COUNTIF(Eingabe[Name],Rekorde[[#This Row],[Name]])&gt;0,_xlfn.MAXIFS(Eingabe[S2],Eingabe[Name],Rekorde[[#This Row],[Name]]),"")</f>
        <v>137</v>
      </c>
      <c r="J20" s="51">
        <f>IF(COUNTIF(Eingabe[Name],Rekorde[[#This Row],[Name]])&gt;0,_xlfn.MAXIFS(Eingabe[S3],Eingabe[Name],Rekorde[[#This Row],[Name]]),"")</f>
        <v>159</v>
      </c>
      <c r="K20" s="51">
        <f>IF(COUNTIF(Eingabe[Name],Rekorde[[#This Row],[Name]])&gt;0,_xlfn.MAXIFS(Eingabe[S4],Eingabe[Name],Rekorde[[#This Row],[Name]]),"")</f>
        <v>142</v>
      </c>
      <c r="L20" s="51">
        <f>IF(MAX(Rekorde[[#This Row],[S1]:[S4]])=0,"",MAX(Rekorde[[#This Row],[S1]:[S4]]))</f>
        <v>159</v>
      </c>
      <c r="M20" s="52">
        <f>IF(COUNTIF(Eingabe[Name],Rekorde[[#This Row],[Name]])&gt;0,_xlfn.MINIFS(Eingabe[Fehler],Eingabe[Name],Rekorde[[#This Row],[Name]]),"")</f>
        <v>2</v>
      </c>
      <c r="N20" s="51">
        <f>IF(COUNTIF(Eingabe[Name],Rekorde[[#This Row],[Name]])&gt;0,_xlfn.MAXIFS(Eingabe[GEGGES],Eingabe[Name],Rekorde[[#This Row],[Name]]),"")</f>
        <v>555</v>
      </c>
      <c r="O20" s="51">
        <f>IF(COUNTIFS(Eingabe[Name],Rekorde[[#This Row],[Name]],Eingabe[Wo],"H")&gt;0,_xlfn.MAXIFS(Eingabe[GES],Eingabe[Name],Rekorde[[#This Row],[Name]],Eingabe[Wo],"H"),"")</f>
        <v>483</v>
      </c>
      <c r="P20" s="51">
        <f>IF(COUNTIFS(Eingabe[Name],Rekorde[[#This Row],[Name]],Eingabe[Wo],"H")&gt;0,_xlfn.MAXIFS(Eingabe[Volle],Eingabe[Name],Rekorde[[#This Row],[Name]],Eingabe[Wo],"H"),"")</f>
        <v>342</v>
      </c>
      <c r="Q20" s="51">
        <f>IF(COUNTIFS(Eingabe[Name],Rekorde[[#This Row],[Name]],Eingabe[Wo],"H")&gt;0,_xlfn.MAXIFS(Eingabe[Räumer],Eingabe[Name],Rekorde[[#This Row],[Name]],Eingabe[Wo],"H"),"")</f>
        <v>141</v>
      </c>
      <c r="R20" s="51">
        <f>IF(COUNTIFS(Eingabe[Name],Rekorde[[#This Row],[Name]],Eingabe[Wo],"H")&gt;0,_xlfn.MAXIFS(Eingabe[S1],Eingabe[Name],Rekorde[[#This Row],[Name]],Eingabe[Wo],"H"),"")</f>
        <v>118</v>
      </c>
      <c r="S20" s="51">
        <f>IF(COUNTIFS(Eingabe[Name],Rekorde[[#This Row],[Name]],Eingabe[Wo],"H")&gt;0,_xlfn.MAXIFS(Eingabe[S2],Eingabe[Name],Rekorde[[#This Row],[Name]],Eingabe[Wo],"H"),"")</f>
        <v>131</v>
      </c>
      <c r="T20" s="51">
        <f>IF(COUNTIFS(Eingabe[Name],Rekorde[[#This Row],[Name]],Eingabe[Wo],"H")&gt;0,_xlfn.MAXIFS(Eingabe[S3],Eingabe[Name],Rekorde[[#This Row],[Name]],Eingabe[Wo],"H"),"")</f>
        <v>126</v>
      </c>
      <c r="U20" s="51">
        <f>IF(COUNTIFS(Eingabe[Name],Rekorde[[#This Row],[Name]],Eingabe[Wo],"H")&gt;0,_xlfn.MAXIFS(Eingabe[S4],Eingabe[Name],Rekorde[[#This Row],[Name]],Eingabe[Wo],"H"),"")</f>
        <v>122</v>
      </c>
      <c r="V20" s="51">
        <f>IF(Rekorde[[#This Row],[S1 H]]="","",MAX(Rekorde[[#This Row],[S1 H]:[S4 H]]))</f>
        <v>131</v>
      </c>
      <c r="W20" s="52">
        <f>IF(COUNTIFS(Eingabe[Name],Rekorde[[#This Row],[Name]],Eingabe[Wo],"H")&gt;0,_xlfn.MINIFS(Eingabe[Fehler],Eingabe[Name],Rekorde[[#This Row],[Name]],Eingabe[Wo],"H"),"")</f>
        <v>11</v>
      </c>
      <c r="X20" s="51">
        <f>IF(COUNTIFS(Eingabe[Name],Rekorde[[#This Row],[Name]],Eingabe[Wo],"H")&gt;0,_xlfn.MAXIFS(Eingabe[GEGGES],Eingabe[Name],Rekorde[[#This Row],[Name]],Eingabe[Wo],"H"),"")</f>
        <v>504</v>
      </c>
      <c r="Y20" s="51">
        <f>IF(COUNTIFS(Eingabe[Name],Rekorde[[#This Row],[Name]],Eingabe[Wo],"A")&gt;0,_xlfn.MAXIFS(Eingabe[GES],Eingabe[Name],Rekorde[[#This Row],[Name]],Eingabe[Wo],"A"),"")</f>
        <v>558</v>
      </c>
      <c r="Z20" s="51">
        <f>IF(COUNTIFS(Eingabe[Name],Rekorde[[#This Row],[Name]],Eingabe[Wo],"A")&gt;0,_xlfn.MAXIFS(Eingabe[Volle],Eingabe[Name],Rekorde[[#This Row],[Name]],Eingabe[Wo],"A"),"")</f>
        <v>378</v>
      </c>
      <c r="AA20" s="51">
        <f>IF(COUNTIFS(Eingabe[Name],Rekorde[[#This Row],[Name]],Eingabe[Wo],"A")&gt;0,_xlfn.MAXIFS(Eingabe[Räumer],Eingabe[Name],Rekorde[[#This Row],[Name]],Eingabe[Wo],"A"),"")</f>
        <v>193</v>
      </c>
      <c r="AB20" s="51">
        <f>IF(COUNTIFS(Eingabe[Name],Rekorde[[#This Row],[Name]],Eingabe[Wo],"A")&gt;0,_xlfn.MAXIFS(Eingabe[S1],Eingabe[Name],Rekorde[[#This Row],[Name]],Eingabe[Wo],"A"),"")</f>
        <v>143</v>
      </c>
      <c r="AC20" s="51">
        <f>IF(COUNTIFS(Eingabe[Name],Rekorde[[#This Row],[Name]],Eingabe[Wo],"A")&gt;0,_xlfn.MAXIFS(Eingabe[S2],Eingabe[Name],Rekorde[[#This Row],[Name]],Eingabe[Wo],"A"),"")</f>
        <v>137</v>
      </c>
      <c r="AD20" s="51">
        <f>IF(COUNTIFS(Eingabe[Name],Rekorde[[#This Row],[Name]],Eingabe[Wo],"A")&gt;0,_xlfn.MAXIFS(Eingabe[S3],Eingabe[Name],Rekorde[[#This Row],[Name]],Eingabe[Wo],"A"),"")</f>
        <v>159</v>
      </c>
      <c r="AE20" s="51">
        <f>IF(COUNTIFS(Eingabe[Name],Rekorde[[#This Row],[Name]],Eingabe[Wo],"A")&gt;0,_xlfn.MAXIFS(Eingabe[S4],Eingabe[Name],Rekorde[[#This Row],[Name]],Eingabe[Wo],"A"),"")</f>
        <v>142</v>
      </c>
      <c r="AF20" s="51">
        <f>IF(Rekorde[[#This Row],[S1 A]]="","",MAX(Rekorde[[#This Row],[S1 A]:[S4 A]]))</f>
        <v>159</v>
      </c>
      <c r="AG20" s="52">
        <f>IF(COUNTIFS(Eingabe[Name],Rekorde[[#This Row],[Name]],Eingabe[Wo],"A")&gt;0,_xlfn.MINIFS(Eingabe[Fehler],Eingabe[Name],Rekorde[[#This Row],[Name]],Eingabe[Wo],"A"),"")</f>
        <v>2</v>
      </c>
      <c r="AH20" s="51">
        <f>IF(COUNTIFS(Eingabe[Name],Rekorde[[#This Row],[Name]],Eingabe[Wo],"A")&gt;0,_xlfn.MAXIFS(Eingabe[GEGGES],Eingabe[Name],Rekorde[[#This Row],[Name]],Eingabe[Wo],"A"),"")</f>
        <v>555</v>
      </c>
    </row>
    <row r="21" spans="3:48" x14ac:dyDescent="0.3">
      <c r="C21" s="53" t="s">
        <v>490</v>
      </c>
      <c r="D21" s="12" t="str">
        <f>VLOOKUP(Rekorde[[#This Row],[Name]],Teamzuordnung[[Name]:[Team]],2,FALSE)</f>
        <v>Z</v>
      </c>
      <c r="E21" s="51">
        <f>IF(COUNTIF(Eingabe[Name],Rekorde[[#This Row],[Name]])&gt;0,_xlfn.MAXIFS(Eingabe[GES],Eingabe[Name],Rekorde[[#This Row],[Name]]),"")</f>
        <v>627</v>
      </c>
      <c r="F21" s="51">
        <f>IF(COUNTIF(Eingabe[Name],Rekorde[[#This Row],[Name]])&gt;0,_xlfn.MAXIFS(Eingabe[Volle],Eingabe[Name],Rekorde[[#This Row],[Name]]),"")</f>
        <v>380</v>
      </c>
      <c r="G21" s="51">
        <f>IF(COUNTIF(Eingabe[Name],Rekorde[[#This Row],[Name]])&gt;0,_xlfn.MAXIFS(Eingabe[Räumer],Eingabe[Name],Rekorde[[#This Row],[Name]]),"")</f>
        <v>247</v>
      </c>
      <c r="H21" s="51">
        <f>IF(COUNTIF(Eingabe[Name],Rekorde[[#This Row],[Name]])&gt;0,_xlfn.MAXIFS(Eingabe[S1],Eingabe[Name],Rekorde[[#This Row],[Name]]),"")</f>
        <v>158</v>
      </c>
      <c r="I21" s="51">
        <f>IF(COUNTIF(Eingabe[Name],Rekorde[[#This Row],[Name]])&gt;0,_xlfn.MAXIFS(Eingabe[S2],Eingabe[Name],Rekorde[[#This Row],[Name]]),"")</f>
        <v>157</v>
      </c>
      <c r="J21" s="51">
        <f>IF(COUNTIF(Eingabe[Name],Rekorde[[#This Row],[Name]])&gt;0,_xlfn.MAXIFS(Eingabe[S3],Eingabe[Name],Rekorde[[#This Row],[Name]]),"")</f>
        <v>156</v>
      </c>
      <c r="K21" s="51">
        <f>IF(COUNTIF(Eingabe[Name],Rekorde[[#This Row],[Name]])&gt;0,_xlfn.MAXIFS(Eingabe[S4],Eingabe[Name],Rekorde[[#This Row],[Name]]),"")</f>
        <v>156</v>
      </c>
      <c r="L21" s="51">
        <f>IF(MAX(Rekorde[[#This Row],[S1]:[S4]])=0,"",MAX(Rekorde[[#This Row],[S1]:[S4]]))</f>
        <v>158</v>
      </c>
      <c r="M21" s="52">
        <f>IF(COUNTIF(Eingabe[Name],Rekorde[[#This Row],[Name]])&gt;0,_xlfn.MINIFS(Eingabe[Fehler],Eingabe[Name],Rekorde[[#This Row],[Name]]),"")</f>
        <v>2</v>
      </c>
      <c r="N21" s="51">
        <f>IF(COUNTIF(Eingabe[Name],Rekorde[[#This Row],[Name]])&gt;0,_xlfn.MAXIFS(Eingabe[GEGGES],Eingabe[Name],Rekorde[[#This Row],[Name]]),"")</f>
        <v>543</v>
      </c>
      <c r="O21" s="51">
        <f>IF(COUNTIFS(Eingabe[Name],Rekorde[[#This Row],[Name]],Eingabe[Wo],"H")&gt;0,_xlfn.MAXIFS(Eingabe[GES],Eingabe[Name],Rekorde[[#This Row],[Name]],Eingabe[Wo],"H"),"")</f>
        <v>496</v>
      </c>
      <c r="P21" s="51">
        <f>IF(COUNTIFS(Eingabe[Name],Rekorde[[#This Row],[Name]],Eingabe[Wo],"H")&gt;0,_xlfn.MAXIFS(Eingabe[Volle],Eingabe[Name],Rekorde[[#This Row],[Name]],Eingabe[Wo],"H"),"")</f>
        <v>352</v>
      </c>
      <c r="Q21" s="51">
        <f>IF(COUNTIFS(Eingabe[Name],Rekorde[[#This Row],[Name]],Eingabe[Wo],"H")&gt;0,_xlfn.MAXIFS(Eingabe[Räumer],Eingabe[Name],Rekorde[[#This Row],[Name]],Eingabe[Wo],"H"),"")</f>
        <v>158</v>
      </c>
      <c r="R21" s="51">
        <f>IF(COUNTIFS(Eingabe[Name],Rekorde[[#This Row],[Name]],Eingabe[Wo],"H")&gt;0,_xlfn.MAXIFS(Eingabe[S1],Eingabe[Name],Rekorde[[#This Row],[Name]],Eingabe[Wo],"H"),"")</f>
        <v>116</v>
      </c>
      <c r="S21" s="51">
        <f>IF(COUNTIFS(Eingabe[Name],Rekorde[[#This Row],[Name]],Eingabe[Wo],"H")&gt;0,_xlfn.MAXIFS(Eingabe[S2],Eingabe[Name],Rekorde[[#This Row],[Name]],Eingabe[Wo],"H"),"")</f>
        <v>142</v>
      </c>
      <c r="T21" s="51">
        <f>IF(COUNTIFS(Eingabe[Name],Rekorde[[#This Row],[Name]],Eingabe[Wo],"H")&gt;0,_xlfn.MAXIFS(Eingabe[S3],Eingabe[Name],Rekorde[[#This Row],[Name]],Eingabe[Wo],"H"),"")</f>
        <v>119</v>
      </c>
      <c r="U21" s="51">
        <f>IF(COUNTIFS(Eingabe[Name],Rekorde[[#This Row],[Name]],Eingabe[Wo],"H")&gt;0,_xlfn.MAXIFS(Eingabe[S4],Eingabe[Name],Rekorde[[#This Row],[Name]],Eingabe[Wo],"H"),"")</f>
        <v>122</v>
      </c>
      <c r="V21" s="51">
        <f>IF(Rekorde[[#This Row],[S1 H]]="","",MAX(Rekorde[[#This Row],[S1 H]:[S4 H]]))</f>
        <v>142</v>
      </c>
      <c r="W21" s="52">
        <f>IF(COUNTIFS(Eingabe[Name],Rekorde[[#This Row],[Name]],Eingabe[Wo],"H")&gt;0,_xlfn.MINIFS(Eingabe[Fehler],Eingabe[Name],Rekorde[[#This Row],[Name]],Eingabe[Wo],"H"),"")</f>
        <v>9</v>
      </c>
      <c r="X21" s="51">
        <f>IF(COUNTIFS(Eingabe[Name],Rekorde[[#This Row],[Name]],Eingabe[Wo],"H")&gt;0,_xlfn.MAXIFS(Eingabe[GEGGES],Eingabe[Name],Rekorde[[#This Row],[Name]],Eingabe[Wo],"H"),"")</f>
        <v>543</v>
      </c>
      <c r="Y21" s="51">
        <f>IF(COUNTIFS(Eingabe[Name],Rekorde[[#This Row],[Name]],Eingabe[Wo],"A")&gt;0,_xlfn.MAXIFS(Eingabe[GES],Eingabe[Name],Rekorde[[#This Row],[Name]],Eingabe[Wo],"A"),"")</f>
        <v>627</v>
      </c>
      <c r="Z21" s="51">
        <f>IF(COUNTIFS(Eingabe[Name],Rekorde[[#This Row],[Name]],Eingabe[Wo],"A")&gt;0,_xlfn.MAXIFS(Eingabe[Volle],Eingabe[Name],Rekorde[[#This Row],[Name]],Eingabe[Wo],"A"),"")</f>
        <v>380</v>
      </c>
      <c r="AA21" s="51">
        <f>IF(COUNTIFS(Eingabe[Name],Rekorde[[#This Row],[Name]],Eingabe[Wo],"A")&gt;0,_xlfn.MAXIFS(Eingabe[Räumer],Eingabe[Name],Rekorde[[#This Row],[Name]],Eingabe[Wo],"A"),"")</f>
        <v>247</v>
      </c>
      <c r="AB21" s="51">
        <f>IF(COUNTIFS(Eingabe[Name],Rekorde[[#This Row],[Name]],Eingabe[Wo],"A")&gt;0,_xlfn.MAXIFS(Eingabe[S1],Eingabe[Name],Rekorde[[#This Row],[Name]],Eingabe[Wo],"A"),"")</f>
        <v>158</v>
      </c>
      <c r="AC21" s="51">
        <f>IF(COUNTIFS(Eingabe[Name],Rekorde[[#This Row],[Name]],Eingabe[Wo],"A")&gt;0,_xlfn.MAXIFS(Eingabe[S2],Eingabe[Name],Rekorde[[#This Row],[Name]],Eingabe[Wo],"A"),"")</f>
        <v>157</v>
      </c>
      <c r="AD21" s="51">
        <f>IF(COUNTIFS(Eingabe[Name],Rekorde[[#This Row],[Name]],Eingabe[Wo],"A")&gt;0,_xlfn.MAXIFS(Eingabe[S3],Eingabe[Name],Rekorde[[#This Row],[Name]],Eingabe[Wo],"A"),"")</f>
        <v>156</v>
      </c>
      <c r="AE21" s="51">
        <f>IF(COUNTIFS(Eingabe[Name],Rekorde[[#This Row],[Name]],Eingabe[Wo],"A")&gt;0,_xlfn.MAXIFS(Eingabe[S4],Eingabe[Name],Rekorde[[#This Row],[Name]],Eingabe[Wo],"A"),"")</f>
        <v>156</v>
      </c>
      <c r="AF21" s="51">
        <f>IF(Rekorde[[#This Row],[S1 A]]="","",MAX(Rekorde[[#This Row],[S1 A]:[S4 A]]))</f>
        <v>158</v>
      </c>
      <c r="AG21" s="52">
        <f>IF(COUNTIFS(Eingabe[Name],Rekorde[[#This Row],[Name]],Eingabe[Wo],"A")&gt;0,_xlfn.MINIFS(Eingabe[Fehler],Eingabe[Name],Rekorde[[#This Row],[Name]],Eingabe[Wo],"A"),"")</f>
        <v>2</v>
      </c>
      <c r="AH21" s="51">
        <f>IF(COUNTIFS(Eingabe[Name],Rekorde[[#This Row],[Name]],Eingabe[Wo],"A")&gt;0,_xlfn.MAXIFS(Eingabe[GEGGES],Eingabe[Name],Rekorde[[#This Row],[Name]],Eingabe[Wo],"A"),"")</f>
        <v>508</v>
      </c>
    </row>
    <row r="22" spans="3:48" x14ac:dyDescent="0.3">
      <c r="C22" s="53" t="s">
        <v>492</v>
      </c>
      <c r="D22" s="12" t="str">
        <f>VLOOKUP(Rekorde[[#This Row],[Name]],Teamzuordnung[[Name]:[Team]],2,FALSE)</f>
        <v>F</v>
      </c>
      <c r="E22" s="51">
        <f>IF(COUNTIF(Eingabe[Name],Rekorde[[#This Row],[Name]])&gt;0,_xlfn.MAXIFS(Eingabe[GES],Eingabe[Name],Rekorde[[#This Row],[Name]]),"")</f>
        <v>551</v>
      </c>
      <c r="F22" s="51">
        <f>IF(COUNTIF(Eingabe[Name],Rekorde[[#This Row],[Name]])&gt;0,_xlfn.MAXIFS(Eingabe[Volle],Eingabe[Name],Rekorde[[#This Row],[Name]]),"")</f>
        <v>393</v>
      </c>
      <c r="G22" s="51">
        <f>IF(COUNTIF(Eingabe[Name],Rekorde[[#This Row],[Name]])&gt;0,_xlfn.MAXIFS(Eingabe[Räumer],Eingabe[Name],Rekorde[[#This Row],[Name]]),"")</f>
        <v>180</v>
      </c>
      <c r="H22" s="51">
        <f>IF(COUNTIF(Eingabe[Name],Rekorde[[#This Row],[Name]])&gt;0,_xlfn.MAXIFS(Eingabe[S1],Eingabe[Name],Rekorde[[#This Row],[Name]]),"")</f>
        <v>157</v>
      </c>
      <c r="I22" s="51">
        <f>IF(COUNTIF(Eingabe[Name],Rekorde[[#This Row],[Name]])&gt;0,_xlfn.MAXIFS(Eingabe[S2],Eingabe[Name],Rekorde[[#This Row],[Name]]),"")</f>
        <v>152</v>
      </c>
      <c r="J22" s="51">
        <f>IF(COUNTIF(Eingabe[Name],Rekorde[[#This Row],[Name]])&gt;0,_xlfn.MAXIFS(Eingabe[S3],Eingabe[Name],Rekorde[[#This Row],[Name]]),"")</f>
        <v>135</v>
      </c>
      <c r="K22" s="51">
        <f>IF(COUNTIF(Eingabe[Name],Rekorde[[#This Row],[Name]])&gt;0,_xlfn.MAXIFS(Eingabe[S4],Eingabe[Name],Rekorde[[#This Row],[Name]]),"")</f>
        <v>147</v>
      </c>
      <c r="L22" s="51">
        <f>IF(MAX(Rekorde[[#This Row],[S1]:[S4]])=0,"",MAX(Rekorde[[#This Row],[S1]:[S4]]))</f>
        <v>157</v>
      </c>
      <c r="M22" s="52">
        <f>IF(COUNTIF(Eingabe[Name],Rekorde[[#This Row],[Name]])&gt;0,_xlfn.MINIFS(Eingabe[Fehler],Eingabe[Name],Rekorde[[#This Row],[Name]]),"")</f>
        <v>4</v>
      </c>
      <c r="N22" s="51">
        <f>IF(COUNTIF(Eingabe[Name],Rekorde[[#This Row],[Name]])&gt;0,_xlfn.MAXIFS(Eingabe[GEGGES],Eingabe[Name],Rekorde[[#This Row],[Name]]),"")</f>
        <v>548</v>
      </c>
      <c r="O22" s="51">
        <f>IF(COUNTIFS(Eingabe[Name],Rekorde[[#This Row],[Name]],Eingabe[Wo],"H")&gt;0,_xlfn.MAXIFS(Eingabe[GES],Eingabe[Name],Rekorde[[#This Row],[Name]],Eingabe[Wo],"H"),"")</f>
        <v>543</v>
      </c>
      <c r="P22" s="51">
        <f>IF(COUNTIFS(Eingabe[Name],Rekorde[[#This Row],[Name]],Eingabe[Wo],"H")&gt;0,_xlfn.MAXIFS(Eingabe[Volle],Eingabe[Name],Rekorde[[#This Row],[Name]],Eingabe[Wo],"H"),"")</f>
        <v>369</v>
      </c>
      <c r="Q22" s="51">
        <f>IF(COUNTIFS(Eingabe[Name],Rekorde[[#This Row],[Name]],Eingabe[Wo],"H")&gt;0,_xlfn.MAXIFS(Eingabe[Räumer],Eingabe[Name],Rekorde[[#This Row],[Name]],Eingabe[Wo],"H"),"")</f>
        <v>174</v>
      </c>
      <c r="R22" s="51">
        <f>IF(COUNTIFS(Eingabe[Name],Rekorde[[#This Row],[Name]],Eingabe[Wo],"H")&gt;0,_xlfn.MAXIFS(Eingabe[S1],Eingabe[Name],Rekorde[[#This Row],[Name]],Eingabe[Wo],"H"),"")</f>
        <v>151</v>
      </c>
      <c r="S22" s="51">
        <f>IF(COUNTIFS(Eingabe[Name],Rekorde[[#This Row],[Name]],Eingabe[Wo],"H")&gt;0,_xlfn.MAXIFS(Eingabe[S2],Eingabe[Name],Rekorde[[#This Row],[Name]],Eingabe[Wo],"H"),"")</f>
        <v>131</v>
      </c>
      <c r="T22" s="51">
        <f>IF(COUNTIFS(Eingabe[Name],Rekorde[[#This Row],[Name]],Eingabe[Wo],"H")&gt;0,_xlfn.MAXIFS(Eingabe[S3],Eingabe[Name],Rekorde[[#This Row],[Name]],Eingabe[Wo],"H"),"")</f>
        <v>135</v>
      </c>
      <c r="U22" s="51">
        <f>IF(COUNTIFS(Eingabe[Name],Rekorde[[#This Row],[Name]],Eingabe[Wo],"H")&gt;0,_xlfn.MAXIFS(Eingabe[S4],Eingabe[Name],Rekorde[[#This Row],[Name]],Eingabe[Wo],"H"),"")</f>
        <v>147</v>
      </c>
      <c r="V22" s="51">
        <f>IF(Rekorde[[#This Row],[S1 H]]="","",MAX(Rekorde[[#This Row],[S1 H]:[S4 H]]))</f>
        <v>151</v>
      </c>
      <c r="W22" s="52">
        <f>IF(COUNTIFS(Eingabe[Name],Rekorde[[#This Row],[Name]],Eingabe[Wo],"H")&gt;0,_xlfn.MINIFS(Eingabe[Fehler],Eingabe[Name],Rekorde[[#This Row],[Name]],Eingabe[Wo],"H"),"")</f>
        <v>4</v>
      </c>
      <c r="X22" s="51">
        <f>IF(COUNTIFS(Eingabe[Name],Rekorde[[#This Row],[Name]],Eingabe[Wo],"H")&gt;0,_xlfn.MAXIFS(Eingabe[GEGGES],Eingabe[Name],Rekorde[[#This Row],[Name]],Eingabe[Wo],"H"),"")</f>
        <v>469</v>
      </c>
      <c r="Y22" s="51">
        <f>IF(COUNTIFS(Eingabe[Name],Rekorde[[#This Row],[Name]],Eingabe[Wo],"A")&gt;0,_xlfn.MAXIFS(Eingabe[GES],Eingabe[Name],Rekorde[[#This Row],[Name]],Eingabe[Wo],"A"),"")</f>
        <v>551</v>
      </c>
      <c r="Z22" s="51">
        <f>IF(COUNTIFS(Eingabe[Name],Rekorde[[#This Row],[Name]],Eingabe[Wo],"A")&gt;0,_xlfn.MAXIFS(Eingabe[Volle],Eingabe[Name],Rekorde[[#This Row],[Name]],Eingabe[Wo],"A"),"")</f>
        <v>393</v>
      </c>
      <c r="AA22" s="51">
        <f>IF(COUNTIFS(Eingabe[Name],Rekorde[[#This Row],[Name]],Eingabe[Wo],"A")&gt;0,_xlfn.MAXIFS(Eingabe[Räumer],Eingabe[Name],Rekorde[[#This Row],[Name]],Eingabe[Wo],"A"),"")</f>
        <v>180</v>
      </c>
      <c r="AB22" s="51">
        <f>IF(COUNTIFS(Eingabe[Name],Rekorde[[#This Row],[Name]],Eingabe[Wo],"A")&gt;0,_xlfn.MAXIFS(Eingabe[S1],Eingabe[Name],Rekorde[[#This Row],[Name]],Eingabe[Wo],"A"),"")</f>
        <v>157</v>
      </c>
      <c r="AC22" s="51">
        <f>IF(COUNTIFS(Eingabe[Name],Rekorde[[#This Row],[Name]],Eingabe[Wo],"A")&gt;0,_xlfn.MAXIFS(Eingabe[S2],Eingabe[Name],Rekorde[[#This Row],[Name]],Eingabe[Wo],"A"),"")</f>
        <v>152</v>
      </c>
      <c r="AD22" s="51">
        <f>IF(COUNTIFS(Eingabe[Name],Rekorde[[#This Row],[Name]],Eingabe[Wo],"A")&gt;0,_xlfn.MAXIFS(Eingabe[S3],Eingabe[Name],Rekorde[[#This Row],[Name]],Eingabe[Wo],"A"),"")</f>
        <v>135</v>
      </c>
      <c r="AE22" s="51">
        <f>IF(COUNTIFS(Eingabe[Name],Rekorde[[#This Row],[Name]],Eingabe[Wo],"A")&gt;0,_xlfn.MAXIFS(Eingabe[S4],Eingabe[Name],Rekorde[[#This Row],[Name]],Eingabe[Wo],"A"),"")</f>
        <v>130</v>
      </c>
      <c r="AF22" s="51">
        <f>IF(Rekorde[[#This Row],[S1 A]]="","",MAX(Rekorde[[#This Row],[S1 A]:[S4 A]]))</f>
        <v>157</v>
      </c>
      <c r="AG22" s="52">
        <f>IF(COUNTIFS(Eingabe[Name],Rekorde[[#This Row],[Name]],Eingabe[Wo],"A")&gt;0,_xlfn.MINIFS(Eingabe[Fehler],Eingabe[Name],Rekorde[[#This Row],[Name]],Eingabe[Wo],"A"),"")</f>
        <v>7</v>
      </c>
      <c r="AH22" s="51">
        <f>IF(COUNTIFS(Eingabe[Name],Rekorde[[#This Row],[Name]],Eingabe[Wo],"A")&gt;0,_xlfn.MAXIFS(Eingabe[GEGGES],Eingabe[Name],Rekorde[[#This Row],[Name]],Eingabe[Wo],"A"),"")</f>
        <v>548</v>
      </c>
    </row>
    <row r="23" spans="3:48" x14ac:dyDescent="0.3">
      <c r="C23" s="53" t="s">
        <v>478</v>
      </c>
      <c r="D23" s="12" t="str">
        <f>VLOOKUP(Rekorde[[#This Row],[Name]],Teamzuordnung[[Name]:[Team]],2,FALSE)</f>
        <v>Z</v>
      </c>
      <c r="E23" s="51">
        <f>IF(COUNTIF(Eingabe[Name],Rekorde[[#This Row],[Name]])&gt;0,_xlfn.MAXIFS(Eingabe[GES],Eingabe[Name],Rekorde[[#This Row],[Name]]),"")</f>
        <v>568</v>
      </c>
      <c r="F23" s="51">
        <f>IF(COUNTIF(Eingabe[Name],Rekorde[[#This Row],[Name]])&gt;0,_xlfn.MAXIFS(Eingabe[Volle],Eingabe[Name],Rekorde[[#This Row],[Name]]),"")</f>
        <v>380</v>
      </c>
      <c r="G23" s="51">
        <f>IF(COUNTIF(Eingabe[Name],Rekorde[[#This Row],[Name]])&gt;0,_xlfn.MAXIFS(Eingabe[Räumer],Eingabe[Name],Rekorde[[#This Row],[Name]]),"")</f>
        <v>223</v>
      </c>
      <c r="H23" s="51">
        <f>IF(COUNTIF(Eingabe[Name],Rekorde[[#This Row],[Name]])&gt;0,_xlfn.MAXIFS(Eingabe[S1],Eingabe[Name],Rekorde[[#This Row],[Name]]),"")</f>
        <v>149</v>
      </c>
      <c r="I23" s="51">
        <f>IF(COUNTIF(Eingabe[Name],Rekorde[[#This Row],[Name]])&gt;0,_xlfn.MAXIFS(Eingabe[S2],Eingabe[Name],Rekorde[[#This Row],[Name]]),"")</f>
        <v>145</v>
      </c>
      <c r="J23" s="51">
        <f>IF(COUNTIF(Eingabe[Name],Rekorde[[#This Row],[Name]])&gt;0,_xlfn.MAXIFS(Eingabe[S3],Eingabe[Name],Rekorde[[#This Row],[Name]]),"")</f>
        <v>148</v>
      </c>
      <c r="K23" s="51">
        <f>IF(COUNTIF(Eingabe[Name],Rekorde[[#This Row],[Name]])&gt;0,_xlfn.MAXIFS(Eingabe[S4],Eingabe[Name],Rekorde[[#This Row],[Name]]),"")</f>
        <v>156</v>
      </c>
      <c r="L23" s="51">
        <f>IF(MAX(Rekorde[[#This Row],[S1]:[S4]])=0,"",MAX(Rekorde[[#This Row],[S1]:[S4]]))</f>
        <v>156</v>
      </c>
      <c r="M23" s="52">
        <f>IF(COUNTIF(Eingabe[Name],Rekorde[[#This Row],[Name]])&gt;0,_xlfn.MINIFS(Eingabe[Fehler],Eingabe[Name],Rekorde[[#This Row],[Name]]),"")</f>
        <v>3</v>
      </c>
      <c r="N23" s="51">
        <f>IF(COUNTIF(Eingabe[Name],Rekorde[[#This Row],[Name]])&gt;0,_xlfn.MAXIFS(Eingabe[GEGGES],Eingabe[Name],Rekorde[[#This Row],[Name]]),"")</f>
        <v>595</v>
      </c>
      <c r="O23" s="51">
        <f>IF(COUNTIFS(Eingabe[Name],Rekorde[[#This Row],[Name]],Eingabe[Wo],"H")&gt;0,_xlfn.MAXIFS(Eingabe[GES],Eingabe[Name],Rekorde[[#This Row],[Name]],Eingabe[Wo],"H"),"")</f>
        <v>539</v>
      </c>
      <c r="P23" s="51">
        <f>IF(COUNTIFS(Eingabe[Name],Rekorde[[#This Row],[Name]],Eingabe[Wo],"H")&gt;0,_xlfn.MAXIFS(Eingabe[Volle],Eingabe[Name],Rekorde[[#This Row],[Name]],Eingabe[Wo],"H"),"")</f>
        <v>368</v>
      </c>
      <c r="Q23" s="51">
        <f>IF(COUNTIFS(Eingabe[Name],Rekorde[[#This Row],[Name]],Eingabe[Wo],"H")&gt;0,_xlfn.MAXIFS(Eingabe[Räumer],Eingabe[Name],Rekorde[[#This Row],[Name]],Eingabe[Wo],"H"),"")</f>
        <v>174</v>
      </c>
      <c r="R23" s="51">
        <f>IF(COUNTIFS(Eingabe[Name],Rekorde[[#This Row],[Name]],Eingabe[Wo],"H")&gt;0,_xlfn.MAXIFS(Eingabe[S1],Eingabe[Name],Rekorde[[#This Row],[Name]],Eingabe[Wo],"H"),"")</f>
        <v>132</v>
      </c>
      <c r="S23" s="51">
        <f>IF(COUNTIFS(Eingabe[Name],Rekorde[[#This Row],[Name]],Eingabe[Wo],"H")&gt;0,_xlfn.MAXIFS(Eingabe[S2],Eingabe[Name],Rekorde[[#This Row],[Name]],Eingabe[Wo],"H"),"")</f>
        <v>145</v>
      </c>
      <c r="T23" s="51">
        <f>IF(COUNTIFS(Eingabe[Name],Rekorde[[#This Row],[Name]],Eingabe[Wo],"H")&gt;0,_xlfn.MAXIFS(Eingabe[S3],Eingabe[Name],Rekorde[[#This Row],[Name]],Eingabe[Wo],"H"),"")</f>
        <v>148</v>
      </c>
      <c r="U23" s="51">
        <f>IF(COUNTIFS(Eingabe[Name],Rekorde[[#This Row],[Name]],Eingabe[Wo],"H")&gt;0,_xlfn.MAXIFS(Eingabe[S4],Eingabe[Name],Rekorde[[#This Row],[Name]],Eingabe[Wo],"H"),"")</f>
        <v>141</v>
      </c>
      <c r="V23" s="51">
        <f>IF(Rekorde[[#This Row],[S1 H]]="","",MAX(Rekorde[[#This Row],[S1 H]:[S4 H]]))</f>
        <v>148</v>
      </c>
      <c r="W23" s="52">
        <f>IF(COUNTIFS(Eingabe[Name],Rekorde[[#This Row],[Name]],Eingabe[Wo],"H")&gt;0,_xlfn.MINIFS(Eingabe[Fehler],Eingabe[Name],Rekorde[[#This Row],[Name]],Eingabe[Wo],"H"),"")</f>
        <v>4</v>
      </c>
      <c r="X23" s="51">
        <f>IF(COUNTIFS(Eingabe[Name],Rekorde[[#This Row],[Name]],Eingabe[Wo],"H")&gt;0,_xlfn.MAXIFS(Eingabe[GEGGES],Eingabe[Name],Rekorde[[#This Row],[Name]],Eingabe[Wo],"H"),"")</f>
        <v>527</v>
      </c>
      <c r="Y23" s="51">
        <f>IF(COUNTIFS(Eingabe[Name],Rekorde[[#This Row],[Name]],Eingabe[Wo],"A")&gt;0,_xlfn.MAXIFS(Eingabe[GES],Eingabe[Name],Rekorde[[#This Row],[Name]],Eingabe[Wo],"A"),"")</f>
        <v>568</v>
      </c>
      <c r="Z23" s="51">
        <f>IF(COUNTIFS(Eingabe[Name],Rekorde[[#This Row],[Name]],Eingabe[Wo],"A")&gt;0,_xlfn.MAXIFS(Eingabe[Volle],Eingabe[Name],Rekorde[[#This Row],[Name]],Eingabe[Wo],"A"),"")</f>
        <v>380</v>
      </c>
      <c r="AA23" s="51">
        <f>IF(COUNTIFS(Eingabe[Name],Rekorde[[#This Row],[Name]],Eingabe[Wo],"A")&gt;0,_xlfn.MAXIFS(Eingabe[Räumer],Eingabe[Name],Rekorde[[#This Row],[Name]],Eingabe[Wo],"A"),"")</f>
        <v>223</v>
      </c>
      <c r="AB23" s="51">
        <f>IF(COUNTIFS(Eingabe[Name],Rekorde[[#This Row],[Name]],Eingabe[Wo],"A")&gt;0,_xlfn.MAXIFS(Eingabe[S1],Eingabe[Name],Rekorde[[#This Row],[Name]],Eingabe[Wo],"A"),"")</f>
        <v>149</v>
      </c>
      <c r="AC23" s="51">
        <f>IF(COUNTIFS(Eingabe[Name],Rekorde[[#This Row],[Name]],Eingabe[Wo],"A")&gt;0,_xlfn.MAXIFS(Eingabe[S2],Eingabe[Name],Rekorde[[#This Row],[Name]],Eingabe[Wo],"A"),"")</f>
        <v>128</v>
      </c>
      <c r="AD23" s="51">
        <f>IF(COUNTIFS(Eingabe[Name],Rekorde[[#This Row],[Name]],Eingabe[Wo],"A")&gt;0,_xlfn.MAXIFS(Eingabe[S3],Eingabe[Name],Rekorde[[#This Row],[Name]],Eingabe[Wo],"A"),"")</f>
        <v>144</v>
      </c>
      <c r="AE23" s="51">
        <f>IF(COUNTIFS(Eingabe[Name],Rekorde[[#This Row],[Name]],Eingabe[Wo],"A")&gt;0,_xlfn.MAXIFS(Eingabe[S4],Eingabe[Name],Rekorde[[#This Row],[Name]],Eingabe[Wo],"A"),"")</f>
        <v>156</v>
      </c>
      <c r="AF23" s="51">
        <f>IF(Rekorde[[#This Row],[S1 A]]="","",MAX(Rekorde[[#This Row],[S1 A]:[S4 A]]))</f>
        <v>156</v>
      </c>
      <c r="AG23" s="52">
        <f>IF(COUNTIFS(Eingabe[Name],Rekorde[[#This Row],[Name]],Eingabe[Wo],"A")&gt;0,_xlfn.MINIFS(Eingabe[Fehler],Eingabe[Name],Rekorde[[#This Row],[Name]],Eingabe[Wo],"A"),"")</f>
        <v>3</v>
      </c>
      <c r="AH23" s="51">
        <f>IF(COUNTIFS(Eingabe[Name],Rekorde[[#This Row],[Name]],Eingabe[Wo],"A")&gt;0,_xlfn.MAXIFS(Eingabe[GEGGES],Eingabe[Name],Rekorde[[#This Row],[Name]],Eingabe[Wo],"A"),"")</f>
        <v>595</v>
      </c>
    </row>
    <row r="24" spans="3:48" x14ac:dyDescent="0.3">
      <c r="C24" s="53" t="s">
        <v>661</v>
      </c>
      <c r="D24" s="12" t="str">
        <f>VLOOKUP(Rekorde[[#This Row],[Name]],Teamzuordnung[[Name]:[Team]],2,FALSE)</f>
        <v>Z</v>
      </c>
      <c r="E24" s="51">
        <f>IF(COUNTIF(Eingabe[Name],Rekorde[[#This Row],[Name]])&gt;0,_xlfn.MAXIFS(Eingabe[GES],Eingabe[Name],Rekorde[[#This Row],[Name]]),"")</f>
        <v>562</v>
      </c>
      <c r="F24" s="51">
        <f>IF(COUNTIF(Eingabe[Name],Rekorde[[#This Row],[Name]])&gt;0,_xlfn.MAXIFS(Eingabe[Volle],Eingabe[Name],Rekorde[[#This Row],[Name]]),"")</f>
        <v>373</v>
      </c>
      <c r="G24" s="51">
        <f>IF(COUNTIF(Eingabe[Name],Rekorde[[#This Row],[Name]])&gt;0,_xlfn.MAXIFS(Eingabe[Räumer],Eingabe[Name],Rekorde[[#This Row],[Name]]),"")</f>
        <v>196</v>
      </c>
      <c r="H24" s="51">
        <f>IF(COUNTIF(Eingabe[Name],Rekorde[[#This Row],[Name]])&gt;0,_xlfn.MAXIFS(Eingabe[S1],Eingabe[Name],Rekorde[[#This Row],[Name]]),"")</f>
        <v>156</v>
      </c>
      <c r="I24" s="51">
        <f>IF(COUNTIF(Eingabe[Name],Rekorde[[#This Row],[Name]])&gt;0,_xlfn.MAXIFS(Eingabe[S2],Eingabe[Name],Rekorde[[#This Row],[Name]]),"")</f>
        <v>148</v>
      </c>
      <c r="J24" s="51">
        <f>IF(COUNTIF(Eingabe[Name],Rekorde[[#This Row],[Name]])&gt;0,_xlfn.MAXIFS(Eingabe[S3],Eingabe[Name],Rekorde[[#This Row],[Name]]),"")</f>
        <v>149</v>
      </c>
      <c r="K24" s="51">
        <f>IF(COUNTIF(Eingabe[Name],Rekorde[[#This Row],[Name]])&gt;0,_xlfn.MAXIFS(Eingabe[S4],Eingabe[Name],Rekorde[[#This Row],[Name]]),"")</f>
        <v>145</v>
      </c>
      <c r="L24" s="51">
        <f>IF(MAX(Rekorde[[#This Row],[S1]:[S4]])=0,"",MAX(Rekorde[[#This Row],[S1]:[S4]]))</f>
        <v>156</v>
      </c>
      <c r="M24" s="52">
        <f>IF(COUNTIF(Eingabe[Name],Rekorde[[#This Row],[Name]])&gt;0,_xlfn.MINIFS(Eingabe[Fehler],Eingabe[Name],Rekorde[[#This Row],[Name]]),"")</f>
        <v>3</v>
      </c>
      <c r="N24" s="51">
        <f>IF(COUNTIF(Eingabe[Name],Rekorde[[#This Row],[Name]])&gt;0,_xlfn.MAXIFS(Eingabe[GEGGES],Eingabe[Name],Rekorde[[#This Row],[Name]]),"")</f>
        <v>554</v>
      </c>
      <c r="O24" s="51">
        <f>IF(COUNTIFS(Eingabe[Name],Rekorde[[#This Row],[Name]],Eingabe[Wo],"H")&gt;0,_xlfn.MAXIFS(Eingabe[GES],Eingabe[Name],Rekorde[[#This Row],[Name]],Eingabe[Wo],"H"),"")</f>
        <v>551</v>
      </c>
      <c r="P24" s="51">
        <f>IF(COUNTIFS(Eingabe[Name],Rekorde[[#This Row],[Name]],Eingabe[Wo],"H")&gt;0,_xlfn.MAXIFS(Eingabe[Volle],Eingabe[Name],Rekorde[[#This Row],[Name]],Eingabe[Wo],"H"),"")</f>
        <v>358</v>
      </c>
      <c r="Q24" s="51">
        <f>IF(COUNTIFS(Eingabe[Name],Rekorde[[#This Row],[Name]],Eingabe[Wo],"H")&gt;0,_xlfn.MAXIFS(Eingabe[Räumer],Eingabe[Name],Rekorde[[#This Row],[Name]],Eingabe[Wo],"H"),"")</f>
        <v>193</v>
      </c>
      <c r="R24" s="51">
        <f>IF(COUNTIFS(Eingabe[Name],Rekorde[[#This Row],[Name]],Eingabe[Wo],"H")&gt;0,_xlfn.MAXIFS(Eingabe[S1],Eingabe[Name],Rekorde[[#This Row],[Name]],Eingabe[Wo],"H"),"")</f>
        <v>156</v>
      </c>
      <c r="S24" s="51">
        <f>IF(COUNTIFS(Eingabe[Name],Rekorde[[#This Row],[Name]],Eingabe[Wo],"H")&gt;0,_xlfn.MAXIFS(Eingabe[S2],Eingabe[Name],Rekorde[[#This Row],[Name]],Eingabe[Wo],"H"),"")</f>
        <v>130</v>
      </c>
      <c r="T24" s="51">
        <f>IF(COUNTIFS(Eingabe[Name],Rekorde[[#This Row],[Name]],Eingabe[Wo],"H")&gt;0,_xlfn.MAXIFS(Eingabe[S3],Eingabe[Name],Rekorde[[#This Row],[Name]],Eingabe[Wo],"H"),"")</f>
        <v>143</v>
      </c>
      <c r="U24" s="51">
        <f>IF(COUNTIFS(Eingabe[Name],Rekorde[[#This Row],[Name]],Eingabe[Wo],"H")&gt;0,_xlfn.MAXIFS(Eingabe[S4],Eingabe[Name],Rekorde[[#This Row],[Name]],Eingabe[Wo],"H"),"")</f>
        <v>135</v>
      </c>
      <c r="V24" s="51">
        <f>IF(Rekorde[[#This Row],[S1 H]]="","",MAX(Rekorde[[#This Row],[S1 H]:[S4 H]]))</f>
        <v>156</v>
      </c>
      <c r="W24" s="52">
        <f>IF(COUNTIFS(Eingabe[Name],Rekorde[[#This Row],[Name]],Eingabe[Wo],"H")&gt;0,_xlfn.MINIFS(Eingabe[Fehler],Eingabe[Name],Rekorde[[#This Row],[Name]],Eingabe[Wo],"H"),"")</f>
        <v>6</v>
      </c>
      <c r="X24" s="51">
        <f>IF(COUNTIFS(Eingabe[Name],Rekorde[[#This Row],[Name]],Eingabe[Wo],"H")&gt;0,_xlfn.MAXIFS(Eingabe[GEGGES],Eingabe[Name],Rekorde[[#This Row],[Name]],Eingabe[Wo],"H"),"")</f>
        <v>534</v>
      </c>
      <c r="Y24" s="51">
        <f>IF(COUNTIFS(Eingabe[Name],Rekorde[[#This Row],[Name]],Eingabe[Wo],"A")&gt;0,_xlfn.MAXIFS(Eingabe[GES],Eingabe[Name],Rekorde[[#This Row],[Name]],Eingabe[Wo],"A"),"")</f>
        <v>562</v>
      </c>
      <c r="Z24" s="51">
        <f>IF(COUNTIFS(Eingabe[Name],Rekorde[[#This Row],[Name]],Eingabe[Wo],"A")&gt;0,_xlfn.MAXIFS(Eingabe[Volle],Eingabe[Name],Rekorde[[#This Row],[Name]],Eingabe[Wo],"A"),"")</f>
        <v>373</v>
      </c>
      <c r="AA24" s="51">
        <f>IF(COUNTIFS(Eingabe[Name],Rekorde[[#This Row],[Name]],Eingabe[Wo],"A")&gt;0,_xlfn.MAXIFS(Eingabe[Räumer],Eingabe[Name],Rekorde[[#This Row],[Name]],Eingabe[Wo],"A"),"")</f>
        <v>196</v>
      </c>
      <c r="AB24" s="51">
        <f>IF(COUNTIFS(Eingabe[Name],Rekorde[[#This Row],[Name]],Eingabe[Wo],"A")&gt;0,_xlfn.MAXIFS(Eingabe[S1],Eingabe[Name],Rekorde[[#This Row],[Name]],Eingabe[Wo],"A"),"")</f>
        <v>141</v>
      </c>
      <c r="AC24" s="51">
        <f>IF(COUNTIFS(Eingabe[Name],Rekorde[[#This Row],[Name]],Eingabe[Wo],"A")&gt;0,_xlfn.MAXIFS(Eingabe[S2],Eingabe[Name],Rekorde[[#This Row],[Name]],Eingabe[Wo],"A"),"")</f>
        <v>148</v>
      </c>
      <c r="AD24" s="51">
        <f>IF(COUNTIFS(Eingabe[Name],Rekorde[[#This Row],[Name]],Eingabe[Wo],"A")&gt;0,_xlfn.MAXIFS(Eingabe[S3],Eingabe[Name],Rekorde[[#This Row],[Name]],Eingabe[Wo],"A"),"")</f>
        <v>149</v>
      </c>
      <c r="AE24" s="51">
        <f>IF(COUNTIFS(Eingabe[Name],Rekorde[[#This Row],[Name]],Eingabe[Wo],"A")&gt;0,_xlfn.MAXIFS(Eingabe[S4],Eingabe[Name],Rekorde[[#This Row],[Name]],Eingabe[Wo],"A"),"")</f>
        <v>145</v>
      </c>
      <c r="AF24" s="51">
        <f>IF(Rekorde[[#This Row],[S1 A]]="","",MAX(Rekorde[[#This Row],[S1 A]:[S4 A]]))</f>
        <v>149</v>
      </c>
      <c r="AG24" s="52">
        <f>IF(COUNTIFS(Eingabe[Name],Rekorde[[#This Row],[Name]],Eingabe[Wo],"A")&gt;0,_xlfn.MINIFS(Eingabe[Fehler],Eingabe[Name],Rekorde[[#This Row],[Name]],Eingabe[Wo],"A"),"")</f>
        <v>3</v>
      </c>
      <c r="AH24" s="51">
        <f>IF(COUNTIFS(Eingabe[Name],Rekorde[[#This Row],[Name]],Eingabe[Wo],"A")&gt;0,_xlfn.MAXIFS(Eingabe[GEGGES],Eingabe[Name],Rekorde[[#This Row],[Name]],Eingabe[Wo],"A"),"")</f>
        <v>554</v>
      </c>
    </row>
    <row r="25" spans="3:48" x14ac:dyDescent="0.3">
      <c r="C25" s="53" t="s">
        <v>474</v>
      </c>
      <c r="D25" s="12" t="str">
        <f>VLOOKUP(Rekorde[[#This Row],[Name]],Teamzuordnung[[Name]:[Team]],2,FALSE)</f>
        <v>U19</v>
      </c>
      <c r="E25" s="51">
        <f>IF(COUNTIF(Eingabe[Name],Rekorde[[#This Row],[Name]])&gt;0,_xlfn.MAXIFS(Eingabe[GES],Eingabe[Name],Rekorde[[#This Row],[Name]]),"")</f>
        <v>553</v>
      </c>
      <c r="F25" s="51">
        <f>IF(COUNTIF(Eingabe[Name],Rekorde[[#This Row],[Name]])&gt;0,_xlfn.MAXIFS(Eingabe[Volle],Eingabe[Name],Rekorde[[#This Row],[Name]]),"")</f>
        <v>372</v>
      </c>
      <c r="G25" s="51">
        <f>IF(COUNTIF(Eingabe[Name],Rekorde[[#This Row],[Name]])&gt;0,_xlfn.MAXIFS(Eingabe[Räumer],Eingabe[Name],Rekorde[[#This Row],[Name]]),"")</f>
        <v>184</v>
      </c>
      <c r="H25" s="51">
        <f>IF(COUNTIF(Eingabe[Name],Rekorde[[#This Row],[Name]])&gt;0,_xlfn.MAXIFS(Eingabe[S1],Eingabe[Name],Rekorde[[#This Row],[Name]]),"")</f>
        <v>155</v>
      </c>
      <c r="I25" s="51">
        <f>IF(COUNTIF(Eingabe[Name],Rekorde[[#This Row],[Name]])&gt;0,_xlfn.MAXIFS(Eingabe[S2],Eingabe[Name],Rekorde[[#This Row],[Name]]),"")</f>
        <v>146</v>
      </c>
      <c r="J25" s="51">
        <f>IF(COUNTIF(Eingabe[Name],Rekorde[[#This Row],[Name]])&gt;0,_xlfn.MAXIFS(Eingabe[S3],Eingabe[Name],Rekorde[[#This Row],[Name]]),"")</f>
        <v>150</v>
      </c>
      <c r="K25" s="51">
        <f>IF(COUNTIF(Eingabe[Name],Rekorde[[#This Row],[Name]])&gt;0,_xlfn.MAXIFS(Eingabe[S4],Eingabe[Name],Rekorde[[#This Row],[Name]]),"")</f>
        <v>153</v>
      </c>
      <c r="L25" s="51">
        <f>IF(MAX(Rekorde[[#This Row],[S1]:[S4]])=0,"",MAX(Rekorde[[#This Row],[S1]:[S4]]))</f>
        <v>155</v>
      </c>
      <c r="M25" s="52">
        <f>IF(COUNTIF(Eingabe[Name],Rekorde[[#This Row],[Name]])&gt;0,_xlfn.MINIFS(Eingabe[Fehler],Eingabe[Name],Rekorde[[#This Row],[Name]]),"")</f>
        <v>5</v>
      </c>
      <c r="N25" s="51">
        <f>IF(COUNTIF(Eingabe[Name],Rekorde[[#This Row],[Name]])&gt;0,_xlfn.MAXIFS(Eingabe[GEGGES],Eingabe[Name],Rekorde[[#This Row],[Name]]),"")</f>
        <v>505</v>
      </c>
      <c r="O25" s="51">
        <f>IF(COUNTIFS(Eingabe[Name],Rekorde[[#This Row],[Name]],Eingabe[Wo],"H")&gt;0,_xlfn.MAXIFS(Eingabe[GES],Eingabe[Name],Rekorde[[#This Row],[Name]],Eingabe[Wo],"H"),"")</f>
        <v>528</v>
      </c>
      <c r="P25" s="51">
        <f>IF(COUNTIFS(Eingabe[Name],Rekorde[[#This Row],[Name]],Eingabe[Wo],"H")&gt;0,_xlfn.MAXIFS(Eingabe[Volle],Eingabe[Name],Rekorde[[#This Row],[Name]],Eingabe[Wo],"H"),"")</f>
        <v>353</v>
      </c>
      <c r="Q25" s="51">
        <f>IF(COUNTIFS(Eingabe[Name],Rekorde[[#This Row],[Name]],Eingabe[Wo],"H")&gt;0,_xlfn.MAXIFS(Eingabe[Räumer],Eingabe[Name],Rekorde[[#This Row],[Name]],Eingabe[Wo],"H"),"")</f>
        <v>175</v>
      </c>
      <c r="R25" s="51">
        <f>IF(COUNTIFS(Eingabe[Name],Rekorde[[#This Row],[Name]],Eingabe[Wo],"H")&gt;0,_xlfn.MAXIFS(Eingabe[S1],Eingabe[Name],Rekorde[[#This Row],[Name]],Eingabe[Wo],"H"),"")</f>
        <v>154</v>
      </c>
      <c r="S25" s="51">
        <f>IF(COUNTIFS(Eingabe[Name],Rekorde[[#This Row],[Name]],Eingabe[Wo],"H")&gt;0,_xlfn.MAXIFS(Eingabe[S2],Eingabe[Name],Rekorde[[#This Row],[Name]],Eingabe[Wo],"H"),"")</f>
        <v>146</v>
      </c>
      <c r="T25" s="51">
        <f>IF(COUNTIFS(Eingabe[Name],Rekorde[[#This Row],[Name]],Eingabe[Wo],"H")&gt;0,_xlfn.MAXIFS(Eingabe[S3],Eingabe[Name],Rekorde[[#This Row],[Name]],Eingabe[Wo],"H"),"")</f>
        <v>136</v>
      </c>
      <c r="U25" s="51">
        <f>IF(COUNTIFS(Eingabe[Name],Rekorde[[#This Row],[Name]],Eingabe[Wo],"H")&gt;0,_xlfn.MAXIFS(Eingabe[S4],Eingabe[Name],Rekorde[[#This Row],[Name]],Eingabe[Wo],"H"),"")</f>
        <v>134</v>
      </c>
      <c r="V25" s="51">
        <f>IF(Rekorde[[#This Row],[S1 H]]="","",MAX(Rekorde[[#This Row],[S1 H]:[S4 H]]))</f>
        <v>154</v>
      </c>
      <c r="W25" s="52">
        <f>IF(COUNTIFS(Eingabe[Name],Rekorde[[#This Row],[Name]],Eingabe[Wo],"H")&gt;0,_xlfn.MINIFS(Eingabe[Fehler],Eingabe[Name],Rekorde[[#This Row],[Name]],Eingabe[Wo],"H"),"")</f>
        <v>5</v>
      </c>
      <c r="X25" s="51">
        <f>IF(COUNTIFS(Eingabe[Name],Rekorde[[#This Row],[Name]],Eingabe[Wo],"H")&gt;0,_xlfn.MAXIFS(Eingabe[GEGGES],Eingabe[Name],Rekorde[[#This Row],[Name]],Eingabe[Wo],"H"),"")</f>
        <v>492</v>
      </c>
      <c r="Y25" s="51">
        <f>IF(COUNTIFS(Eingabe[Name],Rekorde[[#This Row],[Name]],Eingabe[Wo],"A")&gt;0,_xlfn.MAXIFS(Eingabe[GES],Eingabe[Name],Rekorde[[#This Row],[Name]],Eingabe[Wo],"A"),"")</f>
        <v>553</v>
      </c>
      <c r="Z25" s="51">
        <f>IF(COUNTIFS(Eingabe[Name],Rekorde[[#This Row],[Name]],Eingabe[Wo],"A")&gt;0,_xlfn.MAXIFS(Eingabe[Volle],Eingabe[Name],Rekorde[[#This Row],[Name]],Eingabe[Wo],"A"),"")</f>
        <v>372</v>
      </c>
      <c r="AA25" s="51">
        <f>IF(COUNTIFS(Eingabe[Name],Rekorde[[#This Row],[Name]],Eingabe[Wo],"A")&gt;0,_xlfn.MAXIFS(Eingabe[Räumer],Eingabe[Name],Rekorde[[#This Row],[Name]],Eingabe[Wo],"A"),"")</f>
        <v>184</v>
      </c>
      <c r="AB25" s="51">
        <f>IF(COUNTIFS(Eingabe[Name],Rekorde[[#This Row],[Name]],Eingabe[Wo],"A")&gt;0,_xlfn.MAXIFS(Eingabe[S1],Eingabe[Name],Rekorde[[#This Row],[Name]],Eingabe[Wo],"A"),"")</f>
        <v>155</v>
      </c>
      <c r="AC25" s="51">
        <f>IF(COUNTIFS(Eingabe[Name],Rekorde[[#This Row],[Name]],Eingabe[Wo],"A")&gt;0,_xlfn.MAXIFS(Eingabe[S2],Eingabe[Name],Rekorde[[#This Row],[Name]],Eingabe[Wo],"A"),"")</f>
        <v>144</v>
      </c>
      <c r="AD25" s="51">
        <f>IF(COUNTIFS(Eingabe[Name],Rekorde[[#This Row],[Name]],Eingabe[Wo],"A")&gt;0,_xlfn.MAXIFS(Eingabe[S3],Eingabe[Name],Rekorde[[#This Row],[Name]],Eingabe[Wo],"A"),"")</f>
        <v>150</v>
      </c>
      <c r="AE25" s="51">
        <f>IF(COUNTIFS(Eingabe[Name],Rekorde[[#This Row],[Name]],Eingabe[Wo],"A")&gt;0,_xlfn.MAXIFS(Eingabe[S4],Eingabe[Name],Rekorde[[#This Row],[Name]],Eingabe[Wo],"A"),"")</f>
        <v>153</v>
      </c>
      <c r="AF25" s="51">
        <f>IF(Rekorde[[#This Row],[S1 A]]="","",MAX(Rekorde[[#This Row],[S1 A]:[S4 A]]))</f>
        <v>155</v>
      </c>
      <c r="AG25" s="52">
        <f>IF(COUNTIFS(Eingabe[Name],Rekorde[[#This Row],[Name]],Eingabe[Wo],"A")&gt;0,_xlfn.MINIFS(Eingabe[Fehler],Eingabe[Name],Rekorde[[#This Row],[Name]],Eingabe[Wo],"A"),"")</f>
        <v>8</v>
      </c>
      <c r="AH25" s="51">
        <f>IF(COUNTIFS(Eingabe[Name],Rekorde[[#This Row],[Name]],Eingabe[Wo],"A")&gt;0,_xlfn.MAXIFS(Eingabe[GEGGES],Eingabe[Name],Rekorde[[#This Row],[Name]],Eingabe[Wo],"A"),"")</f>
        <v>505</v>
      </c>
    </row>
    <row r="26" spans="3:48" x14ac:dyDescent="0.3">
      <c r="C26" s="53" t="s">
        <v>15</v>
      </c>
      <c r="D26" s="12" t="str">
        <f>VLOOKUP(Rekorde[[#This Row],[Name]],Teamzuordnung[[Name]:[Team]],2,FALSE)</f>
        <v>F</v>
      </c>
      <c r="E26" s="51">
        <f>IF(COUNTIF(Eingabe[Name],Rekorde[[#This Row],[Name]])&gt;0,_xlfn.MAXIFS(Eingabe[GES],Eingabe[Name],Rekorde[[#This Row],[Name]]),"")</f>
        <v>537</v>
      </c>
      <c r="F26" s="51">
        <f>IF(COUNTIF(Eingabe[Name],Rekorde[[#This Row],[Name]])&gt;0,_xlfn.MAXIFS(Eingabe[Volle],Eingabe[Name],Rekorde[[#This Row],[Name]]),"")</f>
        <v>359</v>
      </c>
      <c r="G26" s="51">
        <f>IF(COUNTIF(Eingabe[Name],Rekorde[[#This Row],[Name]])&gt;0,_xlfn.MAXIFS(Eingabe[Räumer],Eingabe[Name],Rekorde[[#This Row],[Name]]),"")</f>
        <v>178</v>
      </c>
      <c r="H26" s="51">
        <f>IF(COUNTIF(Eingabe[Name],Rekorde[[#This Row],[Name]])&gt;0,_xlfn.MAXIFS(Eingabe[S1],Eingabe[Name],Rekorde[[#This Row],[Name]]),"")</f>
        <v>136</v>
      </c>
      <c r="I26" s="51">
        <f>IF(COUNTIF(Eingabe[Name],Rekorde[[#This Row],[Name]])&gt;0,_xlfn.MAXIFS(Eingabe[S2],Eingabe[Name],Rekorde[[#This Row],[Name]]),"")</f>
        <v>154</v>
      </c>
      <c r="J26" s="51">
        <f>IF(COUNTIF(Eingabe[Name],Rekorde[[#This Row],[Name]])&gt;0,_xlfn.MAXIFS(Eingabe[S3],Eingabe[Name],Rekorde[[#This Row],[Name]]),"")</f>
        <v>136</v>
      </c>
      <c r="K26" s="51">
        <f>IF(COUNTIF(Eingabe[Name],Rekorde[[#This Row],[Name]])&gt;0,_xlfn.MAXIFS(Eingabe[S4],Eingabe[Name],Rekorde[[#This Row],[Name]]),"")</f>
        <v>136</v>
      </c>
      <c r="L26" s="51">
        <f>IF(MAX(Rekorde[[#This Row],[S1]:[S4]])=0,"",MAX(Rekorde[[#This Row],[S1]:[S4]]))</f>
        <v>154</v>
      </c>
      <c r="M26" s="52">
        <f>IF(COUNTIF(Eingabe[Name],Rekorde[[#This Row],[Name]])&gt;0,_xlfn.MINIFS(Eingabe[Fehler],Eingabe[Name],Rekorde[[#This Row],[Name]]),"")</f>
        <v>5</v>
      </c>
      <c r="N26" s="51">
        <f>IF(COUNTIF(Eingabe[Name],Rekorde[[#This Row],[Name]])&gt;0,_xlfn.MAXIFS(Eingabe[GEGGES],Eingabe[Name],Rekorde[[#This Row],[Name]]),"")</f>
        <v>553</v>
      </c>
      <c r="O26" s="51">
        <f>IF(COUNTIFS(Eingabe[Name],Rekorde[[#This Row],[Name]],Eingabe[Wo],"H")&gt;0,_xlfn.MAXIFS(Eingabe[GES],Eingabe[Name],Rekorde[[#This Row],[Name]],Eingabe[Wo],"H"),"")</f>
        <v>537</v>
      </c>
      <c r="P26" s="51">
        <f>IF(COUNTIFS(Eingabe[Name],Rekorde[[#This Row],[Name]],Eingabe[Wo],"H")&gt;0,_xlfn.MAXIFS(Eingabe[Volle],Eingabe[Name],Rekorde[[#This Row],[Name]],Eingabe[Wo],"H"),"")</f>
        <v>359</v>
      </c>
      <c r="Q26" s="51">
        <f>IF(COUNTIFS(Eingabe[Name],Rekorde[[#This Row],[Name]],Eingabe[Wo],"H")&gt;0,_xlfn.MAXIFS(Eingabe[Räumer],Eingabe[Name],Rekorde[[#This Row],[Name]],Eingabe[Wo],"H"),"")</f>
        <v>178</v>
      </c>
      <c r="R26" s="51">
        <f>IF(COUNTIFS(Eingabe[Name],Rekorde[[#This Row],[Name]],Eingabe[Wo],"H")&gt;0,_xlfn.MAXIFS(Eingabe[S1],Eingabe[Name],Rekorde[[#This Row],[Name]],Eingabe[Wo],"H"),"")</f>
        <v>136</v>
      </c>
      <c r="S26" s="51">
        <f>IF(COUNTIFS(Eingabe[Name],Rekorde[[#This Row],[Name]],Eingabe[Wo],"H")&gt;0,_xlfn.MAXIFS(Eingabe[S2],Eingabe[Name],Rekorde[[#This Row],[Name]],Eingabe[Wo],"H"),"")</f>
        <v>137</v>
      </c>
      <c r="T26" s="51">
        <f>IF(COUNTIFS(Eingabe[Name],Rekorde[[#This Row],[Name]],Eingabe[Wo],"H")&gt;0,_xlfn.MAXIFS(Eingabe[S3],Eingabe[Name],Rekorde[[#This Row],[Name]],Eingabe[Wo],"H"),"")</f>
        <v>131</v>
      </c>
      <c r="U26" s="51">
        <f>IF(COUNTIFS(Eingabe[Name],Rekorde[[#This Row],[Name]],Eingabe[Wo],"H")&gt;0,_xlfn.MAXIFS(Eingabe[S4],Eingabe[Name],Rekorde[[#This Row],[Name]],Eingabe[Wo],"H"),"")</f>
        <v>136</v>
      </c>
      <c r="V26" s="51">
        <f>IF(Rekorde[[#This Row],[S1 H]]="","",MAX(Rekorde[[#This Row],[S1 H]:[S4 H]]))</f>
        <v>137</v>
      </c>
      <c r="W26" s="52">
        <f>IF(COUNTIFS(Eingabe[Name],Rekorde[[#This Row],[Name]],Eingabe[Wo],"H")&gt;0,_xlfn.MINIFS(Eingabe[Fehler],Eingabe[Name],Rekorde[[#This Row],[Name]],Eingabe[Wo],"H"),"")</f>
        <v>7</v>
      </c>
      <c r="X26" s="51">
        <f>IF(COUNTIFS(Eingabe[Name],Rekorde[[#This Row],[Name]],Eingabe[Wo],"H")&gt;0,_xlfn.MAXIFS(Eingabe[GEGGES],Eingabe[Name],Rekorde[[#This Row],[Name]],Eingabe[Wo],"H"),"")</f>
        <v>517</v>
      </c>
      <c r="Y26" s="51">
        <f>IF(COUNTIFS(Eingabe[Name],Rekorde[[#This Row],[Name]],Eingabe[Wo],"A")&gt;0,_xlfn.MAXIFS(Eingabe[GES],Eingabe[Name],Rekorde[[#This Row],[Name]],Eingabe[Wo],"A"),"")</f>
        <v>510</v>
      </c>
      <c r="Z26" s="51">
        <f>IF(COUNTIFS(Eingabe[Name],Rekorde[[#This Row],[Name]],Eingabe[Wo],"A")&gt;0,_xlfn.MAXIFS(Eingabe[Volle],Eingabe[Name],Rekorde[[#This Row],[Name]],Eingabe[Wo],"A"),"")</f>
        <v>348</v>
      </c>
      <c r="AA26" s="51">
        <f>IF(COUNTIFS(Eingabe[Name],Rekorde[[#This Row],[Name]],Eingabe[Wo],"A")&gt;0,_xlfn.MAXIFS(Eingabe[Räumer],Eingabe[Name],Rekorde[[#This Row],[Name]],Eingabe[Wo],"A"),"")</f>
        <v>166</v>
      </c>
      <c r="AB26" s="51">
        <f>IF(COUNTIFS(Eingabe[Name],Rekorde[[#This Row],[Name]],Eingabe[Wo],"A")&gt;0,_xlfn.MAXIFS(Eingabe[S1],Eingabe[Name],Rekorde[[#This Row],[Name]],Eingabe[Wo],"A"),"")</f>
        <v>133</v>
      </c>
      <c r="AC26" s="51">
        <f>IF(COUNTIFS(Eingabe[Name],Rekorde[[#This Row],[Name]],Eingabe[Wo],"A")&gt;0,_xlfn.MAXIFS(Eingabe[S2],Eingabe[Name],Rekorde[[#This Row],[Name]],Eingabe[Wo],"A"),"")</f>
        <v>154</v>
      </c>
      <c r="AD26" s="51">
        <f>IF(COUNTIFS(Eingabe[Name],Rekorde[[#This Row],[Name]],Eingabe[Wo],"A")&gt;0,_xlfn.MAXIFS(Eingabe[S3],Eingabe[Name],Rekorde[[#This Row],[Name]],Eingabe[Wo],"A"),"")</f>
        <v>136</v>
      </c>
      <c r="AE26" s="51">
        <f>IF(COUNTIFS(Eingabe[Name],Rekorde[[#This Row],[Name]],Eingabe[Wo],"A")&gt;0,_xlfn.MAXIFS(Eingabe[S4],Eingabe[Name],Rekorde[[#This Row],[Name]],Eingabe[Wo],"A"),"")</f>
        <v>132</v>
      </c>
      <c r="AF26" s="51">
        <f>IF(Rekorde[[#This Row],[S1 A]]="","",MAX(Rekorde[[#This Row],[S1 A]:[S4 A]]))</f>
        <v>154</v>
      </c>
      <c r="AG26" s="52">
        <f>IF(COUNTIFS(Eingabe[Name],Rekorde[[#This Row],[Name]],Eingabe[Wo],"A")&gt;0,_xlfn.MINIFS(Eingabe[Fehler],Eingabe[Name],Rekorde[[#This Row],[Name]],Eingabe[Wo],"A"),"")</f>
        <v>5</v>
      </c>
      <c r="AH26" s="51">
        <f>IF(COUNTIFS(Eingabe[Name],Rekorde[[#This Row],[Name]],Eingabe[Wo],"A")&gt;0,_xlfn.MAXIFS(Eingabe[GEGGES],Eingabe[Name],Rekorde[[#This Row],[Name]],Eingabe[Wo],"A"),"")</f>
        <v>553</v>
      </c>
    </row>
    <row r="27" spans="3:48" x14ac:dyDescent="0.3">
      <c r="C27" s="53" t="s">
        <v>464</v>
      </c>
      <c r="D27" s="12" t="str">
        <f>VLOOKUP(Rekorde[[#This Row],[Name]],Teamzuordnung[[Name]:[Team]],2,FALSE)</f>
        <v>F</v>
      </c>
      <c r="E27" s="51">
        <f>IF(COUNTIF(Eingabe[Name],Rekorde[[#This Row],[Name]])&gt;0,_xlfn.MAXIFS(Eingabe[GES],Eingabe[Name],Rekorde[[#This Row],[Name]]),"")</f>
        <v>550</v>
      </c>
      <c r="F27" s="51">
        <f>IF(COUNTIF(Eingabe[Name],Rekorde[[#This Row],[Name]])&gt;0,_xlfn.MAXIFS(Eingabe[Volle],Eingabe[Name],Rekorde[[#This Row],[Name]]),"")</f>
        <v>390</v>
      </c>
      <c r="G27" s="51">
        <f>IF(COUNTIF(Eingabe[Name],Rekorde[[#This Row],[Name]])&gt;0,_xlfn.MAXIFS(Eingabe[Räumer],Eingabe[Name],Rekorde[[#This Row],[Name]]),"")</f>
        <v>170</v>
      </c>
      <c r="H27" s="51">
        <f>IF(COUNTIF(Eingabe[Name],Rekorde[[#This Row],[Name]])&gt;0,_xlfn.MAXIFS(Eingabe[S1],Eingabe[Name],Rekorde[[#This Row],[Name]]),"")</f>
        <v>137</v>
      </c>
      <c r="I27" s="51">
        <f>IF(COUNTIF(Eingabe[Name],Rekorde[[#This Row],[Name]])&gt;0,_xlfn.MAXIFS(Eingabe[S2],Eingabe[Name],Rekorde[[#This Row],[Name]]),"")</f>
        <v>134</v>
      </c>
      <c r="J27" s="51">
        <f>IF(COUNTIF(Eingabe[Name],Rekorde[[#This Row],[Name]])&gt;0,_xlfn.MAXIFS(Eingabe[S3],Eingabe[Name],Rekorde[[#This Row],[Name]]),"")</f>
        <v>147</v>
      </c>
      <c r="K27" s="51">
        <f>IF(COUNTIF(Eingabe[Name],Rekorde[[#This Row],[Name]])&gt;0,_xlfn.MAXIFS(Eingabe[S4],Eingabe[Name],Rekorde[[#This Row],[Name]]),"")</f>
        <v>154</v>
      </c>
      <c r="L27" s="51">
        <f>IF(MAX(Rekorde[[#This Row],[S1]:[S4]])=0,"",MAX(Rekorde[[#This Row],[S1]:[S4]]))</f>
        <v>154</v>
      </c>
      <c r="M27" s="52">
        <f>IF(COUNTIF(Eingabe[Name],Rekorde[[#This Row],[Name]])&gt;0,_xlfn.MINIFS(Eingabe[Fehler],Eingabe[Name],Rekorde[[#This Row],[Name]]),"")</f>
        <v>5</v>
      </c>
      <c r="N27" s="51">
        <f>IF(COUNTIF(Eingabe[Name],Rekorde[[#This Row],[Name]])&gt;0,_xlfn.MAXIFS(Eingabe[GEGGES],Eingabe[Name],Rekorde[[#This Row],[Name]]),"")</f>
        <v>527</v>
      </c>
      <c r="O27" s="51">
        <f>IF(COUNTIFS(Eingabe[Name],Rekorde[[#This Row],[Name]],Eingabe[Wo],"H")&gt;0,_xlfn.MAXIFS(Eingabe[GES],Eingabe[Name],Rekorde[[#This Row],[Name]],Eingabe[Wo],"H"),"")</f>
        <v>550</v>
      </c>
      <c r="P27" s="51">
        <f>IF(COUNTIFS(Eingabe[Name],Rekorde[[#This Row],[Name]],Eingabe[Wo],"H")&gt;0,_xlfn.MAXIFS(Eingabe[Volle],Eingabe[Name],Rekorde[[#This Row],[Name]],Eingabe[Wo],"H"),"")</f>
        <v>390</v>
      </c>
      <c r="Q27" s="51">
        <f>IF(COUNTIFS(Eingabe[Name],Rekorde[[#This Row],[Name]],Eingabe[Wo],"H")&gt;0,_xlfn.MAXIFS(Eingabe[Räumer],Eingabe[Name],Rekorde[[#This Row],[Name]],Eingabe[Wo],"H"),"")</f>
        <v>160</v>
      </c>
      <c r="R27" s="51">
        <f>IF(COUNTIFS(Eingabe[Name],Rekorde[[#This Row],[Name]],Eingabe[Wo],"H")&gt;0,_xlfn.MAXIFS(Eingabe[S1],Eingabe[Name],Rekorde[[#This Row],[Name]],Eingabe[Wo],"H"),"")</f>
        <v>128</v>
      </c>
      <c r="S27" s="51">
        <f>IF(COUNTIFS(Eingabe[Name],Rekorde[[#This Row],[Name]],Eingabe[Wo],"H")&gt;0,_xlfn.MAXIFS(Eingabe[S2],Eingabe[Name],Rekorde[[#This Row],[Name]],Eingabe[Wo],"H"),"")</f>
        <v>130</v>
      </c>
      <c r="T27" s="51">
        <f>IF(COUNTIFS(Eingabe[Name],Rekorde[[#This Row],[Name]],Eingabe[Wo],"H")&gt;0,_xlfn.MAXIFS(Eingabe[S3],Eingabe[Name],Rekorde[[#This Row],[Name]],Eingabe[Wo],"H"),"")</f>
        <v>143</v>
      </c>
      <c r="U27" s="51">
        <f>IF(COUNTIFS(Eingabe[Name],Rekorde[[#This Row],[Name]],Eingabe[Wo],"H")&gt;0,_xlfn.MAXIFS(Eingabe[S4],Eingabe[Name],Rekorde[[#This Row],[Name]],Eingabe[Wo],"H"),"")</f>
        <v>154</v>
      </c>
      <c r="V27" s="51">
        <f>IF(Rekorde[[#This Row],[S1 H]]="","",MAX(Rekorde[[#This Row],[S1 H]:[S4 H]]))</f>
        <v>154</v>
      </c>
      <c r="W27" s="52">
        <f>IF(COUNTIFS(Eingabe[Name],Rekorde[[#This Row],[Name]],Eingabe[Wo],"H")&gt;0,_xlfn.MINIFS(Eingabe[Fehler],Eingabe[Name],Rekorde[[#This Row],[Name]],Eingabe[Wo],"H"),"")</f>
        <v>9</v>
      </c>
      <c r="X27" s="51">
        <f>IF(COUNTIFS(Eingabe[Name],Rekorde[[#This Row],[Name]],Eingabe[Wo],"H")&gt;0,_xlfn.MAXIFS(Eingabe[GEGGES],Eingabe[Name],Rekorde[[#This Row],[Name]],Eingabe[Wo],"H"),"")</f>
        <v>446</v>
      </c>
      <c r="Y27" s="51">
        <f>IF(COUNTIFS(Eingabe[Name],Rekorde[[#This Row],[Name]],Eingabe[Wo],"A")&gt;0,_xlfn.MAXIFS(Eingabe[GES],Eingabe[Name],Rekorde[[#This Row],[Name]],Eingabe[Wo],"A"),"")</f>
        <v>533</v>
      </c>
      <c r="Z27" s="51">
        <f>IF(COUNTIFS(Eingabe[Name],Rekorde[[#This Row],[Name]],Eingabe[Wo],"A")&gt;0,_xlfn.MAXIFS(Eingabe[Volle],Eingabe[Name],Rekorde[[#This Row],[Name]],Eingabe[Wo],"A"),"")</f>
        <v>363</v>
      </c>
      <c r="AA27" s="51">
        <f>IF(COUNTIFS(Eingabe[Name],Rekorde[[#This Row],[Name]],Eingabe[Wo],"A")&gt;0,_xlfn.MAXIFS(Eingabe[Räumer],Eingabe[Name],Rekorde[[#This Row],[Name]],Eingabe[Wo],"A"),"")</f>
        <v>170</v>
      </c>
      <c r="AB27" s="51">
        <f>IF(COUNTIFS(Eingabe[Name],Rekorde[[#This Row],[Name]],Eingabe[Wo],"A")&gt;0,_xlfn.MAXIFS(Eingabe[S1],Eingabe[Name],Rekorde[[#This Row],[Name]],Eingabe[Wo],"A"),"")</f>
        <v>137</v>
      </c>
      <c r="AC27" s="51">
        <f>IF(COUNTIFS(Eingabe[Name],Rekorde[[#This Row],[Name]],Eingabe[Wo],"A")&gt;0,_xlfn.MAXIFS(Eingabe[S2],Eingabe[Name],Rekorde[[#This Row],[Name]],Eingabe[Wo],"A"),"")</f>
        <v>134</v>
      </c>
      <c r="AD27" s="51">
        <f>IF(COUNTIFS(Eingabe[Name],Rekorde[[#This Row],[Name]],Eingabe[Wo],"A")&gt;0,_xlfn.MAXIFS(Eingabe[S3],Eingabe[Name],Rekorde[[#This Row],[Name]],Eingabe[Wo],"A"),"")</f>
        <v>147</v>
      </c>
      <c r="AE27" s="51">
        <f>IF(COUNTIFS(Eingabe[Name],Rekorde[[#This Row],[Name]],Eingabe[Wo],"A")&gt;0,_xlfn.MAXIFS(Eingabe[S4],Eingabe[Name],Rekorde[[#This Row],[Name]],Eingabe[Wo],"A"),"")</f>
        <v>127</v>
      </c>
      <c r="AF27" s="51">
        <f>IF(Rekorde[[#This Row],[S1 A]]="","",MAX(Rekorde[[#This Row],[S1 A]:[S4 A]]))</f>
        <v>147</v>
      </c>
      <c r="AG27" s="52">
        <f>IF(COUNTIFS(Eingabe[Name],Rekorde[[#This Row],[Name]],Eingabe[Wo],"A")&gt;0,_xlfn.MINIFS(Eingabe[Fehler],Eingabe[Name],Rekorde[[#This Row],[Name]],Eingabe[Wo],"A"),"")</f>
        <v>5</v>
      </c>
      <c r="AH27" s="51">
        <f>IF(COUNTIFS(Eingabe[Name],Rekorde[[#This Row],[Name]],Eingabe[Wo],"A")&gt;0,_xlfn.MAXIFS(Eingabe[GEGGES],Eingabe[Name],Rekorde[[#This Row],[Name]],Eingabe[Wo],"A"),"")</f>
        <v>527</v>
      </c>
    </row>
    <row r="28" spans="3:48" x14ac:dyDescent="0.3">
      <c r="C28" s="53" t="s">
        <v>14</v>
      </c>
      <c r="D28" s="12" t="str">
        <f>VLOOKUP(Rekorde[[#This Row],[Name]],Teamzuordnung[[Name]:[Team]],2,FALSE)</f>
        <v>F</v>
      </c>
      <c r="E28" s="51">
        <f>IF(COUNTIF(Eingabe[Name],Rekorde[[#This Row],[Name]])&gt;0,_xlfn.MAXIFS(Eingabe[GES],Eingabe[Name],Rekorde[[#This Row],[Name]]),"")</f>
        <v>539</v>
      </c>
      <c r="F28" s="51">
        <f>IF(COUNTIF(Eingabe[Name],Rekorde[[#This Row],[Name]])&gt;0,_xlfn.MAXIFS(Eingabe[Volle],Eingabe[Name],Rekorde[[#This Row],[Name]]),"")</f>
        <v>372</v>
      </c>
      <c r="G28" s="51">
        <f>IF(COUNTIF(Eingabe[Name],Rekorde[[#This Row],[Name]])&gt;0,_xlfn.MAXIFS(Eingabe[Räumer],Eingabe[Name],Rekorde[[#This Row],[Name]]),"")</f>
        <v>194</v>
      </c>
      <c r="H28" s="51">
        <f>IF(COUNTIF(Eingabe[Name],Rekorde[[#This Row],[Name]])&gt;0,_xlfn.MAXIFS(Eingabe[S1],Eingabe[Name],Rekorde[[#This Row],[Name]]),"")</f>
        <v>145</v>
      </c>
      <c r="I28" s="51">
        <f>IF(COUNTIF(Eingabe[Name],Rekorde[[#This Row],[Name]])&gt;0,_xlfn.MAXIFS(Eingabe[S2],Eingabe[Name],Rekorde[[#This Row],[Name]]),"")</f>
        <v>154</v>
      </c>
      <c r="J28" s="51">
        <f>IF(COUNTIF(Eingabe[Name],Rekorde[[#This Row],[Name]])&gt;0,_xlfn.MAXIFS(Eingabe[S3],Eingabe[Name],Rekorde[[#This Row],[Name]]),"")</f>
        <v>138</v>
      </c>
      <c r="K28" s="51">
        <f>IF(COUNTIF(Eingabe[Name],Rekorde[[#This Row],[Name]])&gt;0,_xlfn.MAXIFS(Eingabe[S4],Eingabe[Name],Rekorde[[#This Row],[Name]]),"")</f>
        <v>149</v>
      </c>
      <c r="L28" s="51">
        <f>IF(MAX(Rekorde[[#This Row],[S1]:[S4]])=0,"",MAX(Rekorde[[#This Row],[S1]:[S4]]))</f>
        <v>154</v>
      </c>
      <c r="M28" s="52">
        <f>IF(COUNTIF(Eingabe[Name],Rekorde[[#This Row],[Name]])&gt;0,_xlfn.MINIFS(Eingabe[Fehler],Eingabe[Name],Rekorde[[#This Row],[Name]]),"")</f>
        <v>4</v>
      </c>
      <c r="N28" s="51">
        <f>IF(COUNTIF(Eingabe[Name],Rekorde[[#This Row],[Name]])&gt;0,_xlfn.MAXIFS(Eingabe[GEGGES],Eingabe[Name],Rekorde[[#This Row],[Name]]),"")</f>
        <v>569</v>
      </c>
      <c r="O28" s="51" t="str">
        <f>IF(COUNTIFS(Eingabe[Name],Rekorde[[#This Row],[Name]],Eingabe[Wo],"H")&gt;0,_xlfn.MAXIFS(Eingabe[GES],Eingabe[Name],Rekorde[[#This Row],[Name]],Eingabe[Wo],"H"),"")</f>
        <v/>
      </c>
      <c r="P28" s="51" t="str">
        <f>IF(COUNTIFS(Eingabe[Name],Rekorde[[#This Row],[Name]],Eingabe[Wo],"H")&gt;0,_xlfn.MAXIFS(Eingabe[Volle],Eingabe[Name],Rekorde[[#This Row],[Name]],Eingabe[Wo],"H"),"")</f>
        <v/>
      </c>
      <c r="Q28" s="51" t="str">
        <f>IF(COUNTIFS(Eingabe[Name],Rekorde[[#This Row],[Name]],Eingabe[Wo],"H")&gt;0,_xlfn.MAXIFS(Eingabe[Räumer],Eingabe[Name],Rekorde[[#This Row],[Name]],Eingabe[Wo],"H"),"")</f>
        <v/>
      </c>
      <c r="R28" s="51" t="str">
        <f>IF(COUNTIFS(Eingabe[Name],Rekorde[[#This Row],[Name]],Eingabe[Wo],"H")&gt;0,_xlfn.MAXIFS(Eingabe[S1],Eingabe[Name],Rekorde[[#This Row],[Name]],Eingabe[Wo],"H"),"")</f>
        <v/>
      </c>
      <c r="S28" s="51" t="str">
        <f>IF(COUNTIFS(Eingabe[Name],Rekorde[[#This Row],[Name]],Eingabe[Wo],"H")&gt;0,_xlfn.MAXIFS(Eingabe[S2],Eingabe[Name],Rekorde[[#This Row],[Name]],Eingabe[Wo],"H"),"")</f>
        <v/>
      </c>
      <c r="T28" s="51" t="str">
        <f>IF(COUNTIFS(Eingabe[Name],Rekorde[[#This Row],[Name]],Eingabe[Wo],"H")&gt;0,_xlfn.MAXIFS(Eingabe[S3],Eingabe[Name],Rekorde[[#This Row],[Name]],Eingabe[Wo],"H"),"")</f>
        <v/>
      </c>
      <c r="U28" s="51" t="str">
        <f>IF(COUNTIFS(Eingabe[Name],Rekorde[[#This Row],[Name]],Eingabe[Wo],"H")&gt;0,_xlfn.MAXIFS(Eingabe[S4],Eingabe[Name],Rekorde[[#This Row],[Name]],Eingabe[Wo],"H"),"")</f>
        <v/>
      </c>
      <c r="V28" s="51" t="str">
        <f>IF(Rekorde[[#This Row],[S1 H]]="","",MAX(Rekorde[[#This Row],[S1 H]:[S4 H]]))</f>
        <v/>
      </c>
      <c r="W28" s="52" t="str">
        <f>IF(COUNTIFS(Eingabe[Name],Rekorde[[#This Row],[Name]],Eingabe[Wo],"H")&gt;0,_xlfn.MINIFS(Eingabe[Fehler],Eingabe[Name],Rekorde[[#This Row],[Name]],Eingabe[Wo],"H"),"")</f>
        <v/>
      </c>
      <c r="X28" s="51" t="str">
        <f>IF(COUNTIFS(Eingabe[Name],Rekorde[[#This Row],[Name]],Eingabe[Wo],"H")&gt;0,_xlfn.MAXIFS(Eingabe[GEGGES],Eingabe[Name],Rekorde[[#This Row],[Name]],Eingabe[Wo],"H"),"")</f>
        <v/>
      </c>
      <c r="Y28" s="51">
        <f>IF(COUNTIFS(Eingabe[Name],Rekorde[[#This Row],[Name]],Eingabe[Wo],"A")&gt;0,_xlfn.MAXIFS(Eingabe[GES],Eingabe[Name],Rekorde[[#This Row],[Name]],Eingabe[Wo],"A"),"")</f>
        <v>539</v>
      </c>
      <c r="Z28" s="51">
        <f>IF(COUNTIFS(Eingabe[Name],Rekorde[[#This Row],[Name]],Eingabe[Wo],"A")&gt;0,_xlfn.MAXIFS(Eingabe[Volle],Eingabe[Name],Rekorde[[#This Row],[Name]],Eingabe[Wo],"A"),"")</f>
        <v>372</v>
      </c>
      <c r="AA28" s="51">
        <f>IF(COUNTIFS(Eingabe[Name],Rekorde[[#This Row],[Name]],Eingabe[Wo],"A")&gt;0,_xlfn.MAXIFS(Eingabe[Räumer],Eingabe[Name],Rekorde[[#This Row],[Name]],Eingabe[Wo],"A"),"")</f>
        <v>194</v>
      </c>
      <c r="AB28" s="51">
        <f>IF(COUNTIFS(Eingabe[Name],Rekorde[[#This Row],[Name]],Eingabe[Wo],"A")&gt;0,_xlfn.MAXIFS(Eingabe[S1],Eingabe[Name],Rekorde[[#This Row],[Name]],Eingabe[Wo],"A"),"")</f>
        <v>145</v>
      </c>
      <c r="AC28" s="51">
        <f>IF(COUNTIFS(Eingabe[Name],Rekorde[[#This Row],[Name]],Eingabe[Wo],"A")&gt;0,_xlfn.MAXIFS(Eingabe[S2],Eingabe[Name],Rekorde[[#This Row],[Name]],Eingabe[Wo],"A"),"")</f>
        <v>154</v>
      </c>
      <c r="AD28" s="51">
        <f>IF(COUNTIFS(Eingabe[Name],Rekorde[[#This Row],[Name]],Eingabe[Wo],"A")&gt;0,_xlfn.MAXIFS(Eingabe[S3],Eingabe[Name],Rekorde[[#This Row],[Name]],Eingabe[Wo],"A"),"")</f>
        <v>138</v>
      </c>
      <c r="AE28" s="51">
        <f>IF(COUNTIFS(Eingabe[Name],Rekorde[[#This Row],[Name]],Eingabe[Wo],"A")&gt;0,_xlfn.MAXIFS(Eingabe[S4],Eingabe[Name],Rekorde[[#This Row],[Name]],Eingabe[Wo],"A"),"")</f>
        <v>149</v>
      </c>
      <c r="AF28" s="51">
        <f>IF(Rekorde[[#This Row],[S1 A]]="","",MAX(Rekorde[[#This Row],[S1 A]:[S4 A]]))</f>
        <v>154</v>
      </c>
      <c r="AG28" s="52">
        <f>IF(COUNTIFS(Eingabe[Name],Rekorde[[#This Row],[Name]],Eingabe[Wo],"A")&gt;0,_xlfn.MINIFS(Eingabe[Fehler],Eingabe[Name],Rekorde[[#This Row],[Name]],Eingabe[Wo],"A"),"")</f>
        <v>4</v>
      </c>
      <c r="AH28" s="51">
        <f>IF(COUNTIFS(Eingabe[Name],Rekorde[[#This Row],[Name]],Eingabe[Wo],"A")&gt;0,_xlfn.MAXIFS(Eingabe[GEGGES],Eingabe[Name],Rekorde[[#This Row],[Name]],Eingabe[Wo],"A"),"")</f>
        <v>569</v>
      </c>
    </row>
    <row r="29" spans="3:48" x14ac:dyDescent="0.3">
      <c r="C29" s="53" t="s">
        <v>480</v>
      </c>
      <c r="D29" s="12" t="str">
        <f>VLOOKUP(Rekorde[[#This Row],[Name]],Teamzuordnung[[Name]:[Team]],2,FALSE)</f>
        <v>F</v>
      </c>
      <c r="E29" s="51">
        <f>IF(COUNTIF(Eingabe[Name],Rekorde[[#This Row],[Name]])&gt;0,_xlfn.MAXIFS(Eingabe[GES],Eingabe[Name],Rekorde[[#This Row],[Name]]),"")</f>
        <v>540</v>
      </c>
      <c r="F29" s="51">
        <f>IF(COUNTIF(Eingabe[Name],Rekorde[[#This Row],[Name]])&gt;0,_xlfn.MAXIFS(Eingabe[Volle],Eingabe[Name],Rekorde[[#This Row],[Name]]),"")</f>
        <v>365</v>
      </c>
      <c r="G29" s="51">
        <f>IF(COUNTIF(Eingabe[Name],Rekorde[[#This Row],[Name]])&gt;0,_xlfn.MAXIFS(Eingabe[Räumer],Eingabe[Name],Rekorde[[#This Row],[Name]]),"")</f>
        <v>177</v>
      </c>
      <c r="H29" s="51">
        <f>IF(COUNTIF(Eingabe[Name],Rekorde[[#This Row],[Name]])&gt;0,_xlfn.MAXIFS(Eingabe[S1],Eingabe[Name],Rekorde[[#This Row],[Name]]),"")</f>
        <v>146</v>
      </c>
      <c r="I29" s="51">
        <f>IF(COUNTIF(Eingabe[Name],Rekorde[[#This Row],[Name]])&gt;0,_xlfn.MAXIFS(Eingabe[S2],Eingabe[Name],Rekorde[[#This Row],[Name]]),"")</f>
        <v>136</v>
      </c>
      <c r="J29" s="51">
        <f>IF(COUNTIF(Eingabe[Name],Rekorde[[#This Row],[Name]])&gt;0,_xlfn.MAXIFS(Eingabe[S3],Eingabe[Name],Rekorde[[#This Row],[Name]]),"")</f>
        <v>132</v>
      </c>
      <c r="K29" s="51">
        <f>IF(COUNTIF(Eingabe[Name],Rekorde[[#This Row],[Name]])&gt;0,_xlfn.MAXIFS(Eingabe[S4],Eingabe[Name],Rekorde[[#This Row],[Name]]),"")</f>
        <v>154</v>
      </c>
      <c r="L29" s="51">
        <f>IF(MAX(Rekorde[[#This Row],[S1]:[S4]])=0,"",MAX(Rekorde[[#This Row],[S1]:[S4]]))</f>
        <v>154</v>
      </c>
      <c r="M29" s="52">
        <f>IF(COUNTIF(Eingabe[Name],Rekorde[[#This Row],[Name]])&gt;0,_xlfn.MINIFS(Eingabe[Fehler],Eingabe[Name],Rekorde[[#This Row],[Name]]),"")</f>
        <v>4</v>
      </c>
      <c r="N29" s="51">
        <f>IF(COUNTIF(Eingabe[Name],Rekorde[[#This Row],[Name]])&gt;0,_xlfn.MAXIFS(Eingabe[GEGGES],Eingabe[Name],Rekorde[[#This Row],[Name]]),"")</f>
        <v>586</v>
      </c>
      <c r="O29" s="51">
        <f>IF(COUNTIFS(Eingabe[Name],Rekorde[[#This Row],[Name]],Eingabe[Wo],"H")&gt;0,_xlfn.MAXIFS(Eingabe[GES],Eingabe[Name],Rekorde[[#This Row],[Name]],Eingabe[Wo],"H"),"")</f>
        <v>506</v>
      </c>
      <c r="P29" s="51">
        <f>IF(COUNTIFS(Eingabe[Name],Rekorde[[#This Row],[Name]],Eingabe[Wo],"H")&gt;0,_xlfn.MAXIFS(Eingabe[Volle],Eingabe[Name],Rekorde[[#This Row],[Name]],Eingabe[Wo],"H"),"")</f>
        <v>363</v>
      </c>
      <c r="Q29" s="51">
        <f>IF(COUNTIFS(Eingabe[Name],Rekorde[[#This Row],[Name]],Eingabe[Wo],"H")&gt;0,_xlfn.MAXIFS(Eingabe[Räumer],Eingabe[Name],Rekorde[[#This Row],[Name]],Eingabe[Wo],"H"),"")</f>
        <v>161</v>
      </c>
      <c r="R29" s="51">
        <f>IF(COUNTIFS(Eingabe[Name],Rekorde[[#This Row],[Name]],Eingabe[Wo],"H")&gt;0,_xlfn.MAXIFS(Eingabe[S1],Eingabe[Name],Rekorde[[#This Row],[Name]],Eingabe[Wo],"H"),"")</f>
        <v>132</v>
      </c>
      <c r="S29" s="51">
        <f>IF(COUNTIFS(Eingabe[Name],Rekorde[[#This Row],[Name]],Eingabe[Wo],"H")&gt;0,_xlfn.MAXIFS(Eingabe[S2],Eingabe[Name],Rekorde[[#This Row],[Name]],Eingabe[Wo],"H"),"")</f>
        <v>136</v>
      </c>
      <c r="T29" s="51">
        <f>IF(COUNTIFS(Eingabe[Name],Rekorde[[#This Row],[Name]],Eingabe[Wo],"H")&gt;0,_xlfn.MAXIFS(Eingabe[S3],Eingabe[Name],Rekorde[[#This Row],[Name]],Eingabe[Wo],"H"),"")</f>
        <v>132</v>
      </c>
      <c r="U29" s="51">
        <f>IF(COUNTIFS(Eingabe[Name],Rekorde[[#This Row],[Name]],Eingabe[Wo],"H")&gt;0,_xlfn.MAXIFS(Eingabe[S4],Eingabe[Name],Rekorde[[#This Row],[Name]],Eingabe[Wo],"H"),"")</f>
        <v>119</v>
      </c>
      <c r="V29" s="51">
        <f>IF(Rekorde[[#This Row],[S1 H]]="","",MAX(Rekorde[[#This Row],[S1 H]:[S4 H]]))</f>
        <v>136</v>
      </c>
      <c r="W29" s="52">
        <f>IF(COUNTIFS(Eingabe[Name],Rekorde[[#This Row],[Name]],Eingabe[Wo],"H")&gt;0,_xlfn.MINIFS(Eingabe[Fehler],Eingabe[Name],Rekorde[[#This Row],[Name]],Eingabe[Wo],"H"),"")</f>
        <v>6</v>
      </c>
      <c r="X29" s="51">
        <f>IF(COUNTIFS(Eingabe[Name],Rekorde[[#This Row],[Name]],Eingabe[Wo],"H")&gt;0,_xlfn.MAXIFS(Eingabe[GEGGES],Eingabe[Name],Rekorde[[#This Row],[Name]],Eingabe[Wo],"H"),"")</f>
        <v>513</v>
      </c>
      <c r="Y29" s="51">
        <f>IF(COUNTIFS(Eingabe[Name],Rekorde[[#This Row],[Name]],Eingabe[Wo],"A")&gt;0,_xlfn.MAXIFS(Eingabe[GES],Eingabe[Name],Rekorde[[#This Row],[Name]],Eingabe[Wo],"A"),"")</f>
        <v>540</v>
      </c>
      <c r="Z29" s="51">
        <f>IF(COUNTIFS(Eingabe[Name],Rekorde[[#This Row],[Name]],Eingabe[Wo],"A")&gt;0,_xlfn.MAXIFS(Eingabe[Volle],Eingabe[Name],Rekorde[[#This Row],[Name]],Eingabe[Wo],"A"),"")</f>
        <v>365</v>
      </c>
      <c r="AA29" s="51">
        <f>IF(COUNTIFS(Eingabe[Name],Rekorde[[#This Row],[Name]],Eingabe[Wo],"A")&gt;0,_xlfn.MAXIFS(Eingabe[Räumer],Eingabe[Name],Rekorde[[#This Row],[Name]],Eingabe[Wo],"A"),"")</f>
        <v>177</v>
      </c>
      <c r="AB29" s="51">
        <f>IF(COUNTIFS(Eingabe[Name],Rekorde[[#This Row],[Name]],Eingabe[Wo],"A")&gt;0,_xlfn.MAXIFS(Eingabe[S1],Eingabe[Name],Rekorde[[#This Row],[Name]],Eingabe[Wo],"A"),"")</f>
        <v>146</v>
      </c>
      <c r="AC29" s="51">
        <f>IF(COUNTIFS(Eingabe[Name],Rekorde[[#This Row],[Name]],Eingabe[Wo],"A")&gt;0,_xlfn.MAXIFS(Eingabe[S2],Eingabe[Name],Rekorde[[#This Row],[Name]],Eingabe[Wo],"A"),"")</f>
        <v>132</v>
      </c>
      <c r="AD29" s="51">
        <f>IF(COUNTIFS(Eingabe[Name],Rekorde[[#This Row],[Name]],Eingabe[Wo],"A")&gt;0,_xlfn.MAXIFS(Eingabe[S3],Eingabe[Name],Rekorde[[#This Row],[Name]],Eingabe[Wo],"A"),"")</f>
        <v>132</v>
      </c>
      <c r="AE29" s="51">
        <f>IF(COUNTIFS(Eingabe[Name],Rekorde[[#This Row],[Name]],Eingabe[Wo],"A")&gt;0,_xlfn.MAXIFS(Eingabe[S4],Eingabe[Name],Rekorde[[#This Row],[Name]],Eingabe[Wo],"A"),"")</f>
        <v>154</v>
      </c>
      <c r="AF29" s="51">
        <f>IF(Rekorde[[#This Row],[S1 A]]="","",MAX(Rekorde[[#This Row],[S1 A]:[S4 A]]))</f>
        <v>154</v>
      </c>
      <c r="AG29" s="52">
        <f>IF(COUNTIFS(Eingabe[Name],Rekorde[[#This Row],[Name]],Eingabe[Wo],"A")&gt;0,_xlfn.MINIFS(Eingabe[Fehler],Eingabe[Name],Rekorde[[#This Row],[Name]],Eingabe[Wo],"A"),"")</f>
        <v>4</v>
      </c>
      <c r="AH29" s="51">
        <f>IF(COUNTIFS(Eingabe[Name],Rekorde[[#This Row],[Name]],Eingabe[Wo],"A")&gt;0,_xlfn.MAXIFS(Eingabe[GEGGES],Eingabe[Name],Rekorde[[#This Row],[Name]],Eingabe[Wo],"A"),"")</f>
        <v>586</v>
      </c>
    </row>
    <row r="30" spans="3:48" x14ac:dyDescent="0.3">
      <c r="C30" s="53" t="s">
        <v>489</v>
      </c>
      <c r="D30" s="12" t="str">
        <f>VLOOKUP(Rekorde[[#This Row],[Name]],Teamzuordnung[[Name]:[Team]],2,FALSE)</f>
        <v>E</v>
      </c>
      <c r="E30" s="51">
        <f>IF(COUNTIF(Eingabe[Name],Rekorde[[#This Row],[Name]])&gt;0,_xlfn.MAXIFS(Eingabe[GES],Eingabe[Name],Rekorde[[#This Row],[Name]]),"")</f>
        <v>579</v>
      </c>
      <c r="F30" s="51">
        <f>IF(COUNTIF(Eingabe[Name],Rekorde[[#This Row],[Name]])&gt;0,_xlfn.MAXIFS(Eingabe[Volle],Eingabe[Name],Rekorde[[#This Row],[Name]]),"")</f>
        <v>387</v>
      </c>
      <c r="G30" s="51">
        <f>IF(COUNTIF(Eingabe[Name],Rekorde[[#This Row],[Name]])&gt;0,_xlfn.MAXIFS(Eingabe[Räumer],Eingabe[Name],Rekorde[[#This Row],[Name]]),"")</f>
        <v>192</v>
      </c>
      <c r="H30" s="51">
        <f>IF(COUNTIF(Eingabe[Name],Rekorde[[#This Row],[Name]])&gt;0,_xlfn.MAXIFS(Eingabe[S1],Eingabe[Name],Rekorde[[#This Row],[Name]]),"")</f>
        <v>151</v>
      </c>
      <c r="I30" s="51">
        <f>IF(COUNTIF(Eingabe[Name],Rekorde[[#This Row],[Name]])&gt;0,_xlfn.MAXIFS(Eingabe[S2],Eingabe[Name],Rekorde[[#This Row],[Name]]),"")</f>
        <v>152</v>
      </c>
      <c r="J30" s="51">
        <f>IF(COUNTIF(Eingabe[Name],Rekorde[[#This Row],[Name]])&gt;0,_xlfn.MAXIFS(Eingabe[S3],Eingabe[Name],Rekorde[[#This Row],[Name]]),"")</f>
        <v>143</v>
      </c>
      <c r="K30" s="51">
        <f>IF(COUNTIF(Eingabe[Name],Rekorde[[#This Row],[Name]])&gt;0,_xlfn.MAXIFS(Eingabe[S4],Eingabe[Name],Rekorde[[#This Row],[Name]]),"")</f>
        <v>147</v>
      </c>
      <c r="L30" s="51">
        <f>IF(MAX(Rekorde[[#This Row],[S1]:[S4]])=0,"",MAX(Rekorde[[#This Row],[S1]:[S4]]))</f>
        <v>152</v>
      </c>
      <c r="M30" s="52">
        <f>IF(COUNTIF(Eingabe[Name],Rekorde[[#This Row],[Name]])&gt;0,_xlfn.MINIFS(Eingabe[Fehler],Eingabe[Name],Rekorde[[#This Row],[Name]]),"")</f>
        <v>2</v>
      </c>
      <c r="N30" s="51">
        <f>IF(COUNTIF(Eingabe[Name],Rekorde[[#This Row],[Name]])&gt;0,_xlfn.MAXIFS(Eingabe[GEGGES],Eingabe[Name],Rekorde[[#This Row],[Name]]),"")</f>
        <v>621</v>
      </c>
      <c r="O30" s="51">
        <f>IF(COUNTIFS(Eingabe[Name],Rekorde[[#This Row],[Name]],Eingabe[Wo],"H")&gt;0,_xlfn.MAXIFS(Eingabe[GES],Eingabe[Name],Rekorde[[#This Row],[Name]],Eingabe[Wo],"H"),"")</f>
        <v>546</v>
      </c>
      <c r="P30" s="51">
        <f>IF(COUNTIFS(Eingabe[Name],Rekorde[[#This Row],[Name]],Eingabe[Wo],"H")&gt;0,_xlfn.MAXIFS(Eingabe[Volle],Eingabe[Name],Rekorde[[#This Row],[Name]],Eingabe[Wo],"H"),"")</f>
        <v>363</v>
      </c>
      <c r="Q30" s="51">
        <f>IF(COUNTIFS(Eingabe[Name],Rekorde[[#This Row],[Name]],Eingabe[Wo],"H")&gt;0,_xlfn.MAXIFS(Eingabe[Räumer],Eingabe[Name],Rekorde[[#This Row],[Name]],Eingabe[Wo],"H"),"")</f>
        <v>183</v>
      </c>
      <c r="R30" s="51">
        <f>IF(COUNTIFS(Eingabe[Name],Rekorde[[#This Row],[Name]],Eingabe[Wo],"H")&gt;0,_xlfn.MAXIFS(Eingabe[S1],Eingabe[Name],Rekorde[[#This Row],[Name]],Eingabe[Wo],"H"),"")</f>
        <v>145</v>
      </c>
      <c r="S30" s="51">
        <f>IF(COUNTIFS(Eingabe[Name],Rekorde[[#This Row],[Name]],Eingabe[Wo],"H")&gt;0,_xlfn.MAXIFS(Eingabe[S2],Eingabe[Name],Rekorde[[#This Row],[Name]],Eingabe[Wo],"H"),"")</f>
        <v>145</v>
      </c>
      <c r="T30" s="51">
        <f>IF(COUNTIFS(Eingabe[Name],Rekorde[[#This Row],[Name]],Eingabe[Wo],"H")&gt;0,_xlfn.MAXIFS(Eingabe[S3],Eingabe[Name],Rekorde[[#This Row],[Name]],Eingabe[Wo],"H"),"")</f>
        <v>143</v>
      </c>
      <c r="U30" s="51">
        <f>IF(COUNTIFS(Eingabe[Name],Rekorde[[#This Row],[Name]],Eingabe[Wo],"H")&gt;0,_xlfn.MAXIFS(Eingabe[S4],Eingabe[Name],Rekorde[[#This Row],[Name]],Eingabe[Wo],"H"),"")</f>
        <v>146</v>
      </c>
      <c r="V30" s="51">
        <f>IF(Rekorde[[#This Row],[S1 H]]="","",MAX(Rekorde[[#This Row],[S1 H]:[S4 H]]))</f>
        <v>146</v>
      </c>
      <c r="W30" s="52">
        <f>IF(COUNTIFS(Eingabe[Name],Rekorde[[#This Row],[Name]],Eingabe[Wo],"H")&gt;0,_xlfn.MINIFS(Eingabe[Fehler],Eingabe[Name],Rekorde[[#This Row],[Name]],Eingabe[Wo],"H"),"")</f>
        <v>2</v>
      </c>
      <c r="X30" s="51">
        <f>IF(COUNTIFS(Eingabe[Name],Rekorde[[#This Row],[Name]],Eingabe[Wo],"H")&gt;0,_xlfn.MAXIFS(Eingabe[GEGGES],Eingabe[Name],Rekorde[[#This Row],[Name]],Eingabe[Wo],"H"),"")</f>
        <v>554</v>
      </c>
      <c r="Y30" s="51">
        <f>IF(COUNTIFS(Eingabe[Name],Rekorde[[#This Row],[Name]],Eingabe[Wo],"A")&gt;0,_xlfn.MAXIFS(Eingabe[GES],Eingabe[Name],Rekorde[[#This Row],[Name]],Eingabe[Wo],"A"),"")</f>
        <v>579</v>
      </c>
      <c r="Z30" s="51">
        <f>IF(COUNTIFS(Eingabe[Name],Rekorde[[#This Row],[Name]],Eingabe[Wo],"A")&gt;0,_xlfn.MAXIFS(Eingabe[Volle],Eingabe[Name],Rekorde[[#This Row],[Name]],Eingabe[Wo],"A"),"")</f>
        <v>387</v>
      </c>
      <c r="AA30" s="51">
        <f>IF(COUNTIFS(Eingabe[Name],Rekorde[[#This Row],[Name]],Eingabe[Wo],"A")&gt;0,_xlfn.MAXIFS(Eingabe[Räumer],Eingabe[Name],Rekorde[[#This Row],[Name]],Eingabe[Wo],"A"),"")</f>
        <v>192</v>
      </c>
      <c r="AB30" s="51">
        <f>IF(COUNTIFS(Eingabe[Name],Rekorde[[#This Row],[Name]],Eingabe[Wo],"A")&gt;0,_xlfn.MAXIFS(Eingabe[S1],Eingabe[Name],Rekorde[[#This Row],[Name]],Eingabe[Wo],"A"),"")</f>
        <v>151</v>
      </c>
      <c r="AC30" s="51">
        <f>IF(COUNTIFS(Eingabe[Name],Rekorde[[#This Row],[Name]],Eingabe[Wo],"A")&gt;0,_xlfn.MAXIFS(Eingabe[S2],Eingabe[Name],Rekorde[[#This Row],[Name]],Eingabe[Wo],"A"),"")</f>
        <v>152</v>
      </c>
      <c r="AD30" s="51">
        <f>IF(COUNTIFS(Eingabe[Name],Rekorde[[#This Row],[Name]],Eingabe[Wo],"A")&gt;0,_xlfn.MAXIFS(Eingabe[S3],Eingabe[Name],Rekorde[[#This Row],[Name]],Eingabe[Wo],"A"),"")</f>
        <v>142</v>
      </c>
      <c r="AE30" s="51">
        <f>IF(COUNTIFS(Eingabe[Name],Rekorde[[#This Row],[Name]],Eingabe[Wo],"A")&gt;0,_xlfn.MAXIFS(Eingabe[S4],Eingabe[Name],Rekorde[[#This Row],[Name]],Eingabe[Wo],"A"),"")</f>
        <v>147</v>
      </c>
      <c r="AF30" s="51">
        <f>IF(Rekorde[[#This Row],[S1 A]]="","",MAX(Rekorde[[#This Row],[S1 A]:[S4 A]]))</f>
        <v>152</v>
      </c>
      <c r="AG30" s="52">
        <f>IF(COUNTIFS(Eingabe[Name],Rekorde[[#This Row],[Name]],Eingabe[Wo],"A")&gt;0,_xlfn.MINIFS(Eingabe[Fehler],Eingabe[Name],Rekorde[[#This Row],[Name]],Eingabe[Wo],"A"),"")</f>
        <v>3</v>
      </c>
      <c r="AH30" s="51">
        <f>IF(COUNTIFS(Eingabe[Name],Rekorde[[#This Row],[Name]],Eingabe[Wo],"A")&gt;0,_xlfn.MAXIFS(Eingabe[GEGGES],Eingabe[Name],Rekorde[[#This Row],[Name]],Eingabe[Wo],"A"),"")</f>
        <v>621</v>
      </c>
    </row>
    <row r="31" spans="3:48" x14ac:dyDescent="0.3">
      <c r="C31" s="53" t="s">
        <v>467</v>
      </c>
      <c r="D31" s="12" t="str">
        <f>VLOOKUP(Rekorde[[#This Row],[Name]],Teamzuordnung[[Name]:[Team]],2,FALSE)</f>
        <v>D</v>
      </c>
      <c r="E31" s="51">
        <f>IF(COUNTIF(Eingabe[Name],Rekorde[[#This Row],[Name]])&gt;0,_xlfn.MAXIFS(Eingabe[GES],Eingabe[Name],Rekorde[[#This Row],[Name]]),"")</f>
        <v>538</v>
      </c>
      <c r="F31" s="51">
        <f>IF(COUNTIF(Eingabe[Name],Rekorde[[#This Row],[Name]])&gt;0,_xlfn.MAXIFS(Eingabe[Volle],Eingabe[Name],Rekorde[[#This Row],[Name]]),"")</f>
        <v>368</v>
      </c>
      <c r="G31" s="51">
        <f>IF(COUNTIF(Eingabe[Name],Rekorde[[#This Row],[Name]])&gt;0,_xlfn.MAXIFS(Eingabe[Räumer],Eingabe[Name],Rekorde[[#This Row],[Name]]),"")</f>
        <v>174</v>
      </c>
      <c r="H31" s="51">
        <f>IF(COUNTIF(Eingabe[Name],Rekorde[[#This Row],[Name]])&gt;0,_xlfn.MAXIFS(Eingabe[S1],Eingabe[Name],Rekorde[[#This Row],[Name]]),"")</f>
        <v>134</v>
      </c>
      <c r="I31" s="51">
        <f>IF(COUNTIF(Eingabe[Name],Rekorde[[#This Row],[Name]])&gt;0,_xlfn.MAXIFS(Eingabe[S2],Eingabe[Name],Rekorde[[#This Row],[Name]]),"")</f>
        <v>131</v>
      </c>
      <c r="J31" s="51">
        <f>IF(COUNTIF(Eingabe[Name],Rekorde[[#This Row],[Name]])&gt;0,_xlfn.MAXIFS(Eingabe[S3],Eingabe[Name],Rekorde[[#This Row],[Name]]),"")</f>
        <v>133</v>
      </c>
      <c r="K31" s="51">
        <f>IF(COUNTIF(Eingabe[Name],Rekorde[[#This Row],[Name]])&gt;0,_xlfn.MAXIFS(Eingabe[S4],Eingabe[Name],Rekorde[[#This Row],[Name]]),"")</f>
        <v>152</v>
      </c>
      <c r="L31" s="51">
        <f>IF(MAX(Rekorde[[#This Row],[S1]:[S4]])=0,"",MAX(Rekorde[[#This Row],[S1]:[S4]]))</f>
        <v>152</v>
      </c>
      <c r="M31" s="52">
        <f>IF(COUNTIF(Eingabe[Name],Rekorde[[#This Row],[Name]])&gt;0,_xlfn.MINIFS(Eingabe[Fehler],Eingabe[Name],Rekorde[[#This Row],[Name]]),"")</f>
        <v>6</v>
      </c>
      <c r="N31" s="51">
        <f>IF(COUNTIF(Eingabe[Name],Rekorde[[#This Row],[Name]])&gt;0,_xlfn.MAXIFS(Eingabe[GEGGES],Eingabe[Name],Rekorde[[#This Row],[Name]]),"")</f>
        <v>530</v>
      </c>
      <c r="O31" s="51">
        <f>IF(COUNTIFS(Eingabe[Name],Rekorde[[#This Row],[Name]],Eingabe[Wo],"H")&gt;0,_xlfn.MAXIFS(Eingabe[GES],Eingabe[Name],Rekorde[[#This Row],[Name]],Eingabe[Wo],"H"),"")</f>
        <v>538</v>
      </c>
      <c r="P31" s="51">
        <f>IF(COUNTIFS(Eingabe[Name],Rekorde[[#This Row],[Name]],Eingabe[Wo],"H")&gt;0,_xlfn.MAXIFS(Eingabe[Volle],Eingabe[Name],Rekorde[[#This Row],[Name]],Eingabe[Wo],"H"),"")</f>
        <v>364</v>
      </c>
      <c r="Q31" s="51">
        <f>IF(COUNTIFS(Eingabe[Name],Rekorde[[#This Row],[Name]],Eingabe[Wo],"H")&gt;0,_xlfn.MAXIFS(Eingabe[Räumer],Eingabe[Name],Rekorde[[#This Row],[Name]],Eingabe[Wo],"H"),"")</f>
        <v>174</v>
      </c>
      <c r="R31" s="51">
        <f>IF(COUNTIFS(Eingabe[Name],Rekorde[[#This Row],[Name]],Eingabe[Wo],"H")&gt;0,_xlfn.MAXIFS(Eingabe[S1],Eingabe[Name],Rekorde[[#This Row],[Name]],Eingabe[Wo],"H"),"")</f>
        <v>134</v>
      </c>
      <c r="S31" s="51">
        <f>IF(COUNTIFS(Eingabe[Name],Rekorde[[#This Row],[Name]],Eingabe[Wo],"H")&gt;0,_xlfn.MAXIFS(Eingabe[S2],Eingabe[Name],Rekorde[[#This Row],[Name]],Eingabe[Wo],"H"),"")</f>
        <v>119</v>
      </c>
      <c r="T31" s="51">
        <f>IF(COUNTIFS(Eingabe[Name],Rekorde[[#This Row],[Name]],Eingabe[Wo],"H")&gt;0,_xlfn.MAXIFS(Eingabe[S3],Eingabe[Name],Rekorde[[#This Row],[Name]],Eingabe[Wo],"H"),"")</f>
        <v>133</v>
      </c>
      <c r="U31" s="51">
        <f>IF(COUNTIFS(Eingabe[Name],Rekorde[[#This Row],[Name]],Eingabe[Wo],"H")&gt;0,_xlfn.MAXIFS(Eingabe[S4],Eingabe[Name],Rekorde[[#This Row],[Name]],Eingabe[Wo],"H"),"")</f>
        <v>152</v>
      </c>
      <c r="V31" s="51">
        <f>IF(Rekorde[[#This Row],[S1 H]]="","",MAX(Rekorde[[#This Row],[S1 H]:[S4 H]]))</f>
        <v>152</v>
      </c>
      <c r="W31" s="52">
        <f>IF(COUNTIFS(Eingabe[Name],Rekorde[[#This Row],[Name]],Eingabe[Wo],"H")&gt;0,_xlfn.MINIFS(Eingabe[Fehler],Eingabe[Name],Rekorde[[#This Row],[Name]],Eingabe[Wo],"H"),"")</f>
        <v>6</v>
      </c>
      <c r="X31" s="51">
        <f>IF(COUNTIFS(Eingabe[Name],Rekorde[[#This Row],[Name]],Eingabe[Wo],"H")&gt;0,_xlfn.MAXIFS(Eingabe[GEGGES],Eingabe[Name],Rekorde[[#This Row],[Name]],Eingabe[Wo],"H"),"")</f>
        <v>493</v>
      </c>
      <c r="Y31" s="51">
        <f>IF(COUNTIFS(Eingabe[Name],Rekorde[[#This Row],[Name]],Eingabe[Wo],"A")&gt;0,_xlfn.MAXIFS(Eingabe[GES],Eingabe[Name],Rekorde[[#This Row],[Name]],Eingabe[Wo],"A"),"")</f>
        <v>507</v>
      </c>
      <c r="Z31" s="51">
        <f>IF(COUNTIFS(Eingabe[Name],Rekorde[[#This Row],[Name]],Eingabe[Wo],"A")&gt;0,_xlfn.MAXIFS(Eingabe[Volle],Eingabe[Name],Rekorde[[#This Row],[Name]],Eingabe[Wo],"A"),"")</f>
        <v>368</v>
      </c>
      <c r="AA31" s="51">
        <f>IF(COUNTIFS(Eingabe[Name],Rekorde[[#This Row],[Name]],Eingabe[Wo],"A")&gt;0,_xlfn.MAXIFS(Eingabe[Räumer],Eingabe[Name],Rekorde[[#This Row],[Name]],Eingabe[Wo],"A"),"")</f>
        <v>143</v>
      </c>
      <c r="AB31" s="51">
        <f>IF(COUNTIFS(Eingabe[Name],Rekorde[[#This Row],[Name]],Eingabe[Wo],"A")&gt;0,_xlfn.MAXIFS(Eingabe[S1],Eingabe[Name],Rekorde[[#This Row],[Name]],Eingabe[Wo],"A"),"")</f>
        <v>131</v>
      </c>
      <c r="AC31" s="51">
        <f>IF(COUNTIFS(Eingabe[Name],Rekorde[[#This Row],[Name]],Eingabe[Wo],"A")&gt;0,_xlfn.MAXIFS(Eingabe[S2],Eingabe[Name],Rekorde[[#This Row],[Name]],Eingabe[Wo],"A"),"")</f>
        <v>131</v>
      </c>
      <c r="AD31" s="51">
        <f>IF(COUNTIFS(Eingabe[Name],Rekorde[[#This Row],[Name]],Eingabe[Wo],"A")&gt;0,_xlfn.MAXIFS(Eingabe[S3],Eingabe[Name],Rekorde[[#This Row],[Name]],Eingabe[Wo],"A"),"")</f>
        <v>129</v>
      </c>
      <c r="AE31" s="51">
        <f>IF(COUNTIFS(Eingabe[Name],Rekorde[[#This Row],[Name]],Eingabe[Wo],"A")&gt;0,_xlfn.MAXIFS(Eingabe[S4],Eingabe[Name],Rekorde[[#This Row],[Name]],Eingabe[Wo],"A"),"")</f>
        <v>128</v>
      </c>
      <c r="AF31" s="51">
        <f>IF(Rekorde[[#This Row],[S1 A]]="","",MAX(Rekorde[[#This Row],[S1 A]:[S4 A]]))</f>
        <v>131</v>
      </c>
      <c r="AG31" s="52">
        <f>IF(COUNTIFS(Eingabe[Name],Rekorde[[#This Row],[Name]],Eingabe[Wo],"A")&gt;0,_xlfn.MINIFS(Eingabe[Fehler],Eingabe[Name],Rekorde[[#This Row],[Name]],Eingabe[Wo],"A"),"")</f>
        <v>11</v>
      </c>
      <c r="AH31" s="51">
        <f>IF(COUNTIFS(Eingabe[Name],Rekorde[[#This Row],[Name]],Eingabe[Wo],"A")&gt;0,_xlfn.MAXIFS(Eingabe[GEGGES],Eingabe[Name],Rekorde[[#This Row],[Name]],Eingabe[Wo],"A"),"")</f>
        <v>530</v>
      </c>
    </row>
    <row r="32" spans="3:48" x14ac:dyDescent="0.3">
      <c r="C32" s="53" t="s">
        <v>465</v>
      </c>
      <c r="D32" s="12" t="str">
        <f>VLOOKUP(Rekorde[[#This Row],[Name]],Teamzuordnung[[Name]:[Team]],2,FALSE)</f>
        <v>Z</v>
      </c>
      <c r="E32" s="51">
        <f>IF(COUNTIF(Eingabe[Name],Rekorde[[#This Row],[Name]])&gt;0,_xlfn.MAXIFS(Eingabe[GES],Eingabe[Name],Rekorde[[#This Row],[Name]]),"")</f>
        <v>574</v>
      </c>
      <c r="F32" s="51">
        <f>IF(COUNTIF(Eingabe[Name],Rekorde[[#This Row],[Name]])&gt;0,_xlfn.MAXIFS(Eingabe[Volle],Eingabe[Name],Rekorde[[#This Row],[Name]]),"")</f>
        <v>390</v>
      </c>
      <c r="G32" s="51">
        <f>IF(COUNTIF(Eingabe[Name],Rekorde[[#This Row],[Name]])&gt;0,_xlfn.MAXIFS(Eingabe[Räumer],Eingabe[Name],Rekorde[[#This Row],[Name]]),"")</f>
        <v>191</v>
      </c>
      <c r="H32" s="51">
        <f>IF(COUNTIF(Eingabe[Name],Rekorde[[#This Row],[Name]])&gt;0,_xlfn.MAXIFS(Eingabe[S1],Eingabe[Name],Rekorde[[#This Row],[Name]]),"")</f>
        <v>139</v>
      </c>
      <c r="I32" s="51">
        <f>IF(COUNTIF(Eingabe[Name],Rekorde[[#This Row],[Name]])&gt;0,_xlfn.MAXIFS(Eingabe[S2],Eingabe[Name],Rekorde[[#This Row],[Name]]),"")</f>
        <v>151</v>
      </c>
      <c r="J32" s="51">
        <f>IF(COUNTIF(Eingabe[Name],Rekorde[[#This Row],[Name]])&gt;0,_xlfn.MAXIFS(Eingabe[S3],Eingabe[Name],Rekorde[[#This Row],[Name]]),"")</f>
        <v>150</v>
      </c>
      <c r="K32" s="51">
        <f>IF(COUNTIF(Eingabe[Name],Rekorde[[#This Row],[Name]])&gt;0,_xlfn.MAXIFS(Eingabe[S4],Eingabe[Name],Rekorde[[#This Row],[Name]]),"")</f>
        <v>148</v>
      </c>
      <c r="L32" s="51">
        <f>IF(MAX(Rekorde[[#This Row],[S1]:[S4]])=0,"",MAX(Rekorde[[#This Row],[S1]:[S4]]))</f>
        <v>151</v>
      </c>
      <c r="M32" s="52">
        <f>IF(COUNTIF(Eingabe[Name],Rekorde[[#This Row],[Name]])&gt;0,_xlfn.MINIFS(Eingabe[Fehler],Eingabe[Name],Rekorde[[#This Row],[Name]]),"")</f>
        <v>1</v>
      </c>
      <c r="N32" s="51">
        <f>IF(COUNTIF(Eingabe[Name],Rekorde[[#This Row],[Name]])&gt;0,_xlfn.MAXIFS(Eingabe[GEGGES],Eingabe[Name],Rekorde[[#This Row],[Name]]),"")</f>
        <v>563</v>
      </c>
      <c r="O32" s="51">
        <f>IF(COUNTIFS(Eingabe[Name],Rekorde[[#This Row],[Name]],Eingabe[Wo],"H")&gt;0,_xlfn.MAXIFS(Eingabe[GES],Eingabe[Name],Rekorde[[#This Row],[Name]],Eingabe[Wo],"H"),"")</f>
        <v>535</v>
      </c>
      <c r="P32" s="51">
        <f>IF(COUNTIFS(Eingabe[Name],Rekorde[[#This Row],[Name]],Eingabe[Wo],"H")&gt;0,_xlfn.MAXIFS(Eingabe[Volle],Eingabe[Name],Rekorde[[#This Row],[Name]],Eingabe[Wo],"H"),"")</f>
        <v>364</v>
      </c>
      <c r="Q32" s="51">
        <f>IF(COUNTIFS(Eingabe[Name],Rekorde[[#This Row],[Name]],Eingabe[Wo],"H")&gt;0,_xlfn.MAXIFS(Eingabe[Räumer],Eingabe[Name],Rekorde[[#This Row],[Name]],Eingabe[Wo],"H"),"")</f>
        <v>191</v>
      </c>
      <c r="R32" s="51">
        <f>IF(COUNTIFS(Eingabe[Name],Rekorde[[#This Row],[Name]],Eingabe[Wo],"H")&gt;0,_xlfn.MAXIFS(Eingabe[S1],Eingabe[Name],Rekorde[[#This Row],[Name]],Eingabe[Wo],"H"),"")</f>
        <v>139</v>
      </c>
      <c r="S32" s="51">
        <f>IF(COUNTIFS(Eingabe[Name],Rekorde[[#This Row],[Name]],Eingabe[Wo],"H")&gt;0,_xlfn.MAXIFS(Eingabe[S2],Eingabe[Name],Rekorde[[#This Row],[Name]],Eingabe[Wo],"H"),"")</f>
        <v>144</v>
      </c>
      <c r="T32" s="51">
        <f>IF(COUNTIFS(Eingabe[Name],Rekorde[[#This Row],[Name]],Eingabe[Wo],"H")&gt;0,_xlfn.MAXIFS(Eingabe[S3],Eingabe[Name],Rekorde[[#This Row],[Name]],Eingabe[Wo],"H"),"")</f>
        <v>143</v>
      </c>
      <c r="U32" s="51">
        <f>IF(COUNTIFS(Eingabe[Name],Rekorde[[#This Row],[Name]],Eingabe[Wo],"H")&gt;0,_xlfn.MAXIFS(Eingabe[S4],Eingabe[Name],Rekorde[[#This Row],[Name]],Eingabe[Wo],"H"),"")</f>
        <v>139</v>
      </c>
      <c r="V32" s="51">
        <f>IF(Rekorde[[#This Row],[S1 H]]="","",MAX(Rekorde[[#This Row],[S1 H]:[S4 H]]))</f>
        <v>144</v>
      </c>
      <c r="W32" s="52">
        <f>IF(COUNTIFS(Eingabe[Name],Rekorde[[#This Row],[Name]],Eingabe[Wo],"H")&gt;0,_xlfn.MINIFS(Eingabe[Fehler],Eingabe[Name],Rekorde[[#This Row],[Name]],Eingabe[Wo],"H"),"")</f>
        <v>1</v>
      </c>
      <c r="X32" s="51">
        <f>IF(COUNTIFS(Eingabe[Name],Rekorde[[#This Row],[Name]],Eingabe[Wo],"H")&gt;0,_xlfn.MAXIFS(Eingabe[GEGGES],Eingabe[Name],Rekorde[[#This Row],[Name]],Eingabe[Wo],"H"),"")</f>
        <v>552</v>
      </c>
      <c r="Y32" s="51">
        <f>IF(COUNTIFS(Eingabe[Name],Rekorde[[#This Row],[Name]],Eingabe[Wo],"A")&gt;0,_xlfn.MAXIFS(Eingabe[GES],Eingabe[Name],Rekorde[[#This Row],[Name]],Eingabe[Wo],"A"),"")</f>
        <v>574</v>
      </c>
      <c r="Z32" s="51">
        <f>IF(COUNTIFS(Eingabe[Name],Rekorde[[#This Row],[Name]],Eingabe[Wo],"A")&gt;0,_xlfn.MAXIFS(Eingabe[Volle],Eingabe[Name],Rekorde[[#This Row],[Name]],Eingabe[Wo],"A"),"")</f>
        <v>390</v>
      </c>
      <c r="AA32" s="51">
        <f>IF(COUNTIFS(Eingabe[Name],Rekorde[[#This Row],[Name]],Eingabe[Wo],"A")&gt;0,_xlfn.MAXIFS(Eingabe[Räumer],Eingabe[Name],Rekorde[[#This Row],[Name]],Eingabe[Wo],"A"),"")</f>
        <v>184</v>
      </c>
      <c r="AB32" s="51">
        <f>IF(COUNTIFS(Eingabe[Name],Rekorde[[#This Row],[Name]],Eingabe[Wo],"A")&gt;0,_xlfn.MAXIFS(Eingabe[S1],Eingabe[Name],Rekorde[[#This Row],[Name]],Eingabe[Wo],"A"),"")</f>
        <v>139</v>
      </c>
      <c r="AC32" s="51">
        <f>IF(COUNTIFS(Eingabe[Name],Rekorde[[#This Row],[Name]],Eingabe[Wo],"A")&gt;0,_xlfn.MAXIFS(Eingabe[S2],Eingabe[Name],Rekorde[[#This Row],[Name]],Eingabe[Wo],"A"),"")</f>
        <v>151</v>
      </c>
      <c r="AD32" s="51">
        <f>IF(COUNTIFS(Eingabe[Name],Rekorde[[#This Row],[Name]],Eingabe[Wo],"A")&gt;0,_xlfn.MAXIFS(Eingabe[S3],Eingabe[Name],Rekorde[[#This Row],[Name]],Eingabe[Wo],"A"),"")</f>
        <v>150</v>
      </c>
      <c r="AE32" s="51">
        <f>IF(COUNTIFS(Eingabe[Name],Rekorde[[#This Row],[Name]],Eingabe[Wo],"A")&gt;0,_xlfn.MAXIFS(Eingabe[S4],Eingabe[Name],Rekorde[[#This Row],[Name]],Eingabe[Wo],"A"),"")</f>
        <v>148</v>
      </c>
      <c r="AF32" s="51">
        <f>IF(Rekorde[[#This Row],[S1 A]]="","",MAX(Rekorde[[#This Row],[S1 A]:[S4 A]]))</f>
        <v>151</v>
      </c>
      <c r="AG32" s="52">
        <f>IF(COUNTIFS(Eingabe[Name],Rekorde[[#This Row],[Name]],Eingabe[Wo],"A")&gt;0,_xlfn.MINIFS(Eingabe[Fehler],Eingabe[Name],Rekorde[[#This Row],[Name]],Eingabe[Wo],"A"),"")</f>
        <v>5</v>
      </c>
      <c r="AH32" s="51">
        <f>IF(COUNTIFS(Eingabe[Name],Rekorde[[#This Row],[Name]],Eingabe[Wo],"A")&gt;0,_xlfn.MAXIFS(Eingabe[GEGGES],Eingabe[Name],Rekorde[[#This Row],[Name]],Eingabe[Wo],"A"),"")</f>
        <v>563</v>
      </c>
    </row>
    <row r="33" spans="3:34" x14ac:dyDescent="0.3">
      <c r="C33" s="53" t="s">
        <v>458</v>
      </c>
      <c r="D33" s="12" t="str">
        <f>VLOOKUP(Rekorde[[#This Row],[Name]],Teamzuordnung[[Name]:[Team]],2,FALSE)</f>
        <v>U19</v>
      </c>
      <c r="E33" s="51">
        <f>IF(COUNTIF(Eingabe[Name],Rekorde[[#This Row],[Name]])&gt;0,_xlfn.MAXIFS(Eingabe[GES],Eingabe[Name],Rekorde[[#This Row],[Name]]),"")</f>
        <v>555</v>
      </c>
      <c r="F33" s="51">
        <f>IF(COUNTIF(Eingabe[Name],Rekorde[[#This Row],[Name]])&gt;0,_xlfn.MAXIFS(Eingabe[Volle],Eingabe[Name],Rekorde[[#This Row],[Name]]),"")</f>
        <v>365</v>
      </c>
      <c r="G33" s="51">
        <f>IF(COUNTIF(Eingabe[Name],Rekorde[[#This Row],[Name]])&gt;0,_xlfn.MAXIFS(Eingabe[Räumer],Eingabe[Name],Rekorde[[#This Row],[Name]]),"")</f>
        <v>200</v>
      </c>
      <c r="H33" s="51">
        <f>IF(COUNTIF(Eingabe[Name],Rekorde[[#This Row],[Name]])&gt;0,_xlfn.MAXIFS(Eingabe[S1],Eingabe[Name],Rekorde[[#This Row],[Name]]),"")</f>
        <v>143</v>
      </c>
      <c r="I33" s="51">
        <f>IF(COUNTIF(Eingabe[Name],Rekorde[[#This Row],[Name]])&gt;0,_xlfn.MAXIFS(Eingabe[S2],Eingabe[Name],Rekorde[[#This Row],[Name]]),"")</f>
        <v>151</v>
      </c>
      <c r="J33" s="51">
        <f>IF(COUNTIF(Eingabe[Name],Rekorde[[#This Row],[Name]])&gt;0,_xlfn.MAXIFS(Eingabe[S3],Eingabe[Name],Rekorde[[#This Row],[Name]]),"")</f>
        <v>139</v>
      </c>
      <c r="K33" s="51">
        <f>IF(COUNTIF(Eingabe[Name],Rekorde[[#This Row],[Name]])&gt;0,_xlfn.MAXIFS(Eingabe[S4],Eingabe[Name],Rekorde[[#This Row],[Name]]),"")</f>
        <v>140</v>
      </c>
      <c r="L33" s="51">
        <f>IF(MAX(Rekorde[[#This Row],[S1]:[S4]])=0,"",MAX(Rekorde[[#This Row],[S1]:[S4]]))</f>
        <v>151</v>
      </c>
      <c r="M33" s="52">
        <f>IF(COUNTIF(Eingabe[Name],Rekorde[[#This Row],[Name]])&gt;0,_xlfn.MINIFS(Eingabe[Fehler],Eingabe[Name],Rekorde[[#This Row],[Name]]),"")</f>
        <v>3</v>
      </c>
      <c r="N33" s="51">
        <f>IF(COUNTIF(Eingabe[Name],Rekorde[[#This Row],[Name]])&gt;0,_xlfn.MAXIFS(Eingabe[GEGGES],Eingabe[Name],Rekorde[[#This Row],[Name]]),"")</f>
        <v>480</v>
      </c>
      <c r="O33" s="51">
        <f>IF(COUNTIFS(Eingabe[Name],Rekorde[[#This Row],[Name]],Eingabe[Wo],"H")&gt;0,_xlfn.MAXIFS(Eingabe[GES],Eingabe[Name],Rekorde[[#This Row],[Name]],Eingabe[Wo],"H"),"")</f>
        <v>555</v>
      </c>
      <c r="P33" s="51">
        <f>IF(COUNTIFS(Eingabe[Name],Rekorde[[#This Row],[Name]],Eingabe[Wo],"H")&gt;0,_xlfn.MAXIFS(Eingabe[Volle],Eingabe[Name],Rekorde[[#This Row],[Name]],Eingabe[Wo],"H"),"")</f>
        <v>355</v>
      </c>
      <c r="Q33" s="51">
        <f>IF(COUNTIFS(Eingabe[Name],Rekorde[[#This Row],[Name]],Eingabe[Wo],"H")&gt;0,_xlfn.MAXIFS(Eingabe[Räumer],Eingabe[Name],Rekorde[[#This Row],[Name]],Eingabe[Wo],"H"),"")</f>
        <v>200</v>
      </c>
      <c r="R33" s="51">
        <f>IF(COUNTIFS(Eingabe[Name],Rekorde[[#This Row],[Name]],Eingabe[Wo],"H")&gt;0,_xlfn.MAXIFS(Eingabe[S1],Eingabe[Name],Rekorde[[#This Row],[Name]],Eingabe[Wo],"H"),"")</f>
        <v>140</v>
      </c>
      <c r="S33" s="51">
        <f>IF(COUNTIFS(Eingabe[Name],Rekorde[[#This Row],[Name]],Eingabe[Wo],"H")&gt;0,_xlfn.MAXIFS(Eingabe[S2],Eingabe[Name],Rekorde[[#This Row],[Name]],Eingabe[Wo],"H"),"")</f>
        <v>146</v>
      </c>
      <c r="T33" s="51">
        <f>IF(COUNTIFS(Eingabe[Name],Rekorde[[#This Row],[Name]],Eingabe[Wo],"H")&gt;0,_xlfn.MAXIFS(Eingabe[S3],Eingabe[Name],Rekorde[[#This Row],[Name]],Eingabe[Wo],"H"),"")</f>
        <v>133</v>
      </c>
      <c r="U33" s="51">
        <f>IF(COUNTIFS(Eingabe[Name],Rekorde[[#This Row],[Name]],Eingabe[Wo],"H")&gt;0,_xlfn.MAXIFS(Eingabe[S4],Eingabe[Name],Rekorde[[#This Row],[Name]],Eingabe[Wo],"H"),"")</f>
        <v>139</v>
      </c>
      <c r="V33" s="51">
        <f>IF(Rekorde[[#This Row],[S1 H]]="","",MAX(Rekorde[[#This Row],[S1 H]:[S4 H]]))</f>
        <v>146</v>
      </c>
      <c r="W33" s="52">
        <f>IF(COUNTIFS(Eingabe[Name],Rekorde[[#This Row],[Name]],Eingabe[Wo],"H")&gt;0,_xlfn.MINIFS(Eingabe[Fehler],Eingabe[Name],Rekorde[[#This Row],[Name]],Eingabe[Wo],"H"),"")</f>
        <v>3</v>
      </c>
      <c r="X33" s="51">
        <f>IF(COUNTIFS(Eingabe[Name],Rekorde[[#This Row],[Name]],Eingabe[Wo],"H")&gt;0,_xlfn.MAXIFS(Eingabe[GEGGES],Eingabe[Name],Rekorde[[#This Row],[Name]],Eingabe[Wo],"H"),"")</f>
        <v>480</v>
      </c>
      <c r="Y33" s="51">
        <f>IF(COUNTIFS(Eingabe[Name],Rekorde[[#This Row],[Name]],Eingabe[Wo],"A")&gt;0,_xlfn.MAXIFS(Eingabe[GES],Eingabe[Name],Rekorde[[#This Row],[Name]],Eingabe[Wo],"A"),"")</f>
        <v>542</v>
      </c>
      <c r="Z33" s="51">
        <f>IF(COUNTIFS(Eingabe[Name],Rekorde[[#This Row],[Name]],Eingabe[Wo],"A")&gt;0,_xlfn.MAXIFS(Eingabe[Volle],Eingabe[Name],Rekorde[[#This Row],[Name]],Eingabe[Wo],"A"),"")</f>
        <v>365</v>
      </c>
      <c r="AA33" s="51">
        <f>IF(COUNTIFS(Eingabe[Name],Rekorde[[#This Row],[Name]],Eingabe[Wo],"A")&gt;0,_xlfn.MAXIFS(Eingabe[Räumer],Eingabe[Name],Rekorde[[#This Row],[Name]],Eingabe[Wo],"A"),"")</f>
        <v>186</v>
      </c>
      <c r="AB33" s="51">
        <f>IF(COUNTIFS(Eingabe[Name],Rekorde[[#This Row],[Name]],Eingabe[Wo],"A")&gt;0,_xlfn.MAXIFS(Eingabe[S1],Eingabe[Name],Rekorde[[#This Row],[Name]],Eingabe[Wo],"A"),"")</f>
        <v>143</v>
      </c>
      <c r="AC33" s="51">
        <f>IF(COUNTIFS(Eingabe[Name],Rekorde[[#This Row],[Name]],Eingabe[Wo],"A")&gt;0,_xlfn.MAXIFS(Eingabe[S2],Eingabe[Name],Rekorde[[#This Row],[Name]],Eingabe[Wo],"A"),"")</f>
        <v>151</v>
      </c>
      <c r="AD33" s="51">
        <f>IF(COUNTIFS(Eingabe[Name],Rekorde[[#This Row],[Name]],Eingabe[Wo],"A")&gt;0,_xlfn.MAXIFS(Eingabe[S3],Eingabe[Name],Rekorde[[#This Row],[Name]],Eingabe[Wo],"A"),"")</f>
        <v>139</v>
      </c>
      <c r="AE33" s="51">
        <f>IF(COUNTIFS(Eingabe[Name],Rekorde[[#This Row],[Name]],Eingabe[Wo],"A")&gt;0,_xlfn.MAXIFS(Eingabe[S4],Eingabe[Name],Rekorde[[#This Row],[Name]],Eingabe[Wo],"A"),"")</f>
        <v>140</v>
      </c>
      <c r="AF33" s="51">
        <f>IF(Rekorde[[#This Row],[S1 A]]="","",MAX(Rekorde[[#This Row],[S1 A]:[S4 A]]))</f>
        <v>151</v>
      </c>
      <c r="AG33" s="52">
        <f>IF(COUNTIFS(Eingabe[Name],Rekorde[[#This Row],[Name]],Eingabe[Wo],"A")&gt;0,_xlfn.MINIFS(Eingabe[Fehler],Eingabe[Name],Rekorde[[#This Row],[Name]],Eingabe[Wo],"A"),"")</f>
        <v>5</v>
      </c>
      <c r="AH33" s="51">
        <f>IF(COUNTIFS(Eingabe[Name],Rekorde[[#This Row],[Name]],Eingabe[Wo],"A")&gt;0,_xlfn.MAXIFS(Eingabe[GEGGES],Eingabe[Name],Rekorde[[#This Row],[Name]],Eingabe[Wo],"A"),"")</f>
        <v>0</v>
      </c>
    </row>
    <row r="34" spans="3:34" x14ac:dyDescent="0.3">
      <c r="C34" s="53" t="s">
        <v>689</v>
      </c>
      <c r="D34" s="12" t="str">
        <f>VLOOKUP(Rekorde[[#This Row],[Name]],Teamzuordnung[[Name]:[Team]],2,FALSE)</f>
        <v>Z</v>
      </c>
      <c r="E34" s="51">
        <f>IF(COUNTIF(Eingabe[Name],Rekorde[[#This Row],[Name]])&gt;0,_xlfn.MAXIFS(Eingabe[GES],Eingabe[Name],Rekorde[[#This Row],[Name]]),"")</f>
        <v>564</v>
      </c>
      <c r="F34" s="51">
        <f>IF(COUNTIF(Eingabe[Name],Rekorde[[#This Row],[Name]])&gt;0,_xlfn.MAXIFS(Eingabe[Volle],Eingabe[Name],Rekorde[[#This Row],[Name]]),"")</f>
        <v>376</v>
      </c>
      <c r="G34" s="51">
        <f>IF(COUNTIF(Eingabe[Name],Rekorde[[#This Row],[Name]])&gt;0,_xlfn.MAXIFS(Eingabe[Räumer],Eingabe[Name],Rekorde[[#This Row],[Name]]),"")</f>
        <v>199</v>
      </c>
      <c r="H34" s="51">
        <f>IF(COUNTIF(Eingabe[Name],Rekorde[[#This Row],[Name]])&gt;0,_xlfn.MAXIFS(Eingabe[S1],Eingabe[Name],Rekorde[[#This Row],[Name]]),"")</f>
        <v>149</v>
      </c>
      <c r="I34" s="51">
        <f>IF(COUNTIF(Eingabe[Name],Rekorde[[#This Row],[Name]])&gt;0,_xlfn.MAXIFS(Eingabe[S2],Eingabe[Name],Rekorde[[#This Row],[Name]]),"")</f>
        <v>138</v>
      </c>
      <c r="J34" s="51">
        <f>IF(COUNTIF(Eingabe[Name],Rekorde[[#This Row],[Name]])&gt;0,_xlfn.MAXIFS(Eingabe[S3],Eingabe[Name],Rekorde[[#This Row],[Name]]),"")</f>
        <v>141</v>
      </c>
      <c r="K34" s="51">
        <f>IF(COUNTIF(Eingabe[Name],Rekorde[[#This Row],[Name]])&gt;0,_xlfn.MAXIFS(Eingabe[S4],Eingabe[Name],Rekorde[[#This Row],[Name]]),"")</f>
        <v>150</v>
      </c>
      <c r="L34" s="51">
        <f>IF(MAX(Rekorde[[#This Row],[S1]:[S4]])=0,"",MAX(Rekorde[[#This Row],[S1]:[S4]]))</f>
        <v>150</v>
      </c>
      <c r="M34" s="52">
        <f>IF(COUNTIF(Eingabe[Name],Rekorde[[#This Row],[Name]])&gt;0,_xlfn.MINIFS(Eingabe[Fehler],Eingabe[Name],Rekorde[[#This Row],[Name]]),"")</f>
        <v>2</v>
      </c>
      <c r="N34" s="51">
        <f>IF(COUNTIF(Eingabe[Name],Rekorde[[#This Row],[Name]])&gt;0,_xlfn.MAXIFS(Eingabe[GEGGES],Eingabe[Name],Rekorde[[#This Row],[Name]]),"")</f>
        <v>588</v>
      </c>
      <c r="O34" s="51">
        <f>IF(COUNTIFS(Eingabe[Name],Rekorde[[#This Row],[Name]],Eingabe[Wo],"H")&gt;0,_xlfn.MAXIFS(Eingabe[GES],Eingabe[Name],Rekorde[[#This Row],[Name]],Eingabe[Wo],"H"),"")</f>
        <v>541</v>
      </c>
      <c r="P34" s="51">
        <f>IF(COUNTIFS(Eingabe[Name],Rekorde[[#This Row],[Name]],Eingabe[Wo],"H")&gt;0,_xlfn.MAXIFS(Eingabe[Volle],Eingabe[Name],Rekorde[[#This Row],[Name]],Eingabe[Wo],"H"),"")</f>
        <v>361</v>
      </c>
      <c r="Q34" s="51">
        <f>IF(COUNTIFS(Eingabe[Name],Rekorde[[#This Row],[Name]],Eingabe[Wo],"H")&gt;0,_xlfn.MAXIFS(Eingabe[Räumer],Eingabe[Name],Rekorde[[#This Row],[Name]],Eingabe[Wo],"H"),"")</f>
        <v>180</v>
      </c>
      <c r="R34" s="51">
        <f>IF(COUNTIFS(Eingabe[Name],Rekorde[[#This Row],[Name]],Eingabe[Wo],"H")&gt;0,_xlfn.MAXIFS(Eingabe[S1],Eingabe[Name],Rekorde[[#This Row],[Name]],Eingabe[Wo],"H"),"")</f>
        <v>134</v>
      </c>
      <c r="S34" s="51">
        <f>IF(COUNTIFS(Eingabe[Name],Rekorde[[#This Row],[Name]],Eingabe[Wo],"H")&gt;0,_xlfn.MAXIFS(Eingabe[S2],Eingabe[Name],Rekorde[[#This Row],[Name]],Eingabe[Wo],"H"),"")</f>
        <v>138</v>
      </c>
      <c r="T34" s="51">
        <f>IF(COUNTIFS(Eingabe[Name],Rekorde[[#This Row],[Name]],Eingabe[Wo],"H")&gt;0,_xlfn.MAXIFS(Eingabe[S3],Eingabe[Name],Rekorde[[#This Row],[Name]],Eingabe[Wo],"H"),"")</f>
        <v>138</v>
      </c>
      <c r="U34" s="51">
        <f>IF(COUNTIFS(Eingabe[Name],Rekorde[[#This Row],[Name]],Eingabe[Wo],"H")&gt;0,_xlfn.MAXIFS(Eingabe[S4],Eingabe[Name],Rekorde[[#This Row],[Name]],Eingabe[Wo],"H"),"")</f>
        <v>139</v>
      </c>
      <c r="V34" s="51">
        <f>IF(Rekorde[[#This Row],[S1 H]]="","",MAX(Rekorde[[#This Row],[S1 H]:[S4 H]]))</f>
        <v>139</v>
      </c>
      <c r="W34" s="52">
        <f>IF(COUNTIFS(Eingabe[Name],Rekorde[[#This Row],[Name]],Eingabe[Wo],"H")&gt;0,_xlfn.MINIFS(Eingabe[Fehler],Eingabe[Name],Rekorde[[#This Row],[Name]],Eingabe[Wo],"H"),"")</f>
        <v>2</v>
      </c>
      <c r="X34" s="51">
        <f>IF(COUNTIFS(Eingabe[Name],Rekorde[[#This Row],[Name]],Eingabe[Wo],"H")&gt;0,_xlfn.MAXIFS(Eingabe[GEGGES],Eingabe[Name],Rekorde[[#This Row],[Name]],Eingabe[Wo],"H"),"")</f>
        <v>545</v>
      </c>
      <c r="Y34" s="51">
        <f>IF(COUNTIFS(Eingabe[Name],Rekorde[[#This Row],[Name]],Eingabe[Wo],"A")&gt;0,_xlfn.MAXIFS(Eingabe[GES],Eingabe[Name],Rekorde[[#This Row],[Name]],Eingabe[Wo],"A"),"")</f>
        <v>564</v>
      </c>
      <c r="Z34" s="51">
        <f>IF(COUNTIFS(Eingabe[Name],Rekorde[[#This Row],[Name]],Eingabe[Wo],"A")&gt;0,_xlfn.MAXIFS(Eingabe[Volle],Eingabe[Name],Rekorde[[#This Row],[Name]],Eingabe[Wo],"A"),"")</f>
        <v>376</v>
      </c>
      <c r="AA34" s="51">
        <f>IF(COUNTIFS(Eingabe[Name],Rekorde[[#This Row],[Name]],Eingabe[Wo],"A")&gt;0,_xlfn.MAXIFS(Eingabe[Räumer],Eingabe[Name],Rekorde[[#This Row],[Name]],Eingabe[Wo],"A"),"")</f>
        <v>199</v>
      </c>
      <c r="AB34" s="51">
        <f>IF(COUNTIFS(Eingabe[Name],Rekorde[[#This Row],[Name]],Eingabe[Wo],"A")&gt;0,_xlfn.MAXIFS(Eingabe[S1],Eingabe[Name],Rekorde[[#This Row],[Name]],Eingabe[Wo],"A"),"")</f>
        <v>149</v>
      </c>
      <c r="AC34" s="51">
        <f>IF(COUNTIFS(Eingabe[Name],Rekorde[[#This Row],[Name]],Eingabe[Wo],"A")&gt;0,_xlfn.MAXIFS(Eingabe[S2],Eingabe[Name],Rekorde[[#This Row],[Name]],Eingabe[Wo],"A"),"")</f>
        <v>138</v>
      </c>
      <c r="AD34" s="51">
        <f>IF(COUNTIFS(Eingabe[Name],Rekorde[[#This Row],[Name]],Eingabe[Wo],"A")&gt;0,_xlfn.MAXIFS(Eingabe[S3],Eingabe[Name],Rekorde[[#This Row],[Name]],Eingabe[Wo],"A"),"")</f>
        <v>141</v>
      </c>
      <c r="AE34" s="51">
        <f>IF(COUNTIFS(Eingabe[Name],Rekorde[[#This Row],[Name]],Eingabe[Wo],"A")&gt;0,_xlfn.MAXIFS(Eingabe[S4],Eingabe[Name],Rekorde[[#This Row],[Name]],Eingabe[Wo],"A"),"")</f>
        <v>150</v>
      </c>
      <c r="AF34" s="51">
        <f>IF(Rekorde[[#This Row],[S1 A]]="","",MAX(Rekorde[[#This Row],[S1 A]:[S4 A]]))</f>
        <v>150</v>
      </c>
      <c r="AG34" s="52">
        <f>IF(COUNTIFS(Eingabe[Name],Rekorde[[#This Row],[Name]],Eingabe[Wo],"A")&gt;0,_xlfn.MINIFS(Eingabe[Fehler],Eingabe[Name],Rekorde[[#This Row],[Name]],Eingabe[Wo],"A"),"")</f>
        <v>2</v>
      </c>
      <c r="AH34" s="51">
        <f>IF(COUNTIFS(Eingabe[Name],Rekorde[[#This Row],[Name]],Eingabe[Wo],"A")&gt;0,_xlfn.MAXIFS(Eingabe[GEGGES],Eingabe[Name],Rekorde[[#This Row],[Name]],Eingabe[Wo],"A"),"")</f>
        <v>588</v>
      </c>
    </row>
    <row r="35" spans="3:34" x14ac:dyDescent="0.3">
      <c r="C35" s="53" t="s">
        <v>495</v>
      </c>
      <c r="D35" s="12" t="str">
        <f>VLOOKUP(Rekorde[[#This Row],[Name]],Teamzuordnung[[Name]:[Team]],2,FALSE)</f>
        <v>D</v>
      </c>
      <c r="E35" s="51">
        <f>IF(COUNTIF(Eingabe[Name],Rekorde[[#This Row],[Name]])&gt;0,_xlfn.MAXIFS(Eingabe[GES],Eingabe[Name],Rekorde[[#This Row],[Name]]),"")</f>
        <v>529</v>
      </c>
      <c r="F35" s="51">
        <f>IF(COUNTIF(Eingabe[Name],Rekorde[[#This Row],[Name]])&gt;0,_xlfn.MAXIFS(Eingabe[Volle],Eingabe[Name],Rekorde[[#This Row],[Name]]),"")</f>
        <v>351</v>
      </c>
      <c r="G35" s="51">
        <f>IF(COUNTIF(Eingabe[Name],Rekorde[[#This Row],[Name]])&gt;0,_xlfn.MAXIFS(Eingabe[Räumer],Eingabe[Name],Rekorde[[#This Row],[Name]]),"")</f>
        <v>178</v>
      </c>
      <c r="H35" s="51">
        <f>IF(COUNTIF(Eingabe[Name],Rekorde[[#This Row],[Name]])&gt;0,_xlfn.MAXIFS(Eingabe[S1],Eingabe[Name],Rekorde[[#This Row],[Name]]),"")</f>
        <v>126</v>
      </c>
      <c r="I35" s="51">
        <f>IF(COUNTIF(Eingabe[Name],Rekorde[[#This Row],[Name]])&gt;0,_xlfn.MAXIFS(Eingabe[S2],Eingabe[Name],Rekorde[[#This Row],[Name]]),"")</f>
        <v>132</v>
      </c>
      <c r="J35" s="51">
        <f>IF(COUNTIF(Eingabe[Name],Rekorde[[#This Row],[Name]])&gt;0,_xlfn.MAXIFS(Eingabe[S3],Eingabe[Name],Rekorde[[#This Row],[Name]]),"")</f>
        <v>121</v>
      </c>
      <c r="K35" s="51">
        <f>IF(COUNTIF(Eingabe[Name],Rekorde[[#This Row],[Name]])&gt;0,_xlfn.MAXIFS(Eingabe[S4],Eingabe[Name],Rekorde[[#This Row],[Name]]),"")</f>
        <v>150</v>
      </c>
      <c r="L35" s="51">
        <f>IF(MAX(Rekorde[[#This Row],[S1]:[S4]])=0,"",MAX(Rekorde[[#This Row],[S1]:[S4]]))</f>
        <v>150</v>
      </c>
      <c r="M35" s="52">
        <f>IF(COUNTIF(Eingabe[Name],Rekorde[[#This Row],[Name]])&gt;0,_xlfn.MINIFS(Eingabe[Fehler],Eingabe[Name],Rekorde[[#This Row],[Name]]),"")</f>
        <v>6</v>
      </c>
      <c r="N35" s="51">
        <f>IF(COUNTIF(Eingabe[Name],Rekorde[[#This Row],[Name]])&gt;0,_xlfn.MAXIFS(Eingabe[GEGGES],Eingabe[Name],Rekorde[[#This Row],[Name]]),"")</f>
        <v>441</v>
      </c>
      <c r="O35" s="51">
        <f>IF(COUNTIFS(Eingabe[Name],Rekorde[[#This Row],[Name]],Eingabe[Wo],"H")&gt;0,_xlfn.MAXIFS(Eingabe[GES],Eingabe[Name],Rekorde[[#This Row],[Name]],Eingabe[Wo],"H"),"")</f>
        <v>529</v>
      </c>
      <c r="P35" s="51">
        <f>IF(COUNTIFS(Eingabe[Name],Rekorde[[#This Row],[Name]],Eingabe[Wo],"H")&gt;0,_xlfn.MAXIFS(Eingabe[Volle],Eingabe[Name],Rekorde[[#This Row],[Name]],Eingabe[Wo],"H"),"")</f>
        <v>351</v>
      </c>
      <c r="Q35" s="51">
        <f>IF(COUNTIFS(Eingabe[Name],Rekorde[[#This Row],[Name]],Eingabe[Wo],"H")&gt;0,_xlfn.MAXIFS(Eingabe[Räumer],Eingabe[Name],Rekorde[[#This Row],[Name]],Eingabe[Wo],"H"),"")</f>
        <v>178</v>
      </c>
      <c r="R35" s="51">
        <f>IF(COUNTIFS(Eingabe[Name],Rekorde[[#This Row],[Name]],Eingabe[Wo],"H")&gt;0,_xlfn.MAXIFS(Eingabe[S1],Eingabe[Name],Rekorde[[#This Row],[Name]],Eingabe[Wo],"H"),"")</f>
        <v>126</v>
      </c>
      <c r="S35" s="51">
        <f>IF(COUNTIFS(Eingabe[Name],Rekorde[[#This Row],[Name]],Eingabe[Wo],"H")&gt;0,_xlfn.MAXIFS(Eingabe[S2],Eingabe[Name],Rekorde[[#This Row],[Name]],Eingabe[Wo],"H"),"")</f>
        <v>132</v>
      </c>
      <c r="T35" s="51">
        <f>IF(COUNTIFS(Eingabe[Name],Rekorde[[#This Row],[Name]],Eingabe[Wo],"H")&gt;0,_xlfn.MAXIFS(Eingabe[S3],Eingabe[Name],Rekorde[[#This Row],[Name]],Eingabe[Wo],"H"),"")</f>
        <v>121</v>
      </c>
      <c r="U35" s="51">
        <f>IF(COUNTIFS(Eingabe[Name],Rekorde[[#This Row],[Name]],Eingabe[Wo],"H")&gt;0,_xlfn.MAXIFS(Eingabe[S4],Eingabe[Name],Rekorde[[#This Row],[Name]],Eingabe[Wo],"H"),"")</f>
        <v>150</v>
      </c>
      <c r="V35" s="51">
        <f>IF(Rekorde[[#This Row],[S1 H]]="","",MAX(Rekorde[[#This Row],[S1 H]:[S4 H]]))</f>
        <v>150</v>
      </c>
      <c r="W35" s="52">
        <f>IF(COUNTIFS(Eingabe[Name],Rekorde[[#This Row],[Name]],Eingabe[Wo],"H")&gt;0,_xlfn.MINIFS(Eingabe[Fehler],Eingabe[Name],Rekorde[[#This Row],[Name]],Eingabe[Wo],"H"),"")</f>
        <v>6</v>
      </c>
      <c r="X35" s="51">
        <f>IF(COUNTIFS(Eingabe[Name],Rekorde[[#This Row],[Name]],Eingabe[Wo],"H")&gt;0,_xlfn.MAXIFS(Eingabe[GEGGES],Eingabe[Name],Rekorde[[#This Row],[Name]],Eingabe[Wo],"H"),"")</f>
        <v>441</v>
      </c>
      <c r="Y35" s="51" t="str">
        <f>IF(COUNTIFS(Eingabe[Name],Rekorde[[#This Row],[Name]],Eingabe[Wo],"A")&gt;0,_xlfn.MAXIFS(Eingabe[GES],Eingabe[Name],Rekorde[[#This Row],[Name]],Eingabe[Wo],"A"),"")</f>
        <v/>
      </c>
      <c r="Z35" s="51" t="str">
        <f>IF(COUNTIFS(Eingabe[Name],Rekorde[[#This Row],[Name]],Eingabe[Wo],"A")&gt;0,_xlfn.MAXIFS(Eingabe[Volle],Eingabe[Name],Rekorde[[#This Row],[Name]],Eingabe[Wo],"A"),"")</f>
        <v/>
      </c>
      <c r="AA35" s="51" t="str">
        <f>IF(COUNTIFS(Eingabe[Name],Rekorde[[#This Row],[Name]],Eingabe[Wo],"A")&gt;0,_xlfn.MAXIFS(Eingabe[Räumer],Eingabe[Name],Rekorde[[#This Row],[Name]],Eingabe[Wo],"A"),"")</f>
        <v/>
      </c>
      <c r="AB35" s="51" t="str">
        <f>IF(COUNTIFS(Eingabe[Name],Rekorde[[#This Row],[Name]],Eingabe[Wo],"A")&gt;0,_xlfn.MAXIFS(Eingabe[S1],Eingabe[Name],Rekorde[[#This Row],[Name]],Eingabe[Wo],"A"),"")</f>
        <v/>
      </c>
      <c r="AC35" s="51" t="str">
        <f>IF(COUNTIFS(Eingabe[Name],Rekorde[[#This Row],[Name]],Eingabe[Wo],"A")&gt;0,_xlfn.MAXIFS(Eingabe[S2],Eingabe[Name],Rekorde[[#This Row],[Name]],Eingabe[Wo],"A"),"")</f>
        <v/>
      </c>
      <c r="AD35" s="51" t="str">
        <f>IF(COUNTIFS(Eingabe[Name],Rekorde[[#This Row],[Name]],Eingabe[Wo],"A")&gt;0,_xlfn.MAXIFS(Eingabe[S3],Eingabe[Name],Rekorde[[#This Row],[Name]],Eingabe[Wo],"A"),"")</f>
        <v/>
      </c>
      <c r="AE35" s="51" t="str">
        <f>IF(COUNTIFS(Eingabe[Name],Rekorde[[#This Row],[Name]],Eingabe[Wo],"A")&gt;0,_xlfn.MAXIFS(Eingabe[S4],Eingabe[Name],Rekorde[[#This Row],[Name]],Eingabe[Wo],"A"),"")</f>
        <v/>
      </c>
      <c r="AF35" s="51" t="str">
        <f>IF(Rekorde[[#This Row],[S1 A]]="","",MAX(Rekorde[[#This Row],[S1 A]:[S4 A]]))</f>
        <v/>
      </c>
      <c r="AG35" s="52" t="str">
        <f>IF(COUNTIFS(Eingabe[Name],Rekorde[[#This Row],[Name]],Eingabe[Wo],"A")&gt;0,_xlfn.MINIFS(Eingabe[Fehler],Eingabe[Name],Rekorde[[#This Row],[Name]],Eingabe[Wo],"A"),"")</f>
        <v/>
      </c>
      <c r="AH35" s="51" t="str">
        <f>IF(COUNTIFS(Eingabe[Name],Rekorde[[#This Row],[Name]],Eingabe[Wo],"A")&gt;0,_xlfn.MAXIFS(Eingabe[GEGGES],Eingabe[Name],Rekorde[[#This Row],[Name]],Eingabe[Wo],"A"),"")</f>
        <v/>
      </c>
    </row>
    <row r="36" spans="3:34" x14ac:dyDescent="0.3">
      <c r="C36" s="53" t="s">
        <v>460</v>
      </c>
      <c r="D36" s="12" t="str">
        <f>VLOOKUP(Rekorde[[#This Row],[Name]],Teamzuordnung[[Name]:[Team]],2,FALSE)</f>
        <v>Z</v>
      </c>
      <c r="E36" s="51">
        <f>IF(COUNTIF(Eingabe[Name],Rekorde[[#This Row],[Name]])&gt;0,_xlfn.MAXIFS(Eingabe[GES],Eingabe[Name],Rekorde[[#This Row],[Name]]),"")</f>
        <v>545</v>
      </c>
      <c r="F36" s="51">
        <f>IF(COUNTIF(Eingabe[Name],Rekorde[[#This Row],[Name]])&gt;0,_xlfn.MAXIFS(Eingabe[Volle],Eingabe[Name],Rekorde[[#This Row],[Name]]),"")</f>
        <v>362</v>
      </c>
      <c r="G36" s="51">
        <f>IF(COUNTIF(Eingabe[Name],Rekorde[[#This Row],[Name]])&gt;0,_xlfn.MAXIFS(Eingabe[Räumer],Eingabe[Name],Rekorde[[#This Row],[Name]]),"")</f>
        <v>183</v>
      </c>
      <c r="H36" s="51">
        <f>IF(COUNTIF(Eingabe[Name],Rekorde[[#This Row],[Name]])&gt;0,_xlfn.MAXIFS(Eingabe[S1],Eingabe[Name],Rekorde[[#This Row],[Name]]),"")</f>
        <v>138</v>
      </c>
      <c r="I36" s="51">
        <f>IF(COUNTIF(Eingabe[Name],Rekorde[[#This Row],[Name]])&gt;0,_xlfn.MAXIFS(Eingabe[S2],Eingabe[Name],Rekorde[[#This Row],[Name]]),"")</f>
        <v>126</v>
      </c>
      <c r="J36" s="51">
        <f>IF(COUNTIF(Eingabe[Name],Rekorde[[#This Row],[Name]])&gt;0,_xlfn.MAXIFS(Eingabe[S3],Eingabe[Name],Rekorde[[#This Row],[Name]]),"")</f>
        <v>147</v>
      </c>
      <c r="K36" s="51">
        <f>IF(COUNTIF(Eingabe[Name],Rekorde[[#This Row],[Name]])&gt;0,_xlfn.MAXIFS(Eingabe[S4],Eingabe[Name],Rekorde[[#This Row],[Name]]),"")</f>
        <v>134</v>
      </c>
      <c r="L36" s="51">
        <f>IF(MAX(Rekorde[[#This Row],[S1]:[S4]])=0,"",MAX(Rekorde[[#This Row],[S1]:[S4]]))</f>
        <v>147</v>
      </c>
      <c r="M36" s="52">
        <f>IF(COUNTIF(Eingabe[Name],Rekorde[[#This Row],[Name]])&gt;0,_xlfn.MINIFS(Eingabe[Fehler],Eingabe[Name],Rekorde[[#This Row],[Name]]),"")</f>
        <v>9</v>
      </c>
      <c r="N36" s="51">
        <f>IF(COUNTIF(Eingabe[Name],Rekorde[[#This Row],[Name]])&gt;0,_xlfn.MAXIFS(Eingabe[GEGGES],Eingabe[Name],Rekorde[[#This Row],[Name]]),"")</f>
        <v>501</v>
      </c>
      <c r="O36" s="51">
        <f>IF(COUNTIFS(Eingabe[Name],Rekorde[[#This Row],[Name]],Eingabe[Wo],"H")&gt;0,_xlfn.MAXIFS(Eingabe[GES],Eingabe[Name],Rekorde[[#This Row],[Name]],Eingabe[Wo],"H"),"")</f>
        <v>545</v>
      </c>
      <c r="P36" s="51">
        <f>IF(COUNTIFS(Eingabe[Name],Rekorde[[#This Row],[Name]],Eingabe[Wo],"H")&gt;0,_xlfn.MAXIFS(Eingabe[Volle],Eingabe[Name],Rekorde[[#This Row],[Name]],Eingabe[Wo],"H"),"")</f>
        <v>362</v>
      </c>
      <c r="Q36" s="51">
        <f>IF(COUNTIFS(Eingabe[Name],Rekorde[[#This Row],[Name]],Eingabe[Wo],"H")&gt;0,_xlfn.MAXIFS(Eingabe[Räumer],Eingabe[Name],Rekorde[[#This Row],[Name]],Eingabe[Wo],"H"),"")</f>
        <v>183</v>
      </c>
      <c r="R36" s="51">
        <f>IF(COUNTIFS(Eingabe[Name],Rekorde[[#This Row],[Name]],Eingabe[Wo],"H")&gt;0,_xlfn.MAXIFS(Eingabe[S1],Eingabe[Name],Rekorde[[#This Row],[Name]],Eingabe[Wo],"H"),"")</f>
        <v>138</v>
      </c>
      <c r="S36" s="51">
        <f>IF(COUNTIFS(Eingabe[Name],Rekorde[[#This Row],[Name]],Eingabe[Wo],"H")&gt;0,_xlfn.MAXIFS(Eingabe[S2],Eingabe[Name],Rekorde[[#This Row],[Name]],Eingabe[Wo],"H"),"")</f>
        <v>126</v>
      </c>
      <c r="T36" s="51">
        <f>IF(COUNTIFS(Eingabe[Name],Rekorde[[#This Row],[Name]],Eingabe[Wo],"H")&gt;0,_xlfn.MAXIFS(Eingabe[S3],Eingabe[Name],Rekorde[[#This Row],[Name]],Eingabe[Wo],"H"),"")</f>
        <v>147</v>
      </c>
      <c r="U36" s="51">
        <f>IF(COUNTIFS(Eingabe[Name],Rekorde[[#This Row],[Name]],Eingabe[Wo],"H")&gt;0,_xlfn.MAXIFS(Eingabe[S4],Eingabe[Name],Rekorde[[#This Row],[Name]],Eingabe[Wo],"H"),"")</f>
        <v>134</v>
      </c>
      <c r="V36" s="51">
        <f>IF(Rekorde[[#This Row],[S1 H]]="","",MAX(Rekorde[[#This Row],[S1 H]:[S4 H]]))</f>
        <v>147</v>
      </c>
      <c r="W36" s="52">
        <f>IF(COUNTIFS(Eingabe[Name],Rekorde[[#This Row],[Name]],Eingabe[Wo],"H")&gt;0,_xlfn.MINIFS(Eingabe[Fehler],Eingabe[Name],Rekorde[[#This Row],[Name]],Eingabe[Wo],"H"),"")</f>
        <v>9</v>
      </c>
      <c r="X36" s="51">
        <f>IF(COUNTIFS(Eingabe[Name],Rekorde[[#This Row],[Name]],Eingabe[Wo],"H")&gt;0,_xlfn.MAXIFS(Eingabe[GEGGES],Eingabe[Name],Rekorde[[#This Row],[Name]],Eingabe[Wo],"H"),"")</f>
        <v>501</v>
      </c>
      <c r="Y36" s="51" t="str">
        <f>IF(COUNTIFS(Eingabe[Name],Rekorde[[#This Row],[Name]],Eingabe[Wo],"A")&gt;0,_xlfn.MAXIFS(Eingabe[GES],Eingabe[Name],Rekorde[[#This Row],[Name]],Eingabe[Wo],"A"),"")</f>
        <v/>
      </c>
      <c r="Z36" s="51" t="str">
        <f>IF(COUNTIFS(Eingabe[Name],Rekorde[[#This Row],[Name]],Eingabe[Wo],"A")&gt;0,_xlfn.MAXIFS(Eingabe[Volle],Eingabe[Name],Rekorde[[#This Row],[Name]],Eingabe[Wo],"A"),"")</f>
        <v/>
      </c>
      <c r="AA36" s="51" t="str">
        <f>IF(COUNTIFS(Eingabe[Name],Rekorde[[#This Row],[Name]],Eingabe[Wo],"A")&gt;0,_xlfn.MAXIFS(Eingabe[Räumer],Eingabe[Name],Rekorde[[#This Row],[Name]],Eingabe[Wo],"A"),"")</f>
        <v/>
      </c>
      <c r="AB36" s="51" t="str">
        <f>IF(COUNTIFS(Eingabe[Name],Rekorde[[#This Row],[Name]],Eingabe[Wo],"A")&gt;0,_xlfn.MAXIFS(Eingabe[S1],Eingabe[Name],Rekorde[[#This Row],[Name]],Eingabe[Wo],"A"),"")</f>
        <v/>
      </c>
      <c r="AC36" s="51" t="str">
        <f>IF(COUNTIFS(Eingabe[Name],Rekorde[[#This Row],[Name]],Eingabe[Wo],"A")&gt;0,_xlfn.MAXIFS(Eingabe[S2],Eingabe[Name],Rekorde[[#This Row],[Name]],Eingabe[Wo],"A"),"")</f>
        <v/>
      </c>
      <c r="AD36" s="51" t="str">
        <f>IF(COUNTIFS(Eingabe[Name],Rekorde[[#This Row],[Name]],Eingabe[Wo],"A")&gt;0,_xlfn.MAXIFS(Eingabe[S3],Eingabe[Name],Rekorde[[#This Row],[Name]],Eingabe[Wo],"A"),"")</f>
        <v/>
      </c>
      <c r="AE36" s="51" t="str">
        <f>IF(COUNTIFS(Eingabe[Name],Rekorde[[#This Row],[Name]],Eingabe[Wo],"A")&gt;0,_xlfn.MAXIFS(Eingabe[S4],Eingabe[Name],Rekorde[[#This Row],[Name]],Eingabe[Wo],"A"),"")</f>
        <v/>
      </c>
      <c r="AF36" s="51" t="str">
        <f>IF(Rekorde[[#This Row],[S1 A]]="","",MAX(Rekorde[[#This Row],[S1 A]:[S4 A]]))</f>
        <v/>
      </c>
      <c r="AG36" s="52" t="str">
        <f>IF(COUNTIFS(Eingabe[Name],Rekorde[[#This Row],[Name]],Eingabe[Wo],"A")&gt;0,_xlfn.MINIFS(Eingabe[Fehler],Eingabe[Name],Rekorde[[#This Row],[Name]],Eingabe[Wo],"A"),"")</f>
        <v/>
      </c>
      <c r="AH36" s="51" t="str">
        <f>IF(COUNTIFS(Eingabe[Name],Rekorde[[#This Row],[Name]],Eingabe[Wo],"A")&gt;0,_xlfn.MAXIFS(Eingabe[GEGGES],Eingabe[Name],Rekorde[[#This Row],[Name]],Eingabe[Wo],"A"),"")</f>
        <v/>
      </c>
    </row>
    <row r="37" spans="3:34" x14ac:dyDescent="0.3">
      <c r="C37" s="53" t="s">
        <v>493</v>
      </c>
      <c r="D37" s="12" t="str">
        <f>VLOOKUP(Rekorde[[#This Row],[Name]],Teamzuordnung[[Name]:[Team]],2,FALSE)</f>
        <v>D</v>
      </c>
      <c r="E37" s="51">
        <f>IF(COUNTIF(Eingabe[Name],Rekorde[[#This Row],[Name]])&gt;0,_xlfn.MAXIFS(Eingabe[GES],Eingabe[Name],Rekorde[[#This Row],[Name]]),"")</f>
        <v>542</v>
      </c>
      <c r="F37" s="11">
        <f>IF(COUNTIF(Eingabe[Name],Rekorde[[#This Row],[Name]])&gt;0,_xlfn.MAXIFS(Eingabe[Volle],Eingabe[Name],Rekorde[[#This Row],[Name]]),"")</f>
        <v>351</v>
      </c>
      <c r="G37" s="11">
        <f>IF(COUNTIF(Eingabe[Name],Rekorde[[#This Row],[Name]])&gt;0,_xlfn.MAXIFS(Eingabe[Räumer],Eingabe[Name],Rekorde[[#This Row],[Name]]),"")</f>
        <v>191</v>
      </c>
      <c r="H37" s="11">
        <f>IF(COUNTIF(Eingabe[Name],Rekorde[[#This Row],[Name]])&gt;0,_xlfn.MAXIFS(Eingabe[S1],Eingabe[Name],Rekorde[[#This Row],[Name]]),"")</f>
        <v>140</v>
      </c>
      <c r="I37" s="11">
        <f>IF(COUNTIF(Eingabe[Name],Rekorde[[#This Row],[Name]])&gt;0,_xlfn.MAXIFS(Eingabe[S2],Eingabe[Name],Rekorde[[#This Row],[Name]]),"")</f>
        <v>129</v>
      </c>
      <c r="J37" s="11">
        <f>IF(COUNTIF(Eingabe[Name],Rekorde[[#This Row],[Name]])&gt;0,_xlfn.MAXIFS(Eingabe[S3],Eingabe[Name],Rekorde[[#This Row],[Name]]),"")</f>
        <v>135</v>
      </c>
      <c r="K37" s="11">
        <f>IF(COUNTIF(Eingabe[Name],Rekorde[[#This Row],[Name]])&gt;0,_xlfn.MAXIFS(Eingabe[S4],Eingabe[Name],Rekorde[[#This Row],[Name]]),"")</f>
        <v>146</v>
      </c>
      <c r="L37" s="11">
        <f>IF(MAX(Rekorde[[#This Row],[S1]:[S4]])=0,"",MAX(Rekorde[[#This Row],[S1]:[S4]]))</f>
        <v>146</v>
      </c>
      <c r="M37" s="52">
        <f>IF(COUNTIF(Eingabe[Name],Rekorde[[#This Row],[Name]])&gt;0,_xlfn.MINIFS(Eingabe[Fehler],Eingabe[Name],Rekorde[[#This Row],[Name]]),"")</f>
        <v>12</v>
      </c>
      <c r="N37" s="11">
        <f>IF(COUNTIF(Eingabe[Name],Rekorde[[#This Row],[Name]])&gt;0,_xlfn.MAXIFS(Eingabe[GEGGES],Eingabe[Name],Rekorde[[#This Row],[Name]]),"")</f>
        <v>550</v>
      </c>
      <c r="O37" s="11">
        <f>IF(COUNTIFS(Eingabe[Name],Rekorde[[#This Row],[Name]],Eingabe[Wo],"H")&gt;0,_xlfn.MAXIFS(Eingabe[GES],Eingabe[Name],Rekorde[[#This Row],[Name]],Eingabe[Wo],"H"),"")</f>
        <v>497</v>
      </c>
      <c r="P37" s="11">
        <f>IF(COUNTIFS(Eingabe[Name],Rekorde[[#This Row],[Name]],Eingabe[Wo],"H")&gt;0,_xlfn.MAXIFS(Eingabe[Volle],Eingabe[Name],Rekorde[[#This Row],[Name]],Eingabe[Wo],"H"),"")</f>
        <v>351</v>
      </c>
      <c r="Q37" s="11">
        <f>IF(COUNTIFS(Eingabe[Name],Rekorde[[#This Row],[Name]],Eingabe[Wo],"H")&gt;0,_xlfn.MAXIFS(Eingabe[Räumer],Eingabe[Name],Rekorde[[#This Row],[Name]],Eingabe[Wo],"H"),"")</f>
        <v>155</v>
      </c>
      <c r="R37" s="11">
        <f>IF(COUNTIFS(Eingabe[Name],Rekorde[[#This Row],[Name]],Eingabe[Wo],"H")&gt;0,_xlfn.MAXIFS(Eingabe[S1],Eingabe[Name],Rekorde[[#This Row],[Name]],Eingabe[Wo],"H"),"")</f>
        <v>116</v>
      </c>
      <c r="S37" s="11">
        <f>IF(COUNTIFS(Eingabe[Name],Rekorde[[#This Row],[Name]],Eingabe[Wo],"H")&gt;0,_xlfn.MAXIFS(Eingabe[S2],Eingabe[Name],Rekorde[[#This Row],[Name]],Eingabe[Wo],"H"),"")</f>
        <v>129</v>
      </c>
      <c r="T37" s="11">
        <f>IF(COUNTIFS(Eingabe[Name],Rekorde[[#This Row],[Name]],Eingabe[Wo],"H")&gt;0,_xlfn.MAXIFS(Eingabe[S3],Eingabe[Name],Rekorde[[#This Row],[Name]],Eingabe[Wo],"H"),"")</f>
        <v>135</v>
      </c>
      <c r="U37" s="11">
        <f>IF(COUNTIFS(Eingabe[Name],Rekorde[[#This Row],[Name]],Eingabe[Wo],"H")&gt;0,_xlfn.MAXIFS(Eingabe[S4],Eingabe[Name],Rekorde[[#This Row],[Name]],Eingabe[Wo],"H"),"")</f>
        <v>131</v>
      </c>
      <c r="V37" s="11">
        <f>IF(Rekorde[[#This Row],[S1 H]]="","",MAX(Rekorde[[#This Row],[S1 H]:[S4 H]]))</f>
        <v>135</v>
      </c>
      <c r="W37" s="52">
        <f>IF(COUNTIFS(Eingabe[Name],Rekorde[[#This Row],[Name]],Eingabe[Wo],"H")&gt;0,_xlfn.MINIFS(Eingabe[Fehler],Eingabe[Name],Rekorde[[#This Row],[Name]],Eingabe[Wo],"H"),"")</f>
        <v>12</v>
      </c>
      <c r="X37" s="11">
        <f>IF(COUNTIFS(Eingabe[Name],Rekorde[[#This Row],[Name]],Eingabe[Wo],"H")&gt;0,_xlfn.MAXIFS(Eingabe[GEGGES],Eingabe[Name],Rekorde[[#This Row],[Name]],Eingabe[Wo],"H"),"")</f>
        <v>472</v>
      </c>
      <c r="Y37" s="11">
        <f>IF(COUNTIFS(Eingabe[Name],Rekorde[[#This Row],[Name]],Eingabe[Wo],"A")&gt;0,_xlfn.MAXIFS(Eingabe[GES],Eingabe[Name],Rekorde[[#This Row],[Name]],Eingabe[Wo],"A"),"")</f>
        <v>542</v>
      </c>
      <c r="Z37" s="11">
        <f>IF(COUNTIFS(Eingabe[Name],Rekorde[[#This Row],[Name]],Eingabe[Wo],"A")&gt;0,_xlfn.MAXIFS(Eingabe[Volle],Eingabe[Name],Rekorde[[#This Row],[Name]],Eingabe[Wo],"A"),"")</f>
        <v>351</v>
      </c>
      <c r="AA37" s="11">
        <f>IF(COUNTIFS(Eingabe[Name],Rekorde[[#This Row],[Name]],Eingabe[Wo],"A")&gt;0,_xlfn.MAXIFS(Eingabe[Räumer],Eingabe[Name],Rekorde[[#This Row],[Name]],Eingabe[Wo],"A"),"")</f>
        <v>191</v>
      </c>
      <c r="AB37" s="11">
        <f>IF(COUNTIFS(Eingabe[Name],Rekorde[[#This Row],[Name]],Eingabe[Wo],"A")&gt;0,_xlfn.MAXIFS(Eingabe[S1],Eingabe[Name],Rekorde[[#This Row],[Name]],Eingabe[Wo],"A"),"")</f>
        <v>140</v>
      </c>
      <c r="AC37" s="11">
        <f>IF(COUNTIFS(Eingabe[Name],Rekorde[[#This Row],[Name]],Eingabe[Wo],"A")&gt;0,_xlfn.MAXIFS(Eingabe[S2],Eingabe[Name],Rekorde[[#This Row],[Name]],Eingabe[Wo],"A"),"")</f>
        <v>126</v>
      </c>
      <c r="AD37" s="11">
        <f>IF(COUNTIFS(Eingabe[Name],Rekorde[[#This Row],[Name]],Eingabe[Wo],"A")&gt;0,_xlfn.MAXIFS(Eingabe[S3],Eingabe[Name],Rekorde[[#This Row],[Name]],Eingabe[Wo],"A"),"")</f>
        <v>130</v>
      </c>
      <c r="AE37" s="11">
        <f>IF(COUNTIFS(Eingabe[Name],Rekorde[[#This Row],[Name]],Eingabe[Wo],"A")&gt;0,_xlfn.MAXIFS(Eingabe[S4],Eingabe[Name],Rekorde[[#This Row],[Name]],Eingabe[Wo],"A"),"")</f>
        <v>146</v>
      </c>
      <c r="AF37" s="11">
        <f>IF(Rekorde[[#This Row],[S1 A]]="","",MAX(Rekorde[[#This Row],[S1 A]:[S4 A]]))</f>
        <v>146</v>
      </c>
      <c r="AG37" s="52">
        <f>IF(COUNTIFS(Eingabe[Name],Rekorde[[#This Row],[Name]],Eingabe[Wo],"A")&gt;0,_xlfn.MINIFS(Eingabe[Fehler],Eingabe[Name],Rekorde[[#This Row],[Name]],Eingabe[Wo],"A"),"")</f>
        <v>12</v>
      </c>
      <c r="AH37" s="11">
        <f>IF(COUNTIFS(Eingabe[Name],Rekorde[[#This Row],[Name]],Eingabe[Wo],"A")&gt;0,_xlfn.MAXIFS(Eingabe[GEGGES],Eingabe[Name],Rekorde[[#This Row],[Name]],Eingabe[Wo],"A"),"")</f>
        <v>550</v>
      </c>
    </row>
    <row r="38" spans="3:34" x14ac:dyDescent="0.3">
      <c r="C38" s="53" t="s">
        <v>463</v>
      </c>
      <c r="D38" s="12" t="str">
        <f>VLOOKUP(Rekorde[[#This Row],[Name]],Teamzuordnung[[Name]:[Team]],2,FALSE)</f>
        <v>D</v>
      </c>
      <c r="E38" s="51">
        <f>IF(COUNTIF(Eingabe[Name],Rekorde[[#This Row],[Name]])&gt;0,_xlfn.MAXIFS(Eingabe[GES],Eingabe[Name],Rekorde[[#This Row],[Name]]),"")</f>
        <v>561</v>
      </c>
      <c r="F38" s="51">
        <f>IF(COUNTIF(Eingabe[Name],Rekorde[[#This Row],[Name]])&gt;0,_xlfn.MAXIFS(Eingabe[Volle],Eingabe[Name],Rekorde[[#This Row],[Name]]),"")</f>
        <v>364</v>
      </c>
      <c r="G38" s="51">
        <f>IF(COUNTIF(Eingabe[Name],Rekorde[[#This Row],[Name]])&gt;0,_xlfn.MAXIFS(Eingabe[Räumer],Eingabe[Name],Rekorde[[#This Row],[Name]]),"")</f>
        <v>210</v>
      </c>
      <c r="H38" s="51">
        <f>IF(COUNTIF(Eingabe[Name],Rekorde[[#This Row],[Name]])&gt;0,_xlfn.MAXIFS(Eingabe[S1],Eingabe[Name],Rekorde[[#This Row],[Name]]),"")</f>
        <v>145</v>
      </c>
      <c r="I38" s="51">
        <f>IF(COUNTIF(Eingabe[Name],Rekorde[[#This Row],[Name]])&gt;0,_xlfn.MAXIFS(Eingabe[S2],Eingabe[Name],Rekorde[[#This Row],[Name]]),"")</f>
        <v>136</v>
      </c>
      <c r="J38" s="51">
        <f>IF(COUNTIF(Eingabe[Name],Rekorde[[#This Row],[Name]])&gt;0,_xlfn.MAXIFS(Eingabe[S3],Eingabe[Name],Rekorde[[#This Row],[Name]]),"")</f>
        <v>141</v>
      </c>
      <c r="K38" s="51">
        <f>IF(COUNTIF(Eingabe[Name],Rekorde[[#This Row],[Name]])&gt;0,_xlfn.MAXIFS(Eingabe[S4],Eingabe[Name],Rekorde[[#This Row],[Name]]),"")</f>
        <v>139</v>
      </c>
      <c r="L38" s="51">
        <f>IF(MAX(Rekorde[[#This Row],[S1]:[S4]])=0,"",MAX(Rekorde[[#This Row],[S1]:[S4]]))</f>
        <v>145</v>
      </c>
      <c r="M38" s="52">
        <f>IF(COUNTIF(Eingabe[Name],Rekorde[[#This Row],[Name]])&gt;0,_xlfn.MINIFS(Eingabe[Fehler],Eingabe[Name],Rekorde[[#This Row],[Name]]),"")</f>
        <v>1</v>
      </c>
      <c r="N38" s="51">
        <f>IF(COUNTIF(Eingabe[Name],Rekorde[[#This Row],[Name]])&gt;0,_xlfn.MAXIFS(Eingabe[GEGGES],Eingabe[Name],Rekorde[[#This Row],[Name]]),"")</f>
        <v>518</v>
      </c>
      <c r="O38" s="51">
        <f>IF(COUNTIFS(Eingabe[Name],Rekorde[[#This Row],[Name]],Eingabe[Wo],"H")&gt;0,_xlfn.MAXIFS(Eingabe[GES],Eingabe[Name],Rekorde[[#This Row],[Name]],Eingabe[Wo],"H"),"")</f>
        <v>469</v>
      </c>
      <c r="P38" s="51">
        <f>IF(COUNTIFS(Eingabe[Name],Rekorde[[#This Row],[Name]],Eingabe[Wo],"H")&gt;0,_xlfn.MAXIFS(Eingabe[Volle],Eingabe[Name],Rekorde[[#This Row],[Name]],Eingabe[Wo],"H"),"")</f>
        <v>349</v>
      </c>
      <c r="Q38" s="51">
        <f>IF(COUNTIFS(Eingabe[Name],Rekorde[[#This Row],[Name]],Eingabe[Wo],"H")&gt;0,_xlfn.MAXIFS(Eingabe[Räumer],Eingabe[Name],Rekorde[[#This Row],[Name]],Eingabe[Wo],"H"),"")</f>
        <v>120</v>
      </c>
      <c r="R38" s="51">
        <f>IF(COUNTIFS(Eingabe[Name],Rekorde[[#This Row],[Name]],Eingabe[Wo],"H")&gt;0,_xlfn.MAXIFS(Eingabe[S1],Eingabe[Name],Rekorde[[#This Row],[Name]],Eingabe[Wo],"H"),"")</f>
        <v>113</v>
      </c>
      <c r="S38" s="51">
        <f>IF(COUNTIFS(Eingabe[Name],Rekorde[[#This Row],[Name]],Eingabe[Wo],"H")&gt;0,_xlfn.MAXIFS(Eingabe[S2],Eingabe[Name],Rekorde[[#This Row],[Name]],Eingabe[Wo],"H"),"")</f>
        <v>131</v>
      </c>
      <c r="T38" s="51">
        <f>IF(COUNTIFS(Eingabe[Name],Rekorde[[#This Row],[Name]],Eingabe[Wo],"H")&gt;0,_xlfn.MAXIFS(Eingabe[S3],Eingabe[Name],Rekorde[[#This Row],[Name]],Eingabe[Wo],"H"),"")</f>
        <v>119</v>
      </c>
      <c r="U38" s="51">
        <f>IF(COUNTIFS(Eingabe[Name],Rekorde[[#This Row],[Name]],Eingabe[Wo],"H")&gt;0,_xlfn.MAXIFS(Eingabe[S4],Eingabe[Name],Rekorde[[#This Row],[Name]],Eingabe[Wo],"H"),"")</f>
        <v>106</v>
      </c>
      <c r="V38" s="51">
        <f>IF(Rekorde[[#This Row],[S1 H]]="","",MAX(Rekorde[[#This Row],[S1 H]:[S4 H]]))</f>
        <v>131</v>
      </c>
      <c r="W38" s="52">
        <f>IF(COUNTIFS(Eingabe[Name],Rekorde[[#This Row],[Name]],Eingabe[Wo],"H")&gt;0,_xlfn.MINIFS(Eingabe[Fehler],Eingabe[Name],Rekorde[[#This Row],[Name]],Eingabe[Wo],"H"),"")</f>
        <v>14</v>
      </c>
      <c r="X38" s="51">
        <f>IF(COUNTIFS(Eingabe[Name],Rekorde[[#This Row],[Name]],Eingabe[Wo],"H")&gt;0,_xlfn.MAXIFS(Eingabe[GEGGES],Eingabe[Name],Rekorde[[#This Row],[Name]],Eingabe[Wo],"H"),"")</f>
        <v>462</v>
      </c>
      <c r="Y38" s="51">
        <f>IF(COUNTIFS(Eingabe[Name],Rekorde[[#This Row],[Name]],Eingabe[Wo],"A")&gt;0,_xlfn.MAXIFS(Eingabe[GES],Eingabe[Name],Rekorde[[#This Row],[Name]],Eingabe[Wo],"A"),"")</f>
        <v>561</v>
      </c>
      <c r="Z38" s="51">
        <f>IF(COUNTIFS(Eingabe[Name],Rekorde[[#This Row],[Name]],Eingabe[Wo],"A")&gt;0,_xlfn.MAXIFS(Eingabe[Volle],Eingabe[Name],Rekorde[[#This Row],[Name]],Eingabe[Wo],"A"),"")</f>
        <v>364</v>
      </c>
      <c r="AA38" s="51">
        <f>IF(COUNTIFS(Eingabe[Name],Rekorde[[#This Row],[Name]],Eingabe[Wo],"A")&gt;0,_xlfn.MAXIFS(Eingabe[Räumer],Eingabe[Name],Rekorde[[#This Row],[Name]],Eingabe[Wo],"A"),"")</f>
        <v>210</v>
      </c>
      <c r="AB38" s="51">
        <f>IF(COUNTIFS(Eingabe[Name],Rekorde[[#This Row],[Name]],Eingabe[Wo],"A")&gt;0,_xlfn.MAXIFS(Eingabe[S1],Eingabe[Name],Rekorde[[#This Row],[Name]],Eingabe[Wo],"A"),"")</f>
        <v>145</v>
      </c>
      <c r="AC38" s="51">
        <f>IF(COUNTIFS(Eingabe[Name],Rekorde[[#This Row],[Name]],Eingabe[Wo],"A")&gt;0,_xlfn.MAXIFS(Eingabe[S2],Eingabe[Name],Rekorde[[#This Row],[Name]],Eingabe[Wo],"A"),"")</f>
        <v>136</v>
      </c>
      <c r="AD38" s="51">
        <f>IF(COUNTIFS(Eingabe[Name],Rekorde[[#This Row],[Name]],Eingabe[Wo],"A")&gt;0,_xlfn.MAXIFS(Eingabe[S3],Eingabe[Name],Rekorde[[#This Row],[Name]],Eingabe[Wo],"A"),"")</f>
        <v>141</v>
      </c>
      <c r="AE38" s="51">
        <f>IF(COUNTIFS(Eingabe[Name],Rekorde[[#This Row],[Name]],Eingabe[Wo],"A")&gt;0,_xlfn.MAXIFS(Eingabe[S4],Eingabe[Name],Rekorde[[#This Row],[Name]],Eingabe[Wo],"A"),"")</f>
        <v>139</v>
      </c>
      <c r="AF38" s="51">
        <f>IF(Rekorde[[#This Row],[S1 A]]="","",MAX(Rekorde[[#This Row],[S1 A]:[S4 A]]))</f>
        <v>145</v>
      </c>
      <c r="AG38" s="52">
        <f>IF(COUNTIFS(Eingabe[Name],Rekorde[[#This Row],[Name]],Eingabe[Wo],"A")&gt;0,_xlfn.MINIFS(Eingabe[Fehler],Eingabe[Name],Rekorde[[#This Row],[Name]],Eingabe[Wo],"A"),"")</f>
        <v>1</v>
      </c>
      <c r="AH38" s="51">
        <f>IF(COUNTIFS(Eingabe[Name],Rekorde[[#This Row],[Name]],Eingabe[Wo],"A")&gt;0,_xlfn.MAXIFS(Eingabe[GEGGES],Eingabe[Name],Rekorde[[#This Row],[Name]],Eingabe[Wo],"A"),"")</f>
        <v>518</v>
      </c>
    </row>
    <row r="39" spans="3:34" x14ac:dyDescent="0.3">
      <c r="C39" s="53" t="s">
        <v>660</v>
      </c>
      <c r="D39" s="12" t="str">
        <f>VLOOKUP(Rekorde[[#This Row],[Name]],Teamzuordnung[[Name]:[Team]],2,FALSE)</f>
        <v>E</v>
      </c>
      <c r="E39" s="51">
        <f>IF(COUNTIF(Eingabe[Name],Rekorde[[#This Row],[Name]])&gt;0,_xlfn.MAXIFS(Eingabe[GES],Eingabe[Name],Rekorde[[#This Row],[Name]]),"")</f>
        <v>553</v>
      </c>
      <c r="F39" s="51">
        <f>IF(COUNTIF(Eingabe[Name],Rekorde[[#This Row],[Name]])&gt;0,_xlfn.MAXIFS(Eingabe[Volle],Eingabe[Name],Rekorde[[#This Row],[Name]]),"")</f>
        <v>372</v>
      </c>
      <c r="G39" s="51">
        <f>IF(COUNTIF(Eingabe[Name],Rekorde[[#This Row],[Name]])&gt;0,_xlfn.MAXIFS(Eingabe[Räumer],Eingabe[Name],Rekorde[[#This Row],[Name]]),"")</f>
        <v>186</v>
      </c>
      <c r="H39" s="51">
        <f>IF(COUNTIF(Eingabe[Name],Rekorde[[#This Row],[Name]])&gt;0,_xlfn.MAXIFS(Eingabe[S1],Eingabe[Name],Rekorde[[#This Row],[Name]]),"")</f>
        <v>140</v>
      </c>
      <c r="I39" s="51">
        <f>IF(COUNTIF(Eingabe[Name],Rekorde[[#This Row],[Name]])&gt;0,_xlfn.MAXIFS(Eingabe[S2],Eingabe[Name],Rekorde[[#This Row],[Name]]),"")</f>
        <v>145</v>
      </c>
      <c r="J39" s="51">
        <f>IF(COUNTIF(Eingabe[Name],Rekorde[[#This Row],[Name]])&gt;0,_xlfn.MAXIFS(Eingabe[S3],Eingabe[Name],Rekorde[[#This Row],[Name]]),"")</f>
        <v>142</v>
      </c>
      <c r="K39" s="51">
        <f>IF(COUNTIF(Eingabe[Name],Rekorde[[#This Row],[Name]])&gt;0,_xlfn.MAXIFS(Eingabe[S4],Eingabe[Name],Rekorde[[#This Row],[Name]]),"")</f>
        <v>143</v>
      </c>
      <c r="L39" s="51">
        <f>IF(MAX(Rekorde[[#This Row],[S1]:[S4]])=0,"",MAX(Rekorde[[#This Row],[S1]:[S4]]))</f>
        <v>145</v>
      </c>
      <c r="M39" s="52">
        <f>IF(COUNTIF(Eingabe[Name],Rekorde[[#This Row],[Name]])&gt;0,_xlfn.MINIFS(Eingabe[Fehler],Eingabe[Name],Rekorde[[#This Row],[Name]]),"")</f>
        <v>6</v>
      </c>
      <c r="N39" s="51">
        <f>IF(COUNTIF(Eingabe[Name],Rekorde[[#This Row],[Name]])&gt;0,_xlfn.MAXIFS(Eingabe[GEGGES],Eingabe[Name],Rekorde[[#This Row],[Name]]),"")</f>
        <v>595</v>
      </c>
      <c r="O39" s="51">
        <f>IF(COUNTIFS(Eingabe[Name],Rekorde[[#This Row],[Name]],Eingabe[Wo],"H")&gt;0,_xlfn.MAXIFS(Eingabe[GES],Eingabe[Name],Rekorde[[#This Row],[Name]],Eingabe[Wo],"H"),"")</f>
        <v>513</v>
      </c>
      <c r="P39" s="51">
        <f>IF(COUNTIFS(Eingabe[Name],Rekorde[[#This Row],[Name]],Eingabe[Wo],"H")&gt;0,_xlfn.MAXIFS(Eingabe[Volle],Eingabe[Name],Rekorde[[#This Row],[Name]],Eingabe[Wo],"H"),"")</f>
        <v>370</v>
      </c>
      <c r="Q39" s="51">
        <f>IF(COUNTIFS(Eingabe[Name],Rekorde[[#This Row],[Name]],Eingabe[Wo],"H")&gt;0,_xlfn.MAXIFS(Eingabe[Räumer],Eingabe[Name],Rekorde[[#This Row],[Name]],Eingabe[Wo],"H"),"")</f>
        <v>166</v>
      </c>
      <c r="R39" s="51">
        <f>IF(COUNTIFS(Eingabe[Name],Rekorde[[#This Row],[Name]],Eingabe[Wo],"H")&gt;0,_xlfn.MAXIFS(Eingabe[S1],Eingabe[Name],Rekorde[[#This Row],[Name]],Eingabe[Wo],"H"),"")</f>
        <v>130</v>
      </c>
      <c r="S39" s="51">
        <f>IF(COUNTIFS(Eingabe[Name],Rekorde[[#This Row],[Name]],Eingabe[Wo],"H")&gt;0,_xlfn.MAXIFS(Eingabe[S2],Eingabe[Name],Rekorde[[#This Row],[Name]],Eingabe[Wo],"H"),"")</f>
        <v>138</v>
      </c>
      <c r="T39" s="51">
        <f>IF(COUNTIFS(Eingabe[Name],Rekorde[[#This Row],[Name]],Eingabe[Wo],"H")&gt;0,_xlfn.MAXIFS(Eingabe[S3],Eingabe[Name],Rekorde[[#This Row],[Name]],Eingabe[Wo],"H"),"")</f>
        <v>129</v>
      </c>
      <c r="U39" s="51">
        <f>IF(COUNTIFS(Eingabe[Name],Rekorde[[#This Row],[Name]],Eingabe[Wo],"H")&gt;0,_xlfn.MAXIFS(Eingabe[S4],Eingabe[Name],Rekorde[[#This Row],[Name]],Eingabe[Wo],"H"),"")</f>
        <v>134</v>
      </c>
      <c r="V39" s="51">
        <f>IF(Rekorde[[#This Row],[S1 H]]="","",MAX(Rekorde[[#This Row],[S1 H]:[S4 H]]))</f>
        <v>138</v>
      </c>
      <c r="W39" s="52">
        <f>IF(COUNTIFS(Eingabe[Name],Rekorde[[#This Row],[Name]],Eingabe[Wo],"H")&gt;0,_xlfn.MINIFS(Eingabe[Fehler],Eingabe[Name],Rekorde[[#This Row],[Name]],Eingabe[Wo],"H"),"")</f>
        <v>7</v>
      </c>
      <c r="X39" s="51">
        <f>IF(COUNTIFS(Eingabe[Name],Rekorde[[#This Row],[Name]],Eingabe[Wo],"H")&gt;0,_xlfn.MAXIFS(Eingabe[GEGGES],Eingabe[Name],Rekorde[[#This Row],[Name]],Eingabe[Wo],"H"),"")</f>
        <v>541</v>
      </c>
      <c r="Y39" s="51">
        <f>IF(COUNTIFS(Eingabe[Name],Rekorde[[#This Row],[Name]],Eingabe[Wo],"A")&gt;0,_xlfn.MAXIFS(Eingabe[GES],Eingabe[Name],Rekorde[[#This Row],[Name]],Eingabe[Wo],"A"),"")</f>
        <v>553</v>
      </c>
      <c r="Z39" s="51">
        <f>IF(COUNTIFS(Eingabe[Name],Rekorde[[#This Row],[Name]],Eingabe[Wo],"A")&gt;0,_xlfn.MAXIFS(Eingabe[Volle],Eingabe[Name],Rekorde[[#This Row],[Name]],Eingabe[Wo],"A"),"")</f>
        <v>372</v>
      </c>
      <c r="AA39" s="51">
        <f>IF(COUNTIFS(Eingabe[Name],Rekorde[[#This Row],[Name]],Eingabe[Wo],"A")&gt;0,_xlfn.MAXIFS(Eingabe[Räumer],Eingabe[Name],Rekorde[[#This Row],[Name]],Eingabe[Wo],"A"),"")</f>
        <v>186</v>
      </c>
      <c r="AB39" s="51">
        <f>IF(COUNTIFS(Eingabe[Name],Rekorde[[#This Row],[Name]],Eingabe[Wo],"A")&gt;0,_xlfn.MAXIFS(Eingabe[S1],Eingabe[Name],Rekorde[[#This Row],[Name]],Eingabe[Wo],"A"),"")</f>
        <v>140</v>
      </c>
      <c r="AC39" s="51">
        <f>IF(COUNTIFS(Eingabe[Name],Rekorde[[#This Row],[Name]],Eingabe[Wo],"A")&gt;0,_xlfn.MAXIFS(Eingabe[S2],Eingabe[Name],Rekorde[[#This Row],[Name]],Eingabe[Wo],"A"),"")</f>
        <v>145</v>
      </c>
      <c r="AD39" s="51">
        <f>IF(COUNTIFS(Eingabe[Name],Rekorde[[#This Row],[Name]],Eingabe[Wo],"A")&gt;0,_xlfn.MAXIFS(Eingabe[S3],Eingabe[Name],Rekorde[[#This Row],[Name]],Eingabe[Wo],"A"),"")</f>
        <v>142</v>
      </c>
      <c r="AE39" s="51">
        <f>IF(COUNTIFS(Eingabe[Name],Rekorde[[#This Row],[Name]],Eingabe[Wo],"A")&gt;0,_xlfn.MAXIFS(Eingabe[S4],Eingabe[Name],Rekorde[[#This Row],[Name]],Eingabe[Wo],"A"),"")</f>
        <v>143</v>
      </c>
      <c r="AF39" s="51">
        <f>IF(Rekorde[[#This Row],[S1 A]]="","",MAX(Rekorde[[#This Row],[S1 A]:[S4 A]]))</f>
        <v>145</v>
      </c>
      <c r="AG39" s="52">
        <f>IF(COUNTIFS(Eingabe[Name],Rekorde[[#This Row],[Name]],Eingabe[Wo],"A")&gt;0,_xlfn.MINIFS(Eingabe[Fehler],Eingabe[Name],Rekorde[[#This Row],[Name]],Eingabe[Wo],"A"),"")</f>
        <v>6</v>
      </c>
      <c r="AH39" s="51">
        <f>IF(COUNTIFS(Eingabe[Name],Rekorde[[#This Row],[Name]],Eingabe[Wo],"A")&gt;0,_xlfn.MAXIFS(Eingabe[GEGGES],Eingabe[Name],Rekorde[[#This Row],[Name]],Eingabe[Wo],"A"),"")</f>
        <v>595</v>
      </c>
    </row>
    <row r="40" spans="3:34" x14ac:dyDescent="0.3">
      <c r="C40" s="53" t="s">
        <v>485</v>
      </c>
      <c r="D40" s="12" t="str">
        <f>VLOOKUP(Rekorde[[#This Row],[Name]],Teamzuordnung[[Name]:[Team]],2,FALSE)</f>
        <v>U19</v>
      </c>
      <c r="E40" s="51">
        <f>IF(COUNTIF(Eingabe[Name],Rekorde[[#This Row],[Name]])&gt;0,_xlfn.MAXIFS(Eingabe[GES],Eingabe[Name],Rekorde[[#This Row],[Name]]),"")</f>
        <v>500</v>
      </c>
      <c r="F40" s="51">
        <f>IF(COUNTIF(Eingabe[Name],Rekorde[[#This Row],[Name]])&gt;0,_xlfn.MAXIFS(Eingabe[Volle],Eingabe[Name],Rekorde[[#This Row],[Name]]),"")</f>
        <v>352</v>
      </c>
      <c r="G40" s="51">
        <f>IF(COUNTIF(Eingabe[Name],Rekorde[[#This Row],[Name]])&gt;0,_xlfn.MAXIFS(Eingabe[Räumer],Eingabe[Name],Rekorde[[#This Row],[Name]]),"")</f>
        <v>160</v>
      </c>
      <c r="H40" s="51">
        <f>IF(COUNTIF(Eingabe[Name],Rekorde[[#This Row],[Name]])&gt;0,_xlfn.MAXIFS(Eingabe[S1],Eingabe[Name],Rekorde[[#This Row],[Name]]),"")</f>
        <v>133</v>
      </c>
      <c r="I40" s="51">
        <f>IF(COUNTIF(Eingabe[Name],Rekorde[[#This Row],[Name]])&gt;0,_xlfn.MAXIFS(Eingabe[S2],Eingabe[Name],Rekorde[[#This Row],[Name]]),"")</f>
        <v>140</v>
      </c>
      <c r="J40" s="51">
        <f>IF(COUNTIF(Eingabe[Name],Rekorde[[#This Row],[Name]])&gt;0,_xlfn.MAXIFS(Eingabe[S3],Eingabe[Name],Rekorde[[#This Row],[Name]]),"")</f>
        <v>141</v>
      </c>
      <c r="K40" s="51">
        <f>IF(COUNTIF(Eingabe[Name],Rekorde[[#This Row],[Name]])&gt;0,_xlfn.MAXIFS(Eingabe[S4],Eingabe[Name],Rekorde[[#This Row],[Name]]),"")</f>
        <v>130</v>
      </c>
      <c r="L40" s="51">
        <f>IF(MAX(Rekorde[[#This Row],[S1]:[S4]])=0,"",MAX(Rekorde[[#This Row],[S1]:[S4]]))</f>
        <v>141</v>
      </c>
      <c r="M40" s="52">
        <f>IF(COUNTIF(Eingabe[Name],Rekorde[[#This Row],[Name]])&gt;0,_xlfn.MINIFS(Eingabe[Fehler],Eingabe[Name],Rekorde[[#This Row],[Name]]),"")</f>
        <v>9</v>
      </c>
      <c r="N40" s="51">
        <f>IF(COUNTIF(Eingabe[Name],Rekorde[[#This Row],[Name]])&gt;0,_xlfn.MAXIFS(Eingabe[GEGGES],Eingabe[Name],Rekorde[[#This Row],[Name]]),"")</f>
        <v>551</v>
      </c>
      <c r="O40" s="51">
        <f>IF(COUNTIFS(Eingabe[Name],Rekorde[[#This Row],[Name]],Eingabe[Wo],"H")&gt;0,_xlfn.MAXIFS(Eingabe[GES],Eingabe[Name],Rekorde[[#This Row],[Name]],Eingabe[Wo],"H"),"")</f>
        <v>454</v>
      </c>
      <c r="P40" s="51">
        <f>IF(COUNTIFS(Eingabe[Name],Rekorde[[#This Row],[Name]],Eingabe[Wo],"H")&gt;0,_xlfn.MAXIFS(Eingabe[Volle],Eingabe[Name],Rekorde[[#This Row],[Name]],Eingabe[Wo],"H"),"")</f>
        <v>322</v>
      </c>
      <c r="Q40" s="51">
        <f>IF(COUNTIFS(Eingabe[Name],Rekorde[[#This Row],[Name]],Eingabe[Wo],"H")&gt;0,_xlfn.MAXIFS(Eingabe[Räumer],Eingabe[Name],Rekorde[[#This Row],[Name]],Eingabe[Wo],"H"),"")</f>
        <v>142</v>
      </c>
      <c r="R40" s="51">
        <f>IF(COUNTIFS(Eingabe[Name],Rekorde[[#This Row],[Name]],Eingabe[Wo],"H")&gt;0,_xlfn.MAXIFS(Eingabe[S1],Eingabe[Name],Rekorde[[#This Row],[Name]],Eingabe[Wo],"H"),"")</f>
        <v>116</v>
      </c>
      <c r="S40" s="51">
        <f>IF(COUNTIFS(Eingabe[Name],Rekorde[[#This Row],[Name]],Eingabe[Wo],"H")&gt;0,_xlfn.MAXIFS(Eingabe[S2],Eingabe[Name],Rekorde[[#This Row],[Name]],Eingabe[Wo],"H"),"")</f>
        <v>123</v>
      </c>
      <c r="T40" s="51">
        <f>IF(COUNTIFS(Eingabe[Name],Rekorde[[#This Row],[Name]],Eingabe[Wo],"H")&gt;0,_xlfn.MAXIFS(Eingabe[S3],Eingabe[Name],Rekorde[[#This Row],[Name]],Eingabe[Wo],"H"),"")</f>
        <v>141</v>
      </c>
      <c r="U40" s="51">
        <f>IF(COUNTIFS(Eingabe[Name],Rekorde[[#This Row],[Name]],Eingabe[Wo],"H")&gt;0,_xlfn.MAXIFS(Eingabe[S4],Eingabe[Name],Rekorde[[#This Row],[Name]],Eingabe[Wo],"H"),"")</f>
        <v>118</v>
      </c>
      <c r="V40" s="51">
        <f>IF(Rekorde[[#This Row],[S1 H]]="","",MAX(Rekorde[[#This Row],[S1 H]:[S4 H]]))</f>
        <v>141</v>
      </c>
      <c r="W40" s="52">
        <f>IF(COUNTIFS(Eingabe[Name],Rekorde[[#This Row],[Name]],Eingabe[Wo],"H")&gt;0,_xlfn.MINIFS(Eingabe[Fehler],Eingabe[Name],Rekorde[[#This Row],[Name]],Eingabe[Wo],"H"),"")</f>
        <v>10</v>
      </c>
      <c r="X40" s="51">
        <f>IF(COUNTIFS(Eingabe[Name],Rekorde[[#This Row],[Name]],Eingabe[Wo],"H")&gt;0,_xlfn.MAXIFS(Eingabe[GEGGES],Eingabe[Name],Rekorde[[#This Row],[Name]],Eingabe[Wo],"H"),"")</f>
        <v>0</v>
      </c>
      <c r="Y40" s="51">
        <f>IF(COUNTIFS(Eingabe[Name],Rekorde[[#This Row],[Name]],Eingabe[Wo],"A")&gt;0,_xlfn.MAXIFS(Eingabe[GES],Eingabe[Name],Rekorde[[#This Row],[Name]],Eingabe[Wo],"A"),"")</f>
        <v>500</v>
      </c>
      <c r="Z40" s="51">
        <f>IF(COUNTIFS(Eingabe[Name],Rekorde[[#This Row],[Name]],Eingabe[Wo],"A")&gt;0,_xlfn.MAXIFS(Eingabe[Volle],Eingabe[Name],Rekorde[[#This Row],[Name]],Eingabe[Wo],"A"),"")</f>
        <v>352</v>
      </c>
      <c r="AA40" s="51">
        <f>IF(COUNTIFS(Eingabe[Name],Rekorde[[#This Row],[Name]],Eingabe[Wo],"A")&gt;0,_xlfn.MAXIFS(Eingabe[Räumer],Eingabe[Name],Rekorde[[#This Row],[Name]],Eingabe[Wo],"A"),"")</f>
        <v>160</v>
      </c>
      <c r="AB40" s="51">
        <f>IF(COUNTIFS(Eingabe[Name],Rekorde[[#This Row],[Name]],Eingabe[Wo],"A")&gt;0,_xlfn.MAXIFS(Eingabe[S1],Eingabe[Name],Rekorde[[#This Row],[Name]],Eingabe[Wo],"A"),"")</f>
        <v>133</v>
      </c>
      <c r="AC40" s="51">
        <f>IF(COUNTIFS(Eingabe[Name],Rekorde[[#This Row],[Name]],Eingabe[Wo],"A")&gt;0,_xlfn.MAXIFS(Eingabe[S2],Eingabe[Name],Rekorde[[#This Row],[Name]],Eingabe[Wo],"A"),"")</f>
        <v>140</v>
      </c>
      <c r="AD40" s="51">
        <f>IF(COUNTIFS(Eingabe[Name],Rekorde[[#This Row],[Name]],Eingabe[Wo],"A")&gt;0,_xlfn.MAXIFS(Eingabe[S3],Eingabe[Name],Rekorde[[#This Row],[Name]],Eingabe[Wo],"A"),"")</f>
        <v>137</v>
      </c>
      <c r="AE40" s="51">
        <f>IF(COUNTIFS(Eingabe[Name],Rekorde[[#This Row],[Name]],Eingabe[Wo],"A")&gt;0,_xlfn.MAXIFS(Eingabe[S4],Eingabe[Name],Rekorde[[#This Row],[Name]],Eingabe[Wo],"A"),"")</f>
        <v>130</v>
      </c>
      <c r="AF40" s="51">
        <f>IF(Rekorde[[#This Row],[S1 A]]="","",MAX(Rekorde[[#This Row],[S1 A]:[S4 A]]))</f>
        <v>140</v>
      </c>
      <c r="AG40" s="52">
        <f>IF(COUNTIFS(Eingabe[Name],Rekorde[[#This Row],[Name]],Eingabe[Wo],"A")&gt;0,_xlfn.MINIFS(Eingabe[Fehler],Eingabe[Name],Rekorde[[#This Row],[Name]],Eingabe[Wo],"A"),"")</f>
        <v>9</v>
      </c>
      <c r="AH40" s="51">
        <f>IF(COUNTIFS(Eingabe[Name],Rekorde[[#This Row],[Name]],Eingabe[Wo],"A")&gt;0,_xlfn.MAXIFS(Eingabe[GEGGES],Eingabe[Name],Rekorde[[#This Row],[Name]],Eingabe[Wo],"A"),"")</f>
        <v>551</v>
      </c>
    </row>
    <row r="41" spans="3:34" x14ac:dyDescent="0.3">
      <c r="C41" s="53" t="s">
        <v>462</v>
      </c>
      <c r="D41" s="12" t="str">
        <f>VLOOKUP(Rekorde[[#This Row],[Name]],Teamzuordnung[[Name]:[Team]],2,FALSE)</f>
        <v>D</v>
      </c>
      <c r="E41" s="51">
        <f>IF(COUNTIF(Eingabe[Name],Rekorde[[#This Row],[Name]])&gt;0,_xlfn.MAXIFS(Eingabe[GES],Eingabe[Name],Rekorde[[#This Row],[Name]]),"")</f>
        <v>487</v>
      </c>
      <c r="F41" s="51">
        <f>IF(COUNTIF(Eingabe[Name],Rekorde[[#This Row],[Name]])&gt;0,_xlfn.MAXIFS(Eingabe[Volle],Eingabe[Name],Rekorde[[#This Row],[Name]]),"")</f>
        <v>342</v>
      </c>
      <c r="G41" s="51">
        <f>IF(COUNTIF(Eingabe[Name],Rekorde[[#This Row],[Name]])&gt;0,_xlfn.MAXIFS(Eingabe[Räumer],Eingabe[Name],Rekorde[[#This Row],[Name]]),"")</f>
        <v>145</v>
      </c>
      <c r="H41" s="51">
        <f>IF(COUNTIF(Eingabe[Name],Rekorde[[#This Row],[Name]])&gt;0,_xlfn.MAXIFS(Eingabe[S1],Eingabe[Name],Rekorde[[#This Row],[Name]]),"")</f>
        <v>113</v>
      </c>
      <c r="I41" s="51">
        <f>IF(COUNTIF(Eingabe[Name],Rekorde[[#This Row],[Name]])&gt;0,_xlfn.MAXIFS(Eingabe[S2],Eingabe[Name],Rekorde[[#This Row],[Name]]),"")</f>
        <v>138</v>
      </c>
      <c r="J41" s="51">
        <f>IF(COUNTIF(Eingabe[Name],Rekorde[[#This Row],[Name]])&gt;0,_xlfn.MAXIFS(Eingabe[S3],Eingabe[Name],Rekorde[[#This Row],[Name]]),"")</f>
        <v>130</v>
      </c>
      <c r="K41" s="51">
        <f>IF(COUNTIF(Eingabe[Name],Rekorde[[#This Row],[Name]])&gt;0,_xlfn.MAXIFS(Eingabe[S4],Eingabe[Name],Rekorde[[#This Row],[Name]]),"")</f>
        <v>106</v>
      </c>
      <c r="L41" s="51">
        <f>IF(MAX(Rekorde[[#This Row],[S1]:[S4]])=0,"",MAX(Rekorde[[#This Row],[S1]:[S4]]))</f>
        <v>138</v>
      </c>
      <c r="M41" s="52">
        <f>IF(COUNTIF(Eingabe[Name],Rekorde[[#This Row],[Name]])&gt;0,_xlfn.MINIFS(Eingabe[Fehler],Eingabe[Name],Rekorde[[#This Row],[Name]]),"")</f>
        <v>8</v>
      </c>
      <c r="N41" s="51">
        <f>IF(COUNTIF(Eingabe[Name],Rekorde[[#This Row],[Name]])&gt;0,_xlfn.MAXIFS(Eingabe[GEGGES],Eingabe[Name],Rekorde[[#This Row],[Name]]),"")</f>
        <v>473</v>
      </c>
      <c r="O41" s="51" t="str">
        <f>IF(COUNTIFS(Eingabe[Name],Rekorde[[#This Row],[Name]],Eingabe[Wo],"H")&gt;0,_xlfn.MAXIFS(Eingabe[GES],Eingabe[Name],Rekorde[[#This Row],[Name]],Eingabe[Wo],"H"),"")</f>
        <v/>
      </c>
      <c r="P41" s="51" t="str">
        <f>IF(COUNTIFS(Eingabe[Name],Rekorde[[#This Row],[Name]],Eingabe[Wo],"H")&gt;0,_xlfn.MAXIFS(Eingabe[Volle],Eingabe[Name],Rekorde[[#This Row],[Name]],Eingabe[Wo],"H"),"")</f>
        <v/>
      </c>
      <c r="Q41" s="51" t="str">
        <f>IF(COUNTIFS(Eingabe[Name],Rekorde[[#This Row],[Name]],Eingabe[Wo],"H")&gt;0,_xlfn.MAXIFS(Eingabe[Räumer],Eingabe[Name],Rekorde[[#This Row],[Name]],Eingabe[Wo],"H"),"")</f>
        <v/>
      </c>
      <c r="R41" s="51" t="str">
        <f>IF(COUNTIFS(Eingabe[Name],Rekorde[[#This Row],[Name]],Eingabe[Wo],"H")&gt;0,_xlfn.MAXIFS(Eingabe[S1],Eingabe[Name],Rekorde[[#This Row],[Name]],Eingabe[Wo],"H"),"")</f>
        <v/>
      </c>
      <c r="S41" s="51" t="str">
        <f>IF(COUNTIFS(Eingabe[Name],Rekorde[[#This Row],[Name]],Eingabe[Wo],"H")&gt;0,_xlfn.MAXIFS(Eingabe[S2],Eingabe[Name],Rekorde[[#This Row],[Name]],Eingabe[Wo],"H"),"")</f>
        <v/>
      </c>
      <c r="T41" s="51" t="str">
        <f>IF(COUNTIFS(Eingabe[Name],Rekorde[[#This Row],[Name]],Eingabe[Wo],"H")&gt;0,_xlfn.MAXIFS(Eingabe[S3],Eingabe[Name],Rekorde[[#This Row],[Name]],Eingabe[Wo],"H"),"")</f>
        <v/>
      </c>
      <c r="U41" s="51" t="str">
        <f>IF(COUNTIFS(Eingabe[Name],Rekorde[[#This Row],[Name]],Eingabe[Wo],"H")&gt;0,_xlfn.MAXIFS(Eingabe[S4],Eingabe[Name],Rekorde[[#This Row],[Name]],Eingabe[Wo],"H"),"")</f>
        <v/>
      </c>
      <c r="V41" s="51" t="str">
        <f>IF(Rekorde[[#This Row],[S1 H]]="","",MAX(Rekorde[[#This Row],[S1 H]:[S4 H]]))</f>
        <v/>
      </c>
      <c r="W41" s="52" t="str">
        <f>IF(COUNTIFS(Eingabe[Name],Rekorde[[#This Row],[Name]],Eingabe[Wo],"H")&gt;0,_xlfn.MINIFS(Eingabe[Fehler],Eingabe[Name],Rekorde[[#This Row],[Name]],Eingabe[Wo],"H"),"")</f>
        <v/>
      </c>
      <c r="X41" s="51" t="str">
        <f>IF(COUNTIFS(Eingabe[Name],Rekorde[[#This Row],[Name]],Eingabe[Wo],"H")&gt;0,_xlfn.MAXIFS(Eingabe[GEGGES],Eingabe[Name],Rekorde[[#This Row],[Name]],Eingabe[Wo],"H"),"")</f>
        <v/>
      </c>
      <c r="Y41" s="51">
        <f>IF(COUNTIFS(Eingabe[Name],Rekorde[[#This Row],[Name]],Eingabe[Wo],"A")&gt;0,_xlfn.MAXIFS(Eingabe[GES],Eingabe[Name],Rekorde[[#This Row],[Name]],Eingabe[Wo],"A"),"")</f>
        <v>487</v>
      </c>
      <c r="Z41" s="51">
        <f>IF(COUNTIFS(Eingabe[Name],Rekorde[[#This Row],[Name]],Eingabe[Wo],"A")&gt;0,_xlfn.MAXIFS(Eingabe[Volle],Eingabe[Name],Rekorde[[#This Row],[Name]],Eingabe[Wo],"A"),"")</f>
        <v>342</v>
      </c>
      <c r="AA41" s="51">
        <f>IF(COUNTIFS(Eingabe[Name],Rekorde[[#This Row],[Name]],Eingabe[Wo],"A")&gt;0,_xlfn.MAXIFS(Eingabe[Räumer],Eingabe[Name],Rekorde[[#This Row],[Name]],Eingabe[Wo],"A"),"")</f>
        <v>145</v>
      </c>
      <c r="AB41" s="51">
        <f>IF(COUNTIFS(Eingabe[Name],Rekorde[[#This Row],[Name]],Eingabe[Wo],"A")&gt;0,_xlfn.MAXIFS(Eingabe[S1],Eingabe[Name],Rekorde[[#This Row],[Name]],Eingabe[Wo],"A"),"")</f>
        <v>113</v>
      </c>
      <c r="AC41" s="51">
        <f>IF(COUNTIFS(Eingabe[Name],Rekorde[[#This Row],[Name]],Eingabe[Wo],"A")&gt;0,_xlfn.MAXIFS(Eingabe[S2],Eingabe[Name],Rekorde[[#This Row],[Name]],Eingabe[Wo],"A"),"")</f>
        <v>138</v>
      </c>
      <c r="AD41" s="51">
        <f>IF(COUNTIFS(Eingabe[Name],Rekorde[[#This Row],[Name]],Eingabe[Wo],"A")&gt;0,_xlfn.MAXIFS(Eingabe[S3],Eingabe[Name],Rekorde[[#This Row],[Name]],Eingabe[Wo],"A"),"")</f>
        <v>130</v>
      </c>
      <c r="AE41" s="51">
        <f>IF(COUNTIFS(Eingabe[Name],Rekorde[[#This Row],[Name]],Eingabe[Wo],"A")&gt;0,_xlfn.MAXIFS(Eingabe[S4],Eingabe[Name],Rekorde[[#This Row],[Name]],Eingabe[Wo],"A"),"")</f>
        <v>106</v>
      </c>
      <c r="AF41" s="51">
        <f>IF(Rekorde[[#This Row],[S1 A]]="","",MAX(Rekorde[[#This Row],[S1 A]:[S4 A]]))</f>
        <v>138</v>
      </c>
      <c r="AG41" s="52">
        <f>IF(COUNTIFS(Eingabe[Name],Rekorde[[#This Row],[Name]],Eingabe[Wo],"A")&gt;0,_xlfn.MINIFS(Eingabe[Fehler],Eingabe[Name],Rekorde[[#This Row],[Name]],Eingabe[Wo],"A"),"")</f>
        <v>8</v>
      </c>
      <c r="AH41" s="51">
        <f>IF(COUNTIFS(Eingabe[Name],Rekorde[[#This Row],[Name]],Eingabe[Wo],"A")&gt;0,_xlfn.MAXIFS(Eingabe[GEGGES],Eingabe[Name],Rekorde[[#This Row],[Name]],Eingabe[Wo],"A"),"")</f>
        <v>473</v>
      </c>
    </row>
    <row r="42" spans="3:34" x14ac:dyDescent="0.3">
      <c r="C42" s="53" t="s">
        <v>479</v>
      </c>
      <c r="D42" s="12" t="str">
        <f>VLOOKUP(Rekorde[[#This Row],[Name]],Teamzuordnung[[Name]:[Team]],2,FALSE)</f>
        <v>D</v>
      </c>
      <c r="E42" s="51">
        <f>IF(COUNTIF(Eingabe[Name],Rekorde[[#This Row],[Name]])&gt;0,_xlfn.MAXIFS(Eingabe[GES],Eingabe[Name],Rekorde[[#This Row],[Name]]),"")</f>
        <v>511</v>
      </c>
      <c r="F42" s="51">
        <f>IF(COUNTIF(Eingabe[Name],Rekorde[[#This Row],[Name]])&gt;0,_xlfn.MAXIFS(Eingabe[Volle],Eingabe[Name],Rekorde[[#This Row],[Name]]),"")</f>
        <v>325</v>
      </c>
      <c r="G42" s="51">
        <f>IF(COUNTIF(Eingabe[Name],Rekorde[[#This Row],[Name]])&gt;0,_xlfn.MAXIFS(Eingabe[Räumer],Eingabe[Name],Rekorde[[#This Row],[Name]]),"")</f>
        <v>186</v>
      </c>
      <c r="H42" s="51">
        <f>IF(COUNTIF(Eingabe[Name],Rekorde[[#This Row],[Name]])&gt;0,_xlfn.MAXIFS(Eingabe[S1],Eingabe[Name],Rekorde[[#This Row],[Name]]),"")</f>
        <v>137</v>
      </c>
      <c r="I42" s="51">
        <f>IF(COUNTIF(Eingabe[Name],Rekorde[[#This Row],[Name]])&gt;0,_xlfn.MAXIFS(Eingabe[S2],Eingabe[Name],Rekorde[[#This Row],[Name]]),"")</f>
        <v>134</v>
      </c>
      <c r="J42" s="51">
        <f>IF(COUNTIF(Eingabe[Name],Rekorde[[#This Row],[Name]])&gt;0,_xlfn.MAXIFS(Eingabe[S3],Eingabe[Name],Rekorde[[#This Row],[Name]]),"")</f>
        <v>129</v>
      </c>
      <c r="K42" s="51">
        <f>IF(COUNTIF(Eingabe[Name],Rekorde[[#This Row],[Name]])&gt;0,_xlfn.MAXIFS(Eingabe[S4],Eingabe[Name],Rekorde[[#This Row],[Name]]),"")</f>
        <v>111</v>
      </c>
      <c r="L42" s="51">
        <f>IF(MAX(Rekorde[[#This Row],[S1]:[S4]])=0,"",MAX(Rekorde[[#This Row],[S1]:[S4]]))</f>
        <v>137</v>
      </c>
      <c r="M42" s="52">
        <f>IF(COUNTIF(Eingabe[Name],Rekorde[[#This Row],[Name]])&gt;0,_xlfn.MINIFS(Eingabe[Fehler],Eingabe[Name],Rekorde[[#This Row],[Name]]),"")</f>
        <v>4</v>
      </c>
      <c r="N42" s="51">
        <f>IF(COUNTIF(Eingabe[Name],Rekorde[[#This Row],[Name]])&gt;0,_xlfn.MAXIFS(Eingabe[GEGGES],Eingabe[Name],Rekorde[[#This Row],[Name]]),"")</f>
        <v>481</v>
      </c>
      <c r="O42" s="51">
        <f>IF(COUNTIFS(Eingabe[Name],Rekorde[[#This Row],[Name]],Eingabe[Wo],"H")&gt;0,_xlfn.MAXIFS(Eingabe[GES],Eingabe[Name],Rekorde[[#This Row],[Name]],Eingabe[Wo],"H"),"")</f>
        <v>472</v>
      </c>
      <c r="P42" s="51">
        <f>IF(COUNTIFS(Eingabe[Name],Rekorde[[#This Row],[Name]],Eingabe[Wo],"H")&gt;0,_xlfn.MAXIFS(Eingabe[Volle],Eingabe[Name],Rekorde[[#This Row],[Name]],Eingabe[Wo],"H"),"")</f>
        <v>324</v>
      </c>
      <c r="Q42" s="51">
        <f>IF(COUNTIFS(Eingabe[Name],Rekorde[[#This Row],[Name]],Eingabe[Wo],"H")&gt;0,_xlfn.MAXIFS(Eingabe[Räumer],Eingabe[Name],Rekorde[[#This Row],[Name]],Eingabe[Wo],"H"),"")</f>
        <v>148</v>
      </c>
      <c r="R42" s="51">
        <f>IF(COUNTIFS(Eingabe[Name],Rekorde[[#This Row],[Name]],Eingabe[Wo],"H")&gt;0,_xlfn.MAXIFS(Eingabe[S1],Eingabe[Name],Rekorde[[#This Row],[Name]],Eingabe[Wo],"H"),"")</f>
        <v>121</v>
      </c>
      <c r="S42" s="51">
        <f>IF(COUNTIFS(Eingabe[Name],Rekorde[[#This Row],[Name]],Eingabe[Wo],"H")&gt;0,_xlfn.MAXIFS(Eingabe[S2],Eingabe[Name],Rekorde[[#This Row],[Name]],Eingabe[Wo],"H"),"")</f>
        <v>122</v>
      </c>
      <c r="T42" s="51">
        <f>IF(COUNTIFS(Eingabe[Name],Rekorde[[#This Row],[Name]],Eingabe[Wo],"H")&gt;0,_xlfn.MAXIFS(Eingabe[S3],Eingabe[Name],Rekorde[[#This Row],[Name]],Eingabe[Wo],"H"),"")</f>
        <v>118</v>
      </c>
      <c r="U42" s="51">
        <f>IF(COUNTIFS(Eingabe[Name],Rekorde[[#This Row],[Name]],Eingabe[Wo],"H")&gt;0,_xlfn.MAXIFS(Eingabe[S4],Eingabe[Name],Rekorde[[#This Row],[Name]],Eingabe[Wo],"H"),"")</f>
        <v>111</v>
      </c>
      <c r="V42" s="51">
        <f>IF(Rekorde[[#This Row],[S1 H]]="","",MAX(Rekorde[[#This Row],[S1 H]:[S4 H]]))</f>
        <v>122</v>
      </c>
      <c r="W42" s="52">
        <f>IF(COUNTIFS(Eingabe[Name],Rekorde[[#This Row],[Name]],Eingabe[Wo],"H")&gt;0,_xlfn.MINIFS(Eingabe[Fehler],Eingabe[Name],Rekorde[[#This Row],[Name]],Eingabe[Wo],"H"),"")</f>
        <v>10</v>
      </c>
      <c r="X42" s="51">
        <f>IF(COUNTIFS(Eingabe[Name],Rekorde[[#This Row],[Name]],Eingabe[Wo],"H")&gt;0,_xlfn.MAXIFS(Eingabe[GEGGES],Eingabe[Name],Rekorde[[#This Row],[Name]],Eingabe[Wo],"H"),"")</f>
        <v>465</v>
      </c>
      <c r="Y42" s="51">
        <f>IF(COUNTIFS(Eingabe[Name],Rekorde[[#This Row],[Name]],Eingabe[Wo],"A")&gt;0,_xlfn.MAXIFS(Eingabe[GES],Eingabe[Name],Rekorde[[#This Row],[Name]],Eingabe[Wo],"A"),"")</f>
        <v>511</v>
      </c>
      <c r="Z42" s="51">
        <f>IF(COUNTIFS(Eingabe[Name],Rekorde[[#This Row],[Name]],Eingabe[Wo],"A")&gt;0,_xlfn.MAXIFS(Eingabe[Volle],Eingabe[Name],Rekorde[[#This Row],[Name]],Eingabe[Wo],"A"),"")</f>
        <v>325</v>
      </c>
      <c r="AA42" s="51">
        <f>IF(COUNTIFS(Eingabe[Name],Rekorde[[#This Row],[Name]],Eingabe[Wo],"A")&gt;0,_xlfn.MAXIFS(Eingabe[Räumer],Eingabe[Name],Rekorde[[#This Row],[Name]],Eingabe[Wo],"A"),"")</f>
        <v>186</v>
      </c>
      <c r="AB42" s="51">
        <f>IF(COUNTIFS(Eingabe[Name],Rekorde[[#This Row],[Name]],Eingabe[Wo],"A")&gt;0,_xlfn.MAXIFS(Eingabe[S1],Eingabe[Name],Rekorde[[#This Row],[Name]],Eingabe[Wo],"A"),"")</f>
        <v>137</v>
      </c>
      <c r="AC42" s="51">
        <f>IF(COUNTIFS(Eingabe[Name],Rekorde[[#This Row],[Name]],Eingabe[Wo],"A")&gt;0,_xlfn.MAXIFS(Eingabe[S2],Eingabe[Name],Rekorde[[#This Row],[Name]],Eingabe[Wo],"A"),"")</f>
        <v>134</v>
      </c>
      <c r="AD42" s="51">
        <f>IF(COUNTIFS(Eingabe[Name],Rekorde[[#This Row],[Name]],Eingabe[Wo],"A")&gt;0,_xlfn.MAXIFS(Eingabe[S3],Eingabe[Name],Rekorde[[#This Row],[Name]],Eingabe[Wo],"A"),"")</f>
        <v>129</v>
      </c>
      <c r="AE42" s="51">
        <f>IF(COUNTIFS(Eingabe[Name],Rekorde[[#This Row],[Name]],Eingabe[Wo],"A")&gt;0,_xlfn.MAXIFS(Eingabe[S4],Eingabe[Name],Rekorde[[#This Row],[Name]],Eingabe[Wo],"A"),"")</f>
        <v>111</v>
      </c>
      <c r="AF42" s="51">
        <f>IF(Rekorde[[#This Row],[S1 A]]="","",MAX(Rekorde[[#This Row],[S1 A]:[S4 A]]))</f>
        <v>137</v>
      </c>
      <c r="AG42" s="52">
        <f>IF(COUNTIFS(Eingabe[Name],Rekorde[[#This Row],[Name]],Eingabe[Wo],"A")&gt;0,_xlfn.MINIFS(Eingabe[Fehler],Eingabe[Name],Rekorde[[#This Row],[Name]],Eingabe[Wo],"A"),"")</f>
        <v>4</v>
      </c>
      <c r="AH42" s="51">
        <f>IF(COUNTIFS(Eingabe[Name],Rekorde[[#This Row],[Name]],Eingabe[Wo],"A")&gt;0,_xlfn.MAXIFS(Eingabe[GEGGES],Eingabe[Name],Rekorde[[#This Row],[Name]],Eingabe[Wo],"A"),"")</f>
        <v>481</v>
      </c>
    </row>
    <row r="43" spans="3:34" x14ac:dyDescent="0.3">
      <c r="C43" s="53" t="s">
        <v>488</v>
      </c>
      <c r="D43" s="12" t="str">
        <f>VLOOKUP(Rekorde[[#This Row],[Name]],Teamzuordnung[[Name]:[Team]],2,FALSE)</f>
        <v>D</v>
      </c>
      <c r="E43" s="51">
        <f>IF(COUNTIF(Eingabe[Name],Rekorde[[#This Row],[Name]])&gt;0,_xlfn.MAXIFS(Eingabe[GES],Eingabe[Name],Rekorde[[#This Row],[Name]]),"")</f>
        <v>513</v>
      </c>
      <c r="F43" s="51">
        <f>IF(COUNTIF(Eingabe[Name],Rekorde[[#This Row],[Name]])&gt;0,_xlfn.MAXIFS(Eingabe[Volle],Eingabe[Name],Rekorde[[#This Row],[Name]]),"")</f>
        <v>365</v>
      </c>
      <c r="G43" s="51">
        <f>IF(COUNTIF(Eingabe[Name],Rekorde[[#This Row],[Name]])&gt;0,_xlfn.MAXIFS(Eingabe[Räumer],Eingabe[Name],Rekorde[[#This Row],[Name]]),"")</f>
        <v>148</v>
      </c>
      <c r="H43" s="51">
        <f>IF(COUNTIF(Eingabe[Name],Rekorde[[#This Row],[Name]])&gt;0,_xlfn.MAXIFS(Eingabe[S1],Eingabe[Name],Rekorde[[#This Row],[Name]]),"")</f>
        <v>125</v>
      </c>
      <c r="I43" s="51">
        <f>IF(COUNTIF(Eingabe[Name],Rekorde[[#This Row],[Name]])&gt;0,_xlfn.MAXIFS(Eingabe[S2],Eingabe[Name],Rekorde[[#This Row],[Name]]),"")</f>
        <v>132</v>
      </c>
      <c r="J43" s="51">
        <f>IF(COUNTIF(Eingabe[Name],Rekorde[[#This Row],[Name]])&gt;0,_xlfn.MAXIFS(Eingabe[S3],Eingabe[Name],Rekorde[[#This Row],[Name]]),"")</f>
        <v>134</v>
      </c>
      <c r="K43" s="51">
        <f>IF(COUNTIF(Eingabe[Name],Rekorde[[#This Row],[Name]])&gt;0,_xlfn.MAXIFS(Eingabe[S4],Eingabe[Name],Rekorde[[#This Row],[Name]]),"")</f>
        <v>125</v>
      </c>
      <c r="L43" s="51">
        <f>IF(MAX(Rekorde[[#This Row],[S1]:[S4]])=0,"",MAX(Rekorde[[#This Row],[S1]:[S4]]))</f>
        <v>134</v>
      </c>
      <c r="M43" s="52">
        <f>IF(COUNTIF(Eingabe[Name],Rekorde[[#This Row],[Name]])&gt;0,_xlfn.MINIFS(Eingabe[Fehler],Eingabe[Name],Rekorde[[#This Row],[Name]]),"")</f>
        <v>7</v>
      </c>
      <c r="N43" s="51">
        <f>IF(COUNTIF(Eingabe[Name],Rekorde[[#This Row],[Name]])&gt;0,_xlfn.MAXIFS(Eingabe[GEGGES],Eingabe[Name],Rekorde[[#This Row],[Name]]),"")</f>
        <v>538</v>
      </c>
      <c r="O43" s="51" t="str">
        <f>IF(COUNTIFS(Eingabe[Name],Rekorde[[#This Row],[Name]],Eingabe[Wo],"H")&gt;0,_xlfn.MAXIFS(Eingabe[GES],Eingabe[Name],Rekorde[[#This Row],[Name]],Eingabe[Wo],"H"),"")</f>
        <v/>
      </c>
      <c r="P43" s="51" t="str">
        <f>IF(COUNTIFS(Eingabe[Name],Rekorde[[#This Row],[Name]],Eingabe[Wo],"H")&gt;0,_xlfn.MAXIFS(Eingabe[Volle],Eingabe[Name],Rekorde[[#This Row],[Name]],Eingabe[Wo],"H"),"")</f>
        <v/>
      </c>
      <c r="Q43" s="51" t="str">
        <f>IF(COUNTIFS(Eingabe[Name],Rekorde[[#This Row],[Name]],Eingabe[Wo],"H")&gt;0,_xlfn.MAXIFS(Eingabe[Räumer],Eingabe[Name],Rekorde[[#This Row],[Name]],Eingabe[Wo],"H"),"")</f>
        <v/>
      </c>
      <c r="R43" s="51" t="str">
        <f>IF(COUNTIFS(Eingabe[Name],Rekorde[[#This Row],[Name]],Eingabe[Wo],"H")&gt;0,_xlfn.MAXIFS(Eingabe[S1],Eingabe[Name],Rekorde[[#This Row],[Name]],Eingabe[Wo],"H"),"")</f>
        <v/>
      </c>
      <c r="S43" s="51" t="str">
        <f>IF(COUNTIFS(Eingabe[Name],Rekorde[[#This Row],[Name]],Eingabe[Wo],"H")&gt;0,_xlfn.MAXIFS(Eingabe[S2],Eingabe[Name],Rekorde[[#This Row],[Name]],Eingabe[Wo],"H"),"")</f>
        <v/>
      </c>
      <c r="T43" s="51" t="str">
        <f>IF(COUNTIFS(Eingabe[Name],Rekorde[[#This Row],[Name]],Eingabe[Wo],"H")&gt;0,_xlfn.MAXIFS(Eingabe[S3],Eingabe[Name],Rekorde[[#This Row],[Name]],Eingabe[Wo],"H"),"")</f>
        <v/>
      </c>
      <c r="U43" s="51" t="str">
        <f>IF(COUNTIFS(Eingabe[Name],Rekorde[[#This Row],[Name]],Eingabe[Wo],"H")&gt;0,_xlfn.MAXIFS(Eingabe[S4],Eingabe[Name],Rekorde[[#This Row],[Name]],Eingabe[Wo],"H"),"")</f>
        <v/>
      </c>
      <c r="V43" s="51" t="str">
        <f>IF(Rekorde[[#This Row],[S1 H]]="","",MAX(Rekorde[[#This Row],[S1 H]:[S4 H]]))</f>
        <v/>
      </c>
      <c r="W43" s="52" t="str">
        <f>IF(COUNTIFS(Eingabe[Name],Rekorde[[#This Row],[Name]],Eingabe[Wo],"H")&gt;0,_xlfn.MINIFS(Eingabe[Fehler],Eingabe[Name],Rekorde[[#This Row],[Name]],Eingabe[Wo],"H"),"")</f>
        <v/>
      </c>
      <c r="X43" s="51" t="str">
        <f>IF(COUNTIFS(Eingabe[Name],Rekorde[[#This Row],[Name]],Eingabe[Wo],"H")&gt;0,_xlfn.MAXIFS(Eingabe[GEGGES],Eingabe[Name],Rekorde[[#This Row],[Name]],Eingabe[Wo],"H"),"")</f>
        <v/>
      </c>
      <c r="Y43" s="51">
        <f>IF(COUNTIFS(Eingabe[Name],Rekorde[[#This Row],[Name]],Eingabe[Wo],"A")&gt;0,_xlfn.MAXIFS(Eingabe[GES],Eingabe[Name],Rekorde[[#This Row],[Name]],Eingabe[Wo],"A"),"")</f>
        <v>513</v>
      </c>
      <c r="Z43" s="51">
        <f>IF(COUNTIFS(Eingabe[Name],Rekorde[[#This Row],[Name]],Eingabe[Wo],"A")&gt;0,_xlfn.MAXIFS(Eingabe[Volle],Eingabe[Name],Rekorde[[#This Row],[Name]],Eingabe[Wo],"A"),"")</f>
        <v>365</v>
      </c>
      <c r="AA43" s="51">
        <f>IF(COUNTIFS(Eingabe[Name],Rekorde[[#This Row],[Name]],Eingabe[Wo],"A")&gt;0,_xlfn.MAXIFS(Eingabe[Räumer],Eingabe[Name],Rekorde[[#This Row],[Name]],Eingabe[Wo],"A"),"")</f>
        <v>148</v>
      </c>
      <c r="AB43" s="51">
        <f>IF(COUNTIFS(Eingabe[Name],Rekorde[[#This Row],[Name]],Eingabe[Wo],"A")&gt;0,_xlfn.MAXIFS(Eingabe[S1],Eingabe[Name],Rekorde[[#This Row],[Name]],Eingabe[Wo],"A"),"")</f>
        <v>125</v>
      </c>
      <c r="AC43" s="51">
        <f>IF(COUNTIFS(Eingabe[Name],Rekorde[[#This Row],[Name]],Eingabe[Wo],"A")&gt;0,_xlfn.MAXIFS(Eingabe[S2],Eingabe[Name],Rekorde[[#This Row],[Name]],Eingabe[Wo],"A"),"")</f>
        <v>132</v>
      </c>
      <c r="AD43" s="51">
        <f>IF(COUNTIFS(Eingabe[Name],Rekorde[[#This Row],[Name]],Eingabe[Wo],"A")&gt;0,_xlfn.MAXIFS(Eingabe[S3],Eingabe[Name],Rekorde[[#This Row],[Name]],Eingabe[Wo],"A"),"")</f>
        <v>134</v>
      </c>
      <c r="AE43" s="51">
        <f>IF(COUNTIFS(Eingabe[Name],Rekorde[[#This Row],[Name]],Eingabe[Wo],"A")&gt;0,_xlfn.MAXIFS(Eingabe[S4],Eingabe[Name],Rekorde[[#This Row],[Name]],Eingabe[Wo],"A"),"")</f>
        <v>125</v>
      </c>
      <c r="AF43" s="51">
        <f>IF(Rekorde[[#This Row],[S1 A]]="","",MAX(Rekorde[[#This Row],[S1 A]:[S4 A]]))</f>
        <v>134</v>
      </c>
      <c r="AG43" s="52">
        <f>IF(COUNTIFS(Eingabe[Name],Rekorde[[#This Row],[Name]],Eingabe[Wo],"A")&gt;0,_xlfn.MINIFS(Eingabe[Fehler],Eingabe[Name],Rekorde[[#This Row],[Name]],Eingabe[Wo],"A"),"")</f>
        <v>7</v>
      </c>
      <c r="AH43" s="51">
        <f>IF(COUNTIFS(Eingabe[Name],Rekorde[[#This Row],[Name]],Eingabe[Wo],"A")&gt;0,_xlfn.MAXIFS(Eingabe[GEGGES],Eingabe[Name],Rekorde[[#This Row],[Name]],Eingabe[Wo],"A"),"")</f>
        <v>538</v>
      </c>
    </row>
    <row r="44" spans="3:34" x14ac:dyDescent="0.3">
      <c r="C44" s="53" t="s">
        <v>476</v>
      </c>
      <c r="D44" s="12" t="str">
        <f>VLOOKUP(Rekorde[[#This Row],[Name]],Teamzuordnung[[Name]:[Team]],2,FALSE)</f>
        <v>U14</v>
      </c>
      <c r="E44" s="51">
        <f>IF(COUNTIF(Eingabe[Name],Rekorde[[#This Row],[Name]])&gt;0,_xlfn.MAXIFS(Eingabe[GES],Eingabe[Name],Rekorde[[#This Row],[Name]]),"")</f>
        <v>471</v>
      </c>
      <c r="F44" s="51">
        <f>IF(COUNTIF(Eingabe[Name],Rekorde[[#This Row],[Name]])&gt;0,_xlfn.MAXIFS(Eingabe[Volle],Eingabe[Name],Rekorde[[#This Row],[Name]]),"")</f>
        <v>334</v>
      </c>
      <c r="G44" s="51">
        <f>IF(COUNTIF(Eingabe[Name],Rekorde[[#This Row],[Name]])&gt;0,_xlfn.MAXIFS(Eingabe[Räumer],Eingabe[Name],Rekorde[[#This Row],[Name]]),"")</f>
        <v>137</v>
      </c>
      <c r="H44" s="51">
        <f>IF(COUNTIF(Eingabe[Name],Rekorde[[#This Row],[Name]])&gt;0,_xlfn.MAXIFS(Eingabe[S1],Eingabe[Name],Rekorde[[#This Row],[Name]]),"")</f>
        <v>130</v>
      </c>
      <c r="I44" s="51">
        <f>IF(COUNTIF(Eingabe[Name],Rekorde[[#This Row],[Name]])&gt;0,_xlfn.MAXIFS(Eingabe[S2],Eingabe[Name],Rekorde[[#This Row],[Name]]),"")</f>
        <v>134</v>
      </c>
      <c r="J44" s="51">
        <f>IF(COUNTIF(Eingabe[Name],Rekorde[[#This Row],[Name]])&gt;0,_xlfn.MAXIFS(Eingabe[S3],Eingabe[Name],Rekorde[[#This Row],[Name]]),"")</f>
        <v>112</v>
      </c>
      <c r="K44" s="51">
        <f>IF(COUNTIF(Eingabe[Name],Rekorde[[#This Row],[Name]])&gt;0,_xlfn.MAXIFS(Eingabe[S4],Eingabe[Name],Rekorde[[#This Row],[Name]]),"")</f>
        <v>111</v>
      </c>
      <c r="L44" s="51">
        <f>IF(MAX(Rekorde[[#This Row],[S1]:[S4]])=0,"",MAX(Rekorde[[#This Row],[S1]:[S4]]))</f>
        <v>134</v>
      </c>
      <c r="M44" s="52">
        <f>IF(COUNTIF(Eingabe[Name],Rekorde[[#This Row],[Name]])&gt;0,_xlfn.MINIFS(Eingabe[Fehler],Eingabe[Name],Rekorde[[#This Row],[Name]]),"")</f>
        <v>15</v>
      </c>
      <c r="N44" s="51">
        <f>IF(COUNTIF(Eingabe[Name],Rekorde[[#This Row],[Name]])&gt;0,_xlfn.MAXIFS(Eingabe[GEGGES],Eingabe[Name],Rekorde[[#This Row],[Name]]),"")</f>
        <v>0</v>
      </c>
      <c r="O44" s="51">
        <f>IF(COUNTIFS(Eingabe[Name],Rekorde[[#This Row],[Name]],Eingabe[Wo],"H")&gt;0,_xlfn.MAXIFS(Eingabe[GES],Eingabe[Name],Rekorde[[#This Row],[Name]],Eingabe[Wo],"H"),"")</f>
        <v>429</v>
      </c>
      <c r="P44" s="51">
        <f>IF(COUNTIFS(Eingabe[Name],Rekorde[[#This Row],[Name]],Eingabe[Wo],"H")&gt;0,_xlfn.MAXIFS(Eingabe[Volle],Eingabe[Name],Rekorde[[#This Row],[Name]],Eingabe[Wo],"H"),"")</f>
        <v>301</v>
      </c>
      <c r="Q44" s="51">
        <f>IF(COUNTIFS(Eingabe[Name],Rekorde[[#This Row],[Name]],Eingabe[Wo],"H")&gt;0,_xlfn.MAXIFS(Eingabe[Räumer],Eingabe[Name],Rekorde[[#This Row],[Name]],Eingabe[Wo],"H"),"")</f>
        <v>128</v>
      </c>
      <c r="R44" s="51">
        <f>IF(COUNTIFS(Eingabe[Name],Rekorde[[#This Row],[Name]],Eingabe[Wo],"H")&gt;0,_xlfn.MAXIFS(Eingabe[S1],Eingabe[Name],Rekorde[[#This Row],[Name]],Eingabe[Wo],"H"),"")</f>
        <v>109</v>
      </c>
      <c r="S44" s="51">
        <f>IF(COUNTIFS(Eingabe[Name],Rekorde[[#This Row],[Name]],Eingabe[Wo],"H")&gt;0,_xlfn.MAXIFS(Eingabe[S2],Eingabe[Name],Rekorde[[#This Row],[Name]],Eingabe[Wo],"H"),"")</f>
        <v>108</v>
      </c>
      <c r="T44" s="51">
        <f>IF(COUNTIFS(Eingabe[Name],Rekorde[[#This Row],[Name]],Eingabe[Wo],"H")&gt;0,_xlfn.MAXIFS(Eingabe[S3],Eingabe[Name],Rekorde[[#This Row],[Name]],Eingabe[Wo],"H"),"")</f>
        <v>112</v>
      </c>
      <c r="U44" s="51">
        <f>IF(COUNTIFS(Eingabe[Name],Rekorde[[#This Row],[Name]],Eingabe[Wo],"H")&gt;0,_xlfn.MAXIFS(Eingabe[S4],Eingabe[Name],Rekorde[[#This Row],[Name]],Eingabe[Wo],"H"),"")</f>
        <v>111</v>
      </c>
      <c r="V44" s="51">
        <f>IF(Rekorde[[#This Row],[S1 H]]="","",MAX(Rekorde[[#This Row],[S1 H]:[S4 H]]))</f>
        <v>112</v>
      </c>
      <c r="W44" s="52">
        <f>IF(COUNTIFS(Eingabe[Name],Rekorde[[#This Row],[Name]],Eingabe[Wo],"H")&gt;0,_xlfn.MINIFS(Eingabe[Fehler],Eingabe[Name],Rekorde[[#This Row],[Name]],Eingabe[Wo],"H"),"")</f>
        <v>15</v>
      </c>
      <c r="X44" s="51">
        <f>IF(COUNTIFS(Eingabe[Name],Rekorde[[#This Row],[Name]],Eingabe[Wo],"H")&gt;0,_xlfn.MAXIFS(Eingabe[GEGGES],Eingabe[Name],Rekorde[[#This Row],[Name]],Eingabe[Wo],"H"),"")</f>
        <v>0</v>
      </c>
      <c r="Y44" s="51">
        <f>IF(COUNTIFS(Eingabe[Name],Rekorde[[#This Row],[Name]],Eingabe[Wo],"A")&gt;0,_xlfn.MAXIFS(Eingabe[GES],Eingabe[Name],Rekorde[[#This Row],[Name]],Eingabe[Wo],"A"),"")</f>
        <v>471</v>
      </c>
      <c r="Z44" s="51">
        <f>IF(COUNTIFS(Eingabe[Name],Rekorde[[#This Row],[Name]],Eingabe[Wo],"A")&gt;0,_xlfn.MAXIFS(Eingabe[Volle],Eingabe[Name],Rekorde[[#This Row],[Name]],Eingabe[Wo],"A"),"")</f>
        <v>334</v>
      </c>
      <c r="AA44" s="51">
        <f>IF(COUNTIFS(Eingabe[Name],Rekorde[[#This Row],[Name]],Eingabe[Wo],"A")&gt;0,_xlfn.MAXIFS(Eingabe[Räumer],Eingabe[Name],Rekorde[[#This Row],[Name]],Eingabe[Wo],"A"),"")</f>
        <v>137</v>
      </c>
      <c r="AB44" s="51">
        <f>IF(COUNTIFS(Eingabe[Name],Rekorde[[#This Row],[Name]],Eingabe[Wo],"A")&gt;0,_xlfn.MAXIFS(Eingabe[S1],Eingabe[Name],Rekorde[[#This Row],[Name]],Eingabe[Wo],"A"),"")</f>
        <v>130</v>
      </c>
      <c r="AC44" s="51">
        <f>IF(COUNTIFS(Eingabe[Name],Rekorde[[#This Row],[Name]],Eingabe[Wo],"A")&gt;0,_xlfn.MAXIFS(Eingabe[S2],Eingabe[Name],Rekorde[[#This Row],[Name]],Eingabe[Wo],"A"),"")</f>
        <v>134</v>
      </c>
      <c r="AD44" s="51">
        <f>IF(COUNTIFS(Eingabe[Name],Rekorde[[#This Row],[Name]],Eingabe[Wo],"A")&gt;0,_xlfn.MAXIFS(Eingabe[S3],Eingabe[Name],Rekorde[[#This Row],[Name]],Eingabe[Wo],"A"),"")</f>
        <v>108</v>
      </c>
      <c r="AE44" s="51">
        <f>IF(COUNTIFS(Eingabe[Name],Rekorde[[#This Row],[Name]],Eingabe[Wo],"A")&gt;0,_xlfn.MAXIFS(Eingabe[S4],Eingabe[Name],Rekorde[[#This Row],[Name]],Eingabe[Wo],"A"),"")</f>
        <v>110</v>
      </c>
      <c r="AF44" s="51">
        <f>IF(Rekorde[[#This Row],[S1 A]]="","",MAX(Rekorde[[#This Row],[S1 A]:[S4 A]]))</f>
        <v>134</v>
      </c>
      <c r="AG44" s="52">
        <f>IF(COUNTIFS(Eingabe[Name],Rekorde[[#This Row],[Name]],Eingabe[Wo],"A")&gt;0,_xlfn.MINIFS(Eingabe[Fehler],Eingabe[Name],Rekorde[[#This Row],[Name]],Eingabe[Wo],"A"),"")</f>
        <v>15</v>
      </c>
      <c r="AH44" s="51">
        <f>IF(COUNTIFS(Eingabe[Name],Rekorde[[#This Row],[Name]],Eingabe[Wo],"A")&gt;0,_xlfn.MAXIFS(Eingabe[GEGGES],Eingabe[Name],Rekorde[[#This Row],[Name]],Eingabe[Wo],"A"),"")</f>
        <v>0</v>
      </c>
    </row>
    <row r="45" spans="3:34" x14ac:dyDescent="0.3">
      <c r="C45" s="53" t="s">
        <v>470</v>
      </c>
      <c r="D45" s="12" t="str">
        <f>VLOOKUP(Rekorde[[#This Row],[Name]],Teamzuordnung[[Name]:[Team]],2,FALSE)</f>
        <v>D</v>
      </c>
      <c r="E45" s="51">
        <f>IF(COUNTIF(Eingabe[Name],Rekorde[[#This Row],[Name]])&gt;0,_xlfn.MAXIFS(Eingabe[GES],Eingabe[Name],Rekorde[[#This Row],[Name]]),"")</f>
        <v>491</v>
      </c>
      <c r="F45" s="51">
        <f>IF(COUNTIF(Eingabe[Name],Rekorde[[#This Row],[Name]])&gt;0,_xlfn.MAXIFS(Eingabe[Volle],Eingabe[Name],Rekorde[[#This Row],[Name]]),"")</f>
        <v>344</v>
      </c>
      <c r="G45" s="51">
        <f>IF(COUNTIF(Eingabe[Name],Rekorde[[#This Row],[Name]])&gt;0,_xlfn.MAXIFS(Eingabe[Räumer],Eingabe[Name],Rekorde[[#This Row],[Name]]),"")</f>
        <v>147</v>
      </c>
      <c r="H45" s="51">
        <f>IF(COUNTIF(Eingabe[Name],Rekorde[[#This Row],[Name]])&gt;0,_xlfn.MAXIFS(Eingabe[S1],Eingabe[Name],Rekorde[[#This Row],[Name]]),"")</f>
        <v>123</v>
      </c>
      <c r="I45" s="51">
        <f>IF(COUNTIF(Eingabe[Name],Rekorde[[#This Row],[Name]])&gt;0,_xlfn.MAXIFS(Eingabe[S2],Eingabe[Name],Rekorde[[#This Row],[Name]]),"")</f>
        <v>129</v>
      </c>
      <c r="J45" s="51">
        <f>IF(COUNTIF(Eingabe[Name],Rekorde[[#This Row],[Name]])&gt;0,_xlfn.MAXIFS(Eingabe[S3],Eingabe[Name],Rekorde[[#This Row],[Name]]),"")</f>
        <v>120</v>
      </c>
      <c r="K45" s="51">
        <f>IF(COUNTIF(Eingabe[Name],Rekorde[[#This Row],[Name]])&gt;0,_xlfn.MAXIFS(Eingabe[S4],Eingabe[Name],Rekorde[[#This Row],[Name]]),"")</f>
        <v>133</v>
      </c>
      <c r="L45" s="51">
        <f>IF(MAX(Rekorde[[#This Row],[S1]:[S4]])=0,"",MAX(Rekorde[[#This Row],[S1]:[S4]]))</f>
        <v>133</v>
      </c>
      <c r="M45" s="52">
        <f>IF(COUNTIF(Eingabe[Name],Rekorde[[#This Row],[Name]])&gt;0,_xlfn.MINIFS(Eingabe[Fehler],Eingabe[Name],Rekorde[[#This Row],[Name]]),"")</f>
        <v>11</v>
      </c>
      <c r="N45" s="51">
        <f>IF(COUNTIF(Eingabe[Name],Rekorde[[#This Row],[Name]])&gt;0,_xlfn.MAXIFS(Eingabe[GEGGES],Eingabe[Name],Rekorde[[#This Row],[Name]]),"")</f>
        <v>545</v>
      </c>
      <c r="O45" s="51">
        <f>IF(COUNTIFS(Eingabe[Name],Rekorde[[#This Row],[Name]],Eingabe[Wo],"H")&gt;0,_xlfn.MAXIFS(Eingabe[GES],Eingabe[Name],Rekorde[[#This Row],[Name]],Eingabe[Wo],"H"),"")</f>
        <v>454</v>
      </c>
      <c r="P45" s="51">
        <f>IF(COUNTIFS(Eingabe[Name],Rekorde[[#This Row],[Name]],Eingabe[Wo],"H")&gt;0,_xlfn.MAXIFS(Eingabe[Volle],Eingabe[Name],Rekorde[[#This Row],[Name]],Eingabe[Wo],"H"),"")</f>
        <v>320</v>
      </c>
      <c r="Q45" s="51">
        <f>IF(COUNTIFS(Eingabe[Name],Rekorde[[#This Row],[Name]],Eingabe[Wo],"H")&gt;0,_xlfn.MAXIFS(Eingabe[Räumer],Eingabe[Name],Rekorde[[#This Row],[Name]],Eingabe[Wo],"H"),"")</f>
        <v>134</v>
      </c>
      <c r="R45" s="51">
        <f>IF(COUNTIFS(Eingabe[Name],Rekorde[[#This Row],[Name]],Eingabe[Wo],"H")&gt;0,_xlfn.MAXIFS(Eingabe[S1],Eingabe[Name],Rekorde[[#This Row],[Name]],Eingabe[Wo],"H"),"")</f>
        <v>123</v>
      </c>
      <c r="S45" s="51">
        <f>IF(COUNTIFS(Eingabe[Name],Rekorde[[#This Row],[Name]],Eingabe[Wo],"H")&gt;0,_xlfn.MAXIFS(Eingabe[S2],Eingabe[Name],Rekorde[[#This Row],[Name]],Eingabe[Wo],"H"),"")</f>
        <v>118</v>
      </c>
      <c r="T45" s="51">
        <f>IF(COUNTIFS(Eingabe[Name],Rekorde[[#This Row],[Name]],Eingabe[Wo],"H")&gt;0,_xlfn.MAXIFS(Eingabe[S3],Eingabe[Name],Rekorde[[#This Row],[Name]],Eingabe[Wo],"H"),"")</f>
        <v>108</v>
      </c>
      <c r="U45" s="51">
        <f>IF(COUNTIFS(Eingabe[Name],Rekorde[[#This Row],[Name]],Eingabe[Wo],"H")&gt;0,_xlfn.MAXIFS(Eingabe[S4],Eingabe[Name],Rekorde[[#This Row],[Name]],Eingabe[Wo],"H"),"")</f>
        <v>105</v>
      </c>
      <c r="V45" s="51">
        <f>IF(Rekorde[[#This Row],[S1 H]]="","",MAX(Rekorde[[#This Row],[S1 H]:[S4 H]]))</f>
        <v>123</v>
      </c>
      <c r="W45" s="52">
        <f>IF(COUNTIFS(Eingabe[Name],Rekorde[[#This Row],[Name]],Eingabe[Wo],"H")&gt;0,_xlfn.MINIFS(Eingabe[Fehler],Eingabe[Name],Rekorde[[#This Row],[Name]],Eingabe[Wo],"H"),"")</f>
        <v>13</v>
      </c>
      <c r="X45" s="51">
        <f>IF(COUNTIFS(Eingabe[Name],Rekorde[[#This Row],[Name]],Eingabe[Wo],"H")&gt;0,_xlfn.MAXIFS(Eingabe[GEGGES],Eingabe[Name],Rekorde[[#This Row],[Name]],Eingabe[Wo],"H"),"")</f>
        <v>545</v>
      </c>
      <c r="Y45" s="51">
        <f>IF(COUNTIFS(Eingabe[Name],Rekorde[[#This Row],[Name]],Eingabe[Wo],"A")&gt;0,_xlfn.MAXIFS(Eingabe[GES],Eingabe[Name],Rekorde[[#This Row],[Name]],Eingabe[Wo],"A"),"")</f>
        <v>491</v>
      </c>
      <c r="Z45" s="51">
        <f>IF(COUNTIFS(Eingabe[Name],Rekorde[[#This Row],[Name]],Eingabe[Wo],"A")&gt;0,_xlfn.MAXIFS(Eingabe[Volle],Eingabe[Name],Rekorde[[#This Row],[Name]],Eingabe[Wo],"A"),"")</f>
        <v>344</v>
      </c>
      <c r="AA45" s="51">
        <f>IF(COUNTIFS(Eingabe[Name],Rekorde[[#This Row],[Name]],Eingabe[Wo],"A")&gt;0,_xlfn.MAXIFS(Eingabe[Räumer],Eingabe[Name],Rekorde[[#This Row],[Name]],Eingabe[Wo],"A"),"")</f>
        <v>147</v>
      </c>
      <c r="AB45" s="51">
        <f>IF(COUNTIFS(Eingabe[Name],Rekorde[[#This Row],[Name]],Eingabe[Wo],"A")&gt;0,_xlfn.MAXIFS(Eingabe[S1],Eingabe[Name],Rekorde[[#This Row],[Name]],Eingabe[Wo],"A"),"")</f>
        <v>114</v>
      </c>
      <c r="AC45" s="51">
        <f>IF(COUNTIFS(Eingabe[Name],Rekorde[[#This Row],[Name]],Eingabe[Wo],"A")&gt;0,_xlfn.MAXIFS(Eingabe[S2],Eingabe[Name],Rekorde[[#This Row],[Name]],Eingabe[Wo],"A"),"")</f>
        <v>129</v>
      </c>
      <c r="AD45" s="51">
        <f>IF(COUNTIFS(Eingabe[Name],Rekorde[[#This Row],[Name]],Eingabe[Wo],"A")&gt;0,_xlfn.MAXIFS(Eingabe[S3],Eingabe[Name],Rekorde[[#This Row],[Name]],Eingabe[Wo],"A"),"")</f>
        <v>120</v>
      </c>
      <c r="AE45" s="51">
        <f>IF(COUNTIFS(Eingabe[Name],Rekorde[[#This Row],[Name]],Eingabe[Wo],"A")&gt;0,_xlfn.MAXIFS(Eingabe[S4],Eingabe[Name],Rekorde[[#This Row],[Name]],Eingabe[Wo],"A"),"")</f>
        <v>133</v>
      </c>
      <c r="AF45" s="51">
        <f>IF(Rekorde[[#This Row],[S1 A]]="","",MAX(Rekorde[[#This Row],[S1 A]:[S4 A]]))</f>
        <v>133</v>
      </c>
      <c r="AG45" s="52">
        <f>IF(COUNTIFS(Eingabe[Name],Rekorde[[#This Row],[Name]],Eingabe[Wo],"A")&gt;0,_xlfn.MINIFS(Eingabe[Fehler],Eingabe[Name],Rekorde[[#This Row],[Name]],Eingabe[Wo],"A"),"")</f>
        <v>11</v>
      </c>
      <c r="AH45" s="51">
        <f>IF(COUNTIFS(Eingabe[Name],Rekorde[[#This Row],[Name]],Eingabe[Wo],"A")&gt;0,_xlfn.MAXIFS(Eingabe[GEGGES],Eingabe[Name],Rekorde[[#This Row],[Name]],Eingabe[Wo],"A"),"")</f>
        <v>490</v>
      </c>
    </row>
    <row r="46" spans="3:34" x14ac:dyDescent="0.3">
      <c r="C46" s="372" t="s">
        <v>461</v>
      </c>
      <c r="D46" s="373" t="str">
        <f>VLOOKUP(Rekorde[[#This Row],[Name]],Teamzuordnung[[Name]:[Team]],2,FALSE)</f>
        <v>D</v>
      </c>
      <c r="E46" s="33">
        <f>IF(COUNTIF(Eingabe[Name],Rekorde[[#This Row],[Name]])&gt;0,_xlfn.MAXIFS(Eingabe[GES],Eingabe[Name],Rekorde[[#This Row],[Name]]),"")</f>
        <v>494</v>
      </c>
      <c r="F46" s="51">
        <f>IF(COUNTIF(Eingabe[Name],Rekorde[[#This Row],[Name]])&gt;0,_xlfn.MAXIFS(Eingabe[Volle],Eingabe[Name],Rekorde[[#This Row],[Name]]),"")</f>
        <v>341</v>
      </c>
      <c r="G46" s="51">
        <f>IF(COUNTIF(Eingabe[Name],Rekorde[[#This Row],[Name]])&gt;0,_xlfn.MAXIFS(Eingabe[Räumer],Eingabe[Name],Rekorde[[#This Row],[Name]]),"")</f>
        <v>153</v>
      </c>
      <c r="H46" s="51">
        <f>IF(COUNTIF(Eingabe[Name],Rekorde[[#This Row],[Name]])&gt;0,_xlfn.MAXIFS(Eingabe[S1],Eingabe[Name],Rekorde[[#This Row],[Name]]),"")</f>
        <v>123</v>
      </c>
      <c r="I46" s="51">
        <f>IF(COUNTIF(Eingabe[Name],Rekorde[[#This Row],[Name]])&gt;0,_xlfn.MAXIFS(Eingabe[S2],Eingabe[Name],Rekorde[[#This Row],[Name]]),"")</f>
        <v>131</v>
      </c>
      <c r="J46" s="51">
        <f>IF(COUNTIF(Eingabe[Name],Rekorde[[#This Row],[Name]])&gt;0,_xlfn.MAXIFS(Eingabe[S3],Eingabe[Name],Rekorde[[#This Row],[Name]]),"")</f>
        <v>124</v>
      </c>
      <c r="K46" s="51">
        <f>IF(COUNTIF(Eingabe[Name],Rekorde[[#This Row],[Name]])&gt;0,_xlfn.MAXIFS(Eingabe[S4],Eingabe[Name],Rekorde[[#This Row],[Name]]),"")</f>
        <v>116</v>
      </c>
      <c r="L46" s="33">
        <f>IF(MAX(Rekorde[[#This Row],[S1]:[S4]])=0,"",MAX(Rekorde[[#This Row],[S1]:[S4]]))</f>
        <v>131</v>
      </c>
      <c r="M46" s="34">
        <f>IF(COUNTIF(Eingabe[Name],Rekorde[[#This Row],[Name]])&gt;0,_xlfn.MINIFS(Eingabe[Fehler],Eingabe[Name],Rekorde[[#This Row],[Name]]),"")</f>
        <v>10</v>
      </c>
      <c r="N46" s="51">
        <f>IF(COUNTIF(Eingabe[Name],Rekorde[[#This Row],[Name]])&gt;0,_xlfn.MAXIFS(Eingabe[GEGGES],Eingabe[Name],Rekorde[[#This Row],[Name]]),"")</f>
        <v>480</v>
      </c>
      <c r="O46" s="51">
        <f>IF(COUNTIFS(Eingabe[Name],Rekorde[[#This Row],[Name]],Eingabe[Wo],"H")&gt;0,_xlfn.MAXIFS(Eingabe[GES],Eingabe[Name],Rekorde[[#This Row],[Name]],Eingabe[Wo],"H"),"")</f>
        <v>494</v>
      </c>
      <c r="P46" s="51">
        <f>IF(COUNTIFS(Eingabe[Name],Rekorde[[#This Row],[Name]],Eingabe[Wo],"H")&gt;0,_xlfn.MAXIFS(Eingabe[Volle],Eingabe[Name],Rekorde[[#This Row],[Name]],Eingabe[Wo],"H"),"")</f>
        <v>341</v>
      </c>
      <c r="Q46" s="51">
        <f>IF(COUNTIFS(Eingabe[Name],Rekorde[[#This Row],[Name]],Eingabe[Wo],"H")&gt;0,_xlfn.MAXIFS(Eingabe[Räumer],Eingabe[Name],Rekorde[[#This Row],[Name]],Eingabe[Wo],"H"),"")</f>
        <v>153</v>
      </c>
      <c r="R46" s="51">
        <f>IF(COUNTIFS(Eingabe[Name],Rekorde[[#This Row],[Name]],Eingabe[Wo],"H")&gt;0,_xlfn.MAXIFS(Eingabe[S1],Eingabe[Name],Rekorde[[#This Row],[Name]],Eingabe[Wo],"H"),"")</f>
        <v>123</v>
      </c>
      <c r="S46" s="51">
        <f>IF(COUNTIFS(Eingabe[Name],Rekorde[[#This Row],[Name]],Eingabe[Wo],"H")&gt;0,_xlfn.MAXIFS(Eingabe[S2],Eingabe[Name],Rekorde[[#This Row],[Name]],Eingabe[Wo],"H"),"")</f>
        <v>131</v>
      </c>
      <c r="T46" s="51">
        <f>IF(COUNTIFS(Eingabe[Name],Rekorde[[#This Row],[Name]],Eingabe[Wo],"H")&gt;0,_xlfn.MAXIFS(Eingabe[S3],Eingabe[Name],Rekorde[[#This Row],[Name]],Eingabe[Wo],"H"),"")</f>
        <v>124</v>
      </c>
      <c r="U46" s="51">
        <f>IF(COUNTIFS(Eingabe[Name],Rekorde[[#This Row],[Name]],Eingabe[Wo],"H")&gt;0,_xlfn.MAXIFS(Eingabe[S4],Eingabe[Name],Rekorde[[#This Row],[Name]],Eingabe[Wo],"H"),"")</f>
        <v>116</v>
      </c>
      <c r="V46" s="33">
        <f>IF(Rekorde[[#This Row],[S1 H]]="","",MAX(Rekorde[[#This Row],[S1 H]:[S4 H]]))</f>
        <v>131</v>
      </c>
      <c r="W46" s="34">
        <f>IF(COUNTIFS(Eingabe[Name],Rekorde[[#This Row],[Name]],Eingabe[Wo],"H")&gt;0,_xlfn.MINIFS(Eingabe[Fehler],Eingabe[Name],Rekorde[[#This Row],[Name]],Eingabe[Wo],"H"),"")</f>
        <v>10</v>
      </c>
      <c r="X46" s="51">
        <f>IF(COUNTIFS(Eingabe[Name],Rekorde[[#This Row],[Name]],Eingabe[Wo],"H")&gt;0,_xlfn.MAXIFS(Eingabe[GEGGES],Eingabe[Name],Rekorde[[#This Row],[Name]],Eingabe[Wo],"H"),"")</f>
        <v>480</v>
      </c>
      <c r="Y46" s="51" t="str">
        <f>IF(COUNTIFS(Eingabe[Name],Rekorde[[#This Row],[Name]],Eingabe[Wo],"A")&gt;0,_xlfn.MAXIFS(Eingabe[GES],Eingabe[Name],Rekorde[[#This Row],[Name]],Eingabe[Wo],"A"),"")</f>
        <v/>
      </c>
      <c r="Z46" s="51" t="str">
        <f>IF(COUNTIFS(Eingabe[Name],Rekorde[[#This Row],[Name]],Eingabe[Wo],"A")&gt;0,_xlfn.MAXIFS(Eingabe[Volle],Eingabe[Name],Rekorde[[#This Row],[Name]],Eingabe[Wo],"A"),"")</f>
        <v/>
      </c>
      <c r="AA46" s="51" t="str">
        <f>IF(COUNTIFS(Eingabe[Name],Rekorde[[#This Row],[Name]],Eingabe[Wo],"A")&gt;0,_xlfn.MAXIFS(Eingabe[Räumer],Eingabe[Name],Rekorde[[#This Row],[Name]],Eingabe[Wo],"A"),"")</f>
        <v/>
      </c>
      <c r="AB46" s="51" t="str">
        <f>IF(COUNTIFS(Eingabe[Name],Rekorde[[#This Row],[Name]],Eingabe[Wo],"A")&gt;0,_xlfn.MAXIFS(Eingabe[S1],Eingabe[Name],Rekorde[[#This Row],[Name]],Eingabe[Wo],"A"),"")</f>
        <v/>
      </c>
      <c r="AC46" s="51" t="str">
        <f>IF(COUNTIFS(Eingabe[Name],Rekorde[[#This Row],[Name]],Eingabe[Wo],"A")&gt;0,_xlfn.MAXIFS(Eingabe[S2],Eingabe[Name],Rekorde[[#This Row],[Name]],Eingabe[Wo],"A"),"")</f>
        <v/>
      </c>
      <c r="AD46" s="51" t="str">
        <f>IF(COUNTIFS(Eingabe[Name],Rekorde[[#This Row],[Name]],Eingabe[Wo],"A")&gt;0,_xlfn.MAXIFS(Eingabe[S3],Eingabe[Name],Rekorde[[#This Row],[Name]],Eingabe[Wo],"A"),"")</f>
        <v/>
      </c>
      <c r="AE46" s="51" t="str">
        <f>IF(COUNTIFS(Eingabe[Name],Rekorde[[#This Row],[Name]],Eingabe[Wo],"A")&gt;0,_xlfn.MAXIFS(Eingabe[S4],Eingabe[Name],Rekorde[[#This Row],[Name]],Eingabe[Wo],"A"),"")</f>
        <v/>
      </c>
      <c r="AF46" s="33" t="str">
        <f>IF(Rekorde[[#This Row],[S1 A]]="","",MAX(Rekorde[[#This Row],[S1 A]:[S4 A]]))</f>
        <v/>
      </c>
      <c r="AG46" s="34" t="str">
        <f>IF(COUNTIFS(Eingabe[Name],Rekorde[[#This Row],[Name]],Eingabe[Wo],"A")&gt;0,_xlfn.MINIFS(Eingabe[Fehler],Eingabe[Name],Rekorde[[#This Row],[Name]],Eingabe[Wo],"A"),"")</f>
        <v/>
      </c>
      <c r="AH46" s="51" t="str">
        <f>IF(COUNTIFS(Eingabe[Name],Rekorde[[#This Row],[Name]],Eingabe[Wo],"A")&gt;0,_xlfn.MAXIFS(Eingabe[GEGGES],Eingabe[Name],Rekorde[[#This Row],[Name]],Eingabe[Wo],"A"),"")</f>
        <v/>
      </c>
    </row>
    <row r="47" spans="3:34" x14ac:dyDescent="0.3">
      <c r="C47" s="372" t="s">
        <v>494</v>
      </c>
      <c r="D47" s="373" t="str">
        <f>VLOOKUP(Rekorde[[#This Row],[Name]],Teamzuordnung[[Name]:[Team]],2,FALSE)</f>
        <v>F</v>
      </c>
      <c r="E47" s="33">
        <f>IF(COUNTIF(Eingabe[Name],Rekorde[[#This Row],[Name]])&gt;0,_xlfn.MAXIFS(Eingabe[GES],Eingabe[Name],Rekorde[[#This Row],[Name]]),"")</f>
        <v>477</v>
      </c>
      <c r="F47" s="51">
        <f>IF(COUNTIF(Eingabe[Name],Rekorde[[#This Row],[Name]])&gt;0,_xlfn.MAXIFS(Eingabe[Volle],Eingabe[Name],Rekorde[[#This Row],[Name]]),"")</f>
        <v>340</v>
      </c>
      <c r="G47" s="51">
        <f>IF(COUNTIF(Eingabe[Name],Rekorde[[#This Row],[Name]])&gt;0,_xlfn.MAXIFS(Eingabe[Räumer],Eingabe[Name],Rekorde[[#This Row],[Name]]),"")</f>
        <v>137</v>
      </c>
      <c r="H47" s="51">
        <f>IF(COUNTIF(Eingabe[Name],Rekorde[[#This Row],[Name]])&gt;0,_xlfn.MAXIFS(Eingabe[S1],Eingabe[Name],Rekorde[[#This Row],[Name]]),"")</f>
        <v>117</v>
      </c>
      <c r="I47" s="51">
        <f>IF(COUNTIF(Eingabe[Name],Rekorde[[#This Row],[Name]])&gt;0,_xlfn.MAXIFS(Eingabe[S2],Eingabe[Name],Rekorde[[#This Row],[Name]]),"")</f>
        <v>127</v>
      </c>
      <c r="J47" s="51">
        <f>IF(COUNTIF(Eingabe[Name],Rekorde[[#This Row],[Name]])&gt;0,_xlfn.MAXIFS(Eingabe[S3],Eingabe[Name],Rekorde[[#This Row],[Name]]),"")</f>
        <v>115</v>
      </c>
      <c r="K47" s="51">
        <f>IF(COUNTIF(Eingabe[Name],Rekorde[[#This Row],[Name]])&gt;0,_xlfn.MAXIFS(Eingabe[S4],Eingabe[Name],Rekorde[[#This Row],[Name]]),"")</f>
        <v>118</v>
      </c>
      <c r="L47" s="33">
        <f>IF(MAX(Rekorde[[#This Row],[S1]:[S4]])=0,"",MAX(Rekorde[[#This Row],[S1]:[S4]]))</f>
        <v>127</v>
      </c>
      <c r="M47" s="34">
        <f>IF(COUNTIF(Eingabe[Name],Rekorde[[#This Row],[Name]])&gt;0,_xlfn.MINIFS(Eingabe[Fehler],Eingabe[Name],Rekorde[[#This Row],[Name]]),"")</f>
        <v>13</v>
      </c>
      <c r="N47" s="51">
        <f>IF(COUNTIF(Eingabe[Name],Rekorde[[#This Row],[Name]])&gt;0,_xlfn.MAXIFS(Eingabe[GEGGES],Eingabe[Name],Rekorde[[#This Row],[Name]]),"")</f>
        <v>485</v>
      </c>
      <c r="O47" s="51">
        <f>IF(COUNTIFS(Eingabe[Name],Rekorde[[#This Row],[Name]],Eingabe[Wo],"H")&gt;0,_xlfn.MAXIFS(Eingabe[GES],Eingabe[Name],Rekorde[[#This Row],[Name]],Eingabe[Wo],"H"),"")</f>
        <v>477</v>
      </c>
      <c r="P47" s="51">
        <f>IF(COUNTIFS(Eingabe[Name],Rekorde[[#This Row],[Name]],Eingabe[Wo],"H")&gt;0,_xlfn.MAXIFS(Eingabe[Volle],Eingabe[Name],Rekorde[[#This Row],[Name]],Eingabe[Wo],"H"),"")</f>
        <v>340</v>
      </c>
      <c r="Q47" s="51">
        <f>IF(COUNTIFS(Eingabe[Name],Rekorde[[#This Row],[Name]],Eingabe[Wo],"H")&gt;0,_xlfn.MAXIFS(Eingabe[Räumer],Eingabe[Name],Rekorde[[#This Row],[Name]],Eingabe[Wo],"H"),"")</f>
        <v>137</v>
      </c>
      <c r="R47" s="51">
        <f>IF(COUNTIFS(Eingabe[Name],Rekorde[[#This Row],[Name]],Eingabe[Wo],"H")&gt;0,_xlfn.MAXIFS(Eingabe[S1],Eingabe[Name],Rekorde[[#This Row],[Name]],Eingabe[Wo],"H"),"")</f>
        <v>117</v>
      </c>
      <c r="S47" s="51">
        <f>IF(COUNTIFS(Eingabe[Name],Rekorde[[#This Row],[Name]],Eingabe[Wo],"H")&gt;0,_xlfn.MAXIFS(Eingabe[S2],Eingabe[Name],Rekorde[[#This Row],[Name]],Eingabe[Wo],"H"),"")</f>
        <v>127</v>
      </c>
      <c r="T47" s="51">
        <f>IF(COUNTIFS(Eingabe[Name],Rekorde[[#This Row],[Name]],Eingabe[Wo],"H")&gt;0,_xlfn.MAXIFS(Eingabe[S3],Eingabe[Name],Rekorde[[#This Row],[Name]],Eingabe[Wo],"H"),"")</f>
        <v>115</v>
      </c>
      <c r="U47" s="51">
        <f>IF(COUNTIFS(Eingabe[Name],Rekorde[[#This Row],[Name]],Eingabe[Wo],"H")&gt;0,_xlfn.MAXIFS(Eingabe[S4],Eingabe[Name],Rekorde[[#This Row],[Name]],Eingabe[Wo],"H"),"")</f>
        <v>118</v>
      </c>
      <c r="V47" s="33">
        <f>IF(Rekorde[[#This Row],[S1 H]]="","",MAX(Rekorde[[#This Row],[S1 H]:[S4 H]]))</f>
        <v>127</v>
      </c>
      <c r="W47" s="34">
        <f>IF(COUNTIFS(Eingabe[Name],Rekorde[[#This Row],[Name]],Eingabe[Wo],"H")&gt;0,_xlfn.MINIFS(Eingabe[Fehler],Eingabe[Name],Rekorde[[#This Row],[Name]],Eingabe[Wo],"H"),"")</f>
        <v>13</v>
      </c>
      <c r="X47" s="51">
        <f>IF(COUNTIFS(Eingabe[Name],Rekorde[[#This Row],[Name]],Eingabe[Wo],"H")&gt;0,_xlfn.MAXIFS(Eingabe[GEGGES],Eingabe[Name],Rekorde[[#This Row],[Name]],Eingabe[Wo],"H"),"")</f>
        <v>485</v>
      </c>
      <c r="Y47" s="51" t="str">
        <f>IF(COUNTIFS(Eingabe[Name],Rekorde[[#This Row],[Name]],Eingabe[Wo],"A")&gt;0,_xlfn.MAXIFS(Eingabe[GES],Eingabe[Name],Rekorde[[#This Row],[Name]],Eingabe[Wo],"A"),"")</f>
        <v/>
      </c>
      <c r="Z47" s="51" t="str">
        <f>IF(COUNTIFS(Eingabe[Name],Rekorde[[#This Row],[Name]],Eingabe[Wo],"A")&gt;0,_xlfn.MAXIFS(Eingabe[Volle],Eingabe[Name],Rekorde[[#This Row],[Name]],Eingabe[Wo],"A"),"")</f>
        <v/>
      </c>
      <c r="AA47" s="51" t="str">
        <f>IF(COUNTIFS(Eingabe[Name],Rekorde[[#This Row],[Name]],Eingabe[Wo],"A")&gt;0,_xlfn.MAXIFS(Eingabe[Räumer],Eingabe[Name],Rekorde[[#This Row],[Name]],Eingabe[Wo],"A"),"")</f>
        <v/>
      </c>
      <c r="AB47" s="51" t="str">
        <f>IF(COUNTIFS(Eingabe[Name],Rekorde[[#This Row],[Name]],Eingabe[Wo],"A")&gt;0,_xlfn.MAXIFS(Eingabe[S1],Eingabe[Name],Rekorde[[#This Row],[Name]],Eingabe[Wo],"A"),"")</f>
        <v/>
      </c>
      <c r="AC47" s="51" t="str">
        <f>IF(COUNTIFS(Eingabe[Name],Rekorde[[#This Row],[Name]],Eingabe[Wo],"A")&gt;0,_xlfn.MAXIFS(Eingabe[S2],Eingabe[Name],Rekorde[[#This Row],[Name]],Eingabe[Wo],"A"),"")</f>
        <v/>
      </c>
      <c r="AD47" s="51" t="str">
        <f>IF(COUNTIFS(Eingabe[Name],Rekorde[[#This Row],[Name]],Eingabe[Wo],"A")&gt;0,_xlfn.MAXIFS(Eingabe[S3],Eingabe[Name],Rekorde[[#This Row],[Name]],Eingabe[Wo],"A"),"")</f>
        <v/>
      </c>
      <c r="AE47" s="51" t="str">
        <f>IF(COUNTIFS(Eingabe[Name],Rekorde[[#This Row],[Name]],Eingabe[Wo],"A")&gt;0,_xlfn.MAXIFS(Eingabe[S4],Eingabe[Name],Rekorde[[#This Row],[Name]],Eingabe[Wo],"A"),"")</f>
        <v/>
      </c>
      <c r="AF47" s="33" t="str">
        <f>IF(Rekorde[[#This Row],[S1 A]]="","",MAX(Rekorde[[#This Row],[S1 A]:[S4 A]]))</f>
        <v/>
      </c>
      <c r="AG47" s="34" t="str">
        <f>IF(COUNTIFS(Eingabe[Name],Rekorde[[#This Row],[Name]],Eingabe[Wo],"A")&gt;0,_xlfn.MINIFS(Eingabe[Fehler],Eingabe[Name],Rekorde[[#This Row],[Name]],Eingabe[Wo],"A"),"")</f>
        <v/>
      </c>
      <c r="AH47" s="51" t="str">
        <f>IF(COUNTIFS(Eingabe[Name],Rekorde[[#This Row],[Name]],Eingabe[Wo],"A")&gt;0,_xlfn.MAXIFS(Eingabe[GEGGES],Eingabe[Name],Rekorde[[#This Row],[Name]],Eingabe[Wo],"A"),"")</f>
        <v/>
      </c>
    </row>
    <row r="48" spans="3:34" x14ac:dyDescent="0.3">
      <c r="C48" s="372" t="s">
        <v>599</v>
      </c>
      <c r="D48" s="373" t="str">
        <f>VLOOKUP(Rekorde[[#This Row],[Name]],Teamzuordnung[[Name]:[Team]],2,FALSE)</f>
        <v>U14</v>
      </c>
      <c r="E48" s="33">
        <f>IF(COUNTIF(Eingabe[Name],Rekorde[[#This Row],[Name]])&gt;0,_xlfn.MAXIFS(Eingabe[GES],Eingabe[Name],Rekorde[[#This Row],[Name]]),"")</f>
        <v>395</v>
      </c>
      <c r="F48" s="51">
        <f>IF(COUNTIF(Eingabe[Name],Rekorde[[#This Row],[Name]])&gt;0,_xlfn.MAXIFS(Eingabe[Volle],Eingabe[Name],Rekorde[[#This Row],[Name]]),"")</f>
        <v>310</v>
      </c>
      <c r="G48" s="51">
        <f>IF(COUNTIF(Eingabe[Name],Rekorde[[#This Row],[Name]])&gt;0,_xlfn.MAXIFS(Eingabe[Räumer],Eingabe[Name],Rekorde[[#This Row],[Name]]),"")</f>
        <v>104</v>
      </c>
      <c r="H48" s="51">
        <f>IF(COUNTIF(Eingabe[Name],Rekorde[[#This Row],[Name]])&gt;0,_xlfn.MAXIFS(Eingabe[S1],Eingabe[Name],Rekorde[[#This Row],[Name]]),"")</f>
        <v>98</v>
      </c>
      <c r="I48" s="51">
        <f>IF(COUNTIF(Eingabe[Name],Rekorde[[#This Row],[Name]])&gt;0,_xlfn.MAXIFS(Eingabe[S2],Eingabe[Name],Rekorde[[#This Row],[Name]]),"")</f>
        <v>105</v>
      </c>
      <c r="J48" s="51">
        <f>IF(COUNTIF(Eingabe[Name],Rekorde[[#This Row],[Name]])&gt;0,_xlfn.MAXIFS(Eingabe[S3],Eingabe[Name],Rekorde[[#This Row],[Name]]),"")</f>
        <v>107</v>
      </c>
      <c r="K48" s="51">
        <f>IF(COUNTIF(Eingabe[Name],Rekorde[[#This Row],[Name]])&gt;0,_xlfn.MAXIFS(Eingabe[S4],Eingabe[Name],Rekorde[[#This Row],[Name]]),"")</f>
        <v>123</v>
      </c>
      <c r="L48" s="33">
        <f>IF(MAX(Rekorde[[#This Row],[S1]:[S4]])=0,"",MAX(Rekorde[[#This Row],[S1]:[S4]]))</f>
        <v>123</v>
      </c>
      <c r="M48" s="34">
        <f>IF(COUNTIF(Eingabe[Name],Rekorde[[#This Row],[Name]])&gt;0,_xlfn.MINIFS(Eingabe[Fehler],Eingabe[Name],Rekorde[[#This Row],[Name]]),"")</f>
        <v>22</v>
      </c>
      <c r="N48" s="51">
        <f>IF(COUNTIF(Eingabe[Name],Rekorde[[#This Row],[Name]])&gt;0,_xlfn.MAXIFS(Eingabe[GEGGES],Eingabe[Name],Rekorde[[#This Row],[Name]]),"")</f>
        <v>0</v>
      </c>
      <c r="O48" s="51">
        <f>IF(COUNTIFS(Eingabe[Name],Rekorde[[#This Row],[Name]],Eingabe[Wo],"H")&gt;0,_xlfn.MAXIFS(Eingabe[GES],Eingabe[Name],Rekorde[[#This Row],[Name]],Eingabe[Wo],"H"),"")</f>
        <v>375</v>
      </c>
      <c r="P48" s="51">
        <f>IF(COUNTIFS(Eingabe[Name],Rekorde[[#This Row],[Name]],Eingabe[Wo],"H")&gt;0,_xlfn.MAXIFS(Eingabe[Volle],Eingabe[Name],Rekorde[[#This Row],[Name]],Eingabe[Wo],"H"),"")</f>
        <v>281</v>
      </c>
      <c r="Q48" s="51">
        <f>IF(COUNTIFS(Eingabe[Name],Rekorde[[#This Row],[Name]],Eingabe[Wo],"H")&gt;0,_xlfn.MAXIFS(Eingabe[Räumer],Eingabe[Name],Rekorde[[#This Row],[Name]],Eingabe[Wo],"H"),"")</f>
        <v>94</v>
      </c>
      <c r="R48" s="51">
        <f>IF(COUNTIFS(Eingabe[Name],Rekorde[[#This Row],[Name]],Eingabe[Wo],"H")&gt;0,_xlfn.MAXIFS(Eingabe[S1],Eingabe[Name],Rekorde[[#This Row],[Name]],Eingabe[Wo],"H"),"")</f>
        <v>94</v>
      </c>
      <c r="S48" s="51">
        <f>IF(COUNTIFS(Eingabe[Name],Rekorde[[#This Row],[Name]],Eingabe[Wo],"H")&gt;0,_xlfn.MAXIFS(Eingabe[S2],Eingabe[Name],Rekorde[[#This Row],[Name]],Eingabe[Wo],"H"),"")</f>
        <v>96</v>
      </c>
      <c r="T48" s="51">
        <f>IF(COUNTIFS(Eingabe[Name],Rekorde[[#This Row],[Name]],Eingabe[Wo],"H")&gt;0,_xlfn.MAXIFS(Eingabe[S3],Eingabe[Name],Rekorde[[#This Row],[Name]],Eingabe[Wo],"H"),"")</f>
        <v>107</v>
      </c>
      <c r="U48" s="51">
        <f>IF(COUNTIFS(Eingabe[Name],Rekorde[[#This Row],[Name]],Eingabe[Wo],"H")&gt;0,_xlfn.MAXIFS(Eingabe[S4],Eingabe[Name],Rekorde[[#This Row],[Name]],Eingabe[Wo],"H"),"")</f>
        <v>106</v>
      </c>
      <c r="V48" s="33">
        <f>IF(Rekorde[[#This Row],[S1 H]]="","",MAX(Rekorde[[#This Row],[S1 H]:[S4 H]]))</f>
        <v>107</v>
      </c>
      <c r="W48" s="34">
        <f>IF(COUNTIFS(Eingabe[Name],Rekorde[[#This Row],[Name]],Eingabe[Wo],"H")&gt;0,_xlfn.MINIFS(Eingabe[Fehler],Eingabe[Name],Rekorde[[#This Row],[Name]],Eingabe[Wo],"H"),"")</f>
        <v>22</v>
      </c>
      <c r="X48" s="51">
        <f>IF(COUNTIFS(Eingabe[Name],Rekorde[[#This Row],[Name]],Eingabe[Wo],"H")&gt;0,_xlfn.MAXIFS(Eingabe[GEGGES],Eingabe[Name],Rekorde[[#This Row],[Name]],Eingabe[Wo],"H"),"")</f>
        <v>0</v>
      </c>
      <c r="Y48" s="51">
        <f>IF(COUNTIFS(Eingabe[Name],Rekorde[[#This Row],[Name]],Eingabe[Wo],"A")&gt;0,_xlfn.MAXIFS(Eingabe[GES],Eingabe[Name],Rekorde[[#This Row],[Name]],Eingabe[Wo],"A"),"")</f>
        <v>395</v>
      </c>
      <c r="Z48" s="51">
        <f>IF(COUNTIFS(Eingabe[Name],Rekorde[[#This Row],[Name]],Eingabe[Wo],"A")&gt;0,_xlfn.MAXIFS(Eingabe[Volle],Eingabe[Name],Rekorde[[#This Row],[Name]],Eingabe[Wo],"A"),"")</f>
        <v>310</v>
      </c>
      <c r="AA48" s="51">
        <f>IF(COUNTIFS(Eingabe[Name],Rekorde[[#This Row],[Name]],Eingabe[Wo],"A")&gt;0,_xlfn.MAXIFS(Eingabe[Räumer],Eingabe[Name],Rekorde[[#This Row],[Name]],Eingabe[Wo],"A"),"")</f>
        <v>104</v>
      </c>
      <c r="AB48" s="51">
        <f>IF(COUNTIFS(Eingabe[Name],Rekorde[[#This Row],[Name]],Eingabe[Wo],"A")&gt;0,_xlfn.MAXIFS(Eingabe[S1],Eingabe[Name],Rekorde[[#This Row],[Name]],Eingabe[Wo],"A"),"")</f>
        <v>98</v>
      </c>
      <c r="AC48" s="51">
        <f>IF(COUNTIFS(Eingabe[Name],Rekorde[[#This Row],[Name]],Eingabe[Wo],"A")&gt;0,_xlfn.MAXIFS(Eingabe[S2],Eingabe[Name],Rekorde[[#This Row],[Name]],Eingabe[Wo],"A"),"")</f>
        <v>105</v>
      </c>
      <c r="AD48" s="51">
        <f>IF(COUNTIFS(Eingabe[Name],Rekorde[[#This Row],[Name]],Eingabe[Wo],"A")&gt;0,_xlfn.MAXIFS(Eingabe[S3],Eingabe[Name],Rekorde[[#This Row],[Name]],Eingabe[Wo],"A"),"")</f>
        <v>104</v>
      </c>
      <c r="AE48" s="51">
        <f>IF(COUNTIFS(Eingabe[Name],Rekorde[[#This Row],[Name]],Eingabe[Wo],"A")&gt;0,_xlfn.MAXIFS(Eingabe[S4],Eingabe[Name],Rekorde[[#This Row],[Name]],Eingabe[Wo],"A"),"")</f>
        <v>123</v>
      </c>
      <c r="AF48" s="33">
        <f>IF(Rekorde[[#This Row],[S1 A]]="","",MAX(Rekorde[[#This Row],[S1 A]:[S4 A]]))</f>
        <v>123</v>
      </c>
      <c r="AG48" s="34">
        <f>IF(COUNTIFS(Eingabe[Name],Rekorde[[#This Row],[Name]],Eingabe[Wo],"A")&gt;0,_xlfn.MINIFS(Eingabe[Fehler],Eingabe[Name],Rekorde[[#This Row],[Name]],Eingabe[Wo],"A"),"")</f>
        <v>22</v>
      </c>
      <c r="AH48" s="51">
        <f>IF(COUNTIFS(Eingabe[Name],Rekorde[[#This Row],[Name]],Eingabe[Wo],"A")&gt;0,_xlfn.MAXIFS(Eingabe[GEGGES],Eingabe[Name],Rekorde[[#This Row],[Name]],Eingabe[Wo],"A"),"")</f>
        <v>0</v>
      </c>
    </row>
    <row r="49" spans="2:34" x14ac:dyDescent="0.3">
      <c r="C49" s="372" t="s">
        <v>484</v>
      </c>
      <c r="D49" s="373" t="str">
        <f>VLOOKUP(Rekorde[[#This Row],[Name]],Teamzuordnung[[Name]:[Team]],2,FALSE)</f>
        <v>U14</v>
      </c>
      <c r="E49" s="33">
        <f>IF(COUNTIF(Eingabe[Name],Rekorde[[#This Row],[Name]])&gt;0,_xlfn.MAXIFS(Eingabe[GES],Eingabe[Name],Rekorde[[#This Row],[Name]]),"")</f>
        <v>438</v>
      </c>
      <c r="F49" s="51">
        <f>IF(COUNTIF(Eingabe[Name],Rekorde[[#This Row],[Name]])&gt;0,_xlfn.MAXIFS(Eingabe[Volle],Eingabe[Name],Rekorde[[#This Row],[Name]]),"")</f>
        <v>340</v>
      </c>
      <c r="G49" s="51">
        <f>IF(COUNTIF(Eingabe[Name],Rekorde[[#This Row],[Name]])&gt;0,_xlfn.MAXIFS(Eingabe[Räumer],Eingabe[Name],Rekorde[[#This Row],[Name]]),"")</f>
        <v>127</v>
      </c>
      <c r="H49" s="51">
        <f>IF(COUNTIF(Eingabe[Name],Rekorde[[#This Row],[Name]])&gt;0,_xlfn.MAXIFS(Eingabe[S1],Eingabe[Name],Rekorde[[#This Row],[Name]]),"")</f>
        <v>105</v>
      </c>
      <c r="I49" s="51">
        <f>IF(COUNTIF(Eingabe[Name],Rekorde[[#This Row],[Name]])&gt;0,_xlfn.MAXIFS(Eingabe[S2],Eingabe[Name],Rekorde[[#This Row],[Name]]),"")</f>
        <v>120</v>
      </c>
      <c r="J49" s="51">
        <f>IF(COUNTIF(Eingabe[Name],Rekorde[[#This Row],[Name]])&gt;0,_xlfn.MAXIFS(Eingabe[S3],Eingabe[Name],Rekorde[[#This Row],[Name]]),"")</f>
        <v>106</v>
      </c>
      <c r="K49" s="51">
        <f>IF(COUNTIF(Eingabe[Name],Rekorde[[#This Row],[Name]])&gt;0,_xlfn.MAXIFS(Eingabe[S4],Eingabe[Name],Rekorde[[#This Row],[Name]]),"")</f>
        <v>116</v>
      </c>
      <c r="L49" s="33">
        <f>IF(MAX(Rekorde[[#This Row],[S1]:[S4]])=0,"",MAX(Rekorde[[#This Row],[S1]:[S4]]))</f>
        <v>120</v>
      </c>
      <c r="M49" s="34">
        <f>IF(COUNTIF(Eingabe[Name],Rekorde[[#This Row],[Name]])&gt;0,_xlfn.MINIFS(Eingabe[Fehler],Eingabe[Name],Rekorde[[#This Row],[Name]]),"")</f>
        <v>15</v>
      </c>
      <c r="N49" s="51">
        <f>IF(COUNTIF(Eingabe[Name],Rekorde[[#This Row],[Name]])&gt;0,_xlfn.MAXIFS(Eingabe[GEGGES],Eingabe[Name],Rekorde[[#This Row],[Name]]),"")</f>
        <v>0</v>
      </c>
      <c r="O49" s="51">
        <f>IF(COUNTIFS(Eingabe[Name],Rekorde[[#This Row],[Name]],Eingabe[Wo],"H")&gt;0,_xlfn.MAXIFS(Eingabe[GES],Eingabe[Name],Rekorde[[#This Row],[Name]],Eingabe[Wo],"H"),"")</f>
        <v>420</v>
      </c>
      <c r="P49" s="51">
        <f>IF(COUNTIFS(Eingabe[Name],Rekorde[[#This Row],[Name]],Eingabe[Wo],"H")&gt;0,_xlfn.MAXIFS(Eingabe[Volle],Eingabe[Name],Rekorde[[#This Row],[Name]],Eingabe[Wo],"H"),"")</f>
        <v>297</v>
      </c>
      <c r="Q49" s="51">
        <f>IF(COUNTIFS(Eingabe[Name],Rekorde[[#This Row],[Name]],Eingabe[Wo],"H")&gt;0,_xlfn.MAXIFS(Eingabe[Räumer],Eingabe[Name],Rekorde[[#This Row],[Name]],Eingabe[Wo],"H"),"")</f>
        <v>123</v>
      </c>
      <c r="R49" s="51">
        <f>IF(COUNTIFS(Eingabe[Name],Rekorde[[#This Row],[Name]],Eingabe[Wo],"H")&gt;0,_xlfn.MAXIFS(Eingabe[S1],Eingabe[Name],Rekorde[[#This Row],[Name]],Eingabe[Wo],"H"),"")</f>
        <v>99</v>
      </c>
      <c r="S49" s="51">
        <f>IF(COUNTIFS(Eingabe[Name],Rekorde[[#This Row],[Name]],Eingabe[Wo],"H")&gt;0,_xlfn.MAXIFS(Eingabe[S2],Eingabe[Name],Rekorde[[#This Row],[Name]],Eingabe[Wo],"H"),"")</f>
        <v>104</v>
      </c>
      <c r="T49" s="51">
        <f>IF(COUNTIFS(Eingabe[Name],Rekorde[[#This Row],[Name]],Eingabe[Wo],"H")&gt;0,_xlfn.MAXIFS(Eingabe[S3],Eingabe[Name],Rekorde[[#This Row],[Name]],Eingabe[Wo],"H"),"")</f>
        <v>103</v>
      </c>
      <c r="U49" s="51">
        <f>IF(COUNTIFS(Eingabe[Name],Rekorde[[#This Row],[Name]],Eingabe[Wo],"H")&gt;0,_xlfn.MAXIFS(Eingabe[S4],Eingabe[Name],Rekorde[[#This Row],[Name]],Eingabe[Wo],"H"),"")</f>
        <v>114</v>
      </c>
      <c r="V49" s="33">
        <f>IF(Rekorde[[#This Row],[S1 H]]="","",MAX(Rekorde[[#This Row],[S1 H]:[S4 H]]))</f>
        <v>114</v>
      </c>
      <c r="W49" s="34">
        <f>IF(COUNTIFS(Eingabe[Name],Rekorde[[#This Row],[Name]],Eingabe[Wo],"H")&gt;0,_xlfn.MINIFS(Eingabe[Fehler],Eingabe[Name],Rekorde[[#This Row],[Name]],Eingabe[Wo],"H"),"")</f>
        <v>15</v>
      </c>
      <c r="X49" s="51">
        <f>IF(COUNTIFS(Eingabe[Name],Rekorde[[#This Row],[Name]],Eingabe[Wo],"H")&gt;0,_xlfn.MAXIFS(Eingabe[GEGGES],Eingabe[Name],Rekorde[[#This Row],[Name]],Eingabe[Wo],"H"),"")</f>
        <v>0</v>
      </c>
      <c r="Y49" s="51">
        <f>IF(COUNTIFS(Eingabe[Name],Rekorde[[#This Row],[Name]],Eingabe[Wo],"A")&gt;0,_xlfn.MAXIFS(Eingabe[GES],Eingabe[Name],Rekorde[[#This Row],[Name]],Eingabe[Wo],"A"),"")</f>
        <v>438</v>
      </c>
      <c r="Z49" s="51">
        <f>IF(COUNTIFS(Eingabe[Name],Rekorde[[#This Row],[Name]],Eingabe[Wo],"A")&gt;0,_xlfn.MAXIFS(Eingabe[Volle],Eingabe[Name],Rekorde[[#This Row],[Name]],Eingabe[Wo],"A"),"")</f>
        <v>340</v>
      </c>
      <c r="AA49" s="51">
        <f>IF(COUNTIFS(Eingabe[Name],Rekorde[[#This Row],[Name]],Eingabe[Wo],"A")&gt;0,_xlfn.MAXIFS(Eingabe[Räumer],Eingabe[Name],Rekorde[[#This Row],[Name]],Eingabe[Wo],"A"),"")</f>
        <v>127</v>
      </c>
      <c r="AB49" s="51">
        <f>IF(COUNTIFS(Eingabe[Name],Rekorde[[#This Row],[Name]],Eingabe[Wo],"A")&gt;0,_xlfn.MAXIFS(Eingabe[S1],Eingabe[Name],Rekorde[[#This Row],[Name]],Eingabe[Wo],"A"),"")</f>
        <v>105</v>
      </c>
      <c r="AC49" s="51">
        <f>IF(COUNTIFS(Eingabe[Name],Rekorde[[#This Row],[Name]],Eingabe[Wo],"A")&gt;0,_xlfn.MAXIFS(Eingabe[S2],Eingabe[Name],Rekorde[[#This Row],[Name]],Eingabe[Wo],"A"),"")</f>
        <v>120</v>
      </c>
      <c r="AD49" s="51">
        <f>IF(COUNTIFS(Eingabe[Name],Rekorde[[#This Row],[Name]],Eingabe[Wo],"A")&gt;0,_xlfn.MAXIFS(Eingabe[S3],Eingabe[Name],Rekorde[[#This Row],[Name]],Eingabe[Wo],"A"),"")</f>
        <v>106</v>
      </c>
      <c r="AE49" s="51">
        <f>IF(COUNTIFS(Eingabe[Name],Rekorde[[#This Row],[Name]],Eingabe[Wo],"A")&gt;0,_xlfn.MAXIFS(Eingabe[S4],Eingabe[Name],Rekorde[[#This Row],[Name]],Eingabe[Wo],"A"),"")</f>
        <v>116</v>
      </c>
      <c r="AF49" s="33">
        <f>IF(Rekorde[[#This Row],[S1 A]]="","",MAX(Rekorde[[#This Row],[S1 A]:[S4 A]]))</f>
        <v>120</v>
      </c>
      <c r="AG49" s="34">
        <f>IF(COUNTIFS(Eingabe[Name],Rekorde[[#This Row],[Name]],Eingabe[Wo],"A")&gt;0,_xlfn.MINIFS(Eingabe[Fehler],Eingabe[Name],Rekorde[[#This Row],[Name]],Eingabe[Wo],"A"),"")</f>
        <v>21</v>
      </c>
      <c r="AH49" s="51">
        <f>IF(COUNTIFS(Eingabe[Name],Rekorde[[#This Row],[Name]],Eingabe[Wo],"A")&gt;0,_xlfn.MAXIFS(Eingabe[GEGGES],Eingabe[Name],Rekorde[[#This Row],[Name]],Eingabe[Wo],"A"),"")</f>
        <v>0</v>
      </c>
    </row>
    <row r="50" spans="2:34" x14ac:dyDescent="0.3">
      <c r="C50" s="372" t="s">
        <v>473</v>
      </c>
      <c r="D50" s="373" t="str">
        <f>VLOOKUP(Rekorde[[#This Row],[Name]],Teamzuordnung[[Name]:[Team]],2,FALSE)</f>
        <v>U14</v>
      </c>
      <c r="E50" s="33">
        <f>IF(COUNTIF(Eingabe[Name],Rekorde[[#This Row],[Name]])&gt;0,_xlfn.MAXIFS(Eingabe[GES],Eingabe[Name],Rekorde[[#This Row],[Name]]),"")</f>
        <v>398</v>
      </c>
      <c r="F50" s="51">
        <f>IF(COUNTIF(Eingabe[Name],Rekorde[[#This Row],[Name]])&gt;0,_xlfn.MAXIFS(Eingabe[Volle],Eingabe[Name],Rekorde[[#This Row],[Name]]),"")</f>
        <v>305</v>
      </c>
      <c r="G50" s="51">
        <f>IF(COUNTIF(Eingabe[Name],Rekorde[[#This Row],[Name]])&gt;0,_xlfn.MAXIFS(Eingabe[Räumer],Eingabe[Name],Rekorde[[#This Row],[Name]]),"")</f>
        <v>123</v>
      </c>
      <c r="H50" s="51">
        <f>IF(COUNTIF(Eingabe[Name],Rekorde[[#This Row],[Name]])&gt;0,_xlfn.MAXIFS(Eingabe[S1],Eingabe[Name],Rekorde[[#This Row],[Name]]),"")</f>
        <v>108</v>
      </c>
      <c r="I50" s="51">
        <f>IF(COUNTIF(Eingabe[Name],Rekorde[[#This Row],[Name]])&gt;0,_xlfn.MAXIFS(Eingabe[S2],Eingabe[Name],Rekorde[[#This Row],[Name]]),"")</f>
        <v>120</v>
      </c>
      <c r="J50" s="51">
        <f>IF(COUNTIF(Eingabe[Name],Rekorde[[#This Row],[Name]])&gt;0,_xlfn.MAXIFS(Eingabe[S3],Eingabe[Name],Rekorde[[#This Row],[Name]]),"")</f>
        <v>103</v>
      </c>
      <c r="K50" s="51">
        <f>IF(COUNTIF(Eingabe[Name],Rekorde[[#This Row],[Name]])&gt;0,_xlfn.MAXIFS(Eingabe[S4],Eingabe[Name],Rekorde[[#This Row],[Name]]),"")</f>
        <v>118</v>
      </c>
      <c r="L50" s="33">
        <f>IF(MAX(Rekorde[[#This Row],[S1]:[S4]])=0,"",MAX(Rekorde[[#This Row],[S1]:[S4]]))</f>
        <v>120</v>
      </c>
      <c r="M50" s="34">
        <f>IF(COUNTIF(Eingabe[Name],Rekorde[[#This Row],[Name]])&gt;0,_xlfn.MINIFS(Eingabe[Fehler],Eingabe[Name],Rekorde[[#This Row],[Name]]),"")</f>
        <v>18</v>
      </c>
      <c r="N50" s="51">
        <f>IF(COUNTIF(Eingabe[Name],Rekorde[[#This Row],[Name]])&gt;0,_xlfn.MAXIFS(Eingabe[GEGGES],Eingabe[Name],Rekorde[[#This Row],[Name]]),"")</f>
        <v>0</v>
      </c>
      <c r="O50" s="51">
        <f>IF(COUNTIFS(Eingabe[Name],Rekorde[[#This Row],[Name]],Eingabe[Wo],"H")&gt;0,_xlfn.MAXIFS(Eingabe[GES],Eingabe[Name],Rekorde[[#This Row],[Name]],Eingabe[Wo],"H"),"")</f>
        <v>398</v>
      </c>
      <c r="P50" s="51">
        <f>IF(COUNTIFS(Eingabe[Name],Rekorde[[#This Row],[Name]],Eingabe[Wo],"H")&gt;0,_xlfn.MAXIFS(Eingabe[Volle],Eingabe[Name],Rekorde[[#This Row],[Name]],Eingabe[Wo],"H"),"")</f>
        <v>275</v>
      </c>
      <c r="Q50" s="51">
        <f>IF(COUNTIFS(Eingabe[Name],Rekorde[[#This Row],[Name]],Eingabe[Wo],"H")&gt;0,_xlfn.MAXIFS(Eingabe[Räumer],Eingabe[Name],Rekorde[[#This Row],[Name]],Eingabe[Wo],"H"),"")</f>
        <v>123</v>
      </c>
      <c r="R50" s="51">
        <f>IF(COUNTIFS(Eingabe[Name],Rekorde[[#This Row],[Name]],Eingabe[Wo],"H")&gt;0,_xlfn.MAXIFS(Eingabe[S1],Eingabe[Name],Rekorde[[#This Row],[Name]],Eingabe[Wo],"H"),"")</f>
        <v>104</v>
      </c>
      <c r="S50" s="51">
        <f>IF(COUNTIFS(Eingabe[Name],Rekorde[[#This Row],[Name]],Eingabe[Wo],"H")&gt;0,_xlfn.MAXIFS(Eingabe[S2],Eingabe[Name],Rekorde[[#This Row],[Name]],Eingabe[Wo],"H"),"")</f>
        <v>96</v>
      </c>
      <c r="T50" s="51">
        <f>IF(COUNTIFS(Eingabe[Name],Rekorde[[#This Row],[Name]],Eingabe[Wo],"H")&gt;0,_xlfn.MAXIFS(Eingabe[S3],Eingabe[Name],Rekorde[[#This Row],[Name]],Eingabe[Wo],"H"),"")</f>
        <v>101</v>
      </c>
      <c r="U50" s="51">
        <f>IF(COUNTIFS(Eingabe[Name],Rekorde[[#This Row],[Name]],Eingabe[Wo],"H")&gt;0,_xlfn.MAXIFS(Eingabe[S4],Eingabe[Name],Rekorde[[#This Row],[Name]],Eingabe[Wo],"H"),"")</f>
        <v>97</v>
      </c>
      <c r="V50" s="33">
        <f>IF(Rekorde[[#This Row],[S1 H]]="","",MAX(Rekorde[[#This Row],[S1 H]:[S4 H]]))</f>
        <v>104</v>
      </c>
      <c r="W50" s="34">
        <f>IF(COUNTIFS(Eingabe[Name],Rekorde[[#This Row],[Name]],Eingabe[Wo],"H")&gt;0,_xlfn.MINIFS(Eingabe[Fehler],Eingabe[Name],Rekorde[[#This Row],[Name]],Eingabe[Wo],"H"),"")</f>
        <v>18</v>
      </c>
      <c r="X50" s="51">
        <f>IF(COUNTIFS(Eingabe[Name],Rekorde[[#This Row],[Name]],Eingabe[Wo],"H")&gt;0,_xlfn.MAXIFS(Eingabe[GEGGES],Eingabe[Name],Rekorde[[#This Row],[Name]],Eingabe[Wo],"H"),"")</f>
        <v>0</v>
      </c>
      <c r="Y50" s="51">
        <f>IF(COUNTIFS(Eingabe[Name],Rekorde[[#This Row],[Name]],Eingabe[Wo],"A")&gt;0,_xlfn.MAXIFS(Eingabe[GES],Eingabe[Name],Rekorde[[#This Row],[Name]],Eingabe[Wo],"A"),"")</f>
        <v>397</v>
      </c>
      <c r="Z50" s="51">
        <f>IF(COUNTIFS(Eingabe[Name],Rekorde[[#This Row],[Name]],Eingabe[Wo],"A")&gt;0,_xlfn.MAXIFS(Eingabe[Volle],Eingabe[Name],Rekorde[[#This Row],[Name]],Eingabe[Wo],"A"),"")</f>
        <v>305</v>
      </c>
      <c r="AA50" s="51">
        <f>IF(COUNTIFS(Eingabe[Name],Rekorde[[#This Row],[Name]],Eingabe[Wo],"A")&gt;0,_xlfn.MAXIFS(Eingabe[Räumer],Eingabe[Name],Rekorde[[#This Row],[Name]],Eingabe[Wo],"A"),"")</f>
        <v>115</v>
      </c>
      <c r="AB50" s="51">
        <f>IF(COUNTIFS(Eingabe[Name],Rekorde[[#This Row],[Name]],Eingabe[Wo],"A")&gt;0,_xlfn.MAXIFS(Eingabe[S1],Eingabe[Name],Rekorde[[#This Row],[Name]],Eingabe[Wo],"A"),"")</f>
        <v>108</v>
      </c>
      <c r="AC50" s="51">
        <f>IF(COUNTIFS(Eingabe[Name],Rekorde[[#This Row],[Name]],Eingabe[Wo],"A")&gt;0,_xlfn.MAXIFS(Eingabe[S2],Eingabe[Name],Rekorde[[#This Row],[Name]],Eingabe[Wo],"A"),"")</f>
        <v>120</v>
      </c>
      <c r="AD50" s="51">
        <f>IF(COUNTIFS(Eingabe[Name],Rekorde[[#This Row],[Name]],Eingabe[Wo],"A")&gt;0,_xlfn.MAXIFS(Eingabe[S3],Eingabe[Name],Rekorde[[#This Row],[Name]],Eingabe[Wo],"A"),"")</f>
        <v>103</v>
      </c>
      <c r="AE50" s="51">
        <f>IF(COUNTIFS(Eingabe[Name],Rekorde[[#This Row],[Name]],Eingabe[Wo],"A")&gt;0,_xlfn.MAXIFS(Eingabe[S4],Eingabe[Name],Rekorde[[#This Row],[Name]],Eingabe[Wo],"A"),"")</f>
        <v>118</v>
      </c>
      <c r="AF50" s="33">
        <f>IF(Rekorde[[#This Row],[S1 A]]="","",MAX(Rekorde[[#This Row],[S1 A]:[S4 A]]))</f>
        <v>120</v>
      </c>
      <c r="AG50" s="34">
        <f>IF(COUNTIFS(Eingabe[Name],Rekorde[[#This Row],[Name]],Eingabe[Wo],"A")&gt;0,_xlfn.MINIFS(Eingabe[Fehler],Eingabe[Name],Rekorde[[#This Row],[Name]],Eingabe[Wo],"A"),"")</f>
        <v>19</v>
      </c>
      <c r="AH50" s="51">
        <f>IF(COUNTIFS(Eingabe[Name],Rekorde[[#This Row],[Name]],Eingabe[Wo],"A")&gt;0,_xlfn.MAXIFS(Eingabe[GEGGES],Eingabe[Name],Rekorde[[#This Row],[Name]],Eingabe[Wo],"A"),"")</f>
        <v>0</v>
      </c>
    </row>
    <row r="51" spans="2:34" ht="16.2" thickBot="1" x14ac:dyDescent="0.35">
      <c r="C51" s="54" t="s">
        <v>591</v>
      </c>
      <c r="D51" s="14" t="str">
        <f>VLOOKUP(Rekorde[[#This Row],[Name]],Teamzuordnung[[Name]:[Team]],2,FALSE)</f>
        <v>U14</v>
      </c>
      <c r="E51" s="33">
        <f>IF(COUNTIF(Eingabe[Name],Rekorde[[#This Row],[Name]])&gt;0,_xlfn.MAXIFS(Eingabe[GES],Eingabe[Name],Rekorde[[#This Row],[Name]]),"")</f>
        <v>349</v>
      </c>
      <c r="F51" s="51">
        <f>IF(COUNTIF(Eingabe[Name],Rekorde[[#This Row],[Name]])&gt;0,_xlfn.MAXIFS(Eingabe[Volle],Eingabe[Name],Rekorde[[#This Row],[Name]]),"")</f>
        <v>265</v>
      </c>
      <c r="G51" s="51">
        <f>IF(COUNTIF(Eingabe[Name],Rekorde[[#This Row],[Name]])&gt;0,_xlfn.MAXIFS(Eingabe[Räumer],Eingabe[Name],Rekorde[[#This Row],[Name]]),"")</f>
        <v>84</v>
      </c>
      <c r="H51" s="51">
        <f>IF(COUNTIF(Eingabe[Name],Rekorde[[#This Row],[Name]])&gt;0,_xlfn.MAXIFS(Eingabe[S1],Eingabe[Name],Rekorde[[#This Row],[Name]]),"")</f>
        <v>97</v>
      </c>
      <c r="I51" s="51">
        <f>IF(COUNTIF(Eingabe[Name],Rekorde[[#This Row],[Name]])&gt;0,_xlfn.MAXIFS(Eingabe[S2],Eingabe[Name],Rekorde[[#This Row],[Name]]),"")</f>
        <v>108</v>
      </c>
      <c r="J51" s="51">
        <f>IF(COUNTIF(Eingabe[Name],Rekorde[[#This Row],[Name]])&gt;0,_xlfn.MAXIFS(Eingabe[S3],Eingabe[Name],Rekorde[[#This Row],[Name]]),"")</f>
        <v>83</v>
      </c>
      <c r="K51" s="51">
        <f>IF(COUNTIF(Eingabe[Name],Rekorde[[#This Row],[Name]])&gt;0,_xlfn.MAXIFS(Eingabe[S4],Eingabe[Name],Rekorde[[#This Row],[Name]]),"")</f>
        <v>103</v>
      </c>
      <c r="L51" s="33">
        <f>IF(MAX(Rekorde[[#This Row],[S1]:[S4]])=0,"",MAX(Rekorde[[#This Row],[S1]:[S4]]))</f>
        <v>108</v>
      </c>
      <c r="M51" s="34">
        <f>IF(COUNTIF(Eingabe[Name],Rekorde[[#This Row],[Name]])&gt;0,_xlfn.MINIFS(Eingabe[Fehler],Eingabe[Name],Rekorde[[#This Row],[Name]]),"")</f>
        <v>25</v>
      </c>
      <c r="N51" s="51">
        <f>IF(COUNTIF(Eingabe[Name],Rekorde[[#This Row],[Name]])&gt;0,_xlfn.MAXIFS(Eingabe[GEGGES],Eingabe[Name],Rekorde[[#This Row],[Name]]),"")</f>
        <v>0</v>
      </c>
      <c r="O51" s="51">
        <f>IF(COUNTIFS(Eingabe[Name],Rekorde[[#This Row],[Name]],Eingabe[Wo],"H")&gt;0,_xlfn.MAXIFS(Eingabe[GES],Eingabe[Name],Rekorde[[#This Row],[Name]],Eingabe[Wo],"H"),"")</f>
        <v>336</v>
      </c>
      <c r="P51" s="51">
        <f>IF(COUNTIFS(Eingabe[Name],Rekorde[[#This Row],[Name]],Eingabe[Wo],"H")&gt;0,_xlfn.MAXIFS(Eingabe[Volle],Eingabe[Name],Rekorde[[#This Row],[Name]],Eingabe[Wo],"H"),"")</f>
        <v>264</v>
      </c>
      <c r="Q51" s="51">
        <f>IF(COUNTIFS(Eingabe[Name],Rekorde[[#This Row],[Name]],Eingabe[Wo],"H")&gt;0,_xlfn.MAXIFS(Eingabe[Räumer],Eingabe[Name],Rekorde[[#This Row],[Name]],Eingabe[Wo],"H"),"")</f>
        <v>84</v>
      </c>
      <c r="R51" s="51">
        <f>IF(COUNTIFS(Eingabe[Name],Rekorde[[#This Row],[Name]],Eingabe[Wo],"H")&gt;0,_xlfn.MAXIFS(Eingabe[S1],Eingabe[Name],Rekorde[[#This Row],[Name]],Eingabe[Wo],"H"),"")</f>
        <v>80</v>
      </c>
      <c r="S51" s="51">
        <f>IF(COUNTIFS(Eingabe[Name],Rekorde[[#This Row],[Name]],Eingabe[Wo],"H")&gt;0,_xlfn.MAXIFS(Eingabe[S2],Eingabe[Name],Rekorde[[#This Row],[Name]],Eingabe[Wo],"H"),"")</f>
        <v>100</v>
      </c>
      <c r="T51" s="51">
        <f>IF(COUNTIFS(Eingabe[Name],Rekorde[[#This Row],[Name]],Eingabe[Wo],"H")&gt;0,_xlfn.MAXIFS(Eingabe[S3],Eingabe[Name],Rekorde[[#This Row],[Name]],Eingabe[Wo],"H"),"")</f>
        <v>77</v>
      </c>
      <c r="U51" s="51">
        <f>IF(COUNTIFS(Eingabe[Name],Rekorde[[#This Row],[Name]],Eingabe[Wo],"H")&gt;0,_xlfn.MAXIFS(Eingabe[S4],Eingabe[Name],Rekorde[[#This Row],[Name]],Eingabe[Wo],"H"),"")</f>
        <v>95</v>
      </c>
      <c r="V51" s="33">
        <f>IF(Rekorde[[#This Row],[S1 H]]="","",MAX(Rekorde[[#This Row],[S1 H]:[S4 H]]))</f>
        <v>100</v>
      </c>
      <c r="W51" s="34">
        <f>IF(COUNTIFS(Eingabe[Name],Rekorde[[#This Row],[Name]],Eingabe[Wo],"H")&gt;0,_xlfn.MINIFS(Eingabe[Fehler],Eingabe[Name],Rekorde[[#This Row],[Name]],Eingabe[Wo],"H"),"")</f>
        <v>39</v>
      </c>
      <c r="X51" s="51">
        <f>IF(COUNTIFS(Eingabe[Name],Rekorde[[#This Row],[Name]],Eingabe[Wo],"H")&gt;0,_xlfn.MAXIFS(Eingabe[GEGGES],Eingabe[Name],Rekorde[[#This Row],[Name]],Eingabe[Wo],"H"),"")</f>
        <v>0</v>
      </c>
      <c r="Y51" s="51">
        <f>IF(COUNTIFS(Eingabe[Name],Rekorde[[#This Row],[Name]],Eingabe[Wo],"A")&gt;0,_xlfn.MAXIFS(Eingabe[GES],Eingabe[Name],Rekorde[[#This Row],[Name]],Eingabe[Wo],"A"),"")</f>
        <v>349</v>
      </c>
      <c r="Z51" s="51">
        <f>IF(COUNTIFS(Eingabe[Name],Rekorde[[#This Row],[Name]],Eingabe[Wo],"A")&gt;0,_xlfn.MAXIFS(Eingabe[Volle],Eingabe[Name],Rekorde[[#This Row],[Name]],Eingabe[Wo],"A"),"")</f>
        <v>265</v>
      </c>
      <c r="AA51" s="51">
        <f>IF(COUNTIFS(Eingabe[Name],Rekorde[[#This Row],[Name]],Eingabe[Wo],"A")&gt;0,_xlfn.MAXIFS(Eingabe[Räumer],Eingabe[Name],Rekorde[[#This Row],[Name]],Eingabe[Wo],"A"),"")</f>
        <v>84</v>
      </c>
      <c r="AB51" s="51">
        <f>IF(COUNTIFS(Eingabe[Name],Rekorde[[#This Row],[Name]],Eingabe[Wo],"A")&gt;0,_xlfn.MAXIFS(Eingabe[S1],Eingabe[Name],Rekorde[[#This Row],[Name]],Eingabe[Wo],"A"),"")</f>
        <v>97</v>
      </c>
      <c r="AC51" s="51">
        <f>IF(COUNTIFS(Eingabe[Name],Rekorde[[#This Row],[Name]],Eingabe[Wo],"A")&gt;0,_xlfn.MAXIFS(Eingabe[S2],Eingabe[Name],Rekorde[[#This Row],[Name]],Eingabe[Wo],"A"),"")</f>
        <v>108</v>
      </c>
      <c r="AD51" s="51">
        <f>IF(COUNTIFS(Eingabe[Name],Rekorde[[#This Row],[Name]],Eingabe[Wo],"A")&gt;0,_xlfn.MAXIFS(Eingabe[S3],Eingabe[Name],Rekorde[[#This Row],[Name]],Eingabe[Wo],"A"),"")</f>
        <v>83</v>
      </c>
      <c r="AE51" s="51">
        <f>IF(COUNTIFS(Eingabe[Name],Rekorde[[#This Row],[Name]],Eingabe[Wo],"A")&gt;0,_xlfn.MAXIFS(Eingabe[S4],Eingabe[Name],Rekorde[[#This Row],[Name]],Eingabe[Wo],"A"),"")</f>
        <v>103</v>
      </c>
      <c r="AF51" s="33">
        <f>IF(Rekorde[[#This Row],[S1 A]]="","",MAX(Rekorde[[#This Row],[S1 A]:[S4 A]]))</f>
        <v>108</v>
      </c>
      <c r="AG51" s="34">
        <f>IF(COUNTIFS(Eingabe[Name],Rekorde[[#This Row],[Name]],Eingabe[Wo],"A")&gt;0,_xlfn.MINIFS(Eingabe[Fehler],Eingabe[Name],Rekorde[[#This Row],[Name]],Eingabe[Wo],"A"),"")</f>
        <v>25</v>
      </c>
      <c r="AH51" s="51">
        <f>IF(COUNTIFS(Eingabe[Name],Rekorde[[#This Row],[Name]],Eingabe[Wo],"A")&gt;0,_xlfn.MAXIFS(Eingabe[GEGGES],Eingabe[Name],Rekorde[[#This Row],[Name]],Eingabe[Wo],"A"),"")</f>
        <v>0</v>
      </c>
    </row>
    <row r="52" spans="2:34" ht="16.2" thickBot="1" x14ac:dyDescent="0.35"/>
    <row r="53" spans="2:34" x14ac:dyDescent="0.3">
      <c r="B53" s="45" t="s">
        <v>26</v>
      </c>
      <c r="C53" s="191">
        <f>COUNTIF(Eingabe[Volle],"&gt;1")</f>
        <v>324</v>
      </c>
      <c r="D53" s="192">
        <f>COUNTIF(Eingabe[Räumer],"&gt;0")</f>
        <v>324</v>
      </c>
      <c r="E53" s="192">
        <f>D53</f>
        <v>324</v>
      </c>
      <c r="F53" s="192">
        <f>COUNTIF(Eingabe[S1],"&gt;0")</f>
        <v>310</v>
      </c>
      <c r="G53" s="192">
        <f>COUNTIF(Eingabe[S2],"&gt;0")</f>
        <v>310</v>
      </c>
      <c r="H53" s="192">
        <f>COUNTIF(Eingabe[S3],"&gt;0")</f>
        <v>310</v>
      </c>
      <c r="I53" s="192">
        <f>COUNTIF(Eingabe[S4],"&gt;0")</f>
        <v>309</v>
      </c>
      <c r="J53" s="192">
        <f>SUM(F53:I53)</f>
        <v>1239</v>
      </c>
      <c r="K53" s="193">
        <f>COUNTIF(Eingabe[GES],"&gt;2")</f>
        <v>324</v>
      </c>
      <c r="L53" s="46" t="str">
        <f t="shared" ref="L53:L55" si="0">B53</f>
        <v>Gesamt</v>
      </c>
    </row>
    <row r="54" spans="2:34" x14ac:dyDescent="0.3">
      <c r="B54" s="45" t="s">
        <v>125</v>
      </c>
      <c r="C54" s="194">
        <f>MAX(HäufigsteErgebnisse[Volle])</f>
        <v>10</v>
      </c>
      <c r="D54" s="52">
        <f>MAX(HäufigsteErgebnisse[Räumer])</f>
        <v>11</v>
      </c>
      <c r="E54" s="52">
        <f>MAX(HäufigsteErgebnisse[Fehler])</f>
        <v>27</v>
      </c>
      <c r="F54" s="52">
        <f>MAX(HäufigsteErgebnisse[Bahn 1])</f>
        <v>14</v>
      </c>
      <c r="G54" s="52">
        <f>MAX(HäufigsteErgebnisse[Bahn 2])</f>
        <v>21</v>
      </c>
      <c r="H54" s="52">
        <f>MAX(HäufigsteErgebnisse[Bahn 3])</f>
        <v>17</v>
      </c>
      <c r="I54" s="52">
        <f>MAX(HäufigsteErgebnisse[Bahn 4])</f>
        <v>16</v>
      </c>
      <c r="J54" s="52">
        <f>MAX(HäufigsteErgebnisse[Bahn gesamt])</f>
        <v>53</v>
      </c>
      <c r="K54" s="195">
        <f>MAX(HäufigsteErgebnisse[Gesamt])</f>
        <v>10</v>
      </c>
      <c r="L54" s="46" t="str">
        <f t="shared" si="0"/>
        <v>Anzahl</v>
      </c>
    </row>
    <row r="55" spans="2:34" x14ac:dyDescent="0.3">
      <c r="B55" s="45" t="s">
        <v>429</v>
      </c>
      <c r="C55" s="196">
        <f>C54/C53</f>
        <v>3.0864197530864196E-2</v>
      </c>
      <c r="D55" s="197">
        <f t="shared" ref="D55:K55" si="1">D54/D53</f>
        <v>3.3950617283950615E-2</v>
      </c>
      <c r="E55" s="197">
        <f t="shared" si="1"/>
        <v>8.3333333333333329E-2</v>
      </c>
      <c r="F55" s="197">
        <f t="shared" si="1"/>
        <v>4.5161290322580643E-2</v>
      </c>
      <c r="G55" s="197">
        <f t="shared" si="1"/>
        <v>6.7741935483870974E-2</v>
      </c>
      <c r="H55" s="197">
        <f t="shared" si="1"/>
        <v>5.4838709677419356E-2</v>
      </c>
      <c r="I55" s="197">
        <f t="shared" si="1"/>
        <v>5.1779935275080909E-2</v>
      </c>
      <c r="J55" s="197">
        <f t="shared" si="1"/>
        <v>4.2776432606941084E-2</v>
      </c>
      <c r="K55" s="198">
        <f t="shared" si="1"/>
        <v>3.0864197530864196E-2</v>
      </c>
      <c r="L55" s="46" t="str">
        <f t="shared" si="0"/>
        <v>Prozentual</v>
      </c>
    </row>
    <row r="56" spans="2:34" ht="16.2" thickBot="1" x14ac:dyDescent="0.35">
      <c r="B56" s="45" t="s">
        <v>99</v>
      </c>
      <c r="C56" s="3">
        <f>VLOOKUP(MAX(HäufigsteErgebnisse[Volle]),HäufigsteErgebnisse[[Volle]:[Zahl2]],10,FALSE)</f>
        <v>359</v>
      </c>
      <c r="D56" s="4">
        <f>VLOOKUP(MAX(HäufigsteErgebnisse[Räumer]),HäufigsteErgebnisse[[Räumer]:[Zahl2]],9,FALSE)</f>
        <v>174</v>
      </c>
      <c r="E56" s="4">
        <f>VLOOKUP(MAX(HäufigsteErgebnisse[Fehler]),HäufigsteErgebnisse[[Fehler]:[Zahl2]],8,FALSE)</f>
        <v>5</v>
      </c>
      <c r="F56" s="4">
        <f>VLOOKUP(MAX(HäufigsteErgebnisse[Bahn 1]),HäufigsteErgebnisse[[Bahn 1]:[Zahl2]],7,FALSE)</f>
        <v>130</v>
      </c>
      <c r="G56" s="4">
        <f>VLOOKUP(MAX(HäufigsteErgebnisse[Bahn 2]),HäufigsteErgebnisse[[Bahn 2]:[Zahl2]],6,FALSE)</f>
        <v>127</v>
      </c>
      <c r="H56" s="4">
        <f>VLOOKUP(MAX(HäufigsteErgebnisse[Bahn 3]),HäufigsteErgebnisse[[Bahn 3]:[Zahl2]],5,FALSE)</f>
        <v>130</v>
      </c>
      <c r="I56" s="4">
        <f>VLOOKUP(MAX(HäufigsteErgebnisse[Bahn 4]),HäufigsteErgebnisse[[Bahn 4]:[Zahl2]],4,FALSE)</f>
        <v>130</v>
      </c>
      <c r="J56" s="4">
        <f>VLOOKUP(MAX(HäufigsteErgebnisse[Bahn gesamt]),HäufigsteErgebnisse[[Bahn gesamt]:[Zahl2]],3,FALSE)</f>
        <v>130</v>
      </c>
      <c r="K56" s="5">
        <f>VLOOKUP(MAX(HäufigsteErgebnisse[Gesamt]),HäufigsteErgebnisse[[Gesamt]:[Zahl2]],2,FALSE)</f>
        <v>528</v>
      </c>
      <c r="L56" s="46" t="str">
        <f>B56</f>
        <v>Ergebnis</v>
      </c>
    </row>
    <row r="57" spans="2:34" x14ac:dyDescent="0.3">
      <c r="B57" s="1" t="s">
        <v>116</v>
      </c>
      <c r="C57" s="1" t="s">
        <v>21</v>
      </c>
      <c r="D57" s="1" t="s">
        <v>22</v>
      </c>
      <c r="E57" s="1" t="s">
        <v>23</v>
      </c>
      <c r="F57" s="1" t="s">
        <v>121</v>
      </c>
      <c r="G57" s="1" t="s">
        <v>122</v>
      </c>
      <c r="H57" s="1" t="s">
        <v>123</v>
      </c>
      <c r="I57" s="1" t="s">
        <v>124</v>
      </c>
      <c r="J57" s="1" t="s">
        <v>120</v>
      </c>
      <c r="K57" s="1" t="s">
        <v>26</v>
      </c>
      <c r="L57" s="1" t="s">
        <v>117</v>
      </c>
    </row>
    <row r="58" spans="2:34" x14ac:dyDescent="0.3">
      <c r="B58" s="2">
        <v>0</v>
      </c>
      <c r="C58" s="2">
        <f>COUNTIF(Eingabe[Volle],HäufigsteErgebnisse[[#This Row],[Zahl]])</f>
        <v>0</v>
      </c>
      <c r="D58" s="2">
        <f>COUNTIF(Eingabe[Räumer],HäufigsteErgebnisse[[#This Row],[Zahl]])</f>
        <v>0</v>
      </c>
      <c r="E58" s="2">
        <f>COUNTIF(Eingabe[Fehler],HäufigsteErgebnisse[[#This Row],[Zahl]])</f>
        <v>3</v>
      </c>
      <c r="F58" s="2">
        <f>COUNTIF(Eingabe[S1],HäufigsteErgebnisse[[#This Row],[Zahl]])</f>
        <v>0</v>
      </c>
      <c r="G58" s="2">
        <f>COUNTIF(Eingabe[S2],HäufigsteErgebnisse[[#This Row],[Zahl]])</f>
        <v>0</v>
      </c>
      <c r="H58" s="2">
        <f>COUNTIF(Eingabe[S3],HäufigsteErgebnisse[[#This Row],[Zahl]])</f>
        <v>0</v>
      </c>
      <c r="I58" s="2">
        <f>COUNTIF(Eingabe[S4],HäufigsteErgebnisse[[#This Row],[Zahl]])</f>
        <v>1</v>
      </c>
      <c r="J58" s="2">
        <f>COUNTIF(Eingabe[S1],HäufigsteErgebnisse[[#This Row],[Zahl]])+COUNTIF(Eingabe[S2],HäufigsteErgebnisse[[#This Row],[Zahl]])+COUNTIF(Eingabe[S3],HäufigsteErgebnisse[[#This Row],[Zahl]])+COUNTIF(Eingabe[S4],HäufigsteErgebnisse[[#This Row],[Zahl]])</f>
        <v>1</v>
      </c>
      <c r="K58" s="2">
        <f>COUNTIF(Eingabe[GES],HäufigsteErgebnisse[[#This Row],[Zahl]])</f>
        <v>0</v>
      </c>
      <c r="L58" s="2">
        <f>HäufigsteErgebnisse[[#This Row],[Zahl]]</f>
        <v>0</v>
      </c>
    </row>
    <row r="59" spans="2:34" x14ac:dyDescent="0.3">
      <c r="B59" s="2">
        <v>1</v>
      </c>
      <c r="C59" s="2"/>
      <c r="D59" s="2">
        <f>COUNTIF(Eingabe[Räumer],HäufigsteErgebnisse[[#This Row],[Zahl]])</f>
        <v>0</v>
      </c>
      <c r="E59" s="2">
        <f>COUNTIF(Eingabe[Fehler],HäufigsteErgebnisse[[#This Row],[Zahl]])</f>
        <v>10</v>
      </c>
      <c r="F59" s="2">
        <f>COUNTIF(Eingabe[S1],HäufigsteErgebnisse[[#This Row],[Zahl]])</f>
        <v>0</v>
      </c>
      <c r="G59" s="2">
        <f>COUNTIF(Eingabe[S2],HäufigsteErgebnisse[[#This Row],[Zahl]])</f>
        <v>0</v>
      </c>
      <c r="H59" s="2">
        <f>COUNTIF(Eingabe[S3],HäufigsteErgebnisse[[#This Row],[Zahl]])</f>
        <v>0</v>
      </c>
      <c r="I59" s="2">
        <f>COUNTIF(Eingabe[S4],HäufigsteErgebnisse[[#This Row],[Zahl]])</f>
        <v>0</v>
      </c>
      <c r="J59" s="2">
        <f>COUNTIF(Eingabe[S1],HäufigsteErgebnisse[[#This Row],[Zahl]])+COUNTIF(Eingabe[S2],HäufigsteErgebnisse[[#This Row],[Zahl]])+COUNTIF(Eingabe[S3],HäufigsteErgebnisse[[#This Row],[Zahl]])+COUNTIF(Eingabe[S4],HäufigsteErgebnisse[[#This Row],[Zahl]])</f>
        <v>0</v>
      </c>
      <c r="K59" s="2"/>
      <c r="L59" s="2">
        <f>HäufigsteErgebnisse[[#This Row],[Zahl]]</f>
        <v>1</v>
      </c>
    </row>
    <row r="60" spans="2:34" x14ac:dyDescent="0.3">
      <c r="B60" s="2">
        <v>2</v>
      </c>
      <c r="C60" s="2">
        <f>COUNTIF(Eingabe[Volle],HäufigsteErgebnisse[[#This Row],[Zahl]])</f>
        <v>0</v>
      </c>
      <c r="D60" s="2">
        <f>COUNTIF(Eingabe[Räumer],HäufigsteErgebnisse[[#This Row],[Zahl]])</f>
        <v>0</v>
      </c>
      <c r="E60" s="2">
        <f>COUNTIF(Eingabe[Fehler],HäufigsteErgebnisse[[#This Row],[Zahl]])</f>
        <v>17</v>
      </c>
      <c r="F60" s="2">
        <f>COUNTIF(Eingabe[S1],HäufigsteErgebnisse[[#This Row],[Zahl]])</f>
        <v>0</v>
      </c>
      <c r="G60" s="2">
        <f>COUNTIF(Eingabe[S2],HäufigsteErgebnisse[[#This Row],[Zahl]])</f>
        <v>0</v>
      </c>
      <c r="H60" s="2">
        <f>COUNTIF(Eingabe[S3],HäufigsteErgebnisse[[#This Row],[Zahl]])</f>
        <v>0</v>
      </c>
      <c r="I60" s="2">
        <f>COUNTIF(Eingabe[S4],HäufigsteErgebnisse[[#This Row],[Zahl]])</f>
        <v>0</v>
      </c>
      <c r="J60" s="2">
        <f>COUNTIF(Eingabe[S1],HäufigsteErgebnisse[[#This Row],[Zahl]])+COUNTIF(Eingabe[S2],HäufigsteErgebnisse[[#This Row],[Zahl]])+COUNTIF(Eingabe[S3],HäufigsteErgebnisse[[#This Row],[Zahl]])+COUNTIF(Eingabe[S4],HäufigsteErgebnisse[[#This Row],[Zahl]])</f>
        <v>0</v>
      </c>
      <c r="K60" s="2">
        <f>COUNTIF(Eingabe[GES],HäufigsteErgebnisse[[#This Row],[Zahl]])</f>
        <v>0</v>
      </c>
      <c r="L60" s="2">
        <f>HäufigsteErgebnisse[[#This Row],[Zahl]]</f>
        <v>2</v>
      </c>
    </row>
    <row r="61" spans="2:34" x14ac:dyDescent="0.3">
      <c r="B61" s="2">
        <v>3</v>
      </c>
      <c r="C61" s="2">
        <f>COUNTIF(Eingabe[Volle],HäufigsteErgebnisse[[#This Row],[Zahl]])</f>
        <v>0</v>
      </c>
      <c r="D61" s="2">
        <f>COUNTIF(Eingabe[Räumer],HäufigsteErgebnisse[[#This Row],[Zahl]])</f>
        <v>0</v>
      </c>
      <c r="E61" s="2">
        <f>COUNTIF(Eingabe[Fehler],HäufigsteErgebnisse[[#This Row],[Zahl]])</f>
        <v>20</v>
      </c>
      <c r="F61" s="2">
        <f>COUNTIF(Eingabe[S1],HäufigsteErgebnisse[[#This Row],[Zahl]])</f>
        <v>0</v>
      </c>
      <c r="G61" s="2">
        <f>COUNTIF(Eingabe[S2],HäufigsteErgebnisse[[#This Row],[Zahl]])</f>
        <v>0</v>
      </c>
      <c r="H61" s="2">
        <f>COUNTIF(Eingabe[S3],HäufigsteErgebnisse[[#This Row],[Zahl]])</f>
        <v>0</v>
      </c>
      <c r="I61" s="2">
        <f>COUNTIF(Eingabe[S4],HäufigsteErgebnisse[[#This Row],[Zahl]])</f>
        <v>0</v>
      </c>
      <c r="J61" s="2">
        <f>COUNTIF(Eingabe[S1],HäufigsteErgebnisse[[#This Row],[Zahl]])+COUNTIF(Eingabe[S2],HäufigsteErgebnisse[[#This Row],[Zahl]])+COUNTIF(Eingabe[S3],HäufigsteErgebnisse[[#This Row],[Zahl]])+COUNTIF(Eingabe[S4],HäufigsteErgebnisse[[#This Row],[Zahl]])</f>
        <v>0</v>
      </c>
      <c r="K61" s="2">
        <f>COUNTIF(Eingabe[GES],HäufigsteErgebnisse[[#This Row],[Zahl]])</f>
        <v>0</v>
      </c>
      <c r="L61" s="2">
        <f>HäufigsteErgebnisse[[#This Row],[Zahl]]</f>
        <v>3</v>
      </c>
    </row>
    <row r="62" spans="2:34" x14ac:dyDescent="0.3">
      <c r="B62" s="2">
        <v>4</v>
      </c>
      <c r="C62" s="2">
        <f>COUNTIF(Eingabe[Volle],HäufigsteErgebnisse[[#This Row],[Zahl]])</f>
        <v>0</v>
      </c>
      <c r="D62" s="2">
        <f>COUNTIF(Eingabe[Räumer],HäufigsteErgebnisse[[#This Row],[Zahl]])</f>
        <v>0</v>
      </c>
      <c r="E62" s="2">
        <f>COUNTIF(Eingabe[Fehler],HäufigsteErgebnisse[[#This Row],[Zahl]])</f>
        <v>25</v>
      </c>
      <c r="F62" s="2">
        <f>COUNTIF(Eingabe[S1],HäufigsteErgebnisse[[#This Row],[Zahl]])</f>
        <v>0</v>
      </c>
      <c r="G62" s="2">
        <f>COUNTIF(Eingabe[S2],HäufigsteErgebnisse[[#This Row],[Zahl]])</f>
        <v>0</v>
      </c>
      <c r="H62" s="2">
        <f>COUNTIF(Eingabe[S3],HäufigsteErgebnisse[[#This Row],[Zahl]])</f>
        <v>0</v>
      </c>
      <c r="I62" s="2">
        <f>COUNTIF(Eingabe[S4],HäufigsteErgebnisse[[#This Row],[Zahl]])</f>
        <v>0</v>
      </c>
      <c r="J62" s="2">
        <f>COUNTIF(Eingabe[S1],HäufigsteErgebnisse[[#This Row],[Zahl]])+COUNTIF(Eingabe[S2],HäufigsteErgebnisse[[#This Row],[Zahl]])+COUNTIF(Eingabe[S3],HäufigsteErgebnisse[[#This Row],[Zahl]])+COUNTIF(Eingabe[S4],HäufigsteErgebnisse[[#This Row],[Zahl]])</f>
        <v>0</v>
      </c>
      <c r="K62" s="2">
        <f>COUNTIF(Eingabe[GES],HäufigsteErgebnisse[[#This Row],[Zahl]])</f>
        <v>0</v>
      </c>
      <c r="L62" s="2">
        <f>HäufigsteErgebnisse[[#This Row],[Zahl]]</f>
        <v>4</v>
      </c>
    </row>
    <row r="63" spans="2:34" x14ac:dyDescent="0.3">
      <c r="B63" s="2">
        <v>5</v>
      </c>
      <c r="C63" s="2">
        <f>COUNTIF(Eingabe[Volle],HäufigsteErgebnisse[[#This Row],[Zahl]])</f>
        <v>0</v>
      </c>
      <c r="D63" s="2">
        <f>COUNTIF(Eingabe[Räumer],HäufigsteErgebnisse[[#This Row],[Zahl]])</f>
        <v>0</v>
      </c>
      <c r="E63" s="2">
        <f>COUNTIF(Eingabe[Fehler],HäufigsteErgebnisse[[#This Row],[Zahl]])</f>
        <v>27</v>
      </c>
      <c r="F63" s="2">
        <f>COUNTIF(Eingabe[S1],HäufigsteErgebnisse[[#This Row],[Zahl]])</f>
        <v>0</v>
      </c>
      <c r="G63" s="2">
        <f>COUNTIF(Eingabe[S2],HäufigsteErgebnisse[[#This Row],[Zahl]])</f>
        <v>0</v>
      </c>
      <c r="H63" s="2">
        <f>COUNTIF(Eingabe[S3],HäufigsteErgebnisse[[#This Row],[Zahl]])</f>
        <v>0</v>
      </c>
      <c r="I63" s="2">
        <f>COUNTIF(Eingabe[S4],HäufigsteErgebnisse[[#This Row],[Zahl]])</f>
        <v>0</v>
      </c>
      <c r="J63" s="2">
        <f>COUNTIF(Eingabe[S1],HäufigsteErgebnisse[[#This Row],[Zahl]])+COUNTIF(Eingabe[S2],HäufigsteErgebnisse[[#This Row],[Zahl]])+COUNTIF(Eingabe[S3],HäufigsteErgebnisse[[#This Row],[Zahl]])+COUNTIF(Eingabe[S4],HäufigsteErgebnisse[[#This Row],[Zahl]])</f>
        <v>0</v>
      </c>
      <c r="K63" s="2">
        <f>COUNTIF(Eingabe[GES],HäufigsteErgebnisse[[#This Row],[Zahl]])</f>
        <v>0</v>
      </c>
      <c r="L63" s="2">
        <f>HäufigsteErgebnisse[[#This Row],[Zahl]]</f>
        <v>5</v>
      </c>
    </row>
    <row r="64" spans="2:34" x14ac:dyDescent="0.3">
      <c r="B64" s="2">
        <v>6</v>
      </c>
      <c r="C64" s="2">
        <f>COUNTIF(Eingabe[Volle],HäufigsteErgebnisse[[#This Row],[Zahl]])</f>
        <v>0</v>
      </c>
      <c r="D64" s="2">
        <f>COUNTIF(Eingabe[Räumer],HäufigsteErgebnisse[[#This Row],[Zahl]])</f>
        <v>0</v>
      </c>
      <c r="E64" s="2">
        <f>COUNTIF(Eingabe[Fehler],HäufigsteErgebnisse[[#This Row],[Zahl]])</f>
        <v>26</v>
      </c>
      <c r="F64" s="2">
        <f>COUNTIF(Eingabe[S1],HäufigsteErgebnisse[[#This Row],[Zahl]])</f>
        <v>0</v>
      </c>
      <c r="G64" s="2">
        <f>COUNTIF(Eingabe[S2],HäufigsteErgebnisse[[#This Row],[Zahl]])</f>
        <v>0</v>
      </c>
      <c r="H64" s="2">
        <f>COUNTIF(Eingabe[S3],HäufigsteErgebnisse[[#This Row],[Zahl]])</f>
        <v>0</v>
      </c>
      <c r="I64" s="2">
        <f>COUNTIF(Eingabe[S4],HäufigsteErgebnisse[[#This Row],[Zahl]])</f>
        <v>0</v>
      </c>
      <c r="J64" s="2">
        <f>COUNTIF(Eingabe[S1],HäufigsteErgebnisse[[#This Row],[Zahl]])+COUNTIF(Eingabe[S2],HäufigsteErgebnisse[[#This Row],[Zahl]])+COUNTIF(Eingabe[S3],HäufigsteErgebnisse[[#This Row],[Zahl]])+COUNTIF(Eingabe[S4],HäufigsteErgebnisse[[#This Row],[Zahl]])</f>
        <v>0</v>
      </c>
      <c r="K64" s="2">
        <f>COUNTIF(Eingabe[GES],HäufigsteErgebnisse[[#This Row],[Zahl]])</f>
        <v>0</v>
      </c>
      <c r="L64" s="2">
        <f>HäufigsteErgebnisse[[#This Row],[Zahl]]</f>
        <v>6</v>
      </c>
    </row>
    <row r="65" spans="2:12" x14ac:dyDescent="0.3">
      <c r="B65" s="2">
        <v>7</v>
      </c>
      <c r="C65" s="2">
        <f>COUNTIF(Eingabe[Volle],HäufigsteErgebnisse[[#This Row],[Zahl]])</f>
        <v>0</v>
      </c>
      <c r="D65" s="2">
        <f>COUNTIF(Eingabe[Räumer],HäufigsteErgebnisse[[#This Row],[Zahl]])</f>
        <v>0</v>
      </c>
      <c r="E65" s="2">
        <f>COUNTIF(Eingabe[Fehler],HäufigsteErgebnisse[[#This Row],[Zahl]])</f>
        <v>21</v>
      </c>
      <c r="F65" s="2">
        <f>COUNTIF(Eingabe[S1],HäufigsteErgebnisse[[#This Row],[Zahl]])</f>
        <v>0</v>
      </c>
      <c r="G65" s="2">
        <f>COUNTIF(Eingabe[S2],HäufigsteErgebnisse[[#This Row],[Zahl]])</f>
        <v>0</v>
      </c>
      <c r="H65" s="2">
        <f>COUNTIF(Eingabe[S3],HäufigsteErgebnisse[[#This Row],[Zahl]])</f>
        <v>0</v>
      </c>
      <c r="I65" s="2">
        <f>COUNTIF(Eingabe[S4],HäufigsteErgebnisse[[#This Row],[Zahl]])</f>
        <v>0</v>
      </c>
      <c r="J65" s="2">
        <f>COUNTIF(Eingabe[S1],HäufigsteErgebnisse[[#This Row],[Zahl]])+COUNTIF(Eingabe[S2],HäufigsteErgebnisse[[#This Row],[Zahl]])+COUNTIF(Eingabe[S3],HäufigsteErgebnisse[[#This Row],[Zahl]])+COUNTIF(Eingabe[S4],HäufigsteErgebnisse[[#This Row],[Zahl]])</f>
        <v>0</v>
      </c>
      <c r="K65" s="2">
        <f>COUNTIF(Eingabe[GES],HäufigsteErgebnisse[[#This Row],[Zahl]])</f>
        <v>0</v>
      </c>
      <c r="L65" s="2">
        <f>HäufigsteErgebnisse[[#This Row],[Zahl]]</f>
        <v>7</v>
      </c>
    </row>
    <row r="66" spans="2:12" x14ac:dyDescent="0.3">
      <c r="B66" s="2">
        <v>8</v>
      </c>
      <c r="C66" s="2">
        <f>COUNTIF(Eingabe[Volle],HäufigsteErgebnisse[[#This Row],[Zahl]])</f>
        <v>0</v>
      </c>
      <c r="D66" s="2">
        <f>COUNTIF(Eingabe[Räumer],HäufigsteErgebnisse[[#This Row],[Zahl]])</f>
        <v>0</v>
      </c>
      <c r="E66" s="2">
        <f>COUNTIF(Eingabe[Fehler],HäufigsteErgebnisse[[#This Row],[Zahl]])</f>
        <v>26</v>
      </c>
      <c r="F66" s="2">
        <f>COUNTIF(Eingabe[S1],HäufigsteErgebnisse[[#This Row],[Zahl]])</f>
        <v>0</v>
      </c>
      <c r="G66" s="2">
        <f>COUNTIF(Eingabe[S2],HäufigsteErgebnisse[[#This Row],[Zahl]])</f>
        <v>0</v>
      </c>
      <c r="H66" s="2">
        <f>COUNTIF(Eingabe[S3],HäufigsteErgebnisse[[#This Row],[Zahl]])</f>
        <v>0</v>
      </c>
      <c r="I66" s="2">
        <f>COUNTIF(Eingabe[S4],HäufigsteErgebnisse[[#This Row],[Zahl]])</f>
        <v>0</v>
      </c>
      <c r="J66" s="2">
        <f>COUNTIF(Eingabe[S1],HäufigsteErgebnisse[[#This Row],[Zahl]])+COUNTIF(Eingabe[S2],HäufigsteErgebnisse[[#This Row],[Zahl]])+COUNTIF(Eingabe[S3],HäufigsteErgebnisse[[#This Row],[Zahl]])+COUNTIF(Eingabe[S4],HäufigsteErgebnisse[[#This Row],[Zahl]])</f>
        <v>0</v>
      </c>
      <c r="K66" s="2">
        <f>COUNTIF(Eingabe[GES],HäufigsteErgebnisse[[#This Row],[Zahl]])</f>
        <v>0</v>
      </c>
      <c r="L66" s="2">
        <f>HäufigsteErgebnisse[[#This Row],[Zahl]]</f>
        <v>8</v>
      </c>
    </row>
    <row r="67" spans="2:12" x14ac:dyDescent="0.3">
      <c r="B67" s="2">
        <v>9</v>
      </c>
      <c r="C67" s="2">
        <f>COUNTIF(Eingabe[Volle],HäufigsteErgebnisse[[#This Row],[Zahl]])</f>
        <v>0</v>
      </c>
      <c r="D67" s="2">
        <f>COUNTIF(Eingabe[Räumer],HäufigsteErgebnisse[[#This Row],[Zahl]])</f>
        <v>0</v>
      </c>
      <c r="E67" s="2">
        <f>COUNTIF(Eingabe[Fehler],HäufigsteErgebnisse[[#This Row],[Zahl]])</f>
        <v>24</v>
      </c>
      <c r="F67" s="2">
        <f>COUNTIF(Eingabe[S1],HäufigsteErgebnisse[[#This Row],[Zahl]])</f>
        <v>0</v>
      </c>
      <c r="G67" s="2">
        <f>COUNTIF(Eingabe[S2],HäufigsteErgebnisse[[#This Row],[Zahl]])</f>
        <v>0</v>
      </c>
      <c r="H67" s="2">
        <f>COUNTIF(Eingabe[S3],HäufigsteErgebnisse[[#This Row],[Zahl]])</f>
        <v>0</v>
      </c>
      <c r="I67" s="2">
        <f>COUNTIF(Eingabe[S4],HäufigsteErgebnisse[[#This Row],[Zahl]])</f>
        <v>0</v>
      </c>
      <c r="J67" s="2">
        <f>COUNTIF(Eingabe[S1],HäufigsteErgebnisse[[#This Row],[Zahl]])+COUNTIF(Eingabe[S2],HäufigsteErgebnisse[[#This Row],[Zahl]])+COUNTIF(Eingabe[S3],HäufigsteErgebnisse[[#This Row],[Zahl]])+COUNTIF(Eingabe[S4],HäufigsteErgebnisse[[#This Row],[Zahl]])</f>
        <v>0</v>
      </c>
      <c r="K67" s="2">
        <f>COUNTIF(Eingabe[GES],HäufigsteErgebnisse[[#This Row],[Zahl]])</f>
        <v>0</v>
      </c>
      <c r="L67" s="2">
        <f>HäufigsteErgebnisse[[#This Row],[Zahl]]</f>
        <v>9</v>
      </c>
    </row>
    <row r="68" spans="2:12" x14ac:dyDescent="0.3">
      <c r="B68" s="2">
        <v>10</v>
      </c>
      <c r="C68" s="2">
        <f>COUNTIF(Eingabe[Volle],HäufigsteErgebnisse[[#This Row],[Zahl]])</f>
        <v>0</v>
      </c>
      <c r="D68" s="2">
        <f>COUNTIF(Eingabe[Räumer],HäufigsteErgebnisse[[#This Row],[Zahl]])</f>
        <v>0</v>
      </c>
      <c r="E68" s="2">
        <f>COUNTIF(Eingabe[Fehler],HäufigsteErgebnisse[[#This Row],[Zahl]])</f>
        <v>19</v>
      </c>
      <c r="F68" s="2">
        <f>COUNTIF(Eingabe[S1],HäufigsteErgebnisse[[#This Row],[Zahl]])</f>
        <v>0</v>
      </c>
      <c r="G68" s="2">
        <f>COUNTIF(Eingabe[S2],HäufigsteErgebnisse[[#This Row],[Zahl]])</f>
        <v>0</v>
      </c>
      <c r="H68" s="2">
        <f>COUNTIF(Eingabe[S3],HäufigsteErgebnisse[[#This Row],[Zahl]])</f>
        <v>0</v>
      </c>
      <c r="I68" s="2">
        <f>COUNTIF(Eingabe[S4],HäufigsteErgebnisse[[#This Row],[Zahl]])</f>
        <v>0</v>
      </c>
      <c r="J68" s="2">
        <f>COUNTIF(Eingabe[S1],HäufigsteErgebnisse[[#This Row],[Zahl]])+COUNTIF(Eingabe[S2],HäufigsteErgebnisse[[#This Row],[Zahl]])+COUNTIF(Eingabe[S3],HäufigsteErgebnisse[[#This Row],[Zahl]])+COUNTIF(Eingabe[S4],HäufigsteErgebnisse[[#This Row],[Zahl]])</f>
        <v>0</v>
      </c>
      <c r="K68" s="2">
        <f>COUNTIF(Eingabe[GES],HäufigsteErgebnisse[[#This Row],[Zahl]])</f>
        <v>0</v>
      </c>
      <c r="L68" s="2">
        <f>HäufigsteErgebnisse[[#This Row],[Zahl]]</f>
        <v>10</v>
      </c>
    </row>
    <row r="69" spans="2:12" x14ac:dyDescent="0.3">
      <c r="B69" s="2">
        <v>11</v>
      </c>
      <c r="C69" s="2">
        <f>COUNTIF(Eingabe[Volle],HäufigsteErgebnisse[[#This Row],[Zahl]])</f>
        <v>0</v>
      </c>
      <c r="D69" s="2">
        <f>COUNTIF(Eingabe[Räumer],HäufigsteErgebnisse[[#This Row],[Zahl]])</f>
        <v>0</v>
      </c>
      <c r="E69" s="2">
        <f>COUNTIF(Eingabe[Fehler],HäufigsteErgebnisse[[#This Row],[Zahl]])</f>
        <v>11</v>
      </c>
      <c r="F69" s="2">
        <f>COUNTIF(Eingabe[S1],HäufigsteErgebnisse[[#This Row],[Zahl]])</f>
        <v>0</v>
      </c>
      <c r="G69" s="2">
        <f>COUNTIF(Eingabe[S2],HäufigsteErgebnisse[[#This Row],[Zahl]])</f>
        <v>0</v>
      </c>
      <c r="H69" s="2">
        <f>COUNTIF(Eingabe[S3],HäufigsteErgebnisse[[#This Row],[Zahl]])</f>
        <v>0</v>
      </c>
      <c r="I69" s="2">
        <f>COUNTIF(Eingabe[S4],HäufigsteErgebnisse[[#This Row],[Zahl]])</f>
        <v>0</v>
      </c>
      <c r="J69" s="2">
        <f>COUNTIF(Eingabe[S1],HäufigsteErgebnisse[[#This Row],[Zahl]])+COUNTIF(Eingabe[S2],HäufigsteErgebnisse[[#This Row],[Zahl]])+COUNTIF(Eingabe[S3],HäufigsteErgebnisse[[#This Row],[Zahl]])+COUNTIF(Eingabe[S4],HäufigsteErgebnisse[[#This Row],[Zahl]])</f>
        <v>0</v>
      </c>
      <c r="K69" s="2">
        <f>COUNTIF(Eingabe[GES],HäufigsteErgebnisse[[#This Row],[Zahl]])</f>
        <v>0</v>
      </c>
      <c r="L69" s="2">
        <f>HäufigsteErgebnisse[[#This Row],[Zahl]]</f>
        <v>11</v>
      </c>
    </row>
    <row r="70" spans="2:12" x14ac:dyDescent="0.3">
      <c r="B70" s="2">
        <v>12</v>
      </c>
      <c r="C70" s="2">
        <f>COUNTIF(Eingabe[Volle],HäufigsteErgebnisse[[#This Row],[Zahl]])</f>
        <v>0</v>
      </c>
      <c r="D70" s="2">
        <f>COUNTIF(Eingabe[Räumer],HäufigsteErgebnisse[[#This Row],[Zahl]])</f>
        <v>0</v>
      </c>
      <c r="E70" s="2">
        <f>COUNTIF(Eingabe[Fehler],HäufigsteErgebnisse[[#This Row],[Zahl]])</f>
        <v>16</v>
      </c>
      <c r="F70" s="2">
        <f>COUNTIF(Eingabe[S1],HäufigsteErgebnisse[[#This Row],[Zahl]])</f>
        <v>0</v>
      </c>
      <c r="G70" s="2">
        <f>COUNTIF(Eingabe[S2],HäufigsteErgebnisse[[#This Row],[Zahl]])</f>
        <v>0</v>
      </c>
      <c r="H70" s="2">
        <f>COUNTIF(Eingabe[S3],HäufigsteErgebnisse[[#This Row],[Zahl]])</f>
        <v>0</v>
      </c>
      <c r="I70" s="2">
        <f>COUNTIF(Eingabe[S4],HäufigsteErgebnisse[[#This Row],[Zahl]])</f>
        <v>0</v>
      </c>
      <c r="J70" s="2">
        <f>COUNTIF(Eingabe[S1],HäufigsteErgebnisse[[#This Row],[Zahl]])+COUNTIF(Eingabe[S2],HäufigsteErgebnisse[[#This Row],[Zahl]])+COUNTIF(Eingabe[S3],HäufigsteErgebnisse[[#This Row],[Zahl]])+COUNTIF(Eingabe[S4],HäufigsteErgebnisse[[#This Row],[Zahl]])</f>
        <v>0</v>
      </c>
      <c r="K70" s="2">
        <f>COUNTIF(Eingabe[GES],HäufigsteErgebnisse[[#This Row],[Zahl]])</f>
        <v>0</v>
      </c>
      <c r="L70" s="2">
        <f>HäufigsteErgebnisse[[#This Row],[Zahl]]</f>
        <v>12</v>
      </c>
    </row>
    <row r="71" spans="2:12" x14ac:dyDescent="0.3">
      <c r="B71" s="2">
        <v>13</v>
      </c>
      <c r="C71" s="2">
        <f>COUNTIF(Eingabe[Volle],HäufigsteErgebnisse[[#This Row],[Zahl]])</f>
        <v>0</v>
      </c>
      <c r="D71" s="2">
        <f>COUNTIF(Eingabe[Räumer],HäufigsteErgebnisse[[#This Row],[Zahl]])</f>
        <v>0</v>
      </c>
      <c r="E71" s="2">
        <f>COUNTIF(Eingabe[Fehler],HäufigsteErgebnisse[[#This Row],[Zahl]])</f>
        <v>12</v>
      </c>
      <c r="F71" s="2">
        <f>COUNTIF(Eingabe[S1],HäufigsteErgebnisse[[#This Row],[Zahl]])</f>
        <v>0</v>
      </c>
      <c r="G71" s="2">
        <f>COUNTIF(Eingabe[S2],HäufigsteErgebnisse[[#This Row],[Zahl]])</f>
        <v>0</v>
      </c>
      <c r="H71" s="2">
        <f>COUNTIF(Eingabe[S3],HäufigsteErgebnisse[[#This Row],[Zahl]])</f>
        <v>0</v>
      </c>
      <c r="I71" s="2">
        <f>COUNTIF(Eingabe[S4],HäufigsteErgebnisse[[#This Row],[Zahl]])</f>
        <v>0</v>
      </c>
      <c r="J71" s="2">
        <f>COUNTIF(Eingabe[S1],HäufigsteErgebnisse[[#This Row],[Zahl]])+COUNTIF(Eingabe[S2],HäufigsteErgebnisse[[#This Row],[Zahl]])+COUNTIF(Eingabe[S3],HäufigsteErgebnisse[[#This Row],[Zahl]])+COUNTIF(Eingabe[S4],HäufigsteErgebnisse[[#This Row],[Zahl]])</f>
        <v>0</v>
      </c>
      <c r="K71" s="2">
        <f>COUNTIF(Eingabe[GES],HäufigsteErgebnisse[[#This Row],[Zahl]])</f>
        <v>0</v>
      </c>
      <c r="L71" s="2">
        <f>HäufigsteErgebnisse[[#This Row],[Zahl]]</f>
        <v>13</v>
      </c>
    </row>
    <row r="72" spans="2:12" x14ac:dyDescent="0.3">
      <c r="B72" s="2">
        <v>14</v>
      </c>
      <c r="C72" s="2">
        <f>COUNTIF(Eingabe[Volle],HäufigsteErgebnisse[[#This Row],[Zahl]])</f>
        <v>0</v>
      </c>
      <c r="D72" s="2">
        <f>COUNTIF(Eingabe[Räumer],HäufigsteErgebnisse[[#This Row],[Zahl]])</f>
        <v>0</v>
      </c>
      <c r="E72" s="2">
        <f>COUNTIF(Eingabe[Fehler],HäufigsteErgebnisse[[#This Row],[Zahl]])</f>
        <v>7</v>
      </c>
      <c r="F72" s="2">
        <f>COUNTIF(Eingabe[S1],HäufigsteErgebnisse[[#This Row],[Zahl]])</f>
        <v>0</v>
      </c>
      <c r="G72" s="2">
        <f>COUNTIF(Eingabe[S2],HäufigsteErgebnisse[[#This Row],[Zahl]])</f>
        <v>0</v>
      </c>
      <c r="H72" s="2">
        <f>COUNTIF(Eingabe[S3],HäufigsteErgebnisse[[#This Row],[Zahl]])</f>
        <v>0</v>
      </c>
      <c r="I72" s="2">
        <f>COUNTIF(Eingabe[S4],HäufigsteErgebnisse[[#This Row],[Zahl]])</f>
        <v>0</v>
      </c>
      <c r="J72" s="2">
        <f>COUNTIF(Eingabe[S1],HäufigsteErgebnisse[[#This Row],[Zahl]])+COUNTIF(Eingabe[S2],HäufigsteErgebnisse[[#This Row],[Zahl]])+COUNTIF(Eingabe[S3],HäufigsteErgebnisse[[#This Row],[Zahl]])+COUNTIF(Eingabe[S4],HäufigsteErgebnisse[[#This Row],[Zahl]])</f>
        <v>0</v>
      </c>
      <c r="K72" s="2">
        <f>COUNTIF(Eingabe[GES],HäufigsteErgebnisse[[#This Row],[Zahl]])</f>
        <v>0</v>
      </c>
      <c r="L72" s="2">
        <f>HäufigsteErgebnisse[[#This Row],[Zahl]]</f>
        <v>14</v>
      </c>
    </row>
    <row r="73" spans="2:12" x14ac:dyDescent="0.3">
      <c r="B73" s="2">
        <v>15</v>
      </c>
      <c r="C73" s="2">
        <f>COUNTIF(Eingabe[Volle],HäufigsteErgebnisse[[#This Row],[Zahl]])</f>
        <v>0</v>
      </c>
      <c r="D73" s="2">
        <f>COUNTIF(Eingabe[Räumer],HäufigsteErgebnisse[[#This Row],[Zahl]])</f>
        <v>0</v>
      </c>
      <c r="E73" s="2">
        <f>COUNTIF(Eingabe[Fehler],HäufigsteErgebnisse[[#This Row],[Zahl]])</f>
        <v>5</v>
      </c>
      <c r="F73" s="2">
        <f>COUNTIF(Eingabe[S1],HäufigsteErgebnisse[[#This Row],[Zahl]])</f>
        <v>0</v>
      </c>
      <c r="G73" s="2">
        <f>COUNTIF(Eingabe[S2],HäufigsteErgebnisse[[#This Row],[Zahl]])</f>
        <v>0</v>
      </c>
      <c r="H73" s="2">
        <f>COUNTIF(Eingabe[S3],HäufigsteErgebnisse[[#This Row],[Zahl]])</f>
        <v>0</v>
      </c>
      <c r="I73" s="2">
        <f>COUNTIF(Eingabe[S4],HäufigsteErgebnisse[[#This Row],[Zahl]])</f>
        <v>0</v>
      </c>
      <c r="J73" s="2">
        <f>COUNTIF(Eingabe[S1],HäufigsteErgebnisse[[#This Row],[Zahl]])+COUNTIF(Eingabe[S2],HäufigsteErgebnisse[[#This Row],[Zahl]])+COUNTIF(Eingabe[S3],HäufigsteErgebnisse[[#This Row],[Zahl]])+COUNTIF(Eingabe[S4],HäufigsteErgebnisse[[#This Row],[Zahl]])</f>
        <v>0</v>
      </c>
      <c r="K73" s="2">
        <f>COUNTIF(Eingabe[GES],HäufigsteErgebnisse[[#This Row],[Zahl]])</f>
        <v>0</v>
      </c>
      <c r="L73" s="2">
        <f>HäufigsteErgebnisse[[#This Row],[Zahl]]</f>
        <v>15</v>
      </c>
    </row>
    <row r="74" spans="2:12" x14ac:dyDescent="0.3">
      <c r="B74" s="2">
        <v>16</v>
      </c>
      <c r="C74" s="2">
        <f>COUNTIF(Eingabe[Volle],HäufigsteErgebnisse[[#This Row],[Zahl]])</f>
        <v>0</v>
      </c>
      <c r="D74" s="2">
        <f>COUNTIF(Eingabe[Räumer],HäufigsteErgebnisse[[#This Row],[Zahl]])</f>
        <v>0</v>
      </c>
      <c r="E74" s="2">
        <f>COUNTIF(Eingabe[Fehler],HäufigsteErgebnisse[[#This Row],[Zahl]])</f>
        <v>5</v>
      </c>
      <c r="F74" s="2">
        <f>COUNTIF(Eingabe[S1],HäufigsteErgebnisse[[#This Row],[Zahl]])</f>
        <v>0</v>
      </c>
      <c r="G74" s="2">
        <f>COUNTIF(Eingabe[S2],HäufigsteErgebnisse[[#This Row],[Zahl]])</f>
        <v>0</v>
      </c>
      <c r="H74" s="2">
        <f>COUNTIF(Eingabe[S3],HäufigsteErgebnisse[[#This Row],[Zahl]])</f>
        <v>0</v>
      </c>
      <c r="I74" s="2">
        <f>COUNTIF(Eingabe[S4],HäufigsteErgebnisse[[#This Row],[Zahl]])</f>
        <v>0</v>
      </c>
      <c r="J74" s="2">
        <f>COUNTIF(Eingabe[S1],HäufigsteErgebnisse[[#This Row],[Zahl]])+COUNTIF(Eingabe[S2],HäufigsteErgebnisse[[#This Row],[Zahl]])+COUNTIF(Eingabe[S3],HäufigsteErgebnisse[[#This Row],[Zahl]])+COUNTIF(Eingabe[S4],HäufigsteErgebnisse[[#This Row],[Zahl]])</f>
        <v>0</v>
      </c>
      <c r="K74" s="2">
        <f>COUNTIF(Eingabe[GES],HäufigsteErgebnisse[[#This Row],[Zahl]])</f>
        <v>0</v>
      </c>
      <c r="L74" s="2">
        <f>HäufigsteErgebnisse[[#This Row],[Zahl]]</f>
        <v>16</v>
      </c>
    </row>
    <row r="75" spans="2:12" x14ac:dyDescent="0.3">
      <c r="B75" s="2">
        <v>17</v>
      </c>
      <c r="C75" s="2">
        <f>COUNTIF(Eingabe[Volle],HäufigsteErgebnisse[[#This Row],[Zahl]])</f>
        <v>0</v>
      </c>
      <c r="D75" s="2">
        <f>COUNTIF(Eingabe[Räumer],HäufigsteErgebnisse[[#This Row],[Zahl]])</f>
        <v>0</v>
      </c>
      <c r="E75" s="2">
        <f>COUNTIF(Eingabe[Fehler],HäufigsteErgebnisse[[#This Row],[Zahl]])</f>
        <v>2</v>
      </c>
      <c r="F75" s="2">
        <f>COUNTIF(Eingabe[S1],HäufigsteErgebnisse[[#This Row],[Zahl]])</f>
        <v>0</v>
      </c>
      <c r="G75" s="2">
        <f>COUNTIF(Eingabe[S2],HäufigsteErgebnisse[[#This Row],[Zahl]])</f>
        <v>0</v>
      </c>
      <c r="H75" s="2">
        <f>COUNTIF(Eingabe[S3],HäufigsteErgebnisse[[#This Row],[Zahl]])</f>
        <v>0</v>
      </c>
      <c r="I75" s="2">
        <f>COUNTIF(Eingabe[S4],HäufigsteErgebnisse[[#This Row],[Zahl]])</f>
        <v>0</v>
      </c>
      <c r="J75" s="2">
        <f>COUNTIF(Eingabe[S1],HäufigsteErgebnisse[[#This Row],[Zahl]])+COUNTIF(Eingabe[S2],HäufigsteErgebnisse[[#This Row],[Zahl]])+COUNTIF(Eingabe[S3],HäufigsteErgebnisse[[#This Row],[Zahl]])+COUNTIF(Eingabe[S4],HäufigsteErgebnisse[[#This Row],[Zahl]])</f>
        <v>0</v>
      </c>
      <c r="K75" s="2">
        <f>COUNTIF(Eingabe[GES],HäufigsteErgebnisse[[#This Row],[Zahl]])</f>
        <v>0</v>
      </c>
      <c r="L75" s="2">
        <f>HäufigsteErgebnisse[[#This Row],[Zahl]]</f>
        <v>17</v>
      </c>
    </row>
    <row r="76" spans="2:12" x14ac:dyDescent="0.3">
      <c r="B76" s="2">
        <v>18</v>
      </c>
      <c r="C76" s="2">
        <f>COUNTIF(Eingabe[Volle],HäufigsteErgebnisse[[#This Row],[Zahl]])</f>
        <v>0</v>
      </c>
      <c r="D76" s="2">
        <f>COUNTIF(Eingabe[Räumer],HäufigsteErgebnisse[[#This Row],[Zahl]])</f>
        <v>0</v>
      </c>
      <c r="E76" s="2">
        <f>COUNTIF(Eingabe[Fehler],HäufigsteErgebnisse[[#This Row],[Zahl]])</f>
        <v>3</v>
      </c>
      <c r="F76" s="2">
        <f>COUNTIF(Eingabe[S1],HäufigsteErgebnisse[[#This Row],[Zahl]])</f>
        <v>0</v>
      </c>
      <c r="G76" s="2">
        <f>COUNTIF(Eingabe[S2],HäufigsteErgebnisse[[#This Row],[Zahl]])</f>
        <v>0</v>
      </c>
      <c r="H76" s="2">
        <f>COUNTIF(Eingabe[S3],HäufigsteErgebnisse[[#This Row],[Zahl]])</f>
        <v>0</v>
      </c>
      <c r="I76" s="2">
        <f>COUNTIF(Eingabe[S4],HäufigsteErgebnisse[[#This Row],[Zahl]])</f>
        <v>0</v>
      </c>
      <c r="J76" s="2">
        <f>COUNTIF(Eingabe[S1],HäufigsteErgebnisse[[#This Row],[Zahl]])+COUNTIF(Eingabe[S2],HäufigsteErgebnisse[[#This Row],[Zahl]])+COUNTIF(Eingabe[S3],HäufigsteErgebnisse[[#This Row],[Zahl]])+COUNTIF(Eingabe[S4],HäufigsteErgebnisse[[#This Row],[Zahl]])</f>
        <v>0</v>
      </c>
      <c r="K76" s="2">
        <f>COUNTIF(Eingabe[GES],HäufigsteErgebnisse[[#This Row],[Zahl]])</f>
        <v>0</v>
      </c>
      <c r="L76" s="2">
        <f>HäufigsteErgebnisse[[#This Row],[Zahl]]</f>
        <v>18</v>
      </c>
    </row>
    <row r="77" spans="2:12" x14ac:dyDescent="0.3">
      <c r="B77" s="2">
        <v>19</v>
      </c>
      <c r="C77" s="2">
        <f>COUNTIF(Eingabe[Volle],HäufigsteErgebnisse[[#This Row],[Zahl]])</f>
        <v>0</v>
      </c>
      <c r="D77" s="2">
        <f>COUNTIF(Eingabe[Räumer],HäufigsteErgebnisse[[#This Row],[Zahl]])</f>
        <v>0</v>
      </c>
      <c r="E77" s="2">
        <f>COUNTIF(Eingabe[Fehler],HäufigsteErgebnisse[[#This Row],[Zahl]])</f>
        <v>5</v>
      </c>
      <c r="F77" s="2">
        <f>COUNTIF(Eingabe[S1],HäufigsteErgebnisse[[#This Row],[Zahl]])</f>
        <v>0</v>
      </c>
      <c r="G77" s="2">
        <f>COUNTIF(Eingabe[S2],HäufigsteErgebnisse[[#This Row],[Zahl]])</f>
        <v>0</v>
      </c>
      <c r="H77" s="2">
        <f>COUNTIF(Eingabe[S3],HäufigsteErgebnisse[[#This Row],[Zahl]])</f>
        <v>0</v>
      </c>
      <c r="I77" s="2">
        <f>COUNTIF(Eingabe[S4],HäufigsteErgebnisse[[#This Row],[Zahl]])</f>
        <v>0</v>
      </c>
      <c r="J77" s="2">
        <f>COUNTIF(Eingabe[S1],HäufigsteErgebnisse[[#This Row],[Zahl]])+COUNTIF(Eingabe[S2],HäufigsteErgebnisse[[#This Row],[Zahl]])+COUNTIF(Eingabe[S3],HäufigsteErgebnisse[[#This Row],[Zahl]])+COUNTIF(Eingabe[S4],HäufigsteErgebnisse[[#This Row],[Zahl]])</f>
        <v>0</v>
      </c>
      <c r="K77" s="2">
        <f>COUNTIF(Eingabe[GES],HäufigsteErgebnisse[[#This Row],[Zahl]])</f>
        <v>0</v>
      </c>
      <c r="L77" s="2">
        <f>HäufigsteErgebnisse[[#This Row],[Zahl]]</f>
        <v>19</v>
      </c>
    </row>
    <row r="78" spans="2:12" x14ac:dyDescent="0.3">
      <c r="B78" s="2">
        <v>20</v>
      </c>
      <c r="C78" s="2">
        <f>COUNTIF(Eingabe[Volle],HäufigsteErgebnisse[[#This Row],[Zahl]])</f>
        <v>0</v>
      </c>
      <c r="D78" s="2">
        <f>COUNTIF(Eingabe[Räumer],HäufigsteErgebnisse[[#This Row],[Zahl]])</f>
        <v>0</v>
      </c>
      <c r="E78" s="2">
        <f>COUNTIF(Eingabe[Fehler],HäufigsteErgebnisse[[#This Row],[Zahl]])</f>
        <v>0</v>
      </c>
      <c r="F78" s="2">
        <f>COUNTIF(Eingabe[S1],HäufigsteErgebnisse[[#This Row],[Zahl]])</f>
        <v>0</v>
      </c>
      <c r="G78" s="2">
        <f>COUNTIF(Eingabe[S2],HäufigsteErgebnisse[[#This Row],[Zahl]])</f>
        <v>0</v>
      </c>
      <c r="H78" s="2">
        <f>COUNTIF(Eingabe[S3],HäufigsteErgebnisse[[#This Row],[Zahl]])</f>
        <v>0</v>
      </c>
      <c r="I78" s="2">
        <f>COUNTIF(Eingabe[S4],HäufigsteErgebnisse[[#This Row],[Zahl]])</f>
        <v>0</v>
      </c>
      <c r="J78" s="2">
        <f>COUNTIF(Eingabe[S1],HäufigsteErgebnisse[[#This Row],[Zahl]])+COUNTIF(Eingabe[S2],HäufigsteErgebnisse[[#This Row],[Zahl]])+COUNTIF(Eingabe[S3],HäufigsteErgebnisse[[#This Row],[Zahl]])+COUNTIF(Eingabe[S4],HäufigsteErgebnisse[[#This Row],[Zahl]])</f>
        <v>0</v>
      </c>
      <c r="K78" s="2">
        <f>COUNTIF(Eingabe[GES],HäufigsteErgebnisse[[#This Row],[Zahl]])</f>
        <v>0</v>
      </c>
      <c r="L78" s="2">
        <f>HäufigsteErgebnisse[[#This Row],[Zahl]]</f>
        <v>20</v>
      </c>
    </row>
    <row r="79" spans="2:12" x14ac:dyDescent="0.3">
      <c r="B79" s="2">
        <v>21</v>
      </c>
      <c r="C79" s="2">
        <f>COUNTIF(Eingabe[Volle],HäufigsteErgebnisse[[#This Row],[Zahl]])</f>
        <v>0</v>
      </c>
      <c r="D79" s="2">
        <f>COUNTIF(Eingabe[Räumer],HäufigsteErgebnisse[[#This Row],[Zahl]])</f>
        <v>0</v>
      </c>
      <c r="E79" s="2">
        <f>COUNTIF(Eingabe[Fehler],HäufigsteErgebnisse[[#This Row],[Zahl]])</f>
        <v>5</v>
      </c>
      <c r="F79" s="2">
        <f>COUNTIF(Eingabe[S1],HäufigsteErgebnisse[[#This Row],[Zahl]])</f>
        <v>0</v>
      </c>
      <c r="G79" s="2">
        <f>COUNTIF(Eingabe[S2],HäufigsteErgebnisse[[#This Row],[Zahl]])</f>
        <v>0</v>
      </c>
      <c r="H79" s="2">
        <f>COUNTIF(Eingabe[S3],HäufigsteErgebnisse[[#This Row],[Zahl]])</f>
        <v>0</v>
      </c>
      <c r="I79" s="2">
        <f>COUNTIF(Eingabe[S4],HäufigsteErgebnisse[[#This Row],[Zahl]])</f>
        <v>0</v>
      </c>
      <c r="J79" s="2">
        <f>COUNTIF(Eingabe[S1],HäufigsteErgebnisse[[#This Row],[Zahl]])+COUNTIF(Eingabe[S2],HäufigsteErgebnisse[[#This Row],[Zahl]])+COUNTIF(Eingabe[S3],HäufigsteErgebnisse[[#This Row],[Zahl]])+COUNTIF(Eingabe[S4],HäufigsteErgebnisse[[#This Row],[Zahl]])</f>
        <v>0</v>
      </c>
      <c r="K79" s="2">
        <f>COUNTIF(Eingabe[GES],HäufigsteErgebnisse[[#This Row],[Zahl]])</f>
        <v>0</v>
      </c>
      <c r="L79" s="2">
        <f>HäufigsteErgebnisse[[#This Row],[Zahl]]</f>
        <v>21</v>
      </c>
    </row>
    <row r="80" spans="2:12" x14ac:dyDescent="0.3">
      <c r="B80" s="2">
        <v>22</v>
      </c>
      <c r="C80" s="2">
        <f>COUNTIF(Eingabe[Volle],HäufigsteErgebnisse[[#This Row],[Zahl]])</f>
        <v>0</v>
      </c>
      <c r="D80" s="2">
        <f>COUNTIF(Eingabe[Räumer],HäufigsteErgebnisse[[#This Row],[Zahl]])</f>
        <v>0</v>
      </c>
      <c r="E80" s="2">
        <f>COUNTIF(Eingabe[Fehler],HäufigsteErgebnisse[[#This Row],[Zahl]])</f>
        <v>6</v>
      </c>
      <c r="F80" s="2">
        <f>COUNTIF(Eingabe[S1],HäufigsteErgebnisse[[#This Row],[Zahl]])</f>
        <v>0</v>
      </c>
      <c r="G80" s="2">
        <f>COUNTIF(Eingabe[S2],HäufigsteErgebnisse[[#This Row],[Zahl]])</f>
        <v>0</v>
      </c>
      <c r="H80" s="2">
        <f>COUNTIF(Eingabe[S3],HäufigsteErgebnisse[[#This Row],[Zahl]])</f>
        <v>0</v>
      </c>
      <c r="I80" s="2">
        <f>COUNTIF(Eingabe[S4],HäufigsteErgebnisse[[#This Row],[Zahl]])</f>
        <v>0</v>
      </c>
      <c r="J80" s="2">
        <f>COUNTIF(Eingabe[S1],HäufigsteErgebnisse[[#This Row],[Zahl]])+COUNTIF(Eingabe[S2],HäufigsteErgebnisse[[#This Row],[Zahl]])+COUNTIF(Eingabe[S3],HäufigsteErgebnisse[[#This Row],[Zahl]])+COUNTIF(Eingabe[S4],HäufigsteErgebnisse[[#This Row],[Zahl]])</f>
        <v>0</v>
      </c>
      <c r="K80" s="2">
        <f>COUNTIF(Eingabe[GES],HäufigsteErgebnisse[[#This Row],[Zahl]])</f>
        <v>0</v>
      </c>
      <c r="L80" s="2">
        <f>HäufigsteErgebnisse[[#This Row],[Zahl]]</f>
        <v>22</v>
      </c>
    </row>
    <row r="81" spans="2:12" x14ac:dyDescent="0.3">
      <c r="B81" s="2">
        <v>23</v>
      </c>
      <c r="C81" s="2">
        <f>COUNTIF(Eingabe[Volle],HäufigsteErgebnisse[[#This Row],[Zahl]])</f>
        <v>0</v>
      </c>
      <c r="D81" s="2">
        <f>COUNTIF(Eingabe[Räumer],HäufigsteErgebnisse[[#This Row],[Zahl]])</f>
        <v>0</v>
      </c>
      <c r="E81" s="2">
        <f>COUNTIF(Eingabe[Fehler],HäufigsteErgebnisse[[#This Row],[Zahl]])</f>
        <v>2</v>
      </c>
      <c r="F81" s="2">
        <f>COUNTIF(Eingabe[S1],HäufigsteErgebnisse[[#This Row],[Zahl]])</f>
        <v>0</v>
      </c>
      <c r="G81" s="2">
        <f>COUNTIF(Eingabe[S2],HäufigsteErgebnisse[[#This Row],[Zahl]])</f>
        <v>0</v>
      </c>
      <c r="H81" s="2">
        <f>COUNTIF(Eingabe[S3],HäufigsteErgebnisse[[#This Row],[Zahl]])</f>
        <v>0</v>
      </c>
      <c r="I81" s="2">
        <f>COUNTIF(Eingabe[S4],HäufigsteErgebnisse[[#This Row],[Zahl]])</f>
        <v>0</v>
      </c>
      <c r="J81" s="2">
        <f>COUNTIF(Eingabe[S1],HäufigsteErgebnisse[[#This Row],[Zahl]])+COUNTIF(Eingabe[S2],HäufigsteErgebnisse[[#This Row],[Zahl]])+COUNTIF(Eingabe[S3],HäufigsteErgebnisse[[#This Row],[Zahl]])+COUNTIF(Eingabe[S4],HäufigsteErgebnisse[[#This Row],[Zahl]])</f>
        <v>0</v>
      </c>
      <c r="K81" s="2">
        <f>COUNTIF(Eingabe[GES],HäufigsteErgebnisse[[#This Row],[Zahl]])</f>
        <v>0</v>
      </c>
      <c r="L81" s="2">
        <f>HäufigsteErgebnisse[[#This Row],[Zahl]]</f>
        <v>23</v>
      </c>
    </row>
    <row r="82" spans="2:12" x14ac:dyDescent="0.3">
      <c r="B82" s="2">
        <v>24</v>
      </c>
      <c r="C82" s="2">
        <f>COUNTIF(Eingabe[Volle],HäufigsteErgebnisse[[#This Row],[Zahl]])</f>
        <v>0</v>
      </c>
      <c r="D82" s="2">
        <f>COUNTIF(Eingabe[Räumer],HäufigsteErgebnisse[[#This Row],[Zahl]])</f>
        <v>0</v>
      </c>
      <c r="E82" s="2">
        <f>COUNTIF(Eingabe[Fehler],HäufigsteErgebnisse[[#This Row],[Zahl]])</f>
        <v>2</v>
      </c>
      <c r="F82" s="2">
        <f>COUNTIF(Eingabe[S1],HäufigsteErgebnisse[[#This Row],[Zahl]])</f>
        <v>0</v>
      </c>
      <c r="G82" s="2">
        <f>COUNTIF(Eingabe[S2],HäufigsteErgebnisse[[#This Row],[Zahl]])</f>
        <v>0</v>
      </c>
      <c r="H82" s="2">
        <f>COUNTIF(Eingabe[S3],HäufigsteErgebnisse[[#This Row],[Zahl]])</f>
        <v>0</v>
      </c>
      <c r="I82" s="2">
        <f>COUNTIF(Eingabe[S4],HäufigsteErgebnisse[[#This Row],[Zahl]])</f>
        <v>0</v>
      </c>
      <c r="J82" s="2">
        <f>COUNTIF(Eingabe[S1],HäufigsteErgebnisse[[#This Row],[Zahl]])+COUNTIF(Eingabe[S2],HäufigsteErgebnisse[[#This Row],[Zahl]])+COUNTIF(Eingabe[S3],HäufigsteErgebnisse[[#This Row],[Zahl]])+COUNTIF(Eingabe[S4],HäufigsteErgebnisse[[#This Row],[Zahl]])</f>
        <v>0</v>
      </c>
      <c r="K82" s="2">
        <f>COUNTIF(Eingabe[GES],HäufigsteErgebnisse[[#This Row],[Zahl]])</f>
        <v>0</v>
      </c>
      <c r="L82" s="2">
        <f>HäufigsteErgebnisse[[#This Row],[Zahl]]</f>
        <v>24</v>
      </c>
    </row>
    <row r="83" spans="2:12" x14ac:dyDescent="0.3">
      <c r="B83" s="2">
        <v>25</v>
      </c>
      <c r="C83" s="2">
        <f>COUNTIF(Eingabe[Volle],HäufigsteErgebnisse[[#This Row],[Zahl]])</f>
        <v>0</v>
      </c>
      <c r="D83" s="2">
        <f>COUNTIF(Eingabe[Räumer],HäufigsteErgebnisse[[#This Row],[Zahl]])</f>
        <v>0</v>
      </c>
      <c r="E83" s="2">
        <f>COUNTIF(Eingabe[Fehler],HäufigsteErgebnisse[[#This Row],[Zahl]])</f>
        <v>5</v>
      </c>
      <c r="F83" s="2">
        <f>COUNTIF(Eingabe[S1],HäufigsteErgebnisse[[#This Row],[Zahl]])</f>
        <v>0</v>
      </c>
      <c r="G83" s="2">
        <f>COUNTIF(Eingabe[S2],HäufigsteErgebnisse[[#This Row],[Zahl]])</f>
        <v>0</v>
      </c>
      <c r="H83" s="2">
        <f>COUNTIF(Eingabe[S3],HäufigsteErgebnisse[[#This Row],[Zahl]])</f>
        <v>0</v>
      </c>
      <c r="I83" s="2">
        <f>COUNTIF(Eingabe[S4],HäufigsteErgebnisse[[#This Row],[Zahl]])</f>
        <v>0</v>
      </c>
      <c r="J83" s="2">
        <f>COUNTIF(Eingabe[S1],HäufigsteErgebnisse[[#This Row],[Zahl]])+COUNTIF(Eingabe[S2],HäufigsteErgebnisse[[#This Row],[Zahl]])+COUNTIF(Eingabe[S3],HäufigsteErgebnisse[[#This Row],[Zahl]])+COUNTIF(Eingabe[S4],HäufigsteErgebnisse[[#This Row],[Zahl]])</f>
        <v>0</v>
      </c>
      <c r="K83" s="2">
        <f>COUNTIF(Eingabe[GES],HäufigsteErgebnisse[[#This Row],[Zahl]])</f>
        <v>0</v>
      </c>
      <c r="L83" s="2">
        <f>HäufigsteErgebnisse[[#This Row],[Zahl]]</f>
        <v>25</v>
      </c>
    </row>
    <row r="84" spans="2:12" x14ac:dyDescent="0.3">
      <c r="B84" s="2">
        <v>26</v>
      </c>
      <c r="C84" s="2">
        <f>COUNTIF(Eingabe[Volle],HäufigsteErgebnisse[[#This Row],[Zahl]])</f>
        <v>0</v>
      </c>
      <c r="D84" s="2">
        <f>COUNTIF(Eingabe[Räumer],HäufigsteErgebnisse[[#This Row],[Zahl]])</f>
        <v>0</v>
      </c>
      <c r="E84" s="2">
        <f>COUNTIF(Eingabe[Fehler],HäufigsteErgebnisse[[#This Row],[Zahl]])</f>
        <v>3</v>
      </c>
      <c r="F84" s="2">
        <f>COUNTIF(Eingabe[S1],HäufigsteErgebnisse[[#This Row],[Zahl]])</f>
        <v>0</v>
      </c>
      <c r="G84" s="2">
        <f>COUNTIF(Eingabe[S2],HäufigsteErgebnisse[[#This Row],[Zahl]])</f>
        <v>0</v>
      </c>
      <c r="H84" s="2">
        <f>COUNTIF(Eingabe[S3],HäufigsteErgebnisse[[#This Row],[Zahl]])</f>
        <v>0</v>
      </c>
      <c r="I84" s="2">
        <f>COUNTIF(Eingabe[S4],HäufigsteErgebnisse[[#This Row],[Zahl]])</f>
        <v>0</v>
      </c>
      <c r="J84" s="2">
        <f>COUNTIF(Eingabe[S1],HäufigsteErgebnisse[[#This Row],[Zahl]])+COUNTIF(Eingabe[S2],HäufigsteErgebnisse[[#This Row],[Zahl]])+COUNTIF(Eingabe[S3],HäufigsteErgebnisse[[#This Row],[Zahl]])+COUNTIF(Eingabe[S4],HäufigsteErgebnisse[[#This Row],[Zahl]])</f>
        <v>0</v>
      </c>
      <c r="K84" s="2">
        <f>COUNTIF(Eingabe[GES],HäufigsteErgebnisse[[#This Row],[Zahl]])</f>
        <v>0</v>
      </c>
      <c r="L84" s="2">
        <f>HäufigsteErgebnisse[[#This Row],[Zahl]]</f>
        <v>26</v>
      </c>
    </row>
    <row r="85" spans="2:12" x14ac:dyDescent="0.3">
      <c r="B85" s="2">
        <v>27</v>
      </c>
      <c r="C85" s="2">
        <f>COUNTIF(Eingabe[Volle],HäufigsteErgebnisse[[#This Row],[Zahl]])</f>
        <v>0</v>
      </c>
      <c r="D85" s="2">
        <f>COUNTIF(Eingabe[Räumer],HäufigsteErgebnisse[[#This Row],[Zahl]])</f>
        <v>0</v>
      </c>
      <c r="E85" s="2">
        <f>COUNTIF(Eingabe[Fehler],HäufigsteErgebnisse[[#This Row],[Zahl]])</f>
        <v>1</v>
      </c>
      <c r="F85" s="2">
        <f>COUNTIF(Eingabe[S1],HäufigsteErgebnisse[[#This Row],[Zahl]])</f>
        <v>0</v>
      </c>
      <c r="G85" s="2">
        <f>COUNTIF(Eingabe[S2],HäufigsteErgebnisse[[#This Row],[Zahl]])</f>
        <v>0</v>
      </c>
      <c r="H85" s="2">
        <f>COUNTIF(Eingabe[S3],HäufigsteErgebnisse[[#This Row],[Zahl]])</f>
        <v>0</v>
      </c>
      <c r="I85" s="2">
        <f>COUNTIF(Eingabe[S4],HäufigsteErgebnisse[[#This Row],[Zahl]])</f>
        <v>0</v>
      </c>
      <c r="J85" s="2">
        <f>COUNTIF(Eingabe[S1],HäufigsteErgebnisse[[#This Row],[Zahl]])+COUNTIF(Eingabe[S2],HäufigsteErgebnisse[[#This Row],[Zahl]])+COUNTIF(Eingabe[S3],HäufigsteErgebnisse[[#This Row],[Zahl]])+COUNTIF(Eingabe[S4],HäufigsteErgebnisse[[#This Row],[Zahl]])</f>
        <v>0</v>
      </c>
      <c r="K85" s="2">
        <f>COUNTIF(Eingabe[GES],HäufigsteErgebnisse[[#This Row],[Zahl]])</f>
        <v>0</v>
      </c>
      <c r="L85" s="2">
        <f>HäufigsteErgebnisse[[#This Row],[Zahl]]</f>
        <v>27</v>
      </c>
    </row>
    <row r="86" spans="2:12" x14ac:dyDescent="0.3">
      <c r="B86" s="2">
        <v>28</v>
      </c>
      <c r="C86" s="2">
        <f>COUNTIF(Eingabe[Volle],HäufigsteErgebnisse[[#This Row],[Zahl]])</f>
        <v>0</v>
      </c>
      <c r="D86" s="2">
        <f>COUNTIF(Eingabe[Räumer],HäufigsteErgebnisse[[#This Row],[Zahl]])</f>
        <v>0</v>
      </c>
      <c r="E86" s="2">
        <f>COUNTIF(Eingabe[Fehler],HäufigsteErgebnisse[[#This Row],[Zahl]])</f>
        <v>4</v>
      </c>
      <c r="F86" s="2">
        <f>COUNTIF(Eingabe[S1],HäufigsteErgebnisse[[#This Row],[Zahl]])</f>
        <v>0</v>
      </c>
      <c r="G86" s="2">
        <f>COUNTIF(Eingabe[S2],HäufigsteErgebnisse[[#This Row],[Zahl]])</f>
        <v>0</v>
      </c>
      <c r="H86" s="2">
        <f>COUNTIF(Eingabe[S3],HäufigsteErgebnisse[[#This Row],[Zahl]])</f>
        <v>0</v>
      </c>
      <c r="I86" s="2">
        <f>COUNTIF(Eingabe[S4],HäufigsteErgebnisse[[#This Row],[Zahl]])</f>
        <v>0</v>
      </c>
      <c r="J86" s="2">
        <f>COUNTIF(Eingabe[S1],HäufigsteErgebnisse[[#This Row],[Zahl]])+COUNTIF(Eingabe[S2],HäufigsteErgebnisse[[#This Row],[Zahl]])+COUNTIF(Eingabe[S3],HäufigsteErgebnisse[[#This Row],[Zahl]])+COUNTIF(Eingabe[S4],HäufigsteErgebnisse[[#This Row],[Zahl]])</f>
        <v>0</v>
      </c>
      <c r="K86" s="2">
        <f>COUNTIF(Eingabe[GES],HäufigsteErgebnisse[[#This Row],[Zahl]])</f>
        <v>0</v>
      </c>
      <c r="L86" s="2">
        <f>HäufigsteErgebnisse[[#This Row],[Zahl]]</f>
        <v>28</v>
      </c>
    </row>
    <row r="87" spans="2:12" x14ac:dyDescent="0.3">
      <c r="B87" s="2">
        <v>29</v>
      </c>
      <c r="C87" s="2">
        <f>COUNTIF(Eingabe[Volle],HäufigsteErgebnisse[[#This Row],[Zahl]])</f>
        <v>0</v>
      </c>
      <c r="D87" s="2">
        <f>COUNTIF(Eingabe[Räumer],HäufigsteErgebnisse[[#This Row],[Zahl]])</f>
        <v>0</v>
      </c>
      <c r="E87" s="2">
        <f>COUNTIF(Eingabe[Fehler],HäufigsteErgebnisse[[#This Row],[Zahl]])</f>
        <v>1</v>
      </c>
      <c r="F87" s="2">
        <f>COUNTIF(Eingabe[S1],HäufigsteErgebnisse[[#This Row],[Zahl]])</f>
        <v>0</v>
      </c>
      <c r="G87" s="2">
        <f>COUNTIF(Eingabe[S2],HäufigsteErgebnisse[[#This Row],[Zahl]])</f>
        <v>0</v>
      </c>
      <c r="H87" s="2">
        <f>COUNTIF(Eingabe[S3],HäufigsteErgebnisse[[#This Row],[Zahl]])</f>
        <v>0</v>
      </c>
      <c r="I87" s="2">
        <f>COUNTIF(Eingabe[S4],HäufigsteErgebnisse[[#This Row],[Zahl]])</f>
        <v>0</v>
      </c>
      <c r="J87" s="2">
        <f>COUNTIF(Eingabe[S1],HäufigsteErgebnisse[[#This Row],[Zahl]])+COUNTIF(Eingabe[S2],HäufigsteErgebnisse[[#This Row],[Zahl]])+COUNTIF(Eingabe[S3],HäufigsteErgebnisse[[#This Row],[Zahl]])+COUNTIF(Eingabe[S4],HäufigsteErgebnisse[[#This Row],[Zahl]])</f>
        <v>0</v>
      </c>
      <c r="K87" s="2">
        <f>COUNTIF(Eingabe[GES],HäufigsteErgebnisse[[#This Row],[Zahl]])</f>
        <v>0</v>
      </c>
      <c r="L87" s="2">
        <f>HäufigsteErgebnisse[[#This Row],[Zahl]]</f>
        <v>29</v>
      </c>
    </row>
    <row r="88" spans="2:12" x14ac:dyDescent="0.3">
      <c r="B88" s="2">
        <v>30</v>
      </c>
      <c r="C88" s="2">
        <f>COUNTIF(Eingabe[Volle],HäufigsteErgebnisse[[#This Row],[Zahl]])</f>
        <v>0</v>
      </c>
      <c r="D88" s="2">
        <f>COUNTIF(Eingabe[Räumer],HäufigsteErgebnisse[[#This Row],[Zahl]])</f>
        <v>0</v>
      </c>
      <c r="E88" s="2">
        <f>COUNTIF(Eingabe[Fehler],HäufigsteErgebnisse[[#This Row],[Zahl]])</f>
        <v>0</v>
      </c>
      <c r="F88" s="2">
        <f>COUNTIF(Eingabe[S1],HäufigsteErgebnisse[[#This Row],[Zahl]])</f>
        <v>0</v>
      </c>
      <c r="G88" s="2">
        <f>COUNTIF(Eingabe[S2],HäufigsteErgebnisse[[#This Row],[Zahl]])</f>
        <v>0</v>
      </c>
      <c r="H88" s="2">
        <f>COUNTIF(Eingabe[S3],HäufigsteErgebnisse[[#This Row],[Zahl]])</f>
        <v>0</v>
      </c>
      <c r="I88" s="2">
        <f>COUNTIF(Eingabe[S4],HäufigsteErgebnisse[[#This Row],[Zahl]])</f>
        <v>0</v>
      </c>
      <c r="J88" s="2">
        <f>COUNTIF(Eingabe[S1],HäufigsteErgebnisse[[#This Row],[Zahl]])+COUNTIF(Eingabe[S2],HäufigsteErgebnisse[[#This Row],[Zahl]])+COUNTIF(Eingabe[S3],HäufigsteErgebnisse[[#This Row],[Zahl]])+COUNTIF(Eingabe[S4],HäufigsteErgebnisse[[#This Row],[Zahl]])</f>
        <v>0</v>
      </c>
      <c r="K88" s="2">
        <f>COUNTIF(Eingabe[GES],HäufigsteErgebnisse[[#This Row],[Zahl]])</f>
        <v>0</v>
      </c>
      <c r="L88" s="2">
        <f>HäufigsteErgebnisse[[#This Row],[Zahl]]</f>
        <v>30</v>
      </c>
    </row>
    <row r="89" spans="2:12" x14ac:dyDescent="0.3">
      <c r="B89" s="2">
        <v>31</v>
      </c>
      <c r="C89" s="2">
        <f>COUNTIF(Eingabe[Volle],HäufigsteErgebnisse[[#This Row],[Zahl]])</f>
        <v>0</v>
      </c>
      <c r="D89" s="2">
        <f>COUNTIF(Eingabe[Räumer],HäufigsteErgebnisse[[#This Row],[Zahl]])</f>
        <v>0</v>
      </c>
      <c r="E89" s="2">
        <f>COUNTIF(Eingabe[Fehler],HäufigsteErgebnisse[[#This Row],[Zahl]])</f>
        <v>1</v>
      </c>
      <c r="F89" s="2">
        <f>COUNTIF(Eingabe[S1],HäufigsteErgebnisse[[#This Row],[Zahl]])</f>
        <v>0</v>
      </c>
      <c r="G89" s="2">
        <f>COUNTIF(Eingabe[S2],HäufigsteErgebnisse[[#This Row],[Zahl]])</f>
        <v>0</v>
      </c>
      <c r="H89" s="2">
        <f>COUNTIF(Eingabe[S3],HäufigsteErgebnisse[[#This Row],[Zahl]])</f>
        <v>0</v>
      </c>
      <c r="I89" s="2">
        <f>COUNTIF(Eingabe[S4],HäufigsteErgebnisse[[#This Row],[Zahl]])</f>
        <v>0</v>
      </c>
      <c r="J89" s="2">
        <f>COUNTIF(Eingabe[S1],HäufigsteErgebnisse[[#This Row],[Zahl]])+COUNTIF(Eingabe[S2],HäufigsteErgebnisse[[#This Row],[Zahl]])+COUNTIF(Eingabe[S3],HäufigsteErgebnisse[[#This Row],[Zahl]])+COUNTIF(Eingabe[S4],HäufigsteErgebnisse[[#This Row],[Zahl]])</f>
        <v>0</v>
      </c>
      <c r="K89" s="2">
        <f>COUNTIF(Eingabe[GES],HäufigsteErgebnisse[[#This Row],[Zahl]])</f>
        <v>0</v>
      </c>
      <c r="L89" s="2">
        <f>HäufigsteErgebnisse[[#This Row],[Zahl]]</f>
        <v>31</v>
      </c>
    </row>
    <row r="90" spans="2:12" x14ac:dyDescent="0.3">
      <c r="B90" s="2">
        <v>32</v>
      </c>
      <c r="C90" s="2">
        <f>COUNTIF(Eingabe[Volle],HäufigsteErgebnisse[[#This Row],[Zahl]])</f>
        <v>0</v>
      </c>
      <c r="D90" s="2">
        <f>COUNTIF(Eingabe[Räumer],HäufigsteErgebnisse[[#This Row],[Zahl]])</f>
        <v>0</v>
      </c>
      <c r="E90" s="2">
        <f>COUNTIF(Eingabe[Fehler],HäufigsteErgebnisse[[#This Row],[Zahl]])</f>
        <v>0</v>
      </c>
      <c r="F90" s="2">
        <f>COUNTIF(Eingabe[S1],HäufigsteErgebnisse[[#This Row],[Zahl]])</f>
        <v>0</v>
      </c>
      <c r="G90" s="2">
        <f>COUNTIF(Eingabe[S2],HäufigsteErgebnisse[[#This Row],[Zahl]])</f>
        <v>0</v>
      </c>
      <c r="H90" s="2">
        <f>COUNTIF(Eingabe[S3],HäufigsteErgebnisse[[#This Row],[Zahl]])</f>
        <v>0</v>
      </c>
      <c r="I90" s="2">
        <f>COUNTIF(Eingabe[S4],HäufigsteErgebnisse[[#This Row],[Zahl]])</f>
        <v>0</v>
      </c>
      <c r="J90" s="2">
        <f>COUNTIF(Eingabe[S1],HäufigsteErgebnisse[[#This Row],[Zahl]])+COUNTIF(Eingabe[S2],HäufigsteErgebnisse[[#This Row],[Zahl]])+COUNTIF(Eingabe[S3],HäufigsteErgebnisse[[#This Row],[Zahl]])+COUNTIF(Eingabe[S4],HäufigsteErgebnisse[[#This Row],[Zahl]])</f>
        <v>0</v>
      </c>
      <c r="K90" s="2">
        <f>COUNTIF(Eingabe[GES],HäufigsteErgebnisse[[#This Row],[Zahl]])</f>
        <v>0</v>
      </c>
      <c r="L90" s="2">
        <f>HäufigsteErgebnisse[[#This Row],[Zahl]]</f>
        <v>32</v>
      </c>
    </row>
    <row r="91" spans="2:12" x14ac:dyDescent="0.3">
      <c r="B91" s="2">
        <v>33</v>
      </c>
      <c r="C91" s="2">
        <f>COUNTIF(Eingabe[Volle],HäufigsteErgebnisse[[#This Row],[Zahl]])</f>
        <v>0</v>
      </c>
      <c r="D91" s="2">
        <f>COUNTIF(Eingabe[Räumer],HäufigsteErgebnisse[[#This Row],[Zahl]])</f>
        <v>0</v>
      </c>
      <c r="E91" s="2">
        <f>COUNTIF(Eingabe[Fehler],HäufigsteErgebnisse[[#This Row],[Zahl]])</f>
        <v>1</v>
      </c>
      <c r="F91" s="2">
        <f>COUNTIF(Eingabe[S1],HäufigsteErgebnisse[[#This Row],[Zahl]])</f>
        <v>0</v>
      </c>
      <c r="G91" s="2">
        <f>COUNTIF(Eingabe[S2],HäufigsteErgebnisse[[#This Row],[Zahl]])</f>
        <v>0</v>
      </c>
      <c r="H91" s="2">
        <f>COUNTIF(Eingabe[S3],HäufigsteErgebnisse[[#This Row],[Zahl]])</f>
        <v>0</v>
      </c>
      <c r="I91" s="2">
        <f>COUNTIF(Eingabe[S4],HäufigsteErgebnisse[[#This Row],[Zahl]])</f>
        <v>0</v>
      </c>
      <c r="J91" s="2">
        <f>COUNTIF(Eingabe[S1],HäufigsteErgebnisse[[#This Row],[Zahl]])+COUNTIF(Eingabe[S2],HäufigsteErgebnisse[[#This Row],[Zahl]])+COUNTIF(Eingabe[S3],HäufigsteErgebnisse[[#This Row],[Zahl]])+COUNTIF(Eingabe[S4],HäufigsteErgebnisse[[#This Row],[Zahl]])</f>
        <v>0</v>
      </c>
      <c r="K91" s="2">
        <f>COUNTIF(Eingabe[GES],HäufigsteErgebnisse[[#This Row],[Zahl]])</f>
        <v>0</v>
      </c>
      <c r="L91" s="2">
        <f>HäufigsteErgebnisse[[#This Row],[Zahl]]</f>
        <v>33</v>
      </c>
    </row>
    <row r="92" spans="2:12" x14ac:dyDescent="0.3">
      <c r="B92" s="2">
        <v>34</v>
      </c>
      <c r="C92" s="2">
        <f>COUNTIF(Eingabe[Volle],HäufigsteErgebnisse[[#This Row],[Zahl]])</f>
        <v>0</v>
      </c>
      <c r="D92" s="2">
        <f>COUNTIF(Eingabe[Räumer],HäufigsteErgebnisse[[#This Row],[Zahl]])</f>
        <v>0</v>
      </c>
      <c r="E92" s="2">
        <f>COUNTIF(Eingabe[Fehler],HäufigsteErgebnisse[[#This Row],[Zahl]])</f>
        <v>0</v>
      </c>
      <c r="F92" s="2">
        <f>COUNTIF(Eingabe[S1],HäufigsteErgebnisse[[#This Row],[Zahl]])</f>
        <v>0</v>
      </c>
      <c r="G92" s="2">
        <f>COUNTIF(Eingabe[S2],HäufigsteErgebnisse[[#This Row],[Zahl]])</f>
        <v>0</v>
      </c>
      <c r="H92" s="2">
        <f>COUNTIF(Eingabe[S3],HäufigsteErgebnisse[[#This Row],[Zahl]])</f>
        <v>0</v>
      </c>
      <c r="I92" s="2">
        <f>COUNTIF(Eingabe[S4],HäufigsteErgebnisse[[#This Row],[Zahl]])</f>
        <v>0</v>
      </c>
      <c r="J92" s="2">
        <f>COUNTIF(Eingabe[S1],HäufigsteErgebnisse[[#This Row],[Zahl]])+COUNTIF(Eingabe[S2],HäufigsteErgebnisse[[#This Row],[Zahl]])+COUNTIF(Eingabe[S3],HäufigsteErgebnisse[[#This Row],[Zahl]])+COUNTIF(Eingabe[S4],HäufigsteErgebnisse[[#This Row],[Zahl]])</f>
        <v>0</v>
      </c>
      <c r="K92" s="2">
        <f>COUNTIF(Eingabe[GES],HäufigsteErgebnisse[[#This Row],[Zahl]])</f>
        <v>0</v>
      </c>
      <c r="L92" s="2">
        <f>HäufigsteErgebnisse[[#This Row],[Zahl]]</f>
        <v>34</v>
      </c>
    </row>
    <row r="93" spans="2:12" x14ac:dyDescent="0.3">
      <c r="B93" s="2">
        <v>35</v>
      </c>
      <c r="C93" s="2">
        <f>COUNTIF(Eingabe[Volle],HäufigsteErgebnisse[[#This Row],[Zahl]])</f>
        <v>0</v>
      </c>
      <c r="D93" s="2">
        <f>COUNTIF(Eingabe[Räumer],HäufigsteErgebnisse[[#This Row],[Zahl]])</f>
        <v>0</v>
      </c>
      <c r="E93" s="2">
        <f>COUNTIF(Eingabe[Fehler],HäufigsteErgebnisse[[#This Row],[Zahl]])</f>
        <v>1</v>
      </c>
      <c r="F93" s="2">
        <f>COUNTIF(Eingabe[S1],HäufigsteErgebnisse[[#This Row],[Zahl]])</f>
        <v>0</v>
      </c>
      <c r="G93" s="2">
        <f>COUNTIF(Eingabe[S2],HäufigsteErgebnisse[[#This Row],[Zahl]])</f>
        <v>0</v>
      </c>
      <c r="H93" s="2">
        <f>COUNTIF(Eingabe[S3],HäufigsteErgebnisse[[#This Row],[Zahl]])</f>
        <v>0</v>
      </c>
      <c r="I93" s="2">
        <f>COUNTIF(Eingabe[S4],HäufigsteErgebnisse[[#This Row],[Zahl]])</f>
        <v>0</v>
      </c>
      <c r="J93" s="2">
        <f>COUNTIF(Eingabe[S1],HäufigsteErgebnisse[[#This Row],[Zahl]])+COUNTIF(Eingabe[S2],HäufigsteErgebnisse[[#This Row],[Zahl]])+COUNTIF(Eingabe[S3],HäufigsteErgebnisse[[#This Row],[Zahl]])+COUNTIF(Eingabe[S4],HäufigsteErgebnisse[[#This Row],[Zahl]])</f>
        <v>0</v>
      </c>
      <c r="K93" s="2">
        <f>COUNTIF(Eingabe[GES],HäufigsteErgebnisse[[#This Row],[Zahl]])</f>
        <v>0</v>
      </c>
      <c r="L93" s="2">
        <f>HäufigsteErgebnisse[[#This Row],[Zahl]]</f>
        <v>35</v>
      </c>
    </row>
    <row r="94" spans="2:12" x14ac:dyDescent="0.3">
      <c r="B94" s="2">
        <v>36</v>
      </c>
      <c r="C94" s="2">
        <f>COUNTIF(Eingabe[Volle],HäufigsteErgebnisse[[#This Row],[Zahl]])</f>
        <v>0</v>
      </c>
      <c r="D94" s="2">
        <f>COUNTIF(Eingabe[Räumer],HäufigsteErgebnisse[[#This Row],[Zahl]])</f>
        <v>0</v>
      </c>
      <c r="E94" s="2">
        <f>COUNTIF(Eingabe[Fehler],HäufigsteErgebnisse[[#This Row],[Zahl]])</f>
        <v>1</v>
      </c>
      <c r="F94" s="2">
        <f>COUNTIF(Eingabe[S1],HäufigsteErgebnisse[[#This Row],[Zahl]])</f>
        <v>0</v>
      </c>
      <c r="G94" s="2">
        <f>COUNTIF(Eingabe[S2],HäufigsteErgebnisse[[#This Row],[Zahl]])</f>
        <v>0</v>
      </c>
      <c r="H94" s="2">
        <f>COUNTIF(Eingabe[S3],HäufigsteErgebnisse[[#This Row],[Zahl]])</f>
        <v>0</v>
      </c>
      <c r="I94" s="2">
        <f>COUNTIF(Eingabe[S4],HäufigsteErgebnisse[[#This Row],[Zahl]])</f>
        <v>0</v>
      </c>
      <c r="J94" s="2">
        <f>COUNTIF(Eingabe[S1],HäufigsteErgebnisse[[#This Row],[Zahl]])+COUNTIF(Eingabe[S2],HäufigsteErgebnisse[[#This Row],[Zahl]])+COUNTIF(Eingabe[S3],HäufigsteErgebnisse[[#This Row],[Zahl]])+COUNTIF(Eingabe[S4],HäufigsteErgebnisse[[#This Row],[Zahl]])</f>
        <v>0</v>
      </c>
      <c r="K94" s="2">
        <f>COUNTIF(Eingabe[GES],HäufigsteErgebnisse[[#This Row],[Zahl]])</f>
        <v>0</v>
      </c>
      <c r="L94" s="2">
        <f>HäufigsteErgebnisse[[#This Row],[Zahl]]</f>
        <v>36</v>
      </c>
    </row>
    <row r="95" spans="2:12" x14ac:dyDescent="0.3">
      <c r="B95" s="2">
        <v>37</v>
      </c>
      <c r="C95" s="2">
        <f>COUNTIF(Eingabe[Volle],HäufigsteErgebnisse[[#This Row],[Zahl]])</f>
        <v>0</v>
      </c>
      <c r="D95" s="2">
        <f>COUNTIF(Eingabe[Räumer],HäufigsteErgebnisse[[#This Row],[Zahl]])</f>
        <v>0</v>
      </c>
      <c r="E95" s="2">
        <f>COUNTIF(Eingabe[Fehler],HäufigsteErgebnisse[[#This Row],[Zahl]])</f>
        <v>1</v>
      </c>
      <c r="F95" s="2">
        <f>COUNTIF(Eingabe[S1],HäufigsteErgebnisse[[#This Row],[Zahl]])</f>
        <v>0</v>
      </c>
      <c r="G95" s="2">
        <f>COUNTIF(Eingabe[S2],HäufigsteErgebnisse[[#This Row],[Zahl]])</f>
        <v>0</v>
      </c>
      <c r="H95" s="2">
        <f>COUNTIF(Eingabe[S3],HäufigsteErgebnisse[[#This Row],[Zahl]])</f>
        <v>0</v>
      </c>
      <c r="I95" s="2">
        <f>COUNTIF(Eingabe[S4],HäufigsteErgebnisse[[#This Row],[Zahl]])</f>
        <v>0</v>
      </c>
      <c r="J95" s="2">
        <f>COUNTIF(Eingabe[S1],HäufigsteErgebnisse[[#This Row],[Zahl]])+COUNTIF(Eingabe[S2],HäufigsteErgebnisse[[#This Row],[Zahl]])+COUNTIF(Eingabe[S3],HäufigsteErgebnisse[[#This Row],[Zahl]])+COUNTIF(Eingabe[S4],HäufigsteErgebnisse[[#This Row],[Zahl]])</f>
        <v>0</v>
      </c>
      <c r="K95" s="2">
        <f>COUNTIF(Eingabe[GES],HäufigsteErgebnisse[[#This Row],[Zahl]])</f>
        <v>0</v>
      </c>
      <c r="L95" s="2">
        <f>HäufigsteErgebnisse[[#This Row],[Zahl]]</f>
        <v>37</v>
      </c>
    </row>
    <row r="96" spans="2:12" x14ac:dyDescent="0.3">
      <c r="B96" s="2">
        <v>38</v>
      </c>
      <c r="C96" s="2">
        <f>COUNTIF(Eingabe[Volle],HäufigsteErgebnisse[[#This Row],[Zahl]])</f>
        <v>0</v>
      </c>
      <c r="D96" s="2">
        <f>COUNTIF(Eingabe[Räumer],HäufigsteErgebnisse[[#This Row],[Zahl]])</f>
        <v>0</v>
      </c>
      <c r="E96" s="2">
        <f>COUNTIF(Eingabe[Fehler],HäufigsteErgebnisse[[#This Row],[Zahl]])</f>
        <v>1</v>
      </c>
      <c r="F96" s="2">
        <f>COUNTIF(Eingabe[S1],HäufigsteErgebnisse[[#This Row],[Zahl]])</f>
        <v>0</v>
      </c>
      <c r="G96" s="2">
        <f>COUNTIF(Eingabe[S2],HäufigsteErgebnisse[[#This Row],[Zahl]])</f>
        <v>0</v>
      </c>
      <c r="H96" s="2">
        <f>COUNTIF(Eingabe[S3],HäufigsteErgebnisse[[#This Row],[Zahl]])</f>
        <v>0</v>
      </c>
      <c r="I96" s="2">
        <f>COUNTIF(Eingabe[S4],HäufigsteErgebnisse[[#This Row],[Zahl]])</f>
        <v>0</v>
      </c>
      <c r="J96" s="2">
        <f>COUNTIF(Eingabe[S1],HäufigsteErgebnisse[[#This Row],[Zahl]])+COUNTIF(Eingabe[S2],HäufigsteErgebnisse[[#This Row],[Zahl]])+COUNTIF(Eingabe[S3],HäufigsteErgebnisse[[#This Row],[Zahl]])+COUNTIF(Eingabe[S4],HäufigsteErgebnisse[[#This Row],[Zahl]])</f>
        <v>0</v>
      </c>
      <c r="K96" s="2">
        <f>COUNTIF(Eingabe[GES],HäufigsteErgebnisse[[#This Row],[Zahl]])</f>
        <v>0</v>
      </c>
      <c r="L96" s="2">
        <f>HäufigsteErgebnisse[[#This Row],[Zahl]]</f>
        <v>38</v>
      </c>
    </row>
    <row r="97" spans="2:12" x14ac:dyDescent="0.3">
      <c r="B97" s="2">
        <v>39</v>
      </c>
      <c r="C97" s="2">
        <f>COUNTIF(Eingabe[Volle],HäufigsteErgebnisse[[#This Row],[Zahl]])</f>
        <v>0</v>
      </c>
      <c r="D97" s="2">
        <f>COUNTIF(Eingabe[Räumer],HäufigsteErgebnisse[[#This Row],[Zahl]])</f>
        <v>0</v>
      </c>
      <c r="E97" s="2">
        <f>COUNTIF(Eingabe[Fehler],HäufigsteErgebnisse[[#This Row],[Zahl]])</f>
        <v>1</v>
      </c>
      <c r="F97" s="2">
        <f>COUNTIF(Eingabe[S1],HäufigsteErgebnisse[[#This Row],[Zahl]])</f>
        <v>1</v>
      </c>
      <c r="G97" s="2">
        <f>COUNTIF(Eingabe[S2],HäufigsteErgebnisse[[#This Row],[Zahl]])</f>
        <v>0</v>
      </c>
      <c r="H97" s="2">
        <f>COUNTIF(Eingabe[S3],HäufigsteErgebnisse[[#This Row],[Zahl]])</f>
        <v>0</v>
      </c>
      <c r="I97" s="2">
        <f>COUNTIF(Eingabe[S4],HäufigsteErgebnisse[[#This Row],[Zahl]])</f>
        <v>0</v>
      </c>
      <c r="J97" s="2">
        <f>COUNTIF(Eingabe[S1],HäufigsteErgebnisse[[#This Row],[Zahl]])+COUNTIF(Eingabe[S2],HäufigsteErgebnisse[[#This Row],[Zahl]])+COUNTIF(Eingabe[S3],HäufigsteErgebnisse[[#This Row],[Zahl]])+COUNTIF(Eingabe[S4],HäufigsteErgebnisse[[#This Row],[Zahl]])</f>
        <v>1</v>
      </c>
      <c r="K97" s="2">
        <f>COUNTIF(Eingabe[GES],HäufigsteErgebnisse[[#This Row],[Zahl]])</f>
        <v>0</v>
      </c>
      <c r="L97" s="2">
        <f>HäufigsteErgebnisse[[#This Row],[Zahl]]</f>
        <v>39</v>
      </c>
    </row>
    <row r="98" spans="2:12" x14ac:dyDescent="0.3">
      <c r="B98" s="2">
        <v>40</v>
      </c>
      <c r="C98" s="2">
        <f>COUNTIF(Eingabe[Volle],HäufigsteErgebnisse[[#This Row],[Zahl]])</f>
        <v>0</v>
      </c>
      <c r="D98" s="2">
        <f>COUNTIF(Eingabe[Räumer],HäufigsteErgebnisse[[#This Row],[Zahl]])</f>
        <v>0</v>
      </c>
      <c r="E98" s="2">
        <f>COUNTIF(Eingabe[Fehler],HäufigsteErgebnisse[[#This Row],[Zahl]])</f>
        <v>0</v>
      </c>
      <c r="F98" s="2">
        <f>COUNTIF(Eingabe[S1],HäufigsteErgebnisse[[#This Row],[Zahl]])</f>
        <v>0</v>
      </c>
      <c r="G98" s="2">
        <f>COUNTIF(Eingabe[S2],HäufigsteErgebnisse[[#This Row],[Zahl]])</f>
        <v>0</v>
      </c>
      <c r="H98" s="2">
        <f>COUNTIF(Eingabe[S3],HäufigsteErgebnisse[[#This Row],[Zahl]])</f>
        <v>0</v>
      </c>
      <c r="I98" s="2">
        <f>COUNTIF(Eingabe[S4],HäufigsteErgebnisse[[#This Row],[Zahl]])</f>
        <v>0</v>
      </c>
      <c r="J98" s="2">
        <f>COUNTIF(Eingabe[S1],HäufigsteErgebnisse[[#This Row],[Zahl]])+COUNTIF(Eingabe[S2],HäufigsteErgebnisse[[#This Row],[Zahl]])+COUNTIF(Eingabe[S3],HäufigsteErgebnisse[[#This Row],[Zahl]])+COUNTIF(Eingabe[S4],HäufigsteErgebnisse[[#This Row],[Zahl]])</f>
        <v>0</v>
      </c>
      <c r="K98" s="2">
        <f>COUNTIF(Eingabe[GES],HäufigsteErgebnisse[[#This Row],[Zahl]])</f>
        <v>0</v>
      </c>
      <c r="L98" s="2">
        <f>HäufigsteErgebnisse[[#This Row],[Zahl]]</f>
        <v>40</v>
      </c>
    </row>
    <row r="99" spans="2:12" x14ac:dyDescent="0.3">
      <c r="B99" s="2">
        <v>41</v>
      </c>
      <c r="C99" s="2">
        <f>COUNTIF(Eingabe[Volle],HäufigsteErgebnisse[[#This Row],[Zahl]])</f>
        <v>0</v>
      </c>
      <c r="D99" s="2">
        <f>COUNTIF(Eingabe[Räumer],HäufigsteErgebnisse[[#This Row],[Zahl]])</f>
        <v>0</v>
      </c>
      <c r="E99" s="2">
        <f>COUNTIF(Eingabe[Fehler],HäufigsteErgebnisse[[#This Row],[Zahl]])</f>
        <v>0</v>
      </c>
      <c r="F99" s="2">
        <f>COUNTIF(Eingabe[S1],HäufigsteErgebnisse[[#This Row],[Zahl]])</f>
        <v>0</v>
      </c>
      <c r="G99" s="2">
        <f>COUNTIF(Eingabe[S2],HäufigsteErgebnisse[[#This Row],[Zahl]])</f>
        <v>0</v>
      </c>
      <c r="H99" s="2">
        <f>COUNTIF(Eingabe[S3],HäufigsteErgebnisse[[#This Row],[Zahl]])</f>
        <v>0</v>
      </c>
      <c r="I99" s="2">
        <f>COUNTIF(Eingabe[S4],HäufigsteErgebnisse[[#This Row],[Zahl]])</f>
        <v>0</v>
      </c>
      <c r="J99" s="2">
        <f>COUNTIF(Eingabe[S1],HäufigsteErgebnisse[[#This Row],[Zahl]])+COUNTIF(Eingabe[S2],HäufigsteErgebnisse[[#This Row],[Zahl]])+COUNTIF(Eingabe[S3],HäufigsteErgebnisse[[#This Row],[Zahl]])+COUNTIF(Eingabe[S4],HäufigsteErgebnisse[[#This Row],[Zahl]])</f>
        <v>0</v>
      </c>
      <c r="K99" s="2">
        <f>COUNTIF(Eingabe[GES],HäufigsteErgebnisse[[#This Row],[Zahl]])</f>
        <v>0</v>
      </c>
      <c r="L99" s="2">
        <f>HäufigsteErgebnisse[[#This Row],[Zahl]]</f>
        <v>41</v>
      </c>
    </row>
    <row r="100" spans="2:12" x14ac:dyDescent="0.3">
      <c r="B100" s="2">
        <v>42</v>
      </c>
      <c r="C100" s="2">
        <f>COUNTIF(Eingabe[Volle],HäufigsteErgebnisse[[#This Row],[Zahl]])</f>
        <v>0</v>
      </c>
      <c r="D100" s="2">
        <f>COUNTIF(Eingabe[Räumer],HäufigsteErgebnisse[[#This Row],[Zahl]])</f>
        <v>0</v>
      </c>
      <c r="E100" s="2">
        <f>COUNTIF(Eingabe[Fehler],HäufigsteErgebnisse[[#This Row],[Zahl]])</f>
        <v>1</v>
      </c>
      <c r="F100" s="2">
        <f>COUNTIF(Eingabe[S1],HäufigsteErgebnisse[[#This Row],[Zahl]])</f>
        <v>0</v>
      </c>
      <c r="G100" s="2">
        <f>COUNTIF(Eingabe[S2],HäufigsteErgebnisse[[#This Row],[Zahl]])</f>
        <v>0</v>
      </c>
      <c r="H100" s="2">
        <f>COUNTIF(Eingabe[S3],HäufigsteErgebnisse[[#This Row],[Zahl]])</f>
        <v>0</v>
      </c>
      <c r="I100" s="2">
        <f>COUNTIF(Eingabe[S4],HäufigsteErgebnisse[[#This Row],[Zahl]])</f>
        <v>0</v>
      </c>
      <c r="J100" s="2">
        <f>COUNTIF(Eingabe[S1],HäufigsteErgebnisse[[#This Row],[Zahl]])+COUNTIF(Eingabe[S2],HäufigsteErgebnisse[[#This Row],[Zahl]])+COUNTIF(Eingabe[S3],HäufigsteErgebnisse[[#This Row],[Zahl]])+COUNTIF(Eingabe[S4],HäufigsteErgebnisse[[#This Row],[Zahl]])</f>
        <v>0</v>
      </c>
      <c r="K100" s="2">
        <f>COUNTIF(Eingabe[GES],HäufigsteErgebnisse[[#This Row],[Zahl]])</f>
        <v>0</v>
      </c>
      <c r="L100" s="2">
        <f>HäufigsteErgebnisse[[#This Row],[Zahl]]</f>
        <v>42</v>
      </c>
    </row>
    <row r="101" spans="2:12" x14ac:dyDescent="0.3">
      <c r="B101" s="2">
        <v>43</v>
      </c>
      <c r="C101" s="2">
        <f>COUNTIF(Eingabe[Volle],HäufigsteErgebnisse[[#This Row],[Zahl]])</f>
        <v>0</v>
      </c>
      <c r="D101" s="2">
        <f>COUNTIF(Eingabe[Räumer],HäufigsteErgebnisse[[#This Row],[Zahl]])</f>
        <v>0</v>
      </c>
      <c r="E101" s="2">
        <f>COUNTIF(Eingabe[Fehler],HäufigsteErgebnisse[[#This Row],[Zahl]])</f>
        <v>0</v>
      </c>
      <c r="F101" s="2">
        <f>COUNTIF(Eingabe[S1],HäufigsteErgebnisse[[#This Row],[Zahl]])</f>
        <v>0</v>
      </c>
      <c r="G101" s="2">
        <f>COUNTIF(Eingabe[S2],HäufigsteErgebnisse[[#This Row],[Zahl]])</f>
        <v>0</v>
      </c>
      <c r="H101" s="2">
        <f>COUNTIF(Eingabe[S3],HäufigsteErgebnisse[[#This Row],[Zahl]])</f>
        <v>0</v>
      </c>
      <c r="I101" s="2">
        <f>COUNTIF(Eingabe[S4],HäufigsteErgebnisse[[#This Row],[Zahl]])</f>
        <v>0</v>
      </c>
      <c r="J101" s="2">
        <f>COUNTIF(Eingabe[S1],HäufigsteErgebnisse[[#This Row],[Zahl]])+COUNTIF(Eingabe[S2],HäufigsteErgebnisse[[#This Row],[Zahl]])+COUNTIF(Eingabe[S3],HäufigsteErgebnisse[[#This Row],[Zahl]])+COUNTIF(Eingabe[S4],HäufigsteErgebnisse[[#This Row],[Zahl]])</f>
        <v>0</v>
      </c>
      <c r="K101" s="2">
        <f>COUNTIF(Eingabe[GES],HäufigsteErgebnisse[[#This Row],[Zahl]])</f>
        <v>0</v>
      </c>
      <c r="L101" s="2">
        <f>HäufigsteErgebnisse[[#This Row],[Zahl]]</f>
        <v>43</v>
      </c>
    </row>
    <row r="102" spans="2:12" x14ac:dyDescent="0.3">
      <c r="B102" s="2">
        <v>44</v>
      </c>
      <c r="C102" s="2">
        <f>COUNTIF(Eingabe[Volle],HäufigsteErgebnisse[[#This Row],[Zahl]])</f>
        <v>0</v>
      </c>
      <c r="D102" s="2">
        <f>COUNTIF(Eingabe[Räumer],HäufigsteErgebnisse[[#This Row],[Zahl]])</f>
        <v>0</v>
      </c>
      <c r="E102" s="2">
        <f>COUNTIF(Eingabe[Fehler],HäufigsteErgebnisse[[#This Row],[Zahl]])</f>
        <v>0</v>
      </c>
      <c r="F102" s="2">
        <f>COUNTIF(Eingabe[S1],HäufigsteErgebnisse[[#This Row],[Zahl]])</f>
        <v>1</v>
      </c>
      <c r="G102" s="2">
        <f>COUNTIF(Eingabe[S2],HäufigsteErgebnisse[[#This Row],[Zahl]])</f>
        <v>0</v>
      </c>
      <c r="H102" s="2">
        <f>COUNTIF(Eingabe[S3],HäufigsteErgebnisse[[#This Row],[Zahl]])</f>
        <v>0</v>
      </c>
      <c r="I102" s="2">
        <f>COUNTIF(Eingabe[S4],HäufigsteErgebnisse[[#This Row],[Zahl]])</f>
        <v>0</v>
      </c>
      <c r="J102" s="2">
        <f>COUNTIF(Eingabe[S1],HäufigsteErgebnisse[[#This Row],[Zahl]])+COUNTIF(Eingabe[S2],HäufigsteErgebnisse[[#This Row],[Zahl]])+COUNTIF(Eingabe[S3],HäufigsteErgebnisse[[#This Row],[Zahl]])+COUNTIF(Eingabe[S4],HäufigsteErgebnisse[[#This Row],[Zahl]])</f>
        <v>1</v>
      </c>
      <c r="K102" s="2">
        <f>COUNTIF(Eingabe[GES],HäufigsteErgebnisse[[#This Row],[Zahl]])</f>
        <v>0</v>
      </c>
      <c r="L102" s="2">
        <f>HäufigsteErgebnisse[[#This Row],[Zahl]]</f>
        <v>44</v>
      </c>
    </row>
    <row r="103" spans="2:12" x14ac:dyDescent="0.3">
      <c r="B103" s="2">
        <v>45</v>
      </c>
      <c r="C103" s="2">
        <f>COUNTIF(Eingabe[Volle],HäufigsteErgebnisse[[#This Row],[Zahl]])</f>
        <v>0</v>
      </c>
      <c r="D103" s="2">
        <f>COUNTIF(Eingabe[Räumer],HäufigsteErgebnisse[[#This Row],[Zahl]])</f>
        <v>0</v>
      </c>
      <c r="E103" s="2">
        <f>COUNTIF(Eingabe[Fehler],HäufigsteErgebnisse[[#This Row],[Zahl]])</f>
        <v>0</v>
      </c>
      <c r="F103" s="2">
        <f>COUNTIF(Eingabe[S1],HäufigsteErgebnisse[[#This Row],[Zahl]])</f>
        <v>0</v>
      </c>
      <c r="G103" s="2">
        <f>COUNTIF(Eingabe[S2],HäufigsteErgebnisse[[#This Row],[Zahl]])</f>
        <v>0</v>
      </c>
      <c r="H103" s="2">
        <f>COUNTIF(Eingabe[S3],HäufigsteErgebnisse[[#This Row],[Zahl]])</f>
        <v>0</v>
      </c>
      <c r="I103" s="2">
        <f>COUNTIF(Eingabe[S4],HäufigsteErgebnisse[[#This Row],[Zahl]])</f>
        <v>0</v>
      </c>
      <c r="J103" s="2">
        <f>COUNTIF(Eingabe[S1],HäufigsteErgebnisse[[#This Row],[Zahl]])+COUNTIF(Eingabe[S2],HäufigsteErgebnisse[[#This Row],[Zahl]])+COUNTIF(Eingabe[S3],HäufigsteErgebnisse[[#This Row],[Zahl]])+COUNTIF(Eingabe[S4],HäufigsteErgebnisse[[#This Row],[Zahl]])</f>
        <v>0</v>
      </c>
      <c r="K103" s="2">
        <f>COUNTIF(Eingabe[GES],HäufigsteErgebnisse[[#This Row],[Zahl]])</f>
        <v>0</v>
      </c>
      <c r="L103" s="2">
        <f>HäufigsteErgebnisse[[#This Row],[Zahl]]</f>
        <v>45</v>
      </c>
    </row>
    <row r="104" spans="2:12" x14ac:dyDescent="0.3">
      <c r="B104" s="2">
        <v>46</v>
      </c>
      <c r="C104" s="2">
        <f>COUNTIF(Eingabe[Volle],HäufigsteErgebnisse[[#This Row],[Zahl]])</f>
        <v>0</v>
      </c>
      <c r="D104" s="2">
        <f>COUNTIF(Eingabe[Räumer],HäufigsteErgebnisse[[#This Row],[Zahl]])</f>
        <v>1</v>
      </c>
      <c r="E104" s="2">
        <f>COUNTIF(Eingabe[Fehler],HäufigsteErgebnisse[[#This Row],[Zahl]])</f>
        <v>1</v>
      </c>
      <c r="F104" s="2">
        <f>COUNTIF(Eingabe[S1],HäufigsteErgebnisse[[#This Row],[Zahl]])</f>
        <v>0</v>
      </c>
      <c r="G104" s="2">
        <f>COUNTIF(Eingabe[S2],HäufigsteErgebnisse[[#This Row],[Zahl]])</f>
        <v>0</v>
      </c>
      <c r="H104" s="2">
        <f>COUNTIF(Eingabe[S3],HäufigsteErgebnisse[[#This Row],[Zahl]])</f>
        <v>0</v>
      </c>
      <c r="I104" s="2">
        <f>COUNTIF(Eingabe[S4],HäufigsteErgebnisse[[#This Row],[Zahl]])</f>
        <v>0</v>
      </c>
      <c r="J104" s="2">
        <f>COUNTIF(Eingabe[S1],HäufigsteErgebnisse[[#This Row],[Zahl]])+COUNTIF(Eingabe[S2],HäufigsteErgebnisse[[#This Row],[Zahl]])+COUNTIF(Eingabe[S3],HäufigsteErgebnisse[[#This Row],[Zahl]])+COUNTIF(Eingabe[S4],HäufigsteErgebnisse[[#This Row],[Zahl]])</f>
        <v>0</v>
      </c>
      <c r="K104" s="2">
        <f>COUNTIF(Eingabe[GES],HäufigsteErgebnisse[[#This Row],[Zahl]])</f>
        <v>0</v>
      </c>
      <c r="L104" s="2">
        <f>HäufigsteErgebnisse[[#This Row],[Zahl]]</f>
        <v>46</v>
      </c>
    </row>
    <row r="105" spans="2:12" x14ac:dyDescent="0.3">
      <c r="B105" s="2">
        <v>47</v>
      </c>
      <c r="C105" s="2">
        <f>COUNTIF(Eingabe[Volle],HäufigsteErgebnisse[[#This Row],[Zahl]])</f>
        <v>0</v>
      </c>
      <c r="D105" s="2">
        <f>COUNTIF(Eingabe[Räumer],HäufigsteErgebnisse[[#This Row],[Zahl]])</f>
        <v>0</v>
      </c>
      <c r="E105" s="2">
        <f>COUNTIF(Eingabe[Fehler],HäufigsteErgebnisse[[#This Row],[Zahl]])</f>
        <v>0</v>
      </c>
      <c r="F105" s="2">
        <f>COUNTIF(Eingabe[S1],HäufigsteErgebnisse[[#This Row],[Zahl]])</f>
        <v>0</v>
      </c>
      <c r="G105" s="2">
        <f>COUNTIF(Eingabe[S2],HäufigsteErgebnisse[[#This Row],[Zahl]])</f>
        <v>0</v>
      </c>
      <c r="H105" s="2">
        <f>COUNTIF(Eingabe[S3],HäufigsteErgebnisse[[#This Row],[Zahl]])</f>
        <v>0</v>
      </c>
      <c r="I105" s="2">
        <f>COUNTIF(Eingabe[S4],HäufigsteErgebnisse[[#This Row],[Zahl]])</f>
        <v>0</v>
      </c>
      <c r="J105" s="2">
        <f>COUNTIF(Eingabe[S1],HäufigsteErgebnisse[[#This Row],[Zahl]])+COUNTIF(Eingabe[S2],HäufigsteErgebnisse[[#This Row],[Zahl]])+COUNTIF(Eingabe[S3],HäufigsteErgebnisse[[#This Row],[Zahl]])+COUNTIF(Eingabe[S4],HäufigsteErgebnisse[[#This Row],[Zahl]])</f>
        <v>0</v>
      </c>
      <c r="K105" s="2">
        <f>COUNTIF(Eingabe[GES],HäufigsteErgebnisse[[#This Row],[Zahl]])</f>
        <v>0</v>
      </c>
      <c r="L105" s="2">
        <f>HäufigsteErgebnisse[[#This Row],[Zahl]]</f>
        <v>47</v>
      </c>
    </row>
    <row r="106" spans="2:12" x14ac:dyDescent="0.3">
      <c r="B106" s="2">
        <v>48</v>
      </c>
      <c r="C106" s="2">
        <f>COUNTIF(Eingabe[Volle],HäufigsteErgebnisse[[#This Row],[Zahl]])</f>
        <v>0</v>
      </c>
      <c r="D106" s="2">
        <f>COUNTIF(Eingabe[Räumer],HäufigsteErgebnisse[[#This Row],[Zahl]])</f>
        <v>0</v>
      </c>
      <c r="E106" s="2">
        <f>COUNTIF(Eingabe[Fehler],HäufigsteErgebnisse[[#This Row],[Zahl]])</f>
        <v>0</v>
      </c>
      <c r="F106" s="2">
        <f>COUNTIF(Eingabe[S1],HäufigsteErgebnisse[[#This Row],[Zahl]])</f>
        <v>0</v>
      </c>
      <c r="G106" s="2">
        <f>COUNTIF(Eingabe[S2],HäufigsteErgebnisse[[#This Row],[Zahl]])</f>
        <v>0</v>
      </c>
      <c r="H106" s="2">
        <f>COUNTIF(Eingabe[S3],HäufigsteErgebnisse[[#This Row],[Zahl]])</f>
        <v>0</v>
      </c>
      <c r="I106" s="2">
        <f>COUNTIF(Eingabe[S4],HäufigsteErgebnisse[[#This Row],[Zahl]])</f>
        <v>0</v>
      </c>
      <c r="J106" s="2">
        <f>COUNTIF(Eingabe[S1],HäufigsteErgebnisse[[#This Row],[Zahl]])+COUNTIF(Eingabe[S2],HäufigsteErgebnisse[[#This Row],[Zahl]])+COUNTIF(Eingabe[S3],HäufigsteErgebnisse[[#This Row],[Zahl]])+COUNTIF(Eingabe[S4],HäufigsteErgebnisse[[#This Row],[Zahl]])</f>
        <v>0</v>
      </c>
      <c r="K106" s="2">
        <f>COUNTIF(Eingabe[GES],HäufigsteErgebnisse[[#This Row],[Zahl]])</f>
        <v>0</v>
      </c>
      <c r="L106" s="2">
        <f>HäufigsteErgebnisse[[#This Row],[Zahl]]</f>
        <v>48</v>
      </c>
    </row>
    <row r="107" spans="2:12" x14ac:dyDescent="0.3">
      <c r="B107" s="2">
        <v>49</v>
      </c>
      <c r="C107" s="2">
        <f>COUNTIF(Eingabe[Volle],HäufigsteErgebnisse[[#This Row],[Zahl]])</f>
        <v>0</v>
      </c>
      <c r="D107" s="2">
        <f>COUNTIF(Eingabe[Räumer],HäufigsteErgebnisse[[#This Row],[Zahl]])</f>
        <v>0</v>
      </c>
      <c r="E107" s="2">
        <f>COUNTIF(Eingabe[Fehler],HäufigsteErgebnisse[[#This Row],[Zahl]])</f>
        <v>0</v>
      </c>
      <c r="F107" s="2">
        <f>COUNTIF(Eingabe[S1],HäufigsteErgebnisse[[#This Row],[Zahl]])</f>
        <v>0</v>
      </c>
      <c r="G107" s="2">
        <f>COUNTIF(Eingabe[S2],HäufigsteErgebnisse[[#This Row],[Zahl]])</f>
        <v>0</v>
      </c>
      <c r="H107" s="2">
        <f>COUNTIF(Eingabe[S3],HäufigsteErgebnisse[[#This Row],[Zahl]])</f>
        <v>0</v>
      </c>
      <c r="I107" s="2">
        <f>COUNTIF(Eingabe[S4],HäufigsteErgebnisse[[#This Row],[Zahl]])</f>
        <v>0</v>
      </c>
      <c r="J107" s="2">
        <f>COUNTIF(Eingabe[S1],HäufigsteErgebnisse[[#This Row],[Zahl]])+COUNTIF(Eingabe[S2],HäufigsteErgebnisse[[#This Row],[Zahl]])+COUNTIF(Eingabe[S3],HäufigsteErgebnisse[[#This Row],[Zahl]])+COUNTIF(Eingabe[S4],HäufigsteErgebnisse[[#This Row],[Zahl]])</f>
        <v>0</v>
      </c>
      <c r="K107" s="2">
        <f>COUNTIF(Eingabe[GES],HäufigsteErgebnisse[[#This Row],[Zahl]])</f>
        <v>0</v>
      </c>
      <c r="L107" s="2">
        <f>HäufigsteErgebnisse[[#This Row],[Zahl]]</f>
        <v>49</v>
      </c>
    </row>
    <row r="108" spans="2:12" x14ac:dyDescent="0.3">
      <c r="B108" s="2">
        <v>50</v>
      </c>
      <c r="C108" s="2">
        <f>COUNTIF(Eingabe[Volle],HäufigsteErgebnisse[[#This Row],[Zahl]])</f>
        <v>0</v>
      </c>
      <c r="D108" s="2">
        <f>COUNTIF(Eingabe[Räumer],HäufigsteErgebnisse[[#This Row],[Zahl]])</f>
        <v>0</v>
      </c>
      <c r="E108" s="2">
        <f>COUNTIF(Eingabe[Fehler],HäufigsteErgebnisse[[#This Row],[Zahl]])</f>
        <v>0</v>
      </c>
      <c r="F108" s="2">
        <f>COUNTIF(Eingabe[S1],HäufigsteErgebnisse[[#This Row],[Zahl]])</f>
        <v>0</v>
      </c>
      <c r="G108" s="2">
        <f>COUNTIF(Eingabe[S2],HäufigsteErgebnisse[[#This Row],[Zahl]])</f>
        <v>0</v>
      </c>
      <c r="H108" s="2">
        <f>COUNTIF(Eingabe[S3],HäufigsteErgebnisse[[#This Row],[Zahl]])</f>
        <v>0</v>
      </c>
      <c r="I108" s="2">
        <f>COUNTIF(Eingabe[S4],HäufigsteErgebnisse[[#This Row],[Zahl]])</f>
        <v>0</v>
      </c>
      <c r="J108" s="2">
        <f>COUNTIF(Eingabe[S1],HäufigsteErgebnisse[[#This Row],[Zahl]])+COUNTIF(Eingabe[S2],HäufigsteErgebnisse[[#This Row],[Zahl]])+COUNTIF(Eingabe[S3],HäufigsteErgebnisse[[#This Row],[Zahl]])+COUNTIF(Eingabe[S4],HäufigsteErgebnisse[[#This Row],[Zahl]])</f>
        <v>0</v>
      </c>
      <c r="K108" s="2">
        <f>COUNTIF(Eingabe[GES],HäufigsteErgebnisse[[#This Row],[Zahl]])</f>
        <v>0</v>
      </c>
      <c r="L108" s="2">
        <f>HäufigsteErgebnisse[[#This Row],[Zahl]]</f>
        <v>50</v>
      </c>
    </row>
    <row r="109" spans="2:12" x14ac:dyDescent="0.3">
      <c r="B109" s="2">
        <v>51</v>
      </c>
      <c r="C109" s="2">
        <f>COUNTIF(Eingabe[Volle],HäufigsteErgebnisse[[#This Row],[Zahl]])</f>
        <v>0</v>
      </c>
      <c r="D109" s="2">
        <f>COUNTIF(Eingabe[Räumer],HäufigsteErgebnisse[[#This Row],[Zahl]])</f>
        <v>0</v>
      </c>
      <c r="E109" s="2">
        <f>COUNTIF(Eingabe[Fehler],HäufigsteErgebnisse[[#This Row],[Zahl]])</f>
        <v>0</v>
      </c>
      <c r="F109" s="2">
        <f>COUNTIF(Eingabe[S1],HäufigsteErgebnisse[[#This Row],[Zahl]])</f>
        <v>0</v>
      </c>
      <c r="G109" s="2">
        <f>COUNTIF(Eingabe[S2],HäufigsteErgebnisse[[#This Row],[Zahl]])</f>
        <v>0</v>
      </c>
      <c r="H109" s="2">
        <f>COUNTIF(Eingabe[S3],HäufigsteErgebnisse[[#This Row],[Zahl]])</f>
        <v>0</v>
      </c>
      <c r="I109" s="2">
        <f>COUNTIF(Eingabe[S4],HäufigsteErgebnisse[[#This Row],[Zahl]])</f>
        <v>0</v>
      </c>
      <c r="J109" s="2">
        <f>COUNTIF(Eingabe[S1],HäufigsteErgebnisse[[#This Row],[Zahl]])+COUNTIF(Eingabe[S2],HäufigsteErgebnisse[[#This Row],[Zahl]])+COUNTIF(Eingabe[S3],HäufigsteErgebnisse[[#This Row],[Zahl]])+COUNTIF(Eingabe[S4],HäufigsteErgebnisse[[#This Row],[Zahl]])</f>
        <v>0</v>
      </c>
      <c r="K109" s="2">
        <f>COUNTIF(Eingabe[GES],HäufigsteErgebnisse[[#This Row],[Zahl]])</f>
        <v>0</v>
      </c>
      <c r="L109" s="2">
        <f>HäufigsteErgebnisse[[#This Row],[Zahl]]</f>
        <v>51</v>
      </c>
    </row>
    <row r="110" spans="2:12" x14ac:dyDescent="0.3">
      <c r="B110" s="2">
        <v>52</v>
      </c>
      <c r="C110" s="2">
        <f>COUNTIF(Eingabe[Volle],HäufigsteErgebnisse[[#This Row],[Zahl]])</f>
        <v>0</v>
      </c>
      <c r="D110" s="2">
        <f>COUNTIF(Eingabe[Räumer],HäufigsteErgebnisse[[#This Row],[Zahl]])</f>
        <v>0</v>
      </c>
      <c r="E110" s="2">
        <f>COUNTIF(Eingabe[Fehler],HäufigsteErgebnisse[[#This Row],[Zahl]])</f>
        <v>0</v>
      </c>
      <c r="F110" s="2">
        <f>COUNTIF(Eingabe[S1],HäufigsteErgebnisse[[#This Row],[Zahl]])</f>
        <v>0</v>
      </c>
      <c r="G110" s="2">
        <f>COUNTIF(Eingabe[S2],HäufigsteErgebnisse[[#This Row],[Zahl]])</f>
        <v>0</v>
      </c>
      <c r="H110" s="2">
        <f>COUNTIF(Eingabe[S3],HäufigsteErgebnisse[[#This Row],[Zahl]])</f>
        <v>0</v>
      </c>
      <c r="I110" s="2">
        <f>COUNTIF(Eingabe[S4],HäufigsteErgebnisse[[#This Row],[Zahl]])</f>
        <v>0</v>
      </c>
      <c r="J110" s="2">
        <f>COUNTIF(Eingabe[S1],HäufigsteErgebnisse[[#This Row],[Zahl]])+COUNTIF(Eingabe[S2],HäufigsteErgebnisse[[#This Row],[Zahl]])+COUNTIF(Eingabe[S3],HäufigsteErgebnisse[[#This Row],[Zahl]])+COUNTIF(Eingabe[S4],HäufigsteErgebnisse[[#This Row],[Zahl]])</f>
        <v>0</v>
      </c>
      <c r="K110" s="2">
        <f>COUNTIF(Eingabe[GES],HäufigsteErgebnisse[[#This Row],[Zahl]])</f>
        <v>0</v>
      </c>
      <c r="L110" s="2">
        <f>HäufigsteErgebnisse[[#This Row],[Zahl]]</f>
        <v>52</v>
      </c>
    </row>
    <row r="111" spans="2:12" x14ac:dyDescent="0.3">
      <c r="B111" s="2">
        <v>53</v>
      </c>
      <c r="C111" s="2">
        <f>COUNTIF(Eingabe[Volle],HäufigsteErgebnisse[[#This Row],[Zahl]])</f>
        <v>0</v>
      </c>
      <c r="D111" s="2">
        <f>COUNTIF(Eingabe[Räumer],HäufigsteErgebnisse[[#This Row],[Zahl]])</f>
        <v>0</v>
      </c>
      <c r="E111" s="2">
        <f>COUNTIF(Eingabe[Fehler],HäufigsteErgebnisse[[#This Row],[Zahl]])</f>
        <v>1</v>
      </c>
      <c r="F111" s="2">
        <f>COUNTIF(Eingabe[S1],HäufigsteErgebnisse[[#This Row],[Zahl]])</f>
        <v>0</v>
      </c>
      <c r="G111" s="2">
        <f>COUNTIF(Eingabe[S2],HäufigsteErgebnisse[[#This Row],[Zahl]])</f>
        <v>0</v>
      </c>
      <c r="H111" s="2">
        <f>COUNTIF(Eingabe[S3],HäufigsteErgebnisse[[#This Row],[Zahl]])</f>
        <v>0</v>
      </c>
      <c r="I111" s="2">
        <f>COUNTIF(Eingabe[S4],HäufigsteErgebnisse[[#This Row],[Zahl]])</f>
        <v>0</v>
      </c>
      <c r="J111" s="2">
        <f>COUNTIF(Eingabe[S1],HäufigsteErgebnisse[[#This Row],[Zahl]])+COUNTIF(Eingabe[S2],HäufigsteErgebnisse[[#This Row],[Zahl]])+COUNTIF(Eingabe[S3],HäufigsteErgebnisse[[#This Row],[Zahl]])+COUNTIF(Eingabe[S4],HäufigsteErgebnisse[[#This Row],[Zahl]])</f>
        <v>0</v>
      </c>
      <c r="K111" s="2">
        <f>COUNTIF(Eingabe[GES],HäufigsteErgebnisse[[#This Row],[Zahl]])</f>
        <v>0</v>
      </c>
      <c r="L111" s="2">
        <f>HäufigsteErgebnisse[[#This Row],[Zahl]]</f>
        <v>53</v>
      </c>
    </row>
    <row r="112" spans="2:12" x14ac:dyDescent="0.3">
      <c r="B112" s="2">
        <v>54</v>
      </c>
      <c r="C112" s="2">
        <f>COUNTIF(Eingabe[Volle],HäufigsteErgebnisse[[#This Row],[Zahl]])</f>
        <v>0</v>
      </c>
      <c r="D112" s="2">
        <f>COUNTIF(Eingabe[Räumer],HäufigsteErgebnisse[[#This Row],[Zahl]])</f>
        <v>0</v>
      </c>
      <c r="E112" s="2">
        <f>COUNTIF(Eingabe[Fehler],HäufigsteErgebnisse[[#This Row],[Zahl]])</f>
        <v>0</v>
      </c>
      <c r="F112" s="2">
        <f>COUNTIF(Eingabe[S1],HäufigsteErgebnisse[[#This Row],[Zahl]])</f>
        <v>0</v>
      </c>
      <c r="G112" s="2">
        <f>COUNTIF(Eingabe[S2],HäufigsteErgebnisse[[#This Row],[Zahl]])</f>
        <v>0</v>
      </c>
      <c r="H112" s="2">
        <f>COUNTIF(Eingabe[S3],HäufigsteErgebnisse[[#This Row],[Zahl]])</f>
        <v>0</v>
      </c>
      <c r="I112" s="2">
        <f>COUNTIF(Eingabe[S4],HäufigsteErgebnisse[[#This Row],[Zahl]])</f>
        <v>0</v>
      </c>
      <c r="J112" s="2">
        <f>COUNTIF(Eingabe[S1],HäufigsteErgebnisse[[#This Row],[Zahl]])+COUNTIF(Eingabe[S2],HäufigsteErgebnisse[[#This Row],[Zahl]])+COUNTIF(Eingabe[S3],HäufigsteErgebnisse[[#This Row],[Zahl]])+COUNTIF(Eingabe[S4],HäufigsteErgebnisse[[#This Row],[Zahl]])</f>
        <v>0</v>
      </c>
      <c r="K112" s="2">
        <f>COUNTIF(Eingabe[GES],HäufigsteErgebnisse[[#This Row],[Zahl]])</f>
        <v>0</v>
      </c>
      <c r="L112" s="2">
        <f>HäufigsteErgebnisse[[#This Row],[Zahl]]</f>
        <v>54</v>
      </c>
    </row>
    <row r="113" spans="2:12" x14ac:dyDescent="0.3">
      <c r="B113" s="2">
        <v>55</v>
      </c>
      <c r="C113" s="2">
        <f>COUNTIF(Eingabe[Volle],HäufigsteErgebnisse[[#This Row],[Zahl]])</f>
        <v>0</v>
      </c>
      <c r="D113" s="2">
        <f>COUNTIF(Eingabe[Räumer],HäufigsteErgebnisse[[#This Row],[Zahl]])</f>
        <v>0</v>
      </c>
      <c r="E113" s="2">
        <f>COUNTIF(Eingabe[Fehler],HäufigsteErgebnisse[[#This Row],[Zahl]])</f>
        <v>0</v>
      </c>
      <c r="F113" s="2">
        <f>COUNTIF(Eingabe[S1],HäufigsteErgebnisse[[#This Row],[Zahl]])</f>
        <v>0</v>
      </c>
      <c r="G113" s="2">
        <f>COUNTIF(Eingabe[S2],HäufigsteErgebnisse[[#This Row],[Zahl]])</f>
        <v>0</v>
      </c>
      <c r="H113" s="2">
        <f>COUNTIF(Eingabe[S3],HäufigsteErgebnisse[[#This Row],[Zahl]])</f>
        <v>0</v>
      </c>
      <c r="I113" s="2">
        <f>COUNTIF(Eingabe[S4],HäufigsteErgebnisse[[#This Row],[Zahl]])</f>
        <v>0</v>
      </c>
      <c r="J113" s="2">
        <f>COUNTIF(Eingabe[S1],HäufigsteErgebnisse[[#This Row],[Zahl]])+COUNTIF(Eingabe[S2],HäufigsteErgebnisse[[#This Row],[Zahl]])+COUNTIF(Eingabe[S3],HäufigsteErgebnisse[[#This Row],[Zahl]])+COUNTIF(Eingabe[S4],HäufigsteErgebnisse[[#This Row],[Zahl]])</f>
        <v>0</v>
      </c>
      <c r="K113" s="2">
        <f>COUNTIF(Eingabe[GES],HäufigsteErgebnisse[[#This Row],[Zahl]])</f>
        <v>0</v>
      </c>
      <c r="L113" s="2">
        <f>HäufigsteErgebnisse[[#This Row],[Zahl]]</f>
        <v>55</v>
      </c>
    </row>
    <row r="114" spans="2:12" x14ac:dyDescent="0.3">
      <c r="B114" s="2">
        <v>56</v>
      </c>
      <c r="C114" s="2">
        <f>COUNTIF(Eingabe[Volle],HäufigsteErgebnisse[[#This Row],[Zahl]])</f>
        <v>0</v>
      </c>
      <c r="D114" s="2">
        <f>COUNTIF(Eingabe[Räumer],HäufigsteErgebnisse[[#This Row],[Zahl]])</f>
        <v>0</v>
      </c>
      <c r="E114" s="2">
        <f>COUNTIF(Eingabe[Fehler],HäufigsteErgebnisse[[#This Row],[Zahl]])</f>
        <v>0</v>
      </c>
      <c r="F114" s="2">
        <f>COUNTIF(Eingabe[S1],HäufigsteErgebnisse[[#This Row],[Zahl]])</f>
        <v>0</v>
      </c>
      <c r="G114" s="2">
        <f>COUNTIF(Eingabe[S2],HäufigsteErgebnisse[[#This Row],[Zahl]])</f>
        <v>0</v>
      </c>
      <c r="H114" s="2">
        <f>COUNTIF(Eingabe[S3],HäufigsteErgebnisse[[#This Row],[Zahl]])</f>
        <v>1</v>
      </c>
      <c r="I114" s="2">
        <f>COUNTIF(Eingabe[S4],HäufigsteErgebnisse[[#This Row],[Zahl]])</f>
        <v>0</v>
      </c>
      <c r="J114" s="2">
        <f>COUNTIF(Eingabe[S1],HäufigsteErgebnisse[[#This Row],[Zahl]])+COUNTIF(Eingabe[S2],HäufigsteErgebnisse[[#This Row],[Zahl]])+COUNTIF(Eingabe[S3],HäufigsteErgebnisse[[#This Row],[Zahl]])+COUNTIF(Eingabe[S4],HäufigsteErgebnisse[[#This Row],[Zahl]])</f>
        <v>1</v>
      </c>
      <c r="K114" s="2">
        <f>COUNTIF(Eingabe[GES],HäufigsteErgebnisse[[#This Row],[Zahl]])</f>
        <v>0</v>
      </c>
      <c r="L114" s="2">
        <f>HäufigsteErgebnisse[[#This Row],[Zahl]]</f>
        <v>56</v>
      </c>
    </row>
    <row r="115" spans="2:12" x14ac:dyDescent="0.3">
      <c r="B115" s="2">
        <v>57</v>
      </c>
      <c r="C115" s="2">
        <f>COUNTIF(Eingabe[Volle],HäufigsteErgebnisse[[#This Row],[Zahl]])</f>
        <v>0</v>
      </c>
      <c r="D115" s="2">
        <f>COUNTIF(Eingabe[Räumer],HäufigsteErgebnisse[[#This Row],[Zahl]])</f>
        <v>0</v>
      </c>
      <c r="E115" s="2">
        <f>COUNTIF(Eingabe[Fehler],HäufigsteErgebnisse[[#This Row],[Zahl]])</f>
        <v>0</v>
      </c>
      <c r="F115" s="2">
        <f>COUNTIF(Eingabe[S1],HäufigsteErgebnisse[[#This Row],[Zahl]])</f>
        <v>0</v>
      </c>
      <c r="G115" s="2">
        <f>COUNTIF(Eingabe[S2],HäufigsteErgebnisse[[#This Row],[Zahl]])</f>
        <v>0</v>
      </c>
      <c r="H115" s="2">
        <f>COUNTIF(Eingabe[S3],HäufigsteErgebnisse[[#This Row],[Zahl]])</f>
        <v>0</v>
      </c>
      <c r="I115" s="2">
        <f>COUNTIF(Eingabe[S4],HäufigsteErgebnisse[[#This Row],[Zahl]])</f>
        <v>0</v>
      </c>
      <c r="J115" s="2">
        <f>COUNTIF(Eingabe[S1],HäufigsteErgebnisse[[#This Row],[Zahl]])+COUNTIF(Eingabe[S2],HäufigsteErgebnisse[[#This Row],[Zahl]])+COUNTIF(Eingabe[S3],HäufigsteErgebnisse[[#This Row],[Zahl]])+COUNTIF(Eingabe[S4],HäufigsteErgebnisse[[#This Row],[Zahl]])</f>
        <v>0</v>
      </c>
      <c r="K115" s="2">
        <f>COUNTIF(Eingabe[GES],HäufigsteErgebnisse[[#This Row],[Zahl]])</f>
        <v>0</v>
      </c>
      <c r="L115" s="2">
        <f>HäufigsteErgebnisse[[#This Row],[Zahl]]</f>
        <v>57</v>
      </c>
    </row>
    <row r="116" spans="2:12" x14ac:dyDescent="0.3">
      <c r="B116" s="2">
        <v>58</v>
      </c>
      <c r="C116" s="2">
        <f>COUNTIF(Eingabe[Volle],HäufigsteErgebnisse[[#This Row],[Zahl]])</f>
        <v>0</v>
      </c>
      <c r="D116" s="2">
        <f>COUNTIF(Eingabe[Räumer],HäufigsteErgebnisse[[#This Row],[Zahl]])</f>
        <v>0</v>
      </c>
      <c r="E116" s="2">
        <f>COUNTIF(Eingabe[Fehler],HäufigsteErgebnisse[[#This Row],[Zahl]])</f>
        <v>0</v>
      </c>
      <c r="F116" s="2">
        <f>COUNTIF(Eingabe[S1],HäufigsteErgebnisse[[#This Row],[Zahl]])</f>
        <v>1</v>
      </c>
      <c r="G116" s="2">
        <f>COUNTIF(Eingabe[S2],HäufigsteErgebnisse[[#This Row],[Zahl]])</f>
        <v>0</v>
      </c>
      <c r="H116" s="2">
        <f>COUNTIF(Eingabe[S3],HäufigsteErgebnisse[[#This Row],[Zahl]])</f>
        <v>0</v>
      </c>
      <c r="I116" s="2">
        <f>COUNTIF(Eingabe[S4],HäufigsteErgebnisse[[#This Row],[Zahl]])</f>
        <v>0</v>
      </c>
      <c r="J116" s="2">
        <f>COUNTIF(Eingabe[S1],HäufigsteErgebnisse[[#This Row],[Zahl]])+COUNTIF(Eingabe[S2],HäufigsteErgebnisse[[#This Row],[Zahl]])+COUNTIF(Eingabe[S3],HäufigsteErgebnisse[[#This Row],[Zahl]])+COUNTIF(Eingabe[S4],HäufigsteErgebnisse[[#This Row],[Zahl]])</f>
        <v>1</v>
      </c>
      <c r="K116" s="2">
        <f>COUNTIF(Eingabe[GES],HäufigsteErgebnisse[[#This Row],[Zahl]])</f>
        <v>0</v>
      </c>
      <c r="L116" s="2">
        <f>HäufigsteErgebnisse[[#This Row],[Zahl]]</f>
        <v>58</v>
      </c>
    </row>
    <row r="117" spans="2:12" x14ac:dyDescent="0.3">
      <c r="B117" s="2">
        <v>59</v>
      </c>
      <c r="C117" s="2">
        <f>COUNTIF(Eingabe[Volle],HäufigsteErgebnisse[[#This Row],[Zahl]])</f>
        <v>0</v>
      </c>
      <c r="D117" s="2">
        <f>COUNTIF(Eingabe[Räumer],HäufigsteErgebnisse[[#This Row],[Zahl]])</f>
        <v>0</v>
      </c>
      <c r="E117" s="2">
        <f>COUNTIF(Eingabe[Fehler],HäufigsteErgebnisse[[#This Row],[Zahl]])</f>
        <v>0</v>
      </c>
      <c r="F117" s="2">
        <f>COUNTIF(Eingabe[S1],HäufigsteErgebnisse[[#This Row],[Zahl]])</f>
        <v>0</v>
      </c>
      <c r="G117" s="2">
        <f>COUNTIF(Eingabe[S2],HäufigsteErgebnisse[[#This Row],[Zahl]])</f>
        <v>1</v>
      </c>
      <c r="H117" s="2">
        <f>COUNTIF(Eingabe[S3],HäufigsteErgebnisse[[#This Row],[Zahl]])</f>
        <v>1</v>
      </c>
      <c r="I117" s="2">
        <f>COUNTIF(Eingabe[S4],HäufigsteErgebnisse[[#This Row],[Zahl]])</f>
        <v>0</v>
      </c>
      <c r="J117" s="2">
        <f>COUNTIF(Eingabe[S1],HäufigsteErgebnisse[[#This Row],[Zahl]])+COUNTIF(Eingabe[S2],HäufigsteErgebnisse[[#This Row],[Zahl]])+COUNTIF(Eingabe[S3],HäufigsteErgebnisse[[#This Row],[Zahl]])+COUNTIF(Eingabe[S4],HäufigsteErgebnisse[[#This Row],[Zahl]])</f>
        <v>2</v>
      </c>
      <c r="K117" s="2">
        <f>COUNTIF(Eingabe[GES],HäufigsteErgebnisse[[#This Row],[Zahl]])</f>
        <v>0</v>
      </c>
      <c r="L117" s="2">
        <f>HäufigsteErgebnisse[[#This Row],[Zahl]]</f>
        <v>59</v>
      </c>
    </row>
    <row r="118" spans="2:12" x14ac:dyDescent="0.3">
      <c r="B118" s="2">
        <v>60</v>
      </c>
      <c r="C118" s="2">
        <f>COUNTIF(Eingabe[Volle],HäufigsteErgebnisse[[#This Row],[Zahl]])</f>
        <v>0</v>
      </c>
      <c r="D118" s="2">
        <f>COUNTIF(Eingabe[Räumer],HäufigsteErgebnisse[[#This Row],[Zahl]])</f>
        <v>0</v>
      </c>
      <c r="E118" s="2">
        <f>COUNTIF(Eingabe[Fehler],HäufigsteErgebnisse[[#This Row],[Zahl]])</f>
        <v>0</v>
      </c>
      <c r="F118" s="2">
        <f>COUNTIF(Eingabe[S1],HäufigsteErgebnisse[[#This Row],[Zahl]])</f>
        <v>0</v>
      </c>
      <c r="G118" s="2">
        <f>COUNTIF(Eingabe[S2],HäufigsteErgebnisse[[#This Row],[Zahl]])</f>
        <v>0</v>
      </c>
      <c r="H118" s="2">
        <f>COUNTIF(Eingabe[S3],HäufigsteErgebnisse[[#This Row],[Zahl]])</f>
        <v>0</v>
      </c>
      <c r="I118" s="2">
        <f>COUNTIF(Eingabe[S4],HäufigsteErgebnisse[[#This Row],[Zahl]])</f>
        <v>0</v>
      </c>
      <c r="J118" s="2">
        <f>COUNTIF(Eingabe[S1],HäufigsteErgebnisse[[#This Row],[Zahl]])+COUNTIF(Eingabe[S2],HäufigsteErgebnisse[[#This Row],[Zahl]])+COUNTIF(Eingabe[S3],HäufigsteErgebnisse[[#This Row],[Zahl]])+COUNTIF(Eingabe[S4],HäufigsteErgebnisse[[#This Row],[Zahl]])</f>
        <v>0</v>
      </c>
      <c r="K118" s="2">
        <f>COUNTIF(Eingabe[GES],HäufigsteErgebnisse[[#This Row],[Zahl]])</f>
        <v>0</v>
      </c>
      <c r="L118" s="2">
        <f>HäufigsteErgebnisse[[#This Row],[Zahl]]</f>
        <v>60</v>
      </c>
    </row>
    <row r="119" spans="2:12" x14ac:dyDescent="0.3">
      <c r="B119" s="2">
        <v>61</v>
      </c>
      <c r="C119" s="2">
        <f>COUNTIF(Eingabe[Volle],HäufigsteErgebnisse[[#This Row],[Zahl]])</f>
        <v>0</v>
      </c>
      <c r="D119" s="2">
        <f>COUNTIF(Eingabe[Räumer],HäufigsteErgebnisse[[#This Row],[Zahl]])</f>
        <v>0</v>
      </c>
      <c r="E119" s="2">
        <f>COUNTIF(Eingabe[Fehler],HäufigsteErgebnisse[[#This Row],[Zahl]])</f>
        <v>1</v>
      </c>
      <c r="F119" s="2">
        <f>COUNTIF(Eingabe[S1],HäufigsteErgebnisse[[#This Row],[Zahl]])</f>
        <v>0</v>
      </c>
      <c r="G119" s="2">
        <f>COUNTIF(Eingabe[S2],HäufigsteErgebnisse[[#This Row],[Zahl]])</f>
        <v>0</v>
      </c>
      <c r="H119" s="2">
        <f>COUNTIF(Eingabe[S3],HäufigsteErgebnisse[[#This Row],[Zahl]])</f>
        <v>0</v>
      </c>
      <c r="I119" s="2">
        <f>COUNTIF(Eingabe[S4],HäufigsteErgebnisse[[#This Row],[Zahl]])</f>
        <v>0</v>
      </c>
      <c r="J119" s="2">
        <f>COUNTIF(Eingabe[S1],HäufigsteErgebnisse[[#This Row],[Zahl]])+COUNTIF(Eingabe[S2],HäufigsteErgebnisse[[#This Row],[Zahl]])+COUNTIF(Eingabe[S3],HäufigsteErgebnisse[[#This Row],[Zahl]])+COUNTIF(Eingabe[S4],HäufigsteErgebnisse[[#This Row],[Zahl]])</f>
        <v>0</v>
      </c>
      <c r="K119" s="2">
        <f>COUNTIF(Eingabe[GES],HäufigsteErgebnisse[[#This Row],[Zahl]])</f>
        <v>0</v>
      </c>
      <c r="L119" s="2">
        <f>HäufigsteErgebnisse[[#This Row],[Zahl]]</f>
        <v>61</v>
      </c>
    </row>
    <row r="120" spans="2:12" x14ac:dyDescent="0.3">
      <c r="B120" s="2">
        <v>62</v>
      </c>
      <c r="C120" s="2">
        <f>COUNTIF(Eingabe[Volle],HäufigsteErgebnisse[[#This Row],[Zahl]])</f>
        <v>0</v>
      </c>
      <c r="D120" s="2">
        <f>COUNTIF(Eingabe[Räumer],HäufigsteErgebnisse[[#This Row],[Zahl]])</f>
        <v>0</v>
      </c>
      <c r="E120" s="2">
        <f>COUNTIF(Eingabe[Fehler],HäufigsteErgebnisse[[#This Row],[Zahl]])</f>
        <v>0</v>
      </c>
      <c r="F120" s="2">
        <f>COUNTIF(Eingabe[S1],HäufigsteErgebnisse[[#This Row],[Zahl]])</f>
        <v>0</v>
      </c>
      <c r="G120" s="2">
        <f>COUNTIF(Eingabe[S2],HäufigsteErgebnisse[[#This Row],[Zahl]])</f>
        <v>0</v>
      </c>
      <c r="H120" s="2">
        <f>COUNTIF(Eingabe[S3],HäufigsteErgebnisse[[#This Row],[Zahl]])</f>
        <v>0</v>
      </c>
      <c r="I120" s="2">
        <f>COUNTIF(Eingabe[S4],HäufigsteErgebnisse[[#This Row],[Zahl]])</f>
        <v>0</v>
      </c>
      <c r="J120" s="2">
        <f>COUNTIF(Eingabe[S1],HäufigsteErgebnisse[[#This Row],[Zahl]])+COUNTIF(Eingabe[S2],HäufigsteErgebnisse[[#This Row],[Zahl]])+COUNTIF(Eingabe[S3],HäufigsteErgebnisse[[#This Row],[Zahl]])+COUNTIF(Eingabe[S4],HäufigsteErgebnisse[[#This Row],[Zahl]])</f>
        <v>0</v>
      </c>
      <c r="K120" s="2">
        <f>COUNTIF(Eingabe[GES],HäufigsteErgebnisse[[#This Row],[Zahl]])</f>
        <v>0</v>
      </c>
      <c r="L120" s="2">
        <f>HäufigsteErgebnisse[[#This Row],[Zahl]]</f>
        <v>62</v>
      </c>
    </row>
    <row r="121" spans="2:12" x14ac:dyDescent="0.3">
      <c r="B121" s="2">
        <v>63</v>
      </c>
      <c r="C121" s="2">
        <f>COUNTIF(Eingabe[Volle],HäufigsteErgebnisse[[#This Row],[Zahl]])</f>
        <v>0</v>
      </c>
      <c r="D121" s="2">
        <f>COUNTIF(Eingabe[Räumer],HäufigsteErgebnisse[[#This Row],[Zahl]])</f>
        <v>2</v>
      </c>
      <c r="E121" s="2">
        <f>COUNTIF(Eingabe[Fehler],HäufigsteErgebnisse[[#This Row],[Zahl]])</f>
        <v>0</v>
      </c>
      <c r="F121" s="2">
        <f>COUNTIF(Eingabe[S1],HäufigsteErgebnisse[[#This Row],[Zahl]])</f>
        <v>0</v>
      </c>
      <c r="G121" s="2">
        <f>COUNTIF(Eingabe[S2],HäufigsteErgebnisse[[#This Row],[Zahl]])</f>
        <v>0</v>
      </c>
      <c r="H121" s="2">
        <f>COUNTIF(Eingabe[S3],HäufigsteErgebnisse[[#This Row],[Zahl]])</f>
        <v>0</v>
      </c>
      <c r="I121" s="2">
        <f>COUNTIF(Eingabe[S4],HäufigsteErgebnisse[[#This Row],[Zahl]])</f>
        <v>0</v>
      </c>
      <c r="J121" s="2">
        <f>COUNTIF(Eingabe[S1],HäufigsteErgebnisse[[#This Row],[Zahl]])+COUNTIF(Eingabe[S2],HäufigsteErgebnisse[[#This Row],[Zahl]])+COUNTIF(Eingabe[S3],HäufigsteErgebnisse[[#This Row],[Zahl]])+COUNTIF(Eingabe[S4],HäufigsteErgebnisse[[#This Row],[Zahl]])</f>
        <v>0</v>
      </c>
      <c r="K121" s="2">
        <f>COUNTIF(Eingabe[GES],HäufigsteErgebnisse[[#This Row],[Zahl]])</f>
        <v>0</v>
      </c>
      <c r="L121" s="2">
        <f>HäufigsteErgebnisse[[#This Row],[Zahl]]</f>
        <v>63</v>
      </c>
    </row>
    <row r="122" spans="2:12" x14ac:dyDescent="0.3">
      <c r="B122" s="2">
        <v>64</v>
      </c>
      <c r="C122" s="2">
        <f>COUNTIF(Eingabe[Volle],HäufigsteErgebnisse[[#This Row],[Zahl]])</f>
        <v>0</v>
      </c>
      <c r="D122" s="2">
        <f>COUNTIF(Eingabe[Räumer],HäufigsteErgebnisse[[#This Row],[Zahl]])</f>
        <v>0</v>
      </c>
      <c r="E122" s="2">
        <f>COUNTIF(Eingabe[Fehler],HäufigsteErgebnisse[[#This Row],[Zahl]])</f>
        <v>0</v>
      </c>
      <c r="F122" s="2">
        <f>COUNTIF(Eingabe[S1],HäufigsteErgebnisse[[#This Row],[Zahl]])</f>
        <v>0</v>
      </c>
      <c r="G122" s="2">
        <f>COUNTIF(Eingabe[S2],HäufigsteErgebnisse[[#This Row],[Zahl]])</f>
        <v>0</v>
      </c>
      <c r="H122" s="2">
        <f>COUNTIF(Eingabe[S3],HäufigsteErgebnisse[[#This Row],[Zahl]])</f>
        <v>1</v>
      </c>
      <c r="I122" s="2">
        <f>COUNTIF(Eingabe[S4],HäufigsteErgebnisse[[#This Row],[Zahl]])</f>
        <v>0</v>
      </c>
      <c r="J122" s="2">
        <f>COUNTIF(Eingabe[S1],HäufigsteErgebnisse[[#This Row],[Zahl]])+COUNTIF(Eingabe[S2],HäufigsteErgebnisse[[#This Row],[Zahl]])+COUNTIF(Eingabe[S3],HäufigsteErgebnisse[[#This Row],[Zahl]])+COUNTIF(Eingabe[S4],HäufigsteErgebnisse[[#This Row],[Zahl]])</f>
        <v>1</v>
      </c>
      <c r="K122" s="2">
        <f>COUNTIF(Eingabe[GES],HäufigsteErgebnisse[[#This Row],[Zahl]])</f>
        <v>0</v>
      </c>
      <c r="L122" s="2">
        <f>HäufigsteErgebnisse[[#This Row],[Zahl]]</f>
        <v>64</v>
      </c>
    </row>
    <row r="123" spans="2:12" x14ac:dyDescent="0.3">
      <c r="B123" s="2">
        <v>65</v>
      </c>
      <c r="C123" s="2">
        <f>COUNTIF(Eingabe[Volle],HäufigsteErgebnisse[[#This Row],[Zahl]])</f>
        <v>0</v>
      </c>
      <c r="D123" s="2">
        <f>COUNTIF(Eingabe[Räumer],HäufigsteErgebnisse[[#This Row],[Zahl]])</f>
        <v>0</v>
      </c>
      <c r="E123" s="2">
        <f>COUNTIF(Eingabe[Fehler],HäufigsteErgebnisse[[#This Row],[Zahl]])</f>
        <v>0</v>
      </c>
      <c r="F123" s="2">
        <f>COUNTIF(Eingabe[S1],HäufigsteErgebnisse[[#This Row],[Zahl]])</f>
        <v>0</v>
      </c>
      <c r="G123" s="2">
        <f>COUNTIF(Eingabe[S2],HäufigsteErgebnisse[[#This Row],[Zahl]])</f>
        <v>0</v>
      </c>
      <c r="H123" s="2">
        <f>COUNTIF(Eingabe[S3],HäufigsteErgebnisse[[#This Row],[Zahl]])</f>
        <v>0</v>
      </c>
      <c r="I123" s="2">
        <f>COUNTIF(Eingabe[S4],HäufigsteErgebnisse[[#This Row],[Zahl]])</f>
        <v>0</v>
      </c>
      <c r="J123" s="2">
        <f>COUNTIF(Eingabe[S1],HäufigsteErgebnisse[[#This Row],[Zahl]])+COUNTIF(Eingabe[S2],HäufigsteErgebnisse[[#This Row],[Zahl]])+COUNTIF(Eingabe[S3],HäufigsteErgebnisse[[#This Row],[Zahl]])+COUNTIF(Eingabe[S4],HäufigsteErgebnisse[[#This Row],[Zahl]])</f>
        <v>0</v>
      </c>
      <c r="K123" s="2">
        <f>COUNTIF(Eingabe[GES],HäufigsteErgebnisse[[#This Row],[Zahl]])</f>
        <v>0</v>
      </c>
      <c r="L123" s="2">
        <f>HäufigsteErgebnisse[[#This Row],[Zahl]]</f>
        <v>65</v>
      </c>
    </row>
    <row r="124" spans="2:12" x14ac:dyDescent="0.3">
      <c r="B124" s="2">
        <v>66</v>
      </c>
      <c r="C124" s="2">
        <f>COUNTIF(Eingabe[Volle],HäufigsteErgebnisse[[#This Row],[Zahl]])</f>
        <v>0</v>
      </c>
      <c r="D124" s="2">
        <f>COUNTIF(Eingabe[Räumer],HäufigsteErgebnisse[[#This Row],[Zahl]])</f>
        <v>1</v>
      </c>
      <c r="E124" s="2">
        <f>COUNTIF(Eingabe[Fehler],HäufigsteErgebnisse[[#This Row],[Zahl]])</f>
        <v>0</v>
      </c>
      <c r="F124" s="2">
        <f>COUNTIF(Eingabe[S1],HäufigsteErgebnisse[[#This Row],[Zahl]])</f>
        <v>0</v>
      </c>
      <c r="G124" s="2">
        <f>COUNTIF(Eingabe[S2],HäufigsteErgebnisse[[#This Row],[Zahl]])</f>
        <v>0</v>
      </c>
      <c r="H124" s="2">
        <f>COUNTIF(Eingabe[S3],HäufigsteErgebnisse[[#This Row],[Zahl]])</f>
        <v>0</v>
      </c>
      <c r="I124" s="2">
        <f>COUNTIF(Eingabe[S4],HäufigsteErgebnisse[[#This Row],[Zahl]])</f>
        <v>1</v>
      </c>
      <c r="J124" s="2">
        <f>COUNTIF(Eingabe[S1],HäufigsteErgebnisse[[#This Row],[Zahl]])+COUNTIF(Eingabe[S2],HäufigsteErgebnisse[[#This Row],[Zahl]])+COUNTIF(Eingabe[S3],HäufigsteErgebnisse[[#This Row],[Zahl]])+COUNTIF(Eingabe[S4],HäufigsteErgebnisse[[#This Row],[Zahl]])</f>
        <v>1</v>
      </c>
      <c r="K124" s="2">
        <f>COUNTIF(Eingabe[GES],HäufigsteErgebnisse[[#This Row],[Zahl]])</f>
        <v>0</v>
      </c>
      <c r="L124" s="2">
        <f>HäufigsteErgebnisse[[#This Row],[Zahl]]</f>
        <v>66</v>
      </c>
    </row>
    <row r="125" spans="2:12" x14ac:dyDescent="0.3">
      <c r="B125" s="2">
        <v>67</v>
      </c>
      <c r="C125" s="2">
        <f>COUNTIF(Eingabe[Volle],HäufigsteErgebnisse[[#This Row],[Zahl]])</f>
        <v>0</v>
      </c>
      <c r="D125" s="2">
        <f>COUNTIF(Eingabe[Räumer],HäufigsteErgebnisse[[#This Row],[Zahl]])</f>
        <v>0</v>
      </c>
      <c r="E125" s="2">
        <f>COUNTIF(Eingabe[Fehler],HäufigsteErgebnisse[[#This Row],[Zahl]])</f>
        <v>0</v>
      </c>
      <c r="F125" s="2">
        <f>COUNTIF(Eingabe[S1],HäufigsteErgebnisse[[#This Row],[Zahl]])</f>
        <v>1</v>
      </c>
      <c r="G125" s="2">
        <f>COUNTIF(Eingabe[S2],HäufigsteErgebnisse[[#This Row],[Zahl]])</f>
        <v>0</v>
      </c>
      <c r="H125" s="2">
        <f>COUNTIF(Eingabe[S3],HäufigsteErgebnisse[[#This Row],[Zahl]])</f>
        <v>0</v>
      </c>
      <c r="I125" s="2">
        <f>COUNTIF(Eingabe[S4],HäufigsteErgebnisse[[#This Row],[Zahl]])</f>
        <v>0</v>
      </c>
      <c r="J125" s="2">
        <f>COUNTIF(Eingabe[S1],HäufigsteErgebnisse[[#This Row],[Zahl]])+COUNTIF(Eingabe[S2],HäufigsteErgebnisse[[#This Row],[Zahl]])+COUNTIF(Eingabe[S3],HäufigsteErgebnisse[[#This Row],[Zahl]])+COUNTIF(Eingabe[S4],HäufigsteErgebnisse[[#This Row],[Zahl]])</f>
        <v>1</v>
      </c>
      <c r="K125" s="2">
        <f>COUNTIF(Eingabe[GES],HäufigsteErgebnisse[[#This Row],[Zahl]])</f>
        <v>0</v>
      </c>
      <c r="L125" s="2">
        <f>HäufigsteErgebnisse[[#This Row],[Zahl]]</f>
        <v>67</v>
      </c>
    </row>
    <row r="126" spans="2:12" x14ac:dyDescent="0.3">
      <c r="B126" s="2">
        <v>68</v>
      </c>
      <c r="C126" s="2">
        <f>COUNTIF(Eingabe[Volle],HäufigsteErgebnisse[[#This Row],[Zahl]])</f>
        <v>0</v>
      </c>
      <c r="D126" s="2">
        <f>COUNTIF(Eingabe[Räumer],HäufigsteErgebnisse[[#This Row],[Zahl]])</f>
        <v>0</v>
      </c>
      <c r="E126" s="2">
        <f>COUNTIF(Eingabe[Fehler],HäufigsteErgebnisse[[#This Row],[Zahl]])</f>
        <v>0</v>
      </c>
      <c r="F126" s="2">
        <f>COUNTIF(Eingabe[S1],HäufigsteErgebnisse[[#This Row],[Zahl]])</f>
        <v>0</v>
      </c>
      <c r="G126" s="2">
        <f>COUNTIF(Eingabe[S2],HäufigsteErgebnisse[[#This Row],[Zahl]])</f>
        <v>0</v>
      </c>
      <c r="H126" s="2">
        <f>COUNTIF(Eingabe[S3],HäufigsteErgebnisse[[#This Row],[Zahl]])</f>
        <v>1</v>
      </c>
      <c r="I126" s="2">
        <f>COUNTIF(Eingabe[S4],HäufigsteErgebnisse[[#This Row],[Zahl]])</f>
        <v>0</v>
      </c>
      <c r="J126" s="2">
        <f>COUNTIF(Eingabe[S1],HäufigsteErgebnisse[[#This Row],[Zahl]])+COUNTIF(Eingabe[S2],HäufigsteErgebnisse[[#This Row],[Zahl]])+COUNTIF(Eingabe[S3],HäufigsteErgebnisse[[#This Row],[Zahl]])+COUNTIF(Eingabe[S4],HäufigsteErgebnisse[[#This Row],[Zahl]])</f>
        <v>1</v>
      </c>
      <c r="K126" s="2">
        <f>COUNTIF(Eingabe[GES],HäufigsteErgebnisse[[#This Row],[Zahl]])</f>
        <v>0</v>
      </c>
      <c r="L126" s="2">
        <f>HäufigsteErgebnisse[[#This Row],[Zahl]]</f>
        <v>68</v>
      </c>
    </row>
    <row r="127" spans="2:12" x14ac:dyDescent="0.3">
      <c r="B127" s="2">
        <v>69</v>
      </c>
      <c r="C127" s="2">
        <f>COUNTIF(Eingabe[Volle],HäufigsteErgebnisse[[#This Row],[Zahl]])</f>
        <v>0</v>
      </c>
      <c r="D127" s="2">
        <f>COUNTIF(Eingabe[Räumer],HäufigsteErgebnisse[[#This Row],[Zahl]])</f>
        <v>0</v>
      </c>
      <c r="E127" s="2">
        <f>COUNTIF(Eingabe[Fehler],HäufigsteErgebnisse[[#This Row],[Zahl]])</f>
        <v>0</v>
      </c>
      <c r="F127" s="2">
        <f>COUNTIF(Eingabe[S1],HäufigsteErgebnisse[[#This Row],[Zahl]])</f>
        <v>0</v>
      </c>
      <c r="G127" s="2">
        <f>COUNTIF(Eingabe[S2],HäufigsteErgebnisse[[#This Row],[Zahl]])</f>
        <v>1</v>
      </c>
      <c r="H127" s="2">
        <f>COUNTIF(Eingabe[S3],HäufigsteErgebnisse[[#This Row],[Zahl]])</f>
        <v>0</v>
      </c>
      <c r="I127" s="2">
        <f>COUNTIF(Eingabe[S4],HäufigsteErgebnisse[[#This Row],[Zahl]])</f>
        <v>0</v>
      </c>
      <c r="J127" s="2">
        <f>COUNTIF(Eingabe[S1],HäufigsteErgebnisse[[#This Row],[Zahl]])+COUNTIF(Eingabe[S2],HäufigsteErgebnisse[[#This Row],[Zahl]])+COUNTIF(Eingabe[S3],HäufigsteErgebnisse[[#This Row],[Zahl]])+COUNTIF(Eingabe[S4],HäufigsteErgebnisse[[#This Row],[Zahl]])</f>
        <v>1</v>
      </c>
      <c r="K127" s="2">
        <f>COUNTIF(Eingabe[GES],HäufigsteErgebnisse[[#This Row],[Zahl]])</f>
        <v>0</v>
      </c>
      <c r="L127" s="2">
        <f>HäufigsteErgebnisse[[#This Row],[Zahl]]</f>
        <v>69</v>
      </c>
    </row>
    <row r="128" spans="2:12" x14ac:dyDescent="0.3">
      <c r="B128" s="2">
        <v>70</v>
      </c>
      <c r="C128" s="2">
        <f>COUNTIF(Eingabe[Volle],HäufigsteErgebnisse[[#This Row],[Zahl]])</f>
        <v>0</v>
      </c>
      <c r="D128" s="2">
        <f>COUNTIF(Eingabe[Räumer],HäufigsteErgebnisse[[#This Row],[Zahl]])</f>
        <v>0</v>
      </c>
      <c r="E128" s="2">
        <f>COUNTIF(Eingabe[Fehler],HäufigsteErgebnisse[[#This Row],[Zahl]])</f>
        <v>0</v>
      </c>
      <c r="F128" s="2">
        <f>COUNTIF(Eingabe[S1],HäufigsteErgebnisse[[#This Row],[Zahl]])</f>
        <v>1</v>
      </c>
      <c r="G128" s="2">
        <f>COUNTIF(Eingabe[S2],HäufigsteErgebnisse[[#This Row],[Zahl]])</f>
        <v>1</v>
      </c>
      <c r="H128" s="2">
        <f>COUNTIF(Eingabe[S3],HäufigsteErgebnisse[[#This Row],[Zahl]])</f>
        <v>0</v>
      </c>
      <c r="I128" s="2">
        <f>COUNTIF(Eingabe[S4],HäufigsteErgebnisse[[#This Row],[Zahl]])</f>
        <v>0</v>
      </c>
      <c r="J128" s="2">
        <f>COUNTIF(Eingabe[S1],HäufigsteErgebnisse[[#This Row],[Zahl]])+COUNTIF(Eingabe[S2],HäufigsteErgebnisse[[#This Row],[Zahl]])+COUNTIF(Eingabe[S3],HäufigsteErgebnisse[[#This Row],[Zahl]])+COUNTIF(Eingabe[S4],HäufigsteErgebnisse[[#This Row],[Zahl]])</f>
        <v>2</v>
      </c>
      <c r="K128" s="2">
        <f>COUNTIF(Eingabe[GES],HäufigsteErgebnisse[[#This Row],[Zahl]])</f>
        <v>0</v>
      </c>
      <c r="L128" s="2">
        <f>HäufigsteErgebnisse[[#This Row],[Zahl]]</f>
        <v>70</v>
      </c>
    </row>
    <row r="129" spans="2:12" x14ac:dyDescent="0.3">
      <c r="B129" s="2">
        <v>71</v>
      </c>
      <c r="C129" s="2">
        <f>COUNTIF(Eingabe[Volle],HäufigsteErgebnisse[[#This Row],[Zahl]])</f>
        <v>0</v>
      </c>
      <c r="D129" s="2">
        <f>COUNTIF(Eingabe[Räumer],HäufigsteErgebnisse[[#This Row],[Zahl]])</f>
        <v>1</v>
      </c>
      <c r="E129" s="2">
        <f>COUNTIF(Eingabe[Fehler],HäufigsteErgebnisse[[#This Row],[Zahl]])</f>
        <v>0</v>
      </c>
      <c r="F129" s="2">
        <f>COUNTIF(Eingabe[S1],HäufigsteErgebnisse[[#This Row],[Zahl]])</f>
        <v>0</v>
      </c>
      <c r="G129" s="2">
        <f>COUNTIF(Eingabe[S2],HäufigsteErgebnisse[[#This Row],[Zahl]])</f>
        <v>0</v>
      </c>
      <c r="H129" s="2">
        <f>COUNTIF(Eingabe[S3],HäufigsteErgebnisse[[#This Row],[Zahl]])</f>
        <v>1</v>
      </c>
      <c r="I129" s="2">
        <f>COUNTIF(Eingabe[S4],HäufigsteErgebnisse[[#This Row],[Zahl]])</f>
        <v>0</v>
      </c>
      <c r="J129" s="2">
        <f>COUNTIF(Eingabe[S1],HäufigsteErgebnisse[[#This Row],[Zahl]])+COUNTIF(Eingabe[S2],HäufigsteErgebnisse[[#This Row],[Zahl]])+COUNTIF(Eingabe[S3],HäufigsteErgebnisse[[#This Row],[Zahl]])+COUNTIF(Eingabe[S4],HäufigsteErgebnisse[[#This Row],[Zahl]])</f>
        <v>1</v>
      </c>
      <c r="K129" s="2">
        <f>COUNTIF(Eingabe[GES],HäufigsteErgebnisse[[#This Row],[Zahl]])</f>
        <v>0</v>
      </c>
      <c r="L129" s="2">
        <f>HäufigsteErgebnisse[[#This Row],[Zahl]]</f>
        <v>71</v>
      </c>
    </row>
    <row r="130" spans="2:12" x14ac:dyDescent="0.3">
      <c r="B130" s="2">
        <v>72</v>
      </c>
      <c r="C130" s="2">
        <f>COUNTIF(Eingabe[Volle],HäufigsteErgebnisse[[#This Row],[Zahl]])</f>
        <v>0</v>
      </c>
      <c r="D130" s="2">
        <f>COUNTIF(Eingabe[Räumer],HäufigsteErgebnisse[[#This Row],[Zahl]])</f>
        <v>1</v>
      </c>
      <c r="E130" s="2">
        <f>COUNTIF(Eingabe[Fehler],HäufigsteErgebnisse[[#This Row],[Zahl]])</f>
        <v>0</v>
      </c>
      <c r="F130" s="2">
        <f>COUNTIF(Eingabe[S1],HäufigsteErgebnisse[[#This Row],[Zahl]])</f>
        <v>0</v>
      </c>
      <c r="G130" s="2">
        <f>COUNTIF(Eingabe[S2],HäufigsteErgebnisse[[#This Row],[Zahl]])</f>
        <v>1</v>
      </c>
      <c r="H130" s="2">
        <f>COUNTIF(Eingabe[S3],HäufigsteErgebnisse[[#This Row],[Zahl]])</f>
        <v>0</v>
      </c>
      <c r="I130" s="2">
        <f>COUNTIF(Eingabe[S4],HäufigsteErgebnisse[[#This Row],[Zahl]])</f>
        <v>0</v>
      </c>
      <c r="J130" s="2">
        <f>COUNTIF(Eingabe[S1],HäufigsteErgebnisse[[#This Row],[Zahl]])+COUNTIF(Eingabe[S2],HäufigsteErgebnisse[[#This Row],[Zahl]])+COUNTIF(Eingabe[S3],HäufigsteErgebnisse[[#This Row],[Zahl]])+COUNTIF(Eingabe[S4],HäufigsteErgebnisse[[#This Row],[Zahl]])</f>
        <v>1</v>
      </c>
      <c r="K130" s="2">
        <f>COUNTIF(Eingabe[GES],HäufigsteErgebnisse[[#This Row],[Zahl]])</f>
        <v>0</v>
      </c>
      <c r="L130" s="2">
        <f>HäufigsteErgebnisse[[#This Row],[Zahl]]</f>
        <v>72</v>
      </c>
    </row>
    <row r="131" spans="2:12" x14ac:dyDescent="0.3">
      <c r="B131" s="2">
        <v>73</v>
      </c>
      <c r="C131" s="2">
        <f>COUNTIF(Eingabe[Volle],HäufigsteErgebnisse[[#This Row],[Zahl]])</f>
        <v>0</v>
      </c>
      <c r="D131" s="2">
        <f>COUNTIF(Eingabe[Räumer],HäufigsteErgebnisse[[#This Row],[Zahl]])</f>
        <v>0</v>
      </c>
      <c r="E131" s="2">
        <f>COUNTIF(Eingabe[Fehler],HäufigsteErgebnisse[[#This Row],[Zahl]])</f>
        <v>0</v>
      </c>
      <c r="F131" s="2">
        <f>COUNTIF(Eingabe[S1],HäufigsteErgebnisse[[#This Row],[Zahl]])</f>
        <v>0</v>
      </c>
      <c r="G131" s="2">
        <f>COUNTIF(Eingabe[S2],HäufigsteErgebnisse[[#This Row],[Zahl]])</f>
        <v>0</v>
      </c>
      <c r="H131" s="2">
        <f>COUNTIF(Eingabe[S3],HäufigsteErgebnisse[[#This Row],[Zahl]])</f>
        <v>0</v>
      </c>
      <c r="I131" s="2">
        <f>COUNTIF(Eingabe[S4],HäufigsteErgebnisse[[#This Row],[Zahl]])</f>
        <v>0</v>
      </c>
      <c r="J131" s="2">
        <f>COUNTIF(Eingabe[S1],HäufigsteErgebnisse[[#This Row],[Zahl]])+COUNTIF(Eingabe[S2],HäufigsteErgebnisse[[#This Row],[Zahl]])+COUNTIF(Eingabe[S3],HäufigsteErgebnisse[[#This Row],[Zahl]])+COUNTIF(Eingabe[S4],HäufigsteErgebnisse[[#This Row],[Zahl]])</f>
        <v>0</v>
      </c>
      <c r="K131" s="2">
        <f>COUNTIF(Eingabe[GES],HäufigsteErgebnisse[[#This Row],[Zahl]])</f>
        <v>0</v>
      </c>
      <c r="L131" s="2">
        <f>HäufigsteErgebnisse[[#This Row],[Zahl]]</f>
        <v>73</v>
      </c>
    </row>
    <row r="132" spans="2:12" x14ac:dyDescent="0.3">
      <c r="B132" s="2">
        <v>74</v>
      </c>
      <c r="C132" s="2">
        <f>COUNTIF(Eingabe[Volle],HäufigsteErgebnisse[[#This Row],[Zahl]])</f>
        <v>0</v>
      </c>
      <c r="D132" s="2">
        <f>COUNTIF(Eingabe[Räumer],HäufigsteErgebnisse[[#This Row],[Zahl]])</f>
        <v>0</v>
      </c>
      <c r="E132" s="2">
        <f>COUNTIF(Eingabe[Fehler],HäufigsteErgebnisse[[#This Row],[Zahl]])</f>
        <v>0</v>
      </c>
      <c r="F132" s="2">
        <f>COUNTIF(Eingabe[S1],HäufigsteErgebnisse[[#This Row],[Zahl]])</f>
        <v>1</v>
      </c>
      <c r="G132" s="2">
        <f>COUNTIF(Eingabe[S2],HäufigsteErgebnisse[[#This Row],[Zahl]])</f>
        <v>1</v>
      </c>
      <c r="H132" s="2">
        <f>COUNTIF(Eingabe[S3],HäufigsteErgebnisse[[#This Row],[Zahl]])</f>
        <v>0</v>
      </c>
      <c r="I132" s="2">
        <f>COUNTIF(Eingabe[S4],HäufigsteErgebnisse[[#This Row],[Zahl]])</f>
        <v>1</v>
      </c>
      <c r="J132" s="2">
        <f>COUNTIF(Eingabe[S1],HäufigsteErgebnisse[[#This Row],[Zahl]])+COUNTIF(Eingabe[S2],HäufigsteErgebnisse[[#This Row],[Zahl]])+COUNTIF(Eingabe[S3],HäufigsteErgebnisse[[#This Row],[Zahl]])+COUNTIF(Eingabe[S4],HäufigsteErgebnisse[[#This Row],[Zahl]])</f>
        <v>3</v>
      </c>
      <c r="K132" s="2">
        <f>COUNTIF(Eingabe[GES],HäufigsteErgebnisse[[#This Row],[Zahl]])</f>
        <v>0</v>
      </c>
      <c r="L132" s="2">
        <f>HäufigsteErgebnisse[[#This Row],[Zahl]]</f>
        <v>74</v>
      </c>
    </row>
    <row r="133" spans="2:12" x14ac:dyDescent="0.3">
      <c r="B133" s="2">
        <v>75</v>
      </c>
      <c r="C133" s="2">
        <f>COUNTIF(Eingabe[Volle],HäufigsteErgebnisse[[#This Row],[Zahl]])</f>
        <v>0</v>
      </c>
      <c r="D133" s="2">
        <f>COUNTIF(Eingabe[Räumer],HäufigsteErgebnisse[[#This Row],[Zahl]])</f>
        <v>0</v>
      </c>
      <c r="E133" s="2">
        <f>COUNTIF(Eingabe[Fehler],HäufigsteErgebnisse[[#This Row],[Zahl]])</f>
        <v>0</v>
      </c>
      <c r="F133" s="2">
        <f>COUNTIF(Eingabe[S1],HäufigsteErgebnisse[[#This Row],[Zahl]])</f>
        <v>1</v>
      </c>
      <c r="G133" s="2">
        <f>COUNTIF(Eingabe[S2],HäufigsteErgebnisse[[#This Row],[Zahl]])</f>
        <v>1</v>
      </c>
      <c r="H133" s="2">
        <f>COUNTIF(Eingabe[S3],HäufigsteErgebnisse[[#This Row],[Zahl]])</f>
        <v>0</v>
      </c>
      <c r="I133" s="2">
        <f>COUNTIF(Eingabe[S4],HäufigsteErgebnisse[[#This Row],[Zahl]])</f>
        <v>0</v>
      </c>
      <c r="J133" s="2">
        <f>COUNTIF(Eingabe[S1],HäufigsteErgebnisse[[#This Row],[Zahl]])+COUNTIF(Eingabe[S2],HäufigsteErgebnisse[[#This Row],[Zahl]])+COUNTIF(Eingabe[S3],HäufigsteErgebnisse[[#This Row],[Zahl]])+COUNTIF(Eingabe[S4],HäufigsteErgebnisse[[#This Row],[Zahl]])</f>
        <v>2</v>
      </c>
      <c r="K133" s="2">
        <f>COUNTIF(Eingabe[GES],HäufigsteErgebnisse[[#This Row],[Zahl]])</f>
        <v>0</v>
      </c>
      <c r="L133" s="2">
        <f>HäufigsteErgebnisse[[#This Row],[Zahl]]</f>
        <v>75</v>
      </c>
    </row>
    <row r="134" spans="2:12" x14ac:dyDescent="0.3">
      <c r="B134" s="2">
        <v>76</v>
      </c>
      <c r="C134" s="2">
        <f>COUNTIF(Eingabe[Volle],HäufigsteErgebnisse[[#This Row],[Zahl]])</f>
        <v>0</v>
      </c>
      <c r="D134" s="2">
        <f>COUNTIF(Eingabe[Räumer],HäufigsteErgebnisse[[#This Row],[Zahl]])</f>
        <v>0</v>
      </c>
      <c r="E134" s="2">
        <f>COUNTIF(Eingabe[Fehler],HäufigsteErgebnisse[[#This Row],[Zahl]])</f>
        <v>0</v>
      </c>
      <c r="F134" s="2">
        <f>COUNTIF(Eingabe[S1],HäufigsteErgebnisse[[#This Row],[Zahl]])</f>
        <v>0</v>
      </c>
      <c r="G134" s="2">
        <f>COUNTIF(Eingabe[S2],HäufigsteErgebnisse[[#This Row],[Zahl]])</f>
        <v>0</v>
      </c>
      <c r="H134" s="2">
        <f>COUNTIF(Eingabe[S3],HäufigsteErgebnisse[[#This Row],[Zahl]])</f>
        <v>1</v>
      </c>
      <c r="I134" s="2">
        <f>COUNTIF(Eingabe[S4],HäufigsteErgebnisse[[#This Row],[Zahl]])</f>
        <v>1</v>
      </c>
      <c r="J134" s="2">
        <f>COUNTIF(Eingabe[S1],HäufigsteErgebnisse[[#This Row],[Zahl]])+COUNTIF(Eingabe[S2],HäufigsteErgebnisse[[#This Row],[Zahl]])+COUNTIF(Eingabe[S3],HäufigsteErgebnisse[[#This Row],[Zahl]])+COUNTIF(Eingabe[S4],HäufigsteErgebnisse[[#This Row],[Zahl]])</f>
        <v>2</v>
      </c>
      <c r="K134" s="2">
        <f>COUNTIF(Eingabe[GES],HäufigsteErgebnisse[[#This Row],[Zahl]])</f>
        <v>0</v>
      </c>
      <c r="L134" s="2">
        <f>HäufigsteErgebnisse[[#This Row],[Zahl]]</f>
        <v>76</v>
      </c>
    </row>
    <row r="135" spans="2:12" x14ac:dyDescent="0.3">
      <c r="B135" s="2">
        <v>77</v>
      </c>
      <c r="C135" s="2">
        <f>COUNTIF(Eingabe[Volle],HäufigsteErgebnisse[[#This Row],[Zahl]])</f>
        <v>0</v>
      </c>
      <c r="D135" s="2">
        <f>COUNTIF(Eingabe[Räumer],HäufigsteErgebnisse[[#This Row],[Zahl]])</f>
        <v>1</v>
      </c>
      <c r="E135" s="2">
        <f>COUNTIF(Eingabe[Fehler],HäufigsteErgebnisse[[#This Row],[Zahl]])</f>
        <v>0</v>
      </c>
      <c r="F135" s="2">
        <f>COUNTIF(Eingabe[S1],HäufigsteErgebnisse[[#This Row],[Zahl]])</f>
        <v>0</v>
      </c>
      <c r="G135" s="2">
        <f>COUNTIF(Eingabe[S2],HäufigsteErgebnisse[[#This Row],[Zahl]])</f>
        <v>0</v>
      </c>
      <c r="H135" s="2">
        <f>COUNTIF(Eingabe[S3],HäufigsteErgebnisse[[#This Row],[Zahl]])</f>
        <v>1</v>
      </c>
      <c r="I135" s="2">
        <f>COUNTIF(Eingabe[S4],HäufigsteErgebnisse[[#This Row],[Zahl]])</f>
        <v>0</v>
      </c>
      <c r="J135" s="2">
        <f>COUNTIF(Eingabe[S1],HäufigsteErgebnisse[[#This Row],[Zahl]])+COUNTIF(Eingabe[S2],HäufigsteErgebnisse[[#This Row],[Zahl]])+COUNTIF(Eingabe[S3],HäufigsteErgebnisse[[#This Row],[Zahl]])+COUNTIF(Eingabe[S4],HäufigsteErgebnisse[[#This Row],[Zahl]])</f>
        <v>1</v>
      </c>
      <c r="K135" s="2">
        <f>COUNTIF(Eingabe[GES],HäufigsteErgebnisse[[#This Row],[Zahl]])</f>
        <v>0</v>
      </c>
      <c r="L135" s="2">
        <f>HäufigsteErgebnisse[[#This Row],[Zahl]]</f>
        <v>77</v>
      </c>
    </row>
    <row r="136" spans="2:12" x14ac:dyDescent="0.3">
      <c r="B136" s="2">
        <v>78</v>
      </c>
      <c r="C136" s="2">
        <f>COUNTIF(Eingabe[Volle],HäufigsteErgebnisse[[#This Row],[Zahl]])</f>
        <v>0</v>
      </c>
      <c r="D136" s="2">
        <f>COUNTIF(Eingabe[Räumer],HäufigsteErgebnisse[[#This Row],[Zahl]])</f>
        <v>0</v>
      </c>
      <c r="E136" s="2">
        <f>COUNTIF(Eingabe[Fehler],HäufigsteErgebnisse[[#This Row],[Zahl]])</f>
        <v>0</v>
      </c>
      <c r="F136" s="2">
        <f>COUNTIF(Eingabe[S1],HäufigsteErgebnisse[[#This Row],[Zahl]])</f>
        <v>0</v>
      </c>
      <c r="G136" s="2">
        <f>COUNTIF(Eingabe[S2],HäufigsteErgebnisse[[#This Row],[Zahl]])</f>
        <v>0</v>
      </c>
      <c r="H136" s="2">
        <f>COUNTIF(Eingabe[S3],HäufigsteErgebnisse[[#This Row],[Zahl]])</f>
        <v>1</v>
      </c>
      <c r="I136" s="2">
        <f>COUNTIF(Eingabe[S4],HäufigsteErgebnisse[[#This Row],[Zahl]])</f>
        <v>1</v>
      </c>
      <c r="J136" s="2">
        <f>COUNTIF(Eingabe[S1],HäufigsteErgebnisse[[#This Row],[Zahl]])+COUNTIF(Eingabe[S2],HäufigsteErgebnisse[[#This Row],[Zahl]])+COUNTIF(Eingabe[S3],HäufigsteErgebnisse[[#This Row],[Zahl]])+COUNTIF(Eingabe[S4],HäufigsteErgebnisse[[#This Row],[Zahl]])</f>
        <v>2</v>
      </c>
      <c r="K136" s="2">
        <f>COUNTIF(Eingabe[GES],HäufigsteErgebnisse[[#This Row],[Zahl]])</f>
        <v>0</v>
      </c>
      <c r="L136" s="2">
        <f>HäufigsteErgebnisse[[#This Row],[Zahl]]</f>
        <v>78</v>
      </c>
    </row>
    <row r="137" spans="2:12" x14ac:dyDescent="0.3">
      <c r="B137" s="2">
        <v>79</v>
      </c>
      <c r="C137" s="2">
        <f>COUNTIF(Eingabe[Volle],HäufigsteErgebnisse[[#This Row],[Zahl]])</f>
        <v>0</v>
      </c>
      <c r="D137" s="2">
        <f>COUNTIF(Eingabe[Räumer],HäufigsteErgebnisse[[#This Row],[Zahl]])</f>
        <v>0</v>
      </c>
      <c r="E137" s="2">
        <f>COUNTIF(Eingabe[Fehler],HäufigsteErgebnisse[[#This Row],[Zahl]])</f>
        <v>0</v>
      </c>
      <c r="F137" s="2">
        <f>COUNTIF(Eingabe[S1],HäufigsteErgebnisse[[#This Row],[Zahl]])</f>
        <v>0</v>
      </c>
      <c r="G137" s="2">
        <f>COUNTIF(Eingabe[S2],HäufigsteErgebnisse[[#This Row],[Zahl]])</f>
        <v>0</v>
      </c>
      <c r="H137" s="2">
        <f>COUNTIF(Eingabe[S3],HäufigsteErgebnisse[[#This Row],[Zahl]])</f>
        <v>2</v>
      </c>
      <c r="I137" s="2">
        <f>COUNTIF(Eingabe[S4],HäufigsteErgebnisse[[#This Row],[Zahl]])</f>
        <v>2</v>
      </c>
      <c r="J137" s="2">
        <f>COUNTIF(Eingabe[S1],HäufigsteErgebnisse[[#This Row],[Zahl]])+COUNTIF(Eingabe[S2],HäufigsteErgebnisse[[#This Row],[Zahl]])+COUNTIF(Eingabe[S3],HäufigsteErgebnisse[[#This Row],[Zahl]])+COUNTIF(Eingabe[S4],HäufigsteErgebnisse[[#This Row],[Zahl]])</f>
        <v>4</v>
      </c>
      <c r="K137" s="2">
        <f>COUNTIF(Eingabe[GES],HäufigsteErgebnisse[[#This Row],[Zahl]])</f>
        <v>0</v>
      </c>
      <c r="L137" s="2">
        <f>HäufigsteErgebnisse[[#This Row],[Zahl]]</f>
        <v>79</v>
      </c>
    </row>
    <row r="138" spans="2:12" x14ac:dyDescent="0.3">
      <c r="B138" s="2">
        <v>80</v>
      </c>
      <c r="C138" s="2">
        <f>COUNTIF(Eingabe[Volle],HäufigsteErgebnisse[[#This Row],[Zahl]])</f>
        <v>0</v>
      </c>
      <c r="D138" s="2">
        <f>COUNTIF(Eingabe[Räumer],HäufigsteErgebnisse[[#This Row],[Zahl]])</f>
        <v>1</v>
      </c>
      <c r="E138" s="2">
        <f>COUNTIF(Eingabe[Fehler],HäufigsteErgebnisse[[#This Row],[Zahl]])</f>
        <v>0</v>
      </c>
      <c r="F138" s="2">
        <f>COUNTIF(Eingabe[S1],HäufigsteErgebnisse[[#This Row],[Zahl]])</f>
        <v>1</v>
      </c>
      <c r="G138" s="2">
        <f>COUNTIF(Eingabe[S2],HäufigsteErgebnisse[[#This Row],[Zahl]])</f>
        <v>1</v>
      </c>
      <c r="H138" s="2">
        <f>COUNTIF(Eingabe[S3],HäufigsteErgebnisse[[#This Row],[Zahl]])</f>
        <v>1</v>
      </c>
      <c r="I138" s="2">
        <f>COUNTIF(Eingabe[S4],HäufigsteErgebnisse[[#This Row],[Zahl]])</f>
        <v>1</v>
      </c>
      <c r="J138" s="2">
        <f>COUNTIF(Eingabe[S1],HäufigsteErgebnisse[[#This Row],[Zahl]])+COUNTIF(Eingabe[S2],HäufigsteErgebnisse[[#This Row],[Zahl]])+COUNTIF(Eingabe[S3],HäufigsteErgebnisse[[#This Row],[Zahl]])+COUNTIF(Eingabe[S4],HäufigsteErgebnisse[[#This Row],[Zahl]])</f>
        <v>4</v>
      </c>
      <c r="K138" s="2">
        <f>COUNTIF(Eingabe[GES],HäufigsteErgebnisse[[#This Row],[Zahl]])</f>
        <v>0</v>
      </c>
      <c r="L138" s="2">
        <f>HäufigsteErgebnisse[[#This Row],[Zahl]]</f>
        <v>80</v>
      </c>
    </row>
    <row r="139" spans="2:12" x14ac:dyDescent="0.3">
      <c r="B139" s="2">
        <v>81</v>
      </c>
      <c r="C139" s="2">
        <f>COUNTIF(Eingabe[Volle],HäufigsteErgebnisse[[#This Row],[Zahl]])</f>
        <v>0</v>
      </c>
      <c r="D139" s="2">
        <f>COUNTIF(Eingabe[Räumer],HäufigsteErgebnisse[[#This Row],[Zahl]])</f>
        <v>0</v>
      </c>
      <c r="E139" s="2">
        <f>COUNTIF(Eingabe[Fehler],HäufigsteErgebnisse[[#This Row],[Zahl]])</f>
        <v>0</v>
      </c>
      <c r="F139" s="2">
        <f>COUNTIF(Eingabe[S1],HäufigsteErgebnisse[[#This Row],[Zahl]])</f>
        <v>1</v>
      </c>
      <c r="G139" s="2">
        <f>COUNTIF(Eingabe[S2],HäufigsteErgebnisse[[#This Row],[Zahl]])</f>
        <v>0</v>
      </c>
      <c r="H139" s="2">
        <f>COUNTIF(Eingabe[S3],HäufigsteErgebnisse[[#This Row],[Zahl]])</f>
        <v>0</v>
      </c>
      <c r="I139" s="2">
        <f>COUNTIF(Eingabe[S4],HäufigsteErgebnisse[[#This Row],[Zahl]])</f>
        <v>0</v>
      </c>
      <c r="J139" s="2">
        <f>COUNTIF(Eingabe[S1],HäufigsteErgebnisse[[#This Row],[Zahl]])+COUNTIF(Eingabe[S2],HäufigsteErgebnisse[[#This Row],[Zahl]])+COUNTIF(Eingabe[S3],HäufigsteErgebnisse[[#This Row],[Zahl]])+COUNTIF(Eingabe[S4],HäufigsteErgebnisse[[#This Row],[Zahl]])</f>
        <v>1</v>
      </c>
      <c r="K139" s="2">
        <f>COUNTIF(Eingabe[GES],HäufigsteErgebnisse[[#This Row],[Zahl]])</f>
        <v>0</v>
      </c>
      <c r="L139" s="2">
        <f>HäufigsteErgebnisse[[#This Row],[Zahl]]</f>
        <v>81</v>
      </c>
    </row>
    <row r="140" spans="2:12" x14ac:dyDescent="0.3">
      <c r="B140" s="2">
        <v>82</v>
      </c>
      <c r="C140" s="2">
        <f>COUNTIF(Eingabe[Volle],HäufigsteErgebnisse[[#This Row],[Zahl]])</f>
        <v>0</v>
      </c>
      <c r="D140" s="2">
        <f>COUNTIF(Eingabe[Räumer],HäufigsteErgebnisse[[#This Row],[Zahl]])</f>
        <v>1</v>
      </c>
      <c r="E140" s="2">
        <f>COUNTIF(Eingabe[Fehler],HäufigsteErgebnisse[[#This Row],[Zahl]])</f>
        <v>0</v>
      </c>
      <c r="F140" s="2">
        <f>COUNTIF(Eingabe[S1],HäufigsteErgebnisse[[#This Row],[Zahl]])</f>
        <v>2</v>
      </c>
      <c r="G140" s="2">
        <f>COUNTIF(Eingabe[S2],HäufigsteErgebnisse[[#This Row],[Zahl]])</f>
        <v>1</v>
      </c>
      <c r="H140" s="2">
        <f>COUNTIF(Eingabe[S3],HäufigsteErgebnisse[[#This Row],[Zahl]])</f>
        <v>2</v>
      </c>
      <c r="I140" s="2">
        <f>COUNTIF(Eingabe[S4],HäufigsteErgebnisse[[#This Row],[Zahl]])</f>
        <v>1</v>
      </c>
      <c r="J140" s="2">
        <f>COUNTIF(Eingabe[S1],HäufigsteErgebnisse[[#This Row],[Zahl]])+COUNTIF(Eingabe[S2],HäufigsteErgebnisse[[#This Row],[Zahl]])+COUNTIF(Eingabe[S3],HäufigsteErgebnisse[[#This Row],[Zahl]])+COUNTIF(Eingabe[S4],HäufigsteErgebnisse[[#This Row],[Zahl]])</f>
        <v>6</v>
      </c>
      <c r="K140" s="2">
        <f>COUNTIF(Eingabe[GES],HäufigsteErgebnisse[[#This Row],[Zahl]])</f>
        <v>0</v>
      </c>
      <c r="L140" s="2">
        <f>HäufigsteErgebnisse[[#This Row],[Zahl]]</f>
        <v>82</v>
      </c>
    </row>
    <row r="141" spans="2:12" x14ac:dyDescent="0.3">
      <c r="B141" s="2">
        <v>83</v>
      </c>
      <c r="C141" s="2">
        <f>COUNTIF(Eingabe[Volle],HäufigsteErgebnisse[[#This Row],[Zahl]])</f>
        <v>0</v>
      </c>
      <c r="D141" s="2">
        <f>COUNTIF(Eingabe[Räumer],HäufigsteErgebnisse[[#This Row],[Zahl]])</f>
        <v>1</v>
      </c>
      <c r="E141" s="2">
        <f>COUNTIF(Eingabe[Fehler],HäufigsteErgebnisse[[#This Row],[Zahl]])</f>
        <v>0</v>
      </c>
      <c r="F141" s="2">
        <f>COUNTIF(Eingabe[S1],HäufigsteErgebnisse[[#This Row],[Zahl]])</f>
        <v>2</v>
      </c>
      <c r="G141" s="2">
        <f>COUNTIF(Eingabe[S2],HäufigsteErgebnisse[[#This Row],[Zahl]])</f>
        <v>0</v>
      </c>
      <c r="H141" s="2">
        <f>COUNTIF(Eingabe[S3],HäufigsteErgebnisse[[#This Row],[Zahl]])</f>
        <v>2</v>
      </c>
      <c r="I141" s="2">
        <f>COUNTIF(Eingabe[S4],HäufigsteErgebnisse[[#This Row],[Zahl]])</f>
        <v>2</v>
      </c>
      <c r="J141" s="2">
        <f>COUNTIF(Eingabe[S1],HäufigsteErgebnisse[[#This Row],[Zahl]])+COUNTIF(Eingabe[S2],HäufigsteErgebnisse[[#This Row],[Zahl]])+COUNTIF(Eingabe[S3],HäufigsteErgebnisse[[#This Row],[Zahl]])+COUNTIF(Eingabe[S4],HäufigsteErgebnisse[[#This Row],[Zahl]])</f>
        <v>6</v>
      </c>
      <c r="K141" s="2">
        <f>COUNTIF(Eingabe[GES],HäufigsteErgebnisse[[#This Row],[Zahl]])</f>
        <v>0</v>
      </c>
      <c r="L141" s="2">
        <f>HäufigsteErgebnisse[[#This Row],[Zahl]]</f>
        <v>83</v>
      </c>
    </row>
    <row r="142" spans="2:12" x14ac:dyDescent="0.3">
      <c r="B142" s="2">
        <v>84</v>
      </c>
      <c r="C142" s="2">
        <f>COUNTIF(Eingabe[Volle],HäufigsteErgebnisse[[#This Row],[Zahl]])</f>
        <v>0</v>
      </c>
      <c r="D142" s="2">
        <f>COUNTIF(Eingabe[Räumer],HäufigsteErgebnisse[[#This Row],[Zahl]])</f>
        <v>2</v>
      </c>
      <c r="E142" s="2">
        <f>COUNTIF(Eingabe[Fehler],HäufigsteErgebnisse[[#This Row],[Zahl]])</f>
        <v>0</v>
      </c>
      <c r="F142" s="2">
        <f>COUNTIF(Eingabe[S1],HäufigsteErgebnisse[[#This Row],[Zahl]])</f>
        <v>0</v>
      </c>
      <c r="G142" s="2">
        <f>COUNTIF(Eingabe[S2],HäufigsteErgebnisse[[#This Row],[Zahl]])</f>
        <v>0</v>
      </c>
      <c r="H142" s="2">
        <f>COUNTIF(Eingabe[S3],HäufigsteErgebnisse[[#This Row],[Zahl]])</f>
        <v>0</v>
      </c>
      <c r="I142" s="2">
        <f>COUNTIF(Eingabe[S4],HäufigsteErgebnisse[[#This Row],[Zahl]])</f>
        <v>0</v>
      </c>
      <c r="J142" s="2">
        <f>COUNTIF(Eingabe[S1],HäufigsteErgebnisse[[#This Row],[Zahl]])+COUNTIF(Eingabe[S2],HäufigsteErgebnisse[[#This Row],[Zahl]])+COUNTIF(Eingabe[S3],HäufigsteErgebnisse[[#This Row],[Zahl]])+COUNTIF(Eingabe[S4],HäufigsteErgebnisse[[#This Row],[Zahl]])</f>
        <v>0</v>
      </c>
      <c r="K142" s="2">
        <f>COUNTIF(Eingabe[GES],HäufigsteErgebnisse[[#This Row],[Zahl]])</f>
        <v>0</v>
      </c>
      <c r="L142" s="2">
        <f>HäufigsteErgebnisse[[#This Row],[Zahl]]</f>
        <v>84</v>
      </c>
    </row>
    <row r="143" spans="2:12" x14ac:dyDescent="0.3">
      <c r="B143" s="2">
        <v>85</v>
      </c>
      <c r="C143" s="2">
        <f>COUNTIF(Eingabe[Volle],HäufigsteErgebnisse[[#This Row],[Zahl]])</f>
        <v>0</v>
      </c>
      <c r="D143" s="2">
        <f>COUNTIF(Eingabe[Räumer],HäufigsteErgebnisse[[#This Row],[Zahl]])</f>
        <v>2</v>
      </c>
      <c r="E143" s="2">
        <f>COUNTIF(Eingabe[Fehler],HäufigsteErgebnisse[[#This Row],[Zahl]])</f>
        <v>0</v>
      </c>
      <c r="F143" s="2">
        <f>COUNTIF(Eingabe[S1],HäufigsteErgebnisse[[#This Row],[Zahl]])</f>
        <v>1</v>
      </c>
      <c r="G143" s="2">
        <f>COUNTIF(Eingabe[S2],HäufigsteErgebnisse[[#This Row],[Zahl]])</f>
        <v>1</v>
      </c>
      <c r="H143" s="2">
        <f>COUNTIF(Eingabe[S3],HäufigsteErgebnisse[[#This Row],[Zahl]])</f>
        <v>0</v>
      </c>
      <c r="I143" s="2">
        <f>COUNTIF(Eingabe[S4],HäufigsteErgebnisse[[#This Row],[Zahl]])</f>
        <v>1</v>
      </c>
      <c r="J143" s="2">
        <f>COUNTIF(Eingabe[S1],HäufigsteErgebnisse[[#This Row],[Zahl]])+COUNTIF(Eingabe[S2],HäufigsteErgebnisse[[#This Row],[Zahl]])+COUNTIF(Eingabe[S3],HäufigsteErgebnisse[[#This Row],[Zahl]])+COUNTIF(Eingabe[S4],HäufigsteErgebnisse[[#This Row],[Zahl]])</f>
        <v>3</v>
      </c>
      <c r="K143" s="2">
        <f>COUNTIF(Eingabe[GES],HäufigsteErgebnisse[[#This Row],[Zahl]])</f>
        <v>0</v>
      </c>
      <c r="L143" s="2">
        <f>HäufigsteErgebnisse[[#This Row],[Zahl]]</f>
        <v>85</v>
      </c>
    </row>
    <row r="144" spans="2:12" x14ac:dyDescent="0.3">
      <c r="B144" s="2">
        <v>86</v>
      </c>
      <c r="C144" s="2">
        <f>COUNTIF(Eingabe[Volle],HäufigsteErgebnisse[[#This Row],[Zahl]])</f>
        <v>0</v>
      </c>
      <c r="D144" s="2">
        <f>COUNTIF(Eingabe[Räumer],HäufigsteErgebnisse[[#This Row],[Zahl]])</f>
        <v>0</v>
      </c>
      <c r="E144" s="2">
        <f>COUNTIF(Eingabe[Fehler],HäufigsteErgebnisse[[#This Row],[Zahl]])</f>
        <v>0</v>
      </c>
      <c r="F144" s="2">
        <f>COUNTIF(Eingabe[S1],HäufigsteErgebnisse[[#This Row],[Zahl]])</f>
        <v>0</v>
      </c>
      <c r="G144" s="2">
        <f>COUNTIF(Eingabe[S2],HäufigsteErgebnisse[[#This Row],[Zahl]])</f>
        <v>0</v>
      </c>
      <c r="H144" s="2">
        <f>COUNTIF(Eingabe[S3],HäufigsteErgebnisse[[#This Row],[Zahl]])</f>
        <v>1</v>
      </c>
      <c r="I144" s="2">
        <f>COUNTIF(Eingabe[S4],HäufigsteErgebnisse[[#This Row],[Zahl]])</f>
        <v>1</v>
      </c>
      <c r="J144" s="2">
        <f>COUNTIF(Eingabe[S1],HäufigsteErgebnisse[[#This Row],[Zahl]])+COUNTIF(Eingabe[S2],HäufigsteErgebnisse[[#This Row],[Zahl]])+COUNTIF(Eingabe[S3],HäufigsteErgebnisse[[#This Row],[Zahl]])+COUNTIF(Eingabe[S4],HäufigsteErgebnisse[[#This Row],[Zahl]])</f>
        <v>2</v>
      </c>
      <c r="K144" s="2">
        <f>COUNTIF(Eingabe[GES],HäufigsteErgebnisse[[#This Row],[Zahl]])</f>
        <v>0</v>
      </c>
      <c r="L144" s="2">
        <f>HäufigsteErgebnisse[[#This Row],[Zahl]]</f>
        <v>86</v>
      </c>
    </row>
    <row r="145" spans="2:12" x14ac:dyDescent="0.3">
      <c r="B145" s="2">
        <v>87</v>
      </c>
      <c r="C145" s="2">
        <f>COUNTIF(Eingabe[Volle],HäufigsteErgebnisse[[#This Row],[Zahl]])</f>
        <v>0</v>
      </c>
      <c r="D145" s="2">
        <f>COUNTIF(Eingabe[Räumer],HäufigsteErgebnisse[[#This Row],[Zahl]])</f>
        <v>4</v>
      </c>
      <c r="E145" s="2">
        <f>COUNTIF(Eingabe[Fehler],HäufigsteErgebnisse[[#This Row],[Zahl]])</f>
        <v>0</v>
      </c>
      <c r="F145" s="2">
        <f>COUNTIF(Eingabe[S1],HäufigsteErgebnisse[[#This Row],[Zahl]])</f>
        <v>1</v>
      </c>
      <c r="G145" s="2">
        <f>COUNTIF(Eingabe[S2],HäufigsteErgebnisse[[#This Row],[Zahl]])</f>
        <v>2</v>
      </c>
      <c r="H145" s="2">
        <f>COUNTIF(Eingabe[S3],HäufigsteErgebnisse[[#This Row],[Zahl]])</f>
        <v>0</v>
      </c>
      <c r="I145" s="2">
        <f>COUNTIF(Eingabe[S4],HäufigsteErgebnisse[[#This Row],[Zahl]])</f>
        <v>0</v>
      </c>
      <c r="J145" s="2">
        <f>COUNTIF(Eingabe[S1],HäufigsteErgebnisse[[#This Row],[Zahl]])+COUNTIF(Eingabe[S2],HäufigsteErgebnisse[[#This Row],[Zahl]])+COUNTIF(Eingabe[S3],HäufigsteErgebnisse[[#This Row],[Zahl]])+COUNTIF(Eingabe[S4],HäufigsteErgebnisse[[#This Row],[Zahl]])</f>
        <v>3</v>
      </c>
      <c r="K145" s="2">
        <f>COUNTIF(Eingabe[GES],HäufigsteErgebnisse[[#This Row],[Zahl]])</f>
        <v>0</v>
      </c>
      <c r="L145" s="2">
        <f>HäufigsteErgebnisse[[#This Row],[Zahl]]</f>
        <v>87</v>
      </c>
    </row>
    <row r="146" spans="2:12" x14ac:dyDescent="0.3">
      <c r="B146" s="2">
        <v>88</v>
      </c>
      <c r="C146" s="2">
        <f>COUNTIF(Eingabe[Volle],HäufigsteErgebnisse[[#This Row],[Zahl]])</f>
        <v>0</v>
      </c>
      <c r="D146" s="2">
        <f>COUNTIF(Eingabe[Räumer],HäufigsteErgebnisse[[#This Row],[Zahl]])</f>
        <v>2</v>
      </c>
      <c r="E146" s="2">
        <f>COUNTIF(Eingabe[Fehler],HäufigsteErgebnisse[[#This Row],[Zahl]])</f>
        <v>0</v>
      </c>
      <c r="F146" s="2">
        <f>COUNTIF(Eingabe[S1],HäufigsteErgebnisse[[#This Row],[Zahl]])</f>
        <v>0</v>
      </c>
      <c r="G146" s="2">
        <f>COUNTIF(Eingabe[S2],HäufigsteErgebnisse[[#This Row],[Zahl]])</f>
        <v>0</v>
      </c>
      <c r="H146" s="2">
        <f>COUNTIF(Eingabe[S3],HäufigsteErgebnisse[[#This Row],[Zahl]])</f>
        <v>3</v>
      </c>
      <c r="I146" s="2">
        <f>COUNTIF(Eingabe[S4],HäufigsteErgebnisse[[#This Row],[Zahl]])</f>
        <v>1</v>
      </c>
      <c r="J146" s="2">
        <f>COUNTIF(Eingabe[S1],HäufigsteErgebnisse[[#This Row],[Zahl]])+COUNTIF(Eingabe[S2],HäufigsteErgebnisse[[#This Row],[Zahl]])+COUNTIF(Eingabe[S3],HäufigsteErgebnisse[[#This Row],[Zahl]])+COUNTIF(Eingabe[S4],HäufigsteErgebnisse[[#This Row],[Zahl]])</f>
        <v>4</v>
      </c>
      <c r="K146" s="2">
        <f>COUNTIF(Eingabe[GES],HäufigsteErgebnisse[[#This Row],[Zahl]])</f>
        <v>0</v>
      </c>
      <c r="L146" s="2">
        <f>HäufigsteErgebnisse[[#This Row],[Zahl]]</f>
        <v>88</v>
      </c>
    </row>
    <row r="147" spans="2:12" x14ac:dyDescent="0.3">
      <c r="B147" s="2">
        <v>89</v>
      </c>
      <c r="C147" s="2">
        <f>COUNTIF(Eingabe[Volle],HäufigsteErgebnisse[[#This Row],[Zahl]])</f>
        <v>0</v>
      </c>
      <c r="D147" s="2">
        <f>COUNTIF(Eingabe[Räumer],HäufigsteErgebnisse[[#This Row],[Zahl]])</f>
        <v>0</v>
      </c>
      <c r="E147" s="2">
        <f>COUNTIF(Eingabe[Fehler],HäufigsteErgebnisse[[#This Row],[Zahl]])</f>
        <v>0</v>
      </c>
      <c r="F147" s="2">
        <f>COUNTIF(Eingabe[S1],HäufigsteErgebnisse[[#This Row],[Zahl]])</f>
        <v>2</v>
      </c>
      <c r="G147" s="2">
        <f>COUNTIF(Eingabe[S2],HäufigsteErgebnisse[[#This Row],[Zahl]])</f>
        <v>2</v>
      </c>
      <c r="H147" s="2">
        <f>COUNTIF(Eingabe[S3],HäufigsteErgebnisse[[#This Row],[Zahl]])</f>
        <v>1</v>
      </c>
      <c r="I147" s="2">
        <f>COUNTIF(Eingabe[S4],HäufigsteErgebnisse[[#This Row],[Zahl]])</f>
        <v>1</v>
      </c>
      <c r="J147" s="2">
        <f>COUNTIF(Eingabe[S1],HäufigsteErgebnisse[[#This Row],[Zahl]])+COUNTIF(Eingabe[S2],HäufigsteErgebnisse[[#This Row],[Zahl]])+COUNTIF(Eingabe[S3],HäufigsteErgebnisse[[#This Row],[Zahl]])+COUNTIF(Eingabe[S4],HäufigsteErgebnisse[[#This Row],[Zahl]])</f>
        <v>6</v>
      </c>
      <c r="K147" s="2">
        <f>COUNTIF(Eingabe[GES],HäufigsteErgebnisse[[#This Row],[Zahl]])</f>
        <v>0</v>
      </c>
      <c r="L147" s="2">
        <f>HäufigsteErgebnisse[[#This Row],[Zahl]]</f>
        <v>89</v>
      </c>
    </row>
    <row r="148" spans="2:12" x14ac:dyDescent="0.3">
      <c r="B148" s="2">
        <v>90</v>
      </c>
      <c r="C148" s="2">
        <f>COUNTIF(Eingabe[Volle],HäufigsteErgebnisse[[#This Row],[Zahl]])</f>
        <v>0</v>
      </c>
      <c r="D148" s="2">
        <f>COUNTIF(Eingabe[Räumer],HäufigsteErgebnisse[[#This Row],[Zahl]])</f>
        <v>0</v>
      </c>
      <c r="E148" s="2">
        <f>COUNTIF(Eingabe[Fehler],HäufigsteErgebnisse[[#This Row],[Zahl]])</f>
        <v>0</v>
      </c>
      <c r="F148" s="2">
        <f>COUNTIF(Eingabe[S1],HäufigsteErgebnisse[[#This Row],[Zahl]])</f>
        <v>0</v>
      </c>
      <c r="G148" s="2">
        <f>COUNTIF(Eingabe[S2],HäufigsteErgebnisse[[#This Row],[Zahl]])</f>
        <v>0</v>
      </c>
      <c r="H148" s="2">
        <f>COUNTIF(Eingabe[S3],HäufigsteErgebnisse[[#This Row],[Zahl]])</f>
        <v>3</v>
      </c>
      <c r="I148" s="2">
        <f>COUNTIF(Eingabe[S4],HäufigsteErgebnisse[[#This Row],[Zahl]])</f>
        <v>2</v>
      </c>
      <c r="J148" s="2">
        <f>COUNTIF(Eingabe[S1],HäufigsteErgebnisse[[#This Row],[Zahl]])+COUNTIF(Eingabe[S2],HäufigsteErgebnisse[[#This Row],[Zahl]])+COUNTIF(Eingabe[S3],HäufigsteErgebnisse[[#This Row],[Zahl]])+COUNTIF(Eingabe[S4],HäufigsteErgebnisse[[#This Row],[Zahl]])</f>
        <v>5</v>
      </c>
      <c r="K148" s="2">
        <f>COUNTIF(Eingabe[GES],HäufigsteErgebnisse[[#This Row],[Zahl]])</f>
        <v>0</v>
      </c>
      <c r="L148" s="2">
        <f>HäufigsteErgebnisse[[#This Row],[Zahl]]</f>
        <v>90</v>
      </c>
    </row>
    <row r="149" spans="2:12" x14ac:dyDescent="0.3">
      <c r="B149" s="2">
        <v>91</v>
      </c>
      <c r="C149" s="2">
        <f>COUNTIF(Eingabe[Volle],HäufigsteErgebnisse[[#This Row],[Zahl]])</f>
        <v>0</v>
      </c>
      <c r="D149" s="2">
        <f>COUNTIF(Eingabe[Räumer],HäufigsteErgebnisse[[#This Row],[Zahl]])</f>
        <v>0</v>
      </c>
      <c r="E149" s="2">
        <f>COUNTIF(Eingabe[Fehler],HäufigsteErgebnisse[[#This Row],[Zahl]])</f>
        <v>0</v>
      </c>
      <c r="F149" s="2">
        <f>COUNTIF(Eingabe[S1],HäufigsteErgebnisse[[#This Row],[Zahl]])</f>
        <v>2</v>
      </c>
      <c r="G149" s="2">
        <f>COUNTIF(Eingabe[S2],HäufigsteErgebnisse[[#This Row],[Zahl]])</f>
        <v>3</v>
      </c>
      <c r="H149" s="2">
        <f>COUNTIF(Eingabe[S3],HäufigsteErgebnisse[[#This Row],[Zahl]])</f>
        <v>0</v>
      </c>
      <c r="I149" s="2">
        <f>COUNTIF(Eingabe[S4],HäufigsteErgebnisse[[#This Row],[Zahl]])</f>
        <v>2</v>
      </c>
      <c r="J149" s="2">
        <f>COUNTIF(Eingabe[S1],HäufigsteErgebnisse[[#This Row],[Zahl]])+COUNTIF(Eingabe[S2],HäufigsteErgebnisse[[#This Row],[Zahl]])+COUNTIF(Eingabe[S3],HäufigsteErgebnisse[[#This Row],[Zahl]])+COUNTIF(Eingabe[S4],HäufigsteErgebnisse[[#This Row],[Zahl]])</f>
        <v>7</v>
      </c>
      <c r="K149" s="2">
        <f>COUNTIF(Eingabe[GES],HäufigsteErgebnisse[[#This Row],[Zahl]])</f>
        <v>0</v>
      </c>
      <c r="L149" s="2">
        <f>HäufigsteErgebnisse[[#This Row],[Zahl]]</f>
        <v>91</v>
      </c>
    </row>
    <row r="150" spans="2:12" x14ac:dyDescent="0.3">
      <c r="B150" s="2">
        <v>92</v>
      </c>
      <c r="C150" s="2">
        <f>COUNTIF(Eingabe[Volle],HäufigsteErgebnisse[[#This Row],[Zahl]])</f>
        <v>0</v>
      </c>
      <c r="D150" s="2">
        <f>COUNTIF(Eingabe[Räumer],HäufigsteErgebnisse[[#This Row],[Zahl]])</f>
        <v>2</v>
      </c>
      <c r="E150" s="2">
        <f>COUNTIF(Eingabe[Fehler],HäufigsteErgebnisse[[#This Row],[Zahl]])</f>
        <v>0</v>
      </c>
      <c r="F150" s="2">
        <f>COUNTIF(Eingabe[S1],HäufigsteErgebnisse[[#This Row],[Zahl]])</f>
        <v>1</v>
      </c>
      <c r="G150" s="2">
        <f>COUNTIF(Eingabe[S2],HäufigsteErgebnisse[[#This Row],[Zahl]])</f>
        <v>1</v>
      </c>
      <c r="H150" s="2">
        <f>COUNTIF(Eingabe[S3],HäufigsteErgebnisse[[#This Row],[Zahl]])</f>
        <v>0</v>
      </c>
      <c r="I150" s="2">
        <f>COUNTIF(Eingabe[S4],HäufigsteErgebnisse[[#This Row],[Zahl]])</f>
        <v>0</v>
      </c>
      <c r="J150" s="2">
        <f>COUNTIF(Eingabe[S1],HäufigsteErgebnisse[[#This Row],[Zahl]])+COUNTIF(Eingabe[S2],HäufigsteErgebnisse[[#This Row],[Zahl]])+COUNTIF(Eingabe[S3],HäufigsteErgebnisse[[#This Row],[Zahl]])+COUNTIF(Eingabe[S4],HäufigsteErgebnisse[[#This Row],[Zahl]])</f>
        <v>2</v>
      </c>
      <c r="K150" s="2">
        <f>COUNTIF(Eingabe[GES],HäufigsteErgebnisse[[#This Row],[Zahl]])</f>
        <v>0</v>
      </c>
      <c r="L150" s="2">
        <f>HäufigsteErgebnisse[[#This Row],[Zahl]]</f>
        <v>92</v>
      </c>
    </row>
    <row r="151" spans="2:12" x14ac:dyDescent="0.3">
      <c r="B151" s="2">
        <v>93</v>
      </c>
      <c r="C151" s="2">
        <f>COUNTIF(Eingabe[Volle],HäufigsteErgebnisse[[#This Row],[Zahl]])</f>
        <v>0</v>
      </c>
      <c r="D151" s="2">
        <f>COUNTIF(Eingabe[Räumer],HäufigsteErgebnisse[[#This Row],[Zahl]])</f>
        <v>2</v>
      </c>
      <c r="E151" s="2">
        <f>COUNTIF(Eingabe[Fehler],HäufigsteErgebnisse[[#This Row],[Zahl]])</f>
        <v>0</v>
      </c>
      <c r="F151" s="2">
        <f>COUNTIF(Eingabe[S1],HäufigsteErgebnisse[[#This Row],[Zahl]])</f>
        <v>0</v>
      </c>
      <c r="G151" s="2">
        <f>COUNTIF(Eingabe[S2],HäufigsteErgebnisse[[#This Row],[Zahl]])</f>
        <v>0</v>
      </c>
      <c r="H151" s="2">
        <f>COUNTIF(Eingabe[S3],HäufigsteErgebnisse[[#This Row],[Zahl]])</f>
        <v>2</v>
      </c>
      <c r="I151" s="2">
        <f>COUNTIF(Eingabe[S4],HäufigsteErgebnisse[[#This Row],[Zahl]])</f>
        <v>0</v>
      </c>
      <c r="J151" s="2">
        <f>COUNTIF(Eingabe[S1],HäufigsteErgebnisse[[#This Row],[Zahl]])+COUNTIF(Eingabe[S2],HäufigsteErgebnisse[[#This Row],[Zahl]])+COUNTIF(Eingabe[S3],HäufigsteErgebnisse[[#This Row],[Zahl]])+COUNTIF(Eingabe[S4],HäufigsteErgebnisse[[#This Row],[Zahl]])</f>
        <v>2</v>
      </c>
      <c r="K151" s="2">
        <f>COUNTIF(Eingabe[GES],HäufigsteErgebnisse[[#This Row],[Zahl]])</f>
        <v>0</v>
      </c>
      <c r="L151" s="2">
        <f>HäufigsteErgebnisse[[#This Row],[Zahl]]</f>
        <v>93</v>
      </c>
    </row>
    <row r="152" spans="2:12" x14ac:dyDescent="0.3">
      <c r="B152" s="2">
        <v>94</v>
      </c>
      <c r="C152" s="2">
        <f>COUNTIF(Eingabe[Volle],HäufigsteErgebnisse[[#This Row],[Zahl]])</f>
        <v>0</v>
      </c>
      <c r="D152" s="2">
        <f>COUNTIF(Eingabe[Räumer],HäufigsteErgebnisse[[#This Row],[Zahl]])</f>
        <v>2</v>
      </c>
      <c r="E152" s="2">
        <f>COUNTIF(Eingabe[Fehler],HäufigsteErgebnisse[[#This Row],[Zahl]])</f>
        <v>0</v>
      </c>
      <c r="F152" s="2">
        <f>COUNTIF(Eingabe[S1],HäufigsteErgebnisse[[#This Row],[Zahl]])</f>
        <v>2</v>
      </c>
      <c r="G152" s="2">
        <f>COUNTIF(Eingabe[S2],HäufigsteErgebnisse[[#This Row],[Zahl]])</f>
        <v>3</v>
      </c>
      <c r="H152" s="2">
        <f>COUNTIF(Eingabe[S3],HäufigsteErgebnisse[[#This Row],[Zahl]])</f>
        <v>0</v>
      </c>
      <c r="I152" s="2">
        <f>COUNTIF(Eingabe[S4],HäufigsteErgebnisse[[#This Row],[Zahl]])</f>
        <v>0</v>
      </c>
      <c r="J152" s="2">
        <f>COUNTIF(Eingabe[S1],HäufigsteErgebnisse[[#This Row],[Zahl]])+COUNTIF(Eingabe[S2],HäufigsteErgebnisse[[#This Row],[Zahl]])+COUNTIF(Eingabe[S3],HäufigsteErgebnisse[[#This Row],[Zahl]])+COUNTIF(Eingabe[S4],HäufigsteErgebnisse[[#This Row],[Zahl]])</f>
        <v>5</v>
      </c>
      <c r="K152" s="2">
        <f>COUNTIF(Eingabe[GES],HäufigsteErgebnisse[[#This Row],[Zahl]])</f>
        <v>0</v>
      </c>
      <c r="L152" s="2">
        <f>HäufigsteErgebnisse[[#This Row],[Zahl]]</f>
        <v>94</v>
      </c>
    </row>
    <row r="153" spans="2:12" x14ac:dyDescent="0.3">
      <c r="B153" s="2">
        <v>95</v>
      </c>
      <c r="C153" s="2">
        <f>COUNTIF(Eingabe[Volle],HäufigsteErgebnisse[[#This Row],[Zahl]])</f>
        <v>0</v>
      </c>
      <c r="D153" s="2">
        <f>COUNTIF(Eingabe[Räumer],HäufigsteErgebnisse[[#This Row],[Zahl]])</f>
        <v>0</v>
      </c>
      <c r="E153" s="2">
        <f>COUNTIF(Eingabe[Fehler],HäufigsteErgebnisse[[#This Row],[Zahl]])</f>
        <v>0</v>
      </c>
      <c r="F153" s="2">
        <f>COUNTIF(Eingabe[S1],HäufigsteErgebnisse[[#This Row],[Zahl]])</f>
        <v>2</v>
      </c>
      <c r="G153" s="2">
        <f>COUNTIF(Eingabe[S2],HäufigsteErgebnisse[[#This Row],[Zahl]])</f>
        <v>1</v>
      </c>
      <c r="H153" s="2">
        <f>COUNTIF(Eingabe[S3],HäufigsteErgebnisse[[#This Row],[Zahl]])</f>
        <v>2</v>
      </c>
      <c r="I153" s="2">
        <f>COUNTIF(Eingabe[S4],HäufigsteErgebnisse[[#This Row],[Zahl]])</f>
        <v>4</v>
      </c>
      <c r="J153" s="2">
        <f>COUNTIF(Eingabe[S1],HäufigsteErgebnisse[[#This Row],[Zahl]])+COUNTIF(Eingabe[S2],HäufigsteErgebnisse[[#This Row],[Zahl]])+COUNTIF(Eingabe[S3],HäufigsteErgebnisse[[#This Row],[Zahl]])+COUNTIF(Eingabe[S4],HäufigsteErgebnisse[[#This Row],[Zahl]])</f>
        <v>9</v>
      </c>
      <c r="K153" s="2">
        <f>COUNTIF(Eingabe[GES],HäufigsteErgebnisse[[#This Row],[Zahl]])</f>
        <v>0</v>
      </c>
      <c r="L153" s="2">
        <f>HäufigsteErgebnisse[[#This Row],[Zahl]]</f>
        <v>95</v>
      </c>
    </row>
    <row r="154" spans="2:12" x14ac:dyDescent="0.3">
      <c r="B154" s="2">
        <v>96</v>
      </c>
      <c r="C154" s="2">
        <f>COUNTIF(Eingabe[Volle],HäufigsteErgebnisse[[#This Row],[Zahl]])</f>
        <v>0</v>
      </c>
      <c r="D154" s="2">
        <f>COUNTIF(Eingabe[Räumer],HäufigsteErgebnisse[[#This Row],[Zahl]])</f>
        <v>0</v>
      </c>
      <c r="E154" s="2">
        <f>COUNTIF(Eingabe[Fehler],HäufigsteErgebnisse[[#This Row],[Zahl]])</f>
        <v>0</v>
      </c>
      <c r="F154" s="2">
        <f>COUNTIF(Eingabe[S1],HäufigsteErgebnisse[[#This Row],[Zahl]])</f>
        <v>2</v>
      </c>
      <c r="G154" s="2">
        <f>COUNTIF(Eingabe[S2],HäufigsteErgebnisse[[#This Row],[Zahl]])</f>
        <v>3</v>
      </c>
      <c r="H154" s="2">
        <f>COUNTIF(Eingabe[S3],HäufigsteErgebnisse[[#This Row],[Zahl]])</f>
        <v>0</v>
      </c>
      <c r="I154" s="2">
        <f>COUNTIF(Eingabe[S4],HäufigsteErgebnisse[[#This Row],[Zahl]])</f>
        <v>1</v>
      </c>
      <c r="J154" s="2">
        <f>COUNTIF(Eingabe[S1],HäufigsteErgebnisse[[#This Row],[Zahl]])+COUNTIF(Eingabe[S2],HäufigsteErgebnisse[[#This Row],[Zahl]])+COUNTIF(Eingabe[S3],HäufigsteErgebnisse[[#This Row],[Zahl]])+COUNTIF(Eingabe[S4],HäufigsteErgebnisse[[#This Row],[Zahl]])</f>
        <v>6</v>
      </c>
      <c r="K154" s="2">
        <f>COUNTIF(Eingabe[GES],HäufigsteErgebnisse[[#This Row],[Zahl]])</f>
        <v>0</v>
      </c>
      <c r="L154" s="2">
        <f>HäufigsteErgebnisse[[#This Row],[Zahl]]</f>
        <v>96</v>
      </c>
    </row>
    <row r="155" spans="2:12" x14ac:dyDescent="0.3">
      <c r="B155" s="2">
        <v>97</v>
      </c>
      <c r="C155" s="2">
        <f>COUNTIF(Eingabe[Volle],HäufigsteErgebnisse[[#This Row],[Zahl]])</f>
        <v>0</v>
      </c>
      <c r="D155" s="2">
        <f>COUNTIF(Eingabe[Räumer],HäufigsteErgebnisse[[#This Row],[Zahl]])</f>
        <v>0</v>
      </c>
      <c r="E155" s="2">
        <f>COUNTIF(Eingabe[Fehler],HäufigsteErgebnisse[[#This Row],[Zahl]])</f>
        <v>0</v>
      </c>
      <c r="F155" s="2">
        <f>COUNTIF(Eingabe[S1],HäufigsteErgebnisse[[#This Row],[Zahl]])</f>
        <v>2</v>
      </c>
      <c r="G155" s="2">
        <f>COUNTIF(Eingabe[S2],HäufigsteErgebnisse[[#This Row],[Zahl]])</f>
        <v>0</v>
      </c>
      <c r="H155" s="2">
        <f>COUNTIF(Eingabe[S3],HäufigsteErgebnisse[[#This Row],[Zahl]])</f>
        <v>2</v>
      </c>
      <c r="I155" s="2">
        <f>COUNTIF(Eingabe[S4],HäufigsteErgebnisse[[#This Row],[Zahl]])</f>
        <v>1</v>
      </c>
      <c r="J155" s="2">
        <f>COUNTIF(Eingabe[S1],HäufigsteErgebnisse[[#This Row],[Zahl]])+COUNTIF(Eingabe[S2],HäufigsteErgebnisse[[#This Row],[Zahl]])+COUNTIF(Eingabe[S3],HäufigsteErgebnisse[[#This Row],[Zahl]])+COUNTIF(Eingabe[S4],HäufigsteErgebnisse[[#This Row],[Zahl]])</f>
        <v>5</v>
      </c>
      <c r="K155" s="2">
        <f>COUNTIF(Eingabe[GES],HäufigsteErgebnisse[[#This Row],[Zahl]])</f>
        <v>0</v>
      </c>
      <c r="L155" s="2">
        <f>HäufigsteErgebnisse[[#This Row],[Zahl]]</f>
        <v>97</v>
      </c>
    </row>
    <row r="156" spans="2:12" x14ac:dyDescent="0.3">
      <c r="B156" s="2">
        <v>98</v>
      </c>
      <c r="C156" s="2">
        <f>COUNTIF(Eingabe[Volle],HäufigsteErgebnisse[[#This Row],[Zahl]])</f>
        <v>0</v>
      </c>
      <c r="D156" s="2">
        <f>COUNTIF(Eingabe[Räumer],HäufigsteErgebnisse[[#This Row],[Zahl]])</f>
        <v>0</v>
      </c>
      <c r="E156" s="2">
        <f>COUNTIF(Eingabe[Fehler],HäufigsteErgebnisse[[#This Row],[Zahl]])</f>
        <v>0</v>
      </c>
      <c r="F156" s="2">
        <f>COUNTIF(Eingabe[S1],HäufigsteErgebnisse[[#This Row],[Zahl]])</f>
        <v>1</v>
      </c>
      <c r="G156" s="2">
        <f>COUNTIF(Eingabe[S2],HäufigsteErgebnisse[[#This Row],[Zahl]])</f>
        <v>0</v>
      </c>
      <c r="H156" s="2">
        <f>COUNTIF(Eingabe[S3],HäufigsteErgebnisse[[#This Row],[Zahl]])</f>
        <v>0</v>
      </c>
      <c r="I156" s="2">
        <f>COUNTIF(Eingabe[S4],HäufigsteErgebnisse[[#This Row],[Zahl]])</f>
        <v>1</v>
      </c>
      <c r="J156" s="2">
        <f>COUNTIF(Eingabe[S1],HäufigsteErgebnisse[[#This Row],[Zahl]])+COUNTIF(Eingabe[S2],HäufigsteErgebnisse[[#This Row],[Zahl]])+COUNTIF(Eingabe[S3],HäufigsteErgebnisse[[#This Row],[Zahl]])+COUNTIF(Eingabe[S4],HäufigsteErgebnisse[[#This Row],[Zahl]])</f>
        <v>2</v>
      </c>
      <c r="K156" s="2">
        <f>COUNTIF(Eingabe[GES],HäufigsteErgebnisse[[#This Row],[Zahl]])</f>
        <v>0</v>
      </c>
      <c r="L156" s="2">
        <f>HäufigsteErgebnisse[[#This Row],[Zahl]]</f>
        <v>98</v>
      </c>
    </row>
    <row r="157" spans="2:12" x14ac:dyDescent="0.3">
      <c r="B157" s="2">
        <v>99</v>
      </c>
      <c r="C157" s="2">
        <f>COUNTIF(Eingabe[Volle],HäufigsteErgebnisse[[#This Row],[Zahl]])</f>
        <v>0</v>
      </c>
      <c r="D157" s="2">
        <f>COUNTIF(Eingabe[Räumer],HäufigsteErgebnisse[[#This Row],[Zahl]])</f>
        <v>2</v>
      </c>
      <c r="E157" s="2">
        <f>COUNTIF(Eingabe[Fehler],HäufigsteErgebnisse[[#This Row],[Zahl]])</f>
        <v>0</v>
      </c>
      <c r="F157" s="2">
        <f>COUNTIF(Eingabe[S1],HäufigsteErgebnisse[[#This Row],[Zahl]])</f>
        <v>2</v>
      </c>
      <c r="G157" s="2">
        <f>COUNTIF(Eingabe[S2],HäufigsteErgebnisse[[#This Row],[Zahl]])</f>
        <v>0</v>
      </c>
      <c r="H157" s="2">
        <f>COUNTIF(Eingabe[S3],HäufigsteErgebnisse[[#This Row],[Zahl]])</f>
        <v>1</v>
      </c>
      <c r="I157" s="2">
        <f>COUNTIF(Eingabe[S4],HäufigsteErgebnisse[[#This Row],[Zahl]])</f>
        <v>3</v>
      </c>
      <c r="J157" s="2">
        <f>COUNTIF(Eingabe[S1],HäufigsteErgebnisse[[#This Row],[Zahl]])+COUNTIF(Eingabe[S2],HäufigsteErgebnisse[[#This Row],[Zahl]])+COUNTIF(Eingabe[S3],HäufigsteErgebnisse[[#This Row],[Zahl]])+COUNTIF(Eingabe[S4],HäufigsteErgebnisse[[#This Row],[Zahl]])</f>
        <v>6</v>
      </c>
      <c r="K157" s="2">
        <f>COUNTIF(Eingabe[GES],HäufigsteErgebnisse[[#This Row],[Zahl]])</f>
        <v>0</v>
      </c>
      <c r="L157" s="2">
        <f>HäufigsteErgebnisse[[#This Row],[Zahl]]</f>
        <v>99</v>
      </c>
    </row>
    <row r="158" spans="2:12" x14ac:dyDescent="0.3">
      <c r="B158" s="2">
        <v>100</v>
      </c>
      <c r="C158" s="2">
        <f>COUNTIF(Eingabe[Volle],HäufigsteErgebnisse[[#This Row],[Zahl]])</f>
        <v>0</v>
      </c>
      <c r="D158" s="2">
        <f>COUNTIF(Eingabe[Räumer],HäufigsteErgebnisse[[#This Row],[Zahl]])</f>
        <v>0</v>
      </c>
      <c r="E158" s="2">
        <f>COUNTIF(Eingabe[Fehler],HäufigsteErgebnisse[[#This Row],[Zahl]])</f>
        <v>0</v>
      </c>
      <c r="F158" s="2">
        <f>COUNTIF(Eingabe[S1],HäufigsteErgebnisse[[#This Row],[Zahl]])</f>
        <v>1</v>
      </c>
      <c r="G158" s="2">
        <f>COUNTIF(Eingabe[S2],HäufigsteErgebnisse[[#This Row],[Zahl]])</f>
        <v>1</v>
      </c>
      <c r="H158" s="2">
        <f>COUNTIF(Eingabe[S3],HäufigsteErgebnisse[[#This Row],[Zahl]])</f>
        <v>2</v>
      </c>
      <c r="I158" s="2">
        <f>COUNTIF(Eingabe[S4],HäufigsteErgebnisse[[#This Row],[Zahl]])</f>
        <v>1</v>
      </c>
      <c r="J158" s="2">
        <f>COUNTIF(Eingabe[S1],HäufigsteErgebnisse[[#This Row],[Zahl]])+COUNTIF(Eingabe[S2],HäufigsteErgebnisse[[#This Row],[Zahl]])+COUNTIF(Eingabe[S3],HäufigsteErgebnisse[[#This Row],[Zahl]])+COUNTIF(Eingabe[S4],HäufigsteErgebnisse[[#This Row],[Zahl]])</f>
        <v>5</v>
      </c>
      <c r="K158" s="2">
        <f>COUNTIF(Eingabe[GES],HäufigsteErgebnisse[[#This Row],[Zahl]])</f>
        <v>0</v>
      </c>
      <c r="L158" s="2">
        <f>HäufigsteErgebnisse[[#This Row],[Zahl]]</f>
        <v>100</v>
      </c>
    </row>
    <row r="159" spans="2:12" x14ac:dyDescent="0.3">
      <c r="B159" s="2">
        <v>101</v>
      </c>
      <c r="C159" s="2">
        <f>COUNTIF(Eingabe[Volle],HäufigsteErgebnisse[[#This Row],[Zahl]])</f>
        <v>0</v>
      </c>
      <c r="D159" s="2">
        <f>COUNTIF(Eingabe[Räumer],HäufigsteErgebnisse[[#This Row],[Zahl]])</f>
        <v>2</v>
      </c>
      <c r="E159" s="2">
        <f>COUNTIF(Eingabe[Fehler],HäufigsteErgebnisse[[#This Row],[Zahl]])</f>
        <v>0</v>
      </c>
      <c r="F159" s="2">
        <f>COUNTIF(Eingabe[S1],HäufigsteErgebnisse[[#This Row],[Zahl]])</f>
        <v>2</v>
      </c>
      <c r="G159" s="2">
        <f>COUNTIF(Eingabe[S2],HäufigsteErgebnisse[[#This Row],[Zahl]])</f>
        <v>1</v>
      </c>
      <c r="H159" s="2">
        <f>COUNTIF(Eingabe[S3],HäufigsteErgebnisse[[#This Row],[Zahl]])</f>
        <v>3</v>
      </c>
      <c r="I159" s="2">
        <f>COUNTIF(Eingabe[S4],HäufigsteErgebnisse[[#This Row],[Zahl]])</f>
        <v>1</v>
      </c>
      <c r="J159" s="2">
        <f>COUNTIF(Eingabe[S1],HäufigsteErgebnisse[[#This Row],[Zahl]])+COUNTIF(Eingabe[S2],HäufigsteErgebnisse[[#This Row],[Zahl]])+COUNTIF(Eingabe[S3],HäufigsteErgebnisse[[#This Row],[Zahl]])+COUNTIF(Eingabe[S4],HäufigsteErgebnisse[[#This Row],[Zahl]])</f>
        <v>7</v>
      </c>
      <c r="K159" s="2">
        <f>COUNTIF(Eingabe[GES],HäufigsteErgebnisse[[#This Row],[Zahl]])</f>
        <v>0</v>
      </c>
      <c r="L159" s="2">
        <f>HäufigsteErgebnisse[[#This Row],[Zahl]]</f>
        <v>101</v>
      </c>
    </row>
    <row r="160" spans="2:12" x14ac:dyDescent="0.3">
      <c r="B160" s="2">
        <v>102</v>
      </c>
      <c r="C160" s="2">
        <f>COUNTIF(Eingabe[Volle],HäufigsteErgebnisse[[#This Row],[Zahl]])</f>
        <v>0</v>
      </c>
      <c r="D160" s="2">
        <f>COUNTIF(Eingabe[Räumer],HäufigsteErgebnisse[[#This Row],[Zahl]])</f>
        <v>1</v>
      </c>
      <c r="E160" s="2">
        <f>COUNTIF(Eingabe[Fehler],HäufigsteErgebnisse[[#This Row],[Zahl]])</f>
        <v>0</v>
      </c>
      <c r="F160" s="2">
        <f>COUNTIF(Eingabe[S1],HäufigsteErgebnisse[[#This Row],[Zahl]])</f>
        <v>1</v>
      </c>
      <c r="G160" s="2">
        <f>COUNTIF(Eingabe[S2],HäufigsteErgebnisse[[#This Row],[Zahl]])</f>
        <v>5</v>
      </c>
      <c r="H160" s="2">
        <f>COUNTIF(Eingabe[S3],HäufigsteErgebnisse[[#This Row],[Zahl]])</f>
        <v>1</v>
      </c>
      <c r="I160" s="2">
        <f>COUNTIF(Eingabe[S4],HäufigsteErgebnisse[[#This Row],[Zahl]])</f>
        <v>2</v>
      </c>
      <c r="J160" s="2">
        <f>COUNTIF(Eingabe[S1],HäufigsteErgebnisse[[#This Row],[Zahl]])+COUNTIF(Eingabe[S2],HäufigsteErgebnisse[[#This Row],[Zahl]])+COUNTIF(Eingabe[S3],HäufigsteErgebnisse[[#This Row],[Zahl]])+COUNTIF(Eingabe[S4],HäufigsteErgebnisse[[#This Row],[Zahl]])</f>
        <v>9</v>
      </c>
      <c r="K160" s="2">
        <f>COUNTIF(Eingabe[GES],HäufigsteErgebnisse[[#This Row],[Zahl]])</f>
        <v>0</v>
      </c>
      <c r="L160" s="2">
        <f>HäufigsteErgebnisse[[#This Row],[Zahl]]</f>
        <v>102</v>
      </c>
    </row>
    <row r="161" spans="2:12" x14ac:dyDescent="0.3">
      <c r="B161" s="2">
        <v>103</v>
      </c>
      <c r="C161" s="2">
        <f>COUNTIF(Eingabe[Volle],HäufigsteErgebnisse[[#This Row],[Zahl]])</f>
        <v>0</v>
      </c>
      <c r="D161" s="2">
        <f>COUNTIF(Eingabe[Räumer],HäufigsteErgebnisse[[#This Row],[Zahl]])</f>
        <v>0</v>
      </c>
      <c r="E161" s="2">
        <f>COUNTIF(Eingabe[Fehler],HäufigsteErgebnisse[[#This Row],[Zahl]])</f>
        <v>0</v>
      </c>
      <c r="F161" s="2">
        <f>COUNTIF(Eingabe[S1],HäufigsteErgebnisse[[#This Row],[Zahl]])</f>
        <v>2</v>
      </c>
      <c r="G161" s="2">
        <f>COUNTIF(Eingabe[S2],HäufigsteErgebnisse[[#This Row],[Zahl]])</f>
        <v>2</v>
      </c>
      <c r="H161" s="2">
        <f>COUNTIF(Eingabe[S3],HäufigsteErgebnisse[[#This Row],[Zahl]])</f>
        <v>5</v>
      </c>
      <c r="I161" s="2">
        <f>COUNTIF(Eingabe[S4],HäufigsteErgebnisse[[#This Row],[Zahl]])</f>
        <v>2</v>
      </c>
      <c r="J161" s="2">
        <f>COUNTIF(Eingabe[S1],HäufigsteErgebnisse[[#This Row],[Zahl]])+COUNTIF(Eingabe[S2],HäufigsteErgebnisse[[#This Row],[Zahl]])+COUNTIF(Eingabe[S3],HäufigsteErgebnisse[[#This Row],[Zahl]])+COUNTIF(Eingabe[S4],HäufigsteErgebnisse[[#This Row],[Zahl]])</f>
        <v>11</v>
      </c>
      <c r="K161" s="2">
        <f>COUNTIF(Eingabe[GES],HäufigsteErgebnisse[[#This Row],[Zahl]])</f>
        <v>0</v>
      </c>
      <c r="L161" s="2">
        <f>HäufigsteErgebnisse[[#This Row],[Zahl]]</f>
        <v>103</v>
      </c>
    </row>
    <row r="162" spans="2:12" x14ac:dyDescent="0.3">
      <c r="B162" s="2">
        <v>104</v>
      </c>
      <c r="C162" s="2">
        <f>COUNTIF(Eingabe[Volle],HäufigsteErgebnisse[[#This Row],[Zahl]])</f>
        <v>0</v>
      </c>
      <c r="D162" s="2">
        <f>COUNTIF(Eingabe[Räumer],HäufigsteErgebnisse[[#This Row],[Zahl]])</f>
        <v>1</v>
      </c>
      <c r="E162" s="2">
        <f>COUNTIF(Eingabe[Fehler],HäufigsteErgebnisse[[#This Row],[Zahl]])</f>
        <v>0</v>
      </c>
      <c r="F162" s="2">
        <f>COUNTIF(Eingabe[S1],HäufigsteErgebnisse[[#This Row],[Zahl]])</f>
        <v>3</v>
      </c>
      <c r="G162" s="2">
        <f>COUNTIF(Eingabe[S2],HäufigsteErgebnisse[[#This Row],[Zahl]])</f>
        <v>2</v>
      </c>
      <c r="H162" s="2">
        <f>COUNTIF(Eingabe[S3],HäufigsteErgebnisse[[#This Row],[Zahl]])</f>
        <v>4</v>
      </c>
      <c r="I162" s="2">
        <f>COUNTIF(Eingabe[S4],HäufigsteErgebnisse[[#This Row],[Zahl]])</f>
        <v>1</v>
      </c>
      <c r="J162" s="2">
        <f>COUNTIF(Eingabe[S1],HäufigsteErgebnisse[[#This Row],[Zahl]])+COUNTIF(Eingabe[S2],HäufigsteErgebnisse[[#This Row],[Zahl]])+COUNTIF(Eingabe[S3],HäufigsteErgebnisse[[#This Row],[Zahl]])+COUNTIF(Eingabe[S4],HäufigsteErgebnisse[[#This Row],[Zahl]])</f>
        <v>10</v>
      </c>
      <c r="K162" s="2">
        <f>COUNTIF(Eingabe[GES],HäufigsteErgebnisse[[#This Row],[Zahl]])</f>
        <v>0</v>
      </c>
      <c r="L162" s="2">
        <f>HäufigsteErgebnisse[[#This Row],[Zahl]]</f>
        <v>104</v>
      </c>
    </row>
    <row r="163" spans="2:12" x14ac:dyDescent="0.3">
      <c r="B163" s="2">
        <v>105</v>
      </c>
      <c r="C163" s="2">
        <f>COUNTIF(Eingabe[Volle],HäufigsteErgebnisse[[#This Row],[Zahl]])</f>
        <v>0</v>
      </c>
      <c r="D163" s="2">
        <f>COUNTIF(Eingabe[Räumer],HäufigsteErgebnisse[[#This Row],[Zahl]])</f>
        <v>1</v>
      </c>
      <c r="E163" s="2">
        <f>COUNTIF(Eingabe[Fehler],HäufigsteErgebnisse[[#This Row],[Zahl]])</f>
        <v>0</v>
      </c>
      <c r="F163" s="2">
        <f>COUNTIF(Eingabe[S1],HäufigsteErgebnisse[[#This Row],[Zahl]])</f>
        <v>2</v>
      </c>
      <c r="G163" s="2">
        <f>COUNTIF(Eingabe[S2],HäufigsteErgebnisse[[#This Row],[Zahl]])</f>
        <v>2</v>
      </c>
      <c r="H163" s="2">
        <f>COUNTIF(Eingabe[S3],HäufigsteErgebnisse[[#This Row],[Zahl]])</f>
        <v>2</v>
      </c>
      <c r="I163" s="2">
        <f>COUNTIF(Eingabe[S4],HäufigsteErgebnisse[[#This Row],[Zahl]])</f>
        <v>3</v>
      </c>
      <c r="J163" s="2">
        <f>COUNTIF(Eingabe[S1],HäufigsteErgebnisse[[#This Row],[Zahl]])+COUNTIF(Eingabe[S2],HäufigsteErgebnisse[[#This Row],[Zahl]])+COUNTIF(Eingabe[S3],HäufigsteErgebnisse[[#This Row],[Zahl]])+COUNTIF(Eingabe[S4],HäufigsteErgebnisse[[#This Row],[Zahl]])</f>
        <v>9</v>
      </c>
      <c r="K163" s="2">
        <f>COUNTIF(Eingabe[GES],HäufigsteErgebnisse[[#This Row],[Zahl]])</f>
        <v>0</v>
      </c>
      <c r="L163" s="2">
        <f>HäufigsteErgebnisse[[#This Row],[Zahl]]</f>
        <v>105</v>
      </c>
    </row>
    <row r="164" spans="2:12" x14ac:dyDescent="0.3">
      <c r="B164" s="2">
        <v>106</v>
      </c>
      <c r="C164" s="2">
        <f>COUNTIF(Eingabe[Volle],HäufigsteErgebnisse[[#This Row],[Zahl]])</f>
        <v>0</v>
      </c>
      <c r="D164" s="2">
        <f>COUNTIF(Eingabe[Räumer],HäufigsteErgebnisse[[#This Row],[Zahl]])</f>
        <v>0</v>
      </c>
      <c r="E164" s="2">
        <f>COUNTIF(Eingabe[Fehler],HäufigsteErgebnisse[[#This Row],[Zahl]])</f>
        <v>0</v>
      </c>
      <c r="F164" s="2">
        <f>COUNTIF(Eingabe[S1],HäufigsteErgebnisse[[#This Row],[Zahl]])</f>
        <v>0</v>
      </c>
      <c r="G164" s="2">
        <f>COUNTIF(Eingabe[S2],HäufigsteErgebnisse[[#This Row],[Zahl]])</f>
        <v>1</v>
      </c>
      <c r="H164" s="2">
        <f>COUNTIF(Eingabe[S3],HäufigsteErgebnisse[[#This Row],[Zahl]])</f>
        <v>2</v>
      </c>
      <c r="I164" s="2">
        <f>COUNTIF(Eingabe[S4],HäufigsteErgebnisse[[#This Row],[Zahl]])</f>
        <v>4</v>
      </c>
      <c r="J164" s="2">
        <f>COUNTIF(Eingabe[S1],HäufigsteErgebnisse[[#This Row],[Zahl]])+COUNTIF(Eingabe[S2],HäufigsteErgebnisse[[#This Row],[Zahl]])+COUNTIF(Eingabe[S3],HäufigsteErgebnisse[[#This Row],[Zahl]])+COUNTIF(Eingabe[S4],HäufigsteErgebnisse[[#This Row],[Zahl]])</f>
        <v>7</v>
      </c>
      <c r="K164" s="2">
        <f>COUNTIF(Eingabe[GES],HäufigsteErgebnisse[[#This Row],[Zahl]])</f>
        <v>0</v>
      </c>
      <c r="L164" s="2">
        <f>HäufigsteErgebnisse[[#This Row],[Zahl]]</f>
        <v>106</v>
      </c>
    </row>
    <row r="165" spans="2:12" x14ac:dyDescent="0.3">
      <c r="B165" s="2">
        <v>107</v>
      </c>
      <c r="C165" s="2">
        <f>COUNTIF(Eingabe[Volle],HäufigsteErgebnisse[[#This Row],[Zahl]])</f>
        <v>0</v>
      </c>
      <c r="D165" s="2">
        <f>COUNTIF(Eingabe[Räumer],HäufigsteErgebnisse[[#This Row],[Zahl]])</f>
        <v>2</v>
      </c>
      <c r="E165" s="2">
        <f>COUNTIF(Eingabe[Fehler],HäufigsteErgebnisse[[#This Row],[Zahl]])</f>
        <v>0</v>
      </c>
      <c r="F165" s="2">
        <f>COUNTIF(Eingabe[S1],HäufigsteErgebnisse[[#This Row],[Zahl]])</f>
        <v>2</v>
      </c>
      <c r="G165" s="2">
        <f>COUNTIF(Eingabe[S2],HäufigsteErgebnisse[[#This Row],[Zahl]])</f>
        <v>1</v>
      </c>
      <c r="H165" s="2">
        <f>COUNTIF(Eingabe[S3],HäufigsteErgebnisse[[#This Row],[Zahl]])</f>
        <v>3</v>
      </c>
      <c r="I165" s="2">
        <f>COUNTIF(Eingabe[S4],HäufigsteErgebnisse[[#This Row],[Zahl]])</f>
        <v>3</v>
      </c>
      <c r="J165" s="2">
        <f>COUNTIF(Eingabe[S1],HäufigsteErgebnisse[[#This Row],[Zahl]])+COUNTIF(Eingabe[S2],HäufigsteErgebnisse[[#This Row],[Zahl]])+COUNTIF(Eingabe[S3],HäufigsteErgebnisse[[#This Row],[Zahl]])+COUNTIF(Eingabe[S4],HäufigsteErgebnisse[[#This Row],[Zahl]])</f>
        <v>9</v>
      </c>
      <c r="K165" s="2">
        <f>COUNTIF(Eingabe[GES],HäufigsteErgebnisse[[#This Row],[Zahl]])</f>
        <v>0</v>
      </c>
      <c r="L165" s="2">
        <f>HäufigsteErgebnisse[[#This Row],[Zahl]]</f>
        <v>107</v>
      </c>
    </row>
    <row r="166" spans="2:12" x14ac:dyDescent="0.3">
      <c r="B166" s="2">
        <v>108</v>
      </c>
      <c r="C166" s="2">
        <f>COUNTIF(Eingabe[Volle],HäufigsteErgebnisse[[#This Row],[Zahl]])</f>
        <v>0</v>
      </c>
      <c r="D166" s="2">
        <f>COUNTIF(Eingabe[Räumer],HäufigsteErgebnisse[[#This Row],[Zahl]])</f>
        <v>0</v>
      </c>
      <c r="E166" s="2">
        <f>COUNTIF(Eingabe[Fehler],HäufigsteErgebnisse[[#This Row],[Zahl]])</f>
        <v>0</v>
      </c>
      <c r="F166" s="2">
        <f>COUNTIF(Eingabe[S1],HäufigsteErgebnisse[[#This Row],[Zahl]])</f>
        <v>3</v>
      </c>
      <c r="G166" s="2">
        <f>COUNTIF(Eingabe[S2],HäufigsteErgebnisse[[#This Row],[Zahl]])</f>
        <v>7</v>
      </c>
      <c r="H166" s="2">
        <f>COUNTIF(Eingabe[S3],HäufigsteErgebnisse[[#This Row],[Zahl]])</f>
        <v>3</v>
      </c>
      <c r="I166" s="2">
        <f>COUNTIF(Eingabe[S4],HäufigsteErgebnisse[[#This Row],[Zahl]])</f>
        <v>1</v>
      </c>
      <c r="J166" s="2">
        <f>COUNTIF(Eingabe[S1],HäufigsteErgebnisse[[#This Row],[Zahl]])+COUNTIF(Eingabe[S2],HäufigsteErgebnisse[[#This Row],[Zahl]])+COUNTIF(Eingabe[S3],HäufigsteErgebnisse[[#This Row],[Zahl]])+COUNTIF(Eingabe[S4],HäufigsteErgebnisse[[#This Row],[Zahl]])</f>
        <v>14</v>
      </c>
      <c r="K166" s="2">
        <f>COUNTIF(Eingabe[GES],HäufigsteErgebnisse[[#This Row],[Zahl]])</f>
        <v>0</v>
      </c>
      <c r="L166" s="2">
        <f>HäufigsteErgebnisse[[#This Row],[Zahl]]</f>
        <v>108</v>
      </c>
    </row>
    <row r="167" spans="2:12" x14ac:dyDescent="0.3">
      <c r="B167" s="2">
        <v>109</v>
      </c>
      <c r="C167" s="2">
        <f>COUNTIF(Eingabe[Volle],HäufigsteErgebnisse[[#This Row],[Zahl]])</f>
        <v>0</v>
      </c>
      <c r="D167" s="2">
        <f>COUNTIF(Eingabe[Räumer],HäufigsteErgebnisse[[#This Row],[Zahl]])</f>
        <v>0</v>
      </c>
      <c r="E167" s="2">
        <f>COUNTIF(Eingabe[Fehler],HäufigsteErgebnisse[[#This Row],[Zahl]])</f>
        <v>0</v>
      </c>
      <c r="F167" s="2">
        <f>COUNTIF(Eingabe[S1],HäufigsteErgebnisse[[#This Row],[Zahl]])</f>
        <v>4</v>
      </c>
      <c r="G167" s="2">
        <f>COUNTIF(Eingabe[S2],HäufigsteErgebnisse[[#This Row],[Zahl]])</f>
        <v>2</v>
      </c>
      <c r="H167" s="2">
        <f>COUNTIF(Eingabe[S3],HäufigsteErgebnisse[[#This Row],[Zahl]])</f>
        <v>3</v>
      </c>
      <c r="I167" s="2">
        <f>COUNTIF(Eingabe[S4],HäufigsteErgebnisse[[#This Row],[Zahl]])</f>
        <v>3</v>
      </c>
      <c r="J167" s="2">
        <f>COUNTIF(Eingabe[S1],HäufigsteErgebnisse[[#This Row],[Zahl]])+COUNTIF(Eingabe[S2],HäufigsteErgebnisse[[#This Row],[Zahl]])+COUNTIF(Eingabe[S3],HäufigsteErgebnisse[[#This Row],[Zahl]])+COUNTIF(Eingabe[S4],HäufigsteErgebnisse[[#This Row],[Zahl]])</f>
        <v>12</v>
      </c>
      <c r="K167" s="2">
        <f>COUNTIF(Eingabe[GES],HäufigsteErgebnisse[[#This Row],[Zahl]])</f>
        <v>0</v>
      </c>
      <c r="L167" s="2">
        <f>HäufigsteErgebnisse[[#This Row],[Zahl]]</f>
        <v>109</v>
      </c>
    </row>
    <row r="168" spans="2:12" x14ac:dyDescent="0.3">
      <c r="B168" s="2">
        <v>110</v>
      </c>
      <c r="C168" s="2">
        <f>COUNTIF(Eingabe[Volle],HäufigsteErgebnisse[[#This Row],[Zahl]])</f>
        <v>0</v>
      </c>
      <c r="D168" s="2">
        <f>COUNTIF(Eingabe[Räumer],HäufigsteErgebnisse[[#This Row],[Zahl]])</f>
        <v>0</v>
      </c>
      <c r="E168" s="2">
        <f>COUNTIF(Eingabe[Fehler],HäufigsteErgebnisse[[#This Row],[Zahl]])</f>
        <v>0</v>
      </c>
      <c r="F168" s="2">
        <f>COUNTIF(Eingabe[S1],HäufigsteErgebnisse[[#This Row],[Zahl]])</f>
        <v>5</v>
      </c>
      <c r="G168" s="2">
        <f>COUNTIF(Eingabe[S2],HäufigsteErgebnisse[[#This Row],[Zahl]])</f>
        <v>2</v>
      </c>
      <c r="H168" s="2">
        <f>COUNTIF(Eingabe[S3],HäufigsteErgebnisse[[#This Row],[Zahl]])</f>
        <v>2</v>
      </c>
      <c r="I168" s="2">
        <f>COUNTIF(Eingabe[S4],HäufigsteErgebnisse[[#This Row],[Zahl]])</f>
        <v>2</v>
      </c>
      <c r="J168" s="2">
        <f>COUNTIF(Eingabe[S1],HäufigsteErgebnisse[[#This Row],[Zahl]])+COUNTIF(Eingabe[S2],HäufigsteErgebnisse[[#This Row],[Zahl]])+COUNTIF(Eingabe[S3],HäufigsteErgebnisse[[#This Row],[Zahl]])+COUNTIF(Eingabe[S4],HäufigsteErgebnisse[[#This Row],[Zahl]])</f>
        <v>11</v>
      </c>
      <c r="K168" s="2">
        <f>COUNTIF(Eingabe[GES],HäufigsteErgebnisse[[#This Row],[Zahl]])</f>
        <v>0</v>
      </c>
      <c r="L168" s="2">
        <f>HäufigsteErgebnisse[[#This Row],[Zahl]]</f>
        <v>110</v>
      </c>
    </row>
    <row r="169" spans="2:12" x14ac:dyDescent="0.3">
      <c r="B169" s="2">
        <v>111</v>
      </c>
      <c r="C169" s="2">
        <f>COUNTIF(Eingabe[Volle],HäufigsteErgebnisse[[#This Row],[Zahl]])</f>
        <v>0</v>
      </c>
      <c r="D169" s="2">
        <f>COUNTIF(Eingabe[Räumer],HäufigsteErgebnisse[[#This Row],[Zahl]])</f>
        <v>0</v>
      </c>
      <c r="E169" s="2">
        <f>COUNTIF(Eingabe[Fehler],HäufigsteErgebnisse[[#This Row],[Zahl]])</f>
        <v>0</v>
      </c>
      <c r="F169" s="2">
        <f>COUNTIF(Eingabe[S1],HäufigsteErgebnisse[[#This Row],[Zahl]])</f>
        <v>3</v>
      </c>
      <c r="G169" s="2">
        <f>COUNTIF(Eingabe[S2],HäufigsteErgebnisse[[#This Row],[Zahl]])</f>
        <v>1</v>
      </c>
      <c r="H169" s="2">
        <f>COUNTIF(Eingabe[S3],HäufigsteErgebnisse[[#This Row],[Zahl]])</f>
        <v>1</v>
      </c>
      <c r="I169" s="2">
        <f>COUNTIF(Eingabe[S4],HäufigsteErgebnisse[[#This Row],[Zahl]])</f>
        <v>7</v>
      </c>
      <c r="J169" s="2">
        <f>COUNTIF(Eingabe[S1],HäufigsteErgebnisse[[#This Row],[Zahl]])+COUNTIF(Eingabe[S2],HäufigsteErgebnisse[[#This Row],[Zahl]])+COUNTIF(Eingabe[S3],HäufigsteErgebnisse[[#This Row],[Zahl]])+COUNTIF(Eingabe[S4],HäufigsteErgebnisse[[#This Row],[Zahl]])</f>
        <v>12</v>
      </c>
      <c r="K169" s="2">
        <f>COUNTIF(Eingabe[GES],HäufigsteErgebnisse[[#This Row],[Zahl]])</f>
        <v>0</v>
      </c>
      <c r="L169" s="2">
        <f>HäufigsteErgebnisse[[#This Row],[Zahl]]</f>
        <v>111</v>
      </c>
    </row>
    <row r="170" spans="2:12" x14ac:dyDescent="0.3">
      <c r="B170" s="2">
        <v>112</v>
      </c>
      <c r="C170" s="2">
        <f>COUNTIF(Eingabe[Volle],HäufigsteErgebnisse[[#This Row],[Zahl]])</f>
        <v>0</v>
      </c>
      <c r="D170" s="2">
        <f>COUNTIF(Eingabe[Räumer],HäufigsteErgebnisse[[#This Row],[Zahl]])</f>
        <v>1</v>
      </c>
      <c r="E170" s="2">
        <f>COUNTIF(Eingabe[Fehler],HäufigsteErgebnisse[[#This Row],[Zahl]])</f>
        <v>0</v>
      </c>
      <c r="F170" s="2">
        <f>COUNTIF(Eingabe[S1],HäufigsteErgebnisse[[#This Row],[Zahl]])</f>
        <v>1</v>
      </c>
      <c r="G170" s="2">
        <f>COUNTIF(Eingabe[S2],HäufigsteErgebnisse[[#This Row],[Zahl]])</f>
        <v>3</v>
      </c>
      <c r="H170" s="2">
        <f>COUNTIF(Eingabe[S3],HäufigsteErgebnisse[[#This Row],[Zahl]])</f>
        <v>4</v>
      </c>
      <c r="I170" s="2">
        <f>COUNTIF(Eingabe[S4],HäufigsteErgebnisse[[#This Row],[Zahl]])</f>
        <v>4</v>
      </c>
      <c r="J170" s="2">
        <f>COUNTIF(Eingabe[S1],HäufigsteErgebnisse[[#This Row],[Zahl]])+COUNTIF(Eingabe[S2],HäufigsteErgebnisse[[#This Row],[Zahl]])+COUNTIF(Eingabe[S3],HäufigsteErgebnisse[[#This Row],[Zahl]])+COUNTIF(Eingabe[S4],HäufigsteErgebnisse[[#This Row],[Zahl]])</f>
        <v>12</v>
      </c>
      <c r="K170" s="2">
        <f>COUNTIF(Eingabe[GES],HäufigsteErgebnisse[[#This Row],[Zahl]])</f>
        <v>0</v>
      </c>
      <c r="L170" s="2">
        <f>HäufigsteErgebnisse[[#This Row],[Zahl]]</f>
        <v>112</v>
      </c>
    </row>
    <row r="171" spans="2:12" x14ac:dyDescent="0.3">
      <c r="B171" s="2">
        <v>113</v>
      </c>
      <c r="C171" s="2">
        <f>COUNTIF(Eingabe[Volle],HäufigsteErgebnisse[[#This Row],[Zahl]])</f>
        <v>0</v>
      </c>
      <c r="D171" s="2">
        <f>COUNTIF(Eingabe[Räumer],HäufigsteErgebnisse[[#This Row],[Zahl]])</f>
        <v>0</v>
      </c>
      <c r="E171" s="2">
        <f>COUNTIF(Eingabe[Fehler],HäufigsteErgebnisse[[#This Row],[Zahl]])</f>
        <v>0</v>
      </c>
      <c r="F171" s="2">
        <f>COUNTIF(Eingabe[S1],HäufigsteErgebnisse[[#This Row],[Zahl]])</f>
        <v>5</v>
      </c>
      <c r="G171" s="2">
        <f>COUNTIF(Eingabe[S2],HäufigsteErgebnisse[[#This Row],[Zahl]])</f>
        <v>5</v>
      </c>
      <c r="H171" s="2">
        <f>COUNTIF(Eingabe[S3],HäufigsteErgebnisse[[#This Row],[Zahl]])</f>
        <v>1</v>
      </c>
      <c r="I171" s="2">
        <f>COUNTIF(Eingabe[S4],HäufigsteErgebnisse[[#This Row],[Zahl]])</f>
        <v>1</v>
      </c>
      <c r="J171" s="2">
        <f>COUNTIF(Eingabe[S1],HäufigsteErgebnisse[[#This Row],[Zahl]])+COUNTIF(Eingabe[S2],HäufigsteErgebnisse[[#This Row],[Zahl]])+COUNTIF(Eingabe[S3],HäufigsteErgebnisse[[#This Row],[Zahl]])+COUNTIF(Eingabe[S4],HäufigsteErgebnisse[[#This Row],[Zahl]])</f>
        <v>12</v>
      </c>
      <c r="K171" s="2">
        <f>COUNTIF(Eingabe[GES],HäufigsteErgebnisse[[#This Row],[Zahl]])</f>
        <v>0</v>
      </c>
      <c r="L171" s="2">
        <f>HäufigsteErgebnisse[[#This Row],[Zahl]]</f>
        <v>113</v>
      </c>
    </row>
    <row r="172" spans="2:12" x14ac:dyDescent="0.3">
      <c r="B172" s="2">
        <v>114</v>
      </c>
      <c r="C172" s="2">
        <f>COUNTIF(Eingabe[Volle],HäufigsteErgebnisse[[#This Row],[Zahl]])</f>
        <v>0</v>
      </c>
      <c r="D172" s="2">
        <f>COUNTIF(Eingabe[Räumer],HäufigsteErgebnisse[[#This Row],[Zahl]])</f>
        <v>1</v>
      </c>
      <c r="E172" s="2">
        <f>COUNTIF(Eingabe[Fehler],HäufigsteErgebnisse[[#This Row],[Zahl]])</f>
        <v>0</v>
      </c>
      <c r="F172" s="2">
        <f>COUNTIF(Eingabe[S1],HäufigsteErgebnisse[[#This Row],[Zahl]])</f>
        <v>4</v>
      </c>
      <c r="G172" s="2">
        <f>COUNTIF(Eingabe[S2],HäufigsteErgebnisse[[#This Row],[Zahl]])</f>
        <v>0</v>
      </c>
      <c r="H172" s="2">
        <f>COUNTIF(Eingabe[S3],HäufigsteErgebnisse[[#This Row],[Zahl]])</f>
        <v>4</v>
      </c>
      <c r="I172" s="2">
        <f>COUNTIF(Eingabe[S4],HäufigsteErgebnisse[[#This Row],[Zahl]])</f>
        <v>4</v>
      </c>
      <c r="J172" s="2">
        <f>COUNTIF(Eingabe[S1],HäufigsteErgebnisse[[#This Row],[Zahl]])+COUNTIF(Eingabe[S2],HäufigsteErgebnisse[[#This Row],[Zahl]])+COUNTIF(Eingabe[S3],HäufigsteErgebnisse[[#This Row],[Zahl]])+COUNTIF(Eingabe[S4],HäufigsteErgebnisse[[#This Row],[Zahl]])</f>
        <v>12</v>
      </c>
      <c r="K172" s="2">
        <f>COUNTIF(Eingabe[GES],HäufigsteErgebnisse[[#This Row],[Zahl]])</f>
        <v>0</v>
      </c>
      <c r="L172" s="2">
        <f>HäufigsteErgebnisse[[#This Row],[Zahl]]</f>
        <v>114</v>
      </c>
    </row>
    <row r="173" spans="2:12" x14ac:dyDescent="0.3">
      <c r="B173" s="2">
        <v>115</v>
      </c>
      <c r="C173" s="2">
        <f>COUNTIF(Eingabe[Volle],HäufigsteErgebnisse[[#This Row],[Zahl]])</f>
        <v>0</v>
      </c>
      <c r="D173" s="2">
        <f>COUNTIF(Eingabe[Räumer],HäufigsteErgebnisse[[#This Row],[Zahl]])</f>
        <v>2</v>
      </c>
      <c r="E173" s="2">
        <f>COUNTIF(Eingabe[Fehler],HäufigsteErgebnisse[[#This Row],[Zahl]])</f>
        <v>0</v>
      </c>
      <c r="F173" s="2">
        <f>COUNTIF(Eingabe[S1],HäufigsteErgebnisse[[#This Row],[Zahl]])</f>
        <v>2</v>
      </c>
      <c r="G173" s="2">
        <f>COUNTIF(Eingabe[S2],HäufigsteErgebnisse[[#This Row],[Zahl]])</f>
        <v>3</v>
      </c>
      <c r="H173" s="2">
        <f>COUNTIF(Eingabe[S3],HäufigsteErgebnisse[[#This Row],[Zahl]])</f>
        <v>8</v>
      </c>
      <c r="I173" s="2">
        <f>COUNTIF(Eingabe[S4],HäufigsteErgebnisse[[#This Row],[Zahl]])</f>
        <v>3</v>
      </c>
      <c r="J173" s="2">
        <f>COUNTIF(Eingabe[S1],HäufigsteErgebnisse[[#This Row],[Zahl]])+COUNTIF(Eingabe[S2],HäufigsteErgebnisse[[#This Row],[Zahl]])+COUNTIF(Eingabe[S3],HäufigsteErgebnisse[[#This Row],[Zahl]])+COUNTIF(Eingabe[S4],HäufigsteErgebnisse[[#This Row],[Zahl]])</f>
        <v>16</v>
      </c>
      <c r="K173" s="2">
        <f>COUNTIF(Eingabe[GES],HäufigsteErgebnisse[[#This Row],[Zahl]])</f>
        <v>0</v>
      </c>
      <c r="L173" s="2">
        <f>HäufigsteErgebnisse[[#This Row],[Zahl]]</f>
        <v>115</v>
      </c>
    </row>
    <row r="174" spans="2:12" x14ac:dyDescent="0.3">
      <c r="B174" s="2">
        <v>116</v>
      </c>
      <c r="C174" s="2">
        <f>COUNTIF(Eingabe[Volle],HäufigsteErgebnisse[[#This Row],[Zahl]])</f>
        <v>0</v>
      </c>
      <c r="D174" s="2">
        <f>COUNTIF(Eingabe[Räumer],HäufigsteErgebnisse[[#This Row],[Zahl]])</f>
        <v>0</v>
      </c>
      <c r="E174" s="2">
        <f>COUNTIF(Eingabe[Fehler],HäufigsteErgebnisse[[#This Row],[Zahl]])</f>
        <v>0</v>
      </c>
      <c r="F174" s="2">
        <f>COUNTIF(Eingabe[S1],HäufigsteErgebnisse[[#This Row],[Zahl]])</f>
        <v>9</v>
      </c>
      <c r="G174" s="2">
        <f>COUNTIF(Eingabe[S2],HäufigsteErgebnisse[[#This Row],[Zahl]])</f>
        <v>8</v>
      </c>
      <c r="H174" s="2">
        <f>COUNTIF(Eingabe[S3],HäufigsteErgebnisse[[#This Row],[Zahl]])</f>
        <v>7</v>
      </c>
      <c r="I174" s="2">
        <f>COUNTIF(Eingabe[S4],HäufigsteErgebnisse[[#This Row],[Zahl]])</f>
        <v>8</v>
      </c>
      <c r="J174" s="2">
        <f>COUNTIF(Eingabe[S1],HäufigsteErgebnisse[[#This Row],[Zahl]])+COUNTIF(Eingabe[S2],HäufigsteErgebnisse[[#This Row],[Zahl]])+COUNTIF(Eingabe[S3],HäufigsteErgebnisse[[#This Row],[Zahl]])+COUNTIF(Eingabe[S4],HäufigsteErgebnisse[[#This Row],[Zahl]])</f>
        <v>32</v>
      </c>
      <c r="K174" s="2">
        <f>COUNTIF(Eingabe[GES],HäufigsteErgebnisse[[#This Row],[Zahl]])</f>
        <v>0</v>
      </c>
      <c r="L174" s="2">
        <f>HäufigsteErgebnisse[[#This Row],[Zahl]]</f>
        <v>116</v>
      </c>
    </row>
    <row r="175" spans="2:12" x14ac:dyDescent="0.3">
      <c r="B175" s="2">
        <v>117</v>
      </c>
      <c r="C175" s="2">
        <f>COUNTIF(Eingabe[Volle],HäufigsteErgebnisse[[#This Row],[Zahl]])</f>
        <v>0</v>
      </c>
      <c r="D175" s="2">
        <f>COUNTIF(Eingabe[Räumer],HäufigsteErgebnisse[[#This Row],[Zahl]])</f>
        <v>1</v>
      </c>
      <c r="E175" s="2">
        <f>COUNTIF(Eingabe[Fehler],HäufigsteErgebnisse[[#This Row],[Zahl]])</f>
        <v>0</v>
      </c>
      <c r="F175" s="2">
        <f>COUNTIF(Eingabe[S1],HäufigsteErgebnisse[[#This Row],[Zahl]])</f>
        <v>3</v>
      </c>
      <c r="G175" s="2">
        <f>COUNTIF(Eingabe[S2],HäufigsteErgebnisse[[#This Row],[Zahl]])</f>
        <v>3</v>
      </c>
      <c r="H175" s="2">
        <f>COUNTIF(Eingabe[S3],HäufigsteErgebnisse[[#This Row],[Zahl]])</f>
        <v>7</v>
      </c>
      <c r="I175" s="2">
        <f>COUNTIF(Eingabe[S4],HäufigsteErgebnisse[[#This Row],[Zahl]])</f>
        <v>7</v>
      </c>
      <c r="J175" s="2">
        <f>COUNTIF(Eingabe[S1],HäufigsteErgebnisse[[#This Row],[Zahl]])+COUNTIF(Eingabe[S2],HäufigsteErgebnisse[[#This Row],[Zahl]])+COUNTIF(Eingabe[S3],HäufigsteErgebnisse[[#This Row],[Zahl]])+COUNTIF(Eingabe[S4],HäufigsteErgebnisse[[#This Row],[Zahl]])</f>
        <v>20</v>
      </c>
      <c r="K175" s="2">
        <f>COUNTIF(Eingabe[GES],HäufigsteErgebnisse[[#This Row],[Zahl]])</f>
        <v>0</v>
      </c>
      <c r="L175" s="2">
        <f>HäufigsteErgebnisse[[#This Row],[Zahl]]</f>
        <v>117</v>
      </c>
    </row>
    <row r="176" spans="2:12" x14ac:dyDescent="0.3">
      <c r="B176" s="2">
        <v>118</v>
      </c>
      <c r="C176" s="2">
        <f>COUNTIF(Eingabe[Volle],HäufigsteErgebnisse[[#This Row],[Zahl]])</f>
        <v>0</v>
      </c>
      <c r="D176" s="2">
        <f>COUNTIF(Eingabe[Räumer],HäufigsteErgebnisse[[#This Row],[Zahl]])</f>
        <v>1</v>
      </c>
      <c r="E176" s="2">
        <f>COUNTIF(Eingabe[Fehler],HäufigsteErgebnisse[[#This Row],[Zahl]])</f>
        <v>0</v>
      </c>
      <c r="F176" s="2">
        <f>COUNTIF(Eingabe[S1],HäufigsteErgebnisse[[#This Row],[Zahl]])</f>
        <v>4</v>
      </c>
      <c r="G176" s="2">
        <f>COUNTIF(Eingabe[S2],HäufigsteErgebnisse[[#This Row],[Zahl]])</f>
        <v>6</v>
      </c>
      <c r="H176" s="2">
        <f>COUNTIF(Eingabe[S3],HäufigsteErgebnisse[[#This Row],[Zahl]])</f>
        <v>6</v>
      </c>
      <c r="I176" s="2">
        <f>COUNTIF(Eingabe[S4],HäufigsteErgebnisse[[#This Row],[Zahl]])</f>
        <v>6</v>
      </c>
      <c r="J176" s="2">
        <f>COUNTIF(Eingabe[S1],HäufigsteErgebnisse[[#This Row],[Zahl]])+COUNTIF(Eingabe[S2],HäufigsteErgebnisse[[#This Row],[Zahl]])+COUNTIF(Eingabe[S3],HäufigsteErgebnisse[[#This Row],[Zahl]])+COUNTIF(Eingabe[S4],HäufigsteErgebnisse[[#This Row],[Zahl]])</f>
        <v>22</v>
      </c>
      <c r="K176" s="2">
        <f>COUNTIF(Eingabe[GES],HäufigsteErgebnisse[[#This Row],[Zahl]])</f>
        <v>0</v>
      </c>
      <c r="L176" s="2">
        <f>HäufigsteErgebnisse[[#This Row],[Zahl]]</f>
        <v>118</v>
      </c>
    </row>
    <row r="177" spans="2:12" x14ac:dyDescent="0.3">
      <c r="B177" s="2">
        <v>119</v>
      </c>
      <c r="C177" s="2">
        <f>COUNTIF(Eingabe[Volle],HäufigsteErgebnisse[[#This Row],[Zahl]])</f>
        <v>0</v>
      </c>
      <c r="D177" s="2">
        <f>COUNTIF(Eingabe[Räumer],HäufigsteErgebnisse[[#This Row],[Zahl]])</f>
        <v>1</v>
      </c>
      <c r="E177" s="2">
        <f>COUNTIF(Eingabe[Fehler],HäufigsteErgebnisse[[#This Row],[Zahl]])</f>
        <v>0</v>
      </c>
      <c r="F177" s="2">
        <f>COUNTIF(Eingabe[S1],HäufigsteErgebnisse[[#This Row],[Zahl]])</f>
        <v>10</v>
      </c>
      <c r="G177" s="2">
        <f>COUNTIF(Eingabe[S2],HäufigsteErgebnisse[[#This Row],[Zahl]])</f>
        <v>10</v>
      </c>
      <c r="H177" s="2">
        <f>COUNTIF(Eingabe[S3],HäufigsteErgebnisse[[#This Row],[Zahl]])</f>
        <v>8</v>
      </c>
      <c r="I177" s="2">
        <f>COUNTIF(Eingabe[S4],HäufigsteErgebnisse[[#This Row],[Zahl]])</f>
        <v>3</v>
      </c>
      <c r="J177" s="2">
        <f>COUNTIF(Eingabe[S1],HäufigsteErgebnisse[[#This Row],[Zahl]])+COUNTIF(Eingabe[S2],HäufigsteErgebnisse[[#This Row],[Zahl]])+COUNTIF(Eingabe[S3],HäufigsteErgebnisse[[#This Row],[Zahl]])+COUNTIF(Eingabe[S4],HäufigsteErgebnisse[[#This Row],[Zahl]])</f>
        <v>31</v>
      </c>
      <c r="K177" s="2">
        <f>COUNTIF(Eingabe[GES],HäufigsteErgebnisse[[#This Row],[Zahl]])</f>
        <v>0</v>
      </c>
      <c r="L177" s="2">
        <f>HäufigsteErgebnisse[[#This Row],[Zahl]]</f>
        <v>119</v>
      </c>
    </row>
    <row r="178" spans="2:12" x14ac:dyDescent="0.3">
      <c r="B178" s="2">
        <v>120</v>
      </c>
      <c r="C178" s="2">
        <f>COUNTIF(Eingabe[Volle],HäufigsteErgebnisse[[#This Row],[Zahl]])</f>
        <v>0</v>
      </c>
      <c r="D178" s="2">
        <f>COUNTIF(Eingabe[Räumer],HäufigsteErgebnisse[[#This Row],[Zahl]])</f>
        <v>1</v>
      </c>
      <c r="E178" s="2">
        <f>COUNTIF(Eingabe[Fehler],HäufigsteErgebnisse[[#This Row],[Zahl]])</f>
        <v>0</v>
      </c>
      <c r="F178" s="2">
        <f>COUNTIF(Eingabe[S1],HäufigsteErgebnisse[[#This Row],[Zahl]])</f>
        <v>3</v>
      </c>
      <c r="G178" s="2">
        <f>COUNTIF(Eingabe[S2],HäufigsteErgebnisse[[#This Row],[Zahl]])</f>
        <v>6</v>
      </c>
      <c r="H178" s="2">
        <f>COUNTIF(Eingabe[S3],HäufigsteErgebnisse[[#This Row],[Zahl]])</f>
        <v>5</v>
      </c>
      <c r="I178" s="2">
        <f>COUNTIF(Eingabe[S4],HäufigsteErgebnisse[[#This Row],[Zahl]])</f>
        <v>6</v>
      </c>
      <c r="J178" s="2">
        <f>COUNTIF(Eingabe[S1],HäufigsteErgebnisse[[#This Row],[Zahl]])+COUNTIF(Eingabe[S2],HäufigsteErgebnisse[[#This Row],[Zahl]])+COUNTIF(Eingabe[S3],HäufigsteErgebnisse[[#This Row],[Zahl]])+COUNTIF(Eingabe[S4],HäufigsteErgebnisse[[#This Row],[Zahl]])</f>
        <v>20</v>
      </c>
      <c r="K178" s="2">
        <f>COUNTIF(Eingabe[GES],HäufigsteErgebnisse[[#This Row],[Zahl]])</f>
        <v>0</v>
      </c>
      <c r="L178" s="2">
        <f>HäufigsteErgebnisse[[#This Row],[Zahl]]</f>
        <v>120</v>
      </c>
    </row>
    <row r="179" spans="2:12" x14ac:dyDescent="0.3">
      <c r="B179" s="2">
        <v>121</v>
      </c>
      <c r="C179" s="2">
        <f>COUNTIF(Eingabe[Volle],HäufigsteErgebnisse[[#This Row],[Zahl]])</f>
        <v>0</v>
      </c>
      <c r="D179" s="2">
        <f>COUNTIF(Eingabe[Räumer],HäufigsteErgebnisse[[#This Row],[Zahl]])</f>
        <v>1</v>
      </c>
      <c r="E179" s="2">
        <f>COUNTIF(Eingabe[Fehler],HäufigsteErgebnisse[[#This Row],[Zahl]])</f>
        <v>0</v>
      </c>
      <c r="F179" s="2">
        <f>COUNTIF(Eingabe[S1],HäufigsteErgebnisse[[#This Row],[Zahl]])</f>
        <v>6</v>
      </c>
      <c r="G179" s="2">
        <f>COUNTIF(Eingabe[S2],HäufigsteErgebnisse[[#This Row],[Zahl]])</f>
        <v>6</v>
      </c>
      <c r="H179" s="2">
        <f>COUNTIF(Eingabe[S3],HäufigsteErgebnisse[[#This Row],[Zahl]])</f>
        <v>8</v>
      </c>
      <c r="I179" s="2">
        <f>COUNTIF(Eingabe[S4],HäufigsteErgebnisse[[#This Row],[Zahl]])</f>
        <v>6</v>
      </c>
      <c r="J179" s="2">
        <f>COUNTIF(Eingabe[S1],HäufigsteErgebnisse[[#This Row],[Zahl]])+COUNTIF(Eingabe[S2],HäufigsteErgebnisse[[#This Row],[Zahl]])+COUNTIF(Eingabe[S3],HäufigsteErgebnisse[[#This Row],[Zahl]])+COUNTIF(Eingabe[S4],HäufigsteErgebnisse[[#This Row],[Zahl]])</f>
        <v>26</v>
      </c>
      <c r="K179" s="2">
        <f>COUNTIF(Eingabe[GES],HäufigsteErgebnisse[[#This Row],[Zahl]])</f>
        <v>0</v>
      </c>
      <c r="L179" s="2">
        <f>HäufigsteErgebnisse[[#This Row],[Zahl]]</f>
        <v>121</v>
      </c>
    </row>
    <row r="180" spans="2:12" x14ac:dyDescent="0.3">
      <c r="B180" s="2">
        <v>122</v>
      </c>
      <c r="C180" s="2">
        <f>COUNTIF(Eingabe[Volle],HäufigsteErgebnisse[[#This Row],[Zahl]])</f>
        <v>0</v>
      </c>
      <c r="D180" s="2">
        <f>COUNTIF(Eingabe[Räumer],HäufigsteErgebnisse[[#This Row],[Zahl]])</f>
        <v>0</v>
      </c>
      <c r="E180" s="2">
        <f>COUNTIF(Eingabe[Fehler],HäufigsteErgebnisse[[#This Row],[Zahl]])</f>
        <v>0</v>
      </c>
      <c r="F180" s="2">
        <f>COUNTIF(Eingabe[S1],HäufigsteErgebnisse[[#This Row],[Zahl]])</f>
        <v>8</v>
      </c>
      <c r="G180" s="2">
        <f>COUNTIF(Eingabe[S2],HäufigsteErgebnisse[[#This Row],[Zahl]])</f>
        <v>6</v>
      </c>
      <c r="H180" s="2">
        <f>COUNTIF(Eingabe[S3],HäufigsteErgebnisse[[#This Row],[Zahl]])</f>
        <v>5</v>
      </c>
      <c r="I180" s="2">
        <f>COUNTIF(Eingabe[S4],HäufigsteErgebnisse[[#This Row],[Zahl]])</f>
        <v>8</v>
      </c>
      <c r="J180" s="2">
        <f>COUNTIF(Eingabe[S1],HäufigsteErgebnisse[[#This Row],[Zahl]])+COUNTIF(Eingabe[S2],HäufigsteErgebnisse[[#This Row],[Zahl]])+COUNTIF(Eingabe[S3],HäufigsteErgebnisse[[#This Row],[Zahl]])+COUNTIF(Eingabe[S4],HäufigsteErgebnisse[[#This Row],[Zahl]])</f>
        <v>27</v>
      </c>
      <c r="K180" s="2">
        <f>COUNTIF(Eingabe[GES],HäufigsteErgebnisse[[#This Row],[Zahl]])</f>
        <v>0</v>
      </c>
      <c r="L180" s="2">
        <f>HäufigsteErgebnisse[[#This Row],[Zahl]]</f>
        <v>122</v>
      </c>
    </row>
    <row r="181" spans="2:12" x14ac:dyDescent="0.3">
      <c r="B181" s="2">
        <v>123</v>
      </c>
      <c r="C181" s="2">
        <f>COUNTIF(Eingabe[Volle],HäufigsteErgebnisse[[#This Row],[Zahl]])</f>
        <v>0</v>
      </c>
      <c r="D181" s="2">
        <f>COUNTIF(Eingabe[Räumer],HäufigsteErgebnisse[[#This Row],[Zahl]])</f>
        <v>4</v>
      </c>
      <c r="E181" s="2">
        <f>COUNTIF(Eingabe[Fehler],HäufigsteErgebnisse[[#This Row],[Zahl]])</f>
        <v>0</v>
      </c>
      <c r="F181" s="2">
        <f>COUNTIF(Eingabe[S1],HäufigsteErgebnisse[[#This Row],[Zahl]])</f>
        <v>8</v>
      </c>
      <c r="G181" s="2">
        <f>COUNTIF(Eingabe[S2],HäufigsteErgebnisse[[#This Row],[Zahl]])</f>
        <v>7</v>
      </c>
      <c r="H181" s="2">
        <f>COUNTIF(Eingabe[S3],HäufigsteErgebnisse[[#This Row],[Zahl]])</f>
        <v>6</v>
      </c>
      <c r="I181" s="2">
        <f>COUNTIF(Eingabe[S4],HäufigsteErgebnisse[[#This Row],[Zahl]])</f>
        <v>4</v>
      </c>
      <c r="J181" s="2">
        <f>COUNTIF(Eingabe[S1],HäufigsteErgebnisse[[#This Row],[Zahl]])+COUNTIF(Eingabe[S2],HäufigsteErgebnisse[[#This Row],[Zahl]])+COUNTIF(Eingabe[S3],HäufigsteErgebnisse[[#This Row],[Zahl]])+COUNTIF(Eingabe[S4],HäufigsteErgebnisse[[#This Row],[Zahl]])</f>
        <v>25</v>
      </c>
      <c r="K181" s="2">
        <f>COUNTIF(Eingabe[GES],HäufigsteErgebnisse[[#This Row],[Zahl]])</f>
        <v>0</v>
      </c>
      <c r="L181" s="2">
        <f>HäufigsteErgebnisse[[#This Row],[Zahl]]</f>
        <v>123</v>
      </c>
    </row>
    <row r="182" spans="2:12" x14ac:dyDescent="0.3">
      <c r="B182" s="2">
        <v>124</v>
      </c>
      <c r="C182" s="2">
        <f>COUNTIF(Eingabe[Volle],HäufigsteErgebnisse[[#This Row],[Zahl]])</f>
        <v>0</v>
      </c>
      <c r="D182" s="2">
        <f>COUNTIF(Eingabe[Räumer],HäufigsteErgebnisse[[#This Row],[Zahl]])</f>
        <v>0</v>
      </c>
      <c r="E182" s="2">
        <f>COUNTIF(Eingabe[Fehler],HäufigsteErgebnisse[[#This Row],[Zahl]])</f>
        <v>0</v>
      </c>
      <c r="F182" s="2">
        <f>COUNTIF(Eingabe[S1],HäufigsteErgebnisse[[#This Row],[Zahl]])</f>
        <v>3</v>
      </c>
      <c r="G182" s="2">
        <f>COUNTIF(Eingabe[S2],HäufigsteErgebnisse[[#This Row],[Zahl]])</f>
        <v>9</v>
      </c>
      <c r="H182" s="2">
        <f>COUNTIF(Eingabe[S3],HäufigsteErgebnisse[[#This Row],[Zahl]])</f>
        <v>6</v>
      </c>
      <c r="I182" s="2">
        <f>COUNTIF(Eingabe[S4],HäufigsteErgebnisse[[#This Row],[Zahl]])</f>
        <v>7</v>
      </c>
      <c r="J182" s="2">
        <f>COUNTIF(Eingabe[S1],HäufigsteErgebnisse[[#This Row],[Zahl]])+COUNTIF(Eingabe[S2],HäufigsteErgebnisse[[#This Row],[Zahl]])+COUNTIF(Eingabe[S3],HäufigsteErgebnisse[[#This Row],[Zahl]])+COUNTIF(Eingabe[S4],HäufigsteErgebnisse[[#This Row],[Zahl]])</f>
        <v>25</v>
      </c>
      <c r="K182" s="2">
        <f>COUNTIF(Eingabe[GES],HäufigsteErgebnisse[[#This Row],[Zahl]])</f>
        <v>0</v>
      </c>
      <c r="L182" s="2">
        <f>HäufigsteErgebnisse[[#This Row],[Zahl]]</f>
        <v>124</v>
      </c>
    </row>
    <row r="183" spans="2:12" x14ac:dyDescent="0.3">
      <c r="B183" s="2">
        <v>125</v>
      </c>
      <c r="C183" s="2">
        <f>COUNTIF(Eingabe[Volle],HäufigsteErgebnisse[[#This Row],[Zahl]])</f>
        <v>0</v>
      </c>
      <c r="D183" s="2">
        <f>COUNTIF(Eingabe[Räumer],HäufigsteErgebnisse[[#This Row],[Zahl]])</f>
        <v>3</v>
      </c>
      <c r="E183" s="2">
        <f>COUNTIF(Eingabe[Fehler],HäufigsteErgebnisse[[#This Row],[Zahl]])</f>
        <v>0</v>
      </c>
      <c r="F183" s="2">
        <f>COUNTIF(Eingabe[S1],HäufigsteErgebnisse[[#This Row],[Zahl]])</f>
        <v>9</v>
      </c>
      <c r="G183" s="2">
        <f>COUNTIF(Eingabe[S2],HäufigsteErgebnisse[[#This Row],[Zahl]])</f>
        <v>13</v>
      </c>
      <c r="H183" s="2">
        <f>COUNTIF(Eingabe[S3],HäufigsteErgebnisse[[#This Row],[Zahl]])</f>
        <v>8</v>
      </c>
      <c r="I183" s="2">
        <f>COUNTIF(Eingabe[S4],HäufigsteErgebnisse[[#This Row],[Zahl]])</f>
        <v>12</v>
      </c>
      <c r="J183" s="2">
        <f>COUNTIF(Eingabe[S1],HäufigsteErgebnisse[[#This Row],[Zahl]])+COUNTIF(Eingabe[S2],HäufigsteErgebnisse[[#This Row],[Zahl]])+COUNTIF(Eingabe[S3],HäufigsteErgebnisse[[#This Row],[Zahl]])+COUNTIF(Eingabe[S4],HäufigsteErgebnisse[[#This Row],[Zahl]])</f>
        <v>42</v>
      </c>
      <c r="K183" s="2">
        <f>COUNTIF(Eingabe[GES],HäufigsteErgebnisse[[#This Row],[Zahl]])</f>
        <v>0</v>
      </c>
      <c r="L183" s="2">
        <f>HäufigsteErgebnisse[[#This Row],[Zahl]]</f>
        <v>125</v>
      </c>
    </row>
    <row r="184" spans="2:12" x14ac:dyDescent="0.3">
      <c r="B184" s="2">
        <v>126</v>
      </c>
      <c r="C184" s="2">
        <f>COUNTIF(Eingabe[Volle],HäufigsteErgebnisse[[#This Row],[Zahl]])</f>
        <v>0</v>
      </c>
      <c r="D184" s="2">
        <f>COUNTIF(Eingabe[Räumer],HäufigsteErgebnisse[[#This Row],[Zahl]])</f>
        <v>0</v>
      </c>
      <c r="E184" s="2">
        <f>COUNTIF(Eingabe[Fehler],HäufigsteErgebnisse[[#This Row],[Zahl]])</f>
        <v>0</v>
      </c>
      <c r="F184" s="2">
        <f>COUNTIF(Eingabe[S1],HäufigsteErgebnisse[[#This Row],[Zahl]])</f>
        <v>6</v>
      </c>
      <c r="G184" s="2">
        <f>COUNTIF(Eingabe[S2],HäufigsteErgebnisse[[#This Row],[Zahl]])</f>
        <v>14</v>
      </c>
      <c r="H184" s="2">
        <f>COUNTIF(Eingabe[S3],HäufigsteErgebnisse[[#This Row],[Zahl]])</f>
        <v>10</v>
      </c>
      <c r="I184" s="2">
        <f>COUNTIF(Eingabe[S4],HäufigsteErgebnisse[[#This Row],[Zahl]])</f>
        <v>8</v>
      </c>
      <c r="J184" s="2">
        <f>COUNTIF(Eingabe[S1],HäufigsteErgebnisse[[#This Row],[Zahl]])+COUNTIF(Eingabe[S2],HäufigsteErgebnisse[[#This Row],[Zahl]])+COUNTIF(Eingabe[S3],HäufigsteErgebnisse[[#This Row],[Zahl]])+COUNTIF(Eingabe[S4],HäufigsteErgebnisse[[#This Row],[Zahl]])</f>
        <v>38</v>
      </c>
      <c r="K184" s="2">
        <f>COUNTIF(Eingabe[GES],HäufigsteErgebnisse[[#This Row],[Zahl]])</f>
        <v>0</v>
      </c>
      <c r="L184" s="2">
        <f>HäufigsteErgebnisse[[#This Row],[Zahl]]</f>
        <v>126</v>
      </c>
    </row>
    <row r="185" spans="2:12" x14ac:dyDescent="0.3">
      <c r="B185" s="2">
        <v>127</v>
      </c>
      <c r="C185" s="2">
        <f>COUNTIF(Eingabe[Volle],HäufigsteErgebnisse[[#This Row],[Zahl]])</f>
        <v>0</v>
      </c>
      <c r="D185" s="2">
        <f>COUNTIF(Eingabe[Räumer],HäufigsteErgebnisse[[#This Row],[Zahl]])</f>
        <v>4</v>
      </c>
      <c r="E185" s="2">
        <f>COUNTIF(Eingabe[Fehler],HäufigsteErgebnisse[[#This Row],[Zahl]])</f>
        <v>0</v>
      </c>
      <c r="F185" s="2">
        <f>COUNTIF(Eingabe[S1],HäufigsteErgebnisse[[#This Row],[Zahl]])</f>
        <v>11</v>
      </c>
      <c r="G185" s="2">
        <f>COUNTIF(Eingabe[S2],HäufigsteErgebnisse[[#This Row],[Zahl]])</f>
        <v>21</v>
      </c>
      <c r="H185" s="2">
        <f>COUNTIF(Eingabe[S3],HäufigsteErgebnisse[[#This Row],[Zahl]])</f>
        <v>3</v>
      </c>
      <c r="I185" s="2">
        <f>COUNTIF(Eingabe[S4],HäufigsteErgebnisse[[#This Row],[Zahl]])</f>
        <v>10</v>
      </c>
      <c r="J185" s="2">
        <f>COUNTIF(Eingabe[S1],HäufigsteErgebnisse[[#This Row],[Zahl]])+COUNTIF(Eingabe[S2],HäufigsteErgebnisse[[#This Row],[Zahl]])+COUNTIF(Eingabe[S3],HäufigsteErgebnisse[[#This Row],[Zahl]])+COUNTIF(Eingabe[S4],HäufigsteErgebnisse[[#This Row],[Zahl]])</f>
        <v>45</v>
      </c>
      <c r="K185" s="2">
        <f>COUNTIF(Eingabe[GES],HäufigsteErgebnisse[[#This Row],[Zahl]])</f>
        <v>0</v>
      </c>
      <c r="L185" s="2">
        <f>HäufigsteErgebnisse[[#This Row],[Zahl]]</f>
        <v>127</v>
      </c>
    </row>
    <row r="186" spans="2:12" x14ac:dyDescent="0.3">
      <c r="B186" s="2">
        <v>128</v>
      </c>
      <c r="C186" s="2">
        <f>COUNTIF(Eingabe[Volle],HäufigsteErgebnisse[[#This Row],[Zahl]])</f>
        <v>0</v>
      </c>
      <c r="D186" s="2">
        <f>COUNTIF(Eingabe[Räumer],HäufigsteErgebnisse[[#This Row],[Zahl]])</f>
        <v>1</v>
      </c>
      <c r="E186" s="2">
        <f>COUNTIF(Eingabe[Fehler],HäufigsteErgebnisse[[#This Row],[Zahl]])</f>
        <v>0</v>
      </c>
      <c r="F186" s="2">
        <f>COUNTIF(Eingabe[S1],HäufigsteErgebnisse[[#This Row],[Zahl]])</f>
        <v>8</v>
      </c>
      <c r="G186" s="2">
        <f>COUNTIF(Eingabe[S2],HäufigsteErgebnisse[[#This Row],[Zahl]])</f>
        <v>5</v>
      </c>
      <c r="H186" s="2">
        <f>COUNTIF(Eingabe[S3],HäufigsteErgebnisse[[#This Row],[Zahl]])</f>
        <v>7</v>
      </c>
      <c r="I186" s="2">
        <f>COUNTIF(Eingabe[S4],HäufigsteErgebnisse[[#This Row],[Zahl]])</f>
        <v>8</v>
      </c>
      <c r="J186" s="2">
        <f>COUNTIF(Eingabe[S1],HäufigsteErgebnisse[[#This Row],[Zahl]])+COUNTIF(Eingabe[S2],HäufigsteErgebnisse[[#This Row],[Zahl]])+COUNTIF(Eingabe[S3],HäufigsteErgebnisse[[#This Row],[Zahl]])+COUNTIF(Eingabe[S4],HäufigsteErgebnisse[[#This Row],[Zahl]])</f>
        <v>28</v>
      </c>
      <c r="K186" s="2">
        <f>COUNTIF(Eingabe[GES],HäufigsteErgebnisse[[#This Row],[Zahl]])</f>
        <v>0</v>
      </c>
      <c r="L186" s="2">
        <f>HäufigsteErgebnisse[[#This Row],[Zahl]]</f>
        <v>128</v>
      </c>
    </row>
    <row r="187" spans="2:12" x14ac:dyDescent="0.3">
      <c r="B187" s="2">
        <v>129</v>
      </c>
      <c r="C187" s="2">
        <f>COUNTIF(Eingabe[Volle],HäufigsteErgebnisse[[#This Row],[Zahl]])</f>
        <v>0</v>
      </c>
      <c r="D187" s="2">
        <f>COUNTIF(Eingabe[Räumer],HäufigsteErgebnisse[[#This Row],[Zahl]])</f>
        <v>3</v>
      </c>
      <c r="E187" s="2">
        <f>COUNTIF(Eingabe[Fehler],HäufigsteErgebnisse[[#This Row],[Zahl]])</f>
        <v>0</v>
      </c>
      <c r="F187" s="2">
        <f>COUNTIF(Eingabe[S1],HäufigsteErgebnisse[[#This Row],[Zahl]])</f>
        <v>4</v>
      </c>
      <c r="G187" s="2">
        <f>COUNTIF(Eingabe[S2],HäufigsteErgebnisse[[#This Row],[Zahl]])</f>
        <v>5</v>
      </c>
      <c r="H187" s="2">
        <f>COUNTIF(Eingabe[S3],HäufigsteErgebnisse[[#This Row],[Zahl]])</f>
        <v>10</v>
      </c>
      <c r="I187" s="2">
        <f>COUNTIF(Eingabe[S4],HäufigsteErgebnisse[[#This Row],[Zahl]])</f>
        <v>6</v>
      </c>
      <c r="J187" s="2">
        <f>COUNTIF(Eingabe[S1],HäufigsteErgebnisse[[#This Row],[Zahl]])+COUNTIF(Eingabe[S2],HäufigsteErgebnisse[[#This Row],[Zahl]])+COUNTIF(Eingabe[S3],HäufigsteErgebnisse[[#This Row],[Zahl]])+COUNTIF(Eingabe[S4],HäufigsteErgebnisse[[#This Row],[Zahl]])</f>
        <v>25</v>
      </c>
      <c r="K187" s="2">
        <f>COUNTIF(Eingabe[GES],HäufigsteErgebnisse[[#This Row],[Zahl]])</f>
        <v>0</v>
      </c>
      <c r="L187" s="2">
        <f>HäufigsteErgebnisse[[#This Row],[Zahl]]</f>
        <v>129</v>
      </c>
    </row>
    <row r="188" spans="2:12" x14ac:dyDescent="0.3">
      <c r="B188" s="2">
        <v>130</v>
      </c>
      <c r="C188" s="2">
        <f>COUNTIF(Eingabe[Volle],HäufigsteErgebnisse[[#This Row],[Zahl]])</f>
        <v>0</v>
      </c>
      <c r="D188" s="2">
        <f>COUNTIF(Eingabe[Räumer],HäufigsteErgebnisse[[#This Row],[Zahl]])</f>
        <v>0</v>
      </c>
      <c r="E188" s="2">
        <f>COUNTIF(Eingabe[Fehler],HäufigsteErgebnisse[[#This Row],[Zahl]])</f>
        <v>0</v>
      </c>
      <c r="F188" s="2">
        <f>COUNTIF(Eingabe[S1],HäufigsteErgebnisse[[#This Row],[Zahl]])</f>
        <v>14</v>
      </c>
      <c r="G188" s="2">
        <f>COUNTIF(Eingabe[S2],HäufigsteErgebnisse[[#This Row],[Zahl]])</f>
        <v>6</v>
      </c>
      <c r="H188" s="2">
        <f>COUNTIF(Eingabe[S3],HäufigsteErgebnisse[[#This Row],[Zahl]])</f>
        <v>17</v>
      </c>
      <c r="I188" s="2">
        <f>COUNTIF(Eingabe[S4],HäufigsteErgebnisse[[#This Row],[Zahl]])</f>
        <v>16</v>
      </c>
      <c r="J188" s="2">
        <f>COUNTIF(Eingabe[S1],HäufigsteErgebnisse[[#This Row],[Zahl]])+COUNTIF(Eingabe[S2],HäufigsteErgebnisse[[#This Row],[Zahl]])+COUNTIF(Eingabe[S3],HäufigsteErgebnisse[[#This Row],[Zahl]])+COUNTIF(Eingabe[S4],HäufigsteErgebnisse[[#This Row],[Zahl]])</f>
        <v>53</v>
      </c>
      <c r="K188" s="2">
        <f>COUNTIF(Eingabe[GES],HäufigsteErgebnisse[[#This Row],[Zahl]])</f>
        <v>0</v>
      </c>
      <c r="L188" s="2">
        <f>HäufigsteErgebnisse[[#This Row],[Zahl]]</f>
        <v>130</v>
      </c>
    </row>
    <row r="189" spans="2:12" x14ac:dyDescent="0.3">
      <c r="B189" s="2">
        <v>131</v>
      </c>
      <c r="C189" s="2">
        <f>COUNTIF(Eingabe[Volle],HäufigsteErgebnisse[[#This Row],[Zahl]])</f>
        <v>0</v>
      </c>
      <c r="D189" s="2">
        <f>COUNTIF(Eingabe[Räumer],HäufigsteErgebnisse[[#This Row],[Zahl]])</f>
        <v>0</v>
      </c>
      <c r="E189" s="2">
        <f>COUNTIF(Eingabe[Fehler],HäufigsteErgebnisse[[#This Row],[Zahl]])</f>
        <v>0</v>
      </c>
      <c r="F189" s="2">
        <f>COUNTIF(Eingabe[S1],HäufigsteErgebnisse[[#This Row],[Zahl]])</f>
        <v>9</v>
      </c>
      <c r="G189" s="2">
        <f>COUNTIF(Eingabe[S2],HäufigsteErgebnisse[[#This Row],[Zahl]])</f>
        <v>11</v>
      </c>
      <c r="H189" s="2">
        <f>COUNTIF(Eingabe[S3],HäufigsteErgebnisse[[#This Row],[Zahl]])</f>
        <v>9</v>
      </c>
      <c r="I189" s="2">
        <f>COUNTIF(Eingabe[S4],HäufigsteErgebnisse[[#This Row],[Zahl]])</f>
        <v>9</v>
      </c>
      <c r="J189" s="2">
        <f>COUNTIF(Eingabe[S1],HäufigsteErgebnisse[[#This Row],[Zahl]])+COUNTIF(Eingabe[S2],HäufigsteErgebnisse[[#This Row],[Zahl]])+COUNTIF(Eingabe[S3],HäufigsteErgebnisse[[#This Row],[Zahl]])+COUNTIF(Eingabe[S4],HäufigsteErgebnisse[[#This Row],[Zahl]])</f>
        <v>38</v>
      </c>
      <c r="K189" s="2">
        <f>COUNTIF(Eingabe[GES],HäufigsteErgebnisse[[#This Row],[Zahl]])</f>
        <v>0</v>
      </c>
      <c r="L189" s="2">
        <f>HäufigsteErgebnisse[[#This Row],[Zahl]]</f>
        <v>131</v>
      </c>
    </row>
    <row r="190" spans="2:12" x14ac:dyDescent="0.3">
      <c r="B190" s="2">
        <v>132</v>
      </c>
      <c r="C190" s="2">
        <f>COUNTIF(Eingabe[Volle],HäufigsteErgebnisse[[#This Row],[Zahl]])</f>
        <v>0</v>
      </c>
      <c r="D190" s="2">
        <f>COUNTIF(Eingabe[Räumer],HäufigsteErgebnisse[[#This Row],[Zahl]])</f>
        <v>3</v>
      </c>
      <c r="E190" s="2">
        <f>COUNTIF(Eingabe[Fehler],HäufigsteErgebnisse[[#This Row],[Zahl]])</f>
        <v>0</v>
      </c>
      <c r="F190" s="2">
        <f>COUNTIF(Eingabe[S1],HäufigsteErgebnisse[[#This Row],[Zahl]])</f>
        <v>11</v>
      </c>
      <c r="G190" s="2">
        <f>COUNTIF(Eingabe[S2],HäufigsteErgebnisse[[#This Row],[Zahl]])</f>
        <v>16</v>
      </c>
      <c r="H190" s="2">
        <f>COUNTIF(Eingabe[S3],HäufigsteErgebnisse[[#This Row],[Zahl]])</f>
        <v>9</v>
      </c>
      <c r="I190" s="2">
        <f>COUNTIF(Eingabe[S4],HäufigsteErgebnisse[[#This Row],[Zahl]])</f>
        <v>6</v>
      </c>
      <c r="J190" s="2">
        <f>COUNTIF(Eingabe[S1],HäufigsteErgebnisse[[#This Row],[Zahl]])+COUNTIF(Eingabe[S2],HäufigsteErgebnisse[[#This Row],[Zahl]])+COUNTIF(Eingabe[S3],HäufigsteErgebnisse[[#This Row],[Zahl]])+COUNTIF(Eingabe[S4],HäufigsteErgebnisse[[#This Row],[Zahl]])</f>
        <v>42</v>
      </c>
      <c r="K190" s="2">
        <f>COUNTIF(Eingabe[GES],HäufigsteErgebnisse[[#This Row],[Zahl]])</f>
        <v>0</v>
      </c>
      <c r="L190" s="2">
        <f>HäufigsteErgebnisse[[#This Row],[Zahl]]</f>
        <v>132</v>
      </c>
    </row>
    <row r="191" spans="2:12" x14ac:dyDescent="0.3">
      <c r="B191" s="2">
        <v>133</v>
      </c>
      <c r="C191" s="2">
        <f>COUNTIF(Eingabe[Volle],HäufigsteErgebnisse[[#This Row],[Zahl]])</f>
        <v>0</v>
      </c>
      <c r="D191" s="2">
        <f>COUNTIF(Eingabe[Räumer],HäufigsteErgebnisse[[#This Row],[Zahl]])</f>
        <v>1</v>
      </c>
      <c r="E191" s="2">
        <f>COUNTIF(Eingabe[Fehler],HäufigsteErgebnisse[[#This Row],[Zahl]])</f>
        <v>0</v>
      </c>
      <c r="F191" s="2">
        <f>COUNTIF(Eingabe[S1],HäufigsteErgebnisse[[#This Row],[Zahl]])</f>
        <v>10</v>
      </c>
      <c r="G191" s="2">
        <f>COUNTIF(Eingabe[S2],HäufigsteErgebnisse[[#This Row],[Zahl]])</f>
        <v>7</v>
      </c>
      <c r="H191" s="2">
        <f>COUNTIF(Eingabe[S3],HäufigsteErgebnisse[[#This Row],[Zahl]])</f>
        <v>7</v>
      </c>
      <c r="I191" s="2">
        <f>COUNTIF(Eingabe[S4],HäufigsteErgebnisse[[#This Row],[Zahl]])</f>
        <v>7</v>
      </c>
      <c r="J191" s="2">
        <f>COUNTIF(Eingabe[S1],HäufigsteErgebnisse[[#This Row],[Zahl]])+COUNTIF(Eingabe[S2],HäufigsteErgebnisse[[#This Row],[Zahl]])+COUNTIF(Eingabe[S3],HäufigsteErgebnisse[[#This Row],[Zahl]])+COUNTIF(Eingabe[S4],HäufigsteErgebnisse[[#This Row],[Zahl]])</f>
        <v>31</v>
      </c>
      <c r="K191" s="2">
        <f>COUNTIF(Eingabe[GES],HäufigsteErgebnisse[[#This Row],[Zahl]])</f>
        <v>0</v>
      </c>
      <c r="L191" s="2">
        <f>HäufigsteErgebnisse[[#This Row],[Zahl]]</f>
        <v>133</v>
      </c>
    </row>
    <row r="192" spans="2:12" x14ac:dyDescent="0.3">
      <c r="B192" s="2">
        <v>134</v>
      </c>
      <c r="C192" s="2">
        <f>COUNTIF(Eingabe[Volle],HäufigsteErgebnisse[[#This Row],[Zahl]])</f>
        <v>0</v>
      </c>
      <c r="D192" s="2">
        <f>COUNTIF(Eingabe[Räumer],HäufigsteErgebnisse[[#This Row],[Zahl]])</f>
        <v>2</v>
      </c>
      <c r="E192" s="2">
        <f>COUNTIF(Eingabe[Fehler],HäufigsteErgebnisse[[#This Row],[Zahl]])</f>
        <v>0</v>
      </c>
      <c r="F192" s="2">
        <f>COUNTIF(Eingabe[S1],HäufigsteErgebnisse[[#This Row],[Zahl]])</f>
        <v>7</v>
      </c>
      <c r="G192" s="2">
        <f>COUNTIF(Eingabe[S2],HäufigsteErgebnisse[[#This Row],[Zahl]])</f>
        <v>9</v>
      </c>
      <c r="H192" s="2">
        <f>COUNTIF(Eingabe[S3],HäufigsteErgebnisse[[#This Row],[Zahl]])</f>
        <v>7</v>
      </c>
      <c r="I192" s="2">
        <f>COUNTIF(Eingabe[S4],HäufigsteErgebnisse[[#This Row],[Zahl]])</f>
        <v>8</v>
      </c>
      <c r="J192" s="2">
        <f>COUNTIF(Eingabe[S1],HäufigsteErgebnisse[[#This Row],[Zahl]])+COUNTIF(Eingabe[S2],HäufigsteErgebnisse[[#This Row],[Zahl]])+COUNTIF(Eingabe[S3],HäufigsteErgebnisse[[#This Row],[Zahl]])+COUNTIF(Eingabe[S4],HäufigsteErgebnisse[[#This Row],[Zahl]])</f>
        <v>31</v>
      </c>
      <c r="K192" s="2">
        <f>COUNTIF(Eingabe[GES],HäufigsteErgebnisse[[#This Row],[Zahl]])</f>
        <v>0</v>
      </c>
      <c r="L192" s="2">
        <f>HäufigsteErgebnisse[[#This Row],[Zahl]]</f>
        <v>134</v>
      </c>
    </row>
    <row r="193" spans="2:12" x14ac:dyDescent="0.3">
      <c r="B193" s="2">
        <v>135</v>
      </c>
      <c r="C193" s="2">
        <f>COUNTIF(Eingabe[Volle],HäufigsteErgebnisse[[#This Row],[Zahl]])</f>
        <v>0</v>
      </c>
      <c r="D193" s="2">
        <f>COUNTIF(Eingabe[Räumer],HäufigsteErgebnisse[[#This Row],[Zahl]])</f>
        <v>2</v>
      </c>
      <c r="E193" s="2">
        <f>COUNTIF(Eingabe[Fehler],HäufigsteErgebnisse[[#This Row],[Zahl]])</f>
        <v>0</v>
      </c>
      <c r="F193" s="2">
        <f>COUNTIF(Eingabe[S1],HäufigsteErgebnisse[[#This Row],[Zahl]])</f>
        <v>7</v>
      </c>
      <c r="G193" s="2">
        <f>COUNTIF(Eingabe[S2],HäufigsteErgebnisse[[#This Row],[Zahl]])</f>
        <v>6</v>
      </c>
      <c r="H193" s="2">
        <f>COUNTIF(Eingabe[S3],HäufigsteErgebnisse[[#This Row],[Zahl]])</f>
        <v>9</v>
      </c>
      <c r="I193" s="2">
        <f>COUNTIF(Eingabe[S4],HäufigsteErgebnisse[[#This Row],[Zahl]])</f>
        <v>6</v>
      </c>
      <c r="J193" s="2">
        <f>COUNTIF(Eingabe[S1],HäufigsteErgebnisse[[#This Row],[Zahl]])+COUNTIF(Eingabe[S2],HäufigsteErgebnisse[[#This Row],[Zahl]])+COUNTIF(Eingabe[S3],HäufigsteErgebnisse[[#This Row],[Zahl]])+COUNTIF(Eingabe[S4],HäufigsteErgebnisse[[#This Row],[Zahl]])</f>
        <v>28</v>
      </c>
      <c r="K193" s="2">
        <f>COUNTIF(Eingabe[GES],HäufigsteErgebnisse[[#This Row],[Zahl]])</f>
        <v>0</v>
      </c>
      <c r="L193" s="2">
        <f>HäufigsteErgebnisse[[#This Row],[Zahl]]</f>
        <v>135</v>
      </c>
    </row>
    <row r="194" spans="2:12" x14ac:dyDescent="0.3">
      <c r="B194" s="2">
        <v>136</v>
      </c>
      <c r="C194" s="2">
        <f>COUNTIF(Eingabe[Volle],HäufigsteErgebnisse[[#This Row],[Zahl]])</f>
        <v>0</v>
      </c>
      <c r="D194" s="2">
        <f>COUNTIF(Eingabe[Räumer],HäufigsteErgebnisse[[#This Row],[Zahl]])</f>
        <v>0</v>
      </c>
      <c r="E194" s="2">
        <f>COUNTIF(Eingabe[Fehler],HäufigsteErgebnisse[[#This Row],[Zahl]])</f>
        <v>0</v>
      </c>
      <c r="F194" s="2">
        <f>COUNTIF(Eingabe[S1],HäufigsteErgebnisse[[#This Row],[Zahl]])</f>
        <v>6</v>
      </c>
      <c r="G194" s="2">
        <f>COUNTIF(Eingabe[S2],HäufigsteErgebnisse[[#This Row],[Zahl]])</f>
        <v>8</v>
      </c>
      <c r="H194" s="2">
        <f>COUNTIF(Eingabe[S3],HäufigsteErgebnisse[[#This Row],[Zahl]])</f>
        <v>7</v>
      </c>
      <c r="I194" s="2">
        <f>COUNTIF(Eingabe[S4],HäufigsteErgebnisse[[#This Row],[Zahl]])</f>
        <v>9</v>
      </c>
      <c r="J194" s="2">
        <f>COUNTIF(Eingabe[S1],HäufigsteErgebnisse[[#This Row],[Zahl]])+COUNTIF(Eingabe[S2],HäufigsteErgebnisse[[#This Row],[Zahl]])+COUNTIF(Eingabe[S3],HäufigsteErgebnisse[[#This Row],[Zahl]])+COUNTIF(Eingabe[S4],HäufigsteErgebnisse[[#This Row],[Zahl]])</f>
        <v>30</v>
      </c>
      <c r="K194" s="2">
        <f>COUNTIF(Eingabe[GES],HäufigsteErgebnisse[[#This Row],[Zahl]])</f>
        <v>0</v>
      </c>
      <c r="L194" s="2">
        <f>HäufigsteErgebnisse[[#This Row],[Zahl]]</f>
        <v>136</v>
      </c>
    </row>
    <row r="195" spans="2:12" x14ac:dyDescent="0.3">
      <c r="B195" s="2">
        <v>137</v>
      </c>
      <c r="C195" s="2">
        <f>COUNTIF(Eingabe[Volle],HäufigsteErgebnisse[[#This Row],[Zahl]])</f>
        <v>0</v>
      </c>
      <c r="D195" s="2">
        <f>COUNTIF(Eingabe[Räumer],HäufigsteErgebnisse[[#This Row],[Zahl]])</f>
        <v>5</v>
      </c>
      <c r="E195" s="2">
        <f>COUNTIF(Eingabe[Fehler],HäufigsteErgebnisse[[#This Row],[Zahl]])</f>
        <v>0</v>
      </c>
      <c r="F195" s="2">
        <f>COUNTIF(Eingabe[S1],HäufigsteErgebnisse[[#This Row],[Zahl]])</f>
        <v>8</v>
      </c>
      <c r="G195" s="2">
        <f>COUNTIF(Eingabe[S2],HäufigsteErgebnisse[[#This Row],[Zahl]])</f>
        <v>10</v>
      </c>
      <c r="H195" s="2">
        <f>COUNTIF(Eingabe[S3],HäufigsteErgebnisse[[#This Row],[Zahl]])</f>
        <v>6</v>
      </c>
      <c r="I195" s="2">
        <f>COUNTIF(Eingabe[S4],HäufigsteErgebnisse[[#This Row],[Zahl]])</f>
        <v>4</v>
      </c>
      <c r="J195" s="2">
        <f>COUNTIF(Eingabe[S1],HäufigsteErgebnisse[[#This Row],[Zahl]])+COUNTIF(Eingabe[S2],HäufigsteErgebnisse[[#This Row],[Zahl]])+COUNTIF(Eingabe[S3],HäufigsteErgebnisse[[#This Row],[Zahl]])+COUNTIF(Eingabe[S4],HäufigsteErgebnisse[[#This Row],[Zahl]])</f>
        <v>28</v>
      </c>
      <c r="K195" s="2">
        <f>COUNTIF(Eingabe[GES],HäufigsteErgebnisse[[#This Row],[Zahl]])</f>
        <v>0</v>
      </c>
      <c r="L195" s="2">
        <f>HäufigsteErgebnisse[[#This Row],[Zahl]]</f>
        <v>137</v>
      </c>
    </row>
    <row r="196" spans="2:12" x14ac:dyDescent="0.3">
      <c r="B196" s="2">
        <v>138</v>
      </c>
      <c r="C196" s="2">
        <f>COUNTIF(Eingabe[Volle],HäufigsteErgebnisse[[#This Row],[Zahl]])</f>
        <v>0</v>
      </c>
      <c r="D196" s="2">
        <f>COUNTIF(Eingabe[Räumer],HäufigsteErgebnisse[[#This Row],[Zahl]])</f>
        <v>5</v>
      </c>
      <c r="E196" s="2">
        <f>COUNTIF(Eingabe[Fehler],HäufigsteErgebnisse[[#This Row],[Zahl]])</f>
        <v>0</v>
      </c>
      <c r="F196" s="2">
        <f>COUNTIF(Eingabe[S1],HäufigsteErgebnisse[[#This Row],[Zahl]])</f>
        <v>5</v>
      </c>
      <c r="G196" s="2">
        <f>COUNTIF(Eingabe[S2],HäufigsteErgebnisse[[#This Row],[Zahl]])</f>
        <v>9</v>
      </c>
      <c r="H196" s="2">
        <f>COUNTIF(Eingabe[S3],HäufigsteErgebnisse[[#This Row],[Zahl]])</f>
        <v>7</v>
      </c>
      <c r="I196" s="2">
        <f>COUNTIF(Eingabe[S4],HäufigsteErgebnisse[[#This Row],[Zahl]])</f>
        <v>5</v>
      </c>
      <c r="J196" s="2">
        <f>COUNTIF(Eingabe[S1],HäufigsteErgebnisse[[#This Row],[Zahl]])+COUNTIF(Eingabe[S2],HäufigsteErgebnisse[[#This Row],[Zahl]])+COUNTIF(Eingabe[S3],HäufigsteErgebnisse[[#This Row],[Zahl]])+COUNTIF(Eingabe[S4],HäufigsteErgebnisse[[#This Row],[Zahl]])</f>
        <v>26</v>
      </c>
      <c r="K196" s="2">
        <f>COUNTIF(Eingabe[GES],HäufigsteErgebnisse[[#This Row],[Zahl]])</f>
        <v>0</v>
      </c>
      <c r="L196" s="2">
        <f>HäufigsteErgebnisse[[#This Row],[Zahl]]</f>
        <v>138</v>
      </c>
    </row>
    <row r="197" spans="2:12" x14ac:dyDescent="0.3">
      <c r="B197" s="2">
        <v>139</v>
      </c>
      <c r="C197" s="2">
        <f>COUNTIF(Eingabe[Volle],HäufigsteErgebnisse[[#This Row],[Zahl]])</f>
        <v>0</v>
      </c>
      <c r="D197" s="2">
        <f>COUNTIF(Eingabe[Räumer],HäufigsteErgebnisse[[#This Row],[Zahl]])</f>
        <v>4</v>
      </c>
      <c r="E197" s="2">
        <f>COUNTIF(Eingabe[Fehler],HäufigsteErgebnisse[[#This Row],[Zahl]])</f>
        <v>0</v>
      </c>
      <c r="F197" s="2">
        <f>COUNTIF(Eingabe[S1],HäufigsteErgebnisse[[#This Row],[Zahl]])</f>
        <v>7</v>
      </c>
      <c r="G197" s="2">
        <f>COUNTIF(Eingabe[S2],HäufigsteErgebnisse[[#This Row],[Zahl]])</f>
        <v>1</v>
      </c>
      <c r="H197" s="2">
        <f>COUNTIF(Eingabe[S3],HäufigsteErgebnisse[[#This Row],[Zahl]])</f>
        <v>6</v>
      </c>
      <c r="I197" s="2">
        <f>COUNTIF(Eingabe[S4],HäufigsteErgebnisse[[#This Row],[Zahl]])</f>
        <v>10</v>
      </c>
      <c r="J197" s="2">
        <f>COUNTIF(Eingabe[S1],HäufigsteErgebnisse[[#This Row],[Zahl]])+COUNTIF(Eingabe[S2],HäufigsteErgebnisse[[#This Row],[Zahl]])+COUNTIF(Eingabe[S3],HäufigsteErgebnisse[[#This Row],[Zahl]])+COUNTIF(Eingabe[S4],HäufigsteErgebnisse[[#This Row],[Zahl]])</f>
        <v>24</v>
      </c>
      <c r="K197" s="2">
        <f>COUNTIF(Eingabe[GES],HäufigsteErgebnisse[[#This Row],[Zahl]])</f>
        <v>0</v>
      </c>
      <c r="L197" s="2">
        <f>HäufigsteErgebnisse[[#This Row],[Zahl]]</f>
        <v>139</v>
      </c>
    </row>
    <row r="198" spans="2:12" x14ac:dyDescent="0.3">
      <c r="B198" s="2">
        <v>140</v>
      </c>
      <c r="C198" s="2">
        <f>COUNTIF(Eingabe[Volle],HäufigsteErgebnisse[[#This Row],[Zahl]])</f>
        <v>0</v>
      </c>
      <c r="D198" s="2">
        <f>COUNTIF(Eingabe[Räumer],HäufigsteErgebnisse[[#This Row],[Zahl]])</f>
        <v>3</v>
      </c>
      <c r="E198" s="2">
        <f>COUNTIF(Eingabe[Fehler],HäufigsteErgebnisse[[#This Row],[Zahl]])</f>
        <v>0</v>
      </c>
      <c r="F198" s="2">
        <f>COUNTIF(Eingabe[S1],HäufigsteErgebnisse[[#This Row],[Zahl]])</f>
        <v>8</v>
      </c>
      <c r="G198" s="2">
        <f>COUNTIF(Eingabe[S2],HäufigsteErgebnisse[[#This Row],[Zahl]])</f>
        <v>2</v>
      </c>
      <c r="H198" s="2">
        <f>COUNTIF(Eingabe[S3],HäufigsteErgebnisse[[#This Row],[Zahl]])</f>
        <v>1</v>
      </c>
      <c r="I198" s="2">
        <f>COUNTIF(Eingabe[S4],HäufigsteErgebnisse[[#This Row],[Zahl]])</f>
        <v>4</v>
      </c>
      <c r="J198" s="2">
        <f>COUNTIF(Eingabe[S1],HäufigsteErgebnisse[[#This Row],[Zahl]])+COUNTIF(Eingabe[S2],HäufigsteErgebnisse[[#This Row],[Zahl]])+COUNTIF(Eingabe[S3],HäufigsteErgebnisse[[#This Row],[Zahl]])+COUNTIF(Eingabe[S4],HäufigsteErgebnisse[[#This Row],[Zahl]])</f>
        <v>15</v>
      </c>
      <c r="K198" s="2">
        <f>COUNTIF(Eingabe[GES],HäufigsteErgebnisse[[#This Row],[Zahl]])</f>
        <v>0</v>
      </c>
      <c r="L198" s="2">
        <f>HäufigsteErgebnisse[[#This Row],[Zahl]]</f>
        <v>140</v>
      </c>
    </row>
    <row r="199" spans="2:12" x14ac:dyDescent="0.3">
      <c r="B199" s="2">
        <v>141</v>
      </c>
      <c r="C199" s="2">
        <f>COUNTIF(Eingabe[Volle],HäufigsteErgebnisse[[#This Row],[Zahl]])</f>
        <v>0</v>
      </c>
      <c r="D199" s="2">
        <f>COUNTIF(Eingabe[Räumer],HäufigsteErgebnisse[[#This Row],[Zahl]])</f>
        <v>5</v>
      </c>
      <c r="E199" s="2">
        <f>COUNTIF(Eingabe[Fehler],HäufigsteErgebnisse[[#This Row],[Zahl]])</f>
        <v>0</v>
      </c>
      <c r="F199" s="2">
        <f>COUNTIF(Eingabe[S1],HäufigsteErgebnisse[[#This Row],[Zahl]])</f>
        <v>8</v>
      </c>
      <c r="G199" s="2">
        <f>COUNTIF(Eingabe[S2],HäufigsteErgebnisse[[#This Row],[Zahl]])</f>
        <v>0</v>
      </c>
      <c r="H199" s="2">
        <f>COUNTIF(Eingabe[S3],HäufigsteErgebnisse[[#This Row],[Zahl]])</f>
        <v>7</v>
      </c>
      <c r="I199" s="2">
        <f>COUNTIF(Eingabe[S4],HäufigsteErgebnisse[[#This Row],[Zahl]])</f>
        <v>3</v>
      </c>
      <c r="J199" s="2">
        <f>COUNTIF(Eingabe[S1],HäufigsteErgebnisse[[#This Row],[Zahl]])+COUNTIF(Eingabe[S2],HäufigsteErgebnisse[[#This Row],[Zahl]])+COUNTIF(Eingabe[S3],HäufigsteErgebnisse[[#This Row],[Zahl]])+COUNTIF(Eingabe[S4],HäufigsteErgebnisse[[#This Row],[Zahl]])</f>
        <v>18</v>
      </c>
      <c r="K199" s="2">
        <f>COUNTIF(Eingabe[GES],HäufigsteErgebnisse[[#This Row],[Zahl]])</f>
        <v>0</v>
      </c>
      <c r="L199" s="2">
        <f>HäufigsteErgebnisse[[#This Row],[Zahl]]</f>
        <v>141</v>
      </c>
    </row>
    <row r="200" spans="2:12" x14ac:dyDescent="0.3">
      <c r="B200" s="2">
        <v>142</v>
      </c>
      <c r="C200" s="2">
        <f>COUNTIF(Eingabe[Volle],HäufigsteErgebnisse[[#This Row],[Zahl]])</f>
        <v>0</v>
      </c>
      <c r="D200" s="2">
        <f>COUNTIF(Eingabe[Räumer],HäufigsteErgebnisse[[#This Row],[Zahl]])</f>
        <v>4</v>
      </c>
      <c r="E200" s="2">
        <f>COUNTIF(Eingabe[Fehler],HäufigsteErgebnisse[[#This Row],[Zahl]])</f>
        <v>0</v>
      </c>
      <c r="F200" s="2">
        <f>COUNTIF(Eingabe[S1],HäufigsteErgebnisse[[#This Row],[Zahl]])</f>
        <v>3</v>
      </c>
      <c r="G200" s="2">
        <f>COUNTIF(Eingabe[S2],HäufigsteErgebnisse[[#This Row],[Zahl]])</f>
        <v>6</v>
      </c>
      <c r="H200" s="2">
        <f>COUNTIF(Eingabe[S3],HäufigsteErgebnisse[[#This Row],[Zahl]])</f>
        <v>3</v>
      </c>
      <c r="I200" s="2">
        <f>COUNTIF(Eingabe[S4],HäufigsteErgebnisse[[#This Row],[Zahl]])</f>
        <v>6</v>
      </c>
      <c r="J200" s="2">
        <f>COUNTIF(Eingabe[S1],HäufigsteErgebnisse[[#This Row],[Zahl]])+COUNTIF(Eingabe[S2],HäufigsteErgebnisse[[#This Row],[Zahl]])+COUNTIF(Eingabe[S3],HäufigsteErgebnisse[[#This Row],[Zahl]])+COUNTIF(Eingabe[S4],HäufigsteErgebnisse[[#This Row],[Zahl]])</f>
        <v>18</v>
      </c>
      <c r="K200" s="2">
        <f>COUNTIF(Eingabe[GES],HäufigsteErgebnisse[[#This Row],[Zahl]])</f>
        <v>0</v>
      </c>
      <c r="L200" s="2">
        <f>HäufigsteErgebnisse[[#This Row],[Zahl]]</f>
        <v>142</v>
      </c>
    </row>
    <row r="201" spans="2:12" x14ac:dyDescent="0.3">
      <c r="B201" s="2">
        <v>143</v>
      </c>
      <c r="C201" s="2">
        <f>COUNTIF(Eingabe[Volle],HäufigsteErgebnisse[[#This Row],[Zahl]])</f>
        <v>0</v>
      </c>
      <c r="D201" s="2">
        <f>COUNTIF(Eingabe[Räumer],HäufigsteErgebnisse[[#This Row],[Zahl]])</f>
        <v>2</v>
      </c>
      <c r="E201" s="2">
        <f>COUNTIF(Eingabe[Fehler],HäufigsteErgebnisse[[#This Row],[Zahl]])</f>
        <v>0</v>
      </c>
      <c r="F201" s="2">
        <f>COUNTIF(Eingabe[S1],HäufigsteErgebnisse[[#This Row],[Zahl]])</f>
        <v>3</v>
      </c>
      <c r="G201" s="2">
        <f>COUNTIF(Eingabe[S2],HäufigsteErgebnisse[[#This Row],[Zahl]])</f>
        <v>0</v>
      </c>
      <c r="H201" s="2">
        <f>COUNTIF(Eingabe[S3],HäufigsteErgebnisse[[#This Row],[Zahl]])</f>
        <v>5</v>
      </c>
      <c r="I201" s="2">
        <f>COUNTIF(Eingabe[S4],HäufigsteErgebnisse[[#This Row],[Zahl]])</f>
        <v>4</v>
      </c>
      <c r="J201" s="2">
        <f>COUNTIF(Eingabe[S1],HäufigsteErgebnisse[[#This Row],[Zahl]])+COUNTIF(Eingabe[S2],HäufigsteErgebnisse[[#This Row],[Zahl]])+COUNTIF(Eingabe[S3],HäufigsteErgebnisse[[#This Row],[Zahl]])+COUNTIF(Eingabe[S4],HäufigsteErgebnisse[[#This Row],[Zahl]])</f>
        <v>12</v>
      </c>
      <c r="K201" s="2">
        <f>COUNTIF(Eingabe[GES],HäufigsteErgebnisse[[#This Row],[Zahl]])</f>
        <v>0</v>
      </c>
      <c r="L201" s="2">
        <f>HäufigsteErgebnisse[[#This Row],[Zahl]]</f>
        <v>143</v>
      </c>
    </row>
    <row r="202" spans="2:12" x14ac:dyDescent="0.3">
      <c r="B202" s="2">
        <v>144</v>
      </c>
      <c r="C202" s="2">
        <f>COUNTIF(Eingabe[Volle],HäufigsteErgebnisse[[#This Row],[Zahl]])</f>
        <v>0</v>
      </c>
      <c r="D202" s="2">
        <f>COUNTIF(Eingabe[Räumer],HäufigsteErgebnisse[[#This Row],[Zahl]])</f>
        <v>2</v>
      </c>
      <c r="E202" s="2">
        <f>COUNTIF(Eingabe[Fehler],HäufigsteErgebnisse[[#This Row],[Zahl]])</f>
        <v>0</v>
      </c>
      <c r="F202" s="2">
        <f>COUNTIF(Eingabe[S1],HäufigsteErgebnisse[[#This Row],[Zahl]])</f>
        <v>1</v>
      </c>
      <c r="G202" s="2">
        <f>COUNTIF(Eingabe[S2],HäufigsteErgebnisse[[#This Row],[Zahl]])</f>
        <v>6</v>
      </c>
      <c r="H202" s="2">
        <f>COUNTIF(Eingabe[S3],HäufigsteErgebnisse[[#This Row],[Zahl]])</f>
        <v>4</v>
      </c>
      <c r="I202" s="2">
        <f>COUNTIF(Eingabe[S4],HäufigsteErgebnisse[[#This Row],[Zahl]])</f>
        <v>5</v>
      </c>
      <c r="J202" s="2">
        <f>COUNTIF(Eingabe[S1],HäufigsteErgebnisse[[#This Row],[Zahl]])+COUNTIF(Eingabe[S2],HäufigsteErgebnisse[[#This Row],[Zahl]])+COUNTIF(Eingabe[S3],HäufigsteErgebnisse[[#This Row],[Zahl]])+COUNTIF(Eingabe[S4],HäufigsteErgebnisse[[#This Row],[Zahl]])</f>
        <v>16</v>
      </c>
      <c r="K202" s="2">
        <f>COUNTIF(Eingabe[GES],HäufigsteErgebnisse[[#This Row],[Zahl]])</f>
        <v>0</v>
      </c>
      <c r="L202" s="2">
        <f>HäufigsteErgebnisse[[#This Row],[Zahl]]</f>
        <v>144</v>
      </c>
    </row>
    <row r="203" spans="2:12" x14ac:dyDescent="0.3">
      <c r="B203" s="2">
        <v>145</v>
      </c>
      <c r="C203" s="2">
        <f>COUNTIF(Eingabe[Volle],HäufigsteErgebnisse[[#This Row],[Zahl]])</f>
        <v>0</v>
      </c>
      <c r="D203" s="2">
        <f>COUNTIF(Eingabe[Räumer],HäufigsteErgebnisse[[#This Row],[Zahl]])</f>
        <v>1</v>
      </c>
      <c r="E203" s="2">
        <f>COUNTIF(Eingabe[Fehler],HäufigsteErgebnisse[[#This Row],[Zahl]])</f>
        <v>0</v>
      </c>
      <c r="F203" s="2">
        <f>COUNTIF(Eingabe[S1],HäufigsteErgebnisse[[#This Row],[Zahl]])</f>
        <v>7</v>
      </c>
      <c r="G203" s="2">
        <f>COUNTIF(Eingabe[S2],HäufigsteErgebnisse[[#This Row],[Zahl]])</f>
        <v>6</v>
      </c>
      <c r="H203" s="2">
        <f>COUNTIF(Eingabe[S3],HäufigsteErgebnisse[[#This Row],[Zahl]])</f>
        <v>2</v>
      </c>
      <c r="I203" s="2">
        <f>COUNTIF(Eingabe[S4],HäufigsteErgebnisse[[#This Row],[Zahl]])</f>
        <v>5</v>
      </c>
      <c r="J203" s="2">
        <f>COUNTIF(Eingabe[S1],HäufigsteErgebnisse[[#This Row],[Zahl]])+COUNTIF(Eingabe[S2],HäufigsteErgebnisse[[#This Row],[Zahl]])+COUNTIF(Eingabe[S3],HäufigsteErgebnisse[[#This Row],[Zahl]])+COUNTIF(Eingabe[S4],HäufigsteErgebnisse[[#This Row],[Zahl]])</f>
        <v>20</v>
      </c>
      <c r="K203" s="2">
        <f>COUNTIF(Eingabe[GES],HäufigsteErgebnisse[[#This Row],[Zahl]])</f>
        <v>0</v>
      </c>
      <c r="L203" s="2">
        <f>HäufigsteErgebnisse[[#This Row],[Zahl]]</f>
        <v>145</v>
      </c>
    </row>
    <row r="204" spans="2:12" x14ac:dyDescent="0.3">
      <c r="B204" s="2">
        <v>146</v>
      </c>
      <c r="C204" s="2">
        <f>COUNTIF(Eingabe[Volle],HäufigsteErgebnisse[[#This Row],[Zahl]])</f>
        <v>0</v>
      </c>
      <c r="D204" s="2">
        <f>COUNTIF(Eingabe[Räumer],HäufigsteErgebnisse[[#This Row],[Zahl]])</f>
        <v>6</v>
      </c>
      <c r="E204" s="2">
        <f>COUNTIF(Eingabe[Fehler],HäufigsteErgebnisse[[#This Row],[Zahl]])</f>
        <v>0</v>
      </c>
      <c r="F204" s="2">
        <f>COUNTIF(Eingabe[S1],HäufigsteErgebnisse[[#This Row],[Zahl]])</f>
        <v>5</v>
      </c>
      <c r="G204" s="2">
        <f>COUNTIF(Eingabe[S2],HäufigsteErgebnisse[[#This Row],[Zahl]])</f>
        <v>5</v>
      </c>
      <c r="H204" s="2">
        <f>COUNTIF(Eingabe[S3],HäufigsteErgebnisse[[#This Row],[Zahl]])</f>
        <v>2</v>
      </c>
      <c r="I204" s="2">
        <f>COUNTIF(Eingabe[S4],HäufigsteErgebnisse[[#This Row],[Zahl]])</f>
        <v>3</v>
      </c>
      <c r="J204" s="2">
        <f>COUNTIF(Eingabe[S1],HäufigsteErgebnisse[[#This Row],[Zahl]])+COUNTIF(Eingabe[S2],HäufigsteErgebnisse[[#This Row],[Zahl]])+COUNTIF(Eingabe[S3],HäufigsteErgebnisse[[#This Row],[Zahl]])+COUNTIF(Eingabe[S4],HäufigsteErgebnisse[[#This Row],[Zahl]])</f>
        <v>15</v>
      </c>
      <c r="K204" s="2">
        <f>COUNTIF(Eingabe[GES],HäufigsteErgebnisse[[#This Row],[Zahl]])</f>
        <v>0</v>
      </c>
      <c r="L204" s="2">
        <f>HäufigsteErgebnisse[[#This Row],[Zahl]]</f>
        <v>146</v>
      </c>
    </row>
    <row r="205" spans="2:12" x14ac:dyDescent="0.3">
      <c r="B205" s="2">
        <v>147</v>
      </c>
      <c r="C205" s="2">
        <f>COUNTIF(Eingabe[Volle],HäufigsteErgebnisse[[#This Row],[Zahl]])</f>
        <v>0</v>
      </c>
      <c r="D205" s="2">
        <f>COUNTIF(Eingabe[Räumer],HäufigsteErgebnisse[[#This Row],[Zahl]])</f>
        <v>2</v>
      </c>
      <c r="E205" s="2">
        <f>COUNTIF(Eingabe[Fehler],HäufigsteErgebnisse[[#This Row],[Zahl]])</f>
        <v>0</v>
      </c>
      <c r="F205" s="2">
        <f>COUNTIF(Eingabe[S1],HäufigsteErgebnisse[[#This Row],[Zahl]])</f>
        <v>1</v>
      </c>
      <c r="G205" s="2">
        <f>COUNTIF(Eingabe[S2],HäufigsteErgebnisse[[#This Row],[Zahl]])</f>
        <v>3</v>
      </c>
      <c r="H205" s="2">
        <f>COUNTIF(Eingabe[S3],HäufigsteErgebnisse[[#This Row],[Zahl]])</f>
        <v>3</v>
      </c>
      <c r="I205" s="2">
        <f>COUNTIF(Eingabe[S4],HäufigsteErgebnisse[[#This Row],[Zahl]])</f>
        <v>2</v>
      </c>
      <c r="J205" s="2">
        <f>COUNTIF(Eingabe[S1],HäufigsteErgebnisse[[#This Row],[Zahl]])+COUNTIF(Eingabe[S2],HäufigsteErgebnisse[[#This Row],[Zahl]])+COUNTIF(Eingabe[S3],HäufigsteErgebnisse[[#This Row],[Zahl]])+COUNTIF(Eingabe[S4],HäufigsteErgebnisse[[#This Row],[Zahl]])</f>
        <v>9</v>
      </c>
      <c r="K205" s="2">
        <f>COUNTIF(Eingabe[GES],HäufigsteErgebnisse[[#This Row],[Zahl]])</f>
        <v>0</v>
      </c>
      <c r="L205" s="2">
        <f>HäufigsteErgebnisse[[#This Row],[Zahl]]</f>
        <v>147</v>
      </c>
    </row>
    <row r="206" spans="2:12" x14ac:dyDescent="0.3">
      <c r="B206" s="2">
        <v>148</v>
      </c>
      <c r="C206" s="2">
        <f>COUNTIF(Eingabe[Volle],HäufigsteErgebnisse[[#This Row],[Zahl]])</f>
        <v>0</v>
      </c>
      <c r="D206" s="2">
        <f>COUNTIF(Eingabe[Räumer],HäufigsteErgebnisse[[#This Row],[Zahl]])</f>
        <v>5</v>
      </c>
      <c r="E206" s="2">
        <f>COUNTIF(Eingabe[Fehler],HäufigsteErgebnisse[[#This Row],[Zahl]])</f>
        <v>0</v>
      </c>
      <c r="F206" s="2">
        <f>COUNTIF(Eingabe[S1],HäufigsteErgebnisse[[#This Row],[Zahl]])</f>
        <v>1</v>
      </c>
      <c r="G206" s="2">
        <f>COUNTIF(Eingabe[S2],HäufigsteErgebnisse[[#This Row],[Zahl]])</f>
        <v>2</v>
      </c>
      <c r="H206" s="2">
        <f>COUNTIF(Eingabe[S3],HäufigsteErgebnisse[[#This Row],[Zahl]])</f>
        <v>5</v>
      </c>
      <c r="I206" s="2">
        <f>COUNTIF(Eingabe[S4],HäufigsteErgebnisse[[#This Row],[Zahl]])</f>
        <v>2</v>
      </c>
      <c r="J206" s="2">
        <f>COUNTIF(Eingabe[S1],HäufigsteErgebnisse[[#This Row],[Zahl]])+COUNTIF(Eingabe[S2],HäufigsteErgebnisse[[#This Row],[Zahl]])+COUNTIF(Eingabe[S3],HäufigsteErgebnisse[[#This Row],[Zahl]])+COUNTIF(Eingabe[S4],HäufigsteErgebnisse[[#This Row],[Zahl]])</f>
        <v>10</v>
      </c>
      <c r="K206" s="2">
        <f>COUNTIF(Eingabe[GES],HäufigsteErgebnisse[[#This Row],[Zahl]])</f>
        <v>0</v>
      </c>
      <c r="L206" s="2">
        <f>HäufigsteErgebnisse[[#This Row],[Zahl]]</f>
        <v>148</v>
      </c>
    </row>
    <row r="207" spans="2:12" x14ac:dyDescent="0.3">
      <c r="B207" s="2">
        <v>149</v>
      </c>
      <c r="C207" s="2">
        <f>COUNTIF(Eingabe[Volle],HäufigsteErgebnisse[[#This Row],[Zahl]])</f>
        <v>0</v>
      </c>
      <c r="D207" s="2">
        <f>COUNTIF(Eingabe[Räumer],HäufigsteErgebnisse[[#This Row],[Zahl]])</f>
        <v>4</v>
      </c>
      <c r="E207" s="2">
        <f>COUNTIF(Eingabe[Fehler],HäufigsteErgebnisse[[#This Row],[Zahl]])</f>
        <v>0</v>
      </c>
      <c r="F207" s="2">
        <f>COUNTIF(Eingabe[S1],HäufigsteErgebnisse[[#This Row],[Zahl]])</f>
        <v>2</v>
      </c>
      <c r="G207" s="2">
        <f>COUNTIF(Eingabe[S2],HäufigsteErgebnisse[[#This Row],[Zahl]])</f>
        <v>0</v>
      </c>
      <c r="H207" s="2">
        <f>COUNTIF(Eingabe[S3],HäufigsteErgebnisse[[#This Row],[Zahl]])</f>
        <v>3</v>
      </c>
      <c r="I207" s="2">
        <f>COUNTIF(Eingabe[S4],HäufigsteErgebnisse[[#This Row],[Zahl]])</f>
        <v>5</v>
      </c>
      <c r="J207" s="2">
        <f>COUNTIF(Eingabe[S1],HäufigsteErgebnisse[[#This Row],[Zahl]])+COUNTIF(Eingabe[S2],HäufigsteErgebnisse[[#This Row],[Zahl]])+COUNTIF(Eingabe[S3],HäufigsteErgebnisse[[#This Row],[Zahl]])+COUNTIF(Eingabe[S4],HäufigsteErgebnisse[[#This Row],[Zahl]])</f>
        <v>10</v>
      </c>
      <c r="K207" s="2">
        <f>COUNTIF(Eingabe[GES],HäufigsteErgebnisse[[#This Row],[Zahl]])</f>
        <v>0</v>
      </c>
      <c r="L207" s="2">
        <f>HäufigsteErgebnisse[[#This Row],[Zahl]]</f>
        <v>149</v>
      </c>
    </row>
    <row r="208" spans="2:12" x14ac:dyDescent="0.3">
      <c r="B208" s="2">
        <v>150</v>
      </c>
      <c r="C208" s="2">
        <f>COUNTIF(Eingabe[Volle],HäufigsteErgebnisse[[#This Row],[Zahl]])</f>
        <v>0</v>
      </c>
      <c r="D208" s="2">
        <f>COUNTIF(Eingabe[Räumer],HäufigsteErgebnisse[[#This Row],[Zahl]])</f>
        <v>4</v>
      </c>
      <c r="E208" s="2">
        <f>COUNTIF(Eingabe[Fehler],HäufigsteErgebnisse[[#This Row],[Zahl]])</f>
        <v>0</v>
      </c>
      <c r="F208" s="2">
        <f>COUNTIF(Eingabe[S1],HäufigsteErgebnisse[[#This Row],[Zahl]])</f>
        <v>2</v>
      </c>
      <c r="G208" s="2">
        <f>COUNTIF(Eingabe[S2],HäufigsteErgebnisse[[#This Row],[Zahl]])</f>
        <v>2</v>
      </c>
      <c r="H208" s="2">
        <f>COUNTIF(Eingabe[S3],HäufigsteErgebnisse[[#This Row],[Zahl]])</f>
        <v>4</v>
      </c>
      <c r="I208" s="2">
        <f>COUNTIF(Eingabe[S4],HäufigsteErgebnisse[[#This Row],[Zahl]])</f>
        <v>3</v>
      </c>
      <c r="J208" s="2">
        <f>COUNTIF(Eingabe[S1],HäufigsteErgebnisse[[#This Row],[Zahl]])+COUNTIF(Eingabe[S2],HäufigsteErgebnisse[[#This Row],[Zahl]])+COUNTIF(Eingabe[S3],HäufigsteErgebnisse[[#This Row],[Zahl]])+COUNTIF(Eingabe[S4],HäufigsteErgebnisse[[#This Row],[Zahl]])</f>
        <v>11</v>
      </c>
      <c r="K208" s="2">
        <f>COUNTIF(Eingabe[GES],HäufigsteErgebnisse[[#This Row],[Zahl]])</f>
        <v>0</v>
      </c>
      <c r="L208" s="2">
        <f>HäufigsteErgebnisse[[#This Row],[Zahl]]</f>
        <v>150</v>
      </c>
    </row>
    <row r="209" spans="2:12" x14ac:dyDescent="0.3">
      <c r="B209" s="2">
        <v>151</v>
      </c>
      <c r="C209" s="2">
        <f>COUNTIF(Eingabe[Volle],HäufigsteErgebnisse[[#This Row],[Zahl]])</f>
        <v>0</v>
      </c>
      <c r="D209" s="2">
        <f>COUNTIF(Eingabe[Räumer],HäufigsteErgebnisse[[#This Row],[Zahl]])</f>
        <v>4</v>
      </c>
      <c r="E209" s="2">
        <f>COUNTIF(Eingabe[Fehler],HäufigsteErgebnisse[[#This Row],[Zahl]])</f>
        <v>0</v>
      </c>
      <c r="F209" s="2">
        <f>COUNTIF(Eingabe[S1],HäufigsteErgebnisse[[#This Row],[Zahl]])</f>
        <v>4</v>
      </c>
      <c r="G209" s="2">
        <f>COUNTIF(Eingabe[S2],HäufigsteErgebnisse[[#This Row],[Zahl]])</f>
        <v>2</v>
      </c>
      <c r="H209" s="2">
        <f>COUNTIF(Eingabe[S3],HäufigsteErgebnisse[[#This Row],[Zahl]])</f>
        <v>0</v>
      </c>
      <c r="I209" s="2">
        <f>COUNTIF(Eingabe[S4],HäufigsteErgebnisse[[#This Row],[Zahl]])</f>
        <v>0</v>
      </c>
      <c r="J209" s="2">
        <f>COUNTIF(Eingabe[S1],HäufigsteErgebnisse[[#This Row],[Zahl]])+COUNTIF(Eingabe[S2],HäufigsteErgebnisse[[#This Row],[Zahl]])+COUNTIF(Eingabe[S3],HäufigsteErgebnisse[[#This Row],[Zahl]])+COUNTIF(Eingabe[S4],HäufigsteErgebnisse[[#This Row],[Zahl]])</f>
        <v>6</v>
      </c>
      <c r="K209" s="2">
        <f>COUNTIF(Eingabe[GES],HäufigsteErgebnisse[[#This Row],[Zahl]])</f>
        <v>0</v>
      </c>
      <c r="L209" s="2">
        <f>HäufigsteErgebnisse[[#This Row],[Zahl]]</f>
        <v>151</v>
      </c>
    </row>
    <row r="210" spans="2:12" x14ac:dyDescent="0.3">
      <c r="B210" s="2">
        <v>152</v>
      </c>
      <c r="C210" s="2">
        <f>COUNTIF(Eingabe[Volle],HäufigsteErgebnisse[[#This Row],[Zahl]])</f>
        <v>0</v>
      </c>
      <c r="D210" s="2">
        <f>COUNTIF(Eingabe[Räumer],HäufigsteErgebnisse[[#This Row],[Zahl]])</f>
        <v>3</v>
      </c>
      <c r="E210" s="2">
        <f>COUNTIF(Eingabe[Fehler],HäufigsteErgebnisse[[#This Row],[Zahl]])</f>
        <v>0</v>
      </c>
      <c r="F210" s="2">
        <f>COUNTIF(Eingabe[S1],HäufigsteErgebnisse[[#This Row],[Zahl]])</f>
        <v>1</v>
      </c>
      <c r="G210" s="2">
        <f>COUNTIF(Eingabe[S2],HäufigsteErgebnisse[[#This Row],[Zahl]])</f>
        <v>4</v>
      </c>
      <c r="H210" s="2">
        <f>COUNTIF(Eingabe[S3],HäufigsteErgebnisse[[#This Row],[Zahl]])</f>
        <v>2</v>
      </c>
      <c r="I210" s="2">
        <f>COUNTIF(Eingabe[S4],HäufigsteErgebnisse[[#This Row],[Zahl]])</f>
        <v>4</v>
      </c>
      <c r="J210" s="2">
        <f>COUNTIF(Eingabe[S1],HäufigsteErgebnisse[[#This Row],[Zahl]])+COUNTIF(Eingabe[S2],HäufigsteErgebnisse[[#This Row],[Zahl]])+COUNTIF(Eingabe[S3],HäufigsteErgebnisse[[#This Row],[Zahl]])+COUNTIF(Eingabe[S4],HäufigsteErgebnisse[[#This Row],[Zahl]])</f>
        <v>11</v>
      </c>
      <c r="K210" s="2">
        <f>COUNTIF(Eingabe[GES],HäufigsteErgebnisse[[#This Row],[Zahl]])</f>
        <v>0</v>
      </c>
      <c r="L210" s="2">
        <f>HäufigsteErgebnisse[[#This Row],[Zahl]]</f>
        <v>152</v>
      </c>
    </row>
    <row r="211" spans="2:12" x14ac:dyDescent="0.3">
      <c r="B211" s="2">
        <v>153</v>
      </c>
      <c r="C211" s="2">
        <f>COUNTIF(Eingabe[Volle],HäufigsteErgebnisse[[#This Row],[Zahl]])</f>
        <v>0</v>
      </c>
      <c r="D211" s="2">
        <f>COUNTIF(Eingabe[Räumer],HäufigsteErgebnisse[[#This Row],[Zahl]])</f>
        <v>7</v>
      </c>
      <c r="E211" s="2">
        <f>COUNTIF(Eingabe[Fehler],HäufigsteErgebnisse[[#This Row],[Zahl]])</f>
        <v>0</v>
      </c>
      <c r="F211" s="2">
        <f>COUNTIF(Eingabe[S1],HäufigsteErgebnisse[[#This Row],[Zahl]])</f>
        <v>0</v>
      </c>
      <c r="G211" s="2">
        <f>COUNTIF(Eingabe[S2],HäufigsteErgebnisse[[#This Row],[Zahl]])</f>
        <v>1</v>
      </c>
      <c r="H211" s="2">
        <f>COUNTIF(Eingabe[S3],HäufigsteErgebnisse[[#This Row],[Zahl]])</f>
        <v>0</v>
      </c>
      <c r="I211" s="2">
        <f>COUNTIF(Eingabe[S4],HäufigsteErgebnisse[[#This Row],[Zahl]])</f>
        <v>2</v>
      </c>
      <c r="J211" s="2">
        <f>COUNTIF(Eingabe[S1],HäufigsteErgebnisse[[#This Row],[Zahl]])+COUNTIF(Eingabe[S2],HäufigsteErgebnisse[[#This Row],[Zahl]])+COUNTIF(Eingabe[S3],HäufigsteErgebnisse[[#This Row],[Zahl]])+COUNTIF(Eingabe[S4],HäufigsteErgebnisse[[#This Row],[Zahl]])</f>
        <v>3</v>
      </c>
      <c r="K211" s="2">
        <f>COUNTIF(Eingabe[GES],HäufigsteErgebnisse[[#This Row],[Zahl]])</f>
        <v>0</v>
      </c>
      <c r="L211" s="2">
        <f>HäufigsteErgebnisse[[#This Row],[Zahl]]</f>
        <v>153</v>
      </c>
    </row>
    <row r="212" spans="2:12" x14ac:dyDescent="0.3">
      <c r="B212" s="2">
        <v>154</v>
      </c>
      <c r="C212" s="2">
        <f>COUNTIF(Eingabe[Volle],HäufigsteErgebnisse[[#This Row],[Zahl]])</f>
        <v>0</v>
      </c>
      <c r="D212" s="2">
        <f>COUNTIF(Eingabe[Räumer],HäufigsteErgebnisse[[#This Row],[Zahl]])</f>
        <v>8</v>
      </c>
      <c r="E212" s="2">
        <f>COUNTIF(Eingabe[Fehler],HäufigsteErgebnisse[[#This Row],[Zahl]])</f>
        <v>0</v>
      </c>
      <c r="F212" s="2">
        <f>COUNTIF(Eingabe[S1],HäufigsteErgebnisse[[#This Row],[Zahl]])</f>
        <v>1</v>
      </c>
      <c r="G212" s="2">
        <f>COUNTIF(Eingabe[S2],HäufigsteErgebnisse[[#This Row],[Zahl]])</f>
        <v>3</v>
      </c>
      <c r="H212" s="2">
        <f>COUNTIF(Eingabe[S3],HäufigsteErgebnisse[[#This Row],[Zahl]])</f>
        <v>3</v>
      </c>
      <c r="I212" s="2">
        <f>COUNTIF(Eingabe[S4],HäufigsteErgebnisse[[#This Row],[Zahl]])</f>
        <v>4</v>
      </c>
      <c r="J212" s="2">
        <f>COUNTIF(Eingabe[S1],HäufigsteErgebnisse[[#This Row],[Zahl]])+COUNTIF(Eingabe[S2],HäufigsteErgebnisse[[#This Row],[Zahl]])+COUNTIF(Eingabe[S3],HäufigsteErgebnisse[[#This Row],[Zahl]])+COUNTIF(Eingabe[S4],HäufigsteErgebnisse[[#This Row],[Zahl]])</f>
        <v>11</v>
      </c>
      <c r="K212" s="2">
        <f>COUNTIF(Eingabe[GES],HäufigsteErgebnisse[[#This Row],[Zahl]])</f>
        <v>0</v>
      </c>
      <c r="L212" s="2">
        <f>HäufigsteErgebnisse[[#This Row],[Zahl]]</f>
        <v>154</v>
      </c>
    </row>
    <row r="213" spans="2:12" x14ac:dyDescent="0.3">
      <c r="B213" s="2">
        <v>155</v>
      </c>
      <c r="C213" s="2">
        <f>COUNTIF(Eingabe[Volle],HäufigsteErgebnisse[[#This Row],[Zahl]])</f>
        <v>0</v>
      </c>
      <c r="D213" s="2">
        <f>COUNTIF(Eingabe[Räumer],HäufigsteErgebnisse[[#This Row],[Zahl]])</f>
        <v>3</v>
      </c>
      <c r="E213" s="2">
        <f>COUNTIF(Eingabe[Fehler],HäufigsteErgebnisse[[#This Row],[Zahl]])</f>
        <v>0</v>
      </c>
      <c r="F213" s="2">
        <f>COUNTIF(Eingabe[S1],HäufigsteErgebnisse[[#This Row],[Zahl]])</f>
        <v>2</v>
      </c>
      <c r="G213" s="2">
        <f>COUNTIF(Eingabe[S2],HäufigsteErgebnisse[[#This Row],[Zahl]])</f>
        <v>1</v>
      </c>
      <c r="H213" s="2">
        <f>COUNTIF(Eingabe[S3],HäufigsteErgebnisse[[#This Row],[Zahl]])</f>
        <v>1</v>
      </c>
      <c r="I213" s="2">
        <f>COUNTIF(Eingabe[S4],HäufigsteErgebnisse[[#This Row],[Zahl]])</f>
        <v>0</v>
      </c>
      <c r="J213" s="2">
        <f>COUNTIF(Eingabe[S1],HäufigsteErgebnisse[[#This Row],[Zahl]])+COUNTIF(Eingabe[S2],HäufigsteErgebnisse[[#This Row],[Zahl]])+COUNTIF(Eingabe[S3],HäufigsteErgebnisse[[#This Row],[Zahl]])+COUNTIF(Eingabe[S4],HäufigsteErgebnisse[[#This Row],[Zahl]])</f>
        <v>4</v>
      </c>
      <c r="K213" s="2">
        <f>COUNTIF(Eingabe[GES],HäufigsteErgebnisse[[#This Row],[Zahl]])</f>
        <v>0</v>
      </c>
      <c r="L213" s="2">
        <f>HäufigsteErgebnisse[[#This Row],[Zahl]]</f>
        <v>155</v>
      </c>
    </row>
    <row r="214" spans="2:12" x14ac:dyDescent="0.3">
      <c r="B214" s="2">
        <v>156</v>
      </c>
      <c r="C214" s="2">
        <f>COUNTIF(Eingabe[Volle],HäufigsteErgebnisse[[#This Row],[Zahl]])</f>
        <v>0</v>
      </c>
      <c r="D214" s="2">
        <f>COUNTIF(Eingabe[Räumer],HäufigsteErgebnisse[[#This Row],[Zahl]])</f>
        <v>2</v>
      </c>
      <c r="E214" s="2">
        <f>COUNTIF(Eingabe[Fehler],HäufigsteErgebnisse[[#This Row],[Zahl]])</f>
        <v>0</v>
      </c>
      <c r="F214" s="2">
        <f>COUNTIF(Eingabe[S1],HäufigsteErgebnisse[[#This Row],[Zahl]])</f>
        <v>3</v>
      </c>
      <c r="G214" s="2">
        <f>COUNTIF(Eingabe[S2],HäufigsteErgebnisse[[#This Row],[Zahl]])</f>
        <v>0</v>
      </c>
      <c r="H214" s="2">
        <f>COUNTIF(Eingabe[S3],HäufigsteErgebnisse[[#This Row],[Zahl]])</f>
        <v>1</v>
      </c>
      <c r="I214" s="2">
        <f>COUNTIF(Eingabe[S4],HäufigsteErgebnisse[[#This Row],[Zahl]])</f>
        <v>3</v>
      </c>
      <c r="J214" s="2">
        <f>COUNTIF(Eingabe[S1],HäufigsteErgebnisse[[#This Row],[Zahl]])+COUNTIF(Eingabe[S2],HäufigsteErgebnisse[[#This Row],[Zahl]])+COUNTIF(Eingabe[S3],HäufigsteErgebnisse[[#This Row],[Zahl]])+COUNTIF(Eingabe[S4],HäufigsteErgebnisse[[#This Row],[Zahl]])</f>
        <v>7</v>
      </c>
      <c r="K214" s="2">
        <f>COUNTIF(Eingabe[GES],HäufigsteErgebnisse[[#This Row],[Zahl]])</f>
        <v>0</v>
      </c>
      <c r="L214" s="2">
        <f>HäufigsteErgebnisse[[#This Row],[Zahl]]</f>
        <v>156</v>
      </c>
    </row>
    <row r="215" spans="2:12" x14ac:dyDescent="0.3">
      <c r="B215" s="2">
        <v>157</v>
      </c>
      <c r="C215" s="2">
        <f>COUNTIF(Eingabe[Volle],HäufigsteErgebnisse[[#This Row],[Zahl]])</f>
        <v>0</v>
      </c>
      <c r="D215" s="2">
        <f>COUNTIF(Eingabe[Räumer],HäufigsteErgebnisse[[#This Row],[Zahl]])</f>
        <v>7</v>
      </c>
      <c r="E215" s="2">
        <f>COUNTIF(Eingabe[Fehler],HäufigsteErgebnisse[[#This Row],[Zahl]])</f>
        <v>0</v>
      </c>
      <c r="F215" s="2">
        <f>COUNTIF(Eingabe[S1],HäufigsteErgebnisse[[#This Row],[Zahl]])</f>
        <v>2</v>
      </c>
      <c r="G215" s="2">
        <f>COUNTIF(Eingabe[S2],HäufigsteErgebnisse[[#This Row],[Zahl]])</f>
        <v>1</v>
      </c>
      <c r="H215" s="2">
        <f>COUNTIF(Eingabe[S3],HäufigsteErgebnisse[[#This Row],[Zahl]])</f>
        <v>0</v>
      </c>
      <c r="I215" s="2">
        <f>COUNTIF(Eingabe[S4],HäufigsteErgebnisse[[#This Row],[Zahl]])</f>
        <v>0</v>
      </c>
      <c r="J215" s="2">
        <f>COUNTIF(Eingabe[S1],HäufigsteErgebnisse[[#This Row],[Zahl]])+COUNTIF(Eingabe[S2],HäufigsteErgebnisse[[#This Row],[Zahl]])+COUNTIF(Eingabe[S3],HäufigsteErgebnisse[[#This Row],[Zahl]])+COUNTIF(Eingabe[S4],HäufigsteErgebnisse[[#This Row],[Zahl]])</f>
        <v>3</v>
      </c>
      <c r="K215" s="2">
        <f>COUNTIF(Eingabe[GES],HäufigsteErgebnisse[[#This Row],[Zahl]])</f>
        <v>0</v>
      </c>
      <c r="L215" s="2">
        <f>HäufigsteErgebnisse[[#This Row],[Zahl]]</f>
        <v>157</v>
      </c>
    </row>
    <row r="216" spans="2:12" x14ac:dyDescent="0.3">
      <c r="B216" s="2">
        <v>158</v>
      </c>
      <c r="C216" s="2">
        <f>COUNTIF(Eingabe[Volle],HäufigsteErgebnisse[[#This Row],[Zahl]])</f>
        <v>0</v>
      </c>
      <c r="D216" s="2">
        <f>COUNTIF(Eingabe[Räumer],HäufigsteErgebnisse[[#This Row],[Zahl]])</f>
        <v>6</v>
      </c>
      <c r="E216" s="2">
        <f>COUNTIF(Eingabe[Fehler],HäufigsteErgebnisse[[#This Row],[Zahl]])</f>
        <v>0</v>
      </c>
      <c r="F216" s="2">
        <f>COUNTIF(Eingabe[S1],HäufigsteErgebnisse[[#This Row],[Zahl]])</f>
        <v>3</v>
      </c>
      <c r="G216" s="2">
        <f>COUNTIF(Eingabe[S2],HäufigsteErgebnisse[[#This Row],[Zahl]])</f>
        <v>0</v>
      </c>
      <c r="H216" s="2">
        <f>COUNTIF(Eingabe[S3],HäufigsteErgebnisse[[#This Row],[Zahl]])</f>
        <v>1</v>
      </c>
      <c r="I216" s="2">
        <f>COUNTIF(Eingabe[S4],HäufigsteErgebnisse[[#This Row],[Zahl]])</f>
        <v>1</v>
      </c>
      <c r="J216" s="2">
        <f>COUNTIF(Eingabe[S1],HäufigsteErgebnisse[[#This Row],[Zahl]])+COUNTIF(Eingabe[S2],HäufigsteErgebnisse[[#This Row],[Zahl]])+COUNTIF(Eingabe[S3],HäufigsteErgebnisse[[#This Row],[Zahl]])+COUNTIF(Eingabe[S4],HäufigsteErgebnisse[[#This Row],[Zahl]])</f>
        <v>5</v>
      </c>
      <c r="K216" s="2">
        <f>COUNTIF(Eingabe[GES],HäufigsteErgebnisse[[#This Row],[Zahl]])</f>
        <v>0</v>
      </c>
      <c r="L216" s="2">
        <f>HäufigsteErgebnisse[[#This Row],[Zahl]]</f>
        <v>158</v>
      </c>
    </row>
    <row r="217" spans="2:12" x14ac:dyDescent="0.3">
      <c r="B217" s="2">
        <v>159</v>
      </c>
      <c r="C217" s="2">
        <f>COUNTIF(Eingabe[Volle],HäufigsteErgebnisse[[#This Row],[Zahl]])</f>
        <v>0</v>
      </c>
      <c r="D217" s="2">
        <f>COUNTIF(Eingabe[Räumer],HäufigsteErgebnisse[[#This Row],[Zahl]])</f>
        <v>3</v>
      </c>
      <c r="E217" s="2">
        <f>COUNTIF(Eingabe[Fehler],HäufigsteErgebnisse[[#This Row],[Zahl]])</f>
        <v>0</v>
      </c>
      <c r="F217" s="2">
        <f>COUNTIF(Eingabe[S1],HäufigsteErgebnisse[[#This Row],[Zahl]])</f>
        <v>0</v>
      </c>
      <c r="G217" s="2">
        <f>COUNTIF(Eingabe[S2],HäufigsteErgebnisse[[#This Row],[Zahl]])</f>
        <v>0</v>
      </c>
      <c r="H217" s="2">
        <f>COUNTIF(Eingabe[S3],HäufigsteErgebnisse[[#This Row],[Zahl]])</f>
        <v>1</v>
      </c>
      <c r="I217" s="2">
        <f>COUNTIF(Eingabe[S4],HäufigsteErgebnisse[[#This Row],[Zahl]])</f>
        <v>1</v>
      </c>
      <c r="J217" s="2">
        <f>COUNTIF(Eingabe[S1],HäufigsteErgebnisse[[#This Row],[Zahl]])+COUNTIF(Eingabe[S2],HäufigsteErgebnisse[[#This Row],[Zahl]])+COUNTIF(Eingabe[S3],HäufigsteErgebnisse[[#This Row],[Zahl]])+COUNTIF(Eingabe[S4],HäufigsteErgebnisse[[#This Row],[Zahl]])</f>
        <v>2</v>
      </c>
      <c r="K217" s="2">
        <f>COUNTIF(Eingabe[GES],HäufigsteErgebnisse[[#This Row],[Zahl]])</f>
        <v>0</v>
      </c>
      <c r="L217" s="2">
        <f>HäufigsteErgebnisse[[#This Row],[Zahl]]</f>
        <v>159</v>
      </c>
    </row>
    <row r="218" spans="2:12" x14ac:dyDescent="0.3">
      <c r="B218" s="2">
        <v>160</v>
      </c>
      <c r="C218" s="2">
        <f>COUNTIF(Eingabe[Volle],HäufigsteErgebnisse[[#This Row],[Zahl]])</f>
        <v>0</v>
      </c>
      <c r="D218" s="2">
        <f>COUNTIF(Eingabe[Räumer],HäufigsteErgebnisse[[#This Row],[Zahl]])</f>
        <v>6</v>
      </c>
      <c r="E218" s="2">
        <f>COUNTIF(Eingabe[Fehler],HäufigsteErgebnisse[[#This Row],[Zahl]])</f>
        <v>0</v>
      </c>
      <c r="F218" s="2">
        <f>COUNTIF(Eingabe[S1],HäufigsteErgebnisse[[#This Row],[Zahl]])</f>
        <v>1</v>
      </c>
      <c r="G218" s="2">
        <f>COUNTIF(Eingabe[S2],HäufigsteErgebnisse[[#This Row],[Zahl]])</f>
        <v>0</v>
      </c>
      <c r="H218" s="2">
        <f>COUNTIF(Eingabe[S3],HäufigsteErgebnisse[[#This Row],[Zahl]])</f>
        <v>1</v>
      </c>
      <c r="I218" s="2">
        <f>COUNTIF(Eingabe[S4],HäufigsteErgebnisse[[#This Row],[Zahl]])</f>
        <v>0</v>
      </c>
      <c r="J218" s="2">
        <f>COUNTIF(Eingabe[S1],HäufigsteErgebnisse[[#This Row],[Zahl]])+COUNTIF(Eingabe[S2],HäufigsteErgebnisse[[#This Row],[Zahl]])+COUNTIF(Eingabe[S3],HäufigsteErgebnisse[[#This Row],[Zahl]])+COUNTIF(Eingabe[S4],HäufigsteErgebnisse[[#This Row],[Zahl]])</f>
        <v>2</v>
      </c>
      <c r="K218" s="2">
        <f>COUNTIF(Eingabe[GES],HäufigsteErgebnisse[[#This Row],[Zahl]])</f>
        <v>0</v>
      </c>
      <c r="L218" s="2">
        <f>HäufigsteErgebnisse[[#This Row],[Zahl]]</f>
        <v>160</v>
      </c>
    </row>
    <row r="219" spans="2:12" x14ac:dyDescent="0.3">
      <c r="B219" s="2">
        <v>161</v>
      </c>
      <c r="C219" s="2">
        <f>COUNTIF(Eingabe[Volle],HäufigsteErgebnisse[[#This Row],[Zahl]])</f>
        <v>0</v>
      </c>
      <c r="D219" s="2">
        <f>COUNTIF(Eingabe[Räumer],HäufigsteErgebnisse[[#This Row],[Zahl]])</f>
        <v>7</v>
      </c>
      <c r="E219" s="2">
        <f>COUNTIF(Eingabe[Fehler],HäufigsteErgebnisse[[#This Row],[Zahl]])</f>
        <v>0</v>
      </c>
      <c r="F219" s="2">
        <f>COUNTIF(Eingabe[S1],HäufigsteErgebnisse[[#This Row],[Zahl]])</f>
        <v>2</v>
      </c>
      <c r="G219" s="2">
        <f>COUNTIF(Eingabe[S2],HäufigsteErgebnisse[[#This Row],[Zahl]])</f>
        <v>0</v>
      </c>
      <c r="H219" s="2">
        <f>COUNTIF(Eingabe[S3],HäufigsteErgebnisse[[#This Row],[Zahl]])</f>
        <v>0</v>
      </c>
      <c r="I219" s="2">
        <f>COUNTIF(Eingabe[S4],HäufigsteErgebnisse[[#This Row],[Zahl]])</f>
        <v>1</v>
      </c>
      <c r="J219" s="2">
        <f>COUNTIF(Eingabe[S1],HäufigsteErgebnisse[[#This Row],[Zahl]])+COUNTIF(Eingabe[S2],HäufigsteErgebnisse[[#This Row],[Zahl]])+COUNTIF(Eingabe[S3],HäufigsteErgebnisse[[#This Row],[Zahl]])+COUNTIF(Eingabe[S4],HäufigsteErgebnisse[[#This Row],[Zahl]])</f>
        <v>3</v>
      </c>
      <c r="K219" s="2">
        <f>COUNTIF(Eingabe[GES],HäufigsteErgebnisse[[#This Row],[Zahl]])</f>
        <v>0</v>
      </c>
      <c r="L219" s="2">
        <f>HäufigsteErgebnisse[[#This Row],[Zahl]]</f>
        <v>161</v>
      </c>
    </row>
    <row r="220" spans="2:12" x14ac:dyDescent="0.3">
      <c r="B220" s="2">
        <v>162</v>
      </c>
      <c r="C220" s="2">
        <f>COUNTIF(Eingabe[Volle],HäufigsteErgebnisse[[#This Row],[Zahl]])</f>
        <v>0</v>
      </c>
      <c r="D220" s="2">
        <f>COUNTIF(Eingabe[Räumer],HäufigsteErgebnisse[[#This Row],[Zahl]])</f>
        <v>2</v>
      </c>
      <c r="E220" s="2">
        <f>COUNTIF(Eingabe[Fehler],HäufigsteErgebnisse[[#This Row],[Zahl]])</f>
        <v>0</v>
      </c>
      <c r="F220" s="2">
        <f>COUNTIF(Eingabe[S1],HäufigsteErgebnisse[[#This Row],[Zahl]])</f>
        <v>0</v>
      </c>
      <c r="G220" s="2">
        <f>COUNTIF(Eingabe[S2],HäufigsteErgebnisse[[#This Row],[Zahl]])</f>
        <v>0</v>
      </c>
      <c r="H220" s="2">
        <f>COUNTIF(Eingabe[S3],HäufigsteErgebnisse[[#This Row],[Zahl]])</f>
        <v>1</v>
      </c>
      <c r="I220" s="2">
        <f>COUNTIF(Eingabe[S4],HäufigsteErgebnisse[[#This Row],[Zahl]])</f>
        <v>0</v>
      </c>
      <c r="J220" s="2">
        <f>COUNTIF(Eingabe[S1],HäufigsteErgebnisse[[#This Row],[Zahl]])+COUNTIF(Eingabe[S2],HäufigsteErgebnisse[[#This Row],[Zahl]])+COUNTIF(Eingabe[S3],HäufigsteErgebnisse[[#This Row],[Zahl]])+COUNTIF(Eingabe[S4],HäufigsteErgebnisse[[#This Row],[Zahl]])</f>
        <v>1</v>
      </c>
      <c r="K220" s="2">
        <f>COUNTIF(Eingabe[GES],HäufigsteErgebnisse[[#This Row],[Zahl]])</f>
        <v>0</v>
      </c>
      <c r="L220" s="2">
        <f>HäufigsteErgebnisse[[#This Row],[Zahl]]</f>
        <v>162</v>
      </c>
    </row>
    <row r="221" spans="2:12" x14ac:dyDescent="0.3">
      <c r="B221" s="2">
        <v>163</v>
      </c>
      <c r="C221" s="2">
        <f>COUNTIF(Eingabe[Volle],HäufigsteErgebnisse[[#This Row],[Zahl]])</f>
        <v>0</v>
      </c>
      <c r="D221" s="2">
        <f>COUNTIF(Eingabe[Räumer],HäufigsteErgebnisse[[#This Row],[Zahl]])</f>
        <v>3</v>
      </c>
      <c r="E221" s="2">
        <f>COUNTIF(Eingabe[Fehler],HäufigsteErgebnisse[[#This Row],[Zahl]])</f>
        <v>0</v>
      </c>
      <c r="F221" s="2">
        <f>COUNTIF(Eingabe[S1],HäufigsteErgebnisse[[#This Row],[Zahl]])</f>
        <v>1</v>
      </c>
      <c r="G221" s="2">
        <f>COUNTIF(Eingabe[S2],HäufigsteErgebnisse[[#This Row],[Zahl]])</f>
        <v>1</v>
      </c>
      <c r="H221" s="2">
        <f>COUNTIF(Eingabe[S3],HäufigsteErgebnisse[[#This Row],[Zahl]])</f>
        <v>0</v>
      </c>
      <c r="I221" s="2">
        <f>COUNTIF(Eingabe[S4],HäufigsteErgebnisse[[#This Row],[Zahl]])</f>
        <v>0</v>
      </c>
      <c r="J221" s="2">
        <f>COUNTIF(Eingabe[S1],HäufigsteErgebnisse[[#This Row],[Zahl]])+COUNTIF(Eingabe[S2],HäufigsteErgebnisse[[#This Row],[Zahl]])+COUNTIF(Eingabe[S3],HäufigsteErgebnisse[[#This Row],[Zahl]])+COUNTIF(Eingabe[S4],HäufigsteErgebnisse[[#This Row],[Zahl]])</f>
        <v>2</v>
      </c>
      <c r="K221" s="2">
        <f>COUNTIF(Eingabe[GES],HäufigsteErgebnisse[[#This Row],[Zahl]])</f>
        <v>0</v>
      </c>
      <c r="L221" s="2">
        <f>HäufigsteErgebnisse[[#This Row],[Zahl]]</f>
        <v>163</v>
      </c>
    </row>
    <row r="222" spans="2:12" x14ac:dyDescent="0.3">
      <c r="B222" s="2">
        <v>164</v>
      </c>
      <c r="C222" s="2">
        <f>COUNTIF(Eingabe[Volle],HäufigsteErgebnisse[[#This Row],[Zahl]])</f>
        <v>0</v>
      </c>
      <c r="D222" s="2">
        <f>COUNTIF(Eingabe[Räumer],HäufigsteErgebnisse[[#This Row],[Zahl]])</f>
        <v>3</v>
      </c>
      <c r="E222" s="2">
        <f>COUNTIF(Eingabe[Fehler],HäufigsteErgebnisse[[#This Row],[Zahl]])</f>
        <v>0</v>
      </c>
      <c r="F222" s="2">
        <f>COUNTIF(Eingabe[S1],HäufigsteErgebnisse[[#This Row],[Zahl]])</f>
        <v>0</v>
      </c>
      <c r="G222" s="2">
        <f>COUNTIF(Eingabe[S2],HäufigsteErgebnisse[[#This Row],[Zahl]])</f>
        <v>0</v>
      </c>
      <c r="H222" s="2">
        <f>COUNTIF(Eingabe[S3],HäufigsteErgebnisse[[#This Row],[Zahl]])</f>
        <v>0</v>
      </c>
      <c r="I222" s="2">
        <f>COUNTIF(Eingabe[S4],HäufigsteErgebnisse[[#This Row],[Zahl]])</f>
        <v>0</v>
      </c>
      <c r="J222" s="2">
        <f>COUNTIF(Eingabe[S1],HäufigsteErgebnisse[[#This Row],[Zahl]])+COUNTIF(Eingabe[S2],HäufigsteErgebnisse[[#This Row],[Zahl]])+COUNTIF(Eingabe[S3],HäufigsteErgebnisse[[#This Row],[Zahl]])+COUNTIF(Eingabe[S4],HäufigsteErgebnisse[[#This Row],[Zahl]])</f>
        <v>0</v>
      </c>
      <c r="K222" s="2">
        <f>COUNTIF(Eingabe[GES],HäufigsteErgebnisse[[#This Row],[Zahl]])</f>
        <v>0</v>
      </c>
      <c r="L222" s="2">
        <f>HäufigsteErgebnisse[[#This Row],[Zahl]]</f>
        <v>164</v>
      </c>
    </row>
    <row r="223" spans="2:12" x14ac:dyDescent="0.3">
      <c r="B223" s="2">
        <v>165</v>
      </c>
      <c r="C223" s="2">
        <f>COUNTIF(Eingabe[Volle],HäufigsteErgebnisse[[#This Row],[Zahl]])</f>
        <v>0</v>
      </c>
      <c r="D223" s="2">
        <f>COUNTIF(Eingabe[Räumer],HäufigsteErgebnisse[[#This Row],[Zahl]])</f>
        <v>7</v>
      </c>
      <c r="E223" s="2">
        <f>COUNTIF(Eingabe[Fehler],HäufigsteErgebnisse[[#This Row],[Zahl]])</f>
        <v>0</v>
      </c>
      <c r="F223" s="2">
        <f>COUNTIF(Eingabe[S1],HäufigsteErgebnisse[[#This Row],[Zahl]])</f>
        <v>0</v>
      </c>
      <c r="G223" s="2">
        <f>COUNTIF(Eingabe[S2],HäufigsteErgebnisse[[#This Row],[Zahl]])</f>
        <v>0</v>
      </c>
      <c r="H223" s="2">
        <f>COUNTIF(Eingabe[S3],HäufigsteErgebnisse[[#This Row],[Zahl]])</f>
        <v>0</v>
      </c>
      <c r="I223" s="2">
        <f>COUNTIF(Eingabe[S4],HäufigsteErgebnisse[[#This Row],[Zahl]])</f>
        <v>0</v>
      </c>
      <c r="J223" s="2">
        <f>COUNTIF(Eingabe[S1],HäufigsteErgebnisse[[#This Row],[Zahl]])+COUNTIF(Eingabe[S2],HäufigsteErgebnisse[[#This Row],[Zahl]])+COUNTIF(Eingabe[S3],HäufigsteErgebnisse[[#This Row],[Zahl]])+COUNTIF(Eingabe[S4],HäufigsteErgebnisse[[#This Row],[Zahl]])</f>
        <v>0</v>
      </c>
      <c r="K223" s="2">
        <f>COUNTIF(Eingabe[GES],HäufigsteErgebnisse[[#This Row],[Zahl]])</f>
        <v>0</v>
      </c>
      <c r="L223" s="2">
        <f>HäufigsteErgebnisse[[#This Row],[Zahl]]</f>
        <v>165</v>
      </c>
    </row>
    <row r="224" spans="2:12" x14ac:dyDescent="0.3">
      <c r="B224" s="2">
        <v>166</v>
      </c>
      <c r="C224" s="2">
        <f>COUNTIF(Eingabe[Volle],HäufigsteErgebnisse[[#This Row],[Zahl]])</f>
        <v>0</v>
      </c>
      <c r="D224" s="2">
        <f>COUNTIF(Eingabe[Räumer],HäufigsteErgebnisse[[#This Row],[Zahl]])</f>
        <v>3</v>
      </c>
      <c r="E224" s="2">
        <f>COUNTIF(Eingabe[Fehler],HäufigsteErgebnisse[[#This Row],[Zahl]])</f>
        <v>0</v>
      </c>
      <c r="F224" s="2">
        <f>COUNTIF(Eingabe[S1],HäufigsteErgebnisse[[#This Row],[Zahl]])</f>
        <v>1</v>
      </c>
      <c r="G224" s="2">
        <f>COUNTIF(Eingabe[S2],HäufigsteErgebnisse[[#This Row],[Zahl]])</f>
        <v>0</v>
      </c>
      <c r="H224" s="2">
        <f>COUNTIF(Eingabe[S3],HäufigsteErgebnisse[[#This Row],[Zahl]])</f>
        <v>1</v>
      </c>
      <c r="I224" s="2">
        <f>COUNTIF(Eingabe[S4],HäufigsteErgebnisse[[#This Row],[Zahl]])</f>
        <v>0</v>
      </c>
      <c r="J224" s="2">
        <f>COUNTIF(Eingabe[S1],HäufigsteErgebnisse[[#This Row],[Zahl]])+COUNTIF(Eingabe[S2],HäufigsteErgebnisse[[#This Row],[Zahl]])+COUNTIF(Eingabe[S3],HäufigsteErgebnisse[[#This Row],[Zahl]])+COUNTIF(Eingabe[S4],HäufigsteErgebnisse[[#This Row],[Zahl]])</f>
        <v>2</v>
      </c>
      <c r="K224" s="2">
        <f>COUNTIF(Eingabe[GES],HäufigsteErgebnisse[[#This Row],[Zahl]])</f>
        <v>0</v>
      </c>
      <c r="L224" s="2">
        <f>HäufigsteErgebnisse[[#This Row],[Zahl]]</f>
        <v>166</v>
      </c>
    </row>
    <row r="225" spans="2:12" x14ac:dyDescent="0.3">
      <c r="B225" s="2">
        <v>167</v>
      </c>
      <c r="C225" s="2">
        <f>COUNTIF(Eingabe[Volle],HäufigsteErgebnisse[[#This Row],[Zahl]])</f>
        <v>0</v>
      </c>
      <c r="D225" s="2">
        <f>COUNTIF(Eingabe[Räumer],HäufigsteErgebnisse[[#This Row],[Zahl]])</f>
        <v>5</v>
      </c>
      <c r="E225" s="2">
        <f>COUNTIF(Eingabe[Fehler],HäufigsteErgebnisse[[#This Row],[Zahl]])</f>
        <v>0</v>
      </c>
      <c r="F225" s="2">
        <f>COUNTIF(Eingabe[S1],HäufigsteErgebnisse[[#This Row],[Zahl]])</f>
        <v>0</v>
      </c>
      <c r="G225" s="2">
        <f>COUNTIF(Eingabe[S2],HäufigsteErgebnisse[[#This Row],[Zahl]])</f>
        <v>0</v>
      </c>
      <c r="H225" s="2">
        <f>COUNTIF(Eingabe[S3],HäufigsteErgebnisse[[#This Row],[Zahl]])</f>
        <v>0</v>
      </c>
      <c r="I225" s="2">
        <f>COUNTIF(Eingabe[S4],HäufigsteErgebnisse[[#This Row],[Zahl]])</f>
        <v>1</v>
      </c>
      <c r="J225" s="2">
        <f>COUNTIF(Eingabe[S1],HäufigsteErgebnisse[[#This Row],[Zahl]])+COUNTIF(Eingabe[S2],HäufigsteErgebnisse[[#This Row],[Zahl]])+COUNTIF(Eingabe[S3],HäufigsteErgebnisse[[#This Row],[Zahl]])+COUNTIF(Eingabe[S4],HäufigsteErgebnisse[[#This Row],[Zahl]])</f>
        <v>1</v>
      </c>
      <c r="K225" s="2">
        <f>COUNTIF(Eingabe[GES],HäufigsteErgebnisse[[#This Row],[Zahl]])</f>
        <v>0</v>
      </c>
      <c r="L225" s="2">
        <f>HäufigsteErgebnisse[[#This Row],[Zahl]]</f>
        <v>167</v>
      </c>
    </row>
    <row r="226" spans="2:12" x14ac:dyDescent="0.3">
      <c r="B226" s="2">
        <v>168</v>
      </c>
      <c r="C226" s="2">
        <f>COUNTIF(Eingabe[Volle],HäufigsteErgebnisse[[#This Row],[Zahl]])</f>
        <v>0</v>
      </c>
      <c r="D226" s="2">
        <f>COUNTIF(Eingabe[Räumer],HäufigsteErgebnisse[[#This Row],[Zahl]])</f>
        <v>5</v>
      </c>
      <c r="E226" s="2">
        <f>COUNTIF(Eingabe[Fehler],HäufigsteErgebnisse[[#This Row],[Zahl]])</f>
        <v>0</v>
      </c>
      <c r="F226" s="2">
        <f>COUNTIF(Eingabe[S1],HäufigsteErgebnisse[[#This Row],[Zahl]])</f>
        <v>1</v>
      </c>
      <c r="G226" s="2">
        <f>COUNTIF(Eingabe[S2],HäufigsteErgebnisse[[#This Row],[Zahl]])</f>
        <v>0</v>
      </c>
      <c r="H226" s="2">
        <f>COUNTIF(Eingabe[S3],HäufigsteErgebnisse[[#This Row],[Zahl]])</f>
        <v>1</v>
      </c>
      <c r="I226" s="2">
        <f>COUNTIF(Eingabe[S4],HäufigsteErgebnisse[[#This Row],[Zahl]])</f>
        <v>0</v>
      </c>
      <c r="J226" s="2">
        <f>COUNTIF(Eingabe[S1],HäufigsteErgebnisse[[#This Row],[Zahl]])+COUNTIF(Eingabe[S2],HäufigsteErgebnisse[[#This Row],[Zahl]])+COUNTIF(Eingabe[S3],HäufigsteErgebnisse[[#This Row],[Zahl]])+COUNTIF(Eingabe[S4],HäufigsteErgebnisse[[#This Row],[Zahl]])</f>
        <v>2</v>
      </c>
      <c r="K226" s="2">
        <f>COUNTIF(Eingabe[GES],HäufigsteErgebnisse[[#This Row],[Zahl]])</f>
        <v>0</v>
      </c>
      <c r="L226" s="2">
        <f>HäufigsteErgebnisse[[#This Row],[Zahl]]</f>
        <v>168</v>
      </c>
    </row>
    <row r="227" spans="2:12" x14ac:dyDescent="0.3">
      <c r="B227" s="2">
        <v>169</v>
      </c>
      <c r="C227" s="2">
        <f>COUNTIF(Eingabe[Volle],HäufigsteErgebnisse[[#This Row],[Zahl]])</f>
        <v>0</v>
      </c>
      <c r="D227" s="2">
        <f>COUNTIF(Eingabe[Räumer],HäufigsteErgebnisse[[#This Row],[Zahl]])</f>
        <v>5</v>
      </c>
      <c r="E227" s="2">
        <f>COUNTIF(Eingabe[Fehler],HäufigsteErgebnisse[[#This Row],[Zahl]])</f>
        <v>0</v>
      </c>
      <c r="F227" s="2">
        <f>COUNTIF(Eingabe[S1],HäufigsteErgebnisse[[#This Row],[Zahl]])</f>
        <v>0</v>
      </c>
      <c r="G227" s="2">
        <f>COUNTIF(Eingabe[S2],HäufigsteErgebnisse[[#This Row],[Zahl]])</f>
        <v>0</v>
      </c>
      <c r="H227" s="2">
        <f>COUNTIF(Eingabe[S3],HäufigsteErgebnisse[[#This Row],[Zahl]])</f>
        <v>0</v>
      </c>
      <c r="I227" s="2">
        <f>COUNTIF(Eingabe[S4],HäufigsteErgebnisse[[#This Row],[Zahl]])</f>
        <v>0</v>
      </c>
      <c r="J227" s="2">
        <f>COUNTIF(Eingabe[S1],HäufigsteErgebnisse[[#This Row],[Zahl]])+COUNTIF(Eingabe[S2],HäufigsteErgebnisse[[#This Row],[Zahl]])+COUNTIF(Eingabe[S3],HäufigsteErgebnisse[[#This Row],[Zahl]])+COUNTIF(Eingabe[S4],HäufigsteErgebnisse[[#This Row],[Zahl]])</f>
        <v>0</v>
      </c>
      <c r="K227" s="2">
        <f>COUNTIF(Eingabe[GES],HäufigsteErgebnisse[[#This Row],[Zahl]])</f>
        <v>0</v>
      </c>
      <c r="L227" s="2">
        <f>HäufigsteErgebnisse[[#This Row],[Zahl]]</f>
        <v>169</v>
      </c>
    </row>
    <row r="228" spans="2:12" x14ac:dyDescent="0.3">
      <c r="B228" s="2">
        <v>170</v>
      </c>
      <c r="C228" s="2">
        <f>COUNTIF(Eingabe[Volle],HäufigsteErgebnisse[[#This Row],[Zahl]])</f>
        <v>0</v>
      </c>
      <c r="D228" s="2">
        <f>COUNTIF(Eingabe[Räumer],HäufigsteErgebnisse[[#This Row],[Zahl]])</f>
        <v>3</v>
      </c>
      <c r="E228" s="2">
        <f>COUNTIF(Eingabe[Fehler],HäufigsteErgebnisse[[#This Row],[Zahl]])</f>
        <v>0</v>
      </c>
      <c r="F228" s="2">
        <f>COUNTIF(Eingabe[S1],HäufigsteErgebnisse[[#This Row],[Zahl]])</f>
        <v>0</v>
      </c>
      <c r="G228" s="2">
        <f>COUNTIF(Eingabe[S2],HäufigsteErgebnisse[[#This Row],[Zahl]])</f>
        <v>0</v>
      </c>
      <c r="H228" s="2">
        <f>COUNTIF(Eingabe[S3],HäufigsteErgebnisse[[#This Row],[Zahl]])</f>
        <v>0</v>
      </c>
      <c r="I228" s="2">
        <f>COUNTIF(Eingabe[S4],HäufigsteErgebnisse[[#This Row],[Zahl]])</f>
        <v>0</v>
      </c>
      <c r="J228" s="2">
        <f>COUNTIF(Eingabe[S1],HäufigsteErgebnisse[[#This Row],[Zahl]])+COUNTIF(Eingabe[S2],HäufigsteErgebnisse[[#This Row],[Zahl]])+COUNTIF(Eingabe[S3],HäufigsteErgebnisse[[#This Row],[Zahl]])+COUNTIF(Eingabe[S4],HäufigsteErgebnisse[[#This Row],[Zahl]])</f>
        <v>0</v>
      </c>
      <c r="K228" s="2">
        <f>COUNTIF(Eingabe[GES],HäufigsteErgebnisse[[#This Row],[Zahl]])</f>
        <v>0</v>
      </c>
      <c r="L228" s="2">
        <f>HäufigsteErgebnisse[[#This Row],[Zahl]]</f>
        <v>170</v>
      </c>
    </row>
    <row r="229" spans="2:12" x14ac:dyDescent="0.3">
      <c r="B229" s="2">
        <v>171</v>
      </c>
      <c r="C229" s="2">
        <f>COUNTIF(Eingabe[Volle],HäufigsteErgebnisse[[#This Row],[Zahl]])</f>
        <v>0</v>
      </c>
      <c r="D229" s="2">
        <f>COUNTIF(Eingabe[Räumer],HäufigsteErgebnisse[[#This Row],[Zahl]])</f>
        <v>1</v>
      </c>
      <c r="E229" s="2">
        <f>COUNTIF(Eingabe[Fehler],HäufigsteErgebnisse[[#This Row],[Zahl]])</f>
        <v>0</v>
      </c>
      <c r="F229" s="2">
        <f>COUNTIF(Eingabe[S1],HäufigsteErgebnisse[[#This Row],[Zahl]])</f>
        <v>0</v>
      </c>
      <c r="G229" s="2">
        <f>COUNTIF(Eingabe[S2],HäufigsteErgebnisse[[#This Row],[Zahl]])</f>
        <v>1</v>
      </c>
      <c r="H229" s="2">
        <f>COUNTIF(Eingabe[S3],HäufigsteErgebnisse[[#This Row],[Zahl]])</f>
        <v>0</v>
      </c>
      <c r="I229" s="2">
        <f>COUNTIF(Eingabe[S4],HäufigsteErgebnisse[[#This Row],[Zahl]])</f>
        <v>0</v>
      </c>
      <c r="J229" s="2">
        <f>COUNTIF(Eingabe[S1],HäufigsteErgebnisse[[#This Row],[Zahl]])+COUNTIF(Eingabe[S2],HäufigsteErgebnisse[[#This Row],[Zahl]])+COUNTIF(Eingabe[S3],HäufigsteErgebnisse[[#This Row],[Zahl]])+COUNTIF(Eingabe[S4],HäufigsteErgebnisse[[#This Row],[Zahl]])</f>
        <v>1</v>
      </c>
      <c r="K229" s="2">
        <f>COUNTIF(Eingabe[GES],HäufigsteErgebnisse[[#This Row],[Zahl]])</f>
        <v>0</v>
      </c>
      <c r="L229" s="2">
        <f>HäufigsteErgebnisse[[#This Row],[Zahl]]</f>
        <v>171</v>
      </c>
    </row>
    <row r="230" spans="2:12" x14ac:dyDescent="0.3">
      <c r="B230" s="2">
        <v>172</v>
      </c>
      <c r="C230" s="2">
        <f>COUNTIF(Eingabe[Volle],HäufigsteErgebnisse[[#This Row],[Zahl]])</f>
        <v>0</v>
      </c>
      <c r="D230" s="2">
        <f>COUNTIF(Eingabe[Räumer],HäufigsteErgebnisse[[#This Row],[Zahl]])</f>
        <v>3</v>
      </c>
      <c r="E230" s="2">
        <f>COUNTIF(Eingabe[Fehler],HäufigsteErgebnisse[[#This Row],[Zahl]])</f>
        <v>0</v>
      </c>
      <c r="F230" s="2">
        <f>COUNTIF(Eingabe[S1],HäufigsteErgebnisse[[#This Row],[Zahl]])</f>
        <v>0</v>
      </c>
      <c r="G230" s="2">
        <f>COUNTIF(Eingabe[S2],HäufigsteErgebnisse[[#This Row],[Zahl]])</f>
        <v>0</v>
      </c>
      <c r="H230" s="2">
        <f>COUNTIF(Eingabe[S3],HäufigsteErgebnisse[[#This Row],[Zahl]])</f>
        <v>0</v>
      </c>
      <c r="I230" s="2">
        <f>COUNTIF(Eingabe[S4],HäufigsteErgebnisse[[#This Row],[Zahl]])</f>
        <v>0</v>
      </c>
      <c r="J230" s="2">
        <f>COUNTIF(Eingabe[S1],HäufigsteErgebnisse[[#This Row],[Zahl]])+COUNTIF(Eingabe[S2],HäufigsteErgebnisse[[#This Row],[Zahl]])+COUNTIF(Eingabe[S3],HäufigsteErgebnisse[[#This Row],[Zahl]])+COUNTIF(Eingabe[S4],HäufigsteErgebnisse[[#This Row],[Zahl]])</f>
        <v>0</v>
      </c>
      <c r="K230" s="2">
        <f>COUNTIF(Eingabe[GES],HäufigsteErgebnisse[[#This Row],[Zahl]])</f>
        <v>0</v>
      </c>
      <c r="L230" s="2">
        <f>HäufigsteErgebnisse[[#This Row],[Zahl]]</f>
        <v>172</v>
      </c>
    </row>
    <row r="231" spans="2:12" x14ac:dyDescent="0.3">
      <c r="B231" s="2">
        <v>173</v>
      </c>
      <c r="C231" s="2">
        <f>COUNTIF(Eingabe[Volle],HäufigsteErgebnisse[[#This Row],[Zahl]])</f>
        <v>0</v>
      </c>
      <c r="D231" s="2">
        <f>COUNTIF(Eingabe[Räumer],HäufigsteErgebnisse[[#This Row],[Zahl]])</f>
        <v>7</v>
      </c>
      <c r="E231" s="2">
        <f>COUNTIF(Eingabe[Fehler],HäufigsteErgebnisse[[#This Row],[Zahl]])</f>
        <v>0</v>
      </c>
      <c r="F231" s="2">
        <f>COUNTIF(Eingabe[S1],HäufigsteErgebnisse[[#This Row],[Zahl]])</f>
        <v>0</v>
      </c>
      <c r="G231" s="2">
        <f>COUNTIF(Eingabe[S2],HäufigsteErgebnisse[[#This Row],[Zahl]])</f>
        <v>0</v>
      </c>
      <c r="H231" s="2">
        <f>COUNTIF(Eingabe[S3],HäufigsteErgebnisse[[#This Row],[Zahl]])</f>
        <v>0</v>
      </c>
      <c r="I231" s="2">
        <f>COUNTIF(Eingabe[S4],HäufigsteErgebnisse[[#This Row],[Zahl]])</f>
        <v>1</v>
      </c>
      <c r="J231" s="2">
        <f>COUNTIF(Eingabe[S1],HäufigsteErgebnisse[[#This Row],[Zahl]])+COUNTIF(Eingabe[S2],HäufigsteErgebnisse[[#This Row],[Zahl]])+COUNTIF(Eingabe[S3],HäufigsteErgebnisse[[#This Row],[Zahl]])+COUNTIF(Eingabe[S4],HäufigsteErgebnisse[[#This Row],[Zahl]])</f>
        <v>1</v>
      </c>
      <c r="K231" s="2">
        <f>COUNTIF(Eingabe[GES],HäufigsteErgebnisse[[#This Row],[Zahl]])</f>
        <v>0</v>
      </c>
      <c r="L231" s="2">
        <f>HäufigsteErgebnisse[[#This Row],[Zahl]]</f>
        <v>173</v>
      </c>
    </row>
    <row r="232" spans="2:12" x14ac:dyDescent="0.3">
      <c r="B232" s="2">
        <v>174</v>
      </c>
      <c r="C232" s="2">
        <f>COUNTIF(Eingabe[Volle],HäufigsteErgebnisse[[#This Row],[Zahl]])</f>
        <v>0</v>
      </c>
      <c r="D232" s="2">
        <f>COUNTIF(Eingabe[Räumer],HäufigsteErgebnisse[[#This Row],[Zahl]])</f>
        <v>11</v>
      </c>
      <c r="E232" s="2">
        <f>COUNTIF(Eingabe[Fehler],HäufigsteErgebnisse[[#This Row],[Zahl]])</f>
        <v>0</v>
      </c>
      <c r="F232" s="2">
        <f>COUNTIF(Eingabe[S1],HäufigsteErgebnisse[[#This Row],[Zahl]])</f>
        <v>0</v>
      </c>
      <c r="G232" s="2">
        <f>COUNTIF(Eingabe[S2],HäufigsteErgebnisse[[#This Row],[Zahl]])</f>
        <v>0</v>
      </c>
      <c r="H232" s="2">
        <f>COUNTIF(Eingabe[S3],HäufigsteErgebnisse[[#This Row],[Zahl]])</f>
        <v>0</v>
      </c>
      <c r="I232" s="2">
        <f>COUNTIF(Eingabe[S4],HäufigsteErgebnisse[[#This Row],[Zahl]])</f>
        <v>0</v>
      </c>
      <c r="J232" s="2">
        <f>COUNTIF(Eingabe[S1],HäufigsteErgebnisse[[#This Row],[Zahl]])+COUNTIF(Eingabe[S2],HäufigsteErgebnisse[[#This Row],[Zahl]])+COUNTIF(Eingabe[S3],HäufigsteErgebnisse[[#This Row],[Zahl]])+COUNTIF(Eingabe[S4],HäufigsteErgebnisse[[#This Row],[Zahl]])</f>
        <v>0</v>
      </c>
      <c r="K232" s="2">
        <f>COUNTIF(Eingabe[GES],HäufigsteErgebnisse[[#This Row],[Zahl]])</f>
        <v>0</v>
      </c>
      <c r="L232" s="2">
        <f>HäufigsteErgebnisse[[#This Row],[Zahl]]</f>
        <v>174</v>
      </c>
    </row>
    <row r="233" spans="2:12" x14ac:dyDescent="0.3">
      <c r="B233" s="2">
        <v>175</v>
      </c>
      <c r="C233" s="2">
        <f>COUNTIF(Eingabe[Volle],HäufigsteErgebnisse[[#This Row],[Zahl]])</f>
        <v>0</v>
      </c>
      <c r="D233" s="2">
        <f>COUNTIF(Eingabe[Räumer],HäufigsteErgebnisse[[#This Row],[Zahl]])</f>
        <v>3</v>
      </c>
      <c r="E233" s="2">
        <f>COUNTIF(Eingabe[Fehler],HäufigsteErgebnisse[[#This Row],[Zahl]])</f>
        <v>0</v>
      </c>
      <c r="F233" s="2">
        <f>COUNTIF(Eingabe[S1],HäufigsteErgebnisse[[#This Row],[Zahl]])</f>
        <v>0</v>
      </c>
      <c r="G233" s="2">
        <f>COUNTIF(Eingabe[S2],HäufigsteErgebnisse[[#This Row],[Zahl]])</f>
        <v>0</v>
      </c>
      <c r="H233" s="2">
        <f>COUNTIF(Eingabe[S3],HäufigsteErgebnisse[[#This Row],[Zahl]])</f>
        <v>0</v>
      </c>
      <c r="I233" s="2">
        <f>COUNTIF(Eingabe[S4],HäufigsteErgebnisse[[#This Row],[Zahl]])</f>
        <v>0</v>
      </c>
      <c r="J233" s="2">
        <f>COUNTIF(Eingabe[S1],HäufigsteErgebnisse[[#This Row],[Zahl]])+COUNTIF(Eingabe[S2],HäufigsteErgebnisse[[#This Row],[Zahl]])+COUNTIF(Eingabe[S3],HäufigsteErgebnisse[[#This Row],[Zahl]])+COUNTIF(Eingabe[S4],HäufigsteErgebnisse[[#This Row],[Zahl]])</f>
        <v>0</v>
      </c>
      <c r="K233" s="2">
        <f>COUNTIF(Eingabe[GES],HäufigsteErgebnisse[[#This Row],[Zahl]])</f>
        <v>0</v>
      </c>
      <c r="L233" s="2">
        <f>HäufigsteErgebnisse[[#This Row],[Zahl]]</f>
        <v>175</v>
      </c>
    </row>
    <row r="234" spans="2:12" x14ac:dyDescent="0.3">
      <c r="B234" s="2">
        <v>176</v>
      </c>
      <c r="C234" s="2">
        <f>COUNTIF(Eingabe[Volle],HäufigsteErgebnisse[[#This Row],[Zahl]])</f>
        <v>0</v>
      </c>
      <c r="D234" s="2">
        <f>COUNTIF(Eingabe[Räumer],HäufigsteErgebnisse[[#This Row],[Zahl]])</f>
        <v>1</v>
      </c>
      <c r="E234" s="2">
        <f>COUNTIF(Eingabe[Fehler],HäufigsteErgebnisse[[#This Row],[Zahl]])</f>
        <v>0</v>
      </c>
      <c r="F234" s="2">
        <f>COUNTIF(Eingabe[S1],HäufigsteErgebnisse[[#This Row],[Zahl]])</f>
        <v>0</v>
      </c>
      <c r="G234" s="2">
        <f>COUNTIF(Eingabe[S2],HäufigsteErgebnisse[[#This Row],[Zahl]])</f>
        <v>0</v>
      </c>
      <c r="H234" s="2">
        <f>COUNTIF(Eingabe[S3],HäufigsteErgebnisse[[#This Row],[Zahl]])</f>
        <v>0</v>
      </c>
      <c r="I234" s="2">
        <f>COUNTIF(Eingabe[S4],HäufigsteErgebnisse[[#This Row],[Zahl]])</f>
        <v>0</v>
      </c>
      <c r="J234" s="2">
        <f>COUNTIF(Eingabe[S1],HäufigsteErgebnisse[[#This Row],[Zahl]])+COUNTIF(Eingabe[S2],HäufigsteErgebnisse[[#This Row],[Zahl]])+COUNTIF(Eingabe[S3],HäufigsteErgebnisse[[#This Row],[Zahl]])+COUNTIF(Eingabe[S4],HäufigsteErgebnisse[[#This Row],[Zahl]])</f>
        <v>0</v>
      </c>
      <c r="K234" s="2">
        <f>COUNTIF(Eingabe[GES],HäufigsteErgebnisse[[#This Row],[Zahl]])</f>
        <v>0</v>
      </c>
      <c r="L234" s="2">
        <f>HäufigsteErgebnisse[[#This Row],[Zahl]]</f>
        <v>176</v>
      </c>
    </row>
    <row r="235" spans="2:12" x14ac:dyDescent="0.3">
      <c r="B235" s="2">
        <v>177</v>
      </c>
      <c r="C235" s="2">
        <f>COUNTIF(Eingabe[Volle],HäufigsteErgebnisse[[#This Row],[Zahl]])</f>
        <v>0</v>
      </c>
      <c r="D235" s="2">
        <f>COUNTIF(Eingabe[Räumer],HäufigsteErgebnisse[[#This Row],[Zahl]])</f>
        <v>6</v>
      </c>
      <c r="E235" s="2">
        <f>COUNTIF(Eingabe[Fehler],HäufigsteErgebnisse[[#This Row],[Zahl]])</f>
        <v>0</v>
      </c>
      <c r="F235" s="2">
        <f>COUNTIF(Eingabe[S1],HäufigsteErgebnisse[[#This Row],[Zahl]])</f>
        <v>0</v>
      </c>
      <c r="G235" s="2">
        <f>COUNTIF(Eingabe[S2],HäufigsteErgebnisse[[#This Row],[Zahl]])</f>
        <v>0</v>
      </c>
      <c r="H235" s="2">
        <f>COUNTIF(Eingabe[S3],HäufigsteErgebnisse[[#This Row],[Zahl]])</f>
        <v>0</v>
      </c>
      <c r="I235" s="2">
        <f>COUNTIF(Eingabe[S4],HäufigsteErgebnisse[[#This Row],[Zahl]])</f>
        <v>0</v>
      </c>
      <c r="J235" s="2">
        <f>COUNTIF(Eingabe[S1],HäufigsteErgebnisse[[#This Row],[Zahl]])+COUNTIF(Eingabe[S2],HäufigsteErgebnisse[[#This Row],[Zahl]])+COUNTIF(Eingabe[S3],HäufigsteErgebnisse[[#This Row],[Zahl]])+COUNTIF(Eingabe[S4],HäufigsteErgebnisse[[#This Row],[Zahl]])</f>
        <v>0</v>
      </c>
      <c r="K235" s="2">
        <f>COUNTIF(Eingabe[GES],HäufigsteErgebnisse[[#This Row],[Zahl]])</f>
        <v>0</v>
      </c>
      <c r="L235" s="2">
        <f>HäufigsteErgebnisse[[#This Row],[Zahl]]</f>
        <v>177</v>
      </c>
    </row>
    <row r="236" spans="2:12" x14ac:dyDescent="0.3">
      <c r="B236" s="2">
        <v>178</v>
      </c>
      <c r="C236" s="2">
        <f>COUNTIF(Eingabe[Volle],HäufigsteErgebnisse[[#This Row],[Zahl]])</f>
        <v>0</v>
      </c>
      <c r="D236" s="2">
        <f>COUNTIF(Eingabe[Räumer],HäufigsteErgebnisse[[#This Row],[Zahl]])</f>
        <v>5</v>
      </c>
      <c r="E236" s="2">
        <f>COUNTIF(Eingabe[Fehler],HäufigsteErgebnisse[[#This Row],[Zahl]])</f>
        <v>0</v>
      </c>
      <c r="F236" s="2">
        <f>COUNTIF(Eingabe[S1],HäufigsteErgebnisse[[#This Row],[Zahl]])</f>
        <v>0</v>
      </c>
      <c r="G236" s="2">
        <f>COUNTIF(Eingabe[S2],HäufigsteErgebnisse[[#This Row],[Zahl]])</f>
        <v>0</v>
      </c>
      <c r="H236" s="2">
        <f>COUNTIF(Eingabe[S3],HäufigsteErgebnisse[[#This Row],[Zahl]])</f>
        <v>0</v>
      </c>
      <c r="I236" s="2">
        <f>COUNTIF(Eingabe[S4],HäufigsteErgebnisse[[#This Row],[Zahl]])</f>
        <v>0</v>
      </c>
      <c r="J236" s="2">
        <f>COUNTIF(Eingabe[S1],HäufigsteErgebnisse[[#This Row],[Zahl]])+COUNTIF(Eingabe[S2],HäufigsteErgebnisse[[#This Row],[Zahl]])+COUNTIF(Eingabe[S3],HäufigsteErgebnisse[[#This Row],[Zahl]])+COUNTIF(Eingabe[S4],HäufigsteErgebnisse[[#This Row],[Zahl]])</f>
        <v>0</v>
      </c>
      <c r="K236" s="2">
        <f>COUNTIF(Eingabe[GES],HäufigsteErgebnisse[[#This Row],[Zahl]])</f>
        <v>0</v>
      </c>
      <c r="L236" s="2">
        <f>HäufigsteErgebnisse[[#This Row],[Zahl]]</f>
        <v>178</v>
      </c>
    </row>
    <row r="237" spans="2:12" x14ac:dyDescent="0.3">
      <c r="B237" s="2">
        <v>179</v>
      </c>
      <c r="C237" s="2">
        <f>COUNTIF(Eingabe[Volle],HäufigsteErgebnisse[[#This Row],[Zahl]])</f>
        <v>0</v>
      </c>
      <c r="D237" s="2">
        <f>COUNTIF(Eingabe[Räumer],HäufigsteErgebnisse[[#This Row],[Zahl]])</f>
        <v>2</v>
      </c>
      <c r="E237" s="2">
        <f>COUNTIF(Eingabe[Fehler],HäufigsteErgebnisse[[#This Row],[Zahl]])</f>
        <v>0</v>
      </c>
      <c r="F237" s="2">
        <f>COUNTIF(Eingabe[S1],HäufigsteErgebnisse[[#This Row],[Zahl]])</f>
        <v>0</v>
      </c>
      <c r="G237" s="2">
        <f>COUNTIF(Eingabe[S2],HäufigsteErgebnisse[[#This Row],[Zahl]])</f>
        <v>0</v>
      </c>
      <c r="H237" s="2">
        <f>COUNTIF(Eingabe[S3],HäufigsteErgebnisse[[#This Row],[Zahl]])</f>
        <v>0</v>
      </c>
      <c r="I237" s="2">
        <f>COUNTIF(Eingabe[S4],HäufigsteErgebnisse[[#This Row],[Zahl]])</f>
        <v>0</v>
      </c>
      <c r="J237" s="2">
        <f>COUNTIF(Eingabe[S1],HäufigsteErgebnisse[[#This Row],[Zahl]])+COUNTIF(Eingabe[S2],HäufigsteErgebnisse[[#This Row],[Zahl]])+COUNTIF(Eingabe[S3],HäufigsteErgebnisse[[#This Row],[Zahl]])+COUNTIF(Eingabe[S4],HäufigsteErgebnisse[[#This Row],[Zahl]])</f>
        <v>0</v>
      </c>
      <c r="K237" s="2">
        <f>COUNTIF(Eingabe[GES],HäufigsteErgebnisse[[#This Row],[Zahl]])</f>
        <v>0</v>
      </c>
      <c r="L237" s="2">
        <f>HäufigsteErgebnisse[[#This Row],[Zahl]]</f>
        <v>179</v>
      </c>
    </row>
    <row r="238" spans="2:12" x14ac:dyDescent="0.3">
      <c r="B238" s="2">
        <v>180</v>
      </c>
      <c r="C238" s="2">
        <f>COUNTIF(Eingabe[Volle],HäufigsteErgebnisse[[#This Row],[Zahl]])</f>
        <v>0</v>
      </c>
      <c r="D238" s="2">
        <f>COUNTIF(Eingabe[Räumer],HäufigsteErgebnisse[[#This Row],[Zahl]])</f>
        <v>8</v>
      </c>
      <c r="E238" s="2">
        <f>COUNTIF(Eingabe[Fehler],HäufigsteErgebnisse[[#This Row],[Zahl]])</f>
        <v>0</v>
      </c>
      <c r="F238" s="2">
        <f>COUNTIF(Eingabe[S1],HäufigsteErgebnisse[[#This Row],[Zahl]])</f>
        <v>0</v>
      </c>
      <c r="G238" s="2">
        <f>COUNTIF(Eingabe[S2],HäufigsteErgebnisse[[#This Row],[Zahl]])</f>
        <v>0</v>
      </c>
      <c r="H238" s="2">
        <f>COUNTIF(Eingabe[S3],HäufigsteErgebnisse[[#This Row],[Zahl]])</f>
        <v>0</v>
      </c>
      <c r="I238" s="2">
        <f>COUNTIF(Eingabe[S4],HäufigsteErgebnisse[[#This Row],[Zahl]])</f>
        <v>0</v>
      </c>
      <c r="J238" s="2">
        <f>COUNTIF(Eingabe[S1],HäufigsteErgebnisse[[#This Row],[Zahl]])+COUNTIF(Eingabe[S2],HäufigsteErgebnisse[[#This Row],[Zahl]])+COUNTIF(Eingabe[S3],HäufigsteErgebnisse[[#This Row],[Zahl]])+COUNTIF(Eingabe[S4],HäufigsteErgebnisse[[#This Row],[Zahl]])</f>
        <v>0</v>
      </c>
      <c r="K238" s="2">
        <f>COUNTIF(Eingabe[GES],HäufigsteErgebnisse[[#This Row],[Zahl]])</f>
        <v>0</v>
      </c>
      <c r="L238" s="2">
        <f>HäufigsteErgebnisse[[#This Row],[Zahl]]</f>
        <v>180</v>
      </c>
    </row>
    <row r="239" spans="2:12" x14ac:dyDescent="0.3">
      <c r="B239" s="2">
        <v>181</v>
      </c>
      <c r="C239" s="2">
        <f>COUNTIF(Eingabe[Volle],HäufigsteErgebnisse[[#This Row],[Zahl]])</f>
        <v>0</v>
      </c>
      <c r="D239" s="2">
        <f>COUNTIF(Eingabe[Räumer],HäufigsteErgebnisse[[#This Row],[Zahl]])</f>
        <v>1</v>
      </c>
      <c r="E239" s="2">
        <f>COUNTIF(Eingabe[Fehler],HäufigsteErgebnisse[[#This Row],[Zahl]])</f>
        <v>0</v>
      </c>
      <c r="F239" s="2">
        <f>COUNTIF(Eingabe[S1],HäufigsteErgebnisse[[#This Row],[Zahl]])</f>
        <v>0</v>
      </c>
      <c r="G239" s="2">
        <f>COUNTIF(Eingabe[S2],HäufigsteErgebnisse[[#This Row],[Zahl]])</f>
        <v>0</v>
      </c>
      <c r="H239" s="2">
        <f>COUNTIF(Eingabe[S3],HäufigsteErgebnisse[[#This Row],[Zahl]])</f>
        <v>0</v>
      </c>
      <c r="I239" s="2">
        <f>COUNTIF(Eingabe[S4],HäufigsteErgebnisse[[#This Row],[Zahl]])</f>
        <v>0</v>
      </c>
      <c r="J239" s="2">
        <f>COUNTIF(Eingabe[S1],HäufigsteErgebnisse[[#This Row],[Zahl]])+COUNTIF(Eingabe[S2],HäufigsteErgebnisse[[#This Row],[Zahl]])+COUNTIF(Eingabe[S3],HäufigsteErgebnisse[[#This Row],[Zahl]])+COUNTIF(Eingabe[S4],HäufigsteErgebnisse[[#This Row],[Zahl]])</f>
        <v>0</v>
      </c>
      <c r="K239" s="2">
        <f>COUNTIF(Eingabe[GES],HäufigsteErgebnisse[[#This Row],[Zahl]])</f>
        <v>0</v>
      </c>
      <c r="L239" s="2">
        <f>HäufigsteErgebnisse[[#This Row],[Zahl]]</f>
        <v>181</v>
      </c>
    </row>
    <row r="240" spans="2:12" x14ac:dyDescent="0.3">
      <c r="B240" s="2">
        <v>182</v>
      </c>
      <c r="C240" s="2">
        <f>COUNTIF(Eingabe[Volle],HäufigsteErgebnisse[[#This Row],[Zahl]])</f>
        <v>1</v>
      </c>
      <c r="D240" s="2">
        <f>COUNTIF(Eingabe[Räumer],HäufigsteErgebnisse[[#This Row],[Zahl]])</f>
        <v>2</v>
      </c>
      <c r="E240" s="2">
        <f>COUNTIF(Eingabe[Fehler],HäufigsteErgebnisse[[#This Row],[Zahl]])</f>
        <v>0</v>
      </c>
      <c r="F240" s="2">
        <f>COUNTIF(Eingabe[S1],HäufigsteErgebnisse[[#This Row],[Zahl]])</f>
        <v>0</v>
      </c>
      <c r="G240" s="2">
        <f>COUNTIF(Eingabe[S2],HäufigsteErgebnisse[[#This Row],[Zahl]])</f>
        <v>0</v>
      </c>
      <c r="H240" s="2">
        <f>COUNTIF(Eingabe[S3],HäufigsteErgebnisse[[#This Row],[Zahl]])</f>
        <v>0</v>
      </c>
      <c r="I240" s="2">
        <f>COUNTIF(Eingabe[S4],HäufigsteErgebnisse[[#This Row],[Zahl]])</f>
        <v>0</v>
      </c>
      <c r="J240" s="2">
        <f>COUNTIF(Eingabe[S1],HäufigsteErgebnisse[[#This Row],[Zahl]])+COUNTIF(Eingabe[S2],HäufigsteErgebnisse[[#This Row],[Zahl]])+COUNTIF(Eingabe[S3],HäufigsteErgebnisse[[#This Row],[Zahl]])+COUNTIF(Eingabe[S4],HäufigsteErgebnisse[[#This Row],[Zahl]])</f>
        <v>0</v>
      </c>
      <c r="K240" s="2">
        <f>COUNTIF(Eingabe[GES],HäufigsteErgebnisse[[#This Row],[Zahl]])</f>
        <v>0</v>
      </c>
      <c r="L240" s="2">
        <f>HäufigsteErgebnisse[[#This Row],[Zahl]]</f>
        <v>182</v>
      </c>
    </row>
    <row r="241" spans="2:12" x14ac:dyDescent="0.3">
      <c r="B241" s="2">
        <v>183</v>
      </c>
      <c r="C241" s="2">
        <f>COUNTIF(Eingabe[Volle],HäufigsteErgebnisse[[#This Row],[Zahl]])</f>
        <v>0</v>
      </c>
      <c r="D241" s="2">
        <f>COUNTIF(Eingabe[Räumer],HäufigsteErgebnisse[[#This Row],[Zahl]])</f>
        <v>5</v>
      </c>
      <c r="E241" s="2">
        <f>COUNTIF(Eingabe[Fehler],HäufigsteErgebnisse[[#This Row],[Zahl]])</f>
        <v>0</v>
      </c>
      <c r="F241" s="2">
        <f>COUNTIF(Eingabe[S1],HäufigsteErgebnisse[[#This Row],[Zahl]])</f>
        <v>0</v>
      </c>
      <c r="G241" s="2">
        <f>COUNTIF(Eingabe[S2],HäufigsteErgebnisse[[#This Row],[Zahl]])</f>
        <v>0</v>
      </c>
      <c r="H241" s="2">
        <f>COUNTIF(Eingabe[S3],HäufigsteErgebnisse[[#This Row],[Zahl]])</f>
        <v>0</v>
      </c>
      <c r="I241" s="2">
        <f>COUNTIF(Eingabe[S4],HäufigsteErgebnisse[[#This Row],[Zahl]])</f>
        <v>0</v>
      </c>
      <c r="J241" s="2">
        <f>COUNTIF(Eingabe[S1],HäufigsteErgebnisse[[#This Row],[Zahl]])+COUNTIF(Eingabe[S2],HäufigsteErgebnisse[[#This Row],[Zahl]])+COUNTIF(Eingabe[S3],HäufigsteErgebnisse[[#This Row],[Zahl]])+COUNTIF(Eingabe[S4],HäufigsteErgebnisse[[#This Row],[Zahl]])</f>
        <v>0</v>
      </c>
      <c r="K241" s="2">
        <f>COUNTIF(Eingabe[GES],HäufigsteErgebnisse[[#This Row],[Zahl]])</f>
        <v>0</v>
      </c>
      <c r="L241" s="2">
        <f>HäufigsteErgebnisse[[#This Row],[Zahl]]</f>
        <v>183</v>
      </c>
    </row>
    <row r="242" spans="2:12" x14ac:dyDescent="0.3">
      <c r="B242" s="2">
        <v>184</v>
      </c>
      <c r="C242" s="2">
        <f>COUNTIF(Eingabe[Volle],HäufigsteErgebnisse[[#This Row],[Zahl]])</f>
        <v>0</v>
      </c>
      <c r="D242" s="2">
        <f>COUNTIF(Eingabe[Räumer],HäufigsteErgebnisse[[#This Row],[Zahl]])</f>
        <v>8</v>
      </c>
      <c r="E242" s="2">
        <f>COUNTIF(Eingabe[Fehler],HäufigsteErgebnisse[[#This Row],[Zahl]])</f>
        <v>0</v>
      </c>
      <c r="F242" s="2">
        <f>COUNTIF(Eingabe[S1],HäufigsteErgebnisse[[#This Row],[Zahl]])</f>
        <v>0</v>
      </c>
      <c r="G242" s="2">
        <f>COUNTIF(Eingabe[S2],HäufigsteErgebnisse[[#This Row],[Zahl]])</f>
        <v>0</v>
      </c>
      <c r="H242" s="2">
        <f>COUNTIF(Eingabe[S3],HäufigsteErgebnisse[[#This Row],[Zahl]])</f>
        <v>0</v>
      </c>
      <c r="I242" s="2">
        <f>COUNTIF(Eingabe[S4],HäufigsteErgebnisse[[#This Row],[Zahl]])</f>
        <v>0</v>
      </c>
      <c r="J242" s="2">
        <f>COUNTIF(Eingabe[S1],HäufigsteErgebnisse[[#This Row],[Zahl]])+COUNTIF(Eingabe[S2],HäufigsteErgebnisse[[#This Row],[Zahl]])+COUNTIF(Eingabe[S3],HäufigsteErgebnisse[[#This Row],[Zahl]])+COUNTIF(Eingabe[S4],HäufigsteErgebnisse[[#This Row],[Zahl]])</f>
        <v>0</v>
      </c>
      <c r="K242" s="2">
        <f>COUNTIF(Eingabe[GES],HäufigsteErgebnisse[[#This Row],[Zahl]])</f>
        <v>0</v>
      </c>
      <c r="L242" s="2">
        <f>HäufigsteErgebnisse[[#This Row],[Zahl]]</f>
        <v>184</v>
      </c>
    </row>
    <row r="243" spans="2:12" x14ac:dyDescent="0.3">
      <c r="B243" s="2">
        <v>185</v>
      </c>
      <c r="C243" s="2">
        <f>COUNTIF(Eingabe[Volle],HäufigsteErgebnisse[[#This Row],[Zahl]])</f>
        <v>1</v>
      </c>
      <c r="D243" s="2">
        <f>COUNTIF(Eingabe[Räumer],HäufigsteErgebnisse[[#This Row],[Zahl]])</f>
        <v>1</v>
      </c>
      <c r="E243" s="2">
        <f>COUNTIF(Eingabe[Fehler],HäufigsteErgebnisse[[#This Row],[Zahl]])</f>
        <v>0</v>
      </c>
      <c r="F243" s="2">
        <f>COUNTIF(Eingabe[S1],HäufigsteErgebnisse[[#This Row],[Zahl]])</f>
        <v>0</v>
      </c>
      <c r="G243" s="2">
        <f>COUNTIF(Eingabe[S2],HäufigsteErgebnisse[[#This Row],[Zahl]])</f>
        <v>0</v>
      </c>
      <c r="H243" s="2">
        <f>COUNTIF(Eingabe[S3],HäufigsteErgebnisse[[#This Row],[Zahl]])</f>
        <v>0</v>
      </c>
      <c r="I243" s="2">
        <f>COUNTIF(Eingabe[S4],HäufigsteErgebnisse[[#This Row],[Zahl]])</f>
        <v>0</v>
      </c>
      <c r="J243" s="2">
        <f>COUNTIF(Eingabe[S1],HäufigsteErgebnisse[[#This Row],[Zahl]])+COUNTIF(Eingabe[S2],HäufigsteErgebnisse[[#This Row],[Zahl]])+COUNTIF(Eingabe[S3],HäufigsteErgebnisse[[#This Row],[Zahl]])+COUNTIF(Eingabe[S4],HäufigsteErgebnisse[[#This Row],[Zahl]])</f>
        <v>0</v>
      </c>
      <c r="K243" s="2">
        <f>COUNTIF(Eingabe[GES],HäufigsteErgebnisse[[#This Row],[Zahl]])</f>
        <v>0</v>
      </c>
      <c r="L243" s="2">
        <f>HäufigsteErgebnisse[[#This Row],[Zahl]]</f>
        <v>185</v>
      </c>
    </row>
    <row r="244" spans="2:12" x14ac:dyDescent="0.3">
      <c r="B244" s="2">
        <v>186</v>
      </c>
      <c r="C244" s="2">
        <f>COUNTIF(Eingabe[Volle],HäufigsteErgebnisse[[#This Row],[Zahl]])</f>
        <v>0</v>
      </c>
      <c r="D244" s="2">
        <f>COUNTIF(Eingabe[Räumer],HäufigsteErgebnisse[[#This Row],[Zahl]])</f>
        <v>6</v>
      </c>
      <c r="E244" s="2">
        <f>COUNTIF(Eingabe[Fehler],HäufigsteErgebnisse[[#This Row],[Zahl]])</f>
        <v>0</v>
      </c>
      <c r="F244" s="2">
        <f>COUNTIF(Eingabe[S1],HäufigsteErgebnisse[[#This Row],[Zahl]])</f>
        <v>0</v>
      </c>
      <c r="G244" s="2">
        <f>COUNTIF(Eingabe[S2],HäufigsteErgebnisse[[#This Row],[Zahl]])</f>
        <v>0</v>
      </c>
      <c r="H244" s="2">
        <f>COUNTIF(Eingabe[S3],HäufigsteErgebnisse[[#This Row],[Zahl]])</f>
        <v>0</v>
      </c>
      <c r="I244" s="2">
        <f>COUNTIF(Eingabe[S4],HäufigsteErgebnisse[[#This Row],[Zahl]])</f>
        <v>0</v>
      </c>
      <c r="J244" s="2">
        <f>COUNTIF(Eingabe[S1],HäufigsteErgebnisse[[#This Row],[Zahl]])+COUNTIF(Eingabe[S2],HäufigsteErgebnisse[[#This Row],[Zahl]])+COUNTIF(Eingabe[S3],HäufigsteErgebnisse[[#This Row],[Zahl]])+COUNTIF(Eingabe[S4],HäufigsteErgebnisse[[#This Row],[Zahl]])</f>
        <v>0</v>
      </c>
      <c r="K244" s="2">
        <f>COUNTIF(Eingabe[GES],HäufigsteErgebnisse[[#This Row],[Zahl]])</f>
        <v>0</v>
      </c>
      <c r="L244" s="2">
        <f>HäufigsteErgebnisse[[#This Row],[Zahl]]</f>
        <v>186</v>
      </c>
    </row>
    <row r="245" spans="2:12" x14ac:dyDescent="0.3">
      <c r="B245" s="2">
        <v>187</v>
      </c>
      <c r="C245" s="2">
        <f>COUNTIF(Eingabe[Volle],HäufigsteErgebnisse[[#This Row],[Zahl]])</f>
        <v>0</v>
      </c>
      <c r="D245" s="2">
        <f>COUNTIF(Eingabe[Räumer],HäufigsteErgebnisse[[#This Row],[Zahl]])</f>
        <v>2</v>
      </c>
      <c r="E245" s="2">
        <f>COUNTIF(Eingabe[Fehler],HäufigsteErgebnisse[[#This Row],[Zahl]])</f>
        <v>0</v>
      </c>
      <c r="F245" s="2">
        <f>COUNTIF(Eingabe[S1],HäufigsteErgebnisse[[#This Row],[Zahl]])</f>
        <v>0</v>
      </c>
      <c r="G245" s="2">
        <f>COUNTIF(Eingabe[S2],HäufigsteErgebnisse[[#This Row],[Zahl]])</f>
        <v>0</v>
      </c>
      <c r="H245" s="2">
        <f>COUNTIF(Eingabe[S3],HäufigsteErgebnisse[[#This Row],[Zahl]])</f>
        <v>0</v>
      </c>
      <c r="I245" s="2">
        <f>COUNTIF(Eingabe[S4],HäufigsteErgebnisse[[#This Row],[Zahl]])</f>
        <v>0</v>
      </c>
      <c r="J245" s="2">
        <f>COUNTIF(Eingabe[S1],HäufigsteErgebnisse[[#This Row],[Zahl]])+COUNTIF(Eingabe[S2],HäufigsteErgebnisse[[#This Row],[Zahl]])+COUNTIF(Eingabe[S3],HäufigsteErgebnisse[[#This Row],[Zahl]])+COUNTIF(Eingabe[S4],HäufigsteErgebnisse[[#This Row],[Zahl]])</f>
        <v>0</v>
      </c>
      <c r="K245" s="2">
        <f>COUNTIF(Eingabe[GES],HäufigsteErgebnisse[[#This Row],[Zahl]])</f>
        <v>0</v>
      </c>
      <c r="L245" s="2">
        <f>HäufigsteErgebnisse[[#This Row],[Zahl]]</f>
        <v>187</v>
      </c>
    </row>
    <row r="246" spans="2:12" x14ac:dyDescent="0.3">
      <c r="B246" s="2">
        <v>188</v>
      </c>
      <c r="C246" s="2">
        <f>COUNTIF(Eingabe[Volle],HäufigsteErgebnisse[[#This Row],[Zahl]])</f>
        <v>0</v>
      </c>
      <c r="D246" s="2">
        <f>COUNTIF(Eingabe[Räumer],HäufigsteErgebnisse[[#This Row],[Zahl]])</f>
        <v>2</v>
      </c>
      <c r="E246" s="2">
        <f>COUNTIF(Eingabe[Fehler],HäufigsteErgebnisse[[#This Row],[Zahl]])</f>
        <v>0</v>
      </c>
      <c r="F246" s="2">
        <f>COUNTIF(Eingabe[S1],HäufigsteErgebnisse[[#This Row],[Zahl]])</f>
        <v>0</v>
      </c>
      <c r="G246" s="2">
        <f>COUNTIF(Eingabe[S2],HäufigsteErgebnisse[[#This Row],[Zahl]])</f>
        <v>0</v>
      </c>
      <c r="H246" s="2">
        <f>COUNTIF(Eingabe[S3],HäufigsteErgebnisse[[#This Row],[Zahl]])</f>
        <v>0</v>
      </c>
      <c r="I246" s="2">
        <f>COUNTIF(Eingabe[S4],HäufigsteErgebnisse[[#This Row],[Zahl]])</f>
        <v>0</v>
      </c>
      <c r="J246" s="2">
        <f>COUNTIF(Eingabe[S1],HäufigsteErgebnisse[[#This Row],[Zahl]])+COUNTIF(Eingabe[S2],HäufigsteErgebnisse[[#This Row],[Zahl]])+COUNTIF(Eingabe[S3],HäufigsteErgebnisse[[#This Row],[Zahl]])+COUNTIF(Eingabe[S4],HäufigsteErgebnisse[[#This Row],[Zahl]])</f>
        <v>0</v>
      </c>
      <c r="K246" s="2">
        <f>COUNTIF(Eingabe[GES],HäufigsteErgebnisse[[#This Row],[Zahl]])</f>
        <v>0</v>
      </c>
      <c r="L246" s="2">
        <f>HäufigsteErgebnisse[[#This Row],[Zahl]]</f>
        <v>188</v>
      </c>
    </row>
    <row r="247" spans="2:12" x14ac:dyDescent="0.3">
      <c r="B247" s="2">
        <v>189</v>
      </c>
      <c r="C247" s="2">
        <f>COUNTIF(Eingabe[Volle],HäufigsteErgebnisse[[#This Row],[Zahl]])</f>
        <v>0</v>
      </c>
      <c r="D247" s="2">
        <f>COUNTIF(Eingabe[Räumer],HäufigsteErgebnisse[[#This Row],[Zahl]])</f>
        <v>4</v>
      </c>
      <c r="E247" s="2">
        <f>COUNTIF(Eingabe[Fehler],HäufigsteErgebnisse[[#This Row],[Zahl]])</f>
        <v>0</v>
      </c>
      <c r="F247" s="2">
        <f>COUNTIF(Eingabe[S1],HäufigsteErgebnisse[[#This Row],[Zahl]])</f>
        <v>0</v>
      </c>
      <c r="G247" s="2">
        <f>COUNTIF(Eingabe[S2],HäufigsteErgebnisse[[#This Row],[Zahl]])</f>
        <v>0</v>
      </c>
      <c r="H247" s="2">
        <f>COUNTIF(Eingabe[S3],HäufigsteErgebnisse[[#This Row],[Zahl]])</f>
        <v>0</v>
      </c>
      <c r="I247" s="2">
        <f>COUNTIF(Eingabe[S4],HäufigsteErgebnisse[[#This Row],[Zahl]])</f>
        <v>0</v>
      </c>
      <c r="J247" s="2">
        <f>COUNTIF(Eingabe[S1],HäufigsteErgebnisse[[#This Row],[Zahl]])+COUNTIF(Eingabe[S2],HäufigsteErgebnisse[[#This Row],[Zahl]])+COUNTIF(Eingabe[S3],HäufigsteErgebnisse[[#This Row],[Zahl]])+COUNTIF(Eingabe[S4],HäufigsteErgebnisse[[#This Row],[Zahl]])</f>
        <v>0</v>
      </c>
      <c r="K247" s="2">
        <f>COUNTIF(Eingabe[GES],HäufigsteErgebnisse[[#This Row],[Zahl]])</f>
        <v>0</v>
      </c>
      <c r="L247" s="2">
        <f>HäufigsteErgebnisse[[#This Row],[Zahl]]</f>
        <v>189</v>
      </c>
    </row>
    <row r="248" spans="2:12" x14ac:dyDescent="0.3">
      <c r="B248" s="2">
        <v>190</v>
      </c>
      <c r="C248" s="2">
        <f>COUNTIF(Eingabe[Volle],HäufigsteErgebnisse[[#This Row],[Zahl]])</f>
        <v>0</v>
      </c>
      <c r="D248" s="2">
        <f>COUNTIF(Eingabe[Räumer],HäufigsteErgebnisse[[#This Row],[Zahl]])</f>
        <v>1</v>
      </c>
      <c r="E248" s="2">
        <f>COUNTIF(Eingabe[Fehler],HäufigsteErgebnisse[[#This Row],[Zahl]])</f>
        <v>0</v>
      </c>
      <c r="F248" s="2">
        <f>COUNTIF(Eingabe[S1],HäufigsteErgebnisse[[#This Row],[Zahl]])</f>
        <v>0</v>
      </c>
      <c r="G248" s="2">
        <f>COUNTIF(Eingabe[S2],HäufigsteErgebnisse[[#This Row],[Zahl]])</f>
        <v>0</v>
      </c>
      <c r="H248" s="2">
        <f>COUNTIF(Eingabe[S3],HäufigsteErgebnisse[[#This Row],[Zahl]])</f>
        <v>0</v>
      </c>
      <c r="I248" s="2">
        <f>COUNTIF(Eingabe[S4],HäufigsteErgebnisse[[#This Row],[Zahl]])</f>
        <v>0</v>
      </c>
      <c r="J248" s="2">
        <f>COUNTIF(Eingabe[S1],HäufigsteErgebnisse[[#This Row],[Zahl]])+COUNTIF(Eingabe[S2],HäufigsteErgebnisse[[#This Row],[Zahl]])+COUNTIF(Eingabe[S3],HäufigsteErgebnisse[[#This Row],[Zahl]])+COUNTIF(Eingabe[S4],HäufigsteErgebnisse[[#This Row],[Zahl]])</f>
        <v>0</v>
      </c>
      <c r="K248" s="2">
        <f>COUNTIF(Eingabe[GES],HäufigsteErgebnisse[[#This Row],[Zahl]])</f>
        <v>0</v>
      </c>
      <c r="L248" s="2">
        <f>HäufigsteErgebnisse[[#This Row],[Zahl]]</f>
        <v>190</v>
      </c>
    </row>
    <row r="249" spans="2:12" x14ac:dyDescent="0.3">
      <c r="B249" s="2">
        <v>191</v>
      </c>
      <c r="C249" s="2">
        <f>COUNTIF(Eingabe[Volle],HäufigsteErgebnisse[[#This Row],[Zahl]])</f>
        <v>0</v>
      </c>
      <c r="D249" s="2">
        <f>COUNTIF(Eingabe[Räumer],HäufigsteErgebnisse[[#This Row],[Zahl]])</f>
        <v>3</v>
      </c>
      <c r="E249" s="2">
        <f>COUNTIF(Eingabe[Fehler],HäufigsteErgebnisse[[#This Row],[Zahl]])</f>
        <v>0</v>
      </c>
      <c r="F249" s="2">
        <f>COUNTIF(Eingabe[S1],HäufigsteErgebnisse[[#This Row],[Zahl]])</f>
        <v>0</v>
      </c>
      <c r="G249" s="2">
        <f>COUNTIF(Eingabe[S2],HäufigsteErgebnisse[[#This Row],[Zahl]])</f>
        <v>0</v>
      </c>
      <c r="H249" s="2">
        <f>COUNTIF(Eingabe[S3],HäufigsteErgebnisse[[#This Row],[Zahl]])</f>
        <v>0</v>
      </c>
      <c r="I249" s="2">
        <f>COUNTIF(Eingabe[S4],HäufigsteErgebnisse[[#This Row],[Zahl]])</f>
        <v>0</v>
      </c>
      <c r="J249" s="2">
        <f>COUNTIF(Eingabe[S1],HäufigsteErgebnisse[[#This Row],[Zahl]])+COUNTIF(Eingabe[S2],HäufigsteErgebnisse[[#This Row],[Zahl]])+COUNTIF(Eingabe[S3],HäufigsteErgebnisse[[#This Row],[Zahl]])+COUNTIF(Eingabe[S4],HäufigsteErgebnisse[[#This Row],[Zahl]])</f>
        <v>0</v>
      </c>
      <c r="K249" s="2">
        <f>COUNTIF(Eingabe[GES],HäufigsteErgebnisse[[#This Row],[Zahl]])</f>
        <v>0</v>
      </c>
      <c r="L249" s="2">
        <f>HäufigsteErgebnisse[[#This Row],[Zahl]]</f>
        <v>191</v>
      </c>
    </row>
    <row r="250" spans="2:12" x14ac:dyDescent="0.3">
      <c r="B250" s="2">
        <v>192</v>
      </c>
      <c r="C250" s="2">
        <f>COUNTIF(Eingabe[Volle],HäufigsteErgebnisse[[#This Row],[Zahl]])</f>
        <v>0</v>
      </c>
      <c r="D250" s="2">
        <f>COUNTIF(Eingabe[Räumer],HäufigsteErgebnisse[[#This Row],[Zahl]])</f>
        <v>2</v>
      </c>
      <c r="E250" s="2">
        <f>COUNTIF(Eingabe[Fehler],HäufigsteErgebnisse[[#This Row],[Zahl]])</f>
        <v>0</v>
      </c>
      <c r="F250" s="2">
        <f>COUNTIF(Eingabe[S1],HäufigsteErgebnisse[[#This Row],[Zahl]])</f>
        <v>0</v>
      </c>
      <c r="G250" s="2">
        <f>COUNTIF(Eingabe[S2],HäufigsteErgebnisse[[#This Row],[Zahl]])</f>
        <v>0</v>
      </c>
      <c r="H250" s="2">
        <f>COUNTIF(Eingabe[S3],HäufigsteErgebnisse[[#This Row],[Zahl]])</f>
        <v>0</v>
      </c>
      <c r="I250" s="2">
        <f>COUNTIF(Eingabe[S4],HäufigsteErgebnisse[[#This Row],[Zahl]])</f>
        <v>0</v>
      </c>
      <c r="J250" s="2">
        <f>COUNTIF(Eingabe[S1],HäufigsteErgebnisse[[#This Row],[Zahl]])+COUNTIF(Eingabe[S2],HäufigsteErgebnisse[[#This Row],[Zahl]])+COUNTIF(Eingabe[S3],HäufigsteErgebnisse[[#This Row],[Zahl]])+COUNTIF(Eingabe[S4],HäufigsteErgebnisse[[#This Row],[Zahl]])</f>
        <v>0</v>
      </c>
      <c r="K250" s="2">
        <f>COUNTIF(Eingabe[GES],HäufigsteErgebnisse[[#This Row],[Zahl]])</f>
        <v>0</v>
      </c>
      <c r="L250" s="2">
        <f>HäufigsteErgebnisse[[#This Row],[Zahl]]</f>
        <v>192</v>
      </c>
    </row>
    <row r="251" spans="2:12" x14ac:dyDescent="0.3">
      <c r="B251" s="2">
        <v>193</v>
      </c>
      <c r="C251" s="2">
        <f>COUNTIF(Eingabe[Volle],HäufigsteErgebnisse[[#This Row],[Zahl]])</f>
        <v>0</v>
      </c>
      <c r="D251" s="2">
        <f>COUNTIF(Eingabe[Räumer],HäufigsteErgebnisse[[#This Row],[Zahl]])</f>
        <v>4</v>
      </c>
      <c r="E251" s="2">
        <f>COUNTIF(Eingabe[Fehler],HäufigsteErgebnisse[[#This Row],[Zahl]])</f>
        <v>0</v>
      </c>
      <c r="F251" s="2">
        <f>COUNTIF(Eingabe[S1],HäufigsteErgebnisse[[#This Row],[Zahl]])</f>
        <v>0</v>
      </c>
      <c r="G251" s="2">
        <f>COUNTIF(Eingabe[S2],HäufigsteErgebnisse[[#This Row],[Zahl]])</f>
        <v>0</v>
      </c>
      <c r="H251" s="2">
        <f>COUNTIF(Eingabe[S3],HäufigsteErgebnisse[[#This Row],[Zahl]])</f>
        <v>0</v>
      </c>
      <c r="I251" s="2">
        <f>COUNTIF(Eingabe[S4],HäufigsteErgebnisse[[#This Row],[Zahl]])</f>
        <v>0</v>
      </c>
      <c r="J251" s="2">
        <f>COUNTIF(Eingabe[S1],HäufigsteErgebnisse[[#This Row],[Zahl]])+COUNTIF(Eingabe[S2],HäufigsteErgebnisse[[#This Row],[Zahl]])+COUNTIF(Eingabe[S3],HäufigsteErgebnisse[[#This Row],[Zahl]])+COUNTIF(Eingabe[S4],HäufigsteErgebnisse[[#This Row],[Zahl]])</f>
        <v>0</v>
      </c>
      <c r="K251" s="2">
        <f>COUNTIF(Eingabe[GES],HäufigsteErgebnisse[[#This Row],[Zahl]])</f>
        <v>0</v>
      </c>
      <c r="L251" s="2">
        <f>HäufigsteErgebnisse[[#This Row],[Zahl]]</f>
        <v>193</v>
      </c>
    </row>
    <row r="252" spans="2:12" x14ac:dyDescent="0.3">
      <c r="B252" s="2">
        <v>194</v>
      </c>
      <c r="C252" s="2">
        <f>COUNTIF(Eingabe[Volle],HäufigsteErgebnisse[[#This Row],[Zahl]])</f>
        <v>0</v>
      </c>
      <c r="D252" s="2">
        <f>COUNTIF(Eingabe[Räumer],HäufigsteErgebnisse[[#This Row],[Zahl]])</f>
        <v>5</v>
      </c>
      <c r="E252" s="2">
        <f>COUNTIF(Eingabe[Fehler],HäufigsteErgebnisse[[#This Row],[Zahl]])</f>
        <v>0</v>
      </c>
      <c r="F252" s="2">
        <f>COUNTIF(Eingabe[S1],HäufigsteErgebnisse[[#This Row],[Zahl]])</f>
        <v>0</v>
      </c>
      <c r="G252" s="2">
        <f>COUNTIF(Eingabe[S2],HäufigsteErgebnisse[[#This Row],[Zahl]])</f>
        <v>0</v>
      </c>
      <c r="H252" s="2">
        <f>COUNTIF(Eingabe[S3],HäufigsteErgebnisse[[#This Row],[Zahl]])</f>
        <v>0</v>
      </c>
      <c r="I252" s="2">
        <f>COUNTIF(Eingabe[S4],HäufigsteErgebnisse[[#This Row],[Zahl]])</f>
        <v>0</v>
      </c>
      <c r="J252" s="2">
        <f>COUNTIF(Eingabe[S1],HäufigsteErgebnisse[[#This Row],[Zahl]])+COUNTIF(Eingabe[S2],HäufigsteErgebnisse[[#This Row],[Zahl]])+COUNTIF(Eingabe[S3],HäufigsteErgebnisse[[#This Row],[Zahl]])+COUNTIF(Eingabe[S4],HäufigsteErgebnisse[[#This Row],[Zahl]])</f>
        <v>0</v>
      </c>
      <c r="K252" s="2">
        <f>COUNTIF(Eingabe[GES],HäufigsteErgebnisse[[#This Row],[Zahl]])</f>
        <v>0</v>
      </c>
      <c r="L252" s="2">
        <f>HäufigsteErgebnisse[[#This Row],[Zahl]]</f>
        <v>194</v>
      </c>
    </row>
    <row r="253" spans="2:12" x14ac:dyDescent="0.3">
      <c r="B253" s="2">
        <v>195</v>
      </c>
      <c r="C253" s="2">
        <f>COUNTIF(Eingabe[Volle],HäufigsteErgebnisse[[#This Row],[Zahl]])</f>
        <v>0</v>
      </c>
      <c r="D253" s="2">
        <f>COUNTIF(Eingabe[Räumer],HäufigsteErgebnisse[[#This Row],[Zahl]])</f>
        <v>0</v>
      </c>
      <c r="E253" s="2">
        <f>COUNTIF(Eingabe[Fehler],HäufigsteErgebnisse[[#This Row],[Zahl]])</f>
        <v>0</v>
      </c>
      <c r="F253" s="2">
        <f>COUNTIF(Eingabe[S1],HäufigsteErgebnisse[[#This Row],[Zahl]])</f>
        <v>0</v>
      </c>
      <c r="G253" s="2">
        <f>COUNTIF(Eingabe[S2],HäufigsteErgebnisse[[#This Row],[Zahl]])</f>
        <v>0</v>
      </c>
      <c r="H253" s="2">
        <f>COUNTIF(Eingabe[S3],HäufigsteErgebnisse[[#This Row],[Zahl]])</f>
        <v>0</v>
      </c>
      <c r="I253" s="2">
        <f>COUNTIF(Eingabe[S4],HäufigsteErgebnisse[[#This Row],[Zahl]])</f>
        <v>0</v>
      </c>
      <c r="J253" s="2">
        <f>COUNTIF(Eingabe[S1],HäufigsteErgebnisse[[#This Row],[Zahl]])+COUNTIF(Eingabe[S2],HäufigsteErgebnisse[[#This Row],[Zahl]])+COUNTIF(Eingabe[S3],HäufigsteErgebnisse[[#This Row],[Zahl]])+COUNTIF(Eingabe[S4],HäufigsteErgebnisse[[#This Row],[Zahl]])</f>
        <v>0</v>
      </c>
      <c r="K253" s="2">
        <f>COUNTIF(Eingabe[GES],HäufigsteErgebnisse[[#This Row],[Zahl]])</f>
        <v>0</v>
      </c>
      <c r="L253" s="2">
        <f>HäufigsteErgebnisse[[#This Row],[Zahl]]</f>
        <v>195</v>
      </c>
    </row>
    <row r="254" spans="2:12" x14ac:dyDescent="0.3">
      <c r="B254" s="2">
        <v>196</v>
      </c>
      <c r="C254" s="2">
        <f>COUNTIF(Eingabe[Volle],HäufigsteErgebnisse[[#This Row],[Zahl]])</f>
        <v>0</v>
      </c>
      <c r="D254" s="2">
        <f>COUNTIF(Eingabe[Räumer],HäufigsteErgebnisse[[#This Row],[Zahl]])</f>
        <v>1</v>
      </c>
      <c r="E254" s="2">
        <f>COUNTIF(Eingabe[Fehler],HäufigsteErgebnisse[[#This Row],[Zahl]])</f>
        <v>0</v>
      </c>
      <c r="F254" s="2">
        <f>COUNTIF(Eingabe[S1],HäufigsteErgebnisse[[#This Row],[Zahl]])</f>
        <v>0</v>
      </c>
      <c r="G254" s="2">
        <f>COUNTIF(Eingabe[S2],HäufigsteErgebnisse[[#This Row],[Zahl]])</f>
        <v>0</v>
      </c>
      <c r="H254" s="2">
        <f>COUNTIF(Eingabe[S3],HäufigsteErgebnisse[[#This Row],[Zahl]])</f>
        <v>0</v>
      </c>
      <c r="I254" s="2">
        <f>COUNTIF(Eingabe[S4],HäufigsteErgebnisse[[#This Row],[Zahl]])</f>
        <v>0</v>
      </c>
      <c r="J254" s="2">
        <f>COUNTIF(Eingabe[S1],HäufigsteErgebnisse[[#This Row],[Zahl]])+COUNTIF(Eingabe[S2],HäufigsteErgebnisse[[#This Row],[Zahl]])+COUNTIF(Eingabe[S3],HäufigsteErgebnisse[[#This Row],[Zahl]])+COUNTIF(Eingabe[S4],HäufigsteErgebnisse[[#This Row],[Zahl]])</f>
        <v>0</v>
      </c>
      <c r="K254" s="2">
        <f>COUNTIF(Eingabe[GES],HäufigsteErgebnisse[[#This Row],[Zahl]])</f>
        <v>0</v>
      </c>
      <c r="L254" s="2">
        <f>HäufigsteErgebnisse[[#This Row],[Zahl]]</f>
        <v>196</v>
      </c>
    </row>
    <row r="255" spans="2:12" x14ac:dyDescent="0.3">
      <c r="B255" s="2">
        <v>197</v>
      </c>
      <c r="C255" s="2">
        <f>COUNTIF(Eingabe[Volle],HäufigsteErgebnisse[[#This Row],[Zahl]])</f>
        <v>0</v>
      </c>
      <c r="D255" s="2">
        <f>COUNTIF(Eingabe[Räumer],HäufigsteErgebnisse[[#This Row],[Zahl]])</f>
        <v>0</v>
      </c>
      <c r="E255" s="2">
        <f>COUNTIF(Eingabe[Fehler],HäufigsteErgebnisse[[#This Row],[Zahl]])</f>
        <v>0</v>
      </c>
      <c r="F255" s="2">
        <f>COUNTIF(Eingabe[S1],HäufigsteErgebnisse[[#This Row],[Zahl]])</f>
        <v>0</v>
      </c>
      <c r="G255" s="2">
        <f>COUNTIF(Eingabe[S2],HäufigsteErgebnisse[[#This Row],[Zahl]])</f>
        <v>0</v>
      </c>
      <c r="H255" s="2">
        <f>COUNTIF(Eingabe[S3],HäufigsteErgebnisse[[#This Row],[Zahl]])</f>
        <v>0</v>
      </c>
      <c r="I255" s="2">
        <f>COUNTIF(Eingabe[S4],HäufigsteErgebnisse[[#This Row],[Zahl]])</f>
        <v>0</v>
      </c>
      <c r="J255" s="2">
        <f>COUNTIF(Eingabe[S1],HäufigsteErgebnisse[[#This Row],[Zahl]])+COUNTIF(Eingabe[S2],HäufigsteErgebnisse[[#This Row],[Zahl]])+COUNTIF(Eingabe[S3],HäufigsteErgebnisse[[#This Row],[Zahl]])+COUNTIF(Eingabe[S4],HäufigsteErgebnisse[[#This Row],[Zahl]])</f>
        <v>0</v>
      </c>
      <c r="K255" s="2">
        <f>COUNTIF(Eingabe[GES],HäufigsteErgebnisse[[#This Row],[Zahl]])</f>
        <v>0</v>
      </c>
      <c r="L255" s="2">
        <f>HäufigsteErgebnisse[[#This Row],[Zahl]]</f>
        <v>197</v>
      </c>
    </row>
    <row r="256" spans="2:12" x14ac:dyDescent="0.3">
      <c r="B256" s="2">
        <v>198</v>
      </c>
      <c r="C256" s="2">
        <f>COUNTIF(Eingabe[Volle],HäufigsteErgebnisse[[#This Row],[Zahl]])</f>
        <v>0</v>
      </c>
      <c r="D256" s="2">
        <f>COUNTIF(Eingabe[Räumer],HäufigsteErgebnisse[[#This Row],[Zahl]])</f>
        <v>0</v>
      </c>
      <c r="E256" s="2">
        <f>COUNTIF(Eingabe[Fehler],HäufigsteErgebnisse[[#This Row],[Zahl]])</f>
        <v>0</v>
      </c>
      <c r="F256" s="2">
        <f>COUNTIF(Eingabe[S1],HäufigsteErgebnisse[[#This Row],[Zahl]])</f>
        <v>0</v>
      </c>
      <c r="G256" s="2">
        <f>COUNTIF(Eingabe[S2],HäufigsteErgebnisse[[#This Row],[Zahl]])</f>
        <v>0</v>
      </c>
      <c r="H256" s="2">
        <f>COUNTIF(Eingabe[S3],HäufigsteErgebnisse[[#This Row],[Zahl]])</f>
        <v>0</v>
      </c>
      <c r="I256" s="2">
        <f>COUNTIF(Eingabe[S4],HäufigsteErgebnisse[[#This Row],[Zahl]])</f>
        <v>0</v>
      </c>
      <c r="J256" s="2">
        <f>COUNTIF(Eingabe[S1],HäufigsteErgebnisse[[#This Row],[Zahl]])+COUNTIF(Eingabe[S2],HäufigsteErgebnisse[[#This Row],[Zahl]])+COUNTIF(Eingabe[S3],HäufigsteErgebnisse[[#This Row],[Zahl]])+COUNTIF(Eingabe[S4],HäufigsteErgebnisse[[#This Row],[Zahl]])</f>
        <v>0</v>
      </c>
      <c r="K256" s="2">
        <f>COUNTIF(Eingabe[GES],HäufigsteErgebnisse[[#This Row],[Zahl]])</f>
        <v>0</v>
      </c>
      <c r="L256" s="2">
        <f>HäufigsteErgebnisse[[#This Row],[Zahl]]</f>
        <v>198</v>
      </c>
    </row>
    <row r="257" spans="2:12" x14ac:dyDescent="0.3">
      <c r="B257" s="2">
        <v>199</v>
      </c>
      <c r="C257" s="2">
        <f>COUNTIF(Eingabe[Volle],HäufigsteErgebnisse[[#This Row],[Zahl]])</f>
        <v>0</v>
      </c>
      <c r="D257" s="2">
        <f>COUNTIF(Eingabe[Räumer],HäufigsteErgebnisse[[#This Row],[Zahl]])</f>
        <v>1</v>
      </c>
      <c r="E257" s="2">
        <f>COUNTIF(Eingabe[Fehler],HäufigsteErgebnisse[[#This Row],[Zahl]])</f>
        <v>0</v>
      </c>
      <c r="F257" s="2">
        <f>COUNTIF(Eingabe[S1],HäufigsteErgebnisse[[#This Row],[Zahl]])</f>
        <v>0</v>
      </c>
      <c r="G257" s="2">
        <f>COUNTIF(Eingabe[S2],HäufigsteErgebnisse[[#This Row],[Zahl]])</f>
        <v>0</v>
      </c>
      <c r="H257" s="2">
        <f>COUNTIF(Eingabe[S3],HäufigsteErgebnisse[[#This Row],[Zahl]])</f>
        <v>0</v>
      </c>
      <c r="I257" s="2">
        <f>COUNTIF(Eingabe[S4],HäufigsteErgebnisse[[#This Row],[Zahl]])</f>
        <v>0</v>
      </c>
      <c r="J257" s="2">
        <f>COUNTIF(Eingabe[S1],HäufigsteErgebnisse[[#This Row],[Zahl]])+COUNTIF(Eingabe[S2],HäufigsteErgebnisse[[#This Row],[Zahl]])+COUNTIF(Eingabe[S3],HäufigsteErgebnisse[[#This Row],[Zahl]])+COUNTIF(Eingabe[S4],HäufigsteErgebnisse[[#This Row],[Zahl]])</f>
        <v>0</v>
      </c>
      <c r="K257" s="2">
        <f>COUNTIF(Eingabe[GES],HäufigsteErgebnisse[[#This Row],[Zahl]])</f>
        <v>0</v>
      </c>
      <c r="L257" s="2">
        <f>HäufigsteErgebnisse[[#This Row],[Zahl]]</f>
        <v>199</v>
      </c>
    </row>
    <row r="258" spans="2:12" x14ac:dyDescent="0.3">
      <c r="B258" s="2">
        <v>200</v>
      </c>
      <c r="C258" s="2">
        <f>COUNTIF(Eingabe[Volle],HäufigsteErgebnisse[[#This Row],[Zahl]])</f>
        <v>0</v>
      </c>
      <c r="D258" s="2">
        <f>COUNTIF(Eingabe[Räumer],HäufigsteErgebnisse[[#This Row],[Zahl]])</f>
        <v>1</v>
      </c>
      <c r="E258" s="2">
        <f>COUNTIF(Eingabe[Fehler],HäufigsteErgebnisse[[#This Row],[Zahl]])</f>
        <v>0</v>
      </c>
      <c r="F258" s="2">
        <f>COUNTIF(Eingabe[S1],HäufigsteErgebnisse[[#This Row],[Zahl]])</f>
        <v>0</v>
      </c>
      <c r="G258" s="2">
        <f>COUNTIF(Eingabe[S2],HäufigsteErgebnisse[[#This Row],[Zahl]])</f>
        <v>0</v>
      </c>
      <c r="H258" s="2">
        <f>COUNTIF(Eingabe[S3],HäufigsteErgebnisse[[#This Row],[Zahl]])</f>
        <v>0</v>
      </c>
      <c r="I258" s="2">
        <f>COUNTIF(Eingabe[S4],HäufigsteErgebnisse[[#This Row],[Zahl]])</f>
        <v>0</v>
      </c>
      <c r="J258" s="2">
        <f>COUNTIF(Eingabe[S1],HäufigsteErgebnisse[[#This Row],[Zahl]])+COUNTIF(Eingabe[S2],HäufigsteErgebnisse[[#This Row],[Zahl]])+COUNTIF(Eingabe[S3],HäufigsteErgebnisse[[#This Row],[Zahl]])+COUNTIF(Eingabe[S4],HäufigsteErgebnisse[[#This Row],[Zahl]])</f>
        <v>0</v>
      </c>
      <c r="K258" s="2">
        <f>COUNTIF(Eingabe[GES],HäufigsteErgebnisse[[#This Row],[Zahl]])</f>
        <v>0</v>
      </c>
      <c r="L258" s="2">
        <f>HäufigsteErgebnisse[[#This Row],[Zahl]]</f>
        <v>200</v>
      </c>
    </row>
    <row r="259" spans="2:12" x14ac:dyDescent="0.3">
      <c r="B259" s="2">
        <v>201</v>
      </c>
      <c r="C259" s="2">
        <f>COUNTIF(Eingabe[Volle],HäufigsteErgebnisse[[#This Row],[Zahl]])</f>
        <v>0</v>
      </c>
      <c r="D259" s="2">
        <f>COUNTIF(Eingabe[Räumer],HäufigsteErgebnisse[[#This Row],[Zahl]])</f>
        <v>1</v>
      </c>
      <c r="E259" s="2">
        <f>COUNTIF(Eingabe[Fehler],HäufigsteErgebnisse[[#This Row],[Zahl]])</f>
        <v>0</v>
      </c>
      <c r="F259" s="2">
        <f>COUNTIF(Eingabe[S1],HäufigsteErgebnisse[[#This Row],[Zahl]])</f>
        <v>0</v>
      </c>
      <c r="G259" s="2">
        <f>COUNTIF(Eingabe[S2],HäufigsteErgebnisse[[#This Row],[Zahl]])</f>
        <v>0</v>
      </c>
      <c r="H259" s="2">
        <f>COUNTIF(Eingabe[S3],HäufigsteErgebnisse[[#This Row],[Zahl]])</f>
        <v>0</v>
      </c>
      <c r="I259" s="2">
        <f>COUNTIF(Eingabe[S4],HäufigsteErgebnisse[[#This Row],[Zahl]])</f>
        <v>0</v>
      </c>
      <c r="J259" s="2">
        <f>COUNTIF(Eingabe[S1],HäufigsteErgebnisse[[#This Row],[Zahl]])+COUNTIF(Eingabe[S2],HäufigsteErgebnisse[[#This Row],[Zahl]])+COUNTIF(Eingabe[S3],HäufigsteErgebnisse[[#This Row],[Zahl]])+COUNTIF(Eingabe[S4],HäufigsteErgebnisse[[#This Row],[Zahl]])</f>
        <v>0</v>
      </c>
      <c r="K259" s="2">
        <f>COUNTIF(Eingabe[GES],HäufigsteErgebnisse[[#This Row],[Zahl]])</f>
        <v>0</v>
      </c>
      <c r="L259" s="2">
        <f>HäufigsteErgebnisse[[#This Row],[Zahl]]</f>
        <v>201</v>
      </c>
    </row>
    <row r="260" spans="2:12" x14ac:dyDescent="0.3">
      <c r="B260" s="2">
        <v>202</v>
      </c>
      <c r="C260" s="2">
        <f>COUNTIF(Eingabe[Volle],HäufigsteErgebnisse[[#This Row],[Zahl]])</f>
        <v>0</v>
      </c>
      <c r="D260" s="2">
        <f>COUNTIF(Eingabe[Räumer],HäufigsteErgebnisse[[#This Row],[Zahl]])</f>
        <v>0</v>
      </c>
      <c r="E260" s="2">
        <f>COUNTIF(Eingabe[Fehler],HäufigsteErgebnisse[[#This Row],[Zahl]])</f>
        <v>0</v>
      </c>
      <c r="F260" s="2">
        <f>COUNTIF(Eingabe[S1],HäufigsteErgebnisse[[#This Row],[Zahl]])</f>
        <v>0</v>
      </c>
      <c r="G260" s="2">
        <f>COUNTIF(Eingabe[S2],HäufigsteErgebnisse[[#This Row],[Zahl]])</f>
        <v>0</v>
      </c>
      <c r="H260" s="2">
        <f>COUNTIF(Eingabe[S3],HäufigsteErgebnisse[[#This Row],[Zahl]])</f>
        <v>0</v>
      </c>
      <c r="I260" s="2">
        <f>COUNTIF(Eingabe[S4],HäufigsteErgebnisse[[#This Row],[Zahl]])</f>
        <v>0</v>
      </c>
      <c r="J260" s="2">
        <f>COUNTIF(Eingabe[S1],HäufigsteErgebnisse[[#This Row],[Zahl]])+COUNTIF(Eingabe[S2],HäufigsteErgebnisse[[#This Row],[Zahl]])+COUNTIF(Eingabe[S3],HäufigsteErgebnisse[[#This Row],[Zahl]])+COUNTIF(Eingabe[S4],HäufigsteErgebnisse[[#This Row],[Zahl]])</f>
        <v>0</v>
      </c>
      <c r="K260" s="2">
        <f>COUNTIF(Eingabe[GES],HäufigsteErgebnisse[[#This Row],[Zahl]])</f>
        <v>0</v>
      </c>
      <c r="L260" s="2">
        <f>HäufigsteErgebnisse[[#This Row],[Zahl]]</f>
        <v>202</v>
      </c>
    </row>
    <row r="261" spans="2:12" x14ac:dyDescent="0.3">
      <c r="B261" s="2">
        <v>203</v>
      </c>
      <c r="C261" s="2">
        <f>COUNTIF(Eingabe[Volle],HäufigsteErgebnisse[[#This Row],[Zahl]])</f>
        <v>0</v>
      </c>
      <c r="D261" s="2">
        <f>COUNTIF(Eingabe[Räumer],HäufigsteErgebnisse[[#This Row],[Zahl]])</f>
        <v>0</v>
      </c>
      <c r="E261" s="2">
        <f>COUNTIF(Eingabe[Fehler],HäufigsteErgebnisse[[#This Row],[Zahl]])</f>
        <v>0</v>
      </c>
      <c r="F261" s="2">
        <f>COUNTIF(Eingabe[S1],HäufigsteErgebnisse[[#This Row],[Zahl]])</f>
        <v>0</v>
      </c>
      <c r="G261" s="2">
        <f>COUNTIF(Eingabe[S2],HäufigsteErgebnisse[[#This Row],[Zahl]])</f>
        <v>0</v>
      </c>
      <c r="H261" s="2">
        <f>COUNTIF(Eingabe[S3],HäufigsteErgebnisse[[#This Row],[Zahl]])</f>
        <v>0</v>
      </c>
      <c r="I261" s="2">
        <f>COUNTIF(Eingabe[S4],HäufigsteErgebnisse[[#This Row],[Zahl]])</f>
        <v>0</v>
      </c>
      <c r="J261" s="2">
        <f>COUNTIF(Eingabe[S1],HäufigsteErgebnisse[[#This Row],[Zahl]])+COUNTIF(Eingabe[S2],HäufigsteErgebnisse[[#This Row],[Zahl]])+COUNTIF(Eingabe[S3],HäufigsteErgebnisse[[#This Row],[Zahl]])+COUNTIF(Eingabe[S4],HäufigsteErgebnisse[[#This Row],[Zahl]])</f>
        <v>0</v>
      </c>
      <c r="K261" s="2">
        <f>COUNTIF(Eingabe[GES],HäufigsteErgebnisse[[#This Row],[Zahl]])</f>
        <v>0</v>
      </c>
      <c r="L261" s="2">
        <f>HäufigsteErgebnisse[[#This Row],[Zahl]]</f>
        <v>203</v>
      </c>
    </row>
    <row r="262" spans="2:12" x14ac:dyDescent="0.3">
      <c r="B262" s="2">
        <v>204</v>
      </c>
      <c r="C262" s="2">
        <f>COUNTIF(Eingabe[Volle],HäufigsteErgebnisse[[#This Row],[Zahl]])</f>
        <v>0</v>
      </c>
      <c r="D262" s="2">
        <f>COUNTIF(Eingabe[Räumer],HäufigsteErgebnisse[[#This Row],[Zahl]])</f>
        <v>0</v>
      </c>
      <c r="E262" s="2">
        <f>COUNTIF(Eingabe[Fehler],HäufigsteErgebnisse[[#This Row],[Zahl]])</f>
        <v>0</v>
      </c>
      <c r="F262" s="2">
        <f>COUNTIF(Eingabe[S1],HäufigsteErgebnisse[[#This Row],[Zahl]])</f>
        <v>0</v>
      </c>
      <c r="G262" s="2">
        <f>COUNTIF(Eingabe[S2],HäufigsteErgebnisse[[#This Row],[Zahl]])</f>
        <v>0</v>
      </c>
      <c r="H262" s="2">
        <f>COUNTIF(Eingabe[S3],HäufigsteErgebnisse[[#This Row],[Zahl]])</f>
        <v>0</v>
      </c>
      <c r="I262" s="2">
        <f>COUNTIF(Eingabe[S4],HäufigsteErgebnisse[[#This Row],[Zahl]])</f>
        <v>0</v>
      </c>
      <c r="J262" s="2">
        <f>COUNTIF(Eingabe[S1],HäufigsteErgebnisse[[#This Row],[Zahl]])+COUNTIF(Eingabe[S2],HäufigsteErgebnisse[[#This Row],[Zahl]])+COUNTIF(Eingabe[S3],HäufigsteErgebnisse[[#This Row],[Zahl]])+COUNTIF(Eingabe[S4],HäufigsteErgebnisse[[#This Row],[Zahl]])</f>
        <v>0</v>
      </c>
      <c r="K262" s="2">
        <f>COUNTIF(Eingabe[GES],HäufigsteErgebnisse[[#This Row],[Zahl]])</f>
        <v>0</v>
      </c>
      <c r="L262" s="2">
        <f>HäufigsteErgebnisse[[#This Row],[Zahl]]</f>
        <v>204</v>
      </c>
    </row>
    <row r="263" spans="2:12" x14ac:dyDescent="0.3">
      <c r="B263" s="2">
        <v>205</v>
      </c>
      <c r="C263" s="2">
        <f>COUNTIF(Eingabe[Volle],HäufigsteErgebnisse[[#This Row],[Zahl]])</f>
        <v>0</v>
      </c>
      <c r="D263" s="2">
        <f>COUNTIF(Eingabe[Räumer],HäufigsteErgebnisse[[#This Row],[Zahl]])</f>
        <v>2</v>
      </c>
      <c r="E263" s="2">
        <f>COUNTIF(Eingabe[Fehler],HäufigsteErgebnisse[[#This Row],[Zahl]])</f>
        <v>0</v>
      </c>
      <c r="F263" s="2">
        <f>COUNTIF(Eingabe[S1],HäufigsteErgebnisse[[#This Row],[Zahl]])</f>
        <v>0</v>
      </c>
      <c r="G263" s="2">
        <f>COUNTIF(Eingabe[S2],HäufigsteErgebnisse[[#This Row],[Zahl]])</f>
        <v>0</v>
      </c>
      <c r="H263" s="2">
        <f>COUNTIF(Eingabe[S3],HäufigsteErgebnisse[[#This Row],[Zahl]])</f>
        <v>0</v>
      </c>
      <c r="I263" s="2">
        <f>COUNTIF(Eingabe[S4],HäufigsteErgebnisse[[#This Row],[Zahl]])</f>
        <v>0</v>
      </c>
      <c r="J263" s="2">
        <f>COUNTIF(Eingabe[S1],HäufigsteErgebnisse[[#This Row],[Zahl]])+COUNTIF(Eingabe[S2],HäufigsteErgebnisse[[#This Row],[Zahl]])+COUNTIF(Eingabe[S3],HäufigsteErgebnisse[[#This Row],[Zahl]])+COUNTIF(Eingabe[S4],HäufigsteErgebnisse[[#This Row],[Zahl]])</f>
        <v>0</v>
      </c>
      <c r="K263" s="2">
        <f>COUNTIF(Eingabe[GES],HäufigsteErgebnisse[[#This Row],[Zahl]])</f>
        <v>0</v>
      </c>
      <c r="L263" s="2">
        <f>HäufigsteErgebnisse[[#This Row],[Zahl]]</f>
        <v>205</v>
      </c>
    </row>
    <row r="264" spans="2:12" x14ac:dyDescent="0.3">
      <c r="B264" s="2">
        <v>206</v>
      </c>
      <c r="C264" s="2">
        <f>COUNTIF(Eingabe[Volle],HäufigsteErgebnisse[[#This Row],[Zahl]])</f>
        <v>0</v>
      </c>
      <c r="D264" s="2">
        <f>COUNTIF(Eingabe[Räumer],HäufigsteErgebnisse[[#This Row],[Zahl]])</f>
        <v>2</v>
      </c>
      <c r="E264" s="2">
        <f>COUNTIF(Eingabe[Fehler],HäufigsteErgebnisse[[#This Row],[Zahl]])</f>
        <v>0</v>
      </c>
      <c r="F264" s="2">
        <f>COUNTIF(Eingabe[S1],HäufigsteErgebnisse[[#This Row],[Zahl]])</f>
        <v>0</v>
      </c>
      <c r="G264" s="2">
        <f>COUNTIF(Eingabe[S2],HäufigsteErgebnisse[[#This Row],[Zahl]])</f>
        <v>0</v>
      </c>
      <c r="H264" s="2">
        <f>COUNTIF(Eingabe[S3],HäufigsteErgebnisse[[#This Row],[Zahl]])</f>
        <v>0</v>
      </c>
      <c r="I264" s="2">
        <f>COUNTIF(Eingabe[S4],HäufigsteErgebnisse[[#This Row],[Zahl]])</f>
        <v>0</v>
      </c>
      <c r="J264" s="2">
        <f>COUNTIF(Eingabe[S1],HäufigsteErgebnisse[[#This Row],[Zahl]])+COUNTIF(Eingabe[S2],HäufigsteErgebnisse[[#This Row],[Zahl]])+COUNTIF(Eingabe[S3],HäufigsteErgebnisse[[#This Row],[Zahl]])+COUNTIF(Eingabe[S4],HäufigsteErgebnisse[[#This Row],[Zahl]])</f>
        <v>0</v>
      </c>
      <c r="K264" s="2">
        <f>COUNTIF(Eingabe[GES],HäufigsteErgebnisse[[#This Row],[Zahl]])</f>
        <v>0</v>
      </c>
      <c r="L264" s="2">
        <f>HäufigsteErgebnisse[[#This Row],[Zahl]]</f>
        <v>206</v>
      </c>
    </row>
    <row r="265" spans="2:12" x14ac:dyDescent="0.3">
      <c r="B265" s="2">
        <v>207</v>
      </c>
      <c r="C265" s="2">
        <f>COUNTIF(Eingabe[Volle],HäufigsteErgebnisse[[#This Row],[Zahl]])</f>
        <v>0</v>
      </c>
      <c r="D265" s="2">
        <f>COUNTIF(Eingabe[Räumer],HäufigsteErgebnisse[[#This Row],[Zahl]])</f>
        <v>0</v>
      </c>
      <c r="E265" s="2">
        <f>COUNTIF(Eingabe[Fehler],HäufigsteErgebnisse[[#This Row],[Zahl]])</f>
        <v>0</v>
      </c>
      <c r="F265" s="2">
        <f>COUNTIF(Eingabe[S1],HäufigsteErgebnisse[[#This Row],[Zahl]])</f>
        <v>0</v>
      </c>
      <c r="G265" s="2">
        <f>COUNTIF(Eingabe[S2],HäufigsteErgebnisse[[#This Row],[Zahl]])</f>
        <v>0</v>
      </c>
      <c r="H265" s="2">
        <f>COUNTIF(Eingabe[S3],HäufigsteErgebnisse[[#This Row],[Zahl]])</f>
        <v>0</v>
      </c>
      <c r="I265" s="2">
        <f>COUNTIF(Eingabe[S4],HäufigsteErgebnisse[[#This Row],[Zahl]])</f>
        <v>0</v>
      </c>
      <c r="J265" s="2">
        <f>COUNTIF(Eingabe[S1],HäufigsteErgebnisse[[#This Row],[Zahl]])+COUNTIF(Eingabe[S2],HäufigsteErgebnisse[[#This Row],[Zahl]])+COUNTIF(Eingabe[S3],HäufigsteErgebnisse[[#This Row],[Zahl]])+COUNTIF(Eingabe[S4],HäufigsteErgebnisse[[#This Row],[Zahl]])</f>
        <v>0</v>
      </c>
      <c r="K265" s="2">
        <f>COUNTIF(Eingabe[GES],HäufigsteErgebnisse[[#This Row],[Zahl]])</f>
        <v>0</v>
      </c>
      <c r="L265" s="2">
        <f>HäufigsteErgebnisse[[#This Row],[Zahl]]</f>
        <v>207</v>
      </c>
    </row>
    <row r="266" spans="2:12" x14ac:dyDescent="0.3">
      <c r="B266" s="2">
        <v>208</v>
      </c>
      <c r="C266" s="2">
        <f>COUNTIF(Eingabe[Volle],HäufigsteErgebnisse[[#This Row],[Zahl]])</f>
        <v>0</v>
      </c>
      <c r="D266" s="2">
        <f>COUNTIF(Eingabe[Räumer],HäufigsteErgebnisse[[#This Row],[Zahl]])</f>
        <v>1</v>
      </c>
      <c r="E266" s="2">
        <f>COUNTIF(Eingabe[Fehler],HäufigsteErgebnisse[[#This Row],[Zahl]])</f>
        <v>0</v>
      </c>
      <c r="F266" s="2">
        <f>COUNTIF(Eingabe[S1],HäufigsteErgebnisse[[#This Row],[Zahl]])</f>
        <v>0</v>
      </c>
      <c r="G266" s="2">
        <f>COUNTIF(Eingabe[S2],HäufigsteErgebnisse[[#This Row],[Zahl]])</f>
        <v>0</v>
      </c>
      <c r="H266" s="2">
        <f>COUNTIF(Eingabe[S3],HäufigsteErgebnisse[[#This Row],[Zahl]])</f>
        <v>0</v>
      </c>
      <c r="I266" s="2">
        <f>COUNTIF(Eingabe[S4],HäufigsteErgebnisse[[#This Row],[Zahl]])</f>
        <v>0</v>
      </c>
      <c r="J266" s="2">
        <f>COUNTIF(Eingabe[S1],HäufigsteErgebnisse[[#This Row],[Zahl]])+COUNTIF(Eingabe[S2],HäufigsteErgebnisse[[#This Row],[Zahl]])+COUNTIF(Eingabe[S3],HäufigsteErgebnisse[[#This Row],[Zahl]])+COUNTIF(Eingabe[S4],HäufigsteErgebnisse[[#This Row],[Zahl]])</f>
        <v>0</v>
      </c>
      <c r="K266" s="2">
        <f>COUNTIF(Eingabe[GES],HäufigsteErgebnisse[[#This Row],[Zahl]])</f>
        <v>0</v>
      </c>
      <c r="L266" s="2">
        <f>HäufigsteErgebnisse[[#This Row],[Zahl]]</f>
        <v>208</v>
      </c>
    </row>
    <row r="267" spans="2:12" x14ac:dyDescent="0.3">
      <c r="B267" s="2">
        <v>209</v>
      </c>
      <c r="C267" s="2">
        <f>COUNTIF(Eingabe[Volle],HäufigsteErgebnisse[[#This Row],[Zahl]])</f>
        <v>0</v>
      </c>
      <c r="D267" s="2">
        <f>COUNTIF(Eingabe[Räumer],HäufigsteErgebnisse[[#This Row],[Zahl]])</f>
        <v>0</v>
      </c>
      <c r="E267" s="2">
        <f>COUNTIF(Eingabe[Fehler],HäufigsteErgebnisse[[#This Row],[Zahl]])</f>
        <v>0</v>
      </c>
      <c r="F267" s="2">
        <f>COUNTIF(Eingabe[S1],HäufigsteErgebnisse[[#This Row],[Zahl]])</f>
        <v>0</v>
      </c>
      <c r="G267" s="2">
        <f>COUNTIF(Eingabe[S2],HäufigsteErgebnisse[[#This Row],[Zahl]])</f>
        <v>0</v>
      </c>
      <c r="H267" s="2">
        <f>COUNTIF(Eingabe[S3],HäufigsteErgebnisse[[#This Row],[Zahl]])</f>
        <v>0</v>
      </c>
      <c r="I267" s="2">
        <f>COUNTIF(Eingabe[S4],HäufigsteErgebnisse[[#This Row],[Zahl]])</f>
        <v>0</v>
      </c>
      <c r="J267" s="2">
        <f>COUNTIF(Eingabe[S1],HäufigsteErgebnisse[[#This Row],[Zahl]])+COUNTIF(Eingabe[S2],HäufigsteErgebnisse[[#This Row],[Zahl]])+COUNTIF(Eingabe[S3],HäufigsteErgebnisse[[#This Row],[Zahl]])+COUNTIF(Eingabe[S4],HäufigsteErgebnisse[[#This Row],[Zahl]])</f>
        <v>0</v>
      </c>
      <c r="K267" s="2">
        <f>COUNTIF(Eingabe[GES],HäufigsteErgebnisse[[#This Row],[Zahl]])</f>
        <v>0</v>
      </c>
      <c r="L267" s="2">
        <f>HäufigsteErgebnisse[[#This Row],[Zahl]]</f>
        <v>209</v>
      </c>
    </row>
    <row r="268" spans="2:12" x14ac:dyDescent="0.3">
      <c r="B268" s="2">
        <v>210</v>
      </c>
      <c r="C268" s="2">
        <f>COUNTIF(Eingabe[Volle],HäufigsteErgebnisse[[#This Row],[Zahl]])</f>
        <v>0</v>
      </c>
      <c r="D268" s="2">
        <f>COUNTIF(Eingabe[Räumer],HäufigsteErgebnisse[[#This Row],[Zahl]])</f>
        <v>1</v>
      </c>
      <c r="E268" s="2">
        <f>COUNTIF(Eingabe[Fehler],HäufigsteErgebnisse[[#This Row],[Zahl]])</f>
        <v>0</v>
      </c>
      <c r="F268" s="2">
        <f>COUNTIF(Eingabe[S1],HäufigsteErgebnisse[[#This Row],[Zahl]])</f>
        <v>0</v>
      </c>
      <c r="G268" s="2">
        <f>COUNTIF(Eingabe[S2],HäufigsteErgebnisse[[#This Row],[Zahl]])</f>
        <v>0</v>
      </c>
      <c r="H268" s="2">
        <f>COUNTIF(Eingabe[S3],HäufigsteErgebnisse[[#This Row],[Zahl]])</f>
        <v>0</v>
      </c>
      <c r="I268" s="2">
        <f>COUNTIF(Eingabe[S4],HäufigsteErgebnisse[[#This Row],[Zahl]])</f>
        <v>0</v>
      </c>
      <c r="J268" s="2">
        <f>COUNTIF(Eingabe[S1],HäufigsteErgebnisse[[#This Row],[Zahl]])+COUNTIF(Eingabe[S2],HäufigsteErgebnisse[[#This Row],[Zahl]])+COUNTIF(Eingabe[S3],HäufigsteErgebnisse[[#This Row],[Zahl]])+COUNTIF(Eingabe[S4],HäufigsteErgebnisse[[#This Row],[Zahl]])</f>
        <v>0</v>
      </c>
      <c r="K268" s="2">
        <f>COUNTIF(Eingabe[GES],HäufigsteErgebnisse[[#This Row],[Zahl]])</f>
        <v>0</v>
      </c>
      <c r="L268" s="2">
        <f>HäufigsteErgebnisse[[#This Row],[Zahl]]</f>
        <v>210</v>
      </c>
    </row>
    <row r="269" spans="2:12" x14ac:dyDescent="0.3">
      <c r="B269" s="2">
        <v>211</v>
      </c>
      <c r="C269" s="2">
        <f>COUNTIF(Eingabe[Volle],HäufigsteErgebnisse[[#This Row],[Zahl]])</f>
        <v>0</v>
      </c>
      <c r="D269" s="2">
        <f>COUNTIF(Eingabe[Räumer],HäufigsteErgebnisse[[#This Row],[Zahl]])</f>
        <v>1</v>
      </c>
      <c r="E269" s="2">
        <f>COUNTIF(Eingabe[Fehler],HäufigsteErgebnisse[[#This Row],[Zahl]])</f>
        <v>0</v>
      </c>
      <c r="F269" s="2">
        <f>COUNTIF(Eingabe[S1],HäufigsteErgebnisse[[#This Row],[Zahl]])</f>
        <v>0</v>
      </c>
      <c r="G269" s="2">
        <f>COUNTIF(Eingabe[S2],HäufigsteErgebnisse[[#This Row],[Zahl]])</f>
        <v>0</v>
      </c>
      <c r="H269" s="2">
        <f>COUNTIF(Eingabe[S3],HäufigsteErgebnisse[[#This Row],[Zahl]])</f>
        <v>0</v>
      </c>
      <c r="I269" s="2">
        <f>COUNTIF(Eingabe[S4],HäufigsteErgebnisse[[#This Row],[Zahl]])</f>
        <v>0</v>
      </c>
      <c r="J269" s="2">
        <f>COUNTIF(Eingabe[S1],HäufigsteErgebnisse[[#This Row],[Zahl]])+COUNTIF(Eingabe[S2],HäufigsteErgebnisse[[#This Row],[Zahl]])+COUNTIF(Eingabe[S3],HäufigsteErgebnisse[[#This Row],[Zahl]])+COUNTIF(Eingabe[S4],HäufigsteErgebnisse[[#This Row],[Zahl]])</f>
        <v>0</v>
      </c>
      <c r="K269" s="2">
        <f>COUNTIF(Eingabe[GES],HäufigsteErgebnisse[[#This Row],[Zahl]])</f>
        <v>0</v>
      </c>
      <c r="L269" s="2">
        <f>HäufigsteErgebnisse[[#This Row],[Zahl]]</f>
        <v>211</v>
      </c>
    </row>
    <row r="270" spans="2:12" x14ac:dyDescent="0.3">
      <c r="B270" s="2">
        <v>212</v>
      </c>
      <c r="C270" s="2">
        <f>COUNTIF(Eingabe[Volle],HäufigsteErgebnisse[[#This Row],[Zahl]])</f>
        <v>0</v>
      </c>
      <c r="D270" s="2">
        <f>COUNTIF(Eingabe[Räumer],HäufigsteErgebnisse[[#This Row],[Zahl]])</f>
        <v>1</v>
      </c>
      <c r="E270" s="2">
        <f>COUNTIF(Eingabe[Fehler],HäufigsteErgebnisse[[#This Row],[Zahl]])</f>
        <v>0</v>
      </c>
      <c r="F270" s="2">
        <f>COUNTIF(Eingabe[S1],HäufigsteErgebnisse[[#This Row],[Zahl]])</f>
        <v>0</v>
      </c>
      <c r="G270" s="2">
        <f>COUNTIF(Eingabe[S2],HäufigsteErgebnisse[[#This Row],[Zahl]])</f>
        <v>0</v>
      </c>
      <c r="H270" s="2">
        <f>COUNTIF(Eingabe[S3],HäufigsteErgebnisse[[#This Row],[Zahl]])</f>
        <v>0</v>
      </c>
      <c r="I270" s="2">
        <f>COUNTIF(Eingabe[S4],HäufigsteErgebnisse[[#This Row],[Zahl]])</f>
        <v>0</v>
      </c>
      <c r="J270" s="2">
        <f>COUNTIF(Eingabe[S1],HäufigsteErgebnisse[[#This Row],[Zahl]])+COUNTIF(Eingabe[S2],HäufigsteErgebnisse[[#This Row],[Zahl]])+COUNTIF(Eingabe[S3],HäufigsteErgebnisse[[#This Row],[Zahl]])+COUNTIF(Eingabe[S4],HäufigsteErgebnisse[[#This Row],[Zahl]])</f>
        <v>0</v>
      </c>
      <c r="K270" s="2">
        <f>COUNTIF(Eingabe[GES],HäufigsteErgebnisse[[#This Row],[Zahl]])</f>
        <v>0</v>
      </c>
      <c r="L270" s="2">
        <f>HäufigsteErgebnisse[[#This Row],[Zahl]]</f>
        <v>212</v>
      </c>
    </row>
    <row r="271" spans="2:12" x14ac:dyDescent="0.3">
      <c r="B271" s="2">
        <v>213</v>
      </c>
      <c r="C271" s="2">
        <f>COUNTIF(Eingabe[Volle],HäufigsteErgebnisse[[#This Row],[Zahl]])</f>
        <v>0</v>
      </c>
      <c r="D271" s="2">
        <f>COUNTIF(Eingabe[Räumer],HäufigsteErgebnisse[[#This Row],[Zahl]])</f>
        <v>0</v>
      </c>
      <c r="E271" s="2">
        <f>COUNTIF(Eingabe[Fehler],HäufigsteErgebnisse[[#This Row],[Zahl]])</f>
        <v>0</v>
      </c>
      <c r="F271" s="2">
        <f>COUNTIF(Eingabe[S1],HäufigsteErgebnisse[[#This Row],[Zahl]])</f>
        <v>0</v>
      </c>
      <c r="G271" s="2">
        <f>COUNTIF(Eingabe[S2],HäufigsteErgebnisse[[#This Row],[Zahl]])</f>
        <v>0</v>
      </c>
      <c r="H271" s="2">
        <f>COUNTIF(Eingabe[S3],HäufigsteErgebnisse[[#This Row],[Zahl]])</f>
        <v>0</v>
      </c>
      <c r="I271" s="2">
        <f>COUNTIF(Eingabe[S4],HäufigsteErgebnisse[[#This Row],[Zahl]])</f>
        <v>0</v>
      </c>
      <c r="J271" s="2">
        <f>COUNTIF(Eingabe[S1],HäufigsteErgebnisse[[#This Row],[Zahl]])+COUNTIF(Eingabe[S2],HäufigsteErgebnisse[[#This Row],[Zahl]])+COUNTIF(Eingabe[S3],HäufigsteErgebnisse[[#This Row],[Zahl]])+COUNTIF(Eingabe[S4],HäufigsteErgebnisse[[#This Row],[Zahl]])</f>
        <v>0</v>
      </c>
      <c r="K271" s="2">
        <f>COUNTIF(Eingabe[GES],HäufigsteErgebnisse[[#This Row],[Zahl]])</f>
        <v>0</v>
      </c>
      <c r="L271" s="2">
        <f>HäufigsteErgebnisse[[#This Row],[Zahl]]</f>
        <v>213</v>
      </c>
    </row>
    <row r="272" spans="2:12" x14ac:dyDescent="0.3">
      <c r="B272" s="2">
        <v>214</v>
      </c>
      <c r="C272" s="2">
        <f>COUNTIF(Eingabe[Volle],HäufigsteErgebnisse[[#This Row],[Zahl]])</f>
        <v>0</v>
      </c>
      <c r="D272" s="2">
        <f>COUNTIF(Eingabe[Räumer],HäufigsteErgebnisse[[#This Row],[Zahl]])</f>
        <v>0</v>
      </c>
      <c r="E272" s="2">
        <f>COUNTIF(Eingabe[Fehler],HäufigsteErgebnisse[[#This Row],[Zahl]])</f>
        <v>0</v>
      </c>
      <c r="F272" s="2">
        <f>COUNTIF(Eingabe[S1],HäufigsteErgebnisse[[#This Row],[Zahl]])</f>
        <v>0</v>
      </c>
      <c r="G272" s="2">
        <f>COUNTIF(Eingabe[S2],HäufigsteErgebnisse[[#This Row],[Zahl]])</f>
        <v>0</v>
      </c>
      <c r="H272" s="2">
        <f>COUNTIF(Eingabe[S3],HäufigsteErgebnisse[[#This Row],[Zahl]])</f>
        <v>0</v>
      </c>
      <c r="I272" s="2">
        <f>COUNTIF(Eingabe[S4],HäufigsteErgebnisse[[#This Row],[Zahl]])</f>
        <v>0</v>
      </c>
      <c r="J272" s="2">
        <f>COUNTIF(Eingabe[S1],HäufigsteErgebnisse[[#This Row],[Zahl]])+COUNTIF(Eingabe[S2],HäufigsteErgebnisse[[#This Row],[Zahl]])+COUNTIF(Eingabe[S3],HäufigsteErgebnisse[[#This Row],[Zahl]])+COUNTIF(Eingabe[S4],HäufigsteErgebnisse[[#This Row],[Zahl]])</f>
        <v>0</v>
      </c>
      <c r="K272" s="2">
        <f>COUNTIF(Eingabe[GES],HäufigsteErgebnisse[[#This Row],[Zahl]])</f>
        <v>0</v>
      </c>
      <c r="L272" s="2">
        <f>HäufigsteErgebnisse[[#This Row],[Zahl]]</f>
        <v>214</v>
      </c>
    </row>
    <row r="273" spans="2:12" x14ac:dyDescent="0.3">
      <c r="B273" s="2">
        <v>215</v>
      </c>
      <c r="C273" s="2">
        <f>COUNTIF(Eingabe[Volle],HäufigsteErgebnisse[[#This Row],[Zahl]])</f>
        <v>0</v>
      </c>
      <c r="D273" s="2">
        <f>COUNTIF(Eingabe[Räumer],HäufigsteErgebnisse[[#This Row],[Zahl]])</f>
        <v>0</v>
      </c>
      <c r="E273" s="2">
        <f>COUNTIF(Eingabe[Fehler],HäufigsteErgebnisse[[#This Row],[Zahl]])</f>
        <v>0</v>
      </c>
      <c r="F273" s="2">
        <f>COUNTIF(Eingabe[S1],HäufigsteErgebnisse[[#This Row],[Zahl]])</f>
        <v>0</v>
      </c>
      <c r="G273" s="2">
        <f>COUNTIF(Eingabe[S2],HäufigsteErgebnisse[[#This Row],[Zahl]])</f>
        <v>0</v>
      </c>
      <c r="H273" s="2">
        <f>COUNTIF(Eingabe[S3],HäufigsteErgebnisse[[#This Row],[Zahl]])</f>
        <v>0</v>
      </c>
      <c r="I273" s="2">
        <f>COUNTIF(Eingabe[S4],HäufigsteErgebnisse[[#This Row],[Zahl]])</f>
        <v>0</v>
      </c>
      <c r="J273" s="2">
        <f>COUNTIF(Eingabe[S1],HäufigsteErgebnisse[[#This Row],[Zahl]])+COUNTIF(Eingabe[S2],HäufigsteErgebnisse[[#This Row],[Zahl]])+COUNTIF(Eingabe[S3],HäufigsteErgebnisse[[#This Row],[Zahl]])+COUNTIF(Eingabe[S4],HäufigsteErgebnisse[[#This Row],[Zahl]])</f>
        <v>0</v>
      </c>
      <c r="K273" s="2">
        <f>COUNTIF(Eingabe[GES],HäufigsteErgebnisse[[#This Row],[Zahl]])</f>
        <v>0</v>
      </c>
      <c r="L273" s="2">
        <f>HäufigsteErgebnisse[[#This Row],[Zahl]]</f>
        <v>215</v>
      </c>
    </row>
    <row r="274" spans="2:12" x14ac:dyDescent="0.3">
      <c r="B274" s="2">
        <v>216</v>
      </c>
      <c r="C274" s="2">
        <f>COUNTIF(Eingabe[Volle],HäufigsteErgebnisse[[#This Row],[Zahl]])</f>
        <v>0</v>
      </c>
      <c r="D274" s="2">
        <f>COUNTIF(Eingabe[Räumer],HäufigsteErgebnisse[[#This Row],[Zahl]])</f>
        <v>0</v>
      </c>
      <c r="E274" s="2">
        <f>COUNTIF(Eingabe[Fehler],HäufigsteErgebnisse[[#This Row],[Zahl]])</f>
        <v>0</v>
      </c>
      <c r="F274" s="2">
        <f>COUNTIF(Eingabe[S1],HäufigsteErgebnisse[[#This Row],[Zahl]])</f>
        <v>0</v>
      </c>
      <c r="G274" s="2">
        <f>COUNTIF(Eingabe[S2],HäufigsteErgebnisse[[#This Row],[Zahl]])</f>
        <v>0</v>
      </c>
      <c r="H274" s="2">
        <f>COUNTIF(Eingabe[S3],HäufigsteErgebnisse[[#This Row],[Zahl]])</f>
        <v>0</v>
      </c>
      <c r="I274" s="2">
        <f>COUNTIF(Eingabe[S4],HäufigsteErgebnisse[[#This Row],[Zahl]])</f>
        <v>0</v>
      </c>
      <c r="J274" s="2">
        <f>COUNTIF(Eingabe[S1],HäufigsteErgebnisse[[#This Row],[Zahl]])+COUNTIF(Eingabe[S2],HäufigsteErgebnisse[[#This Row],[Zahl]])+COUNTIF(Eingabe[S3],HäufigsteErgebnisse[[#This Row],[Zahl]])+COUNTIF(Eingabe[S4],HäufigsteErgebnisse[[#This Row],[Zahl]])</f>
        <v>0</v>
      </c>
      <c r="K274" s="2">
        <f>COUNTIF(Eingabe[GES],HäufigsteErgebnisse[[#This Row],[Zahl]])</f>
        <v>0</v>
      </c>
      <c r="L274" s="2">
        <f>HäufigsteErgebnisse[[#This Row],[Zahl]]</f>
        <v>216</v>
      </c>
    </row>
    <row r="275" spans="2:12" x14ac:dyDescent="0.3">
      <c r="B275" s="2">
        <v>217</v>
      </c>
      <c r="C275" s="2">
        <f>COUNTIF(Eingabe[Volle],HäufigsteErgebnisse[[#This Row],[Zahl]])</f>
        <v>0</v>
      </c>
      <c r="D275" s="2">
        <f>COUNTIF(Eingabe[Räumer],HäufigsteErgebnisse[[#This Row],[Zahl]])</f>
        <v>0</v>
      </c>
      <c r="E275" s="2">
        <f>COUNTIF(Eingabe[Fehler],HäufigsteErgebnisse[[#This Row],[Zahl]])</f>
        <v>0</v>
      </c>
      <c r="F275" s="2">
        <f>COUNTIF(Eingabe[S1],HäufigsteErgebnisse[[#This Row],[Zahl]])</f>
        <v>0</v>
      </c>
      <c r="G275" s="2">
        <f>COUNTIF(Eingabe[S2],HäufigsteErgebnisse[[#This Row],[Zahl]])</f>
        <v>0</v>
      </c>
      <c r="H275" s="2">
        <f>COUNTIF(Eingabe[S3],HäufigsteErgebnisse[[#This Row],[Zahl]])</f>
        <v>0</v>
      </c>
      <c r="I275" s="2">
        <f>COUNTIF(Eingabe[S4],HäufigsteErgebnisse[[#This Row],[Zahl]])</f>
        <v>0</v>
      </c>
      <c r="J275" s="2">
        <f>COUNTIF(Eingabe[S1],HäufigsteErgebnisse[[#This Row],[Zahl]])+COUNTIF(Eingabe[S2],HäufigsteErgebnisse[[#This Row],[Zahl]])+COUNTIF(Eingabe[S3],HäufigsteErgebnisse[[#This Row],[Zahl]])+COUNTIF(Eingabe[S4],HäufigsteErgebnisse[[#This Row],[Zahl]])</f>
        <v>0</v>
      </c>
      <c r="K275" s="2">
        <f>COUNTIF(Eingabe[GES],HäufigsteErgebnisse[[#This Row],[Zahl]])</f>
        <v>0</v>
      </c>
      <c r="L275" s="2">
        <f>HäufigsteErgebnisse[[#This Row],[Zahl]]</f>
        <v>217</v>
      </c>
    </row>
    <row r="276" spans="2:12" x14ac:dyDescent="0.3">
      <c r="B276" s="2">
        <v>218</v>
      </c>
      <c r="C276" s="2">
        <f>COUNTIF(Eingabe[Volle],HäufigsteErgebnisse[[#This Row],[Zahl]])</f>
        <v>0</v>
      </c>
      <c r="D276" s="2">
        <f>COUNTIF(Eingabe[Räumer],HäufigsteErgebnisse[[#This Row],[Zahl]])</f>
        <v>0</v>
      </c>
      <c r="E276" s="2">
        <f>COUNTIF(Eingabe[Fehler],HäufigsteErgebnisse[[#This Row],[Zahl]])</f>
        <v>0</v>
      </c>
      <c r="F276" s="2">
        <f>COUNTIF(Eingabe[S1],HäufigsteErgebnisse[[#This Row],[Zahl]])</f>
        <v>0</v>
      </c>
      <c r="G276" s="2">
        <f>COUNTIF(Eingabe[S2],HäufigsteErgebnisse[[#This Row],[Zahl]])</f>
        <v>0</v>
      </c>
      <c r="H276" s="2">
        <f>COUNTIF(Eingabe[S3],HäufigsteErgebnisse[[#This Row],[Zahl]])</f>
        <v>0</v>
      </c>
      <c r="I276" s="2">
        <f>COUNTIF(Eingabe[S4],HäufigsteErgebnisse[[#This Row],[Zahl]])</f>
        <v>0</v>
      </c>
      <c r="J276" s="2">
        <f>COUNTIF(Eingabe[S1],HäufigsteErgebnisse[[#This Row],[Zahl]])+COUNTIF(Eingabe[S2],HäufigsteErgebnisse[[#This Row],[Zahl]])+COUNTIF(Eingabe[S3],HäufigsteErgebnisse[[#This Row],[Zahl]])+COUNTIF(Eingabe[S4],HäufigsteErgebnisse[[#This Row],[Zahl]])</f>
        <v>0</v>
      </c>
      <c r="K276" s="2">
        <f>COUNTIF(Eingabe[GES],HäufigsteErgebnisse[[#This Row],[Zahl]])</f>
        <v>0</v>
      </c>
      <c r="L276" s="2">
        <f>HäufigsteErgebnisse[[#This Row],[Zahl]]</f>
        <v>218</v>
      </c>
    </row>
    <row r="277" spans="2:12" x14ac:dyDescent="0.3">
      <c r="B277" s="2">
        <v>219</v>
      </c>
      <c r="C277" s="2">
        <f>COUNTIF(Eingabe[Volle],HäufigsteErgebnisse[[#This Row],[Zahl]])</f>
        <v>0</v>
      </c>
      <c r="D277" s="2">
        <f>COUNTIF(Eingabe[Räumer],HäufigsteErgebnisse[[#This Row],[Zahl]])</f>
        <v>0</v>
      </c>
      <c r="E277" s="2">
        <f>COUNTIF(Eingabe[Fehler],HäufigsteErgebnisse[[#This Row],[Zahl]])</f>
        <v>0</v>
      </c>
      <c r="F277" s="2">
        <f>COUNTIF(Eingabe[S1],HäufigsteErgebnisse[[#This Row],[Zahl]])</f>
        <v>0</v>
      </c>
      <c r="G277" s="2">
        <f>COUNTIF(Eingabe[S2],HäufigsteErgebnisse[[#This Row],[Zahl]])</f>
        <v>0</v>
      </c>
      <c r="H277" s="2">
        <f>COUNTIF(Eingabe[S3],HäufigsteErgebnisse[[#This Row],[Zahl]])</f>
        <v>0</v>
      </c>
      <c r="I277" s="2">
        <f>COUNTIF(Eingabe[S4],HäufigsteErgebnisse[[#This Row],[Zahl]])</f>
        <v>0</v>
      </c>
      <c r="J277" s="2">
        <f>COUNTIF(Eingabe[S1],HäufigsteErgebnisse[[#This Row],[Zahl]])+COUNTIF(Eingabe[S2],HäufigsteErgebnisse[[#This Row],[Zahl]])+COUNTIF(Eingabe[S3],HäufigsteErgebnisse[[#This Row],[Zahl]])+COUNTIF(Eingabe[S4],HäufigsteErgebnisse[[#This Row],[Zahl]])</f>
        <v>0</v>
      </c>
      <c r="K277" s="2">
        <f>COUNTIF(Eingabe[GES],HäufigsteErgebnisse[[#This Row],[Zahl]])</f>
        <v>0</v>
      </c>
      <c r="L277" s="2">
        <f>HäufigsteErgebnisse[[#This Row],[Zahl]]</f>
        <v>219</v>
      </c>
    </row>
    <row r="278" spans="2:12" x14ac:dyDescent="0.3">
      <c r="B278" s="2">
        <v>220</v>
      </c>
      <c r="C278" s="2">
        <f>COUNTIF(Eingabe[Volle],HäufigsteErgebnisse[[#This Row],[Zahl]])</f>
        <v>0</v>
      </c>
      <c r="D278" s="2">
        <f>COUNTIF(Eingabe[Räumer],HäufigsteErgebnisse[[#This Row],[Zahl]])</f>
        <v>1</v>
      </c>
      <c r="E278" s="2">
        <f>COUNTIF(Eingabe[Fehler],HäufigsteErgebnisse[[#This Row],[Zahl]])</f>
        <v>0</v>
      </c>
      <c r="F278" s="2">
        <f>COUNTIF(Eingabe[S1],HäufigsteErgebnisse[[#This Row],[Zahl]])</f>
        <v>0</v>
      </c>
      <c r="G278" s="2">
        <f>COUNTIF(Eingabe[S2],HäufigsteErgebnisse[[#This Row],[Zahl]])</f>
        <v>0</v>
      </c>
      <c r="H278" s="2">
        <f>COUNTIF(Eingabe[S3],HäufigsteErgebnisse[[#This Row],[Zahl]])</f>
        <v>0</v>
      </c>
      <c r="I278" s="2">
        <f>COUNTIF(Eingabe[S4],HäufigsteErgebnisse[[#This Row],[Zahl]])</f>
        <v>0</v>
      </c>
      <c r="J278" s="2">
        <f>COUNTIF(Eingabe[S1],HäufigsteErgebnisse[[#This Row],[Zahl]])+COUNTIF(Eingabe[S2],HäufigsteErgebnisse[[#This Row],[Zahl]])+COUNTIF(Eingabe[S3],HäufigsteErgebnisse[[#This Row],[Zahl]])+COUNTIF(Eingabe[S4],HäufigsteErgebnisse[[#This Row],[Zahl]])</f>
        <v>0</v>
      </c>
      <c r="K278" s="2">
        <f>COUNTIF(Eingabe[GES],HäufigsteErgebnisse[[#This Row],[Zahl]])</f>
        <v>0</v>
      </c>
      <c r="L278" s="2">
        <f>HäufigsteErgebnisse[[#This Row],[Zahl]]</f>
        <v>220</v>
      </c>
    </row>
    <row r="279" spans="2:12" x14ac:dyDescent="0.3">
      <c r="B279" s="2">
        <v>221</v>
      </c>
      <c r="C279" s="2">
        <f>COUNTIF(Eingabe[Volle],HäufigsteErgebnisse[[#This Row],[Zahl]])</f>
        <v>0</v>
      </c>
      <c r="D279" s="2">
        <f>COUNTIF(Eingabe[Räumer],HäufigsteErgebnisse[[#This Row],[Zahl]])</f>
        <v>0</v>
      </c>
      <c r="E279" s="2">
        <f>COUNTIF(Eingabe[Fehler],HäufigsteErgebnisse[[#This Row],[Zahl]])</f>
        <v>0</v>
      </c>
      <c r="F279" s="2">
        <f>COUNTIF(Eingabe[S1],HäufigsteErgebnisse[[#This Row],[Zahl]])</f>
        <v>0</v>
      </c>
      <c r="G279" s="2">
        <f>COUNTIF(Eingabe[S2],HäufigsteErgebnisse[[#This Row],[Zahl]])</f>
        <v>0</v>
      </c>
      <c r="H279" s="2">
        <f>COUNTIF(Eingabe[S3],HäufigsteErgebnisse[[#This Row],[Zahl]])</f>
        <v>0</v>
      </c>
      <c r="I279" s="2">
        <f>COUNTIF(Eingabe[S4],HäufigsteErgebnisse[[#This Row],[Zahl]])</f>
        <v>0</v>
      </c>
      <c r="J279" s="2">
        <f>COUNTIF(Eingabe[S1],HäufigsteErgebnisse[[#This Row],[Zahl]])+COUNTIF(Eingabe[S2],HäufigsteErgebnisse[[#This Row],[Zahl]])+COUNTIF(Eingabe[S3],HäufigsteErgebnisse[[#This Row],[Zahl]])+COUNTIF(Eingabe[S4],HäufigsteErgebnisse[[#This Row],[Zahl]])</f>
        <v>0</v>
      </c>
      <c r="K279" s="2">
        <f>COUNTIF(Eingabe[GES],HäufigsteErgebnisse[[#This Row],[Zahl]])</f>
        <v>0</v>
      </c>
      <c r="L279" s="2">
        <f>HäufigsteErgebnisse[[#This Row],[Zahl]]</f>
        <v>221</v>
      </c>
    </row>
    <row r="280" spans="2:12" x14ac:dyDescent="0.3">
      <c r="B280" s="2">
        <v>222</v>
      </c>
      <c r="C280" s="2">
        <f>COUNTIF(Eingabe[Volle],HäufigsteErgebnisse[[#This Row],[Zahl]])</f>
        <v>0</v>
      </c>
      <c r="D280" s="2">
        <f>COUNTIF(Eingabe[Räumer],HäufigsteErgebnisse[[#This Row],[Zahl]])</f>
        <v>1</v>
      </c>
      <c r="E280" s="2">
        <f>COUNTIF(Eingabe[Fehler],HäufigsteErgebnisse[[#This Row],[Zahl]])</f>
        <v>0</v>
      </c>
      <c r="F280" s="2">
        <f>COUNTIF(Eingabe[S1],HäufigsteErgebnisse[[#This Row],[Zahl]])</f>
        <v>0</v>
      </c>
      <c r="G280" s="2">
        <f>COUNTIF(Eingabe[S2],HäufigsteErgebnisse[[#This Row],[Zahl]])</f>
        <v>0</v>
      </c>
      <c r="H280" s="2">
        <f>COUNTIF(Eingabe[S3],HäufigsteErgebnisse[[#This Row],[Zahl]])</f>
        <v>0</v>
      </c>
      <c r="I280" s="2">
        <f>COUNTIF(Eingabe[S4],HäufigsteErgebnisse[[#This Row],[Zahl]])</f>
        <v>0</v>
      </c>
      <c r="J280" s="2">
        <f>COUNTIF(Eingabe[S1],HäufigsteErgebnisse[[#This Row],[Zahl]])+COUNTIF(Eingabe[S2],HäufigsteErgebnisse[[#This Row],[Zahl]])+COUNTIF(Eingabe[S3],HäufigsteErgebnisse[[#This Row],[Zahl]])+COUNTIF(Eingabe[S4],HäufigsteErgebnisse[[#This Row],[Zahl]])</f>
        <v>0</v>
      </c>
      <c r="K280" s="2">
        <f>COUNTIF(Eingabe[GES],HäufigsteErgebnisse[[#This Row],[Zahl]])</f>
        <v>0</v>
      </c>
      <c r="L280" s="2">
        <f>HäufigsteErgebnisse[[#This Row],[Zahl]]</f>
        <v>222</v>
      </c>
    </row>
    <row r="281" spans="2:12" x14ac:dyDescent="0.3">
      <c r="B281" s="2">
        <v>223</v>
      </c>
      <c r="C281" s="2">
        <f>COUNTIF(Eingabe[Volle],HäufigsteErgebnisse[[#This Row],[Zahl]])</f>
        <v>0</v>
      </c>
      <c r="D281" s="2">
        <f>COUNTIF(Eingabe[Räumer],HäufigsteErgebnisse[[#This Row],[Zahl]])</f>
        <v>3</v>
      </c>
      <c r="E281" s="2">
        <f>COUNTIF(Eingabe[Fehler],HäufigsteErgebnisse[[#This Row],[Zahl]])</f>
        <v>0</v>
      </c>
      <c r="F281" s="2">
        <f>COUNTIF(Eingabe[S1],HäufigsteErgebnisse[[#This Row],[Zahl]])</f>
        <v>0</v>
      </c>
      <c r="G281" s="2">
        <f>COUNTIF(Eingabe[S2],HäufigsteErgebnisse[[#This Row],[Zahl]])</f>
        <v>0</v>
      </c>
      <c r="H281" s="2">
        <f>COUNTIF(Eingabe[S3],HäufigsteErgebnisse[[#This Row],[Zahl]])</f>
        <v>0</v>
      </c>
      <c r="I281" s="2">
        <f>COUNTIF(Eingabe[S4],HäufigsteErgebnisse[[#This Row],[Zahl]])</f>
        <v>0</v>
      </c>
      <c r="J281" s="2">
        <f>COUNTIF(Eingabe[S1],HäufigsteErgebnisse[[#This Row],[Zahl]])+COUNTIF(Eingabe[S2],HäufigsteErgebnisse[[#This Row],[Zahl]])+COUNTIF(Eingabe[S3],HäufigsteErgebnisse[[#This Row],[Zahl]])+COUNTIF(Eingabe[S4],HäufigsteErgebnisse[[#This Row],[Zahl]])</f>
        <v>0</v>
      </c>
      <c r="K281" s="2">
        <f>COUNTIF(Eingabe[GES],HäufigsteErgebnisse[[#This Row],[Zahl]])</f>
        <v>0</v>
      </c>
      <c r="L281" s="2">
        <f>HäufigsteErgebnisse[[#This Row],[Zahl]]</f>
        <v>223</v>
      </c>
    </row>
    <row r="282" spans="2:12" x14ac:dyDescent="0.3">
      <c r="B282" s="2">
        <v>224</v>
      </c>
      <c r="C282" s="2">
        <f>COUNTIF(Eingabe[Volle],HäufigsteErgebnisse[[#This Row],[Zahl]])</f>
        <v>0</v>
      </c>
      <c r="D282" s="2">
        <f>COUNTIF(Eingabe[Räumer],HäufigsteErgebnisse[[#This Row],[Zahl]])</f>
        <v>0</v>
      </c>
      <c r="E282" s="2">
        <f>COUNTIF(Eingabe[Fehler],HäufigsteErgebnisse[[#This Row],[Zahl]])</f>
        <v>0</v>
      </c>
      <c r="F282" s="2">
        <f>COUNTIF(Eingabe[S1],HäufigsteErgebnisse[[#This Row],[Zahl]])</f>
        <v>0</v>
      </c>
      <c r="G282" s="2">
        <f>COUNTIF(Eingabe[S2],HäufigsteErgebnisse[[#This Row],[Zahl]])</f>
        <v>0</v>
      </c>
      <c r="H282" s="2">
        <f>COUNTIF(Eingabe[S3],HäufigsteErgebnisse[[#This Row],[Zahl]])</f>
        <v>0</v>
      </c>
      <c r="I282" s="2">
        <f>COUNTIF(Eingabe[S4],HäufigsteErgebnisse[[#This Row],[Zahl]])</f>
        <v>0</v>
      </c>
      <c r="J282" s="2">
        <f>COUNTIF(Eingabe[S1],HäufigsteErgebnisse[[#This Row],[Zahl]])+COUNTIF(Eingabe[S2],HäufigsteErgebnisse[[#This Row],[Zahl]])+COUNTIF(Eingabe[S3],HäufigsteErgebnisse[[#This Row],[Zahl]])+COUNTIF(Eingabe[S4],HäufigsteErgebnisse[[#This Row],[Zahl]])</f>
        <v>0</v>
      </c>
      <c r="K282" s="2">
        <f>COUNTIF(Eingabe[GES],HäufigsteErgebnisse[[#This Row],[Zahl]])</f>
        <v>0</v>
      </c>
      <c r="L282" s="2">
        <f>HäufigsteErgebnisse[[#This Row],[Zahl]]</f>
        <v>224</v>
      </c>
    </row>
    <row r="283" spans="2:12" x14ac:dyDescent="0.3">
      <c r="B283" s="2">
        <v>225</v>
      </c>
      <c r="C283" s="2">
        <f>COUNTIF(Eingabe[Volle],HäufigsteErgebnisse[[#This Row],[Zahl]])</f>
        <v>0</v>
      </c>
      <c r="D283" s="2">
        <f>COUNTIF(Eingabe[Räumer],HäufigsteErgebnisse[[#This Row],[Zahl]])</f>
        <v>0</v>
      </c>
      <c r="E283" s="2">
        <f>COUNTIF(Eingabe[Fehler],HäufigsteErgebnisse[[#This Row],[Zahl]])</f>
        <v>0</v>
      </c>
      <c r="F283" s="2">
        <f>COUNTIF(Eingabe[S1],HäufigsteErgebnisse[[#This Row],[Zahl]])</f>
        <v>0</v>
      </c>
      <c r="G283" s="2">
        <f>COUNTIF(Eingabe[S2],HäufigsteErgebnisse[[#This Row],[Zahl]])</f>
        <v>0</v>
      </c>
      <c r="H283" s="2">
        <f>COUNTIF(Eingabe[S3],HäufigsteErgebnisse[[#This Row],[Zahl]])</f>
        <v>0</v>
      </c>
      <c r="I283" s="2">
        <f>COUNTIF(Eingabe[S4],HäufigsteErgebnisse[[#This Row],[Zahl]])</f>
        <v>0</v>
      </c>
      <c r="J283" s="2">
        <f>COUNTIF(Eingabe[S1],HäufigsteErgebnisse[[#This Row],[Zahl]])+COUNTIF(Eingabe[S2],HäufigsteErgebnisse[[#This Row],[Zahl]])+COUNTIF(Eingabe[S3],HäufigsteErgebnisse[[#This Row],[Zahl]])+COUNTIF(Eingabe[S4],HäufigsteErgebnisse[[#This Row],[Zahl]])</f>
        <v>0</v>
      </c>
      <c r="K283" s="2">
        <f>COUNTIF(Eingabe[GES],HäufigsteErgebnisse[[#This Row],[Zahl]])</f>
        <v>0</v>
      </c>
      <c r="L283" s="2">
        <f>HäufigsteErgebnisse[[#This Row],[Zahl]]</f>
        <v>225</v>
      </c>
    </row>
    <row r="284" spans="2:12" x14ac:dyDescent="0.3">
      <c r="B284" s="2">
        <v>226</v>
      </c>
      <c r="C284" s="2">
        <f>COUNTIF(Eingabe[Volle],HäufigsteErgebnisse[[#This Row],[Zahl]])</f>
        <v>0</v>
      </c>
      <c r="D284" s="2">
        <f>COUNTIF(Eingabe[Räumer],HäufigsteErgebnisse[[#This Row],[Zahl]])</f>
        <v>0</v>
      </c>
      <c r="E284" s="2">
        <f>COUNTIF(Eingabe[Fehler],HäufigsteErgebnisse[[#This Row],[Zahl]])</f>
        <v>0</v>
      </c>
      <c r="F284" s="2">
        <f>COUNTIF(Eingabe[S1],HäufigsteErgebnisse[[#This Row],[Zahl]])</f>
        <v>0</v>
      </c>
      <c r="G284" s="2">
        <f>COUNTIF(Eingabe[S2],HäufigsteErgebnisse[[#This Row],[Zahl]])</f>
        <v>0</v>
      </c>
      <c r="H284" s="2">
        <f>COUNTIF(Eingabe[S3],HäufigsteErgebnisse[[#This Row],[Zahl]])</f>
        <v>0</v>
      </c>
      <c r="I284" s="2">
        <f>COUNTIF(Eingabe[S4],HäufigsteErgebnisse[[#This Row],[Zahl]])</f>
        <v>0</v>
      </c>
      <c r="J284" s="2">
        <f>COUNTIF(Eingabe[S1],HäufigsteErgebnisse[[#This Row],[Zahl]])+COUNTIF(Eingabe[S2],HäufigsteErgebnisse[[#This Row],[Zahl]])+COUNTIF(Eingabe[S3],HäufigsteErgebnisse[[#This Row],[Zahl]])+COUNTIF(Eingabe[S4],HäufigsteErgebnisse[[#This Row],[Zahl]])</f>
        <v>0</v>
      </c>
      <c r="K284" s="2">
        <f>COUNTIF(Eingabe[GES],HäufigsteErgebnisse[[#This Row],[Zahl]])</f>
        <v>0</v>
      </c>
      <c r="L284" s="2">
        <f>HäufigsteErgebnisse[[#This Row],[Zahl]]</f>
        <v>226</v>
      </c>
    </row>
    <row r="285" spans="2:12" x14ac:dyDescent="0.3">
      <c r="B285" s="2">
        <v>227</v>
      </c>
      <c r="C285" s="2">
        <f>COUNTIF(Eingabe[Volle],HäufigsteErgebnisse[[#This Row],[Zahl]])</f>
        <v>0</v>
      </c>
      <c r="D285" s="2">
        <f>COUNTIF(Eingabe[Räumer],HäufigsteErgebnisse[[#This Row],[Zahl]])</f>
        <v>0</v>
      </c>
      <c r="E285" s="2">
        <f>COUNTIF(Eingabe[Fehler],HäufigsteErgebnisse[[#This Row],[Zahl]])</f>
        <v>0</v>
      </c>
      <c r="F285" s="2">
        <f>COUNTIF(Eingabe[S1],HäufigsteErgebnisse[[#This Row],[Zahl]])</f>
        <v>0</v>
      </c>
      <c r="G285" s="2">
        <f>COUNTIF(Eingabe[S2],HäufigsteErgebnisse[[#This Row],[Zahl]])</f>
        <v>0</v>
      </c>
      <c r="H285" s="2">
        <f>COUNTIF(Eingabe[S3],HäufigsteErgebnisse[[#This Row],[Zahl]])</f>
        <v>0</v>
      </c>
      <c r="I285" s="2">
        <f>COUNTIF(Eingabe[S4],HäufigsteErgebnisse[[#This Row],[Zahl]])</f>
        <v>0</v>
      </c>
      <c r="J285" s="2">
        <f>COUNTIF(Eingabe[S1],HäufigsteErgebnisse[[#This Row],[Zahl]])+COUNTIF(Eingabe[S2],HäufigsteErgebnisse[[#This Row],[Zahl]])+COUNTIF(Eingabe[S3],HäufigsteErgebnisse[[#This Row],[Zahl]])+COUNTIF(Eingabe[S4],HäufigsteErgebnisse[[#This Row],[Zahl]])</f>
        <v>0</v>
      </c>
      <c r="K285" s="2">
        <f>COUNTIF(Eingabe[GES],HäufigsteErgebnisse[[#This Row],[Zahl]])</f>
        <v>0</v>
      </c>
      <c r="L285" s="2">
        <f>HäufigsteErgebnisse[[#This Row],[Zahl]]</f>
        <v>227</v>
      </c>
    </row>
    <row r="286" spans="2:12" x14ac:dyDescent="0.3">
      <c r="B286" s="2">
        <v>228</v>
      </c>
      <c r="C286" s="2">
        <f>COUNTIF(Eingabe[Volle],HäufigsteErgebnisse[[#This Row],[Zahl]])</f>
        <v>1</v>
      </c>
      <c r="D286" s="2">
        <f>COUNTIF(Eingabe[Räumer],HäufigsteErgebnisse[[#This Row],[Zahl]])</f>
        <v>0</v>
      </c>
      <c r="E286" s="2">
        <f>COUNTIF(Eingabe[Fehler],HäufigsteErgebnisse[[#This Row],[Zahl]])</f>
        <v>0</v>
      </c>
      <c r="F286" s="2">
        <f>COUNTIF(Eingabe[S1],HäufigsteErgebnisse[[#This Row],[Zahl]])</f>
        <v>0</v>
      </c>
      <c r="G286" s="2">
        <f>COUNTIF(Eingabe[S2],HäufigsteErgebnisse[[#This Row],[Zahl]])</f>
        <v>0</v>
      </c>
      <c r="H286" s="2">
        <f>COUNTIF(Eingabe[S3],HäufigsteErgebnisse[[#This Row],[Zahl]])</f>
        <v>0</v>
      </c>
      <c r="I286" s="2">
        <f>COUNTIF(Eingabe[S4],HäufigsteErgebnisse[[#This Row],[Zahl]])</f>
        <v>0</v>
      </c>
      <c r="J286" s="2">
        <f>COUNTIF(Eingabe[S1],HäufigsteErgebnisse[[#This Row],[Zahl]])+COUNTIF(Eingabe[S2],HäufigsteErgebnisse[[#This Row],[Zahl]])+COUNTIF(Eingabe[S3],HäufigsteErgebnisse[[#This Row],[Zahl]])+COUNTIF(Eingabe[S4],HäufigsteErgebnisse[[#This Row],[Zahl]])</f>
        <v>0</v>
      </c>
      <c r="K286" s="2">
        <f>COUNTIF(Eingabe[GES],HäufigsteErgebnisse[[#This Row],[Zahl]])</f>
        <v>0</v>
      </c>
      <c r="L286" s="2">
        <f>HäufigsteErgebnisse[[#This Row],[Zahl]]</f>
        <v>228</v>
      </c>
    </row>
    <row r="287" spans="2:12" x14ac:dyDescent="0.3">
      <c r="B287" s="2">
        <v>229</v>
      </c>
      <c r="C287" s="2">
        <f>COUNTIF(Eingabe[Volle],HäufigsteErgebnisse[[#This Row],[Zahl]])</f>
        <v>0</v>
      </c>
      <c r="D287" s="2">
        <f>COUNTIF(Eingabe[Räumer],HäufigsteErgebnisse[[#This Row],[Zahl]])</f>
        <v>0</v>
      </c>
      <c r="E287" s="2">
        <f>COUNTIF(Eingabe[Fehler],HäufigsteErgebnisse[[#This Row],[Zahl]])</f>
        <v>0</v>
      </c>
      <c r="F287" s="2">
        <f>COUNTIF(Eingabe[S1],HäufigsteErgebnisse[[#This Row],[Zahl]])</f>
        <v>0</v>
      </c>
      <c r="G287" s="2">
        <f>COUNTIF(Eingabe[S2],HäufigsteErgebnisse[[#This Row],[Zahl]])</f>
        <v>0</v>
      </c>
      <c r="H287" s="2">
        <f>COUNTIF(Eingabe[S3],HäufigsteErgebnisse[[#This Row],[Zahl]])</f>
        <v>0</v>
      </c>
      <c r="I287" s="2">
        <f>COUNTIF(Eingabe[S4],HäufigsteErgebnisse[[#This Row],[Zahl]])</f>
        <v>0</v>
      </c>
      <c r="J287" s="2">
        <f>COUNTIF(Eingabe[S1],HäufigsteErgebnisse[[#This Row],[Zahl]])+COUNTIF(Eingabe[S2],HäufigsteErgebnisse[[#This Row],[Zahl]])+COUNTIF(Eingabe[S3],HäufigsteErgebnisse[[#This Row],[Zahl]])+COUNTIF(Eingabe[S4],HäufigsteErgebnisse[[#This Row],[Zahl]])</f>
        <v>0</v>
      </c>
      <c r="K287" s="2">
        <f>COUNTIF(Eingabe[GES],HäufigsteErgebnisse[[#This Row],[Zahl]])</f>
        <v>0</v>
      </c>
      <c r="L287" s="2">
        <f>HäufigsteErgebnisse[[#This Row],[Zahl]]</f>
        <v>229</v>
      </c>
    </row>
    <row r="288" spans="2:12" x14ac:dyDescent="0.3">
      <c r="B288" s="2">
        <v>230</v>
      </c>
      <c r="C288" s="2">
        <f>COUNTIF(Eingabe[Volle],HäufigsteErgebnisse[[#This Row],[Zahl]])</f>
        <v>0</v>
      </c>
      <c r="D288" s="2">
        <f>COUNTIF(Eingabe[Räumer],HäufigsteErgebnisse[[#This Row],[Zahl]])</f>
        <v>0</v>
      </c>
      <c r="E288" s="2">
        <f>COUNTIF(Eingabe[Fehler],HäufigsteErgebnisse[[#This Row],[Zahl]])</f>
        <v>0</v>
      </c>
      <c r="F288" s="2">
        <f>COUNTIF(Eingabe[S1],HäufigsteErgebnisse[[#This Row],[Zahl]])</f>
        <v>0</v>
      </c>
      <c r="G288" s="2">
        <f>COUNTIF(Eingabe[S2],HäufigsteErgebnisse[[#This Row],[Zahl]])</f>
        <v>0</v>
      </c>
      <c r="H288" s="2">
        <f>COUNTIF(Eingabe[S3],HäufigsteErgebnisse[[#This Row],[Zahl]])</f>
        <v>0</v>
      </c>
      <c r="I288" s="2">
        <f>COUNTIF(Eingabe[S4],HäufigsteErgebnisse[[#This Row],[Zahl]])</f>
        <v>0</v>
      </c>
      <c r="J288" s="2">
        <f>COUNTIF(Eingabe[S1],HäufigsteErgebnisse[[#This Row],[Zahl]])+COUNTIF(Eingabe[S2],HäufigsteErgebnisse[[#This Row],[Zahl]])+COUNTIF(Eingabe[S3],HäufigsteErgebnisse[[#This Row],[Zahl]])+COUNTIF(Eingabe[S4],HäufigsteErgebnisse[[#This Row],[Zahl]])</f>
        <v>0</v>
      </c>
      <c r="K288" s="2">
        <f>COUNTIF(Eingabe[GES],HäufigsteErgebnisse[[#This Row],[Zahl]])</f>
        <v>0</v>
      </c>
      <c r="L288" s="2">
        <f>HäufigsteErgebnisse[[#This Row],[Zahl]]</f>
        <v>230</v>
      </c>
    </row>
    <row r="289" spans="2:12" x14ac:dyDescent="0.3">
      <c r="B289" s="2">
        <v>231</v>
      </c>
      <c r="C289" s="2">
        <f>COUNTIF(Eingabe[Volle],HäufigsteErgebnisse[[#This Row],[Zahl]])</f>
        <v>0</v>
      </c>
      <c r="D289" s="2">
        <f>COUNTIF(Eingabe[Räumer],HäufigsteErgebnisse[[#This Row],[Zahl]])</f>
        <v>0</v>
      </c>
      <c r="E289" s="2">
        <f>COUNTIF(Eingabe[Fehler],HäufigsteErgebnisse[[#This Row],[Zahl]])</f>
        <v>0</v>
      </c>
      <c r="F289" s="2">
        <f>COUNTIF(Eingabe[S1],HäufigsteErgebnisse[[#This Row],[Zahl]])</f>
        <v>0</v>
      </c>
      <c r="G289" s="2">
        <f>COUNTIF(Eingabe[S2],HäufigsteErgebnisse[[#This Row],[Zahl]])</f>
        <v>0</v>
      </c>
      <c r="H289" s="2">
        <f>COUNTIF(Eingabe[S3],HäufigsteErgebnisse[[#This Row],[Zahl]])</f>
        <v>0</v>
      </c>
      <c r="I289" s="2">
        <f>COUNTIF(Eingabe[S4],HäufigsteErgebnisse[[#This Row],[Zahl]])</f>
        <v>0</v>
      </c>
      <c r="J289" s="2">
        <f>COUNTIF(Eingabe[S1],HäufigsteErgebnisse[[#This Row],[Zahl]])+COUNTIF(Eingabe[S2],HäufigsteErgebnisse[[#This Row],[Zahl]])+COUNTIF(Eingabe[S3],HäufigsteErgebnisse[[#This Row],[Zahl]])+COUNTIF(Eingabe[S4],HäufigsteErgebnisse[[#This Row],[Zahl]])</f>
        <v>0</v>
      </c>
      <c r="K289" s="2">
        <f>COUNTIF(Eingabe[GES],HäufigsteErgebnisse[[#This Row],[Zahl]])</f>
        <v>1</v>
      </c>
      <c r="L289" s="2">
        <f>HäufigsteErgebnisse[[#This Row],[Zahl]]</f>
        <v>231</v>
      </c>
    </row>
    <row r="290" spans="2:12" x14ac:dyDescent="0.3">
      <c r="B290" s="2">
        <v>232</v>
      </c>
      <c r="C290" s="2">
        <f>COUNTIF(Eingabe[Volle],HäufigsteErgebnisse[[#This Row],[Zahl]])</f>
        <v>0</v>
      </c>
      <c r="D290" s="2">
        <f>COUNTIF(Eingabe[Räumer],HäufigsteErgebnisse[[#This Row],[Zahl]])</f>
        <v>1</v>
      </c>
      <c r="E290" s="2">
        <f>COUNTIF(Eingabe[Fehler],HäufigsteErgebnisse[[#This Row],[Zahl]])</f>
        <v>0</v>
      </c>
      <c r="F290" s="2">
        <f>COUNTIF(Eingabe[S1],HäufigsteErgebnisse[[#This Row],[Zahl]])</f>
        <v>0</v>
      </c>
      <c r="G290" s="2">
        <f>COUNTIF(Eingabe[S2],HäufigsteErgebnisse[[#This Row],[Zahl]])</f>
        <v>0</v>
      </c>
      <c r="H290" s="2">
        <f>COUNTIF(Eingabe[S3],HäufigsteErgebnisse[[#This Row],[Zahl]])</f>
        <v>0</v>
      </c>
      <c r="I290" s="2">
        <f>COUNTIF(Eingabe[S4],HäufigsteErgebnisse[[#This Row],[Zahl]])</f>
        <v>0</v>
      </c>
      <c r="J290" s="2">
        <f>COUNTIF(Eingabe[S1],HäufigsteErgebnisse[[#This Row],[Zahl]])+COUNTIF(Eingabe[S2],HäufigsteErgebnisse[[#This Row],[Zahl]])+COUNTIF(Eingabe[S3],HäufigsteErgebnisse[[#This Row],[Zahl]])+COUNTIF(Eingabe[S4],HäufigsteErgebnisse[[#This Row],[Zahl]])</f>
        <v>0</v>
      </c>
      <c r="K290" s="2">
        <f>COUNTIF(Eingabe[GES],HäufigsteErgebnisse[[#This Row],[Zahl]])</f>
        <v>0</v>
      </c>
      <c r="L290" s="2">
        <f>HäufigsteErgebnisse[[#This Row],[Zahl]]</f>
        <v>232</v>
      </c>
    </row>
    <row r="291" spans="2:12" x14ac:dyDescent="0.3">
      <c r="B291" s="2">
        <v>233</v>
      </c>
      <c r="C291" s="2">
        <f>COUNTIF(Eingabe[Volle],HäufigsteErgebnisse[[#This Row],[Zahl]])</f>
        <v>0</v>
      </c>
      <c r="D291" s="2">
        <f>COUNTIF(Eingabe[Räumer],HäufigsteErgebnisse[[#This Row],[Zahl]])</f>
        <v>0</v>
      </c>
      <c r="E291" s="2">
        <f>COUNTIF(Eingabe[Fehler],HäufigsteErgebnisse[[#This Row],[Zahl]])</f>
        <v>0</v>
      </c>
      <c r="F291" s="2">
        <f>COUNTIF(Eingabe[S1],HäufigsteErgebnisse[[#This Row],[Zahl]])</f>
        <v>0</v>
      </c>
      <c r="G291" s="2">
        <f>COUNTIF(Eingabe[S2],HäufigsteErgebnisse[[#This Row],[Zahl]])</f>
        <v>0</v>
      </c>
      <c r="H291" s="2">
        <f>COUNTIF(Eingabe[S3],HäufigsteErgebnisse[[#This Row],[Zahl]])</f>
        <v>0</v>
      </c>
      <c r="I291" s="2">
        <f>COUNTIF(Eingabe[S4],HäufigsteErgebnisse[[#This Row],[Zahl]])</f>
        <v>0</v>
      </c>
      <c r="J291" s="2">
        <f>COUNTIF(Eingabe[S1],HäufigsteErgebnisse[[#This Row],[Zahl]])+COUNTIF(Eingabe[S2],HäufigsteErgebnisse[[#This Row],[Zahl]])+COUNTIF(Eingabe[S3],HäufigsteErgebnisse[[#This Row],[Zahl]])+COUNTIF(Eingabe[S4],HäufigsteErgebnisse[[#This Row],[Zahl]])</f>
        <v>0</v>
      </c>
      <c r="K291" s="2">
        <f>COUNTIF(Eingabe[GES],HäufigsteErgebnisse[[#This Row],[Zahl]])</f>
        <v>0</v>
      </c>
      <c r="L291" s="2">
        <f>HäufigsteErgebnisse[[#This Row],[Zahl]]</f>
        <v>233</v>
      </c>
    </row>
    <row r="292" spans="2:12" x14ac:dyDescent="0.3">
      <c r="B292" s="2">
        <v>234</v>
      </c>
      <c r="C292" s="2">
        <f>COUNTIF(Eingabe[Volle],HäufigsteErgebnisse[[#This Row],[Zahl]])</f>
        <v>0</v>
      </c>
      <c r="D292" s="2">
        <f>COUNTIF(Eingabe[Räumer],HäufigsteErgebnisse[[#This Row],[Zahl]])</f>
        <v>0</v>
      </c>
      <c r="E292" s="2">
        <f>COUNTIF(Eingabe[Fehler],HäufigsteErgebnisse[[#This Row],[Zahl]])</f>
        <v>0</v>
      </c>
      <c r="F292" s="2">
        <f>COUNTIF(Eingabe[S1],HäufigsteErgebnisse[[#This Row],[Zahl]])</f>
        <v>0</v>
      </c>
      <c r="G292" s="2">
        <f>COUNTIF(Eingabe[S2],HäufigsteErgebnisse[[#This Row],[Zahl]])</f>
        <v>0</v>
      </c>
      <c r="H292" s="2">
        <f>COUNTIF(Eingabe[S3],HäufigsteErgebnisse[[#This Row],[Zahl]])</f>
        <v>0</v>
      </c>
      <c r="I292" s="2">
        <f>COUNTIF(Eingabe[S4],HäufigsteErgebnisse[[#This Row],[Zahl]])</f>
        <v>0</v>
      </c>
      <c r="J292" s="2">
        <f>COUNTIF(Eingabe[S1],HäufigsteErgebnisse[[#This Row],[Zahl]])+COUNTIF(Eingabe[S2],HäufigsteErgebnisse[[#This Row],[Zahl]])+COUNTIF(Eingabe[S3],HäufigsteErgebnisse[[#This Row],[Zahl]])+COUNTIF(Eingabe[S4],HäufigsteErgebnisse[[#This Row],[Zahl]])</f>
        <v>0</v>
      </c>
      <c r="K292" s="2">
        <f>COUNTIF(Eingabe[GES],HäufigsteErgebnisse[[#This Row],[Zahl]])</f>
        <v>0</v>
      </c>
      <c r="L292" s="2">
        <f>HäufigsteErgebnisse[[#This Row],[Zahl]]</f>
        <v>234</v>
      </c>
    </row>
    <row r="293" spans="2:12" x14ac:dyDescent="0.3">
      <c r="B293" s="2">
        <v>235</v>
      </c>
      <c r="C293" s="2">
        <f>COUNTIF(Eingabe[Volle],HäufigsteErgebnisse[[#This Row],[Zahl]])</f>
        <v>0</v>
      </c>
      <c r="D293" s="2">
        <f>COUNTIF(Eingabe[Räumer],HäufigsteErgebnisse[[#This Row],[Zahl]])</f>
        <v>0</v>
      </c>
      <c r="E293" s="2">
        <f>COUNTIF(Eingabe[Fehler],HäufigsteErgebnisse[[#This Row],[Zahl]])</f>
        <v>0</v>
      </c>
      <c r="F293" s="2">
        <f>COUNTIF(Eingabe[S1],HäufigsteErgebnisse[[#This Row],[Zahl]])</f>
        <v>0</v>
      </c>
      <c r="G293" s="2">
        <f>COUNTIF(Eingabe[S2],HäufigsteErgebnisse[[#This Row],[Zahl]])</f>
        <v>0</v>
      </c>
      <c r="H293" s="2">
        <f>COUNTIF(Eingabe[S3],HäufigsteErgebnisse[[#This Row],[Zahl]])</f>
        <v>0</v>
      </c>
      <c r="I293" s="2">
        <f>COUNTIF(Eingabe[S4],HäufigsteErgebnisse[[#This Row],[Zahl]])</f>
        <v>0</v>
      </c>
      <c r="J293" s="2">
        <f>COUNTIF(Eingabe[S1],HäufigsteErgebnisse[[#This Row],[Zahl]])+COUNTIF(Eingabe[S2],HäufigsteErgebnisse[[#This Row],[Zahl]])+COUNTIF(Eingabe[S3],HäufigsteErgebnisse[[#This Row],[Zahl]])+COUNTIF(Eingabe[S4],HäufigsteErgebnisse[[#This Row],[Zahl]])</f>
        <v>0</v>
      </c>
      <c r="K293" s="2">
        <f>COUNTIF(Eingabe[GES],HäufigsteErgebnisse[[#This Row],[Zahl]])</f>
        <v>0</v>
      </c>
      <c r="L293" s="2">
        <f>HäufigsteErgebnisse[[#This Row],[Zahl]]</f>
        <v>235</v>
      </c>
    </row>
    <row r="294" spans="2:12" x14ac:dyDescent="0.3">
      <c r="B294" s="2">
        <v>236</v>
      </c>
      <c r="C294" s="2">
        <f>COUNTIF(Eingabe[Volle],HäufigsteErgebnisse[[#This Row],[Zahl]])</f>
        <v>0</v>
      </c>
      <c r="D294" s="2">
        <f>COUNTIF(Eingabe[Räumer],HäufigsteErgebnisse[[#This Row],[Zahl]])</f>
        <v>0</v>
      </c>
      <c r="E294" s="2">
        <f>COUNTIF(Eingabe[Fehler],HäufigsteErgebnisse[[#This Row],[Zahl]])</f>
        <v>0</v>
      </c>
      <c r="F294" s="2">
        <f>COUNTIF(Eingabe[S1],HäufigsteErgebnisse[[#This Row],[Zahl]])</f>
        <v>0</v>
      </c>
      <c r="G294" s="2">
        <f>COUNTIF(Eingabe[S2],HäufigsteErgebnisse[[#This Row],[Zahl]])</f>
        <v>0</v>
      </c>
      <c r="H294" s="2">
        <f>COUNTIF(Eingabe[S3],HäufigsteErgebnisse[[#This Row],[Zahl]])</f>
        <v>0</v>
      </c>
      <c r="I294" s="2">
        <f>COUNTIF(Eingabe[S4],HäufigsteErgebnisse[[#This Row],[Zahl]])</f>
        <v>0</v>
      </c>
      <c r="J294" s="2">
        <f>COUNTIF(Eingabe[S1],HäufigsteErgebnisse[[#This Row],[Zahl]])+COUNTIF(Eingabe[S2],HäufigsteErgebnisse[[#This Row],[Zahl]])+COUNTIF(Eingabe[S3],HäufigsteErgebnisse[[#This Row],[Zahl]])+COUNTIF(Eingabe[S4],HäufigsteErgebnisse[[#This Row],[Zahl]])</f>
        <v>0</v>
      </c>
      <c r="K294" s="2">
        <f>COUNTIF(Eingabe[GES],HäufigsteErgebnisse[[#This Row],[Zahl]])</f>
        <v>0</v>
      </c>
      <c r="L294" s="2">
        <f>HäufigsteErgebnisse[[#This Row],[Zahl]]</f>
        <v>236</v>
      </c>
    </row>
    <row r="295" spans="2:12" x14ac:dyDescent="0.3">
      <c r="B295" s="2">
        <v>237</v>
      </c>
      <c r="C295" s="2">
        <f>COUNTIF(Eingabe[Volle],HäufigsteErgebnisse[[#This Row],[Zahl]])</f>
        <v>0</v>
      </c>
      <c r="D295" s="2">
        <f>COUNTIF(Eingabe[Räumer],HäufigsteErgebnisse[[#This Row],[Zahl]])</f>
        <v>0</v>
      </c>
      <c r="E295" s="2">
        <f>COUNTIF(Eingabe[Fehler],HäufigsteErgebnisse[[#This Row],[Zahl]])</f>
        <v>0</v>
      </c>
      <c r="F295" s="2">
        <f>COUNTIF(Eingabe[S1],HäufigsteErgebnisse[[#This Row],[Zahl]])</f>
        <v>0</v>
      </c>
      <c r="G295" s="2">
        <f>COUNTIF(Eingabe[S2],HäufigsteErgebnisse[[#This Row],[Zahl]])</f>
        <v>0</v>
      </c>
      <c r="H295" s="2">
        <f>COUNTIF(Eingabe[S3],HäufigsteErgebnisse[[#This Row],[Zahl]])</f>
        <v>0</v>
      </c>
      <c r="I295" s="2">
        <f>COUNTIF(Eingabe[S4],HäufigsteErgebnisse[[#This Row],[Zahl]])</f>
        <v>0</v>
      </c>
      <c r="J295" s="2">
        <f>COUNTIF(Eingabe[S1],HäufigsteErgebnisse[[#This Row],[Zahl]])+COUNTIF(Eingabe[S2],HäufigsteErgebnisse[[#This Row],[Zahl]])+COUNTIF(Eingabe[S3],HäufigsteErgebnisse[[#This Row],[Zahl]])+COUNTIF(Eingabe[S4],HäufigsteErgebnisse[[#This Row],[Zahl]])</f>
        <v>0</v>
      </c>
      <c r="K295" s="2">
        <f>COUNTIF(Eingabe[GES],HäufigsteErgebnisse[[#This Row],[Zahl]])</f>
        <v>0</v>
      </c>
      <c r="L295" s="2">
        <f>HäufigsteErgebnisse[[#This Row],[Zahl]]</f>
        <v>237</v>
      </c>
    </row>
    <row r="296" spans="2:12" x14ac:dyDescent="0.3">
      <c r="B296" s="2">
        <v>238</v>
      </c>
      <c r="C296" s="2">
        <f>COUNTIF(Eingabe[Volle],HäufigsteErgebnisse[[#This Row],[Zahl]])</f>
        <v>1</v>
      </c>
      <c r="D296" s="2">
        <f>COUNTIF(Eingabe[Räumer],HäufigsteErgebnisse[[#This Row],[Zahl]])</f>
        <v>0</v>
      </c>
      <c r="E296" s="2">
        <f>COUNTIF(Eingabe[Fehler],HäufigsteErgebnisse[[#This Row],[Zahl]])</f>
        <v>0</v>
      </c>
      <c r="F296" s="2">
        <f>COUNTIF(Eingabe[S1],HäufigsteErgebnisse[[#This Row],[Zahl]])</f>
        <v>0</v>
      </c>
      <c r="G296" s="2">
        <f>COUNTIF(Eingabe[S2],HäufigsteErgebnisse[[#This Row],[Zahl]])</f>
        <v>0</v>
      </c>
      <c r="H296" s="2">
        <f>COUNTIF(Eingabe[S3],HäufigsteErgebnisse[[#This Row],[Zahl]])</f>
        <v>0</v>
      </c>
      <c r="I296" s="2">
        <f>COUNTIF(Eingabe[S4],HäufigsteErgebnisse[[#This Row],[Zahl]])</f>
        <v>0</v>
      </c>
      <c r="J296" s="2">
        <f>COUNTIF(Eingabe[S1],HäufigsteErgebnisse[[#This Row],[Zahl]])+COUNTIF(Eingabe[S2],HäufigsteErgebnisse[[#This Row],[Zahl]])+COUNTIF(Eingabe[S3],HäufigsteErgebnisse[[#This Row],[Zahl]])+COUNTIF(Eingabe[S4],HäufigsteErgebnisse[[#This Row],[Zahl]])</f>
        <v>0</v>
      </c>
      <c r="K296" s="2">
        <f>COUNTIF(Eingabe[GES],HäufigsteErgebnisse[[#This Row],[Zahl]])</f>
        <v>0</v>
      </c>
      <c r="L296" s="2">
        <f>HäufigsteErgebnisse[[#This Row],[Zahl]]</f>
        <v>238</v>
      </c>
    </row>
    <row r="297" spans="2:12" x14ac:dyDescent="0.3">
      <c r="B297" s="2">
        <v>239</v>
      </c>
      <c r="C297" s="2">
        <f>COUNTIF(Eingabe[Volle],HäufigsteErgebnisse[[#This Row],[Zahl]])</f>
        <v>1</v>
      </c>
      <c r="D297" s="2">
        <f>COUNTIF(Eingabe[Räumer],HäufigsteErgebnisse[[#This Row],[Zahl]])</f>
        <v>0</v>
      </c>
      <c r="E297" s="2">
        <f>COUNTIF(Eingabe[Fehler],HäufigsteErgebnisse[[#This Row],[Zahl]])</f>
        <v>0</v>
      </c>
      <c r="F297" s="2">
        <f>COUNTIF(Eingabe[S1],HäufigsteErgebnisse[[#This Row],[Zahl]])</f>
        <v>0</v>
      </c>
      <c r="G297" s="2">
        <f>COUNTIF(Eingabe[S2],HäufigsteErgebnisse[[#This Row],[Zahl]])</f>
        <v>0</v>
      </c>
      <c r="H297" s="2">
        <f>COUNTIF(Eingabe[S3],HäufigsteErgebnisse[[#This Row],[Zahl]])</f>
        <v>0</v>
      </c>
      <c r="I297" s="2">
        <f>COUNTIF(Eingabe[S4],HäufigsteErgebnisse[[#This Row],[Zahl]])</f>
        <v>0</v>
      </c>
      <c r="J297" s="2">
        <f>COUNTIF(Eingabe[S1],HäufigsteErgebnisse[[#This Row],[Zahl]])+COUNTIF(Eingabe[S2],HäufigsteErgebnisse[[#This Row],[Zahl]])+COUNTIF(Eingabe[S3],HäufigsteErgebnisse[[#This Row],[Zahl]])+COUNTIF(Eingabe[S4],HäufigsteErgebnisse[[#This Row],[Zahl]])</f>
        <v>0</v>
      </c>
      <c r="K297" s="2">
        <f>COUNTIF(Eingabe[GES],HäufigsteErgebnisse[[#This Row],[Zahl]])</f>
        <v>0</v>
      </c>
      <c r="L297" s="2">
        <f>HäufigsteErgebnisse[[#This Row],[Zahl]]</f>
        <v>239</v>
      </c>
    </row>
    <row r="298" spans="2:12" x14ac:dyDescent="0.3">
      <c r="B298" s="2">
        <v>240</v>
      </c>
      <c r="C298" s="2">
        <f>COUNTIF(Eingabe[Volle],HäufigsteErgebnisse[[#This Row],[Zahl]])</f>
        <v>0</v>
      </c>
      <c r="D298" s="2">
        <f>COUNTIF(Eingabe[Räumer],HäufigsteErgebnisse[[#This Row],[Zahl]])</f>
        <v>0</v>
      </c>
      <c r="E298" s="2">
        <f>COUNTIF(Eingabe[Fehler],HäufigsteErgebnisse[[#This Row],[Zahl]])</f>
        <v>0</v>
      </c>
      <c r="F298" s="2">
        <f>COUNTIF(Eingabe[S1],HäufigsteErgebnisse[[#This Row],[Zahl]])</f>
        <v>0</v>
      </c>
      <c r="G298" s="2">
        <f>COUNTIF(Eingabe[S2],HäufigsteErgebnisse[[#This Row],[Zahl]])</f>
        <v>0</v>
      </c>
      <c r="H298" s="2">
        <f>COUNTIF(Eingabe[S3],HäufigsteErgebnisse[[#This Row],[Zahl]])</f>
        <v>0</v>
      </c>
      <c r="I298" s="2">
        <f>COUNTIF(Eingabe[S4],HäufigsteErgebnisse[[#This Row],[Zahl]])</f>
        <v>0</v>
      </c>
      <c r="J298" s="2">
        <f>COUNTIF(Eingabe[S1],HäufigsteErgebnisse[[#This Row],[Zahl]])+COUNTIF(Eingabe[S2],HäufigsteErgebnisse[[#This Row],[Zahl]])+COUNTIF(Eingabe[S3],HäufigsteErgebnisse[[#This Row],[Zahl]])+COUNTIF(Eingabe[S4],HäufigsteErgebnisse[[#This Row],[Zahl]])</f>
        <v>0</v>
      </c>
      <c r="K298" s="2">
        <f>COUNTIF(Eingabe[GES],HäufigsteErgebnisse[[#This Row],[Zahl]])</f>
        <v>0</v>
      </c>
      <c r="L298" s="2">
        <f>HäufigsteErgebnisse[[#This Row],[Zahl]]</f>
        <v>240</v>
      </c>
    </row>
    <row r="299" spans="2:12" x14ac:dyDescent="0.3">
      <c r="B299" s="2">
        <v>241</v>
      </c>
      <c r="C299" s="2">
        <f>COUNTIF(Eingabe[Volle],HäufigsteErgebnisse[[#This Row],[Zahl]])</f>
        <v>0</v>
      </c>
      <c r="D299" s="2">
        <f>COUNTIF(Eingabe[Räumer],HäufigsteErgebnisse[[#This Row],[Zahl]])</f>
        <v>0</v>
      </c>
      <c r="E299" s="2">
        <f>COUNTIF(Eingabe[Fehler],HäufigsteErgebnisse[[#This Row],[Zahl]])</f>
        <v>0</v>
      </c>
      <c r="F299" s="2">
        <f>COUNTIF(Eingabe[S1],HäufigsteErgebnisse[[#This Row],[Zahl]])</f>
        <v>0</v>
      </c>
      <c r="G299" s="2">
        <f>COUNTIF(Eingabe[S2],HäufigsteErgebnisse[[#This Row],[Zahl]])</f>
        <v>0</v>
      </c>
      <c r="H299" s="2">
        <f>COUNTIF(Eingabe[S3],HäufigsteErgebnisse[[#This Row],[Zahl]])</f>
        <v>0</v>
      </c>
      <c r="I299" s="2">
        <f>COUNTIF(Eingabe[S4],HäufigsteErgebnisse[[#This Row],[Zahl]])</f>
        <v>0</v>
      </c>
      <c r="J299" s="2">
        <f>COUNTIF(Eingabe[S1],HäufigsteErgebnisse[[#This Row],[Zahl]])+COUNTIF(Eingabe[S2],HäufigsteErgebnisse[[#This Row],[Zahl]])+COUNTIF(Eingabe[S3],HäufigsteErgebnisse[[#This Row],[Zahl]])+COUNTIF(Eingabe[S4],HäufigsteErgebnisse[[#This Row],[Zahl]])</f>
        <v>0</v>
      </c>
      <c r="K299" s="2">
        <f>COUNTIF(Eingabe[GES],HäufigsteErgebnisse[[#This Row],[Zahl]])</f>
        <v>0</v>
      </c>
      <c r="L299" s="2">
        <f>HäufigsteErgebnisse[[#This Row],[Zahl]]</f>
        <v>241</v>
      </c>
    </row>
    <row r="300" spans="2:12" x14ac:dyDescent="0.3">
      <c r="B300" s="2">
        <v>242</v>
      </c>
      <c r="C300" s="2">
        <f>COUNTIF(Eingabe[Volle],HäufigsteErgebnisse[[#This Row],[Zahl]])</f>
        <v>0</v>
      </c>
      <c r="D300" s="2">
        <f>COUNTIF(Eingabe[Räumer],HäufigsteErgebnisse[[#This Row],[Zahl]])</f>
        <v>0</v>
      </c>
      <c r="E300" s="2">
        <f>COUNTIF(Eingabe[Fehler],HäufigsteErgebnisse[[#This Row],[Zahl]])</f>
        <v>0</v>
      </c>
      <c r="F300" s="2">
        <f>COUNTIF(Eingabe[S1],HäufigsteErgebnisse[[#This Row],[Zahl]])</f>
        <v>0</v>
      </c>
      <c r="G300" s="2">
        <f>COUNTIF(Eingabe[S2],HäufigsteErgebnisse[[#This Row],[Zahl]])</f>
        <v>0</v>
      </c>
      <c r="H300" s="2">
        <f>COUNTIF(Eingabe[S3],HäufigsteErgebnisse[[#This Row],[Zahl]])</f>
        <v>0</v>
      </c>
      <c r="I300" s="2">
        <f>COUNTIF(Eingabe[S4],HäufigsteErgebnisse[[#This Row],[Zahl]])</f>
        <v>0</v>
      </c>
      <c r="J300" s="2">
        <f>COUNTIF(Eingabe[S1],HäufigsteErgebnisse[[#This Row],[Zahl]])+COUNTIF(Eingabe[S2],HäufigsteErgebnisse[[#This Row],[Zahl]])+COUNTIF(Eingabe[S3],HäufigsteErgebnisse[[#This Row],[Zahl]])+COUNTIF(Eingabe[S4],HäufigsteErgebnisse[[#This Row],[Zahl]])</f>
        <v>0</v>
      </c>
      <c r="K300" s="2">
        <f>COUNTIF(Eingabe[GES],HäufigsteErgebnisse[[#This Row],[Zahl]])</f>
        <v>0</v>
      </c>
      <c r="L300" s="2">
        <f>HäufigsteErgebnisse[[#This Row],[Zahl]]</f>
        <v>242</v>
      </c>
    </row>
    <row r="301" spans="2:12" x14ac:dyDescent="0.3">
      <c r="B301" s="2">
        <v>243</v>
      </c>
      <c r="C301" s="2">
        <f>COUNTIF(Eingabe[Volle],HäufigsteErgebnisse[[#This Row],[Zahl]])</f>
        <v>0</v>
      </c>
      <c r="D301" s="2">
        <f>COUNTIF(Eingabe[Räumer],HäufigsteErgebnisse[[#This Row],[Zahl]])</f>
        <v>0</v>
      </c>
      <c r="E301" s="2">
        <f>COUNTIF(Eingabe[Fehler],HäufigsteErgebnisse[[#This Row],[Zahl]])</f>
        <v>0</v>
      </c>
      <c r="F301" s="2">
        <f>COUNTIF(Eingabe[S1],HäufigsteErgebnisse[[#This Row],[Zahl]])</f>
        <v>0</v>
      </c>
      <c r="G301" s="2">
        <f>COUNTIF(Eingabe[S2],HäufigsteErgebnisse[[#This Row],[Zahl]])</f>
        <v>0</v>
      </c>
      <c r="H301" s="2">
        <f>COUNTIF(Eingabe[S3],HäufigsteErgebnisse[[#This Row],[Zahl]])</f>
        <v>0</v>
      </c>
      <c r="I301" s="2">
        <f>COUNTIF(Eingabe[S4],HäufigsteErgebnisse[[#This Row],[Zahl]])</f>
        <v>0</v>
      </c>
      <c r="J301" s="2">
        <f>COUNTIF(Eingabe[S1],HäufigsteErgebnisse[[#This Row],[Zahl]])+COUNTIF(Eingabe[S2],HäufigsteErgebnisse[[#This Row],[Zahl]])+COUNTIF(Eingabe[S3],HäufigsteErgebnisse[[#This Row],[Zahl]])+COUNTIF(Eingabe[S4],HäufigsteErgebnisse[[#This Row],[Zahl]])</f>
        <v>0</v>
      </c>
      <c r="K301" s="2">
        <f>COUNTIF(Eingabe[GES],HäufigsteErgebnisse[[#This Row],[Zahl]])</f>
        <v>0</v>
      </c>
      <c r="L301" s="2">
        <f>HäufigsteErgebnisse[[#This Row],[Zahl]]</f>
        <v>243</v>
      </c>
    </row>
    <row r="302" spans="2:12" x14ac:dyDescent="0.3">
      <c r="B302" s="2">
        <v>244</v>
      </c>
      <c r="C302" s="2">
        <f>COUNTIF(Eingabe[Volle],HäufigsteErgebnisse[[#This Row],[Zahl]])</f>
        <v>1</v>
      </c>
      <c r="D302" s="2">
        <f>COUNTIF(Eingabe[Räumer],HäufigsteErgebnisse[[#This Row],[Zahl]])</f>
        <v>1</v>
      </c>
      <c r="E302" s="2">
        <f>COUNTIF(Eingabe[Fehler],HäufigsteErgebnisse[[#This Row],[Zahl]])</f>
        <v>0</v>
      </c>
      <c r="F302" s="2">
        <f>COUNTIF(Eingabe[S1],HäufigsteErgebnisse[[#This Row],[Zahl]])</f>
        <v>0</v>
      </c>
      <c r="G302" s="2">
        <f>COUNTIF(Eingabe[S2],HäufigsteErgebnisse[[#This Row],[Zahl]])</f>
        <v>0</v>
      </c>
      <c r="H302" s="2">
        <f>COUNTIF(Eingabe[S3],HäufigsteErgebnisse[[#This Row],[Zahl]])</f>
        <v>0</v>
      </c>
      <c r="I302" s="2">
        <f>COUNTIF(Eingabe[S4],HäufigsteErgebnisse[[#This Row],[Zahl]])</f>
        <v>0</v>
      </c>
      <c r="J302" s="2">
        <f>COUNTIF(Eingabe[S1],HäufigsteErgebnisse[[#This Row],[Zahl]])+COUNTIF(Eingabe[S2],HäufigsteErgebnisse[[#This Row],[Zahl]])+COUNTIF(Eingabe[S3],HäufigsteErgebnisse[[#This Row],[Zahl]])+COUNTIF(Eingabe[S4],HäufigsteErgebnisse[[#This Row],[Zahl]])</f>
        <v>0</v>
      </c>
      <c r="K302" s="2">
        <f>COUNTIF(Eingabe[GES],HäufigsteErgebnisse[[#This Row],[Zahl]])</f>
        <v>0</v>
      </c>
      <c r="L302" s="2">
        <f>HäufigsteErgebnisse[[#This Row],[Zahl]]</f>
        <v>244</v>
      </c>
    </row>
    <row r="303" spans="2:12" x14ac:dyDescent="0.3">
      <c r="B303" s="2">
        <v>245</v>
      </c>
      <c r="C303" s="2">
        <f>COUNTIF(Eingabe[Volle],HäufigsteErgebnisse[[#This Row],[Zahl]])</f>
        <v>0</v>
      </c>
      <c r="D303" s="2">
        <f>COUNTIF(Eingabe[Räumer],HäufigsteErgebnisse[[#This Row],[Zahl]])</f>
        <v>0</v>
      </c>
      <c r="E303" s="2">
        <f>COUNTIF(Eingabe[Fehler],HäufigsteErgebnisse[[#This Row],[Zahl]])</f>
        <v>0</v>
      </c>
      <c r="F303" s="2">
        <f>COUNTIF(Eingabe[S1],HäufigsteErgebnisse[[#This Row],[Zahl]])</f>
        <v>0</v>
      </c>
      <c r="G303" s="2">
        <f>COUNTIF(Eingabe[S2],HäufigsteErgebnisse[[#This Row],[Zahl]])</f>
        <v>0</v>
      </c>
      <c r="H303" s="2">
        <f>COUNTIF(Eingabe[S3],HäufigsteErgebnisse[[#This Row],[Zahl]])</f>
        <v>0</v>
      </c>
      <c r="I303" s="2">
        <f>COUNTIF(Eingabe[S4],HäufigsteErgebnisse[[#This Row],[Zahl]])</f>
        <v>0</v>
      </c>
      <c r="J303" s="2">
        <f>COUNTIF(Eingabe[S1],HäufigsteErgebnisse[[#This Row],[Zahl]])+COUNTIF(Eingabe[S2],HäufigsteErgebnisse[[#This Row],[Zahl]])+COUNTIF(Eingabe[S3],HäufigsteErgebnisse[[#This Row],[Zahl]])+COUNTIF(Eingabe[S4],HäufigsteErgebnisse[[#This Row],[Zahl]])</f>
        <v>0</v>
      </c>
      <c r="K303" s="2">
        <f>COUNTIF(Eingabe[GES],HäufigsteErgebnisse[[#This Row],[Zahl]])</f>
        <v>0</v>
      </c>
      <c r="L303" s="2">
        <f>HäufigsteErgebnisse[[#This Row],[Zahl]]</f>
        <v>245</v>
      </c>
    </row>
    <row r="304" spans="2:12" x14ac:dyDescent="0.3">
      <c r="B304" s="2">
        <v>246</v>
      </c>
      <c r="C304" s="2">
        <f>COUNTIF(Eingabe[Volle],HäufigsteErgebnisse[[#This Row],[Zahl]])</f>
        <v>0</v>
      </c>
      <c r="D304" s="2">
        <f>COUNTIF(Eingabe[Räumer],HäufigsteErgebnisse[[#This Row],[Zahl]])</f>
        <v>0</v>
      </c>
      <c r="E304" s="2">
        <f>COUNTIF(Eingabe[Fehler],HäufigsteErgebnisse[[#This Row],[Zahl]])</f>
        <v>0</v>
      </c>
      <c r="F304" s="2">
        <f>COUNTIF(Eingabe[S1],HäufigsteErgebnisse[[#This Row],[Zahl]])</f>
        <v>0</v>
      </c>
      <c r="G304" s="2">
        <f>COUNTIF(Eingabe[S2],HäufigsteErgebnisse[[#This Row],[Zahl]])</f>
        <v>0</v>
      </c>
      <c r="H304" s="2">
        <f>COUNTIF(Eingabe[S3],HäufigsteErgebnisse[[#This Row],[Zahl]])</f>
        <v>0</v>
      </c>
      <c r="I304" s="2">
        <f>COUNTIF(Eingabe[S4],HäufigsteErgebnisse[[#This Row],[Zahl]])</f>
        <v>0</v>
      </c>
      <c r="J304" s="2">
        <f>COUNTIF(Eingabe[S1],HäufigsteErgebnisse[[#This Row],[Zahl]])+COUNTIF(Eingabe[S2],HäufigsteErgebnisse[[#This Row],[Zahl]])+COUNTIF(Eingabe[S3],HäufigsteErgebnisse[[#This Row],[Zahl]])+COUNTIF(Eingabe[S4],HäufigsteErgebnisse[[#This Row],[Zahl]])</f>
        <v>0</v>
      </c>
      <c r="K304" s="2">
        <f>COUNTIF(Eingabe[GES],HäufigsteErgebnisse[[#This Row],[Zahl]])</f>
        <v>0</v>
      </c>
      <c r="L304" s="2">
        <f>HäufigsteErgebnisse[[#This Row],[Zahl]]</f>
        <v>246</v>
      </c>
    </row>
    <row r="305" spans="2:12" x14ac:dyDescent="0.3">
      <c r="B305" s="2">
        <v>247</v>
      </c>
      <c r="C305" s="2">
        <f>COUNTIF(Eingabe[Volle],HäufigsteErgebnisse[[#This Row],[Zahl]])</f>
        <v>0</v>
      </c>
      <c r="D305" s="2">
        <f>COUNTIF(Eingabe[Räumer],HäufigsteErgebnisse[[#This Row],[Zahl]])</f>
        <v>1</v>
      </c>
      <c r="E305" s="2">
        <f>COUNTIF(Eingabe[Fehler],HäufigsteErgebnisse[[#This Row],[Zahl]])</f>
        <v>0</v>
      </c>
      <c r="F305" s="2">
        <f>COUNTIF(Eingabe[S1],HäufigsteErgebnisse[[#This Row],[Zahl]])</f>
        <v>0</v>
      </c>
      <c r="G305" s="2">
        <f>COUNTIF(Eingabe[S2],HäufigsteErgebnisse[[#This Row],[Zahl]])</f>
        <v>0</v>
      </c>
      <c r="H305" s="2">
        <f>COUNTIF(Eingabe[S3],HäufigsteErgebnisse[[#This Row],[Zahl]])</f>
        <v>0</v>
      </c>
      <c r="I305" s="2">
        <f>COUNTIF(Eingabe[S4],HäufigsteErgebnisse[[#This Row],[Zahl]])</f>
        <v>0</v>
      </c>
      <c r="J305" s="2">
        <f>COUNTIF(Eingabe[S1],HäufigsteErgebnisse[[#This Row],[Zahl]])+COUNTIF(Eingabe[S2],HäufigsteErgebnisse[[#This Row],[Zahl]])+COUNTIF(Eingabe[S3],HäufigsteErgebnisse[[#This Row],[Zahl]])+COUNTIF(Eingabe[S4],HäufigsteErgebnisse[[#This Row],[Zahl]])</f>
        <v>0</v>
      </c>
      <c r="K305" s="2">
        <f>COUNTIF(Eingabe[GES],HäufigsteErgebnisse[[#This Row],[Zahl]])</f>
        <v>0</v>
      </c>
      <c r="L305" s="2">
        <f>HäufigsteErgebnisse[[#This Row],[Zahl]]</f>
        <v>247</v>
      </c>
    </row>
    <row r="306" spans="2:12" x14ac:dyDescent="0.3">
      <c r="B306" s="2">
        <v>248</v>
      </c>
      <c r="C306" s="2">
        <f>COUNTIF(Eingabe[Volle],HäufigsteErgebnisse[[#This Row],[Zahl]])</f>
        <v>0</v>
      </c>
      <c r="D306" s="2">
        <f>COUNTIF(Eingabe[Räumer],HäufigsteErgebnisse[[#This Row],[Zahl]])</f>
        <v>0</v>
      </c>
      <c r="E306" s="2">
        <f>COUNTIF(Eingabe[Fehler],HäufigsteErgebnisse[[#This Row],[Zahl]])</f>
        <v>0</v>
      </c>
      <c r="F306" s="2">
        <f>COUNTIF(Eingabe[S1],HäufigsteErgebnisse[[#This Row],[Zahl]])</f>
        <v>0</v>
      </c>
      <c r="G306" s="2">
        <f>COUNTIF(Eingabe[S2],HäufigsteErgebnisse[[#This Row],[Zahl]])</f>
        <v>0</v>
      </c>
      <c r="H306" s="2">
        <f>COUNTIF(Eingabe[S3],HäufigsteErgebnisse[[#This Row],[Zahl]])</f>
        <v>0</v>
      </c>
      <c r="I306" s="2">
        <f>COUNTIF(Eingabe[S4],HäufigsteErgebnisse[[#This Row],[Zahl]])</f>
        <v>0</v>
      </c>
      <c r="J306" s="2">
        <f>COUNTIF(Eingabe[S1],HäufigsteErgebnisse[[#This Row],[Zahl]])+COUNTIF(Eingabe[S2],HäufigsteErgebnisse[[#This Row],[Zahl]])+COUNTIF(Eingabe[S3],HäufigsteErgebnisse[[#This Row],[Zahl]])+COUNTIF(Eingabe[S4],HäufigsteErgebnisse[[#This Row],[Zahl]])</f>
        <v>0</v>
      </c>
      <c r="K306" s="2">
        <f>COUNTIF(Eingabe[GES],HäufigsteErgebnisse[[#This Row],[Zahl]])</f>
        <v>1</v>
      </c>
      <c r="L306" s="2">
        <f>HäufigsteErgebnisse[[#This Row],[Zahl]]</f>
        <v>248</v>
      </c>
    </row>
    <row r="307" spans="2:12" x14ac:dyDescent="0.3">
      <c r="B307" s="2">
        <v>249</v>
      </c>
      <c r="C307" s="2">
        <f>COUNTIF(Eingabe[Volle],HäufigsteErgebnisse[[#This Row],[Zahl]])</f>
        <v>0</v>
      </c>
      <c r="D307" s="2">
        <f>COUNTIF(Eingabe[Räumer],HäufigsteErgebnisse[[#This Row],[Zahl]])</f>
        <v>0</v>
      </c>
      <c r="E307" s="2">
        <f>COUNTIF(Eingabe[Fehler],HäufigsteErgebnisse[[#This Row],[Zahl]])</f>
        <v>0</v>
      </c>
      <c r="F307" s="2">
        <f>COUNTIF(Eingabe[S1],HäufigsteErgebnisse[[#This Row],[Zahl]])</f>
        <v>0</v>
      </c>
      <c r="G307" s="2">
        <f>COUNTIF(Eingabe[S2],HäufigsteErgebnisse[[#This Row],[Zahl]])</f>
        <v>0</v>
      </c>
      <c r="H307" s="2">
        <f>COUNTIF(Eingabe[S3],HäufigsteErgebnisse[[#This Row],[Zahl]])</f>
        <v>0</v>
      </c>
      <c r="I307" s="2">
        <f>COUNTIF(Eingabe[S4],HäufigsteErgebnisse[[#This Row],[Zahl]])</f>
        <v>0</v>
      </c>
      <c r="J307" s="2">
        <f>COUNTIF(Eingabe[S1],HäufigsteErgebnisse[[#This Row],[Zahl]])+COUNTIF(Eingabe[S2],HäufigsteErgebnisse[[#This Row],[Zahl]])+COUNTIF(Eingabe[S3],HäufigsteErgebnisse[[#This Row],[Zahl]])+COUNTIF(Eingabe[S4],HäufigsteErgebnisse[[#This Row],[Zahl]])</f>
        <v>0</v>
      </c>
      <c r="K307" s="2">
        <f>COUNTIF(Eingabe[GES],HäufigsteErgebnisse[[#This Row],[Zahl]])</f>
        <v>0</v>
      </c>
      <c r="L307" s="2">
        <f>HäufigsteErgebnisse[[#This Row],[Zahl]]</f>
        <v>249</v>
      </c>
    </row>
    <row r="308" spans="2:12" x14ac:dyDescent="0.3">
      <c r="B308" s="2">
        <v>250</v>
      </c>
      <c r="C308" s="2">
        <f>COUNTIF(Eingabe[Volle],HäufigsteErgebnisse[[#This Row],[Zahl]])</f>
        <v>1</v>
      </c>
      <c r="D308" s="2">
        <f>COUNTIF(Eingabe[Räumer],HäufigsteErgebnisse[[#This Row],[Zahl]])</f>
        <v>0</v>
      </c>
      <c r="E308" s="2">
        <f>COUNTIF(Eingabe[Fehler],HäufigsteErgebnisse[[#This Row],[Zahl]])</f>
        <v>0</v>
      </c>
      <c r="F308" s="2">
        <f>COUNTIF(Eingabe[S1],HäufigsteErgebnisse[[#This Row],[Zahl]])</f>
        <v>0</v>
      </c>
      <c r="G308" s="2">
        <f>COUNTIF(Eingabe[S2],HäufigsteErgebnisse[[#This Row],[Zahl]])</f>
        <v>0</v>
      </c>
      <c r="H308" s="2">
        <f>COUNTIF(Eingabe[S3],HäufigsteErgebnisse[[#This Row],[Zahl]])</f>
        <v>0</v>
      </c>
      <c r="I308" s="2">
        <f>COUNTIF(Eingabe[S4],HäufigsteErgebnisse[[#This Row],[Zahl]])</f>
        <v>0</v>
      </c>
      <c r="J308" s="2">
        <f>COUNTIF(Eingabe[S1],HäufigsteErgebnisse[[#This Row],[Zahl]])+COUNTIF(Eingabe[S2],HäufigsteErgebnisse[[#This Row],[Zahl]])+COUNTIF(Eingabe[S3],HäufigsteErgebnisse[[#This Row],[Zahl]])+COUNTIF(Eingabe[S4],HäufigsteErgebnisse[[#This Row],[Zahl]])</f>
        <v>0</v>
      </c>
      <c r="K308" s="2">
        <f>COUNTIF(Eingabe[GES],HäufigsteErgebnisse[[#This Row],[Zahl]])</f>
        <v>0</v>
      </c>
      <c r="L308" s="2">
        <f>HäufigsteErgebnisse[[#This Row],[Zahl]]</f>
        <v>250</v>
      </c>
    </row>
    <row r="309" spans="2:12" x14ac:dyDescent="0.3">
      <c r="B309" s="2">
        <v>251</v>
      </c>
      <c r="C309" s="2">
        <f>COUNTIF(Eingabe[Volle],HäufigsteErgebnisse[[#This Row],[Zahl]])</f>
        <v>1</v>
      </c>
      <c r="D309" s="2">
        <f>COUNTIF(Eingabe[Räumer],HäufigsteErgebnisse[[#This Row],[Zahl]])</f>
        <v>0</v>
      </c>
      <c r="E309" s="2">
        <f>COUNTIF(Eingabe[Fehler],HäufigsteErgebnisse[[#This Row],[Zahl]])</f>
        <v>0</v>
      </c>
      <c r="F309" s="2">
        <f>COUNTIF(Eingabe[S1],HäufigsteErgebnisse[[#This Row],[Zahl]])</f>
        <v>0</v>
      </c>
      <c r="G309" s="2">
        <f>COUNTIF(Eingabe[S2],HäufigsteErgebnisse[[#This Row],[Zahl]])</f>
        <v>0</v>
      </c>
      <c r="H309" s="2">
        <f>COUNTIF(Eingabe[S3],HäufigsteErgebnisse[[#This Row],[Zahl]])</f>
        <v>0</v>
      </c>
      <c r="I309" s="2">
        <f>COUNTIF(Eingabe[S4],HäufigsteErgebnisse[[#This Row],[Zahl]])</f>
        <v>0</v>
      </c>
      <c r="J309" s="2">
        <f>COUNTIF(Eingabe[S1],HäufigsteErgebnisse[[#This Row],[Zahl]])+COUNTIF(Eingabe[S2],HäufigsteErgebnisse[[#This Row],[Zahl]])+COUNTIF(Eingabe[S3],HäufigsteErgebnisse[[#This Row],[Zahl]])+COUNTIF(Eingabe[S4],HäufigsteErgebnisse[[#This Row],[Zahl]])</f>
        <v>0</v>
      </c>
      <c r="K309" s="2">
        <f>COUNTIF(Eingabe[GES],HäufigsteErgebnisse[[#This Row],[Zahl]])</f>
        <v>0</v>
      </c>
      <c r="L309" s="2">
        <f>HäufigsteErgebnisse[[#This Row],[Zahl]]</f>
        <v>251</v>
      </c>
    </row>
    <row r="310" spans="2:12" x14ac:dyDescent="0.3">
      <c r="B310" s="2">
        <v>252</v>
      </c>
      <c r="C310" s="2">
        <f>COUNTIF(Eingabe[Volle],HäufigsteErgebnisse[[#This Row],[Zahl]])</f>
        <v>0</v>
      </c>
      <c r="D310" s="2">
        <f>COUNTIF(Eingabe[Räumer],HäufigsteErgebnisse[[#This Row],[Zahl]])</f>
        <v>0</v>
      </c>
      <c r="E310" s="2">
        <f>COUNTIF(Eingabe[Fehler],HäufigsteErgebnisse[[#This Row],[Zahl]])</f>
        <v>0</v>
      </c>
      <c r="F310" s="2">
        <f>COUNTIF(Eingabe[S1],HäufigsteErgebnisse[[#This Row],[Zahl]])</f>
        <v>0</v>
      </c>
      <c r="G310" s="2">
        <f>COUNTIF(Eingabe[S2],HäufigsteErgebnisse[[#This Row],[Zahl]])</f>
        <v>0</v>
      </c>
      <c r="H310" s="2">
        <f>COUNTIF(Eingabe[S3],HäufigsteErgebnisse[[#This Row],[Zahl]])</f>
        <v>0</v>
      </c>
      <c r="I310" s="2">
        <f>COUNTIF(Eingabe[S4],HäufigsteErgebnisse[[#This Row],[Zahl]])</f>
        <v>0</v>
      </c>
      <c r="J310" s="2">
        <f>COUNTIF(Eingabe[S1],HäufigsteErgebnisse[[#This Row],[Zahl]])+COUNTIF(Eingabe[S2],HäufigsteErgebnisse[[#This Row],[Zahl]])+COUNTIF(Eingabe[S3],HäufigsteErgebnisse[[#This Row],[Zahl]])+COUNTIF(Eingabe[S4],HäufigsteErgebnisse[[#This Row],[Zahl]])</f>
        <v>0</v>
      </c>
      <c r="K310" s="2">
        <f>COUNTIF(Eingabe[GES],HäufigsteErgebnisse[[#This Row],[Zahl]])</f>
        <v>0</v>
      </c>
      <c r="L310" s="2">
        <f>HäufigsteErgebnisse[[#This Row],[Zahl]]</f>
        <v>252</v>
      </c>
    </row>
    <row r="311" spans="2:12" x14ac:dyDescent="0.3">
      <c r="B311" s="2">
        <v>253</v>
      </c>
      <c r="C311" s="2">
        <f>COUNTIF(Eingabe[Volle],HäufigsteErgebnisse[[#This Row],[Zahl]])</f>
        <v>0</v>
      </c>
      <c r="D311" s="2">
        <f>COUNTIF(Eingabe[Räumer],HäufigsteErgebnisse[[#This Row],[Zahl]])</f>
        <v>0</v>
      </c>
      <c r="E311" s="2">
        <f>COUNTIF(Eingabe[Fehler],HäufigsteErgebnisse[[#This Row],[Zahl]])</f>
        <v>0</v>
      </c>
      <c r="F311" s="2">
        <f>COUNTIF(Eingabe[S1],HäufigsteErgebnisse[[#This Row],[Zahl]])</f>
        <v>0</v>
      </c>
      <c r="G311" s="2">
        <f>COUNTIF(Eingabe[S2],HäufigsteErgebnisse[[#This Row],[Zahl]])</f>
        <v>0</v>
      </c>
      <c r="H311" s="2">
        <f>COUNTIF(Eingabe[S3],HäufigsteErgebnisse[[#This Row],[Zahl]])</f>
        <v>0</v>
      </c>
      <c r="I311" s="2">
        <f>COUNTIF(Eingabe[S4],HäufigsteErgebnisse[[#This Row],[Zahl]])</f>
        <v>0</v>
      </c>
      <c r="J311" s="2">
        <f>COUNTIF(Eingabe[S1],HäufigsteErgebnisse[[#This Row],[Zahl]])+COUNTIF(Eingabe[S2],HäufigsteErgebnisse[[#This Row],[Zahl]])+COUNTIF(Eingabe[S3],HäufigsteErgebnisse[[#This Row],[Zahl]])+COUNTIF(Eingabe[S4],HäufigsteErgebnisse[[#This Row],[Zahl]])</f>
        <v>0</v>
      </c>
      <c r="K311" s="2">
        <f>COUNTIF(Eingabe[GES],HäufigsteErgebnisse[[#This Row],[Zahl]])</f>
        <v>0</v>
      </c>
      <c r="L311" s="2">
        <f>HäufigsteErgebnisse[[#This Row],[Zahl]]</f>
        <v>253</v>
      </c>
    </row>
    <row r="312" spans="2:12" x14ac:dyDescent="0.3">
      <c r="B312" s="2">
        <v>254</v>
      </c>
      <c r="C312" s="2">
        <f>COUNTIF(Eingabe[Volle],HäufigsteErgebnisse[[#This Row],[Zahl]])</f>
        <v>1</v>
      </c>
      <c r="D312" s="2">
        <f>COUNTIF(Eingabe[Räumer],HäufigsteErgebnisse[[#This Row],[Zahl]])</f>
        <v>0</v>
      </c>
      <c r="E312" s="2">
        <f>COUNTIF(Eingabe[Fehler],HäufigsteErgebnisse[[#This Row],[Zahl]])</f>
        <v>0</v>
      </c>
      <c r="F312" s="2">
        <f>COUNTIF(Eingabe[S1],HäufigsteErgebnisse[[#This Row],[Zahl]])</f>
        <v>0</v>
      </c>
      <c r="G312" s="2">
        <f>COUNTIF(Eingabe[S2],HäufigsteErgebnisse[[#This Row],[Zahl]])</f>
        <v>0</v>
      </c>
      <c r="H312" s="2">
        <f>COUNTIF(Eingabe[S3],HäufigsteErgebnisse[[#This Row],[Zahl]])</f>
        <v>0</v>
      </c>
      <c r="I312" s="2">
        <f>COUNTIF(Eingabe[S4],HäufigsteErgebnisse[[#This Row],[Zahl]])</f>
        <v>0</v>
      </c>
      <c r="J312" s="2">
        <f>COUNTIF(Eingabe[S1],HäufigsteErgebnisse[[#This Row],[Zahl]])+COUNTIF(Eingabe[S2],HäufigsteErgebnisse[[#This Row],[Zahl]])+COUNTIF(Eingabe[S3],HäufigsteErgebnisse[[#This Row],[Zahl]])+COUNTIF(Eingabe[S4],HäufigsteErgebnisse[[#This Row],[Zahl]])</f>
        <v>0</v>
      </c>
      <c r="K312" s="2">
        <f>COUNTIF(Eingabe[GES],HäufigsteErgebnisse[[#This Row],[Zahl]])</f>
        <v>0</v>
      </c>
      <c r="L312" s="2">
        <f>HäufigsteErgebnisse[[#This Row],[Zahl]]</f>
        <v>254</v>
      </c>
    </row>
    <row r="313" spans="2:12" x14ac:dyDescent="0.3">
      <c r="B313" s="2">
        <v>255</v>
      </c>
      <c r="C313" s="2">
        <f>COUNTIF(Eingabe[Volle],HäufigsteErgebnisse[[#This Row],[Zahl]])</f>
        <v>0</v>
      </c>
      <c r="D313" s="2">
        <f>COUNTIF(Eingabe[Räumer],HäufigsteErgebnisse[[#This Row],[Zahl]])</f>
        <v>0</v>
      </c>
      <c r="E313" s="2">
        <f>COUNTIF(Eingabe[Fehler],HäufigsteErgebnisse[[#This Row],[Zahl]])</f>
        <v>0</v>
      </c>
      <c r="F313" s="2">
        <f>COUNTIF(Eingabe[S1],HäufigsteErgebnisse[[#This Row],[Zahl]])</f>
        <v>0</v>
      </c>
      <c r="G313" s="2">
        <f>COUNTIF(Eingabe[S2],HäufigsteErgebnisse[[#This Row],[Zahl]])</f>
        <v>0</v>
      </c>
      <c r="H313" s="2">
        <f>COUNTIF(Eingabe[S3],HäufigsteErgebnisse[[#This Row],[Zahl]])</f>
        <v>0</v>
      </c>
      <c r="I313" s="2">
        <f>COUNTIF(Eingabe[S4],HäufigsteErgebnisse[[#This Row],[Zahl]])</f>
        <v>0</v>
      </c>
      <c r="J313" s="2">
        <f>COUNTIF(Eingabe[S1],HäufigsteErgebnisse[[#This Row],[Zahl]])+COUNTIF(Eingabe[S2],HäufigsteErgebnisse[[#This Row],[Zahl]])+COUNTIF(Eingabe[S3],HäufigsteErgebnisse[[#This Row],[Zahl]])+COUNTIF(Eingabe[S4],HäufigsteErgebnisse[[#This Row],[Zahl]])</f>
        <v>0</v>
      </c>
      <c r="K313" s="2">
        <f>COUNTIF(Eingabe[GES],HäufigsteErgebnisse[[#This Row],[Zahl]])</f>
        <v>0</v>
      </c>
      <c r="L313" s="2">
        <f>HäufigsteErgebnisse[[#This Row],[Zahl]]</f>
        <v>255</v>
      </c>
    </row>
    <row r="314" spans="2:12" x14ac:dyDescent="0.3">
      <c r="B314" s="2">
        <v>256</v>
      </c>
      <c r="C314" s="2">
        <f>COUNTIF(Eingabe[Volle],HäufigsteErgebnisse[[#This Row],[Zahl]])</f>
        <v>0</v>
      </c>
      <c r="D314" s="2">
        <f>COUNTIF(Eingabe[Räumer],HäufigsteErgebnisse[[#This Row],[Zahl]])</f>
        <v>0</v>
      </c>
      <c r="E314" s="2">
        <f>COUNTIF(Eingabe[Fehler],HäufigsteErgebnisse[[#This Row],[Zahl]])</f>
        <v>0</v>
      </c>
      <c r="F314" s="2">
        <f>COUNTIF(Eingabe[S1],HäufigsteErgebnisse[[#This Row],[Zahl]])</f>
        <v>0</v>
      </c>
      <c r="G314" s="2">
        <f>COUNTIF(Eingabe[S2],HäufigsteErgebnisse[[#This Row],[Zahl]])</f>
        <v>0</v>
      </c>
      <c r="H314" s="2">
        <f>COUNTIF(Eingabe[S3],HäufigsteErgebnisse[[#This Row],[Zahl]])</f>
        <v>0</v>
      </c>
      <c r="I314" s="2">
        <f>COUNTIF(Eingabe[S4],HäufigsteErgebnisse[[#This Row],[Zahl]])</f>
        <v>0</v>
      </c>
      <c r="J314" s="2">
        <f>COUNTIF(Eingabe[S1],HäufigsteErgebnisse[[#This Row],[Zahl]])+COUNTIF(Eingabe[S2],HäufigsteErgebnisse[[#This Row],[Zahl]])+COUNTIF(Eingabe[S3],HäufigsteErgebnisse[[#This Row],[Zahl]])+COUNTIF(Eingabe[S4],HäufigsteErgebnisse[[#This Row],[Zahl]])</f>
        <v>0</v>
      </c>
      <c r="K314" s="2">
        <f>COUNTIF(Eingabe[GES],HäufigsteErgebnisse[[#This Row],[Zahl]])</f>
        <v>0</v>
      </c>
      <c r="L314" s="2">
        <f>HäufigsteErgebnisse[[#This Row],[Zahl]]</f>
        <v>256</v>
      </c>
    </row>
    <row r="315" spans="2:12" x14ac:dyDescent="0.3">
      <c r="B315" s="2">
        <v>257</v>
      </c>
      <c r="C315" s="2">
        <f>COUNTIF(Eingabe[Volle],HäufigsteErgebnisse[[#This Row],[Zahl]])</f>
        <v>0</v>
      </c>
      <c r="D315" s="2">
        <f>COUNTIF(Eingabe[Räumer],HäufigsteErgebnisse[[#This Row],[Zahl]])</f>
        <v>0</v>
      </c>
      <c r="E315" s="2">
        <f>COUNTIF(Eingabe[Fehler],HäufigsteErgebnisse[[#This Row],[Zahl]])</f>
        <v>0</v>
      </c>
      <c r="F315" s="2">
        <f>COUNTIF(Eingabe[S1],HäufigsteErgebnisse[[#This Row],[Zahl]])</f>
        <v>0</v>
      </c>
      <c r="G315" s="2">
        <f>COUNTIF(Eingabe[S2],HäufigsteErgebnisse[[#This Row],[Zahl]])</f>
        <v>0</v>
      </c>
      <c r="H315" s="2">
        <f>COUNTIF(Eingabe[S3],HäufigsteErgebnisse[[#This Row],[Zahl]])</f>
        <v>0</v>
      </c>
      <c r="I315" s="2">
        <f>COUNTIF(Eingabe[S4],HäufigsteErgebnisse[[#This Row],[Zahl]])</f>
        <v>0</v>
      </c>
      <c r="J315" s="2">
        <f>COUNTIF(Eingabe[S1],HäufigsteErgebnisse[[#This Row],[Zahl]])+COUNTIF(Eingabe[S2],HäufigsteErgebnisse[[#This Row],[Zahl]])+COUNTIF(Eingabe[S3],HäufigsteErgebnisse[[#This Row],[Zahl]])+COUNTIF(Eingabe[S4],HäufigsteErgebnisse[[#This Row],[Zahl]])</f>
        <v>0</v>
      </c>
      <c r="K315" s="2">
        <f>COUNTIF(Eingabe[GES],HäufigsteErgebnisse[[#This Row],[Zahl]])</f>
        <v>0</v>
      </c>
      <c r="L315" s="2">
        <f>HäufigsteErgebnisse[[#This Row],[Zahl]]</f>
        <v>257</v>
      </c>
    </row>
    <row r="316" spans="2:12" x14ac:dyDescent="0.3">
      <c r="B316" s="2">
        <v>258</v>
      </c>
      <c r="C316" s="2">
        <f>COUNTIF(Eingabe[Volle],HäufigsteErgebnisse[[#This Row],[Zahl]])</f>
        <v>1</v>
      </c>
      <c r="D316" s="2">
        <f>COUNTIF(Eingabe[Räumer],HäufigsteErgebnisse[[#This Row],[Zahl]])</f>
        <v>0</v>
      </c>
      <c r="E316" s="2">
        <f>COUNTIF(Eingabe[Fehler],HäufigsteErgebnisse[[#This Row],[Zahl]])</f>
        <v>0</v>
      </c>
      <c r="F316" s="2">
        <f>COUNTIF(Eingabe[S1],HäufigsteErgebnisse[[#This Row],[Zahl]])</f>
        <v>0</v>
      </c>
      <c r="G316" s="2">
        <f>COUNTIF(Eingabe[S2],HäufigsteErgebnisse[[#This Row],[Zahl]])</f>
        <v>0</v>
      </c>
      <c r="H316" s="2">
        <f>COUNTIF(Eingabe[S3],HäufigsteErgebnisse[[#This Row],[Zahl]])</f>
        <v>0</v>
      </c>
      <c r="I316" s="2">
        <f>COUNTIF(Eingabe[S4],HäufigsteErgebnisse[[#This Row],[Zahl]])</f>
        <v>0</v>
      </c>
      <c r="J316" s="2">
        <f>COUNTIF(Eingabe[S1],HäufigsteErgebnisse[[#This Row],[Zahl]])+COUNTIF(Eingabe[S2],HäufigsteErgebnisse[[#This Row],[Zahl]])+COUNTIF(Eingabe[S3],HäufigsteErgebnisse[[#This Row],[Zahl]])+COUNTIF(Eingabe[S4],HäufigsteErgebnisse[[#This Row],[Zahl]])</f>
        <v>0</v>
      </c>
      <c r="K316" s="2">
        <f>COUNTIF(Eingabe[GES],HäufigsteErgebnisse[[#This Row],[Zahl]])</f>
        <v>0</v>
      </c>
      <c r="L316" s="2">
        <f>HäufigsteErgebnisse[[#This Row],[Zahl]]</f>
        <v>258</v>
      </c>
    </row>
    <row r="317" spans="2:12" x14ac:dyDescent="0.3">
      <c r="B317" s="2">
        <v>259</v>
      </c>
      <c r="C317" s="2">
        <f>COUNTIF(Eingabe[Volle],HäufigsteErgebnisse[[#This Row],[Zahl]])</f>
        <v>0</v>
      </c>
      <c r="D317" s="2">
        <f>COUNTIF(Eingabe[Räumer],HäufigsteErgebnisse[[#This Row],[Zahl]])</f>
        <v>0</v>
      </c>
      <c r="E317" s="2">
        <f>COUNTIF(Eingabe[Fehler],HäufigsteErgebnisse[[#This Row],[Zahl]])</f>
        <v>0</v>
      </c>
      <c r="F317" s="2">
        <f>COUNTIF(Eingabe[S1],HäufigsteErgebnisse[[#This Row],[Zahl]])</f>
        <v>0</v>
      </c>
      <c r="G317" s="2">
        <f>COUNTIF(Eingabe[S2],HäufigsteErgebnisse[[#This Row],[Zahl]])</f>
        <v>0</v>
      </c>
      <c r="H317" s="2">
        <f>COUNTIF(Eingabe[S3],HäufigsteErgebnisse[[#This Row],[Zahl]])</f>
        <v>0</v>
      </c>
      <c r="I317" s="2">
        <f>COUNTIF(Eingabe[S4],HäufigsteErgebnisse[[#This Row],[Zahl]])</f>
        <v>0</v>
      </c>
      <c r="J317" s="2">
        <f>COUNTIF(Eingabe[S1],HäufigsteErgebnisse[[#This Row],[Zahl]])+COUNTIF(Eingabe[S2],HäufigsteErgebnisse[[#This Row],[Zahl]])+COUNTIF(Eingabe[S3],HäufigsteErgebnisse[[#This Row],[Zahl]])+COUNTIF(Eingabe[S4],HäufigsteErgebnisse[[#This Row],[Zahl]])</f>
        <v>0</v>
      </c>
      <c r="K317" s="2">
        <f>COUNTIF(Eingabe[GES],HäufigsteErgebnisse[[#This Row],[Zahl]])</f>
        <v>0</v>
      </c>
      <c r="L317" s="2">
        <f>HäufigsteErgebnisse[[#This Row],[Zahl]]</f>
        <v>259</v>
      </c>
    </row>
    <row r="318" spans="2:12" x14ac:dyDescent="0.3">
      <c r="B318" s="2">
        <v>260</v>
      </c>
      <c r="C318" s="2">
        <f>COUNTIF(Eingabe[Volle],HäufigsteErgebnisse[[#This Row],[Zahl]])</f>
        <v>0</v>
      </c>
      <c r="D318" s="2">
        <f>COUNTIF(Eingabe[Räumer],HäufigsteErgebnisse[[#This Row],[Zahl]])</f>
        <v>0</v>
      </c>
      <c r="E318" s="2">
        <f>COUNTIF(Eingabe[Fehler],HäufigsteErgebnisse[[#This Row],[Zahl]])</f>
        <v>0</v>
      </c>
      <c r="F318" s="2">
        <f>COUNTIF(Eingabe[S1],HäufigsteErgebnisse[[#This Row],[Zahl]])</f>
        <v>0</v>
      </c>
      <c r="G318" s="2">
        <f>COUNTIF(Eingabe[S2],HäufigsteErgebnisse[[#This Row],[Zahl]])</f>
        <v>0</v>
      </c>
      <c r="H318" s="2">
        <f>COUNTIF(Eingabe[S3],HäufigsteErgebnisse[[#This Row],[Zahl]])</f>
        <v>0</v>
      </c>
      <c r="I318" s="2">
        <f>COUNTIF(Eingabe[S4],HäufigsteErgebnisse[[#This Row],[Zahl]])</f>
        <v>0</v>
      </c>
      <c r="J318" s="2">
        <f>COUNTIF(Eingabe[S1],HäufigsteErgebnisse[[#This Row],[Zahl]])+COUNTIF(Eingabe[S2],HäufigsteErgebnisse[[#This Row],[Zahl]])+COUNTIF(Eingabe[S3],HäufigsteErgebnisse[[#This Row],[Zahl]])+COUNTIF(Eingabe[S4],HäufigsteErgebnisse[[#This Row],[Zahl]])</f>
        <v>0</v>
      </c>
      <c r="K318" s="2">
        <f>COUNTIF(Eingabe[GES],HäufigsteErgebnisse[[#This Row],[Zahl]])</f>
        <v>0</v>
      </c>
      <c r="L318" s="2">
        <f>HäufigsteErgebnisse[[#This Row],[Zahl]]</f>
        <v>260</v>
      </c>
    </row>
    <row r="319" spans="2:12" x14ac:dyDescent="0.3">
      <c r="B319" s="2">
        <v>261</v>
      </c>
      <c r="C319" s="2">
        <f>COUNTIF(Eingabe[Volle],HäufigsteErgebnisse[[#This Row],[Zahl]])</f>
        <v>0</v>
      </c>
      <c r="D319" s="2">
        <f>COUNTIF(Eingabe[Räumer],HäufigsteErgebnisse[[#This Row],[Zahl]])</f>
        <v>0</v>
      </c>
      <c r="E319" s="2">
        <f>COUNTIF(Eingabe[Fehler],HäufigsteErgebnisse[[#This Row],[Zahl]])</f>
        <v>0</v>
      </c>
      <c r="F319" s="2">
        <f>COUNTIF(Eingabe[S1],HäufigsteErgebnisse[[#This Row],[Zahl]])</f>
        <v>0</v>
      </c>
      <c r="G319" s="2">
        <f>COUNTIF(Eingabe[S2],HäufigsteErgebnisse[[#This Row],[Zahl]])</f>
        <v>0</v>
      </c>
      <c r="H319" s="2">
        <f>COUNTIF(Eingabe[S3],HäufigsteErgebnisse[[#This Row],[Zahl]])</f>
        <v>0</v>
      </c>
      <c r="I319" s="2">
        <f>COUNTIF(Eingabe[S4],HäufigsteErgebnisse[[#This Row],[Zahl]])</f>
        <v>0</v>
      </c>
      <c r="J319" s="2">
        <f>COUNTIF(Eingabe[S1],HäufigsteErgebnisse[[#This Row],[Zahl]])+COUNTIF(Eingabe[S2],HäufigsteErgebnisse[[#This Row],[Zahl]])+COUNTIF(Eingabe[S3],HäufigsteErgebnisse[[#This Row],[Zahl]])+COUNTIF(Eingabe[S4],HäufigsteErgebnisse[[#This Row],[Zahl]])</f>
        <v>0</v>
      </c>
      <c r="K319" s="2">
        <f>COUNTIF(Eingabe[GES],HäufigsteErgebnisse[[#This Row],[Zahl]])</f>
        <v>0</v>
      </c>
      <c r="L319" s="2">
        <f>HäufigsteErgebnisse[[#This Row],[Zahl]]</f>
        <v>261</v>
      </c>
    </row>
    <row r="320" spans="2:12" x14ac:dyDescent="0.3">
      <c r="B320" s="2">
        <v>262</v>
      </c>
      <c r="C320" s="2">
        <f>COUNTIF(Eingabe[Volle],HäufigsteErgebnisse[[#This Row],[Zahl]])</f>
        <v>0</v>
      </c>
      <c r="D320" s="2">
        <f>COUNTIF(Eingabe[Räumer],HäufigsteErgebnisse[[#This Row],[Zahl]])</f>
        <v>0</v>
      </c>
      <c r="E320" s="2">
        <f>COUNTIF(Eingabe[Fehler],HäufigsteErgebnisse[[#This Row],[Zahl]])</f>
        <v>0</v>
      </c>
      <c r="F320" s="2">
        <f>COUNTIF(Eingabe[S1],HäufigsteErgebnisse[[#This Row],[Zahl]])</f>
        <v>0</v>
      </c>
      <c r="G320" s="2">
        <f>COUNTIF(Eingabe[S2],HäufigsteErgebnisse[[#This Row],[Zahl]])</f>
        <v>0</v>
      </c>
      <c r="H320" s="2">
        <f>COUNTIF(Eingabe[S3],HäufigsteErgebnisse[[#This Row],[Zahl]])</f>
        <v>0</v>
      </c>
      <c r="I320" s="2">
        <f>COUNTIF(Eingabe[S4],HäufigsteErgebnisse[[#This Row],[Zahl]])</f>
        <v>0</v>
      </c>
      <c r="J320" s="2">
        <f>COUNTIF(Eingabe[S1],HäufigsteErgebnisse[[#This Row],[Zahl]])+COUNTIF(Eingabe[S2],HäufigsteErgebnisse[[#This Row],[Zahl]])+COUNTIF(Eingabe[S3],HäufigsteErgebnisse[[#This Row],[Zahl]])+COUNTIF(Eingabe[S4],HäufigsteErgebnisse[[#This Row],[Zahl]])</f>
        <v>0</v>
      </c>
      <c r="K320" s="2">
        <f>COUNTIF(Eingabe[GES],HäufigsteErgebnisse[[#This Row],[Zahl]])</f>
        <v>0</v>
      </c>
      <c r="L320" s="2">
        <f>HäufigsteErgebnisse[[#This Row],[Zahl]]</f>
        <v>262</v>
      </c>
    </row>
    <row r="321" spans="2:12" x14ac:dyDescent="0.3">
      <c r="B321" s="2">
        <v>263</v>
      </c>
      <c r="C321" s="2">
        <f>COUNTIF(Eingabe[Volle],HäufigsteErgebnisse[[#This Row],[Zahl]])</f>
        <v>2</v>
      </c>
      <c r="D321" s="2">
        <f>COUNTIF(Eingabe[Räumer],HäufigsteErgebnisse[[#This Row],[Zahl]])</f>
        <v>0</v>
      </c>
      <c r="E321" s="2">
        <f>COUNTIF(Eingabe[Fehler],HäufigsteErgebnisse[[#This Row],[Zahl]])</f>
        <v>0</v>
      </c>
      <c r="F321" s="2">
        <f>COUNTIF(Eingabe[S1],HäufigsteErgebnisse[[#This Row],[Zahl]])</f>
        <v>0</v>
      </c>
      <c r="G321" s="2">
        <f>COUNTIF(Eingabe[S2],HäufigsteErgebnisse[[#This Row],[Zahl]])</f>
        <v>0</v>
      </c>
      <c r="H321" s="2">
        <f>COUNTIF(Eingabe[S3],HäufigsteErgebnisse[[#This Row],[Zahl]])</f>
        <v>0</v>
      </c>
      <c r="I321" s="2">
        <f>COUNTIF(Eingabe[S4],HäufigsteErgebnisse[[#This Row],[Zahl]])</f>
        <v>0</v>
      </c>
      <c r="J321" s="2">
        <f>COUNTIF(Eingabe[S1],HäufigsteErgebnisse[[#This Row],[Zahl]])+COUNTIF(Eingabe[S2],HäufigsteErgebnisse[[#This Row],[Zahl]])+COUNTIF(Eingabe[S3],HäufigsteErgebnisse[[#This Row],[Zahl]])+COUNTIF(Eingabe[S4],HäufigsteErgebnisse[[#This Row],[Zahl]])</f>
        <v>0</v>
      </c>
      <c r="K321" s="2">
        <f>COUNTIF(Eingabe[GES],HäufigsteErgebnisse[[#This Row],[Zahl]])</f>
        <v>0</v>
      </c>
      <c r="L321" s="2">
        <f>HäufigsteErgebnisse[[#This Row],[Zahl]]</f>
        <v>263</v>
      </c>
    </row>
    <row r="322" spans="2:12" x14ac:dyDescent="0.3">
      <c r="B322" s="2">
        <v>264</v>
      </c>
      <c r="C322" s="2">
        <f>COUNTIF(Eingabe[Volle],HäufigsteErgebnisse[[#This Row],[Zahl]])</f>
        <v>1</v>
      </c>
      <c r="D322" s="2">
        <f>COUNTIF(Eingabe[Räumer],HäufigsteErgebnisse[[#This Row],[Zahl]])</f>
        <v>0</v>
      </c>
      <c r="E322" s="2">
        <f>COUNTIF(Eingabe[Fehler],HäufigsteErgebnisse[[#This Row],[Zahl]])</f>
        <v>0</v>
      </c>
      <c r="F322" s="2">
        <f>COUNTIF(Eingabe[S1],HäufigsteErgebnisse[[#This Row],[Zahl]])</f>
        <v>0</v>
      </c>
      <c r="G322" s="2">
        <f>COUNTIF(Eingabe[S2],HäufigsteErgebnisse[[#This Row],[Zahl]])</f>
        <v>0</v>
      </c>
      <c r="H322" s="2">
        <f>COUNTIF(Eingabe[S3],HäufigsteErgebnisse[[#This Row],[Zahl]])</f>
        <v>0</v>
      </c>
      <c r="I322" s="2">
        <f>COUNTIF(Eingabe[S4],HäufigsteErgebnisse[[#This Row],[Zahl]])</f>
        <v>0</v>
      </c>
      <c r="J322" s="2">
        <f>COUNTIF(Eingabe[S1],HäufigsteErgebnisse[[#This Row],[Zahl]])+COUNTIF(Eingabe[S2],HäufigsteErgebnisse[[#This Row],[Zahl]])+COUNTIF(Eingabe[S3],HäufigsteErgebnisse[[#This Row],[Zahl]])+COUNTIF(Eingabe[S4],HäufigsteErgebnisse[[#This Row],[Zahl]])</f>
        <v>0</v>
      </c>
      <c r="K322" s="2">
        <f>COUNTIF(Eingabe[GES],HäufigsteErgebnisse[[#This Row],[Zahl]])</f>
        <v>0</v>
      </c>
      <c r="L322" s="2">
        <f>HäufigsteErgebnisse[[#This Row],[Zahl]]</f>
        <v>264</v>
      </c>
    </row>
    <row r="323" spans="2:12" x14ac:dyDescent="0.3">
      <c r="B323" s="2">
        <v>265</v>
      </c>
      <c r="C323" s="2">
        <f>COUNTIF(Eingabe[Volle],HäufigsteErgebnisse[[#This Row],[Zahl]])</f>
        <v>2</v>
      </c>
      <c r="D323" s="2">
        <f>COUNTIF(Eingabe[Räumer],HäufigsteErgebnisse[[#This Row],[Zahl]])</f>
        <v>0</v>
      </c>
      <c r="E323" s="2">
        <f>COUNTIF(Eingabe[Fehler],HäufigsteErgebnisse[[#This Row],[Zahl]])</f>
        <v>0</v>
      </c>
      <c r="F323" s="2">
        <f>COUNTIF(Eingabe[S1],HäufigsteErgebnisse[[#This Row],[Zahl]])</f>
        <v>0</v>
      </c>
      <c r="G323" s="2">
        <f>COUNTIF(Eingabe[S2],HäufigsteErgebnisse[[#This Row],[Zahl]])</f>
        <v>0</v>
      </c>
      <c r="H323" s="2">
        <f>COUNTIF(Eingabe[S3],HäufigsteErgebnisse[[#This Row],[Zahl]])</f>
        <v>0</v>
      </c>
      <c r="I323" s="2">
        <f>COUNTIF(Eingabe[S4],HäufigsteErgebnisse[[#This Row],[Zahl]])</f>
        <v>0</v>
      </c>
      <c r="J323" s="2">
        <f>COUNTIF(Eingabe[S1],HäufigsteErgebnisse[[#This Row],[Zahl]])+COUNTIF(Eingabe[S2],HäufigsteErgebnisse[[#This Row],[Zahl]])+COUNTIF(Eingabe[S3],HäufigsteErgebnisse[[#This Row],[Zahl]])+COUNTIF(Eingabe[S4],HäufigsteErgebnisse[[#This Row],[Zahl]])</f>
        <v>0</v>
      </c>
      <c r="K323" s="2">
        <f>COUNTIF(Eingabe[GES],HäufigsteErgebnisse[[#This Row],[Zahl]])</f>
        <v>0</v>
      </c>
      <c r="L323" s="2">
        <f>HäufigsteErgebnisse[[#This Row],[Zahl]]</f>
        <v>265</v>
      </c>
    </row>
    <row r="324" spans="2:12" x14ac:dyDescent="0.3">
      <c r="B324" s="2">
        <v>266</v>
      </c>
      <c r="C324" s="2">
        <f>COUNTIF(Eingabe[Volle],HäufigsteErgebnisse[[#This Row],[Zahl]])</f>
        <v>0</v>
      </c>
      <c r="D324" s="2">
        <f>COUNTIF(Eingabe[Räumer],HäufigsteErgebnisse[[#This Row],[Zahl]])</f>
        <v>0</v>
      </c>
      <c r="E324" s="2">
        <f>COUNTIF(Eingabe[Fehler],HäufigsteErgebnisse[[#This Row],[Zahl]])</f>
        <v>0</v>
      </c>
      <c r="F324" s="2">
        <f>COUNTIF(Eingabe[S1],HäufigsteErgebnisse[[#This Row],[Zahl]])</f>
        <v>0</v>
      </c>
      <c r="G324" s="2">
        <f>COUNTIF(Eingabe[S2],HäufigsteErgebnisse[[#This Row],[Zahl]])</f>
        <v>0</v>
      </c>
      <c r="H324" s="2">
        <f>COUNTIF(Eingabe[S3],HäufigsteErgebnisse[[#This Row],[Zahl]])</f>
        <v>0</v>
      </c>
      <c r="I324" s="2">
        <f>COUNTIF(Eingabe[S4],HäufigsteErgebnisse[[#This Row],[Zahl]])</f>
        <v>0</v>
      </c>
      <c r="J324" s="2">
        <f>COUNTIF(Eingabe[S1],HäufigsteErgebnisse[[#This Row],[Zahl]])+COUNTIF(Eingabe[S2],HäufigsteErgebnisse[[#This Row],[Zahl]])+COUNTIF(Eingabe[S3],HäufigsteErgebnisse[[#This Row],[Zahl]])+COUNTIF(Eingabe[S4],HäufigsteErgebnisse[[#This Row],[Zahl]])</f>
        <v>0</v>
      </c>
      <c r="K324" s="2">
        <f>COUNTIF(Eingabe[GES],HäufigsteErgebnisse[[#This Row],[Zahl]])</f>
        <v>0</v>
      </c>
      <c r="L324" s="2">
        <f>HäufigsteErgebnisse[[#This Row],[Zahl]]</f>
        <v>266</v>
      </c>
    </row>
    <row r="325" spans="2:12" x14ac:dyDescent="0.3">
      <c r="B325" s="2">
        <v>267</v>
      </c>
      <c r="C325" s="2">
        <f>COUNTIF(Eingabe[Volle],HäufigsteErgebnisse[[#This Row],[Zahl]])</f>
        <v>0</v>
      </c>
      <c r="D325" s="2">
        <f>COUNTIF(Eingabe[Räumer],HäufigsteErgebnisse[[#This Row],[Zahl]])</f>
        <v>0</v>
      </c>
      <c r="E325" s="2">
        <f>COUNTIF(Eingabe[Fehler],HäufigsteErgebnisse[[#This Row],[Zahl]])</f>
        <v>0</v>
      </c>
      <c r="F325" s="2">
        <f>COUNTIF(Eingabe[S1],HäufigsteErgebnisse[[#This Row],[Zahl]])</f>
        <v>0</v>
      </c>
      <c r="G325" s="2">
        <f>COUNTIF(Eingabe[S2],HäufigsteErgebnisse[[#This Row],[Zahl]])</f>
        <v>0</v>
      </c>
      <c r="H325" s="2">
        <f>COUNTIF(Eingabe[S3],HäufigsteErgebnisse[[#This Row],[Zahl]])</f>
        <v>0</v>
      </c>
      <c r="I325" s="2">
        <f>COUNTIF(Eingabe[S4],HäufigsteErgebnisse[[#This Row],[Zahl]])</f>
        <v>0</v>
      </c>
      <c r="J325" s="2">
        <f>COUNTIF(Eingabe[S1],HäufigsteErgebnisse[[#This Row],[Zahl]])+COUNTIF(Eingabe[S2],HäufigsteErgebnisse[[#This Row],[Zahl]])+COUNTIF(Eingabe[S3],HäufigsteErgebnisse[[#This Row],[Zahl]])+COUNTIF(Eingabe[S4],HäufigsteErgebnisse[[#This Row],[Zahl]])</f>
        <v>0</v>
      </c>
      <c r="K325" s="2">
        <f>COUNTIF(Eingabe[GES],HäufigsteErgebnisse[[#This Row],[Zahl]])</f>
        <v>0</v>
      </c>
      <c r="L325" s="2">
        <f>HäufigsteErgebnisse[[#This Row],[Zahl]]</f>
        <v>267</v>
      </c>
    </row>
    <row r="326" spans="2:12" x14ac:dyDescent="0.3">
      <c r="B326" s="2">
        <v>268</v>
      </c>
      <c r="C326" s="2">
        <f>COUNTIF(Eingabe[Volle],HäufigsteErgebnisse[[#This Row],[Zahl]])</f>
        <v>1</v>
      </c>
      <c r="D326" s="2">
        <f>COUNTIF(Eingabe[Räumer],HäufigsteErgebnisse[[#This Row],[Zahl]])</f>
        <v>0</v>
      </c>
      <c r="E326" s="2">
        <f>COUNTIF(Eingabe[Fehler],HäufigsteErgebnisse[[#This Row],[Zahl]])</f>
        <v>0</v>
      </c>
      <c r="F326" s="2">
        <f>COUNTIF(Eingabe[S1],HäufigsteErgebnisse[[#This Row],[Zahl]])</f>
        <v>0</v>
      </c>
      <c r="G326" s="2">
        <f>COUNTIF(Eingabe[S2],HäufigsteErgebnisse[[#This Row],[Zahl]])</f>
        <v>0</v>
      </c>
      <c r="H326" s="2">
        <f>COUNTIF(Eingabe[S3],HäufigsteErgebnisse[[#This Row],[Zahl]])</f>
        <v>0</v>
      </c>
      <c r="I326" s="2">
        <f>COUNTIF(Eingabe[S4],HäufigsteErgebnisse[[#This Row],[Zahl]])</f>
        <v>0</v>
      </c>
      <c r="J326" s="2">
        <f>COUNTIF(Eingabe[S1],HäufigsteErgebnisse[[#This Row],[Zahl]])+COUNTIF(Eingabe[S2],HäufigsteErgebnisse[[#This Row],[Zahl]])+COUNTIF(Eingabe[S3],HäufigsteErgebnisse[[#This Row],[Zahl]])+COUNTIF(Eingabe[S4],HäufigsteErgebnisse[[#This Row],[Zahl]])</f>
        <v>0</v>
      </c>
      <c r="K326" s="2">
        <f>COUNTIF(Eingabe[GES],HäufigsteErgebnisse[[#This Row],[Zahl]])</f>
        <v>0</v>
      </c>
      <c r="L326" s="2">
        <f>HäufigsteErgebnisse[[#This Row],[Zahl]]</f>
        <v>268</v>
      </c>
    </row>
    <row r="327" spans="2:12" x14ac:dyDescent="0.3">
      <c r="B327" s="2">
        <v>269</v>
      </c>
      <c r="C327" s="2">
        <f>COUNTIF(Eingabe[Volle],HäufigsteErgebnisse[[#This Row],[Zahl]])</f>
        <v>1</v>
      </c>
      <c r="D327" s="2">
        <f>COUNTIF(Eingabe[Räumer],HäufigsteErgebnisse[[#This Row],[Zahl]])</f>
        <v>0</v>
      </c>
      <c r="E327" s="2">
        <f>COUNTIF(Eingabe[Fehler],HäufigsteErgebnisse[[#This Row],[Zahl]])</f>
        <v>0</v>
      </c>
      <c r="F327" s="2">
        <f>COUNTIF(Eingabe[S1],HäufigsteErgebnisse[[#This Row],[Zahl]])</f>
        <v>0</v>
      </c>
      <c r="G327" s="2">
        <f>COUNTIF(Eingabe[S2],HäufigsteErgebnisse[[#This Row],[Zahl]])</f>
        <v>0</v>
      </c>
      <c r="H327" s="2">
        <f>COUNTIF(Eingabe[S3],HäufigsteErgebnisse[[#This Row],[Zahl]])</f>
        <v>0</v>
      </c>
      <c r="I327" s="2">
        <f>COUNTIF(Eingabe[S4],HäufigsteErgebnisse[[#This Row],[Zahl]])</f>
        <v>0</v>
      </c>
      <c r="J327" s="2">
        <f>COUNTIF(Eingabe[S1],HäufigsteErgebnisse[[#This Row],[Zahl]])+COUNTIF(Eingabe[S2],HäufigsteErgebnisse[[#This Row],[Zahl]])+COUNTIF(Eingabe[S3],HäufigsteErgebnisse[[#This Row],[Zahl]])+COUNTIF(Eingabe[S4],HäufigsteErgebnisse[[#This Row],[Zahl]])</f>
        <v>0</v>
      </c>
      <c r="K327" s="2">
        <f>COUNTIF(Eingabe[GES],HäufigsteErgebnisse[[#This Row],[Zahl]])</f>
        <v>0</v>
      </c>
      <c r="L327" s="2">
        <f>HäufigsteErgebnisse[[#This Row],[Zahl]]</f>
        <v>269</v>
      </c>
    </row>
    <row r="328" spans="2:12" x14ac:dyDescent="0.3">
      <c r="B328" s="2">
        <v>270</v>
      </c>
      <c r="C328" s="2">
        <f>COUNTIF(Eingabe[Volle],HäufigsteErgebnisse[[#This Row],[Zahl]])</f>
        <v>0</v>
      </c>
      <c r="D328" s="2">
        <f>COUNTIF(Eingabe[Räumer],HäufigsteErgebnisse[[#This Row],[Zahl]])</f>
        <v>0</v>
      </c>
      <c r="E328" s="2">
        <f>COUNTIF(Eingabe[Fehler],HäufigsteErgebnisse[[#This Row],[Zahl]])</f>
        <v>0</v>
      </c>
      <c r="F328" s="2">
        <f>COUNTIF(Eingabe[S1],HäufigsteErgebnisse[[#This Row],[Zahl]])</f>
        <v>0</v>
      </c>
      <c r="G328" s="2">
        <f>COUNTIF(Eingabe[S2],HäufigsteErgebnisse[[#This Row],[Zahl]])</f>
        <v>0</v>
      </c>
      <c r="H328" s="2">
        <f>COUNTIF(Eingabe[S3],HäufigsteErgebnisse[[#This Row],[Zahl]])</f>
        <v>0</v>
      </c>
      <c r="I328" s="2">
        <f>COUNTIF(Eingabe[S4],HäufigsteErgebnisse[[#This Row],[Zahl]])</f>
        <v>0</v>
      </c>
      <c r="J328" s="2">
        <f>COUNTIF(Eingabe[S1],HäufigsteErgebnisse[[#This Row],[Zahl]])+COUNTIF(Eingabe[S2],HäufigsteErgebnisse[[#This Row],[Zahl]])+COUNTIF(Eingabe[S3],HäufigsteErgebnisse[[#This Row],[Zahl]])+COUNTIF(Eingabe[S4],HäufigsteErgebnisse[[#This Row],[Zahl]])</f>
        <v>0</v>
      </c>
      <c r="K328" s="2">
        <f>COUNTIF(Eingabe[GES],HäufigsteErgebnisse[[#This Row],[Zahl]])</f>
        <v>0</v>
      </c>
      <c r="L328" s="2">
        <f>HäufigsteErgebnisse[[#This Row],[Zahl]]</f>
        <v>270</v>
      </c>
    </row>
    <row r="329" spans="2:12" x14ac:dyDescent="0.3">
      <c r="B329" s="2">
        <v>271</v>
      </c>
      <c r="C329" s="2">
        <f>COUNTIF(Eingabe[Volle],HäufigsteErgebnisse[[#This Row],[Zahl]])</f>
        <v>0</v>
      </c>
      <c r="D329" s="2">
        <f>COUNTIF(Eingabe[Räumer],HäufigsteErgebnisse[[#This Row],[Zahl]])</f>
        <v>0</v>
      </c>
      <c r="E329" s="2">
        <f>COUNTIF(Eingabe[Fehler],HäufigsteErgebnisse[[#This Row],[Zahl]])</f>
        <v>0</v>
      </c>
      <c r="F329" s="2">
        <f>COUNTIF(Eingabe[S1],HäufigsteErgebnisse[[#This Row],[Zahl]])</f>
        <v>0</v>
      </c>
      <c r="G329" s="2">
        <f>COUNTIF(Eingabe[S2],HäufigsteErgebnisse[[#This Row],[Zahl]])</f>
        <v>0</v>
      </c>
      <c r="H329" s="2">
        <f>COUNTIF(Eingabe[S3],HäufigsteErgebnisse[[#This Row],[Zahl]])</f>
        <v>0</v>
      </c>
      <c r="I329" s="2">
        <f>COUNTIF(Eingabe[S4],HäufigsteErgebnisse[[#This Row],[Zahl]])</f>
        <v>0</v>
      </c>
      <c r="J329" s="2">
        <f>COUNTIF(Eingabe[S1],HäufigsteErgebnisse[[#This Row],[Zahl]])+COUNTIF(Eingabe[S2],HäufigsteErgebnisse[[#This Row],[Zahl]])+COUNTIF(Eingabe[S3],HäufigsteErgebnisse[[#This Row],[Zahl]])+COUNTIF(Eingabe[S4],HäufigsteErgebnisse[[#This Row],[Zahl]])</f>
        <v>0</v>
      </c>
      <c r="K329" s="2">
        <f>COUNTIF(Eingabe[GES],HäufigsteErgebnisse[[#This Row],[Zahl]])</f>
        <v>0</v>
      </c>
      <c r="L329" s="2">
        <f>HäufigsteErgebnisse[[#This Row],[Zahl]]</f>
        <v>271</v>
      </c>
    </row>
    <row r="330" spans="2:12" x14ac:dyDescent="0.3">
      <c r="B330" s="2">
        <v>272</v>
      </c>
      <c r="C330" s="2">
        <f>COUNTIF(Eingabe[Volle],HäufigsteErgebnisse[[#This Row],[Zahl]])</f>
        <v>0</v>
      </c>
      <c r="D330" s="2">
        <f>COUNTIF(Eingabe[Räumer],HäufigsteErgebnisse[[#This Row],[Zahl]])</f>
        <v>0</v>
      </c>
      <c r="E330" s="2">
        <f>COUNTIF(Eingabe[Fehler],HäufigsteErgebnisse[[#This Row],[Zahl]])</f>
        <v>0</v>
      </c>
      <c r="F330" s="2">
        <f>COUNTIF(Eingabe[S1],HäufigsteErgebnisse[[#This Row],[Zahl]])</f>
        <v>0</v>
      </c>
      <c r="G330" s="2">
        <f>COUNTIF(Eingabe[S2],HäufigsteErgebnisse[[#This Row],[Zahl]])</f>
        <v>0</v>
      </c>
      <c r="H330" s="2">
        <f>COUNTIF(Eingabe[S3],HäufigsteErgebnisse[[#This Row],[Zahl]])</f>
        <v>0</v>
      </c>
      <c r="I330" s="2">
        <f>COUNTIF(Eingabe[S4],HäufigsteErgebnisse[[#This Row],[Zahl]])</f>
        <v>0</v>
      </c>
      <c r="J330" s="2">
        <f>COUNTIF(Eingabe[S1],HäufigsteErgebnisse[[#This Row],[Zahl]])+COUNTIF(Eingabe[S2],HäufigsteErgebnisse[[#This Row],[Zahl]])+COUNTIF(Eingabe[S3],HäufigsteErgebnisse[[#This Row],[Zahl]])+COUNTIF(Eingabe[S4],HäufigsteErgebnisse[[#This Row],[Zahl]])</f>
        <v>0</v>
      </c>
      <c r="K330" s="2">
        <f>COUNTIF(Eingabe[GES],HäufigsteErgebnisse[[#This Row],[Zahl]])</f>
        <v>0</v>
      </c>
      <c r="L330" s="2">
        <f>HäufigsteErgebnisse[[#This Row],[Zahl]]</f>
        <v>272</v>
      </c>
    </row>
    <row r="331" spans="2:12" x14ac:dyDescent="0.3">
      <c r="B331" s="2">
        <v>273</v>
      </c>
      <c r="C331" s="2">
        <f>COUNTIF(Eingabe[Volle],HäufigsteErgebnisse[[#This Row],[Zahl]])</f>
        <v>0</v>
      </c>
      <c r="D331" s="2">
        <f>COUNTIF(Eingabe[Räumer],HäufigsteErgebnisse[[#This Row],[Zahl]])</f>
        <v>0</v>
      </c>
      <c r="E331" s="2">
        <f>COUNTIF(Eingabe[Fehler],HäufigsteErgebnisse[[#This Row],[Zahl]])</f>
        <v>0</v>
      </c>
      <c r="F331" s="2">
        <f>COUNTIF(Eingabe[S1],HäufigsteErgebnisse[[#This Row],[Zahl]])</f>
        <v>0</v>
      </c>
      <c r="G331" s="2">
        <f>COUNTIF(Eingabe[S2],HäufigsteErgebnisse[[#This Row],[Zahl]])</f>
        <v>0</v>
      </c>
      <c r="H331" s="2">
        <f>COUNTIF(Eingabe[S3],HäufigsteErgebnisse[[#This Row],[Zahl]])</f>
        <v>0</v>
      </c>
      <c r="I331" s="2">
        <f>COUNTIF(Eingabe[S4],HäufigsteErgebnisse[[#This Row],[Zahl]])</f>
        <v>0</v>
      </c>
      <c r="J331" s="2">
        <f>COUNTIF(Eingabe[S1],HäufigsteErgebnisse[[#This Row],[Zahl]])+COUNTIF(Eingabe[S2],HäufigsteErgebnisse[[#This Row],[Zahl]])+COUNTIF(Eingabe[S3],HäufigsteErgebnisse[[#This Row],[Zahl]])+COUNTIF(Eingabe[S4],HäufigsteErgebnisse[[#This Row],[Zahl]])</f>
        <v>0</v>
      </c>
      <c r="K331" s="2">
        <f>COUNTIF(Eingabe[GES],HäufigsteErgebnisse[[#This Row],[Zahl]])</f>
        <v>0</v>
      </c>
      <c r="L331" s="2">
        <f>HäufigsteErgebnisse[[#This Row],[Zahl]]</f>
        <v>273</v>
      </c>
    </row>
    <row r="332" spans="2:12" x14ac:dyDescent="0.3">
      <c r="B332" s="2">
        <v>274</v>
      </c>
      <c r="C332" s="2">
        <f>COUNTIF(Eingabe[Volle],HäufigsteErgebnisse[[#This Row],[Zahl]])</f>
        <v>2</v>
      </c>
      <c r="D332" s="2">
        <f>COUNTIF(Eingabe[Räumer],HäufigsteErgebnisse[[#This Row],[Zahl]])</f>
        <v>0</v>
      </c>
      <c r="E332" s="2">
        <f>COUNTIF(Eingabe[Fehler],HäufigsteErgebnisse[[#This Row],[Zahl]])</f>
        <v>0</v>
      </c>
      <c r="F332" s="2">
        <f>COUNTIF(Eingabe[S1],HäufigsteErgebnisse[[#This Row],[Zahl]])</f>
        <v>0</v>
      </c>
      <c r="G332" s="2">
        <f>COUNTIF(Eingabe[S2],HäufigsteErgebnisse[[#This Row],[Zahl]])</f>
        <v>0</v>
      </c>
      <c r="H332" s="2">
        <f>COUNTIF(Eingabe[S3],HäufigsteErgebnisse[[#This Row],[Zahl]])</f>
        <v>0</v>
      </c>
      <c r="I332" s="2">
        <f>COUNTIF(Eingabe[S4],HäufigsteErgebnisse[[#This Row],[Zahl]])</f>
        <v>0</v>
      </c>
      <c r="J332" s="2">
        <f>COUNTIF(Eingabe[S1],HäufigsteErgebnisse[[#This Row],[Zahl]])+COUNTIF(Eingabe[S2],HäufigsteErgebnisse[[#This Row],[Zahl]])+COUNTIF(Eingabe[S3],HäufigsteErgebnisse[[#This Row],[Zahl]])+COUNTIF(Eingabe[S4],HäufigsteErgebnisse[[#This Row],[Zahl]])</f>
        <v>0</v>
      </c>
      <c r="K332" s="2">
        <f>COUNTIF(Eingabe[GES],HäufigsteErgebnisse[[#This Row],[Zahl]])</f>
        <v>0</v>
      </c>
      <c r="L332" s="2">
        <f>HäufigsteErgebnisse[[#This Row],[Zahl]]</f>
        <v>274</v>
      </c>
    </row>
    <row r="333" spans="2:12" x14ac:dyDescent="0.3">
      <c r="B333" s="2">
        <v>275</v>
      </c>
      <c r="C333" s="2">
        <f>COUNTIF(Eingabe[Volle],HäufigsteErgebnisse[[#This Row],[Zahl]])</f>
        <v>2</v>
      </c>
      <c r="D333" s="2">
        <f>COUNTIF(Eingabe[Räumer],HäufigsteErgebnisse[[#This Row],[Zahl]])</f>
        <v>0</v>
      </c>
      <c r="E333" s="2">
        <f>COUNTIF(Eingabe[Fehler],HäufigsteErgebnisse[[#This Row],[Zahl]])</f>
        <v>0</v>
      </c>
      <c r="F333" s="2">
        <f>COUNTIF(Eingabe[S1],HäufigsteErgebnisse[[#This Row],[Zahl]])</f>
        <v>0</v>
      </c>
      <c r="G333" s="2">
        <f>COUNTIF(Eingabe[S2],HäufigsteErgebnisse[[#This Row],[Zahl]])</f>
        <v>0</v>
      </c>
      <c r="H333" s="2">
        <f>COUNTIF(Eingabe[S3],HäufigsteErgebnisse[[#This Row],[Zahl]])</f>
        <v>0</v>
      </c>
      <c r="I333" s="2">
        <f>COUNTIF(Eingabe[S4],HäufigsteErgebnisse[[#This Row],[Zahl]])</f>
        <v>0</v>
      </c>
      <c r="J333" s="2">
        <f>COUNTIF(Eingabe[S1],HäufigsteErgebnisse[[#This Row],[Zahl]])+COUNTIF(Eingabe[S2],HäufigsteErgebnisse[[#This Row],[Zahl]])+COUNTIF(Eingabe[S3],HäufigsteErgebnisse[[#This Row],[Zahl]])+COUNTIF(Eingabe[S4],HäufigsteErgebnisse[[#This Row],[Zahl]])</f>
        <v>0</v>
      </c>
      <c r="K333" s="2">
        <f>COUNTIF(Eingabe[GES],HäufigsteErgebnisse[[#This Row],[Zahl]])</f>
        <v>0</v>
      </c>
      <c r="L333" s="2">
        <f>HäufigsteErgebnisse[[#This Row],[Zahl]]</f>
        <v>275</v>
      </c>
    </row>
    <row r="334" spans="2:12" x14ac:dyDescent="0.3">
      <c r="B334" s="2">
        <v>276</v>
      </c>
      <c r="C334" s="2">
        <f>COUNTIF(Eingabe[Volle],HäufigsteErgebnisse[[#This Row],[Zahl]])</f>
        <v>0</v>
      </c>
      <c r="D334" s="2">
        <f>COUNTIF(Eingabe[Räumer],HäufigsteErgebnisse[[#This Row],[Zahl]])</f>
        <v>0</v>
      </c>
      <c r="E334" s="2">
        <f>COUNTIF(Eingabe[Fehler],HäufigsteErgebnisse[[#This Row],[Zahl]])</f>
        <v>0</v>
      </c>
      <c r="F334" s="2">
        <f>COUNTIF(Eingabe[S1],HäufigsteErgebnisse[[#This Row],[Zahl]])</f>
        <v>0</v>
      </c>
      <c r="G334" s="2">
        <f>COUNTIF(Eingabe[S2],HäufigsteErgebnisse[[#This Row],[Zahl]])</f>
        <v>0</v>
      </c>
      <c r="H334" s="2">
        <f>COUNTIF(Eingabe[S3],HäufigsteErgebnisse[[#This Row],[Zahl]])</f>
        <v>0</v>
      </c>
      <c r="I334" s="2">
        <f>COUNTIF(Eingabe[S4],HäufigsteErgebnisse[[#This Row],[Zahl]])</f>
        <v>0</v>
      </c>
      <c r="J334" s="2">
        <f>COUNTIF(Eingabe[S1],HäufigsteErgebnisse[[#This Row],[Zahl]])+COUNTIF(Eingabe[S2],HäufigsteErgebnisse[[#This Row],[Zahl]])+COUNTIF(Eingabe[S3],HäufigsteErgebnisse[[#This Row],[Zahl]])+COUNTIF(Eingabe[S4],HäufigsteErgebnisse[[#This Row],[Zahl]])</f>
        <v>0</v>
      </c>
      <c r="K334" s="2">
        <f>COUNTIF(Eingabe[GES],HäufigsteErgebnisse[[#This Row],[Zahl]])</f>
        <v>0</v>
      </c>
      <c r="L334" s="2">
        <f>HäufigsteErgebnisse[[#This Row],[Zahl]]</f>
        <v>276</v>
      </c>
    </row>
    <row r="335" spans="2:12" x14ac:dyDescent="0.3">
      <c r="B335" s="2">
        <v>277</v>
      </c>
      <c r="C335" s="2">
        <f>COUNTIF(Eingabe[Volle],HäufigsteErgebnisse[[#This Row],[Zahl]])</f>
        <v>0</v>
      </c>
      <c r="D335" s="2">
        <f>COUNTIF(Eingabe[Räumer],HäufigsteErgebnisse[[#This Row],[Zahl]])</f>
        <v>0</v>
      </c>
      <c r="E335" s="2">
        <f>COUNTIF(Eingabe[Fehler],HäufigsteErgebnisse[[#This Row],[Zahl]])</f>
        <v>0</v>
      </c>
      <c r="F335" s="2">
        <f>COUNTIF(Eingabe[S1],HäufigsteErgebnisse[[#This Row],[Zahl]])</f>
        <v>0</v>
      </c>
      <c r="G335" s="2">
        <f>COUNTIF(Eingabe[S2],HäufigsteErgebnisse[[#This Row],[Zahl]])</f>
        <v>0</v>
      </c>
      <c r="H335" s="2">
        <f>COUNTIF(Eingabe[S3],HäufigsteErgebnisse[[#This Row],[Zahl]])</f>
        <v>0</v>
      </c>
      <c r="I335" s="2">
        <f>COUNTIF(Eingabe[S4],HäufigsteErgebnisse[[#This Row],[Zahl]])</f>
        <v>0</v>
      </c>
      <c r="J335" s="2">
        <f>COUNTIF(Eingabe[S1],HäufigsteErgebnisse[[#This Row],[Zahl]])+COUNTIF(Eingabe[S2],HäufigsteErgebnisse[[#This Row],[Zahl]])+COUNTIF(Eingabe[S3],HäufigsteErgebnisse[[#This Row],[Zahl]])+COUNTIF(Eingabe[S4],HäufigsteErgebnisse[[#This Row],[Zahl]])</f>
        <v>0</v>
      </c>
      <c r="K335" s="2">
        <f>COUNTIF(Eingabe[GES],HäufigsteErgebnisse[[#This Row],[Zahl]])</f>
        <v>0</v>
      </c>
      <c r="L335" s="2">
        <f>HäufigsteErgebnisse[[#This Row],[Zahl]]</f>
        <v>277</v>
      </c>
    </row>
    <row r="336" spans="2:12" x14ac:dyDescent="0.3">
      <c r="B336" s="2">
        <v>278</v>
      </c>
      <c r="C336" s="2">
        <f>COUNTIF(Eingabe[Volle],HäufigsteErgebnisse[[#This Row],[Zahl]])</f>
        <v>1</v>
      </c>
      <c r="D336" s="2">
        <f>COUNTIF(Eingabe[Räumer],HäufigsteErgebnisse[[#This Row],[Zahl]])</f>
        <v>0</v>
      </c>
      <c r="E336" s="2">
        <f>COUNTIF(Eingabe[Fehler],HäufigsteErgebnisse[[#This Row],[Zahl]])</f>
        <v>0</v>
      </c>
      <c r="F336" s="2">
        <f>COUNTIF(Eingabe[S1],HäufigsteErgebnisse[[#This Row],[Zahl]])</f>
        <v>0</v>
      </c>
      <c r="G336" s="2">
        <f>COUNTIF(Eingabe[S2],HäufigsteErgebnisse[[#This Row],[Zahl]])</f>
        <v>0</v>
      </c>
      <c r="H336" s="2">
        <f>COUNTIF(Eingabe[S3],HäufigsteErgebnisse[[#This Row],[Zahl]])</f>
        <v>0</v>
      </c>
      <c r="I336" s="2">
        <f>COUNTIF(Eingabe[S4],HäufigsteErgebnisse[[#This Row],[Zahl]])</f>
        <v>0</v>
      </c>
      <c r="J336" s="2">
        <f>COUNTIF(Eingabe[S1],HäufigsteErgebnisse[[#This Row],[Zahl]])+COUNTIF(Eingabe[S2],HäufigsteErgebnisse[[#This Row],[Zahl]])+COUNTIF(Eingabe[S3],HäufigsteErgebnisse[[#This Row],[Zahl]])+COUNTIF(Eingabe[S4],HäufigsteErgebnisse[[#This Row],[Zahl]])</f>
        <v>0</v>
      </c>
      <c r="K336" s="2">
        <f>COUNTIF(Eingabe[GES],HäufigsteErgebnisse[[#This Row],[Zahl]])</f>
        <v>0</v>
      </c>
      <c r="L336" s="2">
        <f>HäufigsteErgebnisse[[#This Row],[Zahl]]</f>
        <v>278</v>
      </c>
    </row>
    <row r="337" spans="2:12" x14ac:dyDescent="0.3">
      <c r="B337" s="2">
        <v>279</v>
      </c>
      <c r="C337" s="2">
        <f>COUNTIF(Eingabe[Volle],HäufigsteErgebnisse[[#This Row],[Zahl]])</f>
        <v>0</v>
      </c>
      <c r="D337" s="2">
        <f>COUNTIF(Eingabe[Räumer],HäufigsteErgebnisse[[#This Row],[Zahl]])</f>
        <v>0</v>
      </c>
      <c r="E337" s="2">
        <f>COUNTIF(Eingabe[Fehler],HäufigsteErgebnisse[[#This Row],[Zahl]])</f>
        <v>0</v>
      </c>
      <c r="F337" s="2">
        <f>COUNTIF(Eingabe[S1],HäufigsteErgebnisse[[#This Row],[Zahl]])</f>
        <v>0</v>
      </c>
      <c r="G337" s="2">
        <f>COUNTIF(Eingabe[S2],HäufigsteErgebnisse[[#This Row],[Zahl]])</f>
        <v>0</v>
      </c>
      <c r="H337" s="2">
        <f>COUNTIF(Eingabe[S3],HäufigsteErgebnisse[[#This Row],[Zahl]])</f>
        <v>0</v>
      </c>
      <c r="I337" s="2">
        <f>COUNTIF(Eingabe[S4],HäufigsteErgebnisse[[#This Row],[Zahl]])</f>
        <v>0</v>
      </c>
      <c r="J337" s="2">
        <f>COUNTIF(Eingabe[S1],HäufigsteErgebnisse[[#This Row],[Zahl]])+COUNTIF(Eingabe[S2],HäufigsteErgebnisse[[#This Row],[Zahl]])+COUNTIF(Eingabe[S3],HäufigsteErgebnisse[[#This Row],[Zahl]])+COUNTIF(Eingabe[S4],HäufigsteErgebnisse[[#This Row],[Zahl]])</f>
        <v>0</v>
      </c>
      <c r="K337" s="2">
        <f>COUNTIF(Eingabe[GES],HäufigsteErgebnisse[[#This Row],[Zahl]])</f>
        <v>0</v>
      </c>
      <c r="L337" s="2">
        <f>HäufigsteErgebnisse[[#This Row],[Zahl]]</f>
        <v>279</v>
      </c>
    </row>
    <row r="338" spans="2:12" x14ac:dyDescent="0.3">
      <c r="B338" s="2">
        <v>280</v>
      </c>
      <c r="C338" s="2">
        <f>COUNTIF(Eingabe[Volle],HäufigsteErgebnisse[[#This Row],[Zahl]])</f>
        <v>1</v>
      </c>
      <c r="D338" s="2">
        <f>COUNTIF(Eingabe[Räumer],HäufigsteErgebnisse[[#This Row],[Zahl]])</f>
        <v>0</v>
      </c>
      <c r="E338" s="2">
        <f>COUNTIF(Eingabe[Fehler],HäufigsteErgebnisse[[#This Row],[Zahl]])</f>
        <v>0</v>
      </c>
      <c r="F338" s="2">
        <f>COUNTIF(Eingabe[S1],HäufigsteErgebnisse[[#This Row],[Zahl]])</f>
        <v>0</v>
      </c>
      <c r="G338" s="2">
        <f>COUNTIF(Eingabe[S2],HäufigsteErgebnisse[[#This Row],[Zahl]])</f>
        <v>0</v>
      </c>
      <c r="H338" s="2">
        <f>COUNTIF(Eingabe[S3],HäufigsteErgebnisse[[#This Row],[Zahl]])</f>
        <v>0</v>
      </c>
      <c r="I338" s="2">
        <f>COUNTIF(Eingabe[S4],HäufigsteErgebnisse[[#This Row],[Zahl]])</f>
        <v>0</v>
      </c>
      <c r="J338" s="2">
        <f>COUNTIF(Eingabe[S1],HäufigsteErgebnisse[[#This Row],[Zahl]])+COUNTIF(Eingabe[S2],HäufigsteErgebnisse[[#This Row],[Zahl]])+COUNTIF(Eingabe[S3],HäufigsteErgebnisse[[#This Row],[Zahl]])+COUNTIF(Eingabe[S4],HäufigsteErgebnisse[[#This Row],[Zahl]])</f>
        <v>0</v>
      </c>
      <c r="K338" s="2">
        <f>COUNTIF(Eingabe[GES],HäufigsteErgebnisse[[#This Row],[Zahl]])</f>
        <v>0</v>
      </c>
      <c r="L338" s="2">
        <f>HäufigsteErgebnisse[[#This Row],[Zahl]]</f>
        <v>280</v>
      </c>
    </row>
    <row r="339" spans="2:12" x14ac:dyDescent="0.3">
      <c r="B339" s="2">
        <v>281</v>
      </c>
      <c r="C339" s="2">
        <f>COUNTIF(Eingabe[Volle],HäufigsteErgebnisse[[#This Row],[Zahl]])</f>
        <v>1</v>
      </c>
      <c r="D339" s="2">
        <f>COUNTIF(Eingabe[Räumer],HäufigsteErgebnisse[[#This Row],[Zahl]])</f>
        <v>0</v>
      </c>
      <c r="E339" s="2">
        <f>COUNTIF(Eingabe[Fehler],HäufigsteErgebnisse[[#This Row],[Zahl]])</f>
        <v>0</v>
      </c>
      <c r="F339" s="2">
        <f>COUNTIF(Eingabe[S1],HäufigsteErgebnisse[[#This Row],[Zahl]])</f>
        <v>0</v>
      </c>
      <c r="G339" s="2">
        <f>COUNTIF(Eingabe[S2],HäufigsteErgebnisse[[#This Row],[Zahl]])</f>
        <v>0</v>
      </c>
      <c r="H339" s="2">
        <f>COUNTIF(Eingabe[S3],HäufigsteErgebnisse[[#This Row],[Zahl]])</f>
        <v>0</v>
      </c>
      <c r="I339" s="2">
        <f>COUNTIF(Eingabe[S4],HäufigsteErgebnisse[[#This Row],[Zahl]])</f>
        <v>0</v>
      </c>
      <c r="J339" s="2">
        <f>COUNTIF(Eingabe[S1],HäufigsteErgebnisse[[#This Row],[Zahl]])+COUNTIF(Eingabe[S2],HäufigsteErgebnisse[[#This Row],[Zahl]])+COUNTIF(Eingabe[S3],HäufigsteErgebnisse[[#This Row],[Zahl]])+COUNTIF(Eingabe[S4],HäufigsteErgebnisse[[#This Row],[Zahl]])</f>
        <v>0</v>
      </c>
      <c r="K339" s="2">
        <f>COUNTIF(Eingabe[GES],HäufigsteErgebnisse[[#This Row],[Zahl]])</f>
        <v>0</v>
      </c>
      <c r="L339" s="2">
        <f>HäufigsteErgebnisse[[#This Row],[Zahl]]</f>
        <v>281</v>
      </c>
    </row>
    <row r="340" spans="2:12" x14ac:dyDescent="0.3">
      <c r="B340" s="2">
        <v>282</v>
      </c>
      <c r="C340" s="2">
        <f>COUNTIF(Eingabe[Volle],HäufigsteErgebnisse[[#This Row],[Zahl]])</f>
        <v>4</v>
      </c>
      <c r="D340" s="2">
        <f>COUNTIF(Eingabe[Räumer],HäufigsteErgebnisse[[#This Row],[Zahl]])</f>
        <v>0</v>
      </c>
      <c r="E340" s="2">
        <f>COUNTIF(Eingabe[Fehler],HäufigsteErgebnisse[[#This Row],[Zahl]])</f>
        <v>0</v>
      </c>
      <c r="F340" s="2">
        <f>COUNTIF(Eingabe[S1],HäufigsteErgebnisse[[#This Row],[Zahl]])</f>
        <v>0</v>
      </c>
      <c r="G340" s="2">
        <f>COUNTIF(Eingabe[S2],HäufigsteErgebnisse[[#This Row],[Zahl]])</f>
        <v>0</v>
      </c>
      <c r="H340" s="2">
        <f>COUNTIF(Eingabe[S3],HäufigsteErgebnisse[[#This Row],[Zahl]])</f>
        <v>0</v>
      </c>
      <c r="I340" s="2">
        <f>COUNTIF(Eingabe[S4],HäufigsteErgebnisse[[#This Row],[Zahl]])</f>
        <v>0</v>
      </c>
      <c r="J340" s="2">
        <f>COUNTIF(Eingabe[S1],HäufigsteErgebnisse[[#This Row],[Zahl]])+COUNTIF(Eingabe[S2],HäufigsteErgebnisse[[#This Row],[Zahl]])+COUNTIF(Eingabe[S3],HäufigsteErgebnisse[[#This Row],[Zahl]])+COUNTIF(Eingabe[S4],HäufigsteErgebnisse[[#This Row],[Zahl]])</f>
        <v>0</v>
      </c>
      <c r="K340" s="2">
        <f>COUNTIF(Eingabe[GES],HäufigsteErgebnisse[[#This Row],[Zahl]])</f>
        <v>0</v>
      </c>
      <c r="L340" s="2">
        <f>HäufigsteErgebnisse[[#This Row],[Zahl]]</f>
        <v>282</v>
      </c>
    </row>
    <row r="341" spans="2:12" x14ac:dyDescent="0.3">
      <c r="B341" s="2">
        <v>283</v>
      </c>
      <c r="C341" s="2">
        <f>COUNTIF(Eingabe[Volle],HäufigsteErgebnisse[[#This Row],[Zahl]])</f>
        <v>0</v>
      </c>
      <c r="D341" s="2">
        <f>COUNTIF(Eingabe[Räumer],HäufigsteErgebnisse[[#This Row],[Zahl]])</f>
        <v>0</v>
      </c>
      <c r="E341" s="2">
        <f>COUNTIF(Eingabe[Fehler],HäufigsteErgebnisse[[#This Row],[Zahl]])</f>
        <v>0</v>
      </c>
      <c r="F341" s="2">
        <f>COUNTIF(Eingabe[S1],HäufigsteErgebnisse[[#This Row],[Zahl]])</f>
        <v>0</v>
      </c>
      <c r="G341" s="2">
        <f>COUNTIF(Eingabe[S2],HäufigsteErgebnisse[[#This Row],[Zahl]])</f>
        <v>0</v>
      </c>
      <c r="H341" s="2">
        <f>COUNTIF(Eingabe[S3],HäufigsteErgebnisse[[#This Row],[Zahl]])</f>
        <v>0</v>
      </c>
      <c r="I341" s="2">
        <f>COUNTIF(Eingabe[S4],HäufigsteErgebnisse[[#This Row],[Zahl]])</f>
        <v>0</v>
      </c>
      <c r="J341" s="2">
        <f>COUNTIF(Eingabe[S1],HäufigsteErgebnisse[[#This Row],[Zahl]])+COUNTIF(Eingabe[S2],HäufigsteErgebnisse[[#This Row],[Zahl]])+COUNTIF(Eingabe[S3],HäufigsteErgebnisse[[#This Row],[Zahl]])+COUNTIF(Eingabe[S4],HäufigsteErgebnisse[[#This Row],[Zahl]])</f>
        <v>0</v>
      </c>
      <c r="K341" s="2">
        <f>COUNTIF(Eingabe[GES],HäufigsteErgebnisse[[#This Row],[Zahl]])</f>
        <v>0</v>
      </c>
      <c r="L341" s="2">
        <f>HäufigsteErgebnisse[[#This Row],[Zahl]]</f>
        <v>283</v>
      </c>
    </row>
    <row r="342" spans="2:12" x14ac:dyDescent="0.3">
      <c r="B342" s="2">
        <v>284</v>
      </c>
      <c r="C342" s="2">
        <f>COUNTIF(Eingabe[Volle],HäufigsteErgebnisse[[#This Row],[Zahl]])</f>
        <v>1</v>
      </c>
      <c r="D342" s="2">
        <f>COUNTIF(Eingabe[Räumer],HäufigsteErgebnisse[[#This Row],[Zahl]])</f>
        <v>0</v>
      </c>
      <c r="E342" s="2">
        <f>COUNTIF(Eingabe[Fehler],HäufigsteErgebnisse[[#This Row],[Zahl]])</f>
        <v>0</v>
      </c>
      <c r="F342" s="2">
        <f>COUNTIF(Eingabe[S1],HäufigsteErgebnisse[[#This Row],[Zahl]])</f>
        <v>0</v>
      </c>
      <c r="G342" s="2">
        <f>COUNTIF(Eingabe[S2],HäufigsteErgebnisse[[#This Row],[Zahl]])</f>
        <v>0</v>
      </c>
      <c r="H342" s="2">
        <f>COUNTIF(Eingabe[S3],HäufigsteErgebnisse[[#This Row],[Zahl]])</f>
        <v>0</v>
      </c>
      <c r="I342" s="2">
        <f>COUNTIF(Eingabe[S4],HäufigsteErgebnisse[[#This Row],[Zahl]])</f>
        <v>0</v>
      </c>
      <c r="J342" s="2">
        <f>COUNTIF(Eingabe[S1],HäufigsteErgebnisse[[#This Row],[Zahl]])+COUNTIF(Eingabe[S2],HäufigsteErgebnisse[[#This Row],[Zahl]])+COUNTIF(Eingabe[S3],HäufigsteErgebnisse[[#This Row],[Zahl]])+COUNTIF(Eingabe[S4],HäufigsteErgebnisse[[#This Row],[Zahl]])</f>
        <v>0</v>
      </c>
      <c r="K342" s="2">
        <f>COUNTIF(Eingabe[GES],HäufigsteErgebnisse[[#This Row],[Zahl]])</f>
        <v>0</v>
      </c>
      <c r="L342" s="2">
        <f>HäufigsteErgebnisse[[#This Row],[Zahl]]</f>
        <v>284</v>
      </c>
    </row>
    <row r="343" spans="2:12" x14ac:dyDescent="0.3">
      <c r="B343" s="2">
        <v>285</v>
      </c>
      <c r="C343" s="2">
        <f>COUNTIF(Eingabe[Volle],HäufigsteErgebnisse[[#This Row],[Zahl]])</f>
        <v>1</v>
      </c>
      <c r="D343" s="2">
        <f>COUNTIF(Eingabe[Räumer],HäufigsteErgebnisse[[#This Row],[Zahl]])</f>
        <v>0</v>
      </c>
      <c r="E343" s="2">
        <f>COUNTIF(Eingabe[Fehler],HäufigsteErgebnisse[[#This Row],[Zahl]])</f>
        <v>0</v>
      </c>
      <c r="F343" s="2">
        <f>COUNTIF(Eingabe[S1],HäufigsteErgebnisse[[#This Row],[Zahl]])</f>
        <v>0</v>
      </c>
      <c r="G343" s="2">
        <f>COUNTIF(Eingabe[S2],HäufigsteErgebnisse[[#This Row],[Zahl]])</f>
        <v>0</v>
      </c>
      <c r="H343" s="2">
        <f>COUNTIF(Eingabe[S3],HäufigsteErgebnisse[[#This Row],[Zahl]])</f>
        <v>0</v>
      </c>
      <c r="I343" s="2">
        <f>COUNTIF(Eingabe[S4],HäufigsteErgebnisse[[#This Row],[Zahl]])</f>
        <v>0</v>
      </c>
      <c r="J343" s="2">
        <f>COUNTIF(Eingabe[S1],HäufigsteErgebnisse[[#This Row],[Zahl]])+COUNTIF(Eingabe[S2],HäufigsteErgebnisse[[#This Row],[Zahl]])+COUNTIF(Eingabe[S3],HäufigsteErgebnisse[[#This Row],[Zahl]])+COUNTIF(Eingabe[S4],HäufigsteErgebnisse[[#This Row],[Zahl]])</f>
        <v>0</v>
      </c>
      <c r="K343" s="2">
        <f>COUNTIF(Eingabe[GES],HäufigsteErgebnisse[[#This Row],[Zahl]])</f>
        <v>0</v>
      </c>
      <c r="L343" s="2">
        <f>HäufigsteErgebnisse[[#This Row],[Zahl]]</f>
        <v>285</v>
      </c>
    </row>
    <row r="344" spans="2:12" x14ac:dyDescent="0.3">
      <c r="B344" s="2">
        <v>286</v>
      </c>
      <c r="C344" s="2">
        <f>COUNTIF(Eingabe[Volle],HäufigsteErgebnisse[[#This Row],[Zahl]])</f>
        <v>0</v>
      </c>
      <c r="D344" s="2">
        <f>COUNTIF(Eingabe[Räumer],HäufigsteErgebnisse[[#This Row],[Zahl]])</f>
        <v>0</v>
      </c>
      <c r="E344" s="2">
        <f>COUNTIF(Eingabe[Fehler],HäufigsteErgebnisse[[#This Row],[Zahl]])</f>
        <v>0</v>
      </c>
      <c r="F344" s="2">
        <f>COUNTIF(Eingabe[S1],HäufigsteErgebnisse[[#This Row],[Zahl]])</f>
        <v>0</v>
      </c>
      <c r="G344" s="2">
        <f>COUNTIF(Eingabe[S2],HäufigsteErgebnisse[[#This Row],[Zahl]])</f>
        <v>0</v>
      </c>
      <c r="H344" s="2">
        <f>COUNTIF(Eingabe[S3],HäufigsteErgebnisse[[#This Row],[Zahl]])</f>
        <v>0</v>
      </c>
      <c r="I344" s="2">
        <f>COUNTIF(Eingabe[S4],HäufigsteErgebnisse[[#This Row],[Zahl]])</f>
        <v>0</v>
      </c>
      <c r="J344" s="2">
        <f>COUNTIF(Eingabe[S1],HäufigsteErgebnisse[[#This Row],[Zahl]])+COUNTIF(Eingabe[S2],HäufigsteErgebnisse[[#This Row],[Zahl]])+COUNTIF(Eingabe[S3],HäufigsteErgebnisse[[#This Row],[Zahl]])+COUNTIF(Eingabe[S4],HäufigsteErgebnisse[[#This Row],[Zahl]])</f>
        <v>0</v>
      </c>
      <c r="K344" s="2">
        <f>COUNTIF(Eingabe[GES],HäufigsteErgebnisse[[#This Row],[Zahl]])</f>
        <v>0</v>
      </c>
      <c r="L344" s="2">
        <f>HäufigsteErgebnisse[[#This Row],[Zahl]]</f>
        <v>286</v>
      </c>
    </row>
    <row r="345" spans="2:12" x14ac:dyDescent="0.3">
      <c r="B345" s="2">
        <v>287</v>
      </c>
      <c r="C345" s="2">
        <f>COUNTIF(Eingabe[Volle],HäufigsteErgebnisse[[#This Row],[Zahl]])</f>
        <v>1</v>
      </c>
      <c r="D345" s="2">
        <f>COUNTIF(Eingabe[Räumer],HäufigsteErgebnisse[[#This Row],[Zahl]])</f>
        <v>0</v>
      </c>
      <c r="E345" s="2">
        <f>COUNTIF(Eingabe[Fehler],HäufigsteErgebnisse[[#This Row],[Zahl]])</f>
        <v>0</v>
      </c>
      <c r="F345" s="2">
        <f>COUNTIF(Eingabe[S1],HäufigsteErgebnisse[[#This Row],[Zahl]])</f>
        <v>0</v>
      </c>
      <c r="G345" s="2">
        <f>COUNTIF(Eingabe[S2],HäufigsteErgebnisse[[#This Row],[Zahl]])</f>
        <v>0</v>
      </c>
      <c r="H345" s="2">
        <f>COUNTIF(Eingabe[S3],HäufigsteErgebnisse[[#This Row],[Zahl]])</f>
        <v>0</v>
      </c>
      <c r="I345" s="2">
        <f>COUNTIF(Eingabe[S4],HäufigsteErgebnisse[[#This Row],[Zahl]])</f>
        <v>0</v>
      </c>
      <c r="J345" s="2">
        <f>COUNTIF(Eingabe[S1],HäufigsteErgebnisse[[#This Row],[Zahl]])+COUNTIF(Eingabe[S2],HäufigsteErgebnisse[[#This Row],[Zahl]])+COUNTIF(Eingabe[S3],HäufigsteErgebnisse[[#This Row],[Zahl]])+COUNTIF(Eingabe[S4],HäufigsteErgebnisse[[#This Row],[Zahl]])</f>
        <v>0</v>
      </c>
      <c r="K345" s="2">
        <f>COUNTIF(Eingabe[GES],HäufigsteErgebnisse[[#This Row],[Zahl]])</f>
        <v>0</v>
      </c>
      <c r="L345" s="2">
        <f>HäufigsteErgebnisse[[#This Row],[Zahl]]</f>
        <v>287</v>
      </c>
    </row>
    <row r="346" spans="2:12" x14ac:dyDescent="0.3">
      <c r="B346" s="2">
        <v>288</v>
      </c>
      <c r="C346" s="2">
        <f>COUNTIF(Eingabe[Volle],HäufigsteErgebnisse[[#This Row],[Zahl]])</f>
        <v>1</v>
      </c>
      <c r="D346" s="2">
        <f>COUNTIF(Eingabe[Räumer],HäufigsteErgebnisse[[#This Row],[Zahl]])</f>
        <v>0</v>
      </c>
      <c r="E346" s="2">
        <f>COUNTIF(Eingabe[Fehler],HäufigsteErgebnisse[[#This Row],[Zahl]])</f>
        <v>0</v>
      </c>
      <c r="F346" s="2">
        <f>COUNTIF(Eingabe[S1],HäufigsteErgebnisse[[#This Row],[Zahl]])</f>
        <v>0</v>
      </c>
      <c r="G346" s="2">
        <f>COUNTIF(Eingabe[S2],HäufigsteErgebnisse[[#This Row],[Zahl]])</f>
        <v>0</v>
      </c>
      <c r="H346" s="2">
        <f>COUNTIF(Eingabe[S3],HäufigsteErgebnisse[[#This Row],[Zahl]])</f>
        <v>0</v>
      </c>
      <c r="I346" s="2">
        <f>COUNTIF(Eingabe[S4],HäufigsteErgebnisse[[#This Row],[Zahl]])</f>
        <v>0</v>
      </c>
      <c r="J346" s="2">
        <f>COUNTIF(Eingabe[S1],HäufigsteErgebnisse[[#This Row],[Zahl]])+COUNTIF(Eingabe[S2],HäufigsteErgebnisse[[#This Row],[Zahl]])+COUNTIF(Eingabe[S3],HäufigsteErgebnisse[[#This Row],[Zahl]])+COUNTIF(Eingabe[S4],HäufigsteErgebnisse[[#This Row],[Zahl]])</f>
        <v>0</v>
      </c>
      <c r="K346" s="2">
        <f>COUNTIF(Eingabe[GES],HäufigsteErgebnisse[[#This Row],[Zahl]])</f>
        <v>0</v>
      </c>
      <c r="L346" s="2">
        <f>HäufigsteErgebnisse[[#This Row],[Zahl]]</f>
        <v>288</v>
      </c>
    </row>
    <row r="347" spans="2:12" x14ac:dyDescent="0.3">
      <c r="B347" s="2">
        <v>289</v>
      </c>
      <c r="C347" s="2">
        <f>COUNTIF(Eingabe[Volle],HäufigsteErgebnisse[[#This Row],[Zahl]])</f>
        <v>0</v>
      </c>
      <c r="D347" s="2">
        <f>COUNTIF(Eingabe[Räumer],HäufigsteErgebnisse[[#This Row],[Zahl]])</f>
        <v>0</v>
      </c>
      <c r="E347" s="2">
        <f>COUNTIF(Eingabe[Fehler],HäufigsteErgebnisse[[#This Row],[Zahl]])</f>
        <v>0</v>
      </c>
      <c r="F347" s="2">
        <f>COUNTIF(Eingabe[S1],HäufigsteErgebnisse[[#This Row],[Zahl]])</f>
        <v>0</v>
      </c>
      <c r="G347" s="2">
        <f>COUNTIF(Eingabe[S2],HäufigsteErgebnisse[[#This Row],[Zahl]])</f>
        <v>0</v>
      </c>
      <c r="H347" s="2">
        <f>COUNTIF(Eingabe[S3],HäufigsteErgebnisse[[#This Row],[Zahl]])</f>
        <v>0</v>
      </c>
      <c r="I347" s="2">
        <f>COUNTIF(Eingabe[S4],HäufigsteErgebnisse[[#This Row],[Zahl]])</f>
        <v>0</v>
      </c>
      <c r="J347" s="2">
        <f>COUNTIF(Eingabe[S1],HäufigsteErgebnisse[[#This Row],[Zahl]])+COUNTIF(Eingabe[S2],HäufigsteErgebnisse[[#This Row],[Zahl]])+COUNTIF(Eingabe[S3],HäufigsteErgebnisse[[#This Row],[Zahl]])+COUNTIF(Eingabe[S4],HäufigsteErgebnisse[[#This Row],[Zahl]])</f>
        <v>0</v>
      </c>
      <c r="K347" s="2">
        <f>COUNTIF(Eingabe[GES],HäufigsteErgebnisse[[#This Row],[Zahl]])</f>
        <v>0</v>
      </c>
      <c r="L347" s="2">
        <f>HäufigsteErgebnisse[[#This Row],[Zahl]]</f>
        <v>289</v>
      </c>
    </row>
    <row r="348" spans="2:12" x14ac:dyDescent="0.3">
      <c r="B348" s="2">
        <v>290</v>
      </c>
      <c r="C348" s="2">
        <f>COUNTIF(Eingabe[Volle],HäufigsteErgebnisse[[#This Row],[Zahl]])</f>
        <v>0</v>
      </c>
      <c r="D348" s="2">
        <f>COUNTIF(Eingabe[Räumer],HäufigsteErgebnisse[[#This Row],[Zahl]])</f>
        <v>0</v>
      </c>
      <c r="E348" s="2">
        <f>COUNTIF(Eingabe[Fehler],HäufigsteErgebnisse[[#This Row],[Zahl]])</f>
        <v>0</v>
      </c>
      <c r="F348" s="2">
        <f>COUNTIF(Eingabe[S1],HäufigsteErgebnisse[[#This Row],[Zahl]])</f>
        <v>0</v>
      </c>
      <c r="G348" s="2">
        <f>COUNTIF(Eingabe[S2],HäufigsteErgebnisse[[#This Row],[Zahl]])</f>
        <v>0</v>
      </c>
      <c r="H348" s="2">
        <f>COUNTIF(Eingabe[S3],HäufigsteErgebnisse[[#This Row],[Zahl]])</f>
        <v>0</v>
      </c>
      <c r="I348" s="2">
        <f>COUNTIF(Eingabe[S4],HäufigsteErgebnisse[[#This Row],[Zahl]])</f>
        <v>0</v>
      </c>
      <c r="J348" s="2">
        <f>COUNTIF(Eingabe[S1],HäufigsteErgebnisse[[#This Row],[Zahl]])+COUNTIF(Eingabe[S2],HäufigsteErgebnisse[[#This Row],[Zahl]])+COUNTIF(Eingabe[S3],HäufigsteErgebnisse[[#This Row],[Zahl]])+COUNTIF(Eingabe[S4],HäufigsteErgebnisse[[#This Row],[Zahl]])</f>
        <v>0</v>
      </c>
      <c r="K348" s="2">
        <f>COUNTIF(Eingabe[GES],HäufigsteErgebnisse[[#This Row],[Zahl]])</f>
        <v>0</v>
      </c>
      <c r="L348" s="2">
        <f>HäufigsteErgebnisse[[#This Row],[Zahl]]</f>
        <v>290</v>
      </c>
    </row>
    <row r="349" spans="2:12" x14ac:dyDescent="0.3">
      <c r="B349" s="2">
        <v>291</v>
      </c>
      <c r="C349" s="2">
        <f>COUNTIF(Eingabe[Volle],HäufigsteErgebnisse[[#This Row],[Zahl]])</f>
        <v>0</v>
      </c>
      <c r="D349" s="2">
        <f>COUNTIF(Eingabe[Räumer],HäufigsteErgebnisse[[#This Row],[Zahl]])</f>
        <v>0</v>
      </c>
      <c r="E349" s="2">
        <f>COUNTIF(Eingabe[Fehler],HäufigsteErgebnisse[[#This Row],[Zahl]])</f>
        <v>0</v>
      </c>
      <c r="F349" s="2">
        <f>COUNTIF(Eingabe[S1],HäufigsteErgebnisse[[#This Row],[Zahl]])</f>
        <v>0</v>
      </c>
      <c r="G349" s="2">
        <f>COUNTIF(Eingabe[S2],HäufigsteErgebnisse[[#This Row],[Zahl]])</f>
        <v>0</v>
      </c>
      <c r="H349" s="2">
        <f>COUNTIF(Eingabe[S3],HäufigsteErgebnisse[[#This Row],[Zahl]])</f>
        <v>0</v>
      </c>
      <c r="I349" s="2">
        <f>COUNTIF(Eingabe[S4],HäufigsteErgebnisse[[#This Row],[Zahl]])</f>
        <v>0</v>
      </c>
      <c r="J349" s="2">
        <f>COUNTIF(Eingabe[S1],HäufigsteErgebnisse[[#This Row],[Zahl]])+COUNTIF(Eingabe[S2],HäufigsteErgebnisse[[#This Row],[Zahl]])+COUNTIF(Eingabe[S3],HäufigsteErgebnisse[[#This Row],[Zahl]])+COUNTIF(Eingabe[S4],HäufigsteErgebnisse[[#This Row],[Zahl]])</f>
        <v>0</v>
      </c>
      <c r="K349" s="2">
        <f>COUNTIF(Eingabe[GES],HäufigsteErgebnisse[[#This Row],[Zahl]])</f>
        <v>0</v>
      </c>
      <c r="L349" s="2">
        <f>HäufigsteErgebnisse[[#This Row],[Zahl]]</f>
        <v>291</v>
      </c>
    </row>
    <row r="350" spans="2:12" x14ac:dyDescent="0.3">
      <c r="B350" s="2">
        <v>292</v>
      </c>
      <c r="C350" s="2">
        <f>COUNTIF(Eingabe[Volle],HäufigsteErgebnisse[[#This Row],[Zahl]])</f>
        <v>0</v>
      </c>
      <c r="D350" s="2">
        <f>COUNTIF(Eingabe[Räumer],HäufigsteErgebnisse[[#This Row],[Zahl]])</f>
        <v>0</v>
      </c>
      <c r="E350" s="2">
        <f>COUNTIF(Eingabe[Fehler],HäufigsteErgebnisse[[#This Row],[Zahl]])</f>
        <v>0</v>
      </c>
      <c r="F350" s="2">
        <f>COUNTIF(Eingabe[S1],HäufigsteErgebnisse[[#This Row],[Zahl]])</f>
        <v>0</v>
      </c>
      <c r="G350" s="2">
        <f>COUNTIF(Eingabe[S2],HäufigsteErgebnisse[[#This Row],[Zahl]])</f>
        <v>0</v>
      </c>
      <c r="H350" s="2">
        <f>COUNTIF(Eingabe[S3],HäufigsteErgebnisse[[#This Row],[Zahl]])</f>
        <v>0</v>
      </c>
      <c r="I350" s="2">
        <f>COUNTIF(Eingabe[S4],HäufigsteErgebnisse[[#This Row],[Zahl]])</f>
        <v>0</v>
      </c>
      <c r="J350" s="2">
        <f>COUNTIF(Eingabe[S1],HäufigsteErgebnisse[[#This Row],[Zahl]])+COUNTIF(Eingabe[S2],HäufigsteErgebnisse[[#This Row],[Zahl]])+COUNTIF(Eingabe[S3],HäufigsteErgebnisse[[#This Row],[Zahl]])+COUNTIF(Eingabe[S4],HäufigsteErgebnisse[[#This Row],[Zahl]])</f>
        <v>0</v>
      </c>
      <c r="K350" s="2">
        <f>COUNTIF(Eingabe[GES],HäufigsteErgebnisse[[#This Row],[Zahl]])</f>
        <v>0</v>
      </c>
      <c r="L350" s="2">
        <f>HäufigsteErgebnisse[[#This Row],[Zahl]]</f>
        <v>292</v>
      </c>
    </row>
    <row r="351" spans="2:12" x14ac:dyDescent="0.3">
      <c r="B351" s="2">
        <v>293</v>
      </c>
      <c r="C351" s="2">
        <f>COUNTIF(Eingabe[Volle],HäufigsteErgebnisse[[#This Row],[Zahl]])</f>
        <v>0</v>
      </c>
      <c r="D351" s="2">
        <f>COUNTIF(Eingabe[Räumer],HäufigsteErgebnisse[[#This Row],[Zahl]])</f>
        <v>0</v>
      </c>
      <c r="E351" s="2">
        <f>COUNTIF(Eingabe[Fehler],HäufigsteErgebnisse[[#This Row],[Zahl]])</f>
        <v>0</v>
      </c>
      <c r="F351" s="2">
        <f>COUNTIF(Eingabe[S1],HäufigsteErgebnisse[[#This Row],[Zahl]])</f>
        <v>0</v>
      </c>
      <c r="G351" s="2">
        <f>COUNTIF(Eingabe[S2],HäufigsteErgebnisse[[#This Row],[Zahl]])</f>
        <v>0</v>
      </c>
      <c r="H351" s="2">
        <f>COUNTIF(Eingabe[S3],HäufigsteErgebnisse[[#This Row],[Zahl]])</f>
        <v>0</v>
      </c>
      <c r="I351" s="2">
        <f>COUNTIF(Eingabe[S4],HäufigsteErgebnisse[[#This Row],[Zahl]])</f>
        <v>0</v>
      </c>
      <c r="J351" s="2">
        <f>COUNTIF(Eingabe[S1],HäufigsteErgebnisse[[#This Row],[Zahl]])+COUNTIF(Eingabe[S2],HäufigsteErgebnisse[[#This Row],[Zahl]])+COUNTIF(Eingabe[S3],HäufigsteErgebnisse[[#This Row],[Zahl]])+COUNTIF(Eingabe[S4],HäufigsteErgebnisse[[#This Row],[Zahl]])</f>
        <v>0</v>
      </c>
      <c r="K351" s="2">
        <f>COUNTIF(Eingabe[GES],HäufigsteErgebnisse[[#This Row],[Zahl]])</f>
        <v>0</v>
      </c>
      <c r="L351" s="2">
        <f>HäufigsteErgebnisse[[#This Row],[Zahl]]</f>
        <v>293</v>
      </c>
    </row>
    <row r="352" spans="2:12" x14ac:dyDescent="0.3">
      <c r="B352" s="2">
        <v>294</v>
      </c>
      <c r="C352" s="2">
        <f>COUNTIF(Eingabe[Volle],HäufigsteErgebnisse[[#This Row],[Zahl]])</f>
        <v>0</v>
      </c>
      <c r="D352" s="2">
        <f>COUNTIF(Eingabe[Räumer],HäufigsteErgebnisse[[#This Row],[Zahl]])</f>
        <v>0</v>
      </c>
      <c r="E352" s="2">
        <f>COUNTIF(Eingabe[Fehler],HäufigsteErgebnisse[[#This Row],[Zahl]])</f>
        <v>0</v>
      </c>
      <c r="F352" s="2">
        <f>COUNTIF(Eingabe[S1],HäufigsteErgebnisse[[#This Row],[Zahl]])</f>
        <v>0</v>
      </c>
      <c r="G352" s="2">
        <f>COUNTIF(Eingabe[S2],HäufigsteErgebnisse[[#This Row],[Zahl]])</f>
        <v>0</v>
      </c>
      <c r="H352" s="2">
        <f>COUNTIF(Eingabe[S3],HäufigsteErgebnisse[[#This Row],[Zahl]])</f>
        <v>0</v>
      </c>
      <c r="I352" s="2">
        <f>COUNTIF(Eingabe[S4],HäufigsteErgebnisse[[#This Row],[Zahl]])</f>
        <v>0</v>
      </c>
      <c r="J352" s="2">
        <f>COUNTIF(Eingabe[S1],HäufigsteErgebnisse[[#This Row],[Zahl]])+COUNTIF(Eingabe[S2],HäufigsteErgebnisse[[#This Row],[Zahl]])+COUNTIF(Eingabe[S3],HäufigsteErgebnisse[[#This Row],[Zahl]])+COUNTIF(Eingabe[S4],HäufigsteErgebnisse[[#This Row],[Zahl]])</f>
        <v>0</v>
      </c>
      <c r="K352" s="2">
        <f>COUNTIF(Eingabe[GES],HäufigsteErgebnisse[[#This Row],[Zahl]])</f>
        <v>0</v>
      </c>
      <c r="L352" s="2">
        <f>HäufigsteErgebnisse[[#This Row],[Zahl]]</f>
        <v>294</v>
      </c>
    </row>
    <row r="353" spans="2:12" x14ac:dyDescent="0.3">
      <c r="B353" s="2">
        <v>295</v>
      </c>
      <c r="C353" s="2">
        <f>COUNTIF(Eingabe[Volle],HäufigsteErgebnisse[[#This Row],[Zahl]])</f>
        <v>0</v>
      </c>
      <c r="D353" s="2">
        <f>COUNTIF(Eingabe[Räumer],HäufigsteErgebnisse[[#This Row],[Zahl]])</f>
        <v>0</v>
      </c>
      <c r="E353" s="2">
        <f>COUNTIF(Eingabe[Fehler],HäufigsteErgebnisse[[#This Row],[Zahl]])</f>
        <v>0</v>
      </c>
      <c r="F353" s="2">
        <f>COUNTIF(Eingabe[S1],HäufigsteErgebnisse[[#This Row],[Zahl]])</f>
        <v>0</v>
      </c>
      <c r="G353" s="2">
        <f>COUNTIF(Eingabe[S2],HäufigsteErgebnisse[[#This Row],[Zahl]])</f>
        <v>0</v>
      </c>
      <c r="H353" s="2">
        <f>COUNTIF(Eingabe[S3],HäufigsteErgebnisse[[#This Row],[Zahl]])</f>
        <v>0</v>
      </c>
      <c r="I353" s="2">
        <f>COUNTIF(Eingabe[S4],HäufigsteErgebnisse[[#This Row],[Zahl]])</f>
        <v>0</v>
      </c>
      <c r="J353" s="2">
        <f>COUNTIF(Eingabe[S1],HäufigsteErgebnisse[[#This Row],[Zahl]])+COUNTIF(Eingabe[S2],HäufigsteErgebnisse[[#This Row],[Zahl]])+COUNTIF(Eingabe[S3],HäufigsteErgebnisse[[#This Row],[Zahl]])+COUNTIF(Eingabe[S4],HäufigsteErgebnisse[[#This Row],[Zahl]])</f>
        <v>0</v>
      </c>
      <c r="K353" s="2">
        <f>COUNTIF(Eingabe[GES],HäufigsteErgebnisse[[#This Row],[Zahl]])</f>
        <v>0</v>
      </c>
      <c r="L353" s="2">
        <f>HäufigsteErgebnisse[[#This Row],[Zahl]]</f>
        <v>295</v>
      </c>
    </row>
    <row r="354" spans="2:12" x14ac:dyDescent="0.3">
      <c r="B354" s="2">
        <v>296</v>
      </c>
      <c r="C354" s="2">
        <f>COUNTIF(Eingabe[Volle],HäufigsteErgebnisse[[#This Row],[Zahl]])</f>
        <v>0</v>
      </c>
      <c r="D354" s="2">
        <f>COUNTIF(Eingabe[Räumer],HäufigsteErgebnisse[[#This Row],[Zahl]])</f>
        <v>0</v>
      </c>
      <c r="E354" s="2">
        <f>COUNTIF(Eingabe[Fehler],HäufigsteErgebnisse[[#This Row],[Zahl]])</f>
        <v>0</v>
      </c>
      <c r="F354" s="2">
        <f>COUNTIF(Eingabe[S1],HäufigsteErgebnisse[[#This Row],[Zahl]])</f>
        <v>0</v>
      </c>
      <c r="G354" s="2">
        <f>COUNTIF(Eingabe[S2],HäufigsteErgebnisse[[#This Row],[Zahl]])</f>
        <v>0</v>
      </c>
      <c r="H354" s="2">
        <f>COUNTIF(Eingabe[S3],HäufigsteErgebnisse[[#This Row],[Zahl]])</f>
        <v>0</v>
      </c>
      <c r="I354" s="2">
        <f>COUNTIF(Eingabe[S4],HäufigsteErgebnisse[[#This Row],[Zahl]])</f>
        <v>0</v>
      </c>
      <c r="J354" s="2">
        <f>COUNTIF(Eingabe[S1],HäufigsteErgebnisse[[#This Row],[Zahl]])+COUNTIF(Eingabe[S2],HäufigsteErgebnisse[[#This Row],[Zahl]])+COUNTIF(Eingabe[S3],HäufigsteErgebnisse[[#This Row],[Zahl]])+COUNTIF(Eingabe[S4],HäufigsteErgebnisse[[#This Row],[Zahl]])</f>
        <v>0</v>
      </c>
      <c r="K354" s="2">
        <f>COUNTIF(Eingabe[GES],HäufigsteErgebnisse[[#This Row],[Zahl]])</f>
        <v>0</v>
      </c>
      <c r="L354" s="2">
        <f>HäufigsteErgebnisse[[#This Row],[Zahl]]</f>
        <v>296</v>
      </c>
    </row>
    <row r="355" spans="2:12" x14ac:dyDescent="0.3">
      <c r="B355" s="2">
        <v>297</v>
      </c>
      <c r="C355" s="2">
        <f>COUNTIF(Eingabe[Volle],HäufigsteErgebnisse[[#This Row],[Zahl]])</f>
        <v>1</v>
      </c>
      <c r="D355" s="2">
        <f>COUNTIF(Eingabe[Räumer],HäufigsteErgebnisse[[#This Row],[Zahl]])</f>
        <v>0</v>
      </c>
      <c r="E355" s="2">
        <f>COUNTIF(Eingabe[Fehler],HäufigsteErgebnisse[[#This Row],[Zahl]])</f>
        <v>0</v>
      </c>
      <c r="F355" s="2">
        <f>COUNTIF(Eingabe[S1],HäufigsteErgebnisse[[#This Row],[Zahl]])</f>
        <v>0</v>
      </c>
      <c r="G355" s="2">
        <f>COUNTIF(Eingabe[S2],HäufigsteErgebnisse[[#This Row],[Zahl]])</f>
        <v>0</v>
      </c>
      <c r="H355" s="2">
        <f>COUNTIF(Eingabe[S3],HäufigsteErgebnisse[[#This Row],[Zahl]])</f>
        <v>0</v>
      </c>
      <c r="I355" s="2">
        <f>COUNTIF(Eingabe[S4],HäufigsteErgebnisse[[#This Row],[Zahl]])</f>
        <v>0</v>
      </c>
      <c r="J355" s="2">
        <f>COUNTIF(Eingabe[S1],HäufigsteErgebnisse[[#This Row],[Zahl]])+COUNTIF(Eingabe[S2],HäufigsteErgebnisse[[#This Row],[Zahl]])+COUNTIF(Eingabe[S3],HäufigsteErgebnisse[[#This Row],[Zahl]])+COUNTIF(Eingabe[S4],HäufigsteErgebnisse[[#This Row],[Zahl]])</f>
        <v>0</v>
      </c>
      <c r="K355" s="2">
        <f>COUNTIF(Eingabe[GES],HäufigsteErgebnisse[[#This Row],[Zahl]])</f>
        <v>0</v>
      </c>
      <c r="L355" s="2">
        <f>HäufigsteErgebnisse[[#This Row],[Zahl]]</f>
        <v>297</v>
      </c>
    </row>
    <row r="356" spans="2:12" x14ac:dyDescent="0.3">
      <c r="B356" s="2">
        <v>298</v>
      </c>
      <c r="C356" s="2">
        <f>COUNTIF(Eingabe[Volle],HäufigsteErgebnisse[[#This Row],[Zahl]])</f>
        <v>0</v>
      </c>
      <c r="D356" s="2">
        <f>COUNTIF(Eingabe[Räumer],HäufigsteErgebnisse[[#This Row],[Zahl]])</f>
        <v>0</v>
      </c>
      <c r="E356" s="2">
        <f>COUNTIF(Eingabe[Fehler],HäufigsteErgebnisse[[#This Row],[Zahl]])</f>
        <v>0</v>
      </c>
      <c r="F356" s="2">
        <f>COUNTIF(Eingabe[S1],HäufigsteErgebnisse[[#This Row],[Zahl]])</f>
        <v>0</v>
      </c>
      <c r="G356" s="2">
        <f>COUNTIF(Eingabe[S2],HäufigsteErgebnisse[[#This Row],[Zahl]])</f>
        <v>0</v>
      </c>
      <c r="H356" s="2">
        <f>COUNTIF(Eingabe[S3],HäufigsteErgebnisse[[#This Row],[Zahl]])</f>
        <v>0</v>
      </c>
      <c r="I356" s="2">
        <f>COUNTIF(Eingabe[S4],HäufigsteErgebnisse[[#This Row],[Zahl]])</f>
        <v>0</v>
      </c>
      <c r="J356" s="2">
        <f>COUNTIF(Eingabe[S1],HäufigsteErgebnisse[[#This Row],[Zahl]])+COUNTIF(Eingabe[S2],HäufigsteErgebnisse[[#This Row],[Zahl]])+COUNTIF(Eingabe[S3],HäufigsteErgebnisse[[#This Row],[Zahl]])+COUNTIF(Eingabe[S4],HäufigsteErgebnisse[[#This Row],[Zahl]])</f>
        <v>0</v>
      </c>
      <c r="K356" s="2">
        <f>COUNTIF(Eingabe[GES],HäufigsteErgebnisse[[#This Row],[Zahl]])</f>
        <v>0</v>
      </c>
      <c r="L356" s="2">
        <f>HäufigsteErgebnisse[[#This Row],[Zahl]]</f>
        <v>298</v>
      </c>
    </row>
    <row r="357" spans="2:12" x14ac:dyDescent="0.3">
      <c r="B357" s="2">
        <v>299</v>
      </c>
      <c r="C357" s="2">
        <f>COUNTIF(Eingabe[Volle],HäufigsteErgebnisse[[#This Row],[Zahl]])</f>
        <v>0</v>
      </c>
      <c r="D357" s="2">
        <f>COUNTIF(Eingabe[Räumer],HäufigsteErgebnisse[[#This Row],[Zahl]])</f>
        <v>0</v>
      </c>
      <c r="E357" s="2">
        <f>COUNTIF(Eingabe[Fehler],HäufigsteErgebnisse[[#This Row],[Zahl]])</f>
        <v>0</v>
      </c>
      <c r="F357" s="2">
        <f>COUNTIF(Eingabe[S1],HäufigsteErgebnisse[[#This Row],[Zahl]])</f>
        <v>0</v>
      </c>
      <c r="G357" s="2">
        <f>COUNTIF(Eingabe[S2],HäufigsteErgebnisse[[#This Row],[Zahl]])</f>
        <v>0</v>
      </c>
      <c r="H357" s="2">
        <f>COUNTIF(Eingabe[S3],HäufigsteErgebnisse[[#This Row],[Zahl]])</f>
        <v>0</v>
      </c>
      <c r="I357" s="2">
        <f>COUNTIF(Eingabe[S4],HäufigsteErgebnisse[[#This Row],[Zahl]])</f>
        <v>0</v>
      </c>
      <c r="J357" s="2">
        <f>COUNTIF(Eingabe[S1],HäufigsteErgebnisse[[#This Row],[Zahl]])+COUNTIF(Eingabe[S2],HäufigsteErgebnisse[[#This Row],[Zahl]])+COUNTIF(Eingabe[S3],HäufigsteErgebnisse[[#This Row],[Zahl]])+COUNTIF(Eingabe[S4],HäufigsteErgebnisse[[#This Row],[Zahl]])</f>
        <v>0</v>
      </c>
      <c r="K357" s="2">
        <f>COUNTIF(Eingabe[GES],HäufigsteErgebnisse[[#This Row],[Zahl]])</f>
        <v>1</v>
      </c>
      <c r="L357" s="2">
        <f>HäufigsteErgebnisse[[#This Row],[Zahl]]</f>
        <v>299</v>
      </c>
    </row>
    <row r="358" spans="2:12" x14ac:dyDescent="0.3">
      <c r="B358" s="2">
        <v>300</v>
      </c>
      <c r="C358" s="2">
        <f>COUNTIF(Eingabe[Volle],HäufigsteErgebnisse[[#This Row],[Zahl]])</f>
        <v>0</v>
      </c>
      <c r="D358" s="2">
        <f>COUNTIF(Eingabe[Räumer],HäufigsteErgebnisse[[#This Row],[Zahl]])</f>
        <v>0</v>
      </c>
      <c r="E358" s="2">
        <f>COUNTIF(Eingabe[Fehler],HäufigsteErgebnisse[[#This Row],[Zahl]])</f>
        <v>0</v>
      </c>
      <c r="F358" s="2">
        <f>COUNTIF(Eingabe[S1],HäufigsteErgebnisse[[#This Row],[Zahl]])</f>
        <v>0</v>
      </c>
      <c r="G358" s="2">
        <f>COUNTIF(Eingabe[S2],HäufigsteErgebnisse[[#This Row],[Zahl]])</f>
        <v>0</v>
      </c>
      <c r="H358" s="2">
        <f>COUNTIF(Eingabe[S3],HäufigsteErgebnisse[[#This Row],[Zahl]])</f>
        <v>0</v>
      </c>
      <c r="I358" s="2">
        <f>COUNTIF(Eingabe[S4],HäufigsteErgebnisse[[#This Row],[Zahl]])</f>
        <v>0</v>
      </c>
      <c r="J358" s="2">
        <f>COUNTIF(Eingabe[S1],HäufigsteErgebnisse[[#This Row],[Zahl]])+COUNTIF(Eingabe[S2],HäufigsteErgebnisse[[#This Row],[Zahl]])+COUNTIF(Eingabe[S3],HäufigsteErgebnisse[[#This Row],[Zahl]])+COUNTIF(Eingabe[S4],HäufigsteErgebnisse[[#This Row],[Zahl]])</f>
        <v>0</v>
      </c>
      <c r="K358" s="2">
        <f>COUNTIF(Eingabe[GES],HäufigsteErgebnisse[[#This Row],[Zahl]])</f>
        <v>0</v>
      </c>
      <c r="L358" s="2">
        <f>HäufigsteErgebnisse[[#This Row],[Zahl]]</f>
        <v>300</v>
      </c>
    </row>
    <row r="359" spans="2:12" x14ac:dyDescent="0.3">
      <c r="B359" s="2">
        <v>301</v>
      </c>
      <c r="C359" s="2">
        <f>COUNTIF(Eingabe[Volle],HäufigsteErgebnisse[[#This Row],[Zahl]])</f>
        <v>1</v>
      </c>
      <c r="D359" s="2">
        <f>COUNTIF(Eingabe[Räumer],HäufigsteErgebnisse[[#This Row],[Zahl]])</f>
        <v>0</v>
      </c>
      <c r="E359" s="2">
        <f>COUNTIF(Eingabe[Fehler],HäufigsteErgebnisse[[#This Row],[Zahl]])</f>
        <v>0</v>
      </c>
      <c r="F359" s="2">
        <f>COUNTIF(Eingabe[S1],HäufigsteErgebnisse[[#This Row],[Zahl]])</f>
        <v>0</v>
      </c>
      <c r="G359" s="2">
        <f>COUNTIF(Eingabe[S2],HäufigsteErgebnisse[[#This Row],[Zahl]])</f>
        <v>0</v>
      </c>
      <c r="H359" s="2">
        <f>COUNTIF(Eingabe[S3],HäufigsteErgebnisse[[#This Row],[Zahl]])</f>
        <v>0</v>
      </c>
      <c r="I359" s="2">
        <f>COUNTIF(Eingabe[S4],HäufigsteErgebnisse[[#This Row],[Zahl]])</f>
        <v>0</v>
      </c>
      <c r="J359" s="2">
        <f>COUNTIF(Eingabe[S1],HäufigsteErgebnisse[[#This Row],[Zahl]])+COUNTIF(Eingabe[S2],HäufigsteErgebnisse[[#This Row],[Zahl]])+COUNTIF(Eingabe[S3],HäufigsteErgebnisse[[#This Row],[Zahl]])+COUNTIF(Eingabe[S4],HäufigsteErgebnisse[[#This Row],[Zahl]])</f>
        <v>0</v>
      </c>
      <c r="K359" s="2">
        <f>COUNTIF(Eingabe[GES],HäufigsteErgebnisse[[#This Row],[Zahl]])</f>
        <v>0</v>
      </c>
      <c r="L359" s="2">
        <f>HäufigsteErgebnisse[[#This Row],[Zahl]]</f>
        <v>301</v>
      </c>
    </row>
    <row r="360" spans="2:12" x14ac:dyDescent="0.3">
      <c r="B360" s="2">
        <v>302</v>
      </c>
      <c r="C360" s="2">
        <f>COUNTIF(Eingabe[Volle],HäufigsteErgebnisse[[#This Row],[Zahl]])</f>
        <v>0</v>
      </c>
      <c r="D360" s="2">
        <f>COUNTIF(Eingabe[Räumer],HäufigsteErgebnisse[[#This Row],[Zahl]])</f>
        <v>0</v>
      </c>
      <c r="E360" s="2">
        <f>COUNTIF(Eingabe[Fehler],HäufigsteErgebnisse[[#This Row],[Zahl]])</f>
        <v>0</v>
      </c>
      <c r="F360" s="2">
        <f>COUNTIF(Eingabe[S1],HäufigsteErgebnisse[[#This Row],[Zahl]])</f>
        <v>0</v>
      </c>
      <c r="G360" s="2">
        <f>COUNTIF(Eingabe[S2],HäufigsteErgebnisse[[#This Row],[Zahl]])</f>
        <v>0</v>
      </c>
      <c r="H360" s="2">
        <f>COUNTIF(Eingabe[S3],HäufigsteErgebnisse[[#This Row],[Zahl]])</f>
        <v>0</v>
      </c>
      <c r="I360" s="2">
        <f>COUNTIF(Eingabe[S4],HäufigsteErgebnisse[[#This Row],[Zahl]])</f>
        <v>0</v>
      </c>
      <c r="J360" s="2">
        <f>COUNTIF(Eingabe[S1],HäufigsteErgebnisse[[#This Row],[Zahl]])+COUNTIF(Eingabe[S2],HäufigsteErgebnisse[[#This Row],[Zahl]])+COUNTIF(Eingabe[S3],HäufigsteErgebnisse[[#This Row],[Zahl]])+COUNTIF(Eingabe[S4],HäufigsteErgebnisse[[#This Row],[Zahl]])</f>
        <v>0</v>
      </c>
      <c r="K360" s="2">
        <f>COUNTIF(Eingabe[GES],HäufigsteErgebnisse[[#This Row],[Zahl]])</f>
        <v>0</v>
      </c>
      <c r="L360" s="2">
        <f>HäufigsteErgebnisse[[#This Row],[Zahl]]</f>
        <v>302</v>
      </c>
    </row>
    <row r="361" spans="2:12" x14ac:dyDescent="0.3">
      <c r="B361" s="2">
        <v>303</v>
      </c>
      <c r="C361" s="2">
        <f>COUNTIF(Eingabe[Volle],HäufigsteErgebnisse[[#This Row],[Zahl]])</f>
        <v>0</v>
      </c>
      <c r="D361" s="2">
        <f>COUNTIF(Eingabe[Räumer],HäufigsteErgebnisse[[#This Row],[Zahl]])</f>
        <v>0</v>
      </c>
      <c r="E361" s="2">
        <f>COUNTIF(Eingabe[Fehler],HäufigsteErgebnisse[[#This Row],[Zahl]])</f>
        <v>0</v>
      </c>
      <c r="F361" s="2">
        <f>COUNTIF(Eingabe[S1],HäufigsteErgebnisse[[#This Row],[Zahl]])</f>
        <v>0</v>
      </c>
      <c r="G361" s="2">
        <f>COUNTIF(Eingabe[S2],HäufigsteErgebnisse[[#This Row],[Zahl]])</f>
        <v>0</v>
      </c>
      <c r="H361" s="2">
        <f>COUNTIF(Eingabe[S3],HäufigsteErgebnisse[[#This Row],[Zahl]])</f>
        <v>0</v>
      </c>
      <c r="I361" s="2">
        <f>COUNTIF(Eingabe[S4],HäufigsteErgebnisse[[#This Row],[Zahl]])</f>
        <v>0</v>
      </c>
      <c r="J361" s="2">
        <f>COUNTIF(Eingabe[S1],HäufigsteErgebnisse[[#This Row],[Zahl]])+COUNTIF(Eingabe[S2],HäufigsteErgebnisse[[#This Row],[Zahl]])+COUNTIF(Eingabe[S3],HäufigsteErgebnisse[[#This Row],[Zahl]])+COUNTIF(Eingabe[S4],HäufigsteErgebnisse[[#This Row],[Zahl]])</f>
        <v>0</v>
      </c>
      <c r="K361" s="2">
        <f>COUNTIF(Eingabe[GES],HäufigsteErgebnisse[[#This Row],[Zahl]])</f>
        <v>0</v>
      </c>
      <c r="L361" s="2">
        <f>HäufigsteErgebnisse[[#This Row],[Zahl]]</f>
        <v>303</v>
      </c>
    </row>
    <row r="362" spans="2:12" x14ac:dyDescent="0.3">
      <c r="B362" s="2">
        <v>304</v>
      </c>
      <c r="C362" s="2">
        <f>COUNTIF(Eingabe[Volle],HäufigsteErgebnisse[[#This Row],[Zahl]])</f>
        <v>0</v>
      </c>
      <c r="D362" s="2">
        <f>COUNTIF(Eingabe[Räumer],HäufigsteErgebnisse[[#This Row],[Zahl]])</f>
        <v>0</v>
      </c>
      <c r="E362" s="2">
        <f>COUNTIF(Eingabe[Fehler],HäufigsteErgebnisse[[#This Row],[Zahl]])</f>
        <v>0</v>
      </c>
      <c r="F362" s="2">
        <f>COUNTIF(Eingabe[S1],HäufigsteErgebnisse[[#This Row],[Zahl]])</f>
        <v>0</v>
      </c>
      <c r="G362" s="2">
        <f>COUNTIF(Eingabe[S2],HäufigsteErgebnisse[[#This Row],[Zahl]])</f>
        <v>0</v>
      </c>
      <c r="H362" s="2">
        <f>COUNTIF(Eingabe[S3],HäufigsteErgebnisse[[#This Row],[Zahl]])</f>
        <v>0</v>
      </c>
      <c r="I362" s="2">
        <f>COUNTIF(Eingabe[S4],HäufigsteErgebnisse[[#This Row],[Zahl]])</f>
        <v>0</v>
      </c>
      <c r="J362" s="2">
        <f>COUNTIF(Eingabe[S1],HäufigsteErgebnisse[[#This Row],[Zahl]])+COUNTIF(Eingabe[S2],HäufigsteErgebnisse[[#This Row],[Zahl]])+COUNTIF(Eingabe[S3],HäufigsteErgebnisse[[#This Row],[Zahl]])+COUNTIF(Eingabe[S4],HäufigsteErgebnisse[[#This Row],[Zahl]])</f>
        <v>0</v>
      </c>
      <c r="K362" s="2">
        <f>COUNTIF(Eingabe[GES],HäufigsteErgebnisse[[#This Row],[Zahl]])</f>
        <v>0</v>
      </c>
      <c r="L362" s="2">
        <f>HäufigsteErgebnisse[[#This Row],[Zahl]]</f>
        <v>304</v>
      </c>
    </row>
    <row r="363" spans="2:12" x14ac:dyDescent="0.3">
      <c r="B363" s="2">
        <v>305</v>
      </c>
      <c r="C363" s="2">
        <f>COUNTIF(Eingabe[Volle],HäufigsteErgebnisse[[#This Row],[Zahl]])</f>
        <v>1</v>
      </c>
      <c r="D363" s="2">
        <f>COUNTIF(Eingabe[Räumer],HäufigsteErgebnisse[[#This Row],[Zahl]])</f>
        <v>0</v>
      </c>
      <c r="E363" s="2">
        <f>COUNTIF(Eingabe[Fehler],HäufigsteErgebnisse[[#This Row],[Zahl]])</f>
        <v>0</v>
      </c>
      <c r="F363" s="2">
        <f>COUNTIF(Eingabe[S1],HäufigsteErgebnisse[[#This Row],[Zahl]])</f>
        <v>0</v>
      </c>
      <c r="G363" s="2">
        <f>COUNTIF(Eingabe[S2],HäufigsteErgebnisse[[#This Row],[Zahl]])</f>
        <v>0</v>
      </c>
      <c r="H363" s="2">
        <f>COUNTIF(Eingabe[S3],HäufigsteErgebnisse[[#This Row],[Zahl]])</f>
        <v>0</v>
      </c>
      <c r="I363" s="2">
        <f>COUNTIF(Eingabe[S4],HäufigsteErgebnisse[[#This Row],[Zahl]])</f>
        <v>0</v>
      </c>
      <c r="J363" s="2">
        <f>COUNTIF(Eingabe[S1],HäufigsteErgebnisse[[#This Row],[Zahl]])+COUNTIF(Eingabe[S2],HäufigsteErgebnisse[[#This Row],[Zahl]])+COUNTIF(Eingabe[S3],HäufigsteErgebnisse[[#This Row],[Zahl]])+COUNTIF(Eingabe[S4],HäufigsteErgebnisse[[#This Row],[Zahl]])</f>
        <v>0</v>
      </c>
      <c r="K363" s="2">
        <f>COUNTIF(Eingabe[GES],HäufigsteErgebnisse[[#This Row],[Zahl]])</f>
        <v>0</v>
      </c>
      <c r="L363" s="2">
        <f>HäufigsteErgebnisse[[#This Row],[Zahl]]</f>
        <v>305</v>
      </c>
    </row>
    <row r="364" spans="2:12" x14ac:dyDescent="0.3">
      <c r="B364" s="2">
        <v>306</v>
      </c>
      <c r="C364" s="2">
        <f>COUNTIF(Eingabe[Volle],HäufigsteErgebnisse[[#This Row],[Zahl]])</f>
        <v>1</v>
      </c>
      <c r="D364" s="2">
        <f>COUNTIF(Eingabe[Räumer],HäufigsteErgebnisse[[#This Row],[Zahl]])</f>
        <v>0</v>
      </c>
      <c r="E364" s="2">
        <f>COUNTIF(Eingabe[Fehler],HäufigsteErgebnisse[[#This Row],[Zahl]])</f>
        <v>0</v>
      </c>
      <c r="F364" s="2">
        <f>COUNTIF(Eingabe[S1],HäufigsteErgebnisse[[#This Row],[Zahl]])</f>
        <v>0</v>
      </c>
      <c r="G364" s="2">
        <f>COUNTIF(Eingabe[S2],HäufigsteErgebnisse[[#This Row],[Zahl]])</f>
        <v>0</v>
      </c>
      <c r="H364" s="2">
        <f>COUNTIF(Eingabe[S3],HäufigsteErgebnisse[[#This Row],[Zahl]])</f>
        <v>0</v>
      </c>
      <c r="I364" s="2">
        <f>COUNTIF(Eingabe[S4],HäufigsteErgebnisse[[#This Row],[Zahl]])</f>
        <v>0</v>
      </c>
      <c r="J364" s="2">
        <f>COUNTIF(Eingabe[S1],HäufigsteErgebnisse[[#This Row],[Zahl]])+COUNTIF(Eingabe[S2],HäufigsteErgebnisse[[#This Row],[Zahl]])+COUNTIF(Eingabe[S3],HäufigsteErgebnisse[[#This Row],[Zahl]])+COUNTIF(Eingabe[S4],HäufigsteErgebnisse[[#This Row],[Zahl]])</f>
        <v>0</v>
      </c>
      <c r="K364" s="2">
        <f>COUNTIF(Eingabe[GES],HäufigsteErgebnisse[[#This Row],[Zahl]])</f>
        <v>0</v>
      </c>
      <c r="L364" s="2">
        <f>HäufigsteErgebnisse[[#This Row],[Zahl]]</f>
        <v>306</v>
      </c>
    </row>
    <row r="365" spans="2:12" x14ac:dyDescent="0.3">
      <c r="B365" s="2">
        <v>307</v>
      </c>
      <c r="C365" s="2">
        <f>COUNTIF(Eingabe[Volle],HäufigsteErgebnisse[[#This Row],[Zahl]])</f>
        <v>1</v>
      </c>
      <c r="D365" s="2">
        <f>COUNTIF(Eingabe[Räumer],HäufigsteErgebnisse[[#This Row],[Zahl]])</f>
        <v>0</v>
      </c>
      <c r="E365" s="2">
        <f>COUNTIF(Eingabe[Fehler],HäufigsteErgebnisse[[#This Row],[Zahl]])</f>
        <v>0</v>
      </c>
      <c r="F365" s="2">
        <f>COUNTIF(Eingabe[S1],HäufigsteErgebnisse[[#This Row],[Zahl]])</f>
        <v>0</v>
      </c>
      <c r="G365" s="2">
        <f>COUNTIF(Eingabe[S2],HäufigsteErgebnisse[[#This Row],[Zahl]])</f>
        <v>0</v>
      </c>
      <c r="H365" s="2">
        <f>COUNTIF(Eingabe[S3],HäufigsteErgebnisse[[#This Row],[Zahl]])</f>
        <v>0</v>
      </c>
      <c r="I365" s="2">
        <f>COUNTIF(Eingabe[S4],HäufigsteErgebnisse[[#This Row],[Zahl]])</f>
        <v>0</v>
      </c>
      <c r="J365" s="2">
        <f>COUNTIF(Eingabe[S1],HäufigsteErgebnisse[[#This Row],[Zahl]])+COUNTIF(Eingabe[S2],HäufigsteErgebnisse[[#This Row],[Zahl]])+COUNTIF(Eingabe[S3],HäufigsteErgebnisse[[#This Row],[Zahl]])+COUNTIF(Eingabe[S4],HäufigsteErgebnisse[[#This Row],[Zahl]])</f>
        <v>0</v>
      </c>
      <c r="K365" s="2">
        <f>COUNTIF(Eingabe[GES],HäufigsteErgebnisse[[#This Row],[Zahl]])</f>
        <v>0</v>
      </c>
      <c r="L365" s="2">
        <f>HäufigsteErgebnisse[[#This Row],[Zahl]]</f>
        <v>307</v>
      </c>
    </row>
    <row r="366" spans="2:12" x14ac:dyDescent="0.3">
      <c r="B366" s="2">
        <v>308</v>
      </c>
      <c r="C366" s="2">
        <f>COUNTIF(Eingabe[Volle],HäufigsteErgebnisse[[#This Row],[Zahl]])</f>
        <v>1</v>
      </c>
      <c r="D366" s="2">
        <f>COUNTIF(Eingabe[Räumer],HäufigsteErgebnisse[[#This Row],[Zahl]])</f>
        <v>0</v>
      </c>
      <c r="E366" s="2">
        <f>COUNTIF(Eingabe[Fehler],HäufigsteErgebnisse[[#This Row],[Zahl]])</f>
        <v>0</v>
      </c>
      <c r="F366" s="2">
        <f>COUNTIF(Eingabe[S1],HäufigsteErgebnisse[[#This Row],[Zahl]])</f>
        <v>0</v>
      </c>
      <c r="G366" s="2">
        <f>COUNTIF(Eingabe[S2],HäufigsteErgebnisse[[#This Row],[Zahl]])</f>
        <v>0</v>
      </c>
      <c r="H366" s="2">
        <f>COUNTIF(Eingabe[S3],HäufigsteErgebnisse[[#This Row],[Zahl]])</f>
        <v>0</v>
      </c>
      <c r="I366" s="2">
        <f>COUNTIF(Eingabe[S4],HäufigsteErgebnisse[[#This Row],[Zahl]])</f>
        <v>0</v>
      </c>
      <c r="J366" s="2">
        <f>COUNTIF(Eingabe[S1],HäufigsteErgebnisse[[#This Row],[Zahl]])+COUNTIF(Eingabe[S2],HäufigsteErgebnisse[[#This Row],[Zahl]])+COUNTIF(Eingabe[S3],HäufigsteErgebnisse[[#This Row],[Zahl]])+COUNTIF(Eingabe[S4],HäufigsteErgebnisse[[#This Row],[Zahl]])</f>
        <v>0</v>
      </c>
      <c r="K366" s="2">
        <f>COUNTIF(Eingabe[GES],HäufigsteErgebnisse[[#This Row],[Zahl]])</f>
        <v>0</v>
      </c>
      <c r="L366" s="2">
        <f>HäufigsteErgebnisse[[#This Row],[Zahl]]</f>
        <v>308</v>
      </c>
    </row>
    <row r="367" spans="2:12" x14ac:dyDescent="0.3">
      <c r="B367" s="2">
        <v>309</v>
      </c>
      <c r="C367" s="2">
        <f>COUNTIF(Eingabe[Volle],HäufigsteErgebnisse[[#This Row],[Zahl]])</f>
        <v>1</v>
      </c>
      <c r="D367" s="2">
        <f>COUNTIF(Eingabe[Räumer],HäufigsteErgebnisse[[#This Row],[Zahl]])</f>
        <v>0</v>
      </c>
      <c r="E367" s="2">
        <f>COUNTIF(Eingabe[Fehler],HäufigsteErgebnisse[[#This Row],[Zahl]])</f>
        <v>0</v>
      </c>
      <c r="F367" s="2">
        <f>COUNTIF(Eingabe[S1],HäufigsteErgebnisse[[#This Row],[Zahl]])</f>
        <v>0</v>
      </c>
      <c r="G367" s="2">
        <f>COUNTIF(Eingabe[S2],HäufigsteErgebnisse[[#This Row],[Zahl]])</f>
        <v>0</v>
      </c>
      <c r="H367" s="2">
        <f>COUNTIF(Eingabe[S3],HäufigsteErgebnisse[[#This Row],[Zahl]])</f>
        <v>0</v>
      </c>
      <c r="I367" s="2">
        <f>COUNTIF(Eingabe[S4],HäufigsteErgebnisse[[#This Row],[Zahl]])</f>
        <v>0</v>
      </c>
      <c r="J367" s="2">
        <f>COUNTIF(Eingabe[S1],HäufigsteErgebnisse[[#This Row],[Zahl]])+COUNTIF(Eingabe[S2],HäufigsteErgebnisse[[#This Row],[Zahl]])+COUNTIF(Eingabe[S3],HäufigsteErgebnisse[[#This Row],[Zahl]])+COUNTIF(Eingabe[S4],HäufigsteErgebnisse[[#This Row],[Zahl]])</f>
        <v>0</v>
      </c>
      <c r="K367" s="2">
        <f>COUNTIF(Eingabe[GES],HäufigsteErgebnisse[[#This Row],[Zahl]])</f>
        <v>0</v>
      </c>
      <c r="L367" s="2">
        <f>HäufigsteErgebnisse[[#This Row],[Zahl]]</f>
        <v>309</v>
      </c>
    </row>
    <row r="368" spans="2:12" x14ac:dyDescent="0.3">
      <c r="B368" s="2">
        <v>310</v>
      </c>
      <c r="C368" s="2">
        <f>COUNTIF(Eingabe[Volle],HäufigsteErgebnisse[[#This Row],[Zahl]])</f>
        <v>2</v>
      </c>
      <c r="D368" s="2">
        <f>COUNTIF(Eingabe[Räumer],HäufigsteErgebnisse[[#This Row],[Zahl]])</f>
        <v>0</v>
      </c>
      <c r="E368" s="2">
        <f>COUNTIF(Eingabe[Fehler],HäufigsteErgebnisse[[#This Row],[Zahl]])</f>
        <v>0</v>
      </c>
      <c r="F368" s="2">
        <f>COUNTIF(Eingabe[S1],HäufigsteErgebnisse[[#This Row],[Zahl]])</f>
        <v>0</v>
      </c>
      <c r="G368" s="2">
        <f>COUNTIF(Eingabe[S2],HäufigsteErgebnisse[[#This Row],[Zahl]])</f>
        <v>0</v>
      </c>
      <c r="H368" s="2">
        <f>COUNTIF(Eingabe[S3],HäufigsteErgebnisse[[#This Row],[Zahl]])</f>
        <v>0</v>
      </c>
      <c r="I368" s="2">
        <f>COUNTIF(Eingabe[S4],HäufigsteErgebnisse[[#This Row],[Zahl]])</f>
        <v>0</v>
      </c>
      <c r="J368" s="2">
        <f>COUNTIF(Eingabe[S1],HäufigsteErgebnisse[[#This Row],[Zahl]])+COUNTIF(Eingabe[S2],HäufigsteErgebnisse[[#This Row],[Zahl]])+COUNTIF(Eingabe[S3],HäufigsteErgebnisse[[#This Row],[Zahl]])+COUNTIF(Eingabe[S4],HäufigsteErgebnisse[[#This Row],[Zahl]])</f>
        <v>0</v>
      </c>
      <c r="K368" s="2">
        <f>COUNTIF(Eingabe[GES],HäufigsteErgebnisse[[#This Row],[Zahl]])</f>
        <v>0</v>
      </c>
      <c r="L368" s="2">
        <f>HäufigsteErgebnisse[[#This Row],[Zahl]]</f>
        <v>310</v>
      </c>
    </row>
    <row r="369" spans="2:12" x14ac:dyDescent="0.3">
      <c r="B369" s="2">
        <v>311</v>
      </c>
      <c r="C369" s="2">
        <f>COUNTIF(Eingabe[Volle],HäufigsteErgebnisse[[#This Row],[Zahl]])</f>
        <v>4</v>
      </c>
      <c r="D369" s="2">
        <f>COUNTIF(Eingabe[Räumer],HäufigsteErgebnisse[[#This Row],[Zahl]])</f>
        <v>0</v>
      </c>
      <c r="E369" s="2">
        <f>COUNTIF(Eingabe[Fehler],HäufigsteErgebnisse[[#This Row],[Zahl]])</f>
        <v>0</v>
      </c>
      <c r="F369" s="2">
        <f>COUNTIF(Eingabe[S1],HäufigsteErgebnisse[[#This Row],[Zahl]])</f>
        <v>0</v>
      </c>
      <c r="G369" s="2">
        <f>COUNTIF(Eingabe[S2],HäufigsteErgebnisse[[#This Row],[Zahl]])</f>
        <v>0</v>
      </c>
      <c r="H369" s="2">
        <f>COUNTIF(Eingabe[S3],HäufigsteErgebnisse[[#This Row],[Zahl]])</f>
        <v>0</v>
      </c>
      <c r="I369" s="2">
        <f>COUNTIF(Eingabe[S4],HäufigsteErgebnisse[[#This Row],[Zahl]])</f>
        <v>0</v>
      </c>
      <c r="J369" s="2">
        <f>COUNTIF(Eingabe[S1],HäufigsteErgebnisse[[#This Row],[Zahl]])+COUNTIF(Eingabe[S2],HäufigsteErgebnisse[[#This Row],[Zahl]])+COUNTIF(Eingabe[S3],HäufigsteErgebnisse[[#This Row],[Zahl]])+COUNTIF(Eingabe[S4],HäufigsteErgebnisse[[#This Row],[Zahl]])</f>
        <v>0</v>
      </c>
      <c r="K369" s="2">
        <f>COUNTIF(Eingabe[GES],HäufigsteErgebnisse[[#This Row],[Zahl]])</f>
        <v>0</v>
      </c>
      <c r="L369" s="2">
        <f>HäufigsteErgebnisse[[#This Row],[Zahl]]</f>
        <v>311</v>
      </c>
    </row>
    <row r="370" spans="2:12" x14ac:dyDescent="0.3">
      <c r="B370" s="2">
        <v>312</v>
      </c>
      <c r="C370" s="2">
        <f>COUNTIF(Eingabe[Volle],HäufigsteErgebnisse[[#This Row],[Zahl]])</f>
        <v>1</v>
      </c>
      <c r="D370" s="2">
        <f>COUNTIF(Eingabe[Räumer],HäufigsteErgebnisse[[#This Row],[Zahl]])</f>
        <v>0</v>
      </c>
      <c r="E370" s="2">
        <f>COUNTIF(Eingabe[Fehler],HäufigsteErgebnisse[[#This Row],[Zahl]])</f>
        <v>0</v>
      </c>
      <c r="F370" s="2">
        <f>COUNTIF(Eingabe[S1],HäufigsteErgebnisse[[#This Row],[Zahl]])</f>
        <v>0</v>
      </c>
      <c r="G370" s="2">
        <f>COUNTIF(Eingabe[S2],HäufigsteErgebnisse[[#This Row],[Zahl]])</f>
        <v>0</v>
      </c>
      <c r="H370" s="2">
        <f>COUNTIF(Eingabe[S3],HäufigsteErgebnisse[[#This Row],[Zahl]])</f>
        <v>0</v>
      </c>
      <c r="I370" s="2">
        <f>COUNTIF(Eingabe[S4],HäufigsteErgebnisse[[#This Row],[Zahl]])</f>
        <v>0</v>
      </c>
      <c r="J370" s="2">
        <f>COUNTIF(Eingabe[S1],HäufigsteErgebnisse[[#This Row],[Zahl]])+COUNTIF(Eingabe[S2],HäufigsteErgebnisse[[#This Row],[Zahl]])+COUNTIF(Eingabe[S3],HäufigsteErgebnisse[[#This Row],[Zahl]])+COUNTIF(Eingabe[S4],HäufigsteErgebnisse[[#This Row],[Zahl]])</f>
        <v>0</v>
      </c>
      <c r="K370" s="2">
        <f>COUNTIF(Eingabe[GES],HäufigsteErgebnisse[[#This Row],[Zahl]])</f>
        <v>0</v>
      </c>
      <c r="L370" s="2">
        <f>HäufigsteErgebnisse[[#This Row],[Zahl]]</f>
        <v>312</v>
      </c>
    </row>
    <row r="371" spans="2:12" x14ac:dyDescent="0.3">
      <c r="B371" s="2">
        <v>313</v>
      </c>
      <c r="C371" s="2">
        <f>COUNTIF(Eingabe[Volle],HäufigsteErgebnisse[[#This Row],[Zahl]])</f>
        <v>0</v>
      </c>
      <c r="D371" s="2">
        <f>COUNTIF(Eingabe[Räumer],HäufigsteErgebnisse[[#This Row],[Zahl]])</f>
        <v>0</v>
      </c>
      <c r="E371" s="2">
        <f>COUNTIF(Eingabe[Fehler],HäufigsteErgebnisse[[#This Row],[Zahl]])</f>
        <v>0</v>
      </c>
      <c r="F371" s="2">
        <f>COUNTIF(Eingabe[S1],HäufigsteErgebnisse[[#This Row],[Zahl]])</f>
        <v>0</v>
      </c>
      <c r="G371" s="2">
        <f>COUNTIF(Eingabe[S2],HäufigsteErgebnisse[[#This Row],[Zahl]])</f>
        <v>0</v>
      </c>
      <c r="H371" s="2">
        <f>COUNTIF(Eingabe[S3],HäufigsteErgebnisse[[#This Row],[Zahl]])</f>
        <v>0</v>
      </c>
      <c r="I371" s="2">
        <f>COUNTIF(Eingabe[S4],HäufigsteErgebnisse[[#This Row],[Zahl]])</f>
        <v>0</v>
      </c>
      <c r="J371" s="2">
        <f>COUNTIF(Eingabe[S1],HäufigsteErgebnisse[[#This Row],[Zahl]])+COUNTIF(Eingabe[S2],HäufigsteErgebnisse[[#This Row],[Zahl]])+COUNTIF(Eingabe[S3],HäufigsteErgebnisse[[#This Row],[Zahl]])+COUNTIF(Eingabe[S4],HäufigsteErgebnisse[[#This Row],[Zahl]])</f>
        <v>0</v>
      </c>
      <c r="K371" s="2">
        <f>COUNTIF(Eingabe[GES],HäufigsteErgebnisse[[#This Row],[Zahl]])</f>
        <v>0</v>
      </c>
      <c r="L371" s="2">
        <f>HäufigsteErgebnisse[[#This Row],[Zahl]]</f>
        <v>313</v>
      </c>
    </row>
    <row r="372" spans="2:12" x14ac:dyDescent="0.3">
      <c r="B372" s="2">
        <v>314</v>
      </c>
      <c r="C372" s="2">
        <f>COUNTIF(Eingabe[Volle],HäufigsteErgebnisse[[#This Row],[Zahl]])</f>
        <v>0</v>
      </c>
      <c r="D372" s="2">
        <f>COUNTIF(Eingabe[Räumer],HäufigsteErgebnisse[[#This Row],[Zahl]])</f>
        <v>0</v>
      </c>
      <c r="E372" s="2">
        <f>COUNTIF(Eingabe[Fehler],HäufigsteErgebnisse[[#This Row],[Zahl]])</f>
        <v>0</v>
      </c>
      <c r="F372" s="2">
        <f>COUNTIF(Eingabe[S1],HäufigsteErgebnisse[[#This Row],[Zahl]])</f>
        <v>0</v>
      </c>
      <c r="G372" s="2">
        <f>COUNTIF(Eingabe[S2],HäufigsteErgebnisse[[#This Row],[Zahl]])</f>
        <v>0</v>
      </c>
      <c r="H372" s="2">
        <f>COUNTIF(Eingabe[S3],HäufigsteErgebnisse[[#This Row],[Zahl]])</f>
        <v>0</v>
      </c>
      <c r="I372" s="2">
        <f>COUNTIF(Eingabe[S4],HäufigsteErgebnisse[[#This Row],[Zahl]])</f>
        <v>0</v>
      </c>
      <c r="J372" s="2">
        <f>COUNTIF(Eingabe[S1],HäufigsteErgebnisse[[#This Row],[Zahl]])+COUNTIF(Eingabe[S2],HäufigsteErgebnisse[[#This Row],[Zahl]])+COUNTIF(Eingabe[S3],HäufigsteErgebnisse[[#This Row],[Zahl]])+COUNTIF(Eingabe[S4],HäufigsteErgebnisse[[#This Row],[Zahl]])</f>
        <v>0</v>
      </c>
      <c r="K372" s="2">
        <f>COUNTIF(Eingabe[GES],HäufigsteErgebnisse[[#This Row],[Zahl]])</f>
        <v>0</v>
      </c>
      <c r="L372" s="2">
        <f>HäufigsteErgebnisse[[#This Row],[Zahl]]</f>
        <v>314</v>
      </c>
    </row>
    <row r="373" spans="2:12" x14ac:dyDescent="0.3">
      <c r="B373" s="2">
        <v>315</v>
      </c>
      <c r="C373" s="2">
        <f>COUNTIF(Eingabe[Volle],HäufigsteErgebnisse[[#This Row],[Zahl]])</f>
        <v>1</v>
      </c>
      <c r="D373" s="2">
        <f>COUNTIF(Eingabe[Räumer],HäufigsteErgebnisse[[#This Row],[Zahl]])</f>
        <v>0</v>
      </c>
      <c r="E373" s="2">
        <f>COUNTIF(Eingabe[Fehler],HäufigsteErgebnisse[[#This Row],[Zahl]])</f>
        <v>0</v>
      </c>
      <c r="F373" s="2">
        <f>COUNTIF(Eingabe[S1],HäufigsteErgebnisse[[#This Row],[Zahl]])</f>
        <v>0</v>
      </c>
      <c r="G373" s="2">
        <f>COUNTIF(Eingabe[S2],HäufigsteErgebnisse[[#This Row],[Zahl]])</f>
        <v>0</v>
      </c>
      <c r="H373" s="2">
        <f>COUNTIF(Eingabe[S3],HäufigsteErgebnisse[[#This Row],[Zahl]])</f>
        <v>0</v>
      </c>
      <c r="I373" s="2">
        <f>COUNTIF(Eingabe[S4],HäufigsteErgebnisse[[#This Row],[Zahl]])</f>
        <v>0</v>
      </c>
      <c r="J373" s="2">
        <f>COUNTIF(Eingabe[S1],HäufigsteErgebnisse[[#This Row],[Zahl]])+COUNTIF(Eingabe[S2],HäufigsteErgebnisse[[#This Row],[Zahl]])+COUNTIF(Eingabe[S3],HäufigsteErgebnisse[[#This Row],[Zahl]])+COUNTIF(Eingabe[S4],HäufigsteErgebnisse[[#This Row],[Zahl]])</f>
        <v>0</v>
      </c>
      <c r="K373" s="2">
        <f>COUNTIF(Eingabe[GES],HäufigsteErgebnisse[[#This Row],[Zahl]])</f>
        <v>0</v>
      </c>
      <c r="L373" s="2">
        <f>HäufigsteErgebnisse[[#This Row],[Zahl]]</f>
        <v>315</v>
      </c>
    </row>
    <row r="374" spans="2:12" x14ac:dyDescent="0.3">
      <c r="B374" s="2">
        <v>316</v>
      </c>
      <c r="C374" s="2">
        <f>COUNTIF(Eingabe[Volle],HäufigsteErgebnisse[[#This Row],[Zahl]])</f>
        <v>1</v>
      </c>
      <c r="D374" s="2">
        <f>COUNTIF(Eingabe[Räumer],HäufigsteErgebnisse[[#This Row],[Zahl]])</f>
        <v>0</v>
      </c>
      <c r="E374" s="2">
        <f>COUNTIF(Eingabe[Fehler],HäufigsteErgebnisse[[#This Row],[Zahl]])</f>
        <v>0</v>
      </c>
      <c r="F374" s="2">
        <f>COUNTIF(Eingabe[S1],HäufigsteErgebnisse[[#This Row],[Zahl]])</f>
        <v>0</v>
      </c>
      <c r="G374" s="2">
        <f>COUNTIF(Eingabe[S2],HäufigsteErgebnisse[[#This Row],[Zahl]])</f>
        <v>0</v>
      </c>
      <c r="H374" s="2">
        <f>COUNTIF(Eingabe[S3],HäufigsteErgebnisse[[#This Row],[Zahl]])</f>
        <v>0</v>
      </c>
      <c r="I374" s="2">
        <f>COUNTIF(Eingabe[S4],HäufigsteErgebnisse[[#This Row],[Zahl]])</f>
        <v>0</v>
      </c>
      <c r="J374" s="2">
        <f>COUNTIF(Eingabe[S1],HäufigsteErgebnisse[[#This Row],[Zahl]])+COUNTIF(Eingabe[S2],HäufigsteErgebnisse[[#This Row],[Zahl]])+COUNTIF(Eingabe[S3],HäufigsteErgebnisse[[#This Row],[Zahl]])+COUNTIF(Eingabe[S4],HäufigsteErgebnisse[[#This Row],[Zahl]])</f>
        <v>0</v>
      </c>
      <c r="K374" s="2">
        <f>COUNTIF(Eingabe[GES],HäufigsteErgebnisse[[#This Row],[Zahl]])</f>
        <v>0</v>
      </c>
      <c r="L374" s="2">
        <f>HäufigsteErgebnisse[[#This Row],[Zahl]]</f>
        <v>316</v>
      </c>
    </row>
    <row r="375" spans="2:12" x14ac:dyDescent="0.3">
      <c r="B375" s="2">
        <v>317</v>
      </c>
      <c r="C375" s="2">
        <f>COUNTIF(Eingabe[Volle],HäufigsteErgebnisse[[#This Row],[Zahl]])</f>
        <v>1</v>
      </c>
      <c r="D375" s="2">
        <f>COUNTIF(Eingabe[Räumer],HäufigsteErgebnisse[[#This Row],[Zahl]])</f>
        <v>0</v>
      </c>
      <c r="E375" s="2">
        <f>COUNTIF(Eingabe[Fehler],HäufigsteErgebnisse[[#This Row],[Zahl]])</f>
        <v>0</v>
      </c>
      <c r="F375" s="2">
        <f>COUNTIF(Eingabe[S1],HäufigsteErgebnisse[[#This Row],[Zahl]])</f>
        <v>0</v>
      </c>
      <c r="G375" s="2">
        <f>COUNTIF(Eingabe[S2],HäufigsteErgebnisse[[#This Row],[Zahl]])</f>
        <v>0</v>
      </c>
      <c r="H375" s="2">
        <f>COUNTIF(Eingabe[S3],HäufigsteErgebnisse[[#This Row],[Zahl]])</f>
        <v>0</v>
      </c>
      <c r="I375" s="2">
        <f>COUNTIF(Eingabe[S4],HäufigsteErgebnisse[[#This Row],[Zahl]])</f>
        <v>0</v>
      </c>
      <c r="J375" s="2">
        <f>COUNTIF(Eingabe[S1],HäufigsteErgebnisse[[#This Row],[Zahl]])+COUNTIF(Eingabe[S2],HäufigsteErgebnisse[[#This Row],[Zahl]])+COUNTIF(Eingabe[S3],HäufigsteErgebnisse[[#This Row],[Zahl]])+COUNTIF(Eingabe[S4],HäufigsteErgebnisse[[#This Row],[Zahl]])</f>
        <v>0</v>
      </c>
      <c r="K375" s="2">
        <f>COUNTIF(Eingabe[GES],HäufigsteErgebnisse[[#This Row],[Zahl]])</f>
        <v>0</v>
      </c>
      <c r="L375" s="2">
        <f>HäufigsteErgebnisse[[#This Row],[Zahl]]</f>
        <v>317</v>
      </c>
    </row>
    <row r="376" spans="2:12" x14ac:dyDescent="0.3">
      <c r="B376" s="2">
        <v>318</v>
      </c>
      <c r="C376" s="2">
        <f>COUNTIF(Eingabe[Volle],HäufigsteErgebnisse[[#This Row],[Zahl]])</f>
        <v>1</v>
      </c>
      <c r="D376" s="2">
        <f>COUNTIF(Eingabe[Räumer],HäufigsteErgebnisse[[#This Row],[Zahl]])</f>
        <v>0</v>
      </c>
      <c r="E376" s="2">
        <f>COUNTIF(Eingabe[Fehler],HäufigsteErgebnisse[[#This Row],[Zahl]])</f>
        <v>0</v>
      </c>
      <c r="F376" s="2">
        <f>COUNTIF(Eingabe[S1],HäufigsteErgebnisse[[#This Row],[Zahl]])</f>
        <v>0</v>
      </c>
      <c r="G376" s="2">
        <f>COUNTIF(Eingabe[S2],HäufigsteErgebnisse[[#This Row],[Zahl]])</f>
        <v>0</v>
      </c>
      <c r="H376" s="2">
        <f>COUNTIF(Eingabe[S3],HäufigsteErgebnisse[[#This Row],[Zahl]])</f>
        <v>0</v>
      </c>
      <c r="I376" s="2">
        <f>COUNTIF(Eingabe[S4],HäufigsteErgebnisse[[#This Row],[Zahl]])</f>
        <v>0</v>
      </c>
      <c r="J376" s="2">
        <f>COUNTIF(Eingabe[S1],HäufigsteErgebnisse[[#This Row],[Zahl]])+COUNTIF(Eingabe[S2],HäufigsteErgebnisse[[#This Row],[Zahl]])+COUNTIF(Eingabe[S3],HäufigsteErgebnisse[[#This Row],[Zahl]])+COUNTIF(Eingabe[S4],HäufigsteErgebnisse[[#This Row],[Zahl]])</f>
        <v>0</v>
      </c>
      <c r="K376" s="2">
        <f>COUNTIF(Eingabe[GES],HäufigsteErgebnisse[[#This Row],[Zahl]])</f>
        <v>0</v>
      </c>
      <c r="L376" s="2">
        <f>HäufigsteErgebnisse[[#This Row],[Zahl]]</f>
        <v>318</v>
      </c>
    </row>
    <row r="377" spans="2:12" x14ac:dyDescent="0.3">
      <c r="B377" s="2">
        <v>319</v>
      </c>
      <c r="C377" s="2">
        <f>COUNTIF(Eingabe[Volle],HäufigsteErgebnisse[[#This Row],[Zahl]])</f>
        <v>2</v>
      </c>
      <c r="D377" s="2">
        <f>COUNTIF(Eingabe[Räumer],HäufigsteErgebnisse[[#This Row],[Zahl]])</f>
        <v>0</v>
      </c>
      <c r="E377" s="2">
        <f>COUNTIF(Eingabe[Fehler],HäufigsteErgebnisse[[#This Row],[Zahl]])</f>
        <v>0</v>
      </c>
      <c r="F377" s="2">
        <f>COUNTIF(Eingabe[S1],HäufigsteErgebnisse[[#This Row],[Zahl]])</f>
        <v>0</v>
      </c>
      <c r="G377" s="2">
        <f>COUNTIF(Eingabe[S2],HäufigsteErgebnisse[[#This Row],[Zahl]])</f>
        <v>0</v>
      </c>
      <c r="H377" s="2">
        <f>COUNTIF(Eingabe[S3],HäufigsteErgebnisse[[#This Row],[Zahl]])</f>
        <v>0</v>
      </c>
      <c r="I377" s="2">
        <f>COUNTIF(Eingabe[S4],HäufigsteErgebnisse[[#This Row],[Zahl]])</f>
        <v>0</v>
      </c>
      <c r="J377" s="2">
        <f>COUNTIF(Eingabe[S1],HäufigsteErgebnisse[[#This Row],[Zahl]])+COUNTIF(Eingabe[S2],HäufigsteErgebnisse[[#This Row],[Zahl]])+COUNTIF(Eingabe[S3],HäufigsteErgebnisse[[#This Row],[Zahl]])+COUNTIF(Eingabe[S4],HäufigsteErgebnisse[[#This Row],[Zahl]])</f>
        <v>0</v>
      </c>
      <c r="K377" s="2">
        <f>COUNTIF(Eingabe[GES],HäufigsteErgebnisse[[#This Row],[Zahl]])</f>
        <v>0</v>
      </c>
      <c r="L377" s="2">
        <f>HäufigsteErgebnisse[[#This Row],[Zahl]]</f>
        <v>319</v>
      </c>
    </row>
    <row r="378" spans="2:12" x14ac:dyDescent="0.3">
      <c r="B378" s="2">
        <v>320</v>
      </c>
      <c r="C378" s="2">
        <f>COUNTIF(Eingabe[Volle],HäufigsteErgebnisse[[#This Row],[Zahl]])</f>
        <v>2</v>
      </c>
      <c r="D378" s="2">
        <f>COUNTIF(Eingabe[Räumer],HäufigsteErgebnisse[[#This Row],[Zahl]])</f>
        <v>0</v>
      </c>
      <c r="E378" s="2">
        <f>COUNTIF(Eingabe[Fehler],HäufigsteErgebnisse[[#This Row],[Zahl]])</f>
        <v>0</v>
      </c>
      <c r="F378" s="2">
        <f>COUNTIF(Eingabe[S1],HäufigsteErgebnisse[[#This Row],[Zahl]])</f>
        <v>0</v>
      </c>
      <c r="G378" s="2">
        <f>COUNTIF(Eingabe[S2],HäufigsteErgebnisse[[#This Row],[Zahl]])</f>
        <v>0</v>
      </c>
      <c r="H378" s="2">
        <f>COUNTIF(Eingabe[S3],HäufigsteErgebnisse[[#This Row],[Zahl]])</f>
        <v>0</v>
      </c>
      <c r="I378" s="2">
        <f>COUNTIF(Eingabe[S4],HäufigsteErgebnisse[[#This Row],[Zahl]])</f>
        <v>0</v>
      </c>
      <c r="J378" s="2">
        <f>COUNTIF(Eingabe[S1],HäufigsteErgebnisse[[#This Row],[Zahl]])+COUNTIF(Eingabe[S2],HäufigsteErgebnisse[[#This Row],[Zahl]])+COUNTIF(Eingabe[S3],HäufigsteErgebnisse[[#This Row],[Zahl]])+COUNTIF(Eingabe[S4],HäufigsteErgebnisse[[#This Row],[Zahl]])</f>
        <v>0</v>
      </c>
      <c r="K378" s="2">
        <f>COUNTIF(Eingabe[GES],HäufigsteErgebnisse[[#This Row],[Zahl]])</f>
        <v>0</v>
      </c>
      <c r="L378" s="2">
        <f>HäufigsteErgebnisse[[#This Row],[Zahl]]</f>
        <v>320</v>
      </c>
    </row>
    <row r="379" spans="2:12" x14ac:dyDescent="0.3">
      <c r="B379" s="2">
        <v>321</v>
      </c>
      <c r="C379" s="2">
        <f>COUNTIF(Eingabe[Volle],HäufigsteErgebnisse[[#This Row],[Zahl]])</f>
        <v>1</v>
      </c>
      <c r="D379" s="2">
        <f>COUNTIF(Eingabe[Räumer],HäufigsteErgebnisse[[#This Row],[Zahl]])</f>
        <v>0</v>
      </c>
      <c r="E379" s="2">
        <f>COUNTIF(Eingabe[Fehler],HäufigsteErgebnisse[[#This Row],[Zahl]])</f>
        <v>0</v>
      </c>
      <c r="F379" s="2">
        <f>COUNTIF(Eingabe[S1],HäufigsteErgebnisse[[#This Row],[Zahl]])</f>
        <v>0</v>
      </c>
      <c r="G379" s="2">
        <f>COUNTIF(Eingabe[S2],HäufigsteErgebnisse[[#This Row],[Zahl]])</f>
        <v>0</v>
      </c>
      <c r="H379" s="2">
        <f>COUNTIF(Eingabe[S3],HäufigsteErgebnisse[[#This Row],[Zahl]])</f>
        <v>0</v>
      </c>
      <c r="I379" s="2">
        <f>COUNTIF(Eingabe[S4],HäufigsteErgebnisse[[#This Row],[Zahl]])</f>
        <v>0</v>
      </c>
      <c r="J379" s="2">
        <f>COUNTIF(Eingabe[S1],HäufigsteErgebnisse[[#This Row],[Zahl]])+COUNTIF(Eingabe[S2],HäufigsteErgebnisse[[#This Row],[Zahl]])+COUNTIF(Eingabe[S3],HäufigsteErgebnisse[[#This Row],[Zahl]])+COUNTIF(Eingabe[S4],HäufigsteErgebnisse[[#This Row],[Zahl]])</f>
        <v>0</v>
      </c>
      <c r="K379" s="2">
        <f>COUNTIF(Eingabe[GES],HäufigsteErgebnisse[[#This Row],[Zahl]])</f>
        <v>1</v>
      </c>
      <c r="L379" s="2">
        <f>HäufigsteErgebnisse[[#This Row],[Zahl]]</f>
        <v>321</v>
      </c>
    </row>
    <row r="380" spans="2:12" x14ac:dyDescent="0.3">
      <c r="B380" s="2">
        <v>322</v>
      </c>
      <c r="C380" s="2">
        <f>COUNTIF(Eingabe[Volle],HäufigsteErgebnisse[[#This Row],[Zahl]])</f>
        <v>2</v>
      </c>
      <c r="D380" s="2">
        <f>COUNTIF(Eingabe[Räumer],HäufigsteErgebnisse[[#This Row],[Zahl]])</f>
        <v>0</v>
      </c>
      <c r="E380" s="2">
        <f>COUNTIF(Eingabe[Fehler],HäufigsteErgebnisse[[#This Row],[Zahl]])</f>
        <v>0</v>
      </c>
      <c r="F380" s="2">
        <f>COUNTIF(Eingabe[S1],HäufigsteErgebnisse[[#This Row],[Zahl]])</f>
        <v>0</v>
      </c>
      <c r="G380" s="2">
        <f>COUNTIF(Eingabe[S2],HäufigsteErgebnisse[[#This Row],[Zahl]])</f>
        <v>0</v>
      </c>
      <c r="H380" s="2">
        <f>COUNTIF(Eingabe[S3],HäufigsteErgebnisse[[#This Row],[Zahl]])</f>
        <v>0</v>
      </c>
      <c r="I380" s="2">
        <f>COUNTIF(Eingabe[S4],HäufigsteErgebnisse[[#This Row],[Zahl]])</f>
        <v>0</v>
      </c>
      <c r="J380" s="2">
        <f>COUNTIF(Eingabe[S1],HäufigsteErgebnisse[[#This Row],[Zahl]])+COUNTIF(Eingabe[S2],HäufigsteErgebnisse[[#This Row],[Zahl]])+COUNTIF(Eingabe[S3],HäufigsteErgebnisse[[#This Row],[Zahl]])+COUNTIF(Eingabe[S4],HäufigsteErgebnisse[[#This Row],[Zahl]])</f>
        <v>0</v>
      </c>
      <c r="K380" s="2">
        <f>COUNTIF(Eingabe[GES],HäufigsteErgebnisse[[#This Row],[Zahl]])</f>
        <v>0</v>
      </c>
      <c r="L380" s="2">
        <f>HäufigsteErgebnisse[[#This Row],[Zahl]]</f>
        <v>322</v>
      </c>
    </row>
    <row r="381" spans="2:12" x14ac:dyDescent="0.3">
      <c r="B381" s="2">
        <v>323</v>
      </c>
      <c r="C381" s="2">
        <f>COUNTIF(Eingabe[Volle],HäufigsteErgebnisse[[#This Row],[Zahl]])</f>
        <v>1</v>
      </c>
      <c r="D381" s="2">
        <f>COUNTIF(Eingabe[Räumer],HäufigsteErgebnisse[[#This Row],[Zahl]])</f>
        <v>0</v>
      </c>
      <c r="E381" s="2">
        <f>COUNTIF(Eingabe[Fehler],HäufigsteErgebnisse[[#This Row],[Zahl]])</f>
        <v>0</v>
      </c>
      <c r="F381" s="2">
        <f>COUNTIF(Eingabe[S1],HäufigsteErgebnisse[[#This Row],[Zahl]])</f>
        <v>0</v>
      </c>
      <c r="G381" s="2">
        <f>COUNTIF(Eingabe[S2],HäufigsteErgebnisse[[#This Row],[Zahl]])</f>
        <v>0</v>
      </c>
      <c r="H381" s="2">
        <f>COUNTIF(Eingabe[S3],HäufigsteErgebnisse[[#This Row],[Zahl]])</f>
        <v>0</v>
      </c>
      <c r="I381" s="2">
        <f>COUNTIF(Eingabe[S4],HäufigsteErgebnisse[[#This Row],[Zahl]])</f>
        <v>0</v>
      </c>
      <c r="J381" s="2">
        <f>COUNTIF(Eingabe[S1],HäufigsteErgebnisse[[#This Row],[Zahl]])+COUNTIF(Eingabe[S2],HäufigsteErgebnisse[[#This Row],[Zahl]])+COUNTIF(Eingabe[S3],HäufigsteErgebnisse[[#This Row],[Zahl]])+COUNTIF(Eingabe[S4],HäufigsteErgebnisse[[#This Row],[Zahl]])</f>
        <v>0</v>
      </c>
      <c r="K381" s="2">
        <f>COUNTIF(Eingabe[GES],HäufigsteErgebnisse[[#This Row],[Zahl]])</f>
        <v>0</v>
      </c>
      <c r="L381" s="2">
        <f>HäufigsteErgebnisse[[#This Row],[Zahl]]</f>
        <v>323</v>
      </c>
    </row>
    <row r="382" spans="2:12" x14ac:dyDescent="0.3">
      <c r="B382" s="2">
        <v>324</v>
      </c>
      <c r="C382" s="2">
        <f>COUNTIF(Eingabe[Volle],HäufigsteErgebnisse[[#This Row],[Zahl]])</f>
        <v>4</v>
      </c>
      <c r="D382" s="2">
        <f>COUNTIF(Eingabe[Räumer],HäufigsteErgebnisse[[#This Row],[Zahl]])</f>
        <v>0</v>
      </c>
      <c r="E382" s="2">
        <f>COUNTIF(Eingabe[Fehler],HäufigsteErgebnisse[[#This Row],[Zahl]])</f>
        <v>0</v>
      </c>
      <c r="F382" s="2">
        <f>COUNTIF(Eingabe[S1],HäufigsteErgebnisse[[#This Row],[Zahl]])</f>
        <v>0</v>
      </c>
      <c r="G382" s="2">
        <f>COUNTIF(Eingabe[S2],HäufigsteErgebnisse[[#This Row],[Zahl]])</f>
        <v>0</v>
      </c>
      <c r="H382" s="2">
        <f>COUNTIF(Eingabe[S3],HäufigsteErgebnisse[[#This Row],[Zahl]])</f>
        <v>0</v>
      </c>
      <c r="I382" s="2">
        <f>COUNTIF(Eingabe[S4],HäufigsteErgebnisse[[#This Row],[Zahl]])</f>
        <v>0</v>
      </c>
      <c r="J382" s="2">
        <f>COUNTIF(Eingabe[S1],HäufigsteErgebnisse[[#This Row],[Zahl]])+COUNTIF(Eingabe[S2],HäufigsteErgebnisse[[#This Row],[Zahl]])+COUNTIF(Eingabe[S3],HäufigsteErgebnisse[[#This Row],[Zahl]])+COUNTIF(Eingabe[S4],HäufigsteErgebnisse[[#This Row],[Zahl]])</f>
        <v>0</v>
      </c>
      <c r="K382" s="2">
        <f>COUNTIF(Eingabe[GES],HäufigsteErgebnisse[[#This Row],[Zahl]])</f>
        <v>0</v>
      </c>
      <c r="L382" s="2">
        <f>HäufigsteErgebnisse[[#This Row],[Zahl]]</f>
        <v>324</v>
      </c>
    </row>
    <row r="383" spans="2:12" x14ac:dyDescent="0.3">
      <c r="B383" s="2">
        <v>325</v>
      </c>
      <c r="C383" s="2">
        <f>COUNTIF(Eingabe[Volle],HäufigsteErgebnisse[[#This Row],[Zahl]])</f>
        <v>3</v>
      </c>
      <c r="D383" s="2">
        <f>COUNTIF(Eingabe[Räumer],HäufigsteErgebnisse[[#This Row],[Zahl]])</f>
        <v>0</v>
      </c>
      <c r="E383" s="2">
        <f>COUNTIF(Eingabe[Fehler],HäufigsteErgebnisse[[#This Row],[Zahl]])</f>
        <v>0</v>
      </c>
      <c r="F383" s="2">
        <f>COUNTIF(Eingabe[S1],HäufigsteErgebnisse[[#This Row],[Zahl]])</f>
        <v>0</v>
      </c>
      <c r="G383" s="2">
        <f>COUNTIF(Eingabe[S2],HäufigsteErgebnisse[[#This Row],[Zahl]])</f>
        <v>0</v>
      </c>
      <c r="H383" s="2">
        <f>COUNTIF(Eingabe[S3],HäufigsteErgebnisse[[#This Row],[Zahl]])</f>
        <v>0</v>
      </c>
      <c r="I383" s="2">
        <f>COUNTIF(Eingabe[S4],HäufigsteErgebnisse[[#This Row],[Zahl]])</f>
        <v>0</v>
      </c>
      <c r="J383" s="2">
        <f>COUNTIF(Eingabe[S1],HäufigsteErgebnisse[[#This Row],[Zahl]])+COUNTIF(Eingabe[S2],HäufigsteErgebnisse[[#This Row],[Zahl]])+COUNTIF(Eingabe[S3],HäufigsteErgebnisse[[#This Row],[Zahl]])+COUNTIF(Eingabe[S4],HäufigsteErgebnisse[[#This Row],[Zahl]])</f>
        <v>0</v>
      </c>
      <c r="K383" s="2">
        <f>COUNTIF(Eingabe[GES],HäufigsteErgebnisse[[#This Row],[Zahl]])</f>
        <v>0</v>
      </c>
      <c r="L383" s="2">
        <f>HäufigsteErgebnisse[[#This Row],[Zahl]]</f>
        <v>325</v>
      </c>
    </row>
    <row r="384" spans="2:12" x14ac:dyDescent="0.3">
      <c r="B384" s="2">
        <v>326</v>
      </c>
      <c r="C384" s="2">
        <f>COUNTIF(Eingabe[Volle],HäufigsteErgebnisse[[#This Row],[Zahl]])</f>
        <v>1</v>
      </c>
      <c r="D384" s="2">
        <f>COUNTIF(Eingabe[Räumer],HäufigsteErgebnisse[[#This Row],[Zahl]])</f>
        <v>0</v>
      </c>
      <c r="E384" s="2">
        <f>COUNTIF(Eingabe[Fehler],HäufigsteErgebnisse[[#This Row],[Zahl]])</f>
        <v>0</v>
      </c>
      <c r="F384" s="2">
        <f>COUNTIF(Eingabe[S1],HäufigsteErgebnisse[[#This Row],[Zahl]])</f>
        <v>0</v>
      </c>
      <c r="G384" s="2">
        <f>COUNTIF(Eingabe[S2],HäufigsteErgebnisse[[#This Row],[Zahl]])</f>
        <v>0</v>
      </c>
      <c r="H384" s="2">
        <f>COUNTIF(Eingabe[S3],HäufigsteErgebnisse[[#This Row],[Zahl]])</f>
        <v>0</v>
      </c>
      <c r="I384" s="2">
        <f>COUNTIF(Eingabe[S4],HäufigsteErgebnisse[[#This Row],[Zahl]])</f>
        <v>0</v>
      </c>
      <c r="J384" s="2">
        <f>COUNTIF(Eingabe[S1],HäufigsteErgebnisse[[#This Row],[Zahl]])+COUNTIF(Eingabe[S2],HäufigsteErgebnisse[[#This Row],[Zahl]])+COUNTIF(Eingabe[S3],HäufigsteErgebnisse[[#This Row],[Zahl]])+COUNTIF(Eingabe[S4],HäufigsteErgebnisse[[#This Row],[Zahl]])</f>
        <v>0</v>
      </c>
      <c r="K384" s="2">
        <f>COUNTIF(Eingabe[GES],HäufigsteErgebnisse[[#This Row],[Zahl]])</f>
        <v>2</v>
      </c>
      <c r="L384" s="2">
        <f>HäufigsteErgebnisse[[#This Row],[Zahl]]</f>
        <v>326</v>
      </c>
    </row>
    <row r="385" spans="2:12" x14ac:dyDescent="0.3">
      <c r="B385" s="2">
        <v>327</v>
      </c>
      <c r="C385" s="2">
        <f>COUNTIF(Eingabe[Volle],HäufigsteErgebnisse[[#This Row],[Zahl]])</f>
        <v>0</v>
      </c>
      <c r="D385" s="2">
        <f>COUNTIF(Eingabe[Räumer],HäufigsteErgebnisse[[#This Row],[Zahl]])</f>
        <v>0</v>
      </c>
      <c r="E385" s="2">
        <f>COUNTIF(Eingabe[Fehler],HäufigsteErgebnisse[[#This Row],[Zahl]])</f>
        <v>0</v>
      </c>
      <c r="F385" s="2">
        <f>COUNTIF(Eingabe[S1],HäufigsteErgebnisse[[#This Row],[Zahl]])</f>
        <v>0</v>
      </c>
      <c r="G385" s="2">
        <f>COUNTIF(Eingabe[S2],HäufigsteErgebnisse[[#This Row],[Zahl]])</f>
        <v>0</v>
      </c>
      <c r="H385" s="2">
        <f>COUNTIF(Eingabe[S3],HäufigsteErgebnisse[[#This Row],[Zahl]])</f>
        <v>0</v>
      </c>
      <c r="I385" s="2">
        <f>COUNTIF(Eingabe[S4],HäufigsteErgebnisse[[#This Row],[Zahl]])</f>
        <v>0</v>
      </c>
      <c r="J385" s="2">
        <f>COUNTIF(Eingabe[S1],HäufigsteErgebnisse[[#This Row],[Zahl]])+COUNTIF(Eingabe[S2],HäufigsteErgebnisse[[#This Row],[Zahl]])+COUNTIF(Eingabe[S3],HäufigsteErgebnisse[[#This Row],[Zahl]])+COUNTIF(Eingabe[S4],HäufigsteErgebnisse[[#This Row],[Zahl]])</f>
        <v>0</v>
      </c>
      <c r="K385" s="2">
        <f>COUNTIF(Eingabe[GES],HäufigsteErgebnisse[[#This Row],[Zahl]])</f>
        <v>0</v>
      </c>
      <c r="L385" s="2">
        <f>HäufigsteErgebnisse[[#This Row],[Zahl]]</f>
        <v>327</v>
      </c>
    </row>
    <row r="386" spans="2:12" x14ac:dyDescent="0.3">
      <c r="B386" s="2">
        <v>328</v>
      </c>
      <c r="C386" s="2">
        <f>COUNTIF(Eingabe[Volle],HäufigsteErgebnisse[[#This Row],[Zahl]])</f>
        <v>3</v>
      </c>
      <c r="D386" s="2">
        <f>COUNTIF(Eingabe[Räumer],HäufigsteErgebnisse[[#This Row],[Zahl]])</f>
        <v>0</v>
      </c>
      <c r="E386" s="2">
        <f>COUNTIF(Eingabe[Fehler],HäufigsteErgebnisse[[#This Row],[Zahl]])</f>
        <v>0</v>
      </c>
      <c r="F386" s="2">
        <f>COUNTIF(Eingabe[S1],HäufigsteErgebnisse[[#This Row],[Zahl]])</f>
        <v>0</v>
      </c>
      <c r="G386" s="2">
        <f>COUNTIF(Eingabe[S2],HäufigsteErgebnisse[[#This Row],[Zahl]])</f>
        <v>0</v>
      </c>
      <c r="H386" s="2">
        <f>COUNTIF(Eingabe[S3],HäufigsteErgebnisse[[#This Row],[Zahl]])</f>
        <v>0</v>
      </c>
      <c r="I386" s="2">
        <f>COUNTIF(Eingabe[S4],HäufigsteErgebnisse[[#This Row],[Zahl]])</f>
        <v>0</v>
      </c>
      <c r="J386" s="2">
        <f>COUNTIF(Eingabe[S1],HäufigsteErgebnisse[[#This Row],[Zahl]])+COUNTIF(Eingabe[S2],HäufigsteErgebnisse[[#This Row],[Zahl]])+COUNTIF(Eingabe[S3],HäufigsteErgebnisse[[#This Row],[Zahl]])+COUNTIF(Eingabe[S4],HäufigsteErgebnisse[[#This Row],[Zahl]])</f>
        <v>0</v>
      </c>
      <c r="K386" s="2">
        <f>COUNTIF(Eingabe[GES],HäufigsteErgebnisse[[#This Row],[Zahl]])</f>
        <v>1</v>
      </c>
      <c r="L386" s="2">
        <f>HäufigsteErgebnisse[[#This Row],[Zahl]]</f>
        <v>328</v>
      </c>
    </row>
    <row r="387" spans="2:12" x14ac:dyDescent="0.3">
      <c r="B387" s="2">
        <v>329</v>
      </c>
      <c r="C387" s="2">
        <f>COUNTIF(Eingabe[Volle],HäufigsteErgebnisse[[#This Row],[Zahl]])</f>
        <v>1</v>
      </c>
      <c r="D387" s="2">
        <f>COUNTIF(Eingabe[Räumer],HäufigsteErgebnisse[[#This Row],[Zahl]])</f>
        <v>0</v>
      </c>
      <c r="E387" s="2">
        <f>COUNTIF(Eingabe[Fehler],HäufigsteErgebnisse[[#This Row],[Zahl]])</f>
        <v>0</v>
      </c>
      <c r="F387" s="2">
        <f>COUNTIF(Eingabe[S1],HäufigsteErgebnisse[[#This Row],[Zahl]])</f>
        <v>0</v>
      </c>
      <c r="G387" s="2">
        <f>COUNTIF(Eingabe[S2],HäufigsteErgebnisse[[#This Row],[Zahl]])</f>
        <v>0</v>
      </c>
      <c r="H387" s="2">
        <f>COUNTIF(Eingabe[S3],HäufigsteErgebnisse[[#This Row],[Zahl]])</f>
        <v>0</v>
      </c>
      <c r="I387" s="2">
        <f>COUNTIF(Eingabe[S4],HäufigsteErgebnisse[[#This Row],[Zahl]])</f>
        <v>0</v>
      </c>
      <c r="J387" s="2">
        <f>COUNTIF(Eingabe[S1],HäufigsteErgebnisse[[#This Row],[Zahl]])+COUNTIF(Eingabe[S2],HäufigsteErgebnisse[[#This Row],[Zahl]])+COUNTIF(Eingabe[S3],HäufigsteErgebnisse[[#This Row],[Zahl]])+COUNTIF(Eingabe[S4],HäufigsteErgebnisse[[#This Row],[Zahl]])</f>
        <v>0</v>
      </c>
      <c r="K387" s="2">
        <f>COUNTIF(Eingabe[GES],HäufigsteErgebnisse[[#This Row],[Zahl]])</f>
        <v>0</v>
      </c>
      <c r="L387" s="2">
        <f>HäufigsteErgebnisse[[#This Row],[Zahl]]</f>
        <v>329</v>
      </c>
    </row>
    <row r="388" spans="2:12" x14ac:dyDescent="0.3">
      <c r="B388" s="2">
        <v>330</v>
      </c>
      <c r="C388" s="2">
        <f>COUNTIF(Eingabe[Volle],HäufigsteErgebnisse[[#This Row],[Zahl]])</f>
        <v>2</v>
      </c>
      <c r="D388" s="2">
        <f>COUNTIF(Eingabe[Räumer],HäufigsteErgebnisse[[#This Row],[Zahl]])</f>
        <v>0</v>
      </c>
      <c r="E388" s="2">
        <f>COUNTIF(Eingabe[Fehler],HäufigsteErgebnisse[[#This Row],[Zahl]])</f>
        <v>0</v>
      </c>
      <c r="F388" s="2">
        <f>COUNTIF(Eingabe[S1],HäufigsteErgebnisse[[#This Row],[Zahl]])</f>
        <v>0</v>
      </c>
      <c r="G388" s="2">
        <f>COUNTIF(Eingabe[S2],HäufigsteErgebnisse[[#This Row],[Zahl]])</f>
        <v>0</v>
      </c>
      <c r="H388" s="2">
        <f>COUNTIF(Eingabe[S3],HäufigsteErgebnisse[[#This Row],[Zahl]])</f>
        <v>0</v>
      </c>
      <c r="I388" s="2">
        <f>COUNTIF(Eingabe[S4],HäufigsteErgebnisse[[#This Row],[Zahl]])</f>
        <v>0</v>
      </c>
      <c r="J388" s="2">
        <f>COUNTIF(Eingabe[S1],HäufigsteErgebnisse[[#This Row],[Zahl]])+COUNTIF(Eingabe[S2],HäufigsteErgebnisse[[#This Row],[Zahl]])+COUNTIF(Eingabe[S3],HäufigsteErgebnisse[[#This Row],[Zahl]])+COUNTIF(Eingabe[S4],HäufigsteErgebnisse[[#This Row],[Zahl]])</f>
        <v>0</v>
      </c>
      <c r="K388" s="2">
        <f>COUNTIF(Eingabe[GES],HäufigsteErgebnisse[[#This Row],[Zahl]])</f>
        <v>0</v>
      </c>
      <c r="L388" s="2">
        <f>HäufigsteErgebnisse[[#This Row],[Zahl]]</f>
        <v>330</v>
      </c>
    </row>
    <row r="389" spans="2:12" x14ac:dyDescent="0.3">
      <c r="B389" s="2">
        <v>331</v>
      </c>
      <c r="C389" s="2">
        <f>COUNTIF(Eingabe[Volle],HäufigsteErgebnisse[[#This Row],[Zahl]])</f>
        <v>3</v>
      </c>
      <c r="D389" s="2">
        <f>COUNTIF(Eingabe[Räumer],HäufigsteErgebnisse[[#This Row],[Zahl]])</f>
        <v>0</v>
      </c>
      <c r="E389" s="2">
        <f>COUNTIF(Eingabe[Fehler],HäufigsteErgebnisse[[#This Row],[Zahl]])</f>
        <v>0</v>
      </c>
      <c r="F389" s="2">
        <f>COUNTIF(Eingabe[S1],HäufigsteErgebnisse[[#This Row],[Zahl]])</f>
        <v>0</v>
      </c>
      <c r="G389" s="2">
        <f>COUNTIF(Eingabe[S2],HäufigsteErgebnisse[[#This Row],[Zahl]])</f>
        <v>0</v>
      </c>
      <c r="H389" s="2">
        <f>COUNTIF(Eingabe[S3],HäufigsteErgebnisse[[#This Row],[Zahl]])</f>
        <v>0</v>
      </c>
      <c r="I389" s="2">
        <f>COUNTIF(Eingabe[S4],HäufigsteErgebnisse[[#This Row],[Zahl]])</f>
        <v>0</v>
      </c>
      <c r="J389" s="2">
        <f>COUNTIF(Eingabe[S1],HäufigsteErgebnisse[[#This Row],[Zahl]])+COUNTIF(Eingabe[S2],HäufigsteErgebnisse[[#This Row],[Zahl]])+COUNTIF(Eingabe[S3],HäufigsteErgebnisse[[#This Row],[Zahl]])+COUNTIF(Eingabe[S4],HäufigsteErgebnisse[[#This Row],[Zahl]])</f>
        <v>0</v>
      </c>
      <c r="K389" s="2">
        <f>COUNTIF(Eingabe[GES],HäufigsteErgebnisse[[#This Row],[Zahl]])</f>
        <v>0</v>
      </c>
      <c r="L389" s="2">
        <f>HäufigsteErgebnisse[[#This Row],[Zahl]]</f>
        <v>331</v>
      </c>
    </row>
    <row r="390" spans="2:12" x14ac:dyDescent="0.3">
      <c r="B390" s="2">
        <v>332</v>
      </c>
      <c r="C390" s="2">
        <f>COUNTIF(Eingabe[Volle],HäufigsteErgebnisse[[#This Row],[Zahl]])</f>
        <v>2</v>
      </c>
      <c r="D390" s="2">
        <f>COUNTIF(Eingabe[Räumer],HäufigsteErgebnisse[[#This Row],[Zahl]])</f>
        <v>0</v>
      </c>
      <c r="E390" s="2">
        <f>COUNTIF(Eingabe[Fehler],HäufigsteErgebnisse[[#This Row],[Zahl]])</f>
        <v>0</v>
      </c>
      <c r="F390" s="2">
        <f>COUNTIF(Eingabe[S1],HäufigsteErgebnisse[[#This Row],[Zahl]])</f>
        <v>0</v>
      </c>
      <c r="G390" s="2">
        <f>COUNTIF(Eingabe[S2],HäufigsteErgebnisse[[#This Row],[Zahl]])</f>
        <v>0</v>
      </c>
      <c r="H390" s="2">
        <f>COUNTIF(Eingabe[S3],HäufigsteErgebnisse[[#This Row],[Zahl]])</f>
        <v>0</v>
      </c>
      <c r="I390" s="2">
        <f>COUNTIF(Eingabe[S4],HäufigsteErgebnisse[[#This Row],[Zahl]])</f>
        <v>0</v>
      </c>
      <c r="J390" s="2">
        <f>COUNTIF(Eingabe[S1],HäufigsteErgebnisse[[#This Row],[Zahl]])+COUNTIF(Eingabe[S2],HäufigsteErgebnisse[[#This Row],[Zahl]])+COUNTIF(Eingabe[S3],HäufigsteErgebnisse[[#This Row],[Zahl]])+COUNTIF(Eingabe[S4],HäufigsteErgebnisse[[#This Row],[Zahl]])</f>
        <v>0</v>
      </c>
      <c r="K390" s="2">
        <f>COUNTIF(Eingabe[GES],HäufigsteErgebnisse[[#This Row],[Zahl]])</f>
        <v>0</v>
      </c>
      <c r="L390" s="2">
        <f>HäufigsteErgebnisse[[#This Row],[Zahl]]</f>
        <v>332</v>
      </c>
    </row>
    <row r="391" spans="2:12" x14ac:dyDescent="0.3">
      <c r="B391" s="2">
        <v>333</v>
      </c>
      <c r="C391" s="2">
        <f>COUNTIF(Eingabe[Volle],HäufigsteErgebnisse[[#This Row],[Zahl]])</f>
        <v>2</v>
      </c>
      <c r="D391" s="2">
        <f>COUNTIF(Eingabe[Räumer],HäufigsteErgebnisse[[#This Row],[Zahl]])</f>
        <v>0</v>
      </c>
      <c r="E391" s="2">
        <f>COUNTIF(Eingabe[Fehler],HäufigsteErgebnisse[[#This Row],[Zahl]])</f>
        <v>0</v>
      </c>
      <c r="F391" s="2">
        <f>COUNTIF(Eingabe[S1],HäufigsteErgebnisse[[#This Row],[Zahl]])</f>
        <v>0</v>
      </c>
      <c r="G391" s="2">
        <f>COUNTIF(Eingabe[S2],HäufigsteErgebnisse[[#This Row],[Zahl]])</f>
        <v>0</v>
      </c>
      <c r="H391" s="2">
        <f>COUNTIF(Eingabe[S3],HäufigsteErgebnisse[[#This Row],[Zahl]])</f>
        <v>0</v>
      </c>
      <c r="I391" s="2">
        <f>COUNTIF(Eingabe[S4],HäufigsteErgebnisse[[#This Row],[Zahl]])</f>
        <v>0</v>
      </c>
      <c r="J391" s="2">
        <f>COUNTIF(Eingabe[S1],HäufigsteErgebnisse[[#This Row],[Zahl]])+COUNTIF(Eingabe[S2],HäufigsteErgebnisse[[#This Row],[Zahl]])+COUNTIF(Eingabe[S3],HäufigsteErgebnisse[[#This Row],[Zahl]])+COUNTIF(Eingabe[S4],HäufigsteErgebnisse[[#This Row],[Zahl]])</f>
        <v>0</v>
      </c>
      <c r="K391" s="2">
        <f>COUNTIF(Eingabe[GES],HäufigsteErgebnisse[[#This Row],[Zahl]])</f>
        <v>0</v>
      </c>
      <c r="L391" s="2">
        <f>HäufigsteErgebnisse[[#This Row],[Zahl]]</f>
        <v>333</v>
      </c>
    </row>
    <row r="392" spans="2:12" x14ac:dyDescent="0.3">
      <c r="B392" s="2">
        <v>334</v>
      </c>
      <c r="C392" s="2">
        <f>COUNTIF(Eingabe[Volle],HäufigsteErgebnisse[[#This Row],[Zahl]])</f>
        <v>5</v>
      </c>
      <c r="D392" s="2">
        <f>COUNTIF(Eingabe[Räumer],HäufigsteErgebnisse[[#This Row],[Zahl]])</f>
        <v>0</v>
      </c>
      <c r="E392" s="2">
        <f>COUNTIF(Eingabe[Fehler],HäufigsteErgebnisse[[#This Row],[Zahl]])</f>
        <v>0</v>
      </c>
      <c r="F392" s="2">
        <f>COUNTIF(Eingabe[S1],HäufigsteErgebnisse[[#This Row],[Zahl]])</f>
        <v>0</v>
      </c>
      <c r="G392" s="2">
        <f>COUNTIF(Eingabe[S2],HäufigsteErgebnisse[[#This Row],[Zahl]])</f>
        <v>0</v>
      </c>
      <c r="H392" s="2">
        <f>COUNTIF(Eingabe[S3],HäufigsteErgebnisse[[#This Row],[Zahl]])</f>
        <v>0</v>
      </c>
      <c r="I392" s="2">
        <f>COUNTIF(Eingabe[S4],HäufigsteErgebnisse[[#This Row],[Zahl]])</f>
        <v>0</v>
      </c>
      <c r="J392" s="2">
        <f>COUNTIF(Eingabe[S1],HäufigsteErgebnisse[[#This Row],[Zahl]])+COUNTIF(Eingabe[S2],HäufigsteErgebnisse[[#This Row],[Zahl]])+COUNTIF(Eingabe[S3],HäufigsteErgebnisse[[#This Row],[Zahl]])+COUNTIF(Eingabe[S4],HäufigsteErgebnisse[[#This Row],[Zahl]])</f>
        <v>0</v>
      </c>
      <c r="K392" s="2">
        <f>COUNTIF(Eingabe[GES],HäufigsteErgebnisse[[#This Row],[Zahl]])</f>
        <v>0</v>
      </c>
      <c r="L392" s="2">
        <f>HäufigsteErgebnisse[[#This Row],[Zahl]]</f>
        <v>334</v>
      </c>
    </row>
    <row r="393" spans="2:12" x14ac:dyDescent="0.3">
      <c r="B393" s="2">
        <v>335</v>
      </c>
      <c r="C393" s="2">
        <f>COUNTIF(Eingabe[Volle],HäufigsteErgebnisse[[#This Row],[Zahl]])</f>
        <v>4</v>
      </c>
      <c r="D393" s="2">
        <f>COUNTIF(Eingabe[Räumer],HäufigsteErgebnisse[[#This Row],[Zahl]])</f>
        <v>0</v>
      </c>
      <c r="E393" s="2">
        <f>COUNTIF(Eingabe[Fehler],HäufigsteErgebnisse[[#This Row],[Zahl]])</f>
        <v>0</v>
      </c>
      <c r="F393" s="2">
        <f>COUNTIF(Eingabe[S1],HäufigsteErgebnisse[[#This Row],[Zahl]])</f>
        <v>0</v>
      </c>
      <c r="G393" s="2">
        <f>COUNTIF(Eingabe[S2],HäufigsteErgebnisse[[#This Row],[Zahl]])</f>
        <v>0</v>
      </c>
      <c r="H393" s="2">
        <f>COUNTIF(Eingabe[S3],HäufigsteErgebnisse[[#This Row],[Zahl]])</f>
        <v>0</v>
      </c>
      <c r="I393" s="2">
        <f>COUNTIF(Eingabe[S4],HäufigsteErgebnisse[[#This Row],[Zahl]])</f>
        <v>0</v>
      </c>
      <c r="J393" s="2">
        <f>COUNTIF(Eingabe[S1],HäufigsteErgebnisse[[#This Row],[Zahl]])+COUNTIF(Eingabe[S2],HäufigsteErgebnisse[[#This Row],[Zahl]])+COUNTIF(Eingabe[S3],HäufigsteErgebnisse[[#This Row],[Zahl]])+COUNTIF(Eingabe[S4],HäufigsteErgebnisse[[#This Row],[Zahl]])</f>
        <v>0</v>
      </c>
      <c r="K393" s="2">
        <f>COUNTIF(Eingabe[GES],HäufigsteErgebnisse[[#This Row],[Zahl]])</f>
        <v>0</v>
      </c>
      <c r="L393" s="2">
        <f>HäufigsteErgebnisse[[#This Row],[Zahl]]</f>
        <v>335</v>
      </c>
    </row>
    <row r="394" spans="2:12" x14ac:dyDescent="0.3">
      <c r="B394" s="2">
        <v>336</v>
      </c>
      <c r="C394" s="2">
        <f>COUNTIF(Eingabe[Volle],HäufigsteErgebnisse[[#This Row],[Zahl]])</f>
        <v>2</v>
      </c>
      <c r="D394" s="2">
        <f>COUNTIF(Eingabe[Räumer],HäufigsteErgebnisse[[#This Row],[Zahl]])</f>
        <v>0</v>
      </c>
      <c r="E394" s="2">
        <f>COUNTIF(Eingabe[Fehler],HäufigsteErgebnisse[[#This Row],[Zahl]])</f>
        <v>0</v>
      </c>
      <c r="F394" s="2">
        <f>COUNTIF(Eingabe[S1],HäufigsteErgebnisse[[#This Row],[Zahl]])</f>
        <v>0</v>
      </c>
      <c r="G394" s="2">
        <f>COUNTIF(Eingabe[S2],HäufigsteErgebnisse[[#This Row],[Zahl]])</f>
        <v>0</v>
      </c>
      <c r="H394" s="2">
        <f>COUNTIF(Eingabe[S3],HäufigsteErgebnisse[[#This Row],[Zahl]])</f>
        <v>0</v>
      </c>
      <c r="I394" s="2">
        <f>COUNTIF(Eingabe[S4],HäufigsteErgebnisse[[#This Row],[Zahl]])</f>
        <v>0</v>
      </c>
      <c r="J394" s="2">
        <f>COUNTIF(Eingabe[S1],HäufigsteErgebnisse[[#This Row],[Zahl]])+COUNTIF(Eingabe[S2],HäufigsteErgebnisse[[#This Row],[Zahl]])+COUNTIF(Eingabe[S3],HäufigsteErgebnisse[[#This Row],[Zahl]])+COUNTIF(Eingabe[S4],HäufigsteErgebnisse[[#This Row],[Zahl]])</f>
        <v>0</v>
      </c>
      <c r="K394" s="2">
        <f>COUNTIF(Eingabe[GES],HäufigsteErgebnisse[[#This Row],[Zahl]])</f>
        <v>1</v>
      </c>
      <c r="L394" s="2">
        <f>HäufigsteErgebnisse[[#This Row],[Zahl]]</f>
        <v>336</v>
      </c>
    </row>
    <row r="395" spans="2:12" x14ac:dyDescent="0.3">
      <c r="B395" s="2">
        <v>337</v>
      </c>
      <c r="C395" s="2">
        <f>COUNTIF(Eingabe[Volle],HäufigsteErgebnisse[[#This Row],[Zahl]])</f>
        <v>4</v>
      </c>
      <c r="D395" s="2">
        <f>COUNTIF(Eingabe[Räumer],HäufigsteErgebnisse[[#This Row],[Zahl]])</f>
        <v>0</v>
      </c>
      <c r="E395" s="2">
        <f>COUNTIF(Eingabe[Fehler],HäufigsteErgebnisse[[#This Row],[Zahl]])</f>
        <v>0</v>
      </c>
      <c r="F395" s="2">
        <f>COUNTIF(Eingabe[S1],HäufigsteErgebnisse[[#This Row],[Zahl]])</f>
        <v>0</v>
      </c>
      <c r="G395" s="2">
        <f>COUNTIF(Eingabe[S2],HäufigsteErgebnisse[[#This Row],[Zahl]])</f>
        <v>0</v>
      </c>
      <c r="H395" s="2">
        <f>COUNTIF(Eingabe[S3],HäufigsteErgebnisse[[#This Row],[Zahl]])</f>
        <v>0</v>
      </c>
      <c r="I395" s="2">
        <f>COUNTIF(Eingabe[S4],HäufigsteErgebnisse[[#This Row],[Zahl]])</f>
        <v>0</v>
      </c>
      <c r="J395" s="2">
        <f>COUNTIF(Eingabe[S1],HäufigsteErgebnisse[[#This Row],[Zahl]])+COUNTIF(Eingabe[S2],HäufigsteErgebnisse[[#This Row],[Zahl]])+COUNTIF(Eingabe[S3],HäufigsteErgebnisse[[#This Row],[Zahl]])+COUNTIF(Eingabe[S4],HäufigsteErgebnisse[[#This Row],[Zahl]])</f>
        <v>0</v>
      </c>
      <c r="K395" s="2">
        <f>COUNTIF(Eingabe[GES],HäufigsteErgebnisse[[#This Row],[Zahl]])</f>
        <v>0</v>
      </c>
      <c r="L395" s="2">
        <f>HäufigsteErgebnisse[[#This Row],[Zahl]]</f>
        <v>337</v>
      </c>
    </row>
    <row r="396" spans="2:12" x14ac:dyDescent="0.3">
      <c r="B396" s="2">
        <v>338</v>
      </c>
      <c r="C396" s="2">
        <f>COUNTIF(Eingabe[Volle],HäufigsteErgebnisse[[#This Row],[Zahl]])</f>
        <v>3</v>
      </c>
      <c r="D396" s="2">
        <f>COUNTIF(Eingabe[Räumer],HäufigsteErgebnisse[[#This Row],[Zahl]])</f>
        <v>0</v>
      </c>
      <c r="E396" s="2">
        <f>COUNTIF(Eingabe[Fehler],HäufigsteErgebnisse[[#This Row],[Zahl]])</f>
        <v>0</v>
      </c>
      <c r="F396" s="2">
        <f>COUNTIF(Eingabe[S1],HäufigsteErgebnisse[[#This Row],[Zahl]])</f>
        <v>0</v>
      </c>
      <c r="G396" s="2">
        <f>COUNTIF(Eingabe[S2],HäufigsteErgebnisse[[#This Row],[Zahl]])</f>
        <v>0</v>
      </c>
      <c r="H396" s="2">
        <f>COUNTIF(Eingabe[S3],HäufigsteErgebnisse[[#This Row],[Zahl]])</f>
        <v>0</v>
      </c>
      <c r="I396" s="2">
        <f>COUNTIF(Eingabe[S4],HäufigsteErgebnisse[[#This Row],[Zahl]])</f>
        <v>0</v>
      </c>
      <c r="J396" s="2">
        <f>COUNTIF(Eingabe[S1],HäufigsteErgebnisse[[#This Row],[Zahl]])+COUNTIF(Eingabe[S2],HäufigsteErgebnisse[[#This Row],[Zahl]])+COUNTIF(Eingabe[S3],HäufigsteErgebnisse[[#This Row],[Zahl]])+COUNTIF(Eingabe[S4],HäufigsteErgebnisse[[#This Row],[Zahl]])</f>
        <v>0</v>
      </c>
      <c r="K396" s="2">
        <f>COUNTIF(Eingabe[GES],HäufigsteErgebnisse[[#This Row],[Zahl]])</f>
        <v>0</v>
      </c>
      <c r="L396" s="2">
        <f>HäufigsteErgebnisse[[#This Row],[Zahl]]</f>
        <v>338</v>
      </c>
    </row>
    <row r="397" spans="2:12" x14ac:dyDescent="0.3">
      <c r="B397" s="2">
        <v>339</v>
      </c>
      <c r="C397" s="2">
        <f>COUNTIF(Eingabe[Volle],HäufigsteErgebnisse[[#This Row],[Zahl]])</f>
        <v>4</v>
      </c>
      <c r="D397" s="2">
        <f>COUNTIF(Eingabe[Räumer],HäufigsteErgebnisse[[#This Row],[Zahl]])</f>
        <v>0</v>
      </c>
      <c r="E397" s="2">
        <f>COUNTIF(Eingabe[Fehler],HäufigsteErgebnisse[[#This Row],[Zahl]])</f>
        <v>0</v>
      </c>
      <c r="F397" s="2">
        <f>COUNTIF(Eingabe[S1],HäufigsteErgebnisse[[#This Row],[Zahl]])</f>
        <v>0</v>
      </c>
      <c r="G397" s="2">
        <f>COUNTIF(Eingabe[S2],HäufigsteErgebnisse[[#This Row],[Zahl]])</f>
        <v>0</v>
      </c>
      <c r="H397" s="2">
        <f>COUNTIF(Eingabe[S3],HäufigsteErgebnisse[[#This Row],[Zahl]])</f>
        <v>0</v>
      </c>
      <c r="I397" s="2">
        <f>COUNTIF(Eingabe[S4],HäufigsteErgebnisse[[#This Row],[Zahl]])</f>
        <v>0</v>
      </c>
      <c r="J397" s="2">
        <f>COUNTIF(Eingabe[S1],HäufigsteErgebnisse[[#This Row],[Zahl]])+COUNTIF(Eingabe[S2],HäufigsteErgebnisse[[#This Row],[Zahl]])+COUNTIF(Eingabe[S3],HäufigsteErgebnisse[[#This Row],[Zahl]])+COUNTIF(Eingabe[S4],HäufigsteErgebnisse[[#This Row],[Zahl]])</f>
        <v>0</v>
      </c>
      <c r="K397" s="2">
        <f>COUNTIF(Eingabe[GES],HäufigsteErgebnisse[[#This Row],[Zahl]])</f>
        <v>0</v>
      </c>
      <c r="L397" s="2">
        <f>HäufigsteErgebnisse[[#This Row],[Zahl]]</f>
        <v>339</v>
      </c>
    </row>
    <row r="398" spans="2:12" x14ac:dyDescent="0.3">
      <c r="B398" s="2">
        <v>340</v>
      </c>
      <c r="C398" s="2">
        <f>COUNTIF(Eingabe[Volle],HäufigsteErgebnisse[[#This Row],[Zahl]])</f>
        <v>5</v>
      </c>
      <c r="D398" s="2">
        <f>COUNTIF(Eingabe[Räumer],HäufigsteErgebnisse[[#This Row],[Zahl]])</f>
        <v>0</v>
      </c>
      <c r="E398" s="2">
        <f>COUNTIF(Eingabe[Fehler],HäufigsteErgebnisse[[#This Row],[Zahl]])</f>
        <v>0</v>
      </c>
      <c r="F398" s="2">
        <f>COUNTIF(Eingabe[S1],HäufigsteErgebnisse[[#This Row],[Zahl]])</f>
        <v>0</v>
      </c>
      <c r="G398" s="2">
        <f>COUNTIF(Eingabe[S2],HäufigsteErgebnisse[[#This Row],[Zahl]])</f>
        <v>0</v>
      </c>
      <c r="H398" s="2">
        <f>COUNTIF(Eingabe[S3],HäufigsteErgebnisse[[#This Row],[Zahl]])</f>
        <v>0</v>
      </c>
      <c r="I398" s="2">
        <f>COUNTIF(Eingabe[S4],HäufigsteErgebnisse[[#This Row],[Zahl]])</f>
        <v>0</v>
      </c>
      <c r="J398" s="2">
        <f>COUNTIF(Eingabe[S1],HäufigsteErgebnisse[[#This Row],[Zahl]])+COUNTIF(Eingabe[S2],HäufigsteErgebnisse[[#This Row],[Zahl]])+COUNTIF(Eingabe[S3],HäufigsteErgebnisse[[#This Row],[Zahl]])+COUNTIF(Eingabe[S4],HäufigsteErgebnisse[[#This Row],[Zahl]])</f>
        <v>0</v>
      </c>
      <c r="K398" s="2">
        <f>COUNTIF(Eingabe[GES],HäufigsteErgebnisse[[#This Row],[Zahl]])</f>
        <v>0</v>
      </c>
      <c r="L398" s="2">
        <f>HäufigsteErgebnisse[[#This Row],[Zahl]]</f>
        <v>340</v>
      </c>
    </row>
    <row r="399" spans="2:12" x14ac:dyDescent="0.3">
      <c r="B399" s="2">
        <v>341</v>
      </c>
      <c r="C399" s="2">
        <f>COUNTIF(Eingabe[Volle],HäufigsteErgebnisse[[#This Row],[Zahl]])</f>
        <v>3</v>
      </c>
      <c r="D399" s="2">
        <f>COUNTIF(Eingabe[Räumer],HäufigsteErgebnisse[[#This Row],[Zahl]])</f>
        <v>0</v>
      </c>
      <c r="E399" s="2">
        <f>COUNTIF(Eingabe[Fehler],HäufigsteErgebnisse[[#This Row],[Zahl]])</f>
        <v>0</v>
      </c>
      <c r="F399" s="2">
        <f>COUNTIF(Eingabe[S1],HäufigsteErgebnisse[[#This Row],[Zahl]])</f>
        <v>0</v>
      </c>
      <c r="G399" s="2">
        <f>COUNTIF(Eingabe[S2],HäufigsteErgebnisse[[#This Row],[Zahl]])</f>
        <v>0</v>
      </c>
      <c r="H399" s="2">
        <f>COUNTIF(Eingabe[S3],HäufigsteErgebnisse[[#This Row],[Zahl]])</f>
        <v>0</v>
      </c>
      <c r="I399" s="2">
        <f>COUNTIF(Eingabe[S4],HäufigsteErgebnisse[[#This Row],[Zahl]])</f>
        <v>0</v>
      </c>
      <c r="J399" s="2">
        <f>COUNTIF(Eingabe[S1],HäufigsteErgebnisse[[#This Row],[Zahl]])+COUNTIF(Eingabe[S2],HäufigsteErgebnisse[[#This Row],[Zahl]])+COUNTIF(Eingabe[S3],HäufigsteErgebnisse[[#This Row],[Zahl]])+COUNTIF(Eingabe[S4],HäufigsteErgebnisse[[#This Row],[Zahl]])</f>
        <v>0</v>
      </c>
      <c r="K399" s="2">
        <f>COUNTIF(Eingabe[GES],HäufigsteErgebnisse[[#This Row],[Zahl]])</f>
        <v>0</v>
      </c>
      <c r="L399" s="2">
        <f>HäufigsteErgebnisse[[#This Row],[Zahl]]</f>
        <v>341</v>
      </c>
    </row>
    <row r="400" spans="2:12" x14ac:dyDescent="0.3">
      <c r="B400" s="2">
        <v>342</v>
      </c>
      <c r="C400" s="2">
        <f>COUNTIF(Eingabe[Volle],HäufigsteErgebnisse[[#This Row],[Zahl]])</f>
        <v>4</v>
      </c>
      <c r="D400" s="2">
        <f>COUNTIF(Eingabe[Räumer],HäufigsteErgebnisse[[#This Row],[Zahl]])</f>
        <v>0</v>
      </c>
      <c r="E400" s="2">
        <f>COUNTIF(Eingabe[Fehler],HäufigsteErgebnisse[[#This Row],[Zahl]])</f>
        <v>0</v>
      </c>
      <c r="F400" s="2">
        <f>COUNTIF(Eingabe[S1],HäufigsteErgebnisse[[#This Row],[Zahl]])</f>
        <v>0</v>
      </c>
      <c r="G400" s="2">
        <f>COUNTIF(Eingabe[S2],HäufigsteErgebnisse[[#This Row],[Zahl]])</f>
        <v>0</v>
      </c>
      <c r="H400" s="2">
        <f>COUNTIF(Eingabe[S3],HäufigsteErgebnisse[[#This Row],[Zahl]])</f>
        <v>0</v>
      </c>
      <c r="I400" s="2">
        <f>COUNTIF(Eingabe[S4],HäufigsteErgebnisse[[#This Row],[Zahl]])</f>
        <v>0</v>
      </c>
      <c r="J400" s="2">
        <f>COUNTIF(Eingabe[S1],HäufigsteErgebnisse[[#This Row],[Zahl]])+COUNTIF(Eingabe[S2],HäufigsteErgebnisse[[#This Row],[Zahl]])+COUNTIF(Eingabe[S3],HäufigsteErgebnisse[[#This Row],[Zahl]])+COUNTIF(Eingabe[S4],HäufigsteErgebnisse[[#This Row],[Zahl]])</f>
        <v>0</v>
      </c>
      <c r="K400" s="2">
        <f>COUNTIF(Eingabe[GES],HäufigsteErgebnisse[[#This Row],[Zahl]])</f>
        <v>1</v>
      </c>
      <c r="L400" s="2">
        <f>HäufigsteErgebnisse[[#This Row],[Zahl]]</f>
        <v>342</v>
      </c>
    </row>
    <row r="401" spans="2:12" x14ac:dyDescent="0.3">
      <c r="B401" s="2">
        <v>343</v>
      </c>
      <c r="C401" s="2">
        <f>COUNTIF(Eingabe[Volle],HäufigsteErgebnisse[[#This Row],[Zahl]])</f>
        <v>4</v>
      </c>
      <c r="D401" s="2">
        <f>COUNTIF(Eingabe[Räumer],HäufigsteErgebnisse[[#This Row],[Zahl]])</f>
        <v>0</v>
      </c>
      <c r="E401" s="2">
        <f>COUNTIF(Eingabe[Fehler],HäufigsteErgebnisse[[#This Row],[Zahl]])</f>
        <v>0</v>
      </c>
      <c r="F401" s="2">
        <f>COUNTIF(Eingabe[S1],HäufigsteErgebnisse[[#This Row],[Zahl]])</f>
        <v>0</v>
      </c>
      <c r="G401" s="2">
        <f>COUNTIF(Eingabe[S2],HäufigsteErgebnisse[[#This Row],[Zahl]])</f>
        <v>0</v>
      </c>
      <c r="H401" s="2">
        <f>COUNTIF(Eingabe[S3],HäufigsteErgebnisse[[#This Row],[Zahl]])</f>
        <v>0</v>
      </c>
      <c r="I401" s="2">
        <f>COUNTIF(Eingabe[S4],HäufigsteErgebnisse[[#This Row],[Zahl]])</f>
        <v>0</v>
      </c>
      <c r="J401" s="2">
        <f>COUNTIF(Eingabe[S1],HäufigsteErgebnisse[[#This Row],[Zahl]])+COUNTIF(Eingabe[S2],HäufigsteErgebnisse[[#This Row],[Zahl]])+COUNTIF(Eingabe[S3],HäufigsteErgebnisse[[#This Row],[Zahl]])+COUNTIF(Eingabe[S4],HäufigsteErgebnisse[[#This Row],[Zahl]])</f>
        <v>0</v>
      </c>
      <c r="K401" s="2">
        <f>COUNTIF(Eingabe[GES],HäufigsteErgebnisse[[#This Row],[Zahl]])</f>
        <v>0</v>
      </c>
      <c r="L401" s="2">
        <f>HäufigsteErgebnisse[[#This Row],[Zahl]]</f>
        <v>343</v>
      </c>
    </row>
    <row r="402" spans="2:12" x14ac:dyDescent="0.3">
      <c r="B402" s="2">
        <v>344</v>
      </c>
      <c r="C402" s="2">
        <f>COUNTIF(Eingabe[Volle],HäufigsteErgebnisse[[#This Row],[Zahl]])</f>
        <v>8</v>
      </c>
      <c r="D402" s="2">
        <f>COUNTIF(Eingabe[Räumer],HäufigsteErgebnisse[[#This Row],[Zahl]])</f>
        <v>0</v>
      </c>
      <c r="E402" s="2">
        <f>COUNTIF(Eingabe[Fehler],HäufigsteErgebnisse[[#This Row],[Zahl]])</f>
        <v>0</v>
      </c>
      <c r="F402" s="2">
        <f>COUNTIF(Eingabe[S1],HäufigsteErgebnisse[[#This Row],[Zahl]])</f>
        <v>0</v>
      </c>
      <c r="G402" s="2">
        <f>COUNTIF(Eingabe[S2],HäufigsteErgebnisse[[#This Row],[Zahl]])</f>
        <v>0</v>
      </c>
      <c r="H402" s="2">
        <f>COUNTIF(Eingabe[S3],HäufigsteErgebnisse[[#This Row],[Zahl]])</f>
        <v>0</v>
      </c>
      <c r="I402" s="2">
        <f>COUNTIF(Eingabe[S4],HäufigsteErgebnisse[[#This Row],[Zahl]])</f>
        <v>0</v>
      </c>
      <c r="J402" s="2">
        <f>COUNTIF(Eingabe[S1],HäufigsteErgebnisse[[#This Row],[Zahl]])+COUNTIF(Eingabe[S2],HäufigsteErgebnisse[[#This Row],[Zahl]])+COUNTIF(Eingabe[S3],HäufigsteErgebnisse[[#This Row],[Zahl]])+COUNTIF(Eingabe[S4],HäufigsteErgebnisse[[#This Row],[Zahl]])</f>
        <v>0</v>
      </c>
      <c r="K402" s="2">
        <f>COUNTIF(Eingabe[GES],HäufigsteErgebnisse[[#This Row],[Zahl]])</f>
        <v>0</v>
      </c>
      <c r="L402" s="2">
        <f>HäufigsteErgebnisse[[#This Row],[Zahl]]</f>
        <v>344</v>
      </c>
    </row>
    <row r="403" spans="2:12" x14ac:dyDescent="0.3">
      <c r="B403" s="2">
        <v>345</v>
      </c>
      <c r="C403" s="2">
        <f>COUNTIF(Eingabe[Volle],HäufigsteErgebnisse[[#This Row],[Zahl]])</f>
        <v>8</v>
      </c>
      <c r="D403" s="2">
        <f>COUNTIF(Eingabe[Räumer],HäufigsteErgebnisse[[#This Row],[Zahl]])</f>
        <v>0</v>
      </c>
      <c r="E403" s="2">
        <f>COUNTIF(Eingabe[Fehler],HäufigsteErgebnisse[[#This Row],[Zahl]])</f>
        <v>0</v>
      </c>
      <c r="F403" s="2">
        <f>COUNTIF(Eingabe[S1],HäufigsteErgebnisse[[#This Row],[Zahl]])</f>
        <v>0</v>
      </c>
      <c r="G403" s="2">
        <f>COUNTIF(Eingabe[S2],HäufigsteErgebnisse[[#This Row],[Zahl]])</f>
        <v>0</v>
      </c>
      <c r="H403" s="2">
        <f>COUNTIF(Eingabe[S3],HäufigsteErgebnisse[[#This Row],[Zahl]])</f>
        <v>0</v>
      </c>
      <c r="I403" s="2">
        <f>COUNTIF(Eingabe[S4],HäufigsteErgebnisse[[#This Row],[Zahl]])</f>
        <v>0</v>
      </c>
      <c r="J403" s="2">
        <f>COUNTIF(Eingabe[S1],HäufigsteErgebnisse[[#This Row],[Zahl]])+COUNTIF(Eingabe[S2],HäufigsteErgebnisse[[#This Row],[Zahl]])+COUNTIF(Eingabe[S3],HäufigsteErgebnisse[[#This Row],[Zahl]])+COUNTIF(Eingabe[S4],HäufigsteErgebnisse[[#This Row],[Zahl]])</f>
        <v>0</v>
      </c>
      <c r="K403" s="2">
        <f>COUNTIF(Eingabe[GES],HäufigsteErgebnisse[[#This Row],[Zahl]])</f>
        <v>1</v>
      </c>
      <c r="L403" s="2">
        <f>HäufigsteErgebnisse[[#This Row],[Zahl]]</f>
        <v>345</v>
      </c>
    </row>
    <row r="404" spans="2:12" x14ac:dyDescent="0.3">
      <c r="B404" s="2">
        <v>346</v>
      </c>
      <c r="C404" s="2">
        <f>COUNTIF(Eingabe[Volle],HäufigsteErgebnisse[[#This Row],[Zahl]])</f>
        <v>8</v>
      </c>
      <c r="D404" s="2">
        <f>COUNTIF(Eingabe[Räumer],HäufigsteErgebnisse[[#This Row],[Zahl]])</f>
        <v>0</v>
      </c>
      <c r="E404" s="2">
        <f>COUNTIF(Eingabe[Fehler],HäufigsteErgebnisse[[#This Row],[Zahl]])</f>
        <v>0</v>
      </c>
      <c r="F404" s="2">
        <f>COUNTIF(Eingabe[S1],HäufigsteErgebnisse[[#This Row],[Zahl]])</f>
        <v>0</v>
      </c>
      <c r="G404" s="2">
        <f>COUNTIF(Eingabe[S2],HäufigsteErgebnisse[[#This Row],[Zahl]])</f>
        <v>0</v>
      </c>
      <c r="H404" s="2">
        <f>COUNTIF(Eingabe[S3],HäufigsteErgebnisse[[#This Row],[Zahl]])</f>
        <v>0</v>
      </c>
      <c r="I404" s="2">
        <f>COUNTIF(Eingabe[S4],HäufigsteErgebnisse[[#This Row],[Zahl]])</f>
        <v>0</v>
      </c>
      <c r="J404" s="2">
        <f>COUNTIF(Eingabe[S1],HäufigsteErgebnisse[[#This Row],[Zahl]])+COUNTIF(Eingabe[S2],HäufigsteErgebnisse[[#This Row],[Zahl]])+COUNTIF(Eingabe[S3],HäufigsteErgebnisse[[#This Row],[Zahl]])+COUNTIF(Eingabe[S4],HäufigsteErgebnisse[[#This Row],[Zahl]])</f>
        <v>0</v>
      </c>
      <c r="K404" s="2">
        <f>COUNTIF(Eingabe[GES],HäufigsteErgebnisse[[#This Row],[Zahl]])</f>
        <v>0</v>
      </c>
      <c r="L404" s="2">
        <f>HäufigsteErgebnisse[[#This Row],[Zahl]]</f>
        <v>346</v>
      </c>
    </row>
    <row r="405" spans="2:12" x14ac:dyDescent="0.3">
      <c r="B405" s="2">
        <v>347</v>
      </c>
      <c r="C405" s="2">
        <f>COUNTIF(Eingabe[Volle],HäufigsteErgebnisse[[#This Row],[Zahl]])</f>
        <v>4</v>
      </c>
      <c r="D405" s="2">
        <f>COUNTIF(Eingabe[Räumer],HäufigsteErgebnisse[[#This Row],[Zahl]])</f>
        <v>0</v>
      </c>
      <c r="E405" s="2">
        <f>COUNTIF(Eingabe[Fehler],HäufigsteErgebnisse[[#This Row],[Zahl]])</f>
        <v>0</v>
      </c>
      <c r="F405" s="2">
        <f>COUNTIF(Eingabe[S1],HäufigsteErgebnisse[[#This Row],[Zahl]])</f>
        <v>0</v>
      </c>
      <c r="G405" s="2">
        <f>COUNTIF(Eingabe[S2],HäufigsteErgebnisse[[#This Row],[Zahl]])</f>
        <v>0</v>
      </c>
      <c r="H405" s="2">
        <f>COUNTIF(Eingabe[S3],HäufigsteErgebnisse[[#This Row],[Zahl]])</f>
        <v>0</v>
      </c>
      <c r="I405" s="2">
        <f>COUNTIF(Eingabe[S4],HäufigsteErgebnisse[[#This Row],[Zahl]])</f>
        <v>0</v>
      </c>
      <c r="J405" s="2">
        <f>COUNTIF(Eingabe[S1],HäufigsteErgebnisse[[#This Row],[Zahl]])+COUNTIF(Eingabe[S2],HäufigsteErgebnisse[[#This Row],[Zahl]])+COUNTIF(Eingabe[S3],HäufigsteErgebnisse[[#This Row],[Zahl]])+COUNTIF(Eingabe[S4],HäufigsteErgebnisse[[#This Row],[Zahl]])</f>
        <v>0</v>
      </c>
      <c r="K405" s="2">
        <f>COUNTIF(Eingabe[GES],HäufigsteErgebnisse[[#This Row],[Zahl]])</f>
        <v>2</v>
      </c>
      <c r="L405" s="2">
        <f>HäufigsteErgebnisse[[#This Row],[Zahl]]</f>
        <v>347</v>
      </c>
    </row>
    <row r="406" spans="2:12" x14ac:dyDescent="0.3">
      <c r="B406" s="2">
        <v>348</v>
      </c>
      <c r="C406" s="2">
        <f>COUNTIF(Eingabe[Volle],HäufigsteErgebnisse[[#This Row],[Zahl]])</f>
        <v>5</v>
      </c>
      <c r="D406" s="2">
        <f>COUNTIF(Eingabe[Räumer],HäufigsteErgebnisse[[#This Row],[Zahl]])</f>
        <v>0</v>
      </c>
      <c r="E406" s="2">
        <f>COUNTIF(Eingabe[Fehler],HäufigsteErgebnisse[[#This Row],[Zahl]])</f>
        <v>0</v>
      </c>
      <c r="F406" s="2">
        <f>COUNTIF(Eingabe[S1],HäufigsteErgebnisse[[#This Row],[Zahl]])</f>
        <v>0</v>
      </c>
      <c r="G406" s="2">
        <f>COUNTIF(Eingabe[S2],HäufigsteErgebnisse[[#This Row],[Zahl]])</f>
        <v>0</v>
      </c>
      <c r="H406" s="2">
        <f>COUNTIF(Eingabe[S3],HäufigsteErgebnisse[[#This Row],[Zahl]])</f>
        <v>0</v>
      </c>
      <c r="I406" s="2">
        <f>COUNTIF(Eingabe[S4],HäufigsteErgebnisse[[#This Row],[Zahl]])</f>
        <v>0</v>
      </c>
      <c r="J406" s="2">
        <f>COUNTIF(Eingabe[S1],HäufigsteErgebnisse[[#This Row],[Zahl]])+COUNTIF(Eingabe[S2],HäufigsteErgebnisse[[#This Row],[Zahl]])+COUNTIF(Eingabe[S3],HäufigsteErgebnisse[[#This Row],[Zahl]])+COUNTIF(Eingabe[S4],HäufigsteErgebnisse[[#This Row],[Zahl]])</f>
        <v>0</v>
      </c>
      <c r="K406" s="2">
        <f>COUNTIF(Eingabe[GES],HäufigsteErgebnisse[[#This Row],[Zahl]])</f>
        <v>1</v>
      </c>
      <c r="L406" s="2">
        <f>HäufigsteErgebnisse[[#This Row],[Zahl]]</f>
        <v>348</v>
      </c>
    </row>
    <row r="407" spans="2:12" x14ac:dyDescent="0.3">
      <c r="B407" s="2">
        <v>349</v>
      </c>
      <c r="C407" s="2">
        <f>COUNTIF(Eingabe[Volle],HäufigsteErgebnisse[[#This Row],[Zahl]])</f>
        <v>6</v>
      </c>
      <c r="D407" s="2">
        <f>COUNTIF(Eingabe[Räumer],HäufigsteErgebnisse[[#This Row],[Zahl]])</f>
        <v>0</v>
      </c>
      <c r="E407" s="2">
        <f>COUNTIF(Eingabe[Fehler],HäufigsteErgebnisse[[#This Row],[Zahl]])</f>
        <v>0</v>
      </c>
      <c r="F407" s="2">
        <f>COUNTIF(Eingabe[S1],HäufigsteErgebnisse[[#This Row],[Zahl]])</f>
        <v>0</v>
      </c>
      <c r="G407" s="2">
        <f>COUNTIF(Eingabe[S2],HäufigsteErgebnisse[[#This Row],[Zahl]])</f>
        <v>0</v>
      </c>
      <c r="H407" s="2">
        <f>COUNTIF(Eingabe[S3],HäufigsteErgebnisse[[#This Row],[Zahl]])</f>
        <v>0</v>
      </c>
      <c r="I407" s="2">
        <f>COUNTIF(Eingabe[S4],HäufigsteErgebnisse[[#This Row],[Zahl]])</f>
        <v>0</v>
      </c>
      <c r="J407" s="2">
        <f>COUNTIF(Eingabe[S1],HäufigsteErgebnisse[[#This Row],[Zahl]])+COUNTIF(Eingabe[S2],HäufigsteErgebnisse[[#This Row],[Zahl]])+COUNTIF(Eingabe[S3],HäufigsteErgebnisse[[#This Row],[Zahl]])+COUNTIF(Eingabe[S4],HäufigsteErgebnisse[[#This Row],[Zahl]])</f>
        <v>0</v>
      </c>
      <c r="K407" s="2">
        <f>COUNTIF(Eingabe[GES],HäufigsteErgebnisse[[#This Row],[Zahl]])</f>
        <v>1</v>
      </c>
      <c r="L407" s="2">
        <f>HäufigsteErgebnisse[[#This Row],[Zahl]]</f>
        <v>349</v>
      </c>
    </row>
    <row r="408" spans="2:12" x14ac:dyDescent="0.3">
      <c r="B408" s="2">
        <v>350</v>
      </c>
      <c r="C408" s="2">
        <f>COUNTIF(Eingabe[Volle],HäufigsteErgebnisse[[#This Row],[Zahl]])</f>
        <v>9</v>
      </c>
      <c r="D408" s="2">
        <f>COUNTIF(Eingabe[Räumer],HäufigsteErgebnisse[[#This Row],[Zahl]])</f>
        <v>0</v>
      </c>
      <c r="E408" s="2">
        <f>COUNTIF(Eingabe[Fehler],HäufigsteErgebnisse[[#This Row],[Zahl]])</f>
        <v>0</v>
      </c>
      <c r="F408" s="2">
        <f>COUNTIF(Eingabe[S1],HäufigsteErgebnisse[[#This Row],[Zahl]])</f>
        <v>0</v>
      </c>
      <c r="G408" s="2">
        <f>COUNTIF(Eingabe[S2],HäufigsteErgebnisse[[#This Row],[Zahl]])</f>
        <v>0</v>
      </c>
      <c r="H408" s="2">
        <f>COUNTIF(Eingabe[S3],HäufigsteErgebnisse[[#This Row],[Zahl]])</f>
        <v>0</v>
      </c>
      <c r="I408" s="2">
        <f>COUNTIF(Eingabe[S4],HäufigsteErgebnisse[[#This Row],[Zahl]])</f>
        <v>0</v>
      </c>
      <c r="J408" s="2">
        <f>COUNTIF(Eingabe[S1],HäufigsteErgebnisse[[#This Row],[Zahl]])+COUNTIF(Eingabe[S2],HäufigsteErgebnisse[[#This Row],[Zahl]])+COUNTIF(Eingabe[S3],HäufigsteErgebnisse[[#This Row],[Zahl]])+COUNTIF(Eingabe[S4],HäufigsteErgebnisse[[#This Row],[Zahl]])</f>
        <v>0</v>
      </c>
      <c r="K408" s="2">
        <f>COUNTIF(Eingabe[GES],HäufigsteErgebnisse[[#This Row],[Zahl]])</f>
        <v>1</v>
      </c>
      <c r="L408" s="2">
        <f>HäufigsteErgebnisse[[#This Row],[Zahl]]</f>
        <v>350</v>
      </c>
    </row>
    <row r="409" spans="2:12" x14ac:dyDescent="0.3">
      <c r="B409" s="2">
        <v>351</v>
      </c>
      <c r="C409" s="2">
        <f>COUNTIF(Eingabe[Volle],HäufigsteErgebnisse[[#This Row],[Zahl]])</f>
        <v>9</v>
      </c>
      <c r="D409" s="2">
        <f>COUNTIF(Eingabe[Räumer],HäufigsteErgebnisse[[#This Row],[Zahl]])</f>
        <v>0</v>
      </c>
      <c r="E409" s="2">
        <f>COUNTIF(Eingabe[Fehler],HäufigsteErgebnisse[[#This Row],[Zahl]])</f>
        <v>0</v>
      </c>
      <c r="F409" s="2">
        <f>COUNTIF(Eingabe[S1],HäufigsteErgebnisse[[#This Row],[Zahl]])</f>
        <v>0</v>
      </c>
      <c r="G409" s="2">
        <f>COUNTIF(Eingabe[S2],HäufigsteErgebnisse[[#This Row],[Zahl]])</f>
        <v>0</v>
      </c>
      <c r="H409" s="2">
        <f>COUNTIF(Eingabe[S3],HäufigsteErgebnisse[[#This Row],[Zahl]])</f>
        <v>0</v>
      </c>
      <c r="I409" s="2">
        <f>COUNTIF(Eingabe[S4],HäufigsteErgebnisse[[#This Row],[Zahl]])</f>
        <v>0</v>
      </c>
      <c r="J409" s="2">
        <f>COUNTIF(Eingabe[S1],HäufigsteErgebnisse[[#This Row],[Zahl]])+COUNTIF(Eingabe[S2],HäufigsteErgebnisse[[#This Row],[Zahl]])+COUNTIF(Eingabe[S3],HäufigsteErgebnisse[[#This Row],[Zahl]])+COUNTIF(Eingabe[S4],HäufigsteErgebnisse[[#This Row],[Zahl]])</f>
        <v>0</v>
      </c>
      <c r="K409" s="2">
        <f>COUNTIF(Eingabe[GES],HäufigsteErgebnisse[[#This Row],[Zahl]])</f>
        <v>0</v>
      </c>
      <c r="L409" s="2">
        <f>HäufigsteErgebnisse[[#This Row],[Zahl]]</f>
        <v>351</v>
      </c>
    </row>
    <row r="410" spans="2:12" x14ac:dyDescent="0.3">
      <c r="B410" s="2">
        <v>352</v>
      </c>
      <c r="C410" s="2">
        <f>COUNTIF(Eingabe[Volle],HäufigsteErgebnisse[[#This Row],[Zahl]])</f>
        <v>9</v>
      </c>
      <c r="D410" s="2">
        <f>COUNTIF(Eingabe[Räumer],HäufigsteErgebnisse[[#This Row],[Zahl]])</f>
        <v>0</v>
      </c>
      <c r="E410" s="2">
        <f>COUNTIF(Eingabe[Fehler],HäufigsteErgebnisse[[#This Row],[Zahl]])</f>
        <v>0</v>
      </c>
      <c r="F410" s="2">
        <f>COUNTIF(Eingabe[S1],HäufigsteErgebnisse[[#This Row],[Zahl]])</f>
        <v>0</v>
      </c>
      <c r="G410" s="2">
        <f>COUNTIF(Eingabe[S2],HäufigsteErgebnisse[[#This Row],[Zahl]])</f>
        <v>0</v>
      </c>
      <c r="H410" s="2">
        <f>COUNTIF(Eingabe[S3],HäufigsteErgebnisse[[#This Row],[Zahl]])</f>
        <v>0</v>
      </c>
      <c r="I410" s="2">
        <f>COUNTIF(Eingabe[S4],HäufigsteErgebnisse[[#This Row],[Zahl]])</f>
        <v>0</v>
      </c>
      <c r="J410" s="2">
        <f>COUNTIF(Eingabe[S1],HäufigsteErgebnisse[[#This Row],[Zahl]])+COUNTIF(Eingabe[S2],HäufigsteErgebnisse[[#This Row],[Zahl]])+COUNTIF(Eingabe[S3],HäufigsteErgebnisse[[#This Row],[Zahl]])+COUNTIF(Eingabe[S4],HäufigsteErgebnisse[[#This Row],[Zahl]])</f>
        <v>0</v>
      </c>
      <c r="K410" s="2">
        <f>COUNTIF(Eingabe[GES],HäufigsteErgebnisse[[#This Row],[Zahl]])</f>
        <v>0</v>
      </c>
      <c r="L410" s="2">
        <f>HäufigsteErgebnisse[[#This Row],[Zahl]]</f>
        <v>352</v>
      </c>
    </row>
    <row r="411" spans="2:12" x14ac:dyDescent="0.3">
      <c r="B411" s="2">
        <v>353</v>
      </c>
      <c r="C411" s="2">
        <f>COUNTIF(Eingabe[Volle],HäufigsteErgebnisse[[#This Row],[Zahl]])</f>
        <v>5</v>
      </c>
      <c r="D411" s="2">
        <f>COUNTIF(Eingabe[Räumer],HäufigsteErgebnisse[[#This Row],[Zahl]])</f>
        <v>0</v>
      </c>
      <c r="E411" s="2">
        <f>COUNTIF(Eingabe[Fehler],HäufigsteErgebnisse[[#This Row],[Zahl]])</f>
        <v>0</v>
      </c>
      <c r="F411" s="2">
        <f>COUNTIF(Eingabe[S1],HäufigsteErgebnisse[[#This Row],[Zahl]])</f>
        <v>0</v>
      </c>
      <c r="G411" s="2">
        <f>COUNTIF(Eingabe[S2],HäufigsteErgebnisse[[#This Row],[Zahl]])</f>
        <v>0</v>
      </c>
      <c r="H411" s="2">
        <f>COUNTIF(Eingabe[S3],HäufigsteErgebnisse[[#This Row],[Zahl]])</f>
        <v>0</v>
      </c>
      <c r="I411" s="2">
        <f>COUNTIF(Eingabe[S4],HäufigsteErgebnisse[[#This Row],[Zahl]])</f>
        <v>0</v>
      </c>
      <c r="J411" s="2">
        <f>COUNTIF(Eingabe[S1],HäufigsteErgebnisse[[#This Row],[Zahl]])+COUNTIF(Eingabe[S2],HäufigsteErgebnisse[[#This Row],[Zahl]])+COUNTIF(Eingabe[S3],HäufigsteErgebnisse[[#This Row],[Zahl]])+COUNTIF(Eingabe[S4],HäufigsteErgebnisse[[#This Row],[Zahl]])</f>
        <v>0</v>
      </c>
      <c r="K411" s="2">
        <f>COUNTIF(Eingabe[GES],HäufigsteErgebnisse[[#This Row],[Zahl]])</f>
        <v>0</v>
      </c>
      <c r="L411" s="2">
        <f>HäufigsteErgebnisse[[#This Row],[Zahl]]</f>
        <v>353</v>
      </c>
    </row>
    <row r="412" spans="2:12" x14ac:dyDescent="0.3">
      <c r="B412" s="2">
        <v>354</v>
      </c>
      <c r="C412" s="2">
        <f>COUNTIF(Eingabe[Volle],HäufigsteErgebnisse[[#This Row],[Zahl]])</f>
        <v>7</v>
      </c>
      <c r="D412" s="2">
        <f>COUNTIF(Eingabe[Räumer],HäufigsteErgebnisse[[#This Row],[Zahl]])</f>
        <v>0</v>
      </c>
      <c r="E412" s="2">
        <f>COUNTIF(Eingabe[Fehler],HäufigsteErgebnisse[[#This Row],[Zahl]])</f>
        <v>0</v>
      </c>
      <c r="F412" s="2">
        <f>COUNTIF(Eingabe[S1],HäufigsteErgebnisse[[#This Row],[Zahl]])</f>
        <v>0</v>
      </c>
      <c r="G412" s="2">
        <f>COUNTIF(Eingabe[S2],HäufigsteErgebnisse[[#This Row],[Zahl]])</f>
        <v>0</v>
      </c>
      <c r="H412" s="2">
        <f>COUNTIF(Eingabe[S3],HäufigsteErgebnisse[[#This Row],[Zahl]])</f>
        <v>0</v>
      </c>
      <c r="I412" s="2">
        <f>COUNTIF(Eingabe[S4],HäufigsteErgebnisse[[#This Row],[Zahl]])</f>
        <v>0</v>
      </c>
      <c r="J412" s="2">
        <f>COUNTIF(Eingabe[S1],HäufigsteErgebnisse[[#This Row],[Zahl]])+COUNTIF(Eingabe[S2],HäufigsteErgebnisse[[#This Row],[Zahl]])+COUNTIF(Eingabe[S3],HäufigsteErgebnisse[[#This Row],[Zahl]])+COUNTIF(Eingabe[S4],HäufigsteErgebnisse[[#This Row],[Zahl]])</f>
        <v>0</v>
      </c>
      <c r="K412" s="2">
        <f>COUNTIF(Eingabe[GES],HäufigsteErgebnisse[[#This Row],[Zahl]])</f>
        <v>1</v>
      </c>
      <c r="L412" s="2">
        <f>HäufigsteErgebnisse[[#This Row],[Zahl]]</f>
        <v>354</v>
      </c>
    </row>
    <row r="413" spans="2:12" x14ac:dyDescent="0.3">
      <c r="B413" s="2">
        <v>355</v>
      </c>
      <c r="C413" s="2">
        <f>COUNTIF(Eingabe[Volle],HäufigsteErgebnisse[[#This Row],[Zahl]])</f>
        <v>7</v>
      </c>
      <c r="D413" s="2">
        <f>COUNTIF(Eingabe[Räumer],HäufigsteErgebnisse[[#This Row],[Zahl]])</f>
        <v>0</v>
      </c>
      <c r="E413" s="2">
        <f>COUNTIF(Eingabe[Fehler],HäufigsteErgebnisse[[#This Row],[Zahl]])</f>
        <v>0</v>
      </c>
      <c r="F413" s="2">
        <f>COUNTIF(Eingabe[S1],HäufigsteErgebnisse[[#This Row],[Zahl]])</f>
        <v>0</v>
      </c>
      <c r="G413" s="2">
        <f>COUNTIF(Eingabe[S2],HäufigsteErgebnisse[[#This Row],[Zahl]])</f>
        <v>0</v>
      </c>
      <c r="H413" s="2">
        <f>COUNTIF(Eingabe[S3],HäufigsteErgebnisse[[#This Row],[Zahl]])</f>
        <v>0</v>
      </c>
      <c r="I413" s="2">
        <f>COUNTIF(Eingabe[S4],HäufigsteErgebnisse[[#This Row],[Zahl]])</f>
        <v>0</v>
      </c>
      <c r="J413" s="2">
        <f>COUNTIF(Eingabe[S1],HäufigsteErgebnisse[[#This Row],[Zahl]])+COUNTIF(Eingabe[S2],HäufigsteErgebnisse[[#This Row],[Zahl]])+COUNTIF(Eingabe[S3],HäufigsteErgebnisse[[#This Row],[Zahl]])+COUNTIF(Eingabe[S4],HäufigsteErgebnisse[[#This Row],[Zahl]])</f>
        <v>0</v>
      </c>
      <c r="K413" s="2">
        <f>COUNTIF(Eingabe[GES],HäufigsteErgebnisse[[#This Row],[Zahl]])</f>
        <v>0</v>
      </c>
      <c r="L413" s="2">
        <f>HäufigsteErgebnisse[[#This Row],[Zahl]]</f>
        <v>355</v>
      </c>
    </row>
    <row r="414" spans="2:12" x14ac:dyDescent="0.3">
      <c r="B414" s="2">
        <v>356</v>
      </c>
      <c r="C414" s="2">
        <f>COUNTIF(Eingabe[Volle],HäufigsteErgebnisse[[#This Row],[Zahl]])</f>
        <v>6</v>
      </c>
      <c r="D414" s="2">
        <f>COUNTIF(Eingabe[Räumer],HäufigsteErgebnisse[[#This Row],[Zahl]])</f>
        <v>0</v>
      </c>
      <c r="E414" s="2">
        <f>COUNTIF(Eingabe[Fehler],HäufigsteErgebnisse[[#This Row],[Zahl]])</f>
        <v>0</v>
      </c>
      <c r="F414" s="2">
        <f>COUNTIF(Eingabe[S1],HäufigsteErgebnisse[[#This Row],[Zahl]])</f>
        <v>0</v>
      </c>
      <c r="G414" s="2">
        <f>COUNTIF(Eingabe[S2],HäufigsteErgebnisse[[#This Row],[Zahl]])</f>
        <v>0</v>
      </c>
      <c r="H414" s="2">
        <f>COUNTIF(Eingabe[S3],HäufigsteErgebnisse[[#This Row],[Zahl]])</f>
        <v>0</v>
      </c>
      <c r="I414" s="2">
        <f>COUNTIF(Eingabe[S4],HäufigsteErgebnisse[[#This Row],[Zahl]])</f>
        <v>0</v>
      </c>
      <c r="J414" s="2">
        <f>COUNTIF(Eingabe[S1],HäufigsteErgebnisse[[#This Row],[Zahl]])+COUNTIF(Eingabe[S2],HäufigsteErgebnisse[[#This Row],[Zahl]])+COUNTIF(Eingabe[S3],HäufigsteErgebnisse[[#This Row],[Zahl]])+COUNTIF(Eingabe[S4],HäufigsteErgebnisse[[#This Row],[Zahl]])</f>
        <v>0</v>
      </c>
      <c r="K414" s="2">
        <f>COUNTIF(Eingabe[GES],HäufigsteErgebnisse[[#This Row],[Zahl]])</f>
        <v>0</v>
      </c>
      <c r="L414" s="2">
        <f>HäufigsteErgebnisse[[#This Row],[Zahl]]</f>
        <v>356</v>
      </c>
    </row>
    <row r="415" spans="2:12" x14ac:dyDescent="0.3">
      <c r="B415" s="2">
        <v>357</v>
      </c>
      <c r="C415" s="2">
        <f>COUNTIF(Eingabe[Volle],HäufigsteErgebnisse[[#This Row],[Zahl]])</f>
        <v>5</v>
      </c>
      <c r="D415" s="2">
        <f>COUNTIF(Eingabe[Räumer],HäufigsteErgebnisse[[#This Row],[Zahl]])</f>
        <v>0</v>
      </c>
      <c r="E415" s="2">
        <f>COUNTIF(Eingabe[Fehler],HäufigsteErgebnisse[[#This Row],[Zahl]])</f>
        <v>0</v>
      </c>
      <c r="F415" s="2">
        <f>COUNTIF(Eingabe[S1],HäufigsteErgebnisse[[#This Row],[Zahl]])</f>
        <v>0</v>
      </c>
      <c r="G415" s="2">
        <f>COUNTIF(Eingabe[S2],HäufigsteErgebnisse[[#This Row],[Zahl]])</f>
        <v>0</v>
      </c>
      <c r="H415" s="2">
        <f>COUNTIF(Eingabe[S3],HäufigsteErgebnisse[[#This Row],[Zahl]])</f>
        <v>0</v>
      </c>
      <c r="I415" s="2">
        <f>COUNTIF(Eingabe[S4],HäufigsteErgebnisse[[#This Row],[Zahl]])</f>
        <v>0</v>
      </c>
      <c r="J415" s="2">
        <f>COUNTIF(Eingabe[S1],HäufigsteErgebnisse[[#This Row],[Zahl]])+COUNTIF(Eingabe[S2],HäufigsteErgebnisse[[#This Row],[Zahl]])+COUNTIF(Eingabe[S3],HäufigsteErgebnisse[[#This Row],[Zahl]])+COUNTIF(Eingabe[S4],HäufigsteErgebnisse[[#This Row],[Zahl]])</f>
        <v>0</v>
      </c>
      <c r="K415" s="2">
        <f>COUNTIF(Eingabe[GES],HäufigsteErgebnisse[[#This Row],[Zahl]])</f>
        <v>0</v>
      </c>
      <c r="L415" s="2">
        <f>HäufigsteErgebnisse[[#This Row],[Zahl]]</f>
        <v>357</v>
      </c>
    </row>
    <row r="416" spans="2:12" x14ac:dyDescent="0.3">
      <c r="B416" s="2">
        <v>358</v>
      </c>
      <c r="C416" s="2">
        <f>COUNTIF(Eingabe[Volle],HäufigsteErgebnisse[[#This Row],[Zahl]])</f>
        <v>7</v>
      </c>
      <c r="D416" s="2">
        <f>COUNTIF(Eingabe[Räumer],HäufigsteErgebnisse[[#This Row],[Zahl]])</f>
        <v>0</v>
      </c>
      <c r="E416" s="2">
        <f>COUNTIF(Eingabe[Fehler],HäufigsteErgebnisse[[#This Row],[Zahl]])</f>
        <v>0</v>
      </c>
      <c r="F416" s="2">
        <f>COUNTIF(Eingabe[S1],HäufigsteErgebnisse[[#This Row],[Zahl]])</f>
        <v>0</v>
      </c>
      <c r="G416" s="2">
        <f>COUNTIF(Eingabe[S2],HäufigsteErgebnisse[[#This Row],[Zahl]])</f>
        <v>0</v>
      </c>
      <c r="H416" s="2">
        <f>COUNTIF(Eingabe[S3],HäufigsteErgebnisse[[#This Row],[Zahl]])</f>
        <v>0</v>
      </c>
      <c r="I416" s="2">
        <f>COUNTIF(Eingabe[S4],HäufigsteErgebnisse[[#This Row],[Zahl]])</f>
        <v>0</v>
      </c>
      <c r="J416" s="2">
        <f>COUNTIF(Eingabe[S1],HäufigsteErgebnisse[[#This Row],[Zahl]])+COUNTIF(Eingabe[S2],HäufigsteErgebnisse[[#This Row],[Zahl]])+COUNTIF(Eingabe[S3],HäufigsteErgebnisse[[#This Row],[Zahl]])+COUNTIF(Eingabe[S4],HäufigsteErgebnisse[[#This Row],[Zahl]])</f>
        <v>0</v>
      </c>
      <c r="K416" s="2">
        <f>COUNTIF(Eingabe[GES],HäufigsteErgebnisse[[#This Row],[Zahl]])</f>
        <v>0</v>
      </c>
      <c r="L416" s="2">
        <f>HäufigsteErgebnisse[[#This Row],[Zahl]]</f>
        <v>358</v>
      </c>
    </row>
    <row r="417" spans="2:12" x14ac:dyDescent="0.3">
      <c r="B417" s="2">
        <v>359</v>
      </c>
      <c r="C417" s="2">
        <f>COUNTIF(Eingabe[Volle],HäufigsteErgebnisse[[#This Row],[Zahl]])</f>
        <v>10</v>
      </c>
      <c r="D417" s="2">
        <f>COUNTIF(Eingabe[Räumer],HäufigsteErgebnisse[[#This Row],[Zahl]])</f>
        <v>0</v>
      </c>
      <c r="E417" s="2">
        <f>COUNTIF(Eingabe[Fehler],HäufigsteErgebnisse[[#This Row],[Zahl]])</f>
        <v>0</v>
      </c>
      <c r="F417" s="2">
        <f>COUNTIF(Eingabe[S1],HäufigsteErgebnisse[[#This Row],[Zahl]])</f>
        <v>0</v>
      </c>
      <c r="G417" s="2">
        <f>COUNTIF(Eingabe[S2],HäufigsteErgebnisse[[#This Row],[Zahl]])</f>
        <v>0</v>
      </c>
      <c r="H417" s="2">
        <f>COUNTIF(Eingabe[S3],HäufigsteErgebnisse[[#This Row],[Zahl]])</f>
        <v>0</v>
      </c>
      <c r="I417" s="2">
        <f>COUNTIF(Eingabe[S4],HäufigsteErgebnisse[[#This Row],[Zahl]])</f>
        <v>0</v>
      </c>
      <c r="J417" s="2">
        <f>COUNTIF(Eingabe[S1],HäufigsteErgebnisse[[#This Row],[Zahl]])+COUNTIF(Eingabe[S2],HäufigsteErgebnisse[[#This Row],[Zahl]])+COUNTIF(Eingabe[S3],HäufigsteErgebnisse[[#This Row],[Zahl]])+COUNTIF(Eingabe[S4],HäufigsteErgebnisse[[#This Row],[Zahl]])</f>
        <v>0</v>
      </c>
      <c r="K417" s="2">
        <f>COUNTIF(Eingabe[GES],HäufigsteErgebnisse[[#This Row],[Zahl]])</f>
        <v>0</v>
      </c>
      <c r="L417" s="2">
        <f>HäufigsteErgebnisse[[#This Row],[Zahl]]</f>
        <v>359</v>
      </c>
    </row>
    <row r="418" spans="2:12" x14ac:dyDescent="0.3">
      <c r="B418" s="2">
        <v>360</v>
      </c>
      <c r="C418" s="2">
        <f>COUNTIF(Eingabe[Volle],HäufigsteErgebnisse[[#This Row],[Zahl]])</f>
        <v>2</v>
      </c>
      <c r="D418" s="2">
        <f>COUNTIF(Eingabe[Räumer],HäufigsteErgebnisse[[#This Row],[Zahl]])</f>
        <v>0</v>
      </c>
      <c r="E418" s="2">
        <f>COUNTIF(Eingabe[Fehler],HäufigsteErgebnisse[[#This Row],[Zahl]])</f>
        <v>0</v>
      </c>
      <c r="F418" s="2">
        <f>COUNTIF(Eingabe[S1],HäufigsteErgebnisse[[#This Row],[Zahl]])</f>
        <v>0</v>
      </c>
      <c r="G418" s="2">
        <f>COUNTIF(Eingabe[S2],HäufigsteErgebnisse[[#This Row],[Zahl]])</f>
        <v>0</v>
      </c>
      <c r="H418" s="2">
        <f>COUNTIF(Eingabe[S3],HäufigsteErgebnisse[[#This Row],[Zahl]])</f>
        <v>0</v>
      </c>
      <c r="I418" s="2">
        <f>COUNTIF(Eingabe[S4],HäufigsteErgebnisse[[#This Row],[Zahl]])</f>
        <v>0</v>
      </c>
      <c r="J418" s="2">
        <f>COUNTIF(Eingabe[S1],HäufigsteErgebnisse[[#This Row],[Zahl]])+COUNTIF(Eingabe[S2],HäufigsteErgebnisse[[#This Row],[Zahl]])+COUNTIF(Eingabe[S3],HäufigsteErgebnisse[[#This Row],[Zahl]])+COUNTIF(Eingabe[S4],HäufigsteErgebnisse[[#This Row],[Zahl]])</f>
        <v>0</v>
      </c>
      <c r="K418" s="2">
        <f>COUNTIF(Eingabe[GES],HäufigsteErgebnisse[[#This Row],[Zahl]])</f>
        <v>0</v>
      </c>
      <c r="L418" s="2">
        <f>HäufigsteErgebnisse[[#This Row],[Zahl]]</f>
        <v>360</v>
      </c>
    </row>
    <row r="419" spans="2:12" x14ac:dyDescent="0.3">
      <c r="B419" s="2">
        <v>361</v>
      </c>
      <c r="C419" s="2">
        <f>COUNTIF(Eingabe[Volle],HäufigsteErgebnisse[[#This Row],[Zahl]])</f>
        <v>6</v>
      </c>
      <c r="D419" s="2">
        <f>COUNTIF(Eingabe[Räumer],HäufigsteErgebnisse[[#This Row],[Zahl]])</f>
        <v>0</v>
      </c>
      <c r="E419" s="2">
        <f>COUNTIF(Eingabe[Fehler],HäufigsteErgebnisse[[#This Row],[Zahl]])</f>
        <v>0</v>
      </c>
      <c r="F419" s="2">
        <f>COUNTIF(Eingabe[S1],HäufigsteErgebnisse[[#This Row],[Zahl]])</f>
        <v>0</v>
      </c>
      <c r="G419" s="2">
        <f>COUNTIF(Eingabe[S2],HäufigsteErgebnisse[[#This Row],[Zahl]])</f>
        <v>0</v>
      </c>
      <c r="H419" s="2">
        <f>COUNTIF(Eingabe[S3],HäufigsteErgebnisse[[#This Row],[Zahl]])</f>
        <v>0</v>
      </c>
      <c r="I419" s="2">
        <f>COUNTIF(Eingabe[S4],HäufigsteErgebnisse[[#This Row],[Zahl]])</f>
        <v>0</v>
      </c>
      <c r="J419" s="2">
        <f>COUNTIF(Eingabe[S1],HäufigsteErgebnisse[[#This Row],[Zahl]])+COUNTIF(Eingabe[S2],HäufigsteErgebnisse[[#This Row],[Zahl]])+COUNTIF(Eingabe[S3],HäufigsteErgebnisse[[#This Row],[Zahl]])+COUNTIF(Eingabe[S4],HäufigsteErgebnisse[[#This Row],[Zahl]])</f>
        <v>0</v>
      </c>
      <c r="K419" s="2">
        <f>COUNTIF(Eingabe[GES],HäufigsteErgebnisse[[#This Row],[Zahl]])</f>
        <v>0</v>
      </c>
      <c r="L419" s="2">
        <f>HäufigsteErgebnisse[[#This Row],[Zahl]]</f>
        <v>361</v>
      </c>
    </row>
    <row r="420" spans="2:12" x14ac:dyDescent="0.3">
      <c r="B420" s="2">
        <v>362</v>
      </c>
      <c r="C420" s="2">
        <f>COUNTIF(Eingabe[Volle],HäufigsteErgebnisse[[#This Row],[Zahl]])</f>
        <v>3</v>
      </c>
      <c r="D420" s="2">
        <f>COUNTIF(Eingabe[Räumer],HäufigsteErgebnisse[[#This Row],[Zahl]])</f>
        <v>0</v>
      </c>
      <c r="E420" s="2">
        <f>COUNTIF(Eingabe[Fehler],HäufigsteErgebnisse[[#This Row],[Zahl]])</f>
        <v>0</v>
      </c>
      <c r="F420" s="2">
        <f>COUNTIF(Eingabe[S1],HäufigsteErgebnisse[[#This Row],[Zahl]])</f>
        <v>0</v>
      </c>
      <c r="G420" s="2">
        <f>COUNTIF(Eingabe[S2],HäufigsteErgebnisse[[#This Row],[Zahl]])</f>
        <v>0</v>
      </c>
      <c r="H420" s="2">
        <f>COUNTIF(Eingabe[S3],HäufigsteErgebnisse[[#This Row],[Zahl]])</f>
        <v>0</v>
      </c>
      <c r="I420" s="2">
        <f>COUNTIF(Eingabe[S4],HäufigsteErgebnisse[[#This Row],[Zahl]])</f>
        <v>0</v>
      </c>
      <c r="J420" s="2">
        <f>COUNTIF(Eingabe[S1],HäufigsteErgebnisse[[#This Row],[Zahl]])+COUNTIF(Eingabe[S2],HäufigsteErgebnisse[[#This Row],[Zahl]])+COUNTIF(Eingabe[S3],HäufigsteErgebnisse[[#This Row],[Zahl]])+COUNTIF(Eingabe[S4],HäufigsteErgebnisse[[#This Row],[Zahl]])</f>
        <v>0</v>
      </c>
      <c r="K420" s="2">
        <f>COUNTIF(Eingabe[GES],HäufigsteErgebnisse[[#This Row],[Zahl]])</f>
        <v>0</v>
      </c>
      <c r="L420" s="2">
        <f>HäufigsteErgebnisse[[#This Row],[Zahl]]</f>
        <v>362</v>
      </c>
    </row>
    <row r="421" spans="2:12" x14ac:dyDescent="0.3">
      <c r="B421" s="2">
        <v>363</v>
      </c>
      <c r="C421" s="2">
        <f>COUNTIF(Eingabe[Volle],HäufigsteErgebnisse[[#This Row],[Zahl]])</f>
        <v>6</v>
      </c>
      <c r="D421" s="2">
        <f>COUNTIF(Eingabe[Räumer],HäufigsteErgebnisse[[#This Row],[Zahl]])</f>
        <v>0</v>
      </c>
      <c r="E421" s="2">
        <f>COUNTIF(Eingabe[Fehler],HäufigsteErgebnisse[[#This Row],[Zahl]])</f>
        <v>0</v>
      </c>
      <c r="F421" s="2">
        <f>COUNTIF(Eingabe[S1],HäufigsteErgebnisse[[#This Row],[Zahl]])</f>
        <v>0</v>
      </c>
      <c r="G421" s="2">
        <f>COUNTIF(Eingabe[S2],HäufigsteErgebnisse[[#This Row],[Zahl]])</f>
        <v>0</v>
      </c>
      <c r="H421" s="2">
        <f>COUNTIF(Eingabe[S3],HäufigsteErgebnisse[[#This Row],[Zahl]])</f>
        <v>0</v>
      </c>
      <c r="I421" s="2">
        <f>COUNTIF(Eingabe[S4],HäufigsteErgebnisse[[#This Row],[Zahl]])</f>
        <v>0</v>
      </c>
      <c r="J421" s="2">
        <f>COUNTIF(Eingabe[S1],HäufigsteErgebnisse[[#This Row],[Zahl]])+COUNTIF(Eingabe[S2],HäufigsteErgebnisse[[#This Row],[Zahl]])+COUNTIF(Eingabe[S3],HäufigsteErgebnisse[[#This Row],[Zahl]])+COUNTIF(Eingabe[S4],HäufigsteErgebnisse[[#This Row],[Zahl]])</f>
        <v>0</v>
      </c>
      <c r="K421" s="2">
        <f>COUNTIF(Eingabe[GES],HäufigsteErgebnisse[[#This Row],[Zahl]])</f>
        <v>1</v>
      </c>
      <c r="L421" s="2">
        <f>HäufigsteErgebnisse[[#This Row],[Zahl]]</f>
        <v>363</v>
      </c>
    </row>
    <row r="422" spans="2:12" x14ac:dyDescent="0.3">
      <c r="B422" s="2">
        <v>364</v>
      </c>
      <c r="C422" s="2">
        <f>COUNTIF(Eingabe[Volle],HäufigsteErgebnisse[[#This Row],[Zahl]])</f>
        <v>7</v>
      </c>
      <c r="D422" s="2">
        <f>COUNTIF(Eingabe[Räumer],HäufigsteErgebnisse[[#This Row],[Zahl]])</f>
        <v>0</v>
      </c>
      <c r="E422" s="2">
        <f>COUNTIF(Eingabe[Fehler],HäufigsteErgebnisse[[#This Row],[Zahl]])</f>
        <v>0</v>
      </c>
      <c r="F422" s="2">
        <f>COUNTIF(Eingabe[S1],HäufigsteErgebnisse[[#This Row],[Zahl]])</f>
        <v>0</v>
      </c>
      <c r="G422" s="2">
        <f>COUNTIF(Eingabe[S2],HäufigsteErgebnisse[[#This Row],[Zahl]])</f>
        <v>0</v>
      </c>
      <c r="H422" s="2">
        <f>COUNTIF(Eingabe[S3],HäufigsteErgebnisse[[#This Row],[Zahl]])</f>
        <v>0</v>
      </c>
      <c r="I422" s="2">
        <f>COUNTIF(Eingabe[S4],HäufigsteErgebnisse[[#This Row],[Zahl]])</f>
        <v>0</v>
      </c>
      <c r="J422" s="2">
        <f>COUNTIF(Eingabe[S1],HäufigsteErgebnisse[[#This Row],[Zahl]])+COUNTIF(Eingabe[S2],HäufigsteErgebnisse[[#This Row],[Zahl]])+COUNTIF(Eingabe[S3],HäufigsteErgebnisse[[#This Row],[Zahl]])+COUNTIF(Eingabe[S4],HäufigsteErgebnisse[[#This Row],[Zahl]])</f>
        <v>0</v>
      </c>
      <c r="K422" s="2">
        <f>COUNTIF(Eingabe[GES],HäufigsteErgebnisse[[#This Row],[Zahl]])</f>
        <v>1</v>
      </c>
      <c r="L422" s="2">
        <f>HäufigsteErgebnisse[[#This Row],[Zahl]]</f>
        <v>364</v>
      </c>
    </row>
    <row r="423" spans="2:12" x14ac:dyDescent="0.3">
      <c r="B423" s="2">
        <v>365</v>
      </c>
      <c r="C423" s="2">
        <f>COUNTIF(Eingabe[Volle],HäufigsteErgebnisse[[#This Row],[Zahl]])</f>
        <v>6</v>
      </c>
      <c r="D423" s="2">
        <f>COUNTIF(Eingabe[Räumer],HäufigsteErgebnisse[[#This Row],[Zahl]])</f>
        <v>0</v>
      </c>
      <c r="E423" s="2">
        <f>COUNTIF(Eingabe[Fehler],HäufigsteErgebnisse[[#This Row],[Zahl]])</f>
        <v>0</v>
      </c>
      <c r="F423" s="2">
        <f>COUNTIF(Eingabe[S1],HäufigsteErgebnisse[[#This Row],[Zahl]])</f>
        <v>0</v>
      </c>
      <c r="G423" s="2">
        <f>COUNTIF(Eingabe[S2],HäufigsteErgebnisse[[#This Row],[Zahl]])</f>
        <v>0</v>
      </c>
      <c r="H423" s="2">
        <f>COUNTIF(Eingabe[S3],HäufigsteErgebnisse[[#This Row],[Zahl]])</f>
        <v>0</v>
      </c>
      <c r="I423" s="2">
        <f>COUNTIF(Eingabe[S4],HäufigsteErgebnisse[[#This Row],[Zahl]])</f>
        <v>0</v>
      </c>
      <c r="J423" s="2">
        <f>COUNTIF(Eingabe[S1],HäufigsteErgebnisse[[#This Row],[Zahl]])+COUNTIF(Eingabe[S2],HäufigsteErgebnisse[[#This Row],[Zahl]])+COUNTIF(Eingabe[S3],HäufigsteErgebnisse[[#This Row],[Zahl]])+COUNTIF(Eingabe[S4],HäufigsteErgebnisse[[#This Row],[Zahl]])</f>
        <v>0</v>
      </c>
      <c r="K423" s="2">
        <f>COUNTIF(Eingabe[GES],HäufigsteErgebnisse[[#This Row],[Zahl]])</f>
        <v>2</v>
      </c>
      <c r="L423" s="2">
        <f>HäufigsteErgebnisse[[#This Row],[Zahl]]</f>
        <v>365</v>
      </c>
    </row>
    <row r="424" spans="2:12" x14ac:dyDescent="0.3">
      <c r="B424" s="2">
        <v>366</v>
      </c>
      <c r="C424" s="2">
        <f>COUNTIF(Eingabe[Volle],HäufigsteErgebnisse[[#This Row],[Zahl]])</f>
        <v>5</v>
      </c>
      <c r="D424" s="2">
        <f>COUNTIF(Eingabe[Räumer],HäufigsteErgebnisse[[#This Row],[Zahl]])</f>
        <v>0</v>
      </c>
      <c r="E424" s="2">
        <f>COUNTIF(Eingabe[Fehler],HäufigsteErgebnisse[[#This Row],[Zahl]])</f>
        <v>0</v>
      </c>
      <c r="F424" s="2">
        <f>COUNTIF(Eingabe[S1],HäufigsteErgebnisse[[#This Row],[Zahl]])</f>
        <v>0</v>
      </c>
      <c r="G424" s="2">
        <f>COUNTIF(Eingabe[S2],HäufigsteErgebnisse[[#This Row],[Zahl]])</f>
        <v>0</v>
      </c>
      <c r="H424" s="2">
        <f>COUNTIF(Eingabe[S3],HäufigsteErgebnisse[[#This Row],[Zahl]])</f>
        <v>0</v>
      </c>
      <c r="I424" s="2">
        <f>COUNTIF(Eingabe[S4],HäufigsteErgebnisse[[#This Row],[Zahl]])</f>
        <v>0</v>
      </c>
      <c r="J424" s="2">
        <f>COUNTIF(Eingabe[S1],HäufigsteErgebnisse[[#This Row],[Zahl]])+COUNTIF(Eingabe[S2],HäufigsteErgebnisse[[#This Row],[Zahl]])+COUNTIF(Eingabe[S3],HäufigsteErgebnisse[[#This Row],[Zahl]])+COUNTIF(Eingabe[S4],HäufigsteErgebnisse[[#This Row],[Zahl]])</f>
        <v>0</v>
      </c>
      <c r="K424" s="2">
        <f>COUNTIF(Eingabe[GES],HäufigsteErgebnisse[[#This Row],[Zahl]])</f>
        <v>0</v>
      </c>
      <c r="L424" s="2">
        <f>HäufigsteErgebnisse[[#This Row],[Zahl]]</f>
        <v>366</v>
      </c>
    </row>
    <row r="425" spans="2:12" x14ac:dyDescent="0.3">
      <c r="B425" s="2">
        <v>367</v>
      </c>
      <c r="C425" s="2">
        <f>COUNTIF(Eingabe[Volle],HäufigsteErgebnisse[[#This Row],[Zahl]])</f>
        <v>5</v>
      </c>
      <c r="D425" s="2">
        <f>COUNTIF(Eingabe[Räumer],HäufigsteErgebnisse[[#This Row],[Zahl]])</f>
        <v>0</v>
      </c>
      <c r="E425" s="2">
        <f>COUNTIF(Eingabe[Fehler],HäufigsteErgebnisse[[#This Row],[Zahl]])</f>
        <v>0</v>
      </c>
      <c r="F425" s="2">
        <f>COUNTIF(Eingabe[S1],HäufigsteErgebnisse[[#This Row],[Zahl]])</f>
        <v>0</v>
      </c>
      <c r="G425" s="2">
        <f>COUNTIF(Eingabe[S2],HäufigsteErgebnisse[[#This Row],[Zahl]])</f>
        <v>0</v>
      </c>
      <c r="H425" s="2">
        <f>COUNTIF(Eingabe[S3],HäufigsteErgebnisse[[#This Row],[Zahl]])</f>
        <v>0</v>
      </c>
      <c r="I425" s="2">
        <f>COUNTIF(Eingabe[S4],HäufigsteErgebnisse[[#This Row],[Zahl]])</f>
        <v>0</v>
      </c>
      <c r="J425" s="2">
        <f>COUNTIF(Eingabe[S1],HäufigsteErgebnisse[[#This Row],[Zahl]])+COUNTIF(Eingabe[S2],HäufigsteErgebnisse[[#This Row],[Zahl]])+COUNTIF(Eingabe[S3],HäufigsteErgebnisse[[#This Row],[Zahl]])+COUNTIF(Eingabe[S4],HäufigsteErgebnisse[[#This Row],[Zahl]])</f>
        <v>0</v>
      </c>
      <c r="K425" s="2">
        <f>COUNTIF(Eingabe[GES],HäufigsteErgebnisse[[#This Row],[Zahl]])</f>
        <v>0</v>
      </c>
      <c r="L425" s="2">
        <f>HäufigsteErgebnisse[[#This Row],[Zahl]]</f>
        <v>367</v>
      </c>
    </row>
    <row r="426" spans="2:12" x14ac:dyDescent="0.3">
      <c r="B426" s="2">
        <v>368</v>
      </c>
      <c r="C426" s="2">
        <f>COUNTIF(Eingabe[Volle],HäufigsteErgebnisse[[#This Row],[Zahl]])</f>
        <v>4</v>
      </c>
      <c r="D426" s="2">
        <f>COUNTIF(Eingabe[Räumer],HäufigsteErgebnisse[[#This Row],[Zahl]])</f>
        <v>0</v>
      </c>
      <c r="E426" s="2">
        <f>COUNTIF(Eingabe[Fehler],HäufigsteErgebnisse[[#This Row],[Zahl]])</f>
        <v>0</v>
      </c>
      <c r="F426" s="2">
        <f>COUNTIF(Eingabe[S1],HäufigsteErgebnisse[[#This Row],[Zahl]])</f>
        <v>0</v>
      </c>
      <c r="G426" s="2">
        <f>COUNTIF(Eingabe[S2],HäufigsteErgebnisse[[#This Row],[Zahl]])</f>
        <v>0</v>
      </c>
      <c r="H426" s="2">
        <f>COUNTIF(Eingabe[S3],HäufigsteErgebnisse[[#This Row],[Zahl]])</f>
        <v>0</v>
      </c>
      <c r="I426" s="2">
        <f>COUNTIF(Eingabe[S4],HäufigsteErgebnisse[[#This Row],[Zahl]])</f>
        <v>0</v>
      </c>
      <c r="J426" s="2">
        <f>COUNTIF(Eingabe[S1],HäufigsteErgebnisse[[#This Row],[Zahl]])+COUNTIF(Eingabe[S2],HäufigsteErgebnisse[[#This Row],[Zahl]])+COUNTIF(Eingabe[S3],HäufigsteErgebnisse[[#This Row],[Zahl]])+COUNTIF(Eingabe[S4],HäufigsteErgebnisse[[#This Row],[Zahl]])</f>
        <v>0</v>
      </c>
      <c r="K426" s="2">
        <f>COUNTIF(Eingabe[GES],HäufigsteErgebnisse[[#This Row],[Zahl]])</f>
        <v>1</v>
      </c>
      <c r="L426" s="2">
        <f>HäufigsteErgebnisse[[#This Row],[Zahl]]</f>
        <v>368</v>
      </c>
    </row>
    <row r="427" spans="2:12" x14ac:dyDescent="0.3">
      <c r="B427" s="2">
        <v>369</v>
      </c>
      <c r="C427" s="2">
        <f>COUNTIF(Eingabe[Volle],HäufigsteErgebnisse[[#This Row],[Zahl]])</f>
        <v>7</v>
      </c>
      <c r="D427" s="2">
        <f>COUNTIF(Eingabe[Räumer],HäufigsteErgebnisse[[#This Row],[Zahl]])</f>
        <v>0</v>
      </c>
      <c r="E427" s="2">
        <f>COUNTIF(Eingabe[Fehler],HäufigsteErgebnisse[[#This Row],[Zahl]])</f>
        <v>0</v>
      </c>
      <c r="F427" s="2">
        <f>COUNTIF(Eingabe[S1],HäufigsteErgebnisse[[#This Row],[Zahl]])</f>
        <v>0</v>
      </c>
      <c r="G427" s="2">
        <f>COUNTIF(Eingabe[S2],HäufigsteErgebnisse[[#This Row],[Zahl]])</f>
        <v>0</v>
      </c>
      <c r="H427" s="2">
        <f>COUNTIF(Eingabe[S3],HäufigsteErgebnisse[[#This Row],[Zahl]])</f>
        <v>0</v>
      </c>
      <c r="I427" s="2">
        <f>COUNTIF(Eingabe[S4],HäufigsteErgebnisse[[#This Row],[Zahl]])</f>
        <v>0</v>
      </c>
      <c r="J427" s="2">
        <f>COUNTIF(Eingabe[S1],HäufigsteErgebnisse[[#This Row],[Zahl]])+COUNTIF(Eingabe[S2],HäufigsteErgebnisse[[#This Row],[Zahl]])+COUNTIF(Eingabe[S3],HäufigsteErgebnisse[[#This Row],[Zahl]])+COUNTIF(Eingabe[S4],HäufigsteErgebnisse[[#This Row],[Zahl]])</f>
        <v>0</v>
      </c>
      <c r="K427" s="2">
        <f>COUNTIF(Eingabe[GES],HäufigsteErgebnisse[[#This Row],[Zahl]])</f>
        <v>0</v>
      </c>
      <c r="L427" s="2">
        <f>HäufigsteErgebnisse[[#This Row],[Zahl]]</f>
        <v>369</v>
      </c>
    </row>
    <row r="428" spans="2:12" x14ac:dyDescent="0.3">
      <c r="B428" s="2">
        <v>370</v>
      </c>
      <c r="C428" s="2">
        <f>COUNTIF(Eingabe[Volle],HäufigsteErgebnisse[[#This Row],[Zahl]])</f>
        <v>3</v>
      </c>
      <c r="D428" s="2">
        <f>COUNTIF(Eingabe[Räumer],HäufigsteErgebnisse[[#This Row],[Zahl]])</f>
        <v>0</v>
      </c>
      <c r="E428" s="2">
        <f>COUNTIF(Eingabe[Fehler],HäufigsteErgebnisse[[#This Row],[Zahl]])</f>
        <v>0</v>
      </c>
      <c r="F428" s="2">
        <f>COUNTIF(Eingabe[S1],HäufigsteErgebnisse[[#This Row],[Zahl]])</f>
        <v>0</v>
      </c>
      <c r="G428" s="2">
        <f>COUNTIF(Eingabe[S2],HäufigsteErgebnisse[[#This Row],[Zahl]])</f>
        <v>0</v>
      </c>
      <c r="H428" s="2">
        <f>COUNTIF(Eingabe[S3],HäufigsteErgebnisse[[#This Row],[Zahl]])</f>
        <v>0</v>
      </c>
      <c r="I428" s="2">
        <f>COUNTIF(Eingabe[S4],HäufigsteErgebnisse[[#This Row],[Zahl]])</f>
        <v>0</v>
      </c>
      <c r="J428" s="2">
        <f>COUNTIF(Eingabe[S1],HäufigsteErgebnisse[[#This Row],[Zahl]])+COUNTIF(Eingabe[S2],HäufigsteErgebnisse[[#This Row],[Zahl]])+COUNTIF(Eingabe[S3],HäufigsteErgebnisse[[#This Row],[Zahl]])+COUNTIF(Eingabe[S4],HäufigsteErgebnisse[[#This Row],[Zahl]])</f>
        <v>0</v>
      </c>
      <c r="K428" s="2">
        <f>COUNTIF(Eingabe[GES],HäufigsteErgebnisse[[#This Row],[Zahl]])</f>
        <v>0</v>
      </c>
      <c r="L428" s="2">
        <f>HäufigsteErgebnisse[[#This Row],[Zahl]]</f>
        <v>370</v>
      </c>
    </row>
    <row r="429" spans="2:12" x14ac:dyDescent="0.3">
      <c r="B429" s="2">
        <v>371</v>
      </c>
      <c r="C429" s="2">
        <f>COUNTIF(Eingabe[Volle],HäufigsteErgebnisse[[#This Row],[Zahl]])</f>
        <v>4</v>
      </c>
      <c r="D429" s="2">
        <f>COUNTIF(Eingabe[Räumer],HäufigsteErgebnisse[[#This Row],[Zahl]])</f>
        <v>0</v>
      </c>
      <c r="E429" s="2">
        <f>COUNTIF(Eingabe[Fehler],HäufigsteErgebnisse[[#This Row],[Zahl]])</f>
        <v>0</v>
      </c>
      <c r="F429" s="2">
        <f>COUNTIF(Eingabe[S1],HäufigsteErgebnisse[[#This Row],[Zahl]])</f>
        <v>0</v>
      </c>
      <c r="G429" s="2">
        <f>COUNTIF(Eingabe[S2],HäufigsteErgebnisse[[#This Row],[Zahl]])</f>
        <v>0</v>
      </c>
      <c r="H429" s="2">
        <f>COUNTIF(Eingabe[S3],HäufigsteErgebnisse[[#This Row],[Zahl]])</f>
        <v>0</v>
      </c>
      <c r="I429" s="2">
        <f>COUNTIF(Eingabe[S4],HäufigsteErgebnisse[[#This Row],[Zahl]])</f>
        <v>0</v>
      </c>
      <c r="J429" s="2">
        <f>COUNTIF(Eingabe[S1],HäufigsteErgebnisse[[#This Row],[Zahl]])+COUNTIF(Eingabe[S2],HäufigsteErgebnisse[[#This Row],[Zahl]])+COUNTIF(Eingabe[S3],HäufigsteErgebnisse[[#This Row],[Zahl]])+COUNTIF(Eingabe[S4],HäufigsteErgebnisse[[#This Row],[Zahl]])</f>
        <v>0</v>
      </c>
      <c r="K429" s="2">
        <f>COUNTIF(Eingabe[GES],HäufigsteErgebnisse[[#This Row],[Zahl]])</f>
        <v>0</v>
      </c>
      <c r="L429" s="2">
        <f>HäufigsteErgebnisse[[#This Row],[Zahl]]</f>
        <v>371</v>
      </c>
    </row>
    <row r="430" spans="2:12" x14ac:dyDescent="0.3">
      <c r="B430" s="2">
        <v>372</v>
      </c>
      <c r="C430" s="2">
        <f>COUNTIF(Eingabe[Volle],HäufigsteErgebnisse[[#This Row],[Zahl]])</f>
        <v>4</v>
      </c>
      <c r="D430" s="2">
        <f>COUNTIF(Eingabe[Räumer],HäufigsteErgebnisse[[#This Row],[Zahl]])</f>
        <v>0</v>
      </c>
      <c r="E430" s="2">
        <f>COUNTIF(Eingabe[Fehler],HäufigsteErgebnisse[[#This Row],[Zahl]])</f>
        <v>0</v>
      </c>
      <c r="F430" s="2">
        <f>COUNTIF(Eingabe[S1],HäufigsteErgebnisse[[#This Row],[Zahl]])</f>
        <v>0</v>
      </c>
      <c r="G430" s="2">
        <f>COUNTIF(Eingabe[S2],HäufigsteErgebnisse[[#This Row],[Zahl]])</f>
        <v>0</v>
      </c>
      <c r="H430" s="2">
        <f>COUNTIF(Eingabe[S3],HäufigsteErgebnisse[[#This Row],[Zahl]])</f>
        <v>0</v>
      </c>
      <c r="I430" s="2">
        <f>COUNTIF(Eingabe[S4],HäufigsteErgebnisse[[#This Row],[Zahl]])</f>
        <v>0</v>
      </c>
      <c r="J430" s="2">
        <f>COUNTIF(Eingabe[S1],HäufigsteErgebnisse[[#This Row],[Zahl]])+COUNTIF(Eingabe[S2],HäufigsteErgebnisse[[#This Row],[Zahl]])+COUNTIF(Eingabe[S3],HäufigsteErgebnisse[[#This Row],[Zahl]])+COUNTIF(Eingabe[S4],HäufigsteErgebnisse[[#This Row],[Zahl]])</f>
        <v>0</v>
      </c>
      <c r="K430" s="2">
        <f>COUNTIF(Eingabe[GES],HäufigsteErgebnisse[[#This Row],[Zahl]])</f>
        <v>0</v>
      </c>
      <c r="L430" s="2">
        <f>HäufigsteErgebnisse[[#This Row],[Zahl]]</f>
        <v>372</v>
      </c>
    </row>
    <row r="431" spans="2:12" x14ac:dyDescent="0.3">
      <c r="B431" s="2">
        <v>373</v>
      </c>
      <c r="C431" s="2">
        <f>COUNTIF(Eingabe[Volle],HäufigsteErgebnisse[[#This Row],[Zahl]])</f>
        <v>3</v>
      </c>
      <c r="D431" s="2">
        <f>COUNTIF(Eingabe[Räumer],HäufigsteErgebnisse[[#This Row],[Zahl]])</f>
        <v>0</v>
      </c>
      <c r="E431" s="2">
        <f>COUNTIF(Eingabe[Fehler],HäufigsteErgebnisse[[#This Row],[Zahl]])</f>
        <v>0</v>
      </c>
      <c r="F431" s="2">
        <f>COUNTIF(Eingabe[S1],HäufigsteErgebnisse[[#This Row],[Zahl]])</f>
        <v>0</v>
      </c>
      <c r="G431" s="2">
        <f>COUNTIF(Eingabe[S2],HäufigsteErgebnisse[[#This Row],[Zahl]])</f>
        <v>0</v>
      </c>
      <c r="H431" s="2">
        <f>COUNTIF(Eingabe[S3],HäufigsteErgebnisse[[#This Row],[Zahl]])</f>
        <v>0</v>
      </c>
      <c r="I431" s="2">
        <f>COUNTIF(Eingabe[S4],HäufigsteErgebnisse[[#This Row],[Zahl]])</f>
        <v>0</v>
      </c>
      <c r="J431" s="2">
        <f>COUNTIF(Eingabe[S1],HäufigsteErgebnisse[[#This Row],[Zahl]])+COUNTIF(Eingabe[S2],HäufigsteErgebnisse[[#This Row],[Zahl]])+COUNTIF(Eingabe[S3],HäufigsteErgebnisse[[#This Row],[Zahl]])+COUNTIF(Eingabe[S4],HäufigsteErgebnisse[[#This Row],[Zahl]])</f>
        <v>0</v>
      </c>
      <c r="K431" s="2">
        <f>COUNTIF(Eingabe[GES],HäufigsteErgebnisse[[#This Row],[Zahl]])</f>
        <v>0</v>
      </c>
      <c r="L431" s="2">
        <f>HäufigsteErgebnisse[[#This Row],[Zahl]]</f>
        <v>373</v>
      </c>
    </row>
    <row r="432" spans="2:12" x14ac:dyDescent="0.3">
      <c r="B432" s="2">
        <v>374</v>
      </c>
      <c r="C432" s="2">
        <f>COUNTIF(Eingabe[Volle],HäufigsteErgebnisse[[#This Row],[Zahl]])</f>
        <v>1</v>
      </c>
      <c r="D432" s="2">
        <f>COUNTIF(Eingabe[Räumer],HäufigsteErgebnisse[[#This Row],[Zahl]])</f>
        <v>0</v>
      </c>
      <c r="E432" s="2">
        <f>COUNTIF(Eingabe[Fehler],HäufigsteErgebnisse[[#This Row],[Zahl]])</f>
        <v>0</v>
      </c>
      <c r="F432" s="2">
        <f>COUNTIF(Eingabe[S1],HäufigsteErgebnisse[[#This Row],[Zahl]])</f>
        <v>0</v>
      </c>
      <c r="G432" s="2">
        <f>COUNTIF(Eingabe[S2],HäufigsteErgebnisse[[#This Row],[Zahl]])</f>
        <v>0</v>
      </c>
      <c r="H432" s="2">
        <f>COUNTIF(Eingabe[S3],HäufigsteErgebnisse[[#This Row],[Zahl]])</f>
        <v>0</v>
      </c>
      <c r="I432" s="2">
        <f>COUNTIF(Eingabe[S4],HäufigsteErgebnisse[[#This Row],[Zahl]])</f>
        <v>0</v>
      </c>
      <c r="J432" s="2">
        <f>COUNTIF(Eingabe[S1],HäufigsteErgebnisse[[#This Row],[Zahl]])+COUNTIF(Eingabe[S2],HäufigsteErgebnisse[[#This Row],[Zahl]])+COUNTIF(Eingabe[S3],HäufigsteErgebnisse[[#This Row],[Zahl]])+COUNTIF(Eingabe[S4],HäufigsteErgebnisse[[#This Row],[Zahl]])</f>
        <v>0</v>
      </c>
      <c r="K432" s="2">
        <f>COUNTIF(Eingabe[GES],HäufigsteErgebnisse[[#This Row],[Zahl]])</f>
        <v>1</v>
      </c>
      <c r="L432" s="2">
        <f>HäufigsteErgebnisse[[#This Row],[Zahl]]</f>
        <v>374</v>
      </c>
    </row>
    <row r="433" spans="2:12" x14ac:dyDescent="0.3">
      <c r="B433" s="2">
        <v>375</v>
      </c>
      <c r="C433" s="2">
        <f>COUNTIF(Eingabe[Volle],HäufigsteErgebnisse[[#This Row],[Zahl]])</f>
        <v>2</v>
      </c>
      <c r="D433" s="2">
        <f>COUNTIF(Eingabe[Räumer],HäufigsteErgebnisse[[#This Row],[Zahl]])</f>
        <v>0</v>
      </c>
      <c r="E433" s="2">
        <f>COUNTIF(Eingabe[Fehler],HäufigsteErgebnisse[[#This Row],[Zahl]])</f>
        <v>0</v>
      </c>
      <c r="F433" s="2">
        <f>COUNTIF(Eingabe[S1],HäufigsteErgebnisse[[#This Row],[Zahl]])</f>
        <v>0</v>
      </c>
      <c r="G433" s="2">
        <f>COUNTIF(Eingabe[S2],HäufigsteErgebnisse[[#This Row],[Zahl]])</f>
        <v>0</v>
      </c>
      <c r="H433" s="2">
        <f>COUNTIF(Eingabe[S3],HäufigsteErgebnisse[[#This Row],[Zahl]])</f>
        <v>0</v>
      </c>
      <c r="I433" s="2">
        <f>COUNTIF(Eingabe[S4],HäufigsteErgebnisse[[#This Row],[Zahl]])</f>
        <v>0</v>
      </c>
      <c r="J433" s="2">
        <f>COUNTIF(Eingabe[S1],HäufigsteErgebnisse[[#This Row],[Zahl]])+COUNTIF(Eingabe[S2],HäufigsteErgebnisse[[#This Row],[Zahl]])+COUNTIF(Eingabe[S3],HäufigsteErgebnisse[[#This Row],[Zahl]])+COUNTIF(Eingabe[S4],HäufigsteErgebnisse[[#This Row],[Zahl]])</f>
        <v>0</v>
      </c>
      <c r="K433" s="2">
        <f>COUNTIF(Eingabe[GES],HäufigsteErgebnisse[[#This Row],[Zahl]])</f>
        <v>1</v>
      </c>
      <c r="L433" s="2">
        <f>HäufigsteErgebnisse[[#This Row],[Zahl]]</f>
        <v>375</v>
      </c>
    </row>
    <row r="434" spans="2:12" x14ac:dyDescent="0.3">
      <c r="B434" s="2">
        <v>376</v>
      </c>
      <c r="C434" s="2">
        <f>COUNTIF(Eingabe[Volle],HäufigsteErgebnisse[[#This Row],[Zahl]])</f>
        <v>1</v>
      </c>
      <c r="D434" s="2">
        <f>COUNTIF(Eingabe[Räumer],HäufigsteErgebnisse[[#This Row],[Zahl]])</f>
        <v>0</v>
      </c>
      <c r="E434" s="2">
        <f>COUNTIF(Eingabe[Fehler],HäufigsteErgebnisse[[#This Row],[Zahl]])</f>
        <v>0</v>
      </c>
      <c r="F434" s="2">
        <f>COUNTIF(Eingabe[S1],HäufigsteErgebnisse[[#This Row],[Zahl]])</f>
        <v>0</v>
      </c>
      <c r="G434" s="2">
        <f>COUNTIF(Eingabe[S2],HäufigsteErgebnisse[[#This Row],[Zahl]])</f>
        <v>0</v>
      </c>
      <c r="H434" s="2">
        <f>COUNTIF(Eingabe[S3],HäufigsteErgebnisse[[#This Row],[Zahl]])</f>
        <v>0</v>
      </c>
      <c r="I434" s="2">
        <f>COUNTIF(Eingabe[S4],HäufigsteErgebnisse[[#This Row],[Zahl]])</f>
        <v>0</v>
      </c>
      <c r="J434" s="2">
        <f>COUNTIF(Eingabe[S1],HäufigsteErgebnisse[[#This Row],[Zahl]])+COUNTIF(Eingabe[S2],HäufigsteErgebnisse[[#This Row],[Zahl]])+COUNTIF(Eingabe[S3],HäufigsteErgebnisse[[#This Row],[Zahl]])+COUNTIF(Eingabe[S4],HäufigsteErgebnisse[[#This Row],[Zahl]])</f>
        <v>0</v>
      </c>
      <c r="K434" s="2">
        <f>COUNTIF(Eingabe[GES],HäufigsteErgebnisse[[#This Row],[Zahl]])</f>
        <v>0</v>
      </c>
      <c r="L434" s="2">
        <f>HäufigsteErgebnisse[[#This Row],[Zahl]]</f>
        <v>376</v>
      </c>
    </row>
    <row r="435" spans="2:12" x14ac:dyDescent="0.3">
      <c r="B435" s="2">
        <v>377</v>
      </c>
      <c r="C435" s="2">
        <f>COUNTIF(Eingabe[Volle],HäufigsteErgebnisse[[#This Row],[Zahl]])</f>
        <v>0</v>
      </c>
      <c r="D435" s="2">
        <f>COUNTIF(Eingabe[Räumer],HäufigsteErgebnisse[[#This Row],[Zahl]])</f>
        <v>0</v>
      </c>
      <c r="E435" s="2">
        <f>COUNTIF(Eingabe[Fehler],HäufigsteErgebnisse[[#This Row],[Zahl]])</f>
        <v>0</v>
      </c>
      <c r="F435" s="2">
        <f>COUNTIF(Eingabe[S1],HäufigsteErgebnisse[[#This Row],[Zahl]])</f>
        <v>0</v>
      </c>
      <c r="G435" s="2">
        <f>COUNTIF(Eingabe[S2],HäufigsteErgebnisse[[#This Row],[Zahl]])</f>
        <v>0</v>
      </c>
      <c r="H435" s="2">
        <f>COUNTIF(Eingabe[S3],HäufigsteErgebnisse[[#This Row],[Zahl]])</f>
        <v>0</v>
      </c>
      <c r="I435" s="2">
        <f>COUNTIF(Eingabe[S4],HäufigsteErgebnisse[[#This Row],[Zahl]])</f>
        <v>0</v>
      </c>
      <c r="J435" s="2">
        <f>COUNTIF(Eingabe[S1],HäufigsteErgebnisse[[#This Row],[Zahl]])+COUNTIF(Eingabe[S2],HäufigsteErgebnisse[[#This Row],[Zahl]])+COUNTIF(Eingabe[S3],HäufigsteErgebnisse[[#This Row],[Zahl]])+COUNTIF(Eingabe[S4],HäufigsteErgebnisse[[#This Row],[Zahl]])</f>
        <v>0</v>
      </c>
      <c r="K435" s="2">
        <f>COUNTIF(Eingabe[GES],HäufigsteErgebnisse[[#This Row],[Zahl]])</f>
        <v>0</v>
      </c>
      <c r="L435" s="2">
        <f>HäufigsteErgebnisse[[#This Row],[Zahl]]</f>
        <v>377</v>
      </c>
    </row>
    <row r="436" spans="2:12" x14ac:dyDescent="0.3">
      <c r="B436" s="2">
        <v>378</v>
      </c>
      <c r="C436" s="2">
        <f>COUNTIF(Eingabe[Volle],HäufigsteErgebnisse[[#This Row],[Zahl]])</f>
        <v>5</v>
      </c>
      <c r="D436" s="2">
        <f>COUNTIF(Eingabe[Räumer],HäufigsteErgebnisse[[#This Row],[Zahl]])</f>
        <v>0</v>
      </c>
      <c r="E436" s="2">
        <f>COUNTIF(Eingabe[Fehler],HäufigsteErgebnisse[[#This Row],[Zahl]])</f>
        <v>0</v>
      </c>
      <c r="F436" s="2">
        <f>COUNTIF(Eingabe[S1],HäufigsteErgebnisse[[#This Row],[Zahl]])</f>
        <v>0</v>
      </c>
      <c r="G436" s="2">
        <f>COUNTIF(Eingabe[S2],HäufigsteErgebnisse[[#This Row],[Zahl]])</f>
        <v>0</v>
      </c>
      <c r="H436" s="2">
        <f>COUNTIF(Eingabe[S3],HäufigsteErgebnisse[[#This Row],[Zahl]])</f>
        <v>0</v>
      </c>
      <c r="I436" s="2">
        <f>COUNTIF(Eingabe[S4],HäufigsteErgebnisse[[#This Row],[Zahl]])</f>
        <v>0</v>
      </c>
      <c r="J436" s="2">
        <f>COUNTIF(Eingabe[S1],HäufigsteErgebnisse[[#This Row],[Zahl]])+COUNTIF(Eingabe[S2],HäufigsteErgebnisse[[#This Row],[Zahl]])+COUNTIF(Eingabe[S3],HäufigsteErgebnisse[[#This Row],[Zahl]])+COUNTIF(Eingabe[S4],HäufigsteErgebnisse[[#This Row],[Zahl]])</f>
        <v>0</v>
      </c>
      <c r="K436" s="2">
        <f>COUNTIF(Eingabe[GES],HäufigsteErgebnisse[[#This Row],[Zahl]])</f>
        <v>1</v>
      </c>
      <c r="L436" s="2">
        <f>HäufigsteErgebnisse[[#This Row],[Zahl]]</f>
        <v>378</v>
      </c>
    </row>
    <row r="437" spans="2:12" x14ac:dyDescent="0.3">
      <c r="B437" s="2">
        <v>379</v>
      </c>
      <c r="C437" s="2">
        <f>COUNTIF(Eingabe[Volle],HäufigsteErgebnisse[[#This Row],[Zahl]])</f>
        <v>2</v>
      </c>
      <c r="D437" s="2">
        <f>COUNTIF(Eingabe[Räumer],HäufigsteErgebnisse[[#This Row],[Zahl]])</f>
        <v>0</v>
      </c>
      <c r="E437" s="2">
        <f>COUNTIF(Eingabe[Fehler],HäufigsteErgebnisse[[#This Row],[Zahl]])</f>
        <v>0</v>
      </c>
      <c r="F437" s="2">
        <f>COUNTIF(Eingabe[S1],HäufigsteErgebnisse[[#This Row],[Zahl]])</f>
        <v>0</v>
      </c>
      <c r="G437" s="2">
        <f>COUNTIF(Eingabe[S2],HäufigsteErgebnisse[[#This Row],[Zahl]])</f>
        <v>0</v>
      </c>
      <c r="H437" s="2">
        <f>COUNTIF(Eingabe[S3],HäufigsteErgebnisse[[#This Row],[Zahl]])</f>
        <v>0</v>
      </c>
      <c r="I437" s="2">
        <f>COUNTIF(Eingabe[S4],HäufigsteErgebnisse[[#This Row],[Zahl]])</f>
        <v>0</v>
      </c>
      <c r="J437" s="2">
        <f>COUNTIF(Eingabe[S1],HäufigsteErgebnisse[[#This Row],[Zahl]])+COUNTIF(Eingabe[S2],HäufigsteErgebnisse[[#This Row],[Zahl]])+COUNTIF(Eingabe[S3],HäufigsteErgebnisse[[#This Row],[Zahl]])+COUNTIF(Eingabe[S4],HäufigsteErgebnisse[[#This Row],[Zahl]])</f>
        <v>0</v>
      </c>
      <c r="K437" s="2">
        <f>COUNTIF(Eingabe[GES],HäufigsteErgebnisse[[#This Row],[Zahl]])</f>
        <v>0</v>
      </c>
      <c r="L437" s="2">
        <f>HäufigsteErgebnisse[[#This Row],[Zahl]]</f>
        <v>379</v>
      </c>
    </row>
    <row r="438" spans="2:12" x14ac:dyDescent="0.3">
      <c r="B438" s="2">
        <v>380</v>
      </c>
      <c r="C438" s="2">
        <f>COUNTIF(Eingabe[Volle],HäufigsteErgebnisse[[#This Row],[Zahl]])</f>
        <v>3</v>
      </c>
      <c r="D438" s="2">
        <f>COUNTIF(Eingabe[Räumer],HäufigsteErgebnisse[[#This Row],[Zahl]])</f>
        <v>0</v>
      </c>
      <c r="E438" s="2">
        <f>COUNTIF(Eingabe[Fehler],HäufigsteErgebnisse[[#This Row],[Zahl]])</f>
        <v>0</v>
      </c>
      <c r="F438" s="2">
        <f>COUNTIF(Eingabe[S1],HäufigsteErgebnisse[[#This Row],[Zahl]])</f>
        <v>0</v>
      </c>
      <c r="G438" s="2">
        <f>COUNTIF(Eingabe[S2],HäufigsteErgebnisse[[#This Row],[Zahl]])</f>
        <v>0</v>
      </c>
      <c r="H438" s="2">
        <f>COUNTIF(Eingabe[S3],HäufigsteErgebnisse[[#This Row],[Zahl]])</f>
        <v>0</v>
      </c>
      <c r="I438" s="2">
        <f>COUNTIF(Eingabe[S4],HäufigsteErgebnisse[[#This Row],[Zahl]])</f>
        <v>0</v>
      </c>
      <c r="J438" s="2">
        <f>COUNTIF(Eingabe[S1],HäufigsteErgebnisse[[#This Row],[Zahl]])+COUNTIF(Eingabe[S2],HäufigsteErgebnisse[[#This Row],[Zahl]])+COUNTIF(Eingabe[S3],HäufigsteErgebnisse[[#This Row],[Zahl]])+COUNTIF(Eingabe[S4],HäufigsteErgebnisse[[#This Row],[Zahl]])</f>
        <v>0</v>
      </c>
      <c r="K438" s="2">
        <f>COUNTIF(Eingabe[GES],HäufigsteErgebnisse[[#This Row],[Zahl]])</f>
        <v>0</v>
      </c>
      <c r="L438" s="2">
        <f>HäufigsteErgebnisse[[#This Row],[Zahl]]</f>
        <v>380</v>
      </c>
    </row>
    <row r="439" spans="2:12" x14ac:dyDescent="0.3">
      <c r="B439" s="2">
        <v>381</v>
      </c>
      <c r="C439" s="2">
        <f>COUNTIF(Eingabe[Volle],HäufigsteErgebnisse[[#This Row],[Zahl]])</f>
        <v>0</v>
      </c>
      <c r="D439" s="2">
        <f>COUNTIF(Eingabe[Räumer],HäufigsteErgebnisse[[#This Row],[Zahl]])</f>
        <v>0</v>
      </c>
      <c r="E439" s="2">
        <f>COUNTIF(Eingabe[Fehler],HäufigsteErgebnisse[[#This Row],[Zahl]])</f>
        <v>0</v>
      </c>
      <c r="F439" s="2">
        <f>COUNTIF(Eingabe[S1],HäufigsteErgebnisse[[#This Row],[Zahl]])</f>
        <v>0</v>
      </c>
      <c r="G439" s="2">
        <f>COUNTIF(Eingabe[S2],HäufigsteErgebnisse[[#This Row],[Zahl]])</f>
        <v>0</v>
      </c>
      <c r="H439" s="2">
        <f>COUNTIF(Eingabe[S3],HäufigsteErgebnisse[[#This Row],[Zahl]])</f>
        <v>0</v>
      </c>
      <c r="I439" s="2">
        <f>COUNTIF(Eingabe[S4],HäufigsteErgebnisse[[#This Row],[Zahl]])</f>
        <v>0</v>
      </c>
      <c r="J439" s="2">
        <f>COUNTIF(Eingabe[S1],HäufigsteErgebnisse[[#This Row],[Zahl]])+COUNTIF(Eingabe[S2],HäufigsteErgebnisse[[#This Row],[Zahl]])+COUNTIF(Eingabe[S3],HäufigsteErgebnisse[[#This Row],[Zahl]])+COUNTIF(Eingabe[S4],HäufigsteErgebnisse[[#This Row],[Zahl]])</f>
        <v>0</v>
      </c>
      <c r="K439" s="2">
        <f>COUNTIF(Eingabe[GES],HäufigsteErgebnisse[[#This Row],[Zahl]])</f>
        <v>1</v>
      </c>
      <c r="L439" s="2">
        <f>HäufigsteErgebnisse[[#This Row],[Zahl]]</f>
        <v>381</v>
      </c>
    </row>
    <row r="440" spans="2:12" x14ac:dyDescent="0.3">
      <c r="B440" s="2">
        <v>382</v>
      </c>
      <c r="C440" s="2">
        <f>COUNTIF(Eingabe[Volle],HäufigsteErgebnisse[[#This Row],[Zahl]])</f>
        <v>2</v>
      </c>
      <c r="D440" s="2">
        <f>COUNTIF(Eingabe[Räumer],HäufigsteErgebnisse[[#This Row],[Zahl]])</f>
        <v>0</v>
      </c>
      <c r="E440" s="2">
        <f>COUNTIF(Eingabe[Fehler],HäufigsteErgebnisse[[#This Row],[Zahl]])</f>
        <v>0</v>
      </c>
      <c r="F440" s="2">
        <f>COUNTIF(Eingabe[S1],HäufigsteErgebnisse[[#This Row],[Zahl]])</f>
        <v>0</v>
      </c>
      <c r="G440" s="2">
        <f>COUNTIF(Eingabe[S2],HäufigsteErgebnisse[[#This Row],[Zahl]])</f>
        <v>0</v>
      </c>
      <c r="H440" s="2">
        <f>COUNTIF(Eingabe[S3],HäufigsteErgebnisse[[#This Row],[Zahl]])</f>
        <v>0</v>
      </c>
      <c r="I440" s="2">
        <f>COUNTIF(Eingabe[S4],HäufigsteErgebnisse[[#This Row],[Zahl]])</f>
        <v>0</v>
      </c>
      <c r="J440" s="2">
        <f>COUNTIF(Eingabe[S1],HäufigsteErgebnisse[[#This Row],[Zahl]])+COUNTIF(Eingabe[S2],HäufigsteErgebnisse[[#This Row],[Zahl]])+COUNTIF(Eingabe[S3],HäufigsteErgebnisse[[#This Row],[Zahl]])+COUNTIF(Eingabe[S4],HäufigsteErgebnisse[[#This Row],[Zahl]])</f>
        <v>0</v>
      </c>
      <c r="K440" s="2">
        <f>COUNTIF(Eingabe[GES],HäufigsteErgebnisse[[#This Row],[Zahl]])</f>
        <v>0</v>
      </c>
      <c r="L440" s="2">
        <f>HäufigsteErgebnisse[[#This Row],[Zahl]]</f>
        <v>382</v>
      </c>
    </row>
    <row r="441" spans="2:12" x14ac:dyDescent="0.3">
      <c r="B441" s="2">
        <v>383</v>
      </c>
      <c r="C441" s="2">
        <f>COUNTIF(Eingabe[Volle],HäufigsteErgebnisse[[#This Row],[Zahl]])</f>
        <v>0</v>
      </c>
      <c r="D441" s="2">
        <f>COUNTIF(Eingabe[Räumer],HäufigsteErgebnisse[[#This Row],[Zahl]])</f>
        <v>0</v>
      </c>
      <c r="E441" s="2">
        <f>COUNTIF(Eingabe[Fehler],HäufigsteErgebnisse[[#This Row],[Zahl]])</f>
        <v>0</v>
      </c>
      <c r="F441" s="2">
        <f>COUNTIF(Eingabe[S1],HäufigsteErgebnisse[[#This Row],[Zahl]])</f>
        <v>0</v>
      </c>
      <c r="G441" s="2">
        <f>COUNTIF(Eingabe[S2],HäufigsteErgebnisse[[#This Row],[Zahl]])</f>
        <v>0</v>
      </c>
      <c r="H441" s="2">
        <f>COUNTIF(Eingabe[S3],HäufigsteErgebnisse[[#This Row],[Zahl]])</f>
        <v>0</v>
      </c>
      <c r="I441" s="2">
        <f>COUNTIF(Eingabe[S4],HäufigsteErgebnisse[[#This Row],[Zahl]])</f>
        <v>0</v>
      </c>
      <c r="J441" s="2">
        <f>COUNTIF(Eingabe[S1],HäufigsteErgebnisse[[#This Row],[Zahl]])+COUNTIF(Eingabe[S2],HäufigsteErgebnisse[[#This Row],[Zahl]])+COUNTIF(Eingabe[S3],HäufigsteErgebnisse[[#This Row],[Zahl]])+COUNTIF(Eingabe[S4],HäufigsteErgebnisse[[#This Row],[Zahl]])</f>
        <v>0</v>
      </c>
      <c r="K441" s="2">
        <f>COUNTIF(Eingabe[GES],HäufigsteErgebnisse[[#This Row],[Zahl]])</f>
        <v>1</v>
      </c>
      <c r="L441" s="2">
        <f>HäufigsteErgebnisse[[#This Row],[Zahl]]</f>
        <v>383</v>
      </c>
    </row>
    <row r="442" spans="2:12" x14ac:dyDescent="0.3">
      <c r="B442" s="2">
        <v>384</v>
      </c>
      <c r="C442" s="2">
        <f>COUNTIF(Eingabe[Volle],HäufigsteErgebnisse[[#This Row],[Zahl]])</f>
        <v>2</v>
      </c>
      <c r="D442" s="2">
        <f>COUNTIF(Eingabe[Räumer],HäufigsteErgebnisse[[#This Row],[Zahl]])</f>
        <v>0</v>
      </c>
      <c r="E442" s="2">
        <f>COUNTIF(Eingabe[Fehler],HäufigsteErgebnisse[[#This Row],[Zahl]])</f>
        <v>0</v>
      </c>
      <c r="F442" s="2">
        <f>COUNTIF(Eingabe[S1],HäufigsteErgebnisse[[#This Row],[Zahl]])</f>
        <v>0</v>
      </c>
      <c r="G442" s="2">
        <f>COUNTIF(Eingabe[S2],HäufigsteErgebnisse[[#This Row],[Zahl]])</f>
        <v>0</v>
      </c>
      <c r="H442" s="2">
        <f>COUNTIF(Eingabe[S3],HäufigsteErgebnisse[[#This Row],[Zahl]])</f>
        <v>0</v>
      </c>
      <c r="I442" s="2">
        <f>COUNTIF(Eingabe[S4],HäufigsteErgebnisse[[#This Row],[Zahl]])</f>
        <v>0</v>
      </c>
      <c r="J442" s="2">
        <f>COUNTIF(Eingabe[S1],HäufigsteErgebnisse[[#This Row],[Zahl]])+COUNTIF(Eingabe[S2],HäufigsteErgebnisse[[#This Row],[Zahl]])+COUNTIF(Eingabe[S3],HäufigsteErgebnisse[[#This Row],[Zahl]])+COUNTIF(Eingabe[S4],HäufigsteErgebnisse[[#This Row],[Zahl]])</f>
        <v>0</v>
      </c>
      <c r="K442" s="2">
        <f>COUNTIF(Eingabe[GES],HäufigsteErgebnisse[[#This Row],[Zahl]])</f>
        <v>0</v>
      </c>
      <c r="L442" s="2">
        <f>HäufigsteErgebnisse[[#This Row],[Zahl]]</f>
        <v>384</v>
      </c>
    </row>
    <row r="443" spans="2:12" x14ac:dyDescent="0.3">
      <c r="B443" s="2">
        <v>385</v>
      </c>
      <c r="C443" s="2">
        <f>COUNTIF(Eingabe[Volle],HäufigsteErgebnisse[[#This Row],[Zahl]])</f>
        <v>1</v>
      </c>
      <c r="D443" s="2">
        <f>COUNTIF(Eingabe[Räumer],HäufigsteErgebnisse[[#This Row],[Zahl]])</f>
        <v>0</v>
      </c>
      <c r="E443" s="2">
        <f>COUNTIF(Eingabe[Fehler],HäufigsteErgebnisse[[#This Row],[Zahl]])</f>
        <v>0</v>
      </c>
      <c r="F443" s="2">
        <f>COUNTIF(Eingabe[S1],HäufigsteErgebnisse[[#This Row],[Zahl]])</f>
        <v>0</v>
      </c>
      <c r="G443" s="2">
        <f>COUNTIF(Eingabe[S2],HäufigsteErgebnisse[[#This Row],[Zahl]])</f>
        <v>0</v>
      </c>
      <c r="H443" s="2">
        <f>COUNTIF(Eingabe[S3],HäufigsteErgebnisse[[#This Row],[Zahl]])</f>
        <v>0</v>
      </c>
      <c r="I443" s="2">
        <f>COUNTIF(Eingabe[S4],HäufigsteErgebnisse[[#This Row],[Zahl]])</f>
        <v>0</v>
      </c>
      <c r="J443" s="2">
        <f>COUNTIF(Eingabe[S1],HäufigsteErgebnisse[[#This Row],[Zahl]])+COUNTIF(Eingabe[S2],HäufigsteErgebnisse[[#This Row],[Zahl]])+COUNTIF(Eingabe[S3],HäufigsteErgebnisse[[#This Row],[Zahl]])+COUNTIF(Eingabe[S4],HäufigsteErgebnisse[[#This Row],[Zahl]])</f>
        <v>0</v>
      </c>
      <c r="K443" s="2">
        <f>COUNTIF(Eingabe[GES],HäufigsteErgebnisse[[#This Row],[Zahl]])</f>
        <v>0</v>
      </c>
      <c r="L443" s="2">
        <f>HäufigsteErgebnisse[[#This Row],[Zahl]]</f>
        <v>385</v>
      </c>
    </row>
    <row r="444" spans="2:12" x14ac:dyDescent="0.3">
      <c r="B444" s="2">
        <v>386</v>
      </c>
      <c r="C444" s="2">
        <f>COUNTIF(Eingabe[Volle],HäufigsteErgebnisse[[#This Row],[Zahl]])</f>
        <v>0</v>
      </c>
      <c r="D444" s="2">
        <f>COUNTIF(Eingabe[Räumer],HäufigsteErgebnisse[[#This Row],[Zahl]])</f>
        <v>0</v>
      </c>
      <c r="E444" s="2">
        <f>COUNTIF(Eingabe[Fehler],HäufigsteErgebnisse[[#This Row],[Zahl]])</f>
        <v>0</v>
      </c>
      <c r="F444" s="2">
        <f>COUNTIF(Eingabe[S1],HäufigsteErgebnisse[[#This Row],[Zahl]])</f>
        <v>0</v>
      </c>
      <c r="G444" s="2">
        <f>COUNTIF(Eingabe[S2],HäufigsteErgebnisse[[#This Row],[Zahl]])</f>
        <v>0</v>
      </c>
      <c r="H444" s="2">
        <f>COUNTIF(Eingabe[S3],HäufigsteErgebnisse[[#This Row],[Zahl]])</f>
        <v>0</v>
      </c>
      <c r="I444" s="2">
        <f>COUNTIF(Eingabe[S4],HäufigsteErgebnisse[[#This Row],[Zahl]])</f>
        <v>0</v>
      </c>
      <c r="J444" s="2">
        <f>COUNTIF(Eingabe[S1],HäufigsteErgebnisse[[#This Row],[Zahl]])+COUNTIF(Eingabe[S2],HäufigsteErgebnisse[[#This Row],[Zahl]])+COUNTIF(Eingabe[S3],HäufigsteErgebnisse[[#This Row],[Zahl]])+COUNTIF(Eingabe[S4],HäufigsteErgebnisse[[#This Row],[Zahl]])</f>
        <v>0</v>
      </c>
      <c r="K444" s="2">
        <f>COUNTIF(Eingabe[GES],HäufigsteErgebnisse[[#This Row],[Zahl]])</f>
        <v>0</v>
      </c>
      <c r="L444" s="2">
        <f>HäufigsteErgebnisse[[#This Row],[Zahl]]</f>
        <v>386</v>
      </c>
    </row>
    <row r="445" spans="2:12" x14ac:dyDescent="0.3">
      <c r="B445" s="2">
        <v>387</v>
      </c>
      <c r="C445" s="2">
        <f>COUNTIF(Eingabe[Volle],HäufigsteErgebnisse[[#This Row],[Zahl]])</f>
        <v>2</v>
      </c>
      <c r="D445" s="2">
        <f>COUNTIF(Eingabe[Räumer],HäufigsteErgebnisse[[#This Row],[Zahl]])</f>
        <v>0</v>
      </c>
      <c r="E445" s="2">
        <f>COUNTIF(Eingabe[Fehler],HäufigsteErgebnisse[[#This Row],[Zahl]])</f>
        <v>0</v>
      </c>
      <c r="F445" s="2">
        <f>COUNTIF(Eingabe[S1],HäufigsteErgebnisse[[#This Row],[Zahl]])</f>
        <v>0</v>
      </c>
      <c r="G445" s="2">
        <f>COUNTIF(Eingabe[S2],HäufigsteErgebnisse[[#This Row],[Zahl]])</f>
        <v>0</v>
      </c>
      <c r="H445" s="2">
        <f>COUNTIF(Eingabe[S3],HäufigsteErgebnisse[[#This Row],[Zahl]])</f>
        <v>0</v>
      </c>
      <c r="I445" s="2">
        <f>COUNTIF(Eingabe[S4],HäufigsteErgebnisse[[#This Row],[Zahl]])</f>
        <v>0</v>
      </c>
      <c r="J445" s="2">
        <f>COUNTIF(Eingabe[S1],HäufigsteErgebnisse[[#This Row],[Zahl]])+COUNTIF(Eingabe[S2],HäufigsteErgebnisse[[#This Row],[Zahl]])+COUNTIF(Eingabe[S3],HäufigsteErgebnisse[[#This Row],[Zahl]])+COUNTIF(Eingabe[S4],HäufigsteErgebnisse[[#This Row],[Zahl]])</f>
        <v>0</v>
      </c>
      <c r="K445" s="2">
        <f>COUNTIF(Eingabe[GES],HäufigsteErgebnisse[[#This Row],[Zahl]])</f>
        <v>1</v>
      </c>
      <c r="L445" s="2">
        <f>HäufigsteErgebnisse[[#This Row],[Zahl]]</f>
        <v>387</v>
      </c>
    </row>
    <row r="446" spans="2:12" x14ac:dyDescent="0.3">
      <c r="B446" s="2">
        <v>388</v>
      </c>
      <c r="C446" s="2">
        <f>COUNTIF(Eingabe[Volle],HäufigsteErgebnisse[[#This Row],[Zahl]])</f>
        <v>0</v>
      </c>
      <c r="D446" s="2">
        <f>COUNTIF(Eingabe[Räumer],HäufigsteErgebnisse[[#This Row],[Zahl]])</f>
        <v>0</v>
      </c>
      <c r="E446" s="2">
        <f>COUNTIF(Eingabe[Fehler],HäufigsteErgebnisse[[#This Row],[Zahl]])</f>
        <v>0</v>
      </c>
      <c r="F446" s="2">
        <f>COUNTIF(Eingabe[S1],HäufigsteErgebnisse[[#This Row],[Zahl]])</f>
        <v>0</v>
      </c>
      <c r="G446" s="2">
        <f>COUNTIF(Eingabe[S2],HäufigsteErgebnisse[[#This Row],[Zahl]])</f>
        <v>0</v>
      </c>
      <c r="H446" s="2">
        <f>COUNTIF(Eingabe[S3],HäufigsteErgebnisse[[#This Row],[Zahl]])</f>
        <v>0</v>
      </c>
      <c r="I446" s="2">
        <f>COUNTIF(Eingabe[S4],HäufigsteErgebnisse[[#This Row],[Zahl]])</f>
        <v>0</v>
      </c>
      <c r="J446" s="2">
        <f>COUNTIF(Eingabe[S1],HäufigsteErgebnisse[[#This Row],[Zahl]])+COUNTIF(Eingabe[S2],HäufigsteErgebnisse[[#This Row],[Zahl]])+COUNTIF(Eingabe[S3],HäufigsteErgebnisse[[#This Row],[Zahl]])+COUNTIF(Eingabe[S4],HäufigsteErgebnisse[[#This Row],[Zahl]])</f>
        <v>0</v>
      </c>
      <c r="K446" s="2">
        <f>COUNTIF(Eingabe[GES],HäufigsteErgebnisse[[#This Row],[Zahl]])</f>
        <v>0</v>
      </c>
      <c r="L446" s="2">
        <f>HäufigsteErgebnisse[[#This Row],[Zahl]]</f>
        <v>388</v>
      </c>
    </row>
    <row r="447" spans="2:12" x14ac:dyDescent="0.3">
      <c r="B447" s="2">
        <v>389</v>
      </c>
      <c r="C447" s="2">
        <f>COUNTIF(Eingabe[Volle],HäufigsteErgebnisse[[#This Row],[Zahl]])</f>
        <v>0</v>
      </c>
      <c r="D447" s="2">
        <f>COUNTIF(Eingabe[Räumer],HäufigsteErgebnisse[[#This Row],[Zahl]])</f>
        <v>0</v>
      </c>
      <c r="E447" s="2">
        <f>COUNTIF(Eingabe[Fehler],HäufigsteErgebnisse[[#This Row],[Zahl]])</f>
        <v>0</v>
      </c>
      <c r="F447" s="2">
        <f>COUNTIF(Eingabe[S1],HäufigsteErgebnisse[[#This Row],[Zahl]])</f>
        <v>0</v>
      </c>
      <c r="G447" s="2">
        <f>COUNTIF(Eingabe[S2],HäufigsteErgebnisse[[#This Row],[Zahl]])</f>
        <v>0</v>
      </c>
      <c r="H447" s="2">
        <f>COUNTIF(Eingabe[S3],HäufigsteErgebnisse[[#This Row],[Zahl]])</f>
        <v>0</v>
      </c>
      <c r="I447" s="2">
        <f>COUNTIF(Eingabe[S4],HäufigsteErgebnisse[[#This Row],[Zahl]])</f>
        <v>0</v>
      </c>
      <c r="J447" s="2">
        <f>COUNTIF(Eingabe[S1],HäufigsteErgebnisse[[#This Row],[Zahl]])+COUNTIF(Eingabe[S2],HäufigsteErgebnisse[[#This Row],[Zahl]])+COUNTIF(Eingabe[S3],HäufigsteErgebnisse[[#This Row],[Zahl]])+COUNTIF(Eingabe[S4],HäufigsteErgebnisse[[#This Row],[Zahl]])</f>
        <v>0</v>
      </c>
      <c r="K447" s="2">
        <f>COUNTIF(Eingabe[GES],HäufigsteErgebnisse[[#This Row],[Zahl]])</f>
        <v>1</v>
      </c>
      <c r="L447" s="2">
        <f>HäufigsteErgebnisse[[#This Row],[Zahl]]</f>
        <v>389</v>
      </c>
    </row>
    <row r="448" spans="2:12" x14ac:dyDescent="0.3">
      <c r="B448" s="2">
        <v>390</v>
      </c>
      <c r="C448" s="2">
        <f>COUNTIF(Eingabe[Volle],HäufigsteErgebnisse[[#This Row],[Zahl]])</f>
        <v>3</v>
      </c>
      <c r="D448" s="2">
        <f>COUNTIF(Eingabe[Räumer],HäufigsteErgebnisse[[#This Row],[Zahl]])</f>
        <v>0</v>
      </c>
      <c r="E448" s="2">
        <f>COUNTIF(Eingabe[Fehler],HäufigsteErgebnisse[[#This Row],[Zahl]])</f>
        <v>0</v>
      </c>
      <c r="F448" s="2">
        <f>COUNTIF(Eingabe[S1],HäufigsteErgebnisse[[#This Row],[Zahl]])</f>
        <v>0</v>
      </c>
      <c r="G448" s="2">
        <f>COUNTIF(Eingabe[S2],HäufigsteErgebnisse[[#This Row],[Zahl]])</f>
        <v>0</v>
      </c>
      <c r="H448" s="2">
        <f>COUNTIF(Eingabe[S3],HäufigsteErgebnisse[[#This Row],[Zahl]])</f>
        <v>0</v>
      </c>
      <c r="I448" s="2">
        <f>COUNTIF(Eingabe[S4],HäufigsteErgebnisse[[#This Row],[Zahl]])</f>
        <v>0</v>
      </c>
      <c r="J448" s="2">
        <f>COUNTIF(Eingabe[S1],HäufigsteErgebnisse[[#This Row],[Zahl]])+COUNTIF(Eingabe[S2],HäufigsteErgebnisse[[#This Row],[Zahl]])+COUNTIF(Eingabe[S3],HäufigsteErgebnisse[[#This Row],[Zahl]])+COUNTIF(Eingabe[S4],HäufigsteErgebnisse[[#This Row],[Zahl]])</f>
        <v>0</v>
      </c>
      <c r="K448" s="2">
        <f>COUNTIF(Eingabe[GES],HäufigsteErgebnisse[[#This Row],[Zahl]])</f>
        <v>1</v>
      </c>
      <c r="L448" s="2">
        <f>HäufigsteErgebnisse[[#This Row],[Zahl]]</f>
        <v>390</v>
      </c>
    </row>
    <row r="449" spans="2:12" x14ac:dyDescent="0.3">
      <c r="B449" s="2">
        <v>391</v>
      </c>
      <c r="C449" s="2">
        <f>COUNTIF(Eingabe[Volle],HäufigsteErgebnisse[[#This Row],[Zahl]])</f>
        <v>0</v>
      </c>
      <c r="D449" s="2">
        <f>COUNTIF(Eingabe[Räumer],HäufigsteErgebnisse[[#This Row],[Zahl]])</f>
        <v>0</v>
      </c>
      <c r="E449" s="2">
        <f>COUNTIF(Eingabe[Fehler],HäufigsteErgebnisse[[#This Row],[Zahl]])</f>
        <v>0</v>
      </c>
      <c r="F449" s="2">
        <f>COUNTIF(Eingabe[S1],HäufigsteErgebnisse[[#This Row],[Zahl]])</f>
        <v>0</v>
      </c>
      <c r="G449" s="2">
        <f>COUNTIF(Eingabe[S2],HäufigsteErgebnisse[[#This Row],[Zahl]])</f>
        <v>0</v>
      </c>
      <c r="H449" s="2">
        <f>COUNTIF(Eingabe[S3],HäufigsteErgebnisse[[#This Row],[Zahl]])</f>
        <v>0</v>
      </c>
      <c r="I449" s="2">
        <f>COUNTIF(Eingabe[S4],HäufigsteErgebnisse[[#This Row],[Zahl]])</f>
        <v>0</v>
      </c>
      <c r="J449" s="2">
        <f>COUNTIF(Eingabe[S1],HäufigsteErgebnisse[[#This Row],[Zahl]])+COUNTIF(Eingabe[S2],HäufigsteErgebnisse[[#This Row],[Zahl]])+COUNTIF(Eingabe[S3],HäufigsteErgebnisse[[#This Row],[Zahl]])+COUNTIF(Eingabe[S4],HäufigsteErgebnisse[[#This Row],[Zahl]])</f>
        <v>0</v>
      </c>
      <c r="K449" s="2">
        <f>COUNTIF(Eingabe[GES],HäufigsteErgebnisse[[#This Row],[Zahl]])</f>
        <v>1</v>
      </c>
      <c r="L449" s="2">
        <f>HäufigsteErgebnisse[[#This Row],[Zahl]]</f>
        <v>391</v>
      </c>
    </row>
    <row r="450" spans="2:12" x14ac:dyDescent="0.3">
      <c r="B450" s="2">
        <v>392</v>
      </c>
      <c r="C450" s="2">
        <f>COUNTIF(Eingabe[Volle],HäufigsteErgebnisse[[#This Row],[Zahl]])</f>
        <v>1</v>
      </c>
      <c r="D450" s="2">
        <f>COUNTIF(Eingabe[Räumer],HäufigsteErgebnisse[[#This Row],[Zahl]])</f>
        <v>0</v>
      </c>
      <c r="E450" s="2">
        <f>COUNTIF(Eingabe[Fehler],HäufigsteErgebnisse[[#This Row],[Zahl]])</f>
        <v>0</v>
      </c>
      <c r="F450" s="2">
        <f>COUNTIF(Eingabe[S1],HäufigsteErgebnisse[[#This Row],[Zahl]])</f>
        <v>0</v>
      </c>
      <c r="G450" s="2">
        <f>COUNTIF(Eingabe[S2],HäufigsteErgebnisse[[#This Row],[Zahl]])</f>
        <v>0</v>
      </c>
      <c r="H450" s="2">
        <f>COUNTIF(Eingabe[S3],HäufigsteErgebnisse[[#This Row],[Zahl]])</f>
        <v>0</v>
      </c>
      <c r="I450" s="2">
        <f>COUNTIF(Eingabe[S4],HäufigsteErgebnisse[[#This Row],[Zahl]])</f>
        <v>0</v>
      </c>
      <c r="J450" s="2">
        <f>COUNTIF(Eingabe[S1],HäufigsteErgebnisse[[#This Row],[Zahl]])+COUNTIF(Eingabe[S2],HäufigsteErgebnisse[[#This Row],[Zahl]])+COUNTIF(Eingabe[S3],HäufigsteErgebnisse[[#This Row],[Zahl]])+COUNTIF(Eingabe[S4],HäufigsteErgebnisse[[#This Row],[Zahl]])</f>
        <v>0</v>
      </c>
      <c r="K450" s="2">
        <f>COUNTIF(Eingabe[GES],HäufigsteErgebnisse[[#This Row],[Zahl]])</f>
        <v>0</v>
      </c>
      <c r="L450" s="2">
        <f>HäufigsteErgebnisse[[#This Row],[Zahl]]</f>
        <v>392</v>
      </c>
    </row>
    <row r="451" spans="2:12" x14ac:dyDescent="0.3">
      <c r="B451" s="2">
        <v>393</v>
      </c>
      <c r="C451" s="2">
        <f>COUNTIF(Eingabe[Volle],HäufigsteErgebnisse[[#This Row],[Zahl]])</f>
        <v>2</v>
      </c>
      <c r="D451" s="2">
        <f>COUNTIF(Eingabe[Räumer],HäufigsteErgebnisse[[#This Row],[Zahl]])</f>
        <v>0</v>
      </c>
      <c r="E451" s="2">
        <f>COUNTIF(Eingabe[Fehler],HäufigsteErgebnisse[[#This Row],[Zahl]])</f>
        <v>0</v>
      </c>
      <c r="F451" s="2">
        <f>COUNTIF(Eingabe[S1],HäufigsteErgebnisse[[#This Row],[Zahl]])</f>
        <v>0</v>
      </c>
      <c r="G451" s="2">
        <f>COUNTIF(Eingabe[S2],HäufigsteErgebnisse[[#This Row],[Zahl]])</f>
        <v>0</v>
      </c>
      <c r="H451" s="2">
        <f>COUNTIF(Eingabe[S3],HäufigsteErgebnisse[[#This Row],[Zahl]])</f>
        <v>0</v>
      </c>
      <c r="I451" s="2">
        <f>COUNTIF(Eingabe[S4],HäufigsteErgebnisse[[#This Row],[Zahl]])</f>
        <v>0</v>
      </c>
      <c r="J451" s="2">
        <f>COUNTIF(Eingabe[S1],HäufigsteErgebnisse[[#This Row],[Zahl]])+COUNTIF(Eingabe[S2],HäufigsteErgebnisse[[#This Row],[Zahl]])+COUNTIF(Eingabe[S3],HäufigsteErgebnisse[[#This Row],[Zahl]])+COUNTIF(Eingabe[S4],HäufigsteErgebnisse[[#This Row],[Zahl]])</f>
        <v>0</v>
      </c>
      <c r="K451" s="2">
        <f>COUNTIF(Eingabe[GES],HäufigsteErgebnisse[[#This Row],[Zahl]])</f>
        <v>0</v>
      </c>
      <c r="L451" s="2">
        <f>HäufigsteErgebnisse[[#This Row],[Zahl]]</f>
        <v>393</v>
      </c>
    </row>
    <row r="452" spans="2:12" x14ac:dyDescent="0.3">
      <c r="B452" s="2">
        <v>394</v>
      </c>
      <c r="C452" s="2">
        <f>COUNTIF(Eingabe[Volle],HäufigsteErgebnisse[[#This Row],[Zahl]])</f>
        <v>0</v>
      </c>
      <c r="D452" s="2">
        <f>COUNTIF(Eingabe[Räumer],HäufigsteErgebnisse[[#This Row],[Zahl]])</f>
        <v>0</v>
      </c>
      <c r="E452" s="2">
        <f>COUNTIF(Eingabe[Fehler],HäufigsteErgebnisse[[#This Row],[Zahl]])</f>
        <v>0</v>
      </c>
      <c r="F452" s="2">
        <f>COUNTIF(Eingabe[S1],HäufigsteErgebnisse[[#This Row],[Zahl]])</f>
        <v>0</v>
      </c>
      <c r="G452" s="2">
        <f>COUNTIF(Eingabe[S2],HäufigsteErgebnisse[[#This Row],[Zahl]])</f>
        <v>0</v>
      </c>
      <c r="H452" s="2">
        <f>COUNTIF(Eingabe[S3],HäufigsteErgebnisse[[#This Row],[Zahl]])</f>
        <v>0</v>
      </c>
      <c r="I452" s="2">
        <f>COUNTIF(Eingabe[S4],HäufigsteErgebnisse[[#This Row],[Zahl]])</f>
        <v>0</v>
      </c>
      <c r="J452" s="2">
        <f>COUNTIF(Eingabe[S1],HäufigsteErgebnisse[[#This Row],[Zahl]])+COUNTIF(Eingabe[S2],HäufigsteErgebnisse[[#This Row],[Zahl]])+COUNTIF(Eingabe[S3],HäufigsteErgebnisse[[#This Row],[Zahl]])+COUNTIF(Eingabe[S4],HäufigsteErgebnisse[[#This Row],[Zahl]])</f>
        <v>0</v>
      </c>
      <c r="K452" s="2">
        <f>COUNTIF(Eingabe[GES],HäufigsteErgebnisse[[#This Row],[Zahl]])</f>
        <v>0</v>
      </c>
      <c r="L452" s="2">
        <f>HäufigsteErgebnisse[[#This Row],[Zahl]]</f>
        <v>394</v>
      </c>
    </row>
    <row r="453" spans="2:12" x14ac:dyDescent="0.3">
      <c r="B453" s="2">
        <v>395</v>
      </c>
      <c r="C453" s="2">
        <f>COUNTIF(Eingabe[Volle],HäufigsteErgebnisse[[#This Row],[Zahl]])</f>
        <v>0</v>
      </c>
      <c r="D453" s="2">
        <f>COUNTIF(Eingabe[Räumer],HäufigsteErgebnisse[[#This Row],[Zahl]])</f>
        <v>0</v>
      </c>
      <c r="E453" s="2">
        <f>COUNTIF(Eingabe[Fehler],HäufigsteErgebnisse[[#This Row],[Zahl]])</f>
        <v>0</v>
      </c>
      <c r="F453" s="2">
        <f>COUNTIF(Eingabe[S1],HäufigsteErgebnisse[[#This Row],[Zahl]])</f>
        <v>0</v>
      </c>
      <c r="G453" s="2">
        <f>COUNTIF(Eingabe[S2],HäufigsteErgebnisse[[#This Row],[Zahl]])</f>
        <v>0</v>
      </c>
      <c r="H453" s="2">
        <f>COUNTIF(Eingabe[S3],HäufigsteErgebnisse[[#This Row],[Zahl]])</f>
        <v>0</v>
      </c>
      <c r="I453" s="2">
        <f>COUNTIF(Eingabe[S4],HäufigsteErgebnisse[[#This Row],[Zahl]])</f>
        <v>0</v>
      </c>
      <c r="J453" s="2">
        <f>COUNTIF(Eingabe[S1],HäufigsteErgebnisse[[#This Row],[Zahl]])+COUNTIF(Eingabe[S2],HäufigsteErgebnisse[[#This Row],[Zahl]])+COUNTIF(Eingabe[S3],HäufigsteErgebnisse[[#This Row],[Zahl]])+COUNTIF(Eingabe[S4],HäufigsteErgebnisse[[#This Row],[Zahl]])</f>
        <v>0</v>
      </c>
      <c r="K453" s="2">
        <f>COUNTIF(Eingabe[GES],HäufigsteErgebnisse[[#This Row],[Zahl]])</f>
        <v>1</v>
      </c>
      <c r="L453" s="2">
        <f>HäufigsteErgebnisse[[#This Row],[Zahl]]</f>
        <v>395</v>
      </c>
    </row>
    <row r="454" spans="2:12" x14ac:dyDescent="0.3">
      <c r="B454" s="2">
        <v>396</v>
      </c>
      <c r="C454" s="2">
        <f>COUNTIF(Eingabe[Volle],HäufigsteErgebnisse[[#This Row],[Zahl]])</f>
        <v>0</v>
      </c>
      <c r="D454" s="2">
        <f>COUNTIF(Eingabe[Räumer],HäufigsteErgebnisse[[#This Row],[Zahl]])</f>
        <v>0</v>
      </c>
      <c r="E454" s="2">
        <f>COUNTIF(Eingabe[Fehler],HäufigsteErgebnisse[[#This Row],[Zahl]])</f>
        <v>0</v>
      </c>
      <c r="F454" s="2">
        <f>COUNTIF(Eingabe[S1],HäufigsteErgebnisse[[#This Row],[Zahl]])</f>
        <v>0</v>
      </c>
      <c r="G454" s="2">
        <f>COUNTIF(Eingabe[S2],HäufigsteErgebnisse[[#This Row],[Zahl]])</f>
        <v>0</v>
      </c>
      <c r="H454" s="2">
        <f>COUNTIF(Eingabe[S3],HäufigsteErgebnisse[[#This Row],[Zahl]])</f>
        <v>0</v>
      </c>
      <c r="I454" s="2">
        <f>COUNTIF(Eingabe[S4],HäufigsteErgebnisse[[#This Row],[Zahl]])</f>
        <v>0</v>
      </c>
      <c r="J454" s="2">
        <f>COUNTIF(Eingabe[S1],HäufigsteErgebnisse[[#This Row],[Zahl]])+COUNTIF(Eingabe[S2],HäufigsteErgebnisse[[#This Row],[Zahl]])+COUNTIF(Eingabe[S3],HäufigsteErgebnisse[[#This Row],[Zahl]])+COUNTIF(Eingabe[S4],HäufigsteErgebnisse[[#This Row],[Zahl]])</f>
        <v>0</v>
      </c>
      <c r="K454" s="2">
        <f>COUNTIF(Eingabe[GES],HäufigsteErgebnisse[[#This Row],[Zahl]])</f>
        <v>0</v>
      </c>
      <c r="L454" s="2">
        <f>HäufigsteErgebnisse[[#This Row],[Zahl]]</f>
        <v>396</v>
      </c>
    </row>
    <row r="455" spans="2:12" x14ac:dyDescent="0.3">
      <c r="B455" s="2">
        <v>397</v>
      </c>
      <c r="C455" s="2">
        <f>COUNTIF(Eingabe[Volle],HäufigsteErgebnisse[[#This Row],[Zahl]])</f>
        <v>0</v>
      </c>
      <c r="D455" s="2">
        <f>COUNTIF(Eingabe[Räumer],HäufigsteErgebnisse[[#This Row],[Zahl]])</f>
        <v>0</v>
      </c>
      <c r="E455" s="2">
        <f>COUNTIF(Eingabe[Fehler],HäufigsteErgebnisse[[#This Row],[Zahl]])</f>
        <v>0</v>
      </c>
      <c r="F455" s="2">
        <f>COUNTIF(Eingabe[S1],HäufigsteErgebnisse[[#This Row],[Zahl]])</f>
        <v>0</v>
      </c>
      <c r="G455" s="2">
        <f>COUNTIF(Eingabe[S2],HäufigsteErgebnisse[[#This Row],[Zahl]])</f>
        <v>0</v>
      </c>
      <c r="H455" s="2">
        <f>COUNTIF(Eingabe[S3],HäufigsteErgebnisse[[#This Row],[Zahl]])</f>
        <v>0</v>
      </c>
      <c r="I455" s="2">
        <f>COUNTIF(Eingabe[S4],HäufigsteErgebnisse[[#This Row],[Zahl]])</f>
        <v>0</v>
      </c>
      <c r="J455" s="2">
        <f>COUNTIF(Eingabe[S1],HäufigsteErgebnisse[[#This Row],[Zahl]])+COUNTIF(Eingabe[S2],HäufigsteErgebnisse[[#This Row],[Zahl]])+COUNTIF(Eingabe[S3],HäufigsteErgebnisse[[#This Row],[Zahl]])+COUNTIF(Eingabe[S4],HäufigsteErgebnisse[[#This Row],[Zahl]])</f>
        <v>0</v>
      </c>
      <c r="K455" s="2">
        <f>COUNTIF(Eingabe[GES],HäufigsteErgebnisse[[#This Row],[Zahl]])</f>
        <v>1</v>
      </c>
      <c r="L455" s="2">
        <f>HäufigsteErgebnisse[[#This Row],[Zahl]]</f>
        <v>397</v>
      </c>
    </row>
    <row r="456" spans="2:12" x14ac:dyDescent="0.3">
      <c r="B456" s="2">
        <v>398</v>
      </c>
      <c r="C456" s="2">
        <f>COUNTIF(Eingabe[Volle],HäufigsteErgebnisse[[#This Row],[Zahl]])</f>
        <v>0</v>
      </c>
      <c r="D456" s="2">
        <f>COUNTIF(Eingabe[Räumer],HäufigsteErgebnisse[[#This Row],[Zahl]])</f>
        <v>0</v>
      </c>
      <c r="E456" s="2">
        <f>COUNTIF(Eingabe[Fehler],HäufigsteErgebnisse[[#This Row],[Zahl]])</f>
        <v>0</v>
      </c>
      <c r="F456" s="2">
        <f>COUNTIF(Eingabe[S1],HäufigsteErgebnisse[[#This Row],[Zahl]])</f>
        <v>0</v>
      </c>
      <c r="G456" s="2">
        <f>COUNTIF(Eingabe[S2],HäufigsteErgebnisse[[#This Row],[Zahl]])</f>
        <v>0</v>
      </c>
      <c r="H456" s="2">
        <f>COUNTIF(Eingabe[S3],HäufigsteErgebnisse[[#This Row],[Zahl]])</f>
        <v>0</v>
      </c>
      <c r="I456" s="2">
        <f>COUNTIF(Eingabe[S4],HäufigsteErgebnisse[[#This Row],[Zahl]])</f>
        <v>0</v>
      </c>
      <c r="J456" s="2">
        <f>COUNTIF(Eingabe[S1],HäufigsteErgebnisse[[#This Row],[Zahl]])+COUNTIF(Eingabe[S2],HäufigsteErgebnisse[[#This Row],[Zahl]])+COUNTIF(Eingabe[S3],HäufigsteErgebnisse[[#This Row],[Zahl]])+COUNTIF(Eingabe[S4],HäufigsteErgebnisse[[#This Row],[Zahl]])</f>
        <v>0</v>
      </c>
      <c r="K456" s="2">
        <f>COUNTIF(Eingabe[GES],HäufigsteErgebnisse[[#This Row],[Zahl]])</f>
        <v>1</v>
      </c>
      <c r="L456" s="2">
        <f>HäufigsteErgebnisse[[#This Row],[Zahl]]</f>
        <v>398</v>
      </c>
    </row>
    <row r="457" spans="2:12" x14ac:dyDescent="0.3">
      <c r="B457" s="2">
        <v>399</v>
      </c>
      <c r="C457" s="2">
        <f>COUNTIF(Eingabe[Volle],HäufigsteErgebnisse[[#This Row],[Zahl]])</f>
        <v>0</v>
      </c>
      <c r="D457" s="2">
        <f>COUNTIF(Eingabe[Räumer],HäufigsteErgebnisse[[#This Row],[Zahl]])</f>
        <v>0</v>
      </c>
      <c r="E457" s="2">
        <f>COUNTIF(Eingabe[Fehler],HäufigsteErgebnisse[[#This Row],[Zahl]])</f>
        <v>0</v>
      </c>
      <c r="F457" s="2">
        <f>COUNTIF(Eingabe[S1],HäufigsteErgebnisse[[#This Row],[Zahl]])</f>
        <v>0</v>
      </c>
      <c r="G457" s="2">
        <f>COUNTIF(Eingabe[S2],HäufigsteErgebnisse[[#This Row],[Zahl]])</f>
        <v>0</v>
      </c>
      <c r="H457" s="2">
        <f>COUNTIF(Eingabe[S3],HäufigsteErgebnisse[[#This Row],[Zahl]])</f>
        <v>0</v>
      </c>
      <c r="I457" s="2">
        <f>COUNTIF(Eingabe[S4],HäufigsteErgebnisse[[#This Row],[Zahl]])</f>
        <v>0</v>
      </c>
      <c r="J457" s="2">
        <f>COUNTIF(Eingabe[S1],HäufigsteErgebnisse[[#This Row],[Zahl]])+COUNTIF(Eingabe[S2],HäufigsteErgebnisse[[#This Row],[Zahl]])+COUNTIF(Eingabe[S3],HäufigsteErgebnisse[[#This Row],[Zahl]])+COUNTIF(Eingabe[S4],HäufigsteErgebnisse[[#This Row],[Zahl]])</f>
        <v>0</v>
      </c>
      <c r="K457" s="2">
        <f>COUNTIF(Eingabe[GES],HäufigsteErgebnisse[[#This Row],[Zahl]])</f>
        <v>0</v>
      </c>
      <c r="L457" s="2">
        <f>HäufigsteErgebnisse[[#This Row],[Zahl]]</f>
        <v>399</v>
      </c>
    </row>
    <row r="458" spans="2:12" x14ac:dyDescent="0.3">
      <c r="B458" s="2">
        <v>400</v>
      </c>
      <c r="C458" s="2">
        <f>COUNTIF(Eingabe[Volle],HäufigsteErgebnisse[[#This Row],[Zahl]])</f>
        <v>0</v>
      </c>
      <c r="D458" s="2">
        <f>COUNTIF(Eingabe[Räumer],HäufigsteErgebnisse[[#This Row],[Zahl]])</f>
        <v>0</v>
      </c>
      <c r="E458" s="2">
        <f>COUNTIF(Eingabe[Fehler],HäufigsteErgebnisse[[#This Row],[Zahl]])</f>
        <v>0</v>
      </c>
      <c r="F458" s="2">
        <f>COUNTIF(Eingabe[S1],HäufigsteErgebnisse[[#This Row],[Zahl]])</f>
        <v>0</v>
      </c>
      <c r="G458" s="2">
        <f>COUNTIF(Eingabe[S2],HäufigsteErgebnisse[[#This Row],[Zahl]])</f>
        <v>0</v>
      </c>
      <c r="H458" s="2">
        <f>COUNTIF(Eingabe[S3],HäufigsteErgebnisse[[#This Row],[Zahl]])</f>
        <v>0</v>
      </c>
      <c r="I458" s="2">
        <f>COUNTIF(Eingabe[S4],HäufigsteErgebnisse[[#This Row],[Zahl]])</f>
        <v>0</v>
      </c>
      <c r="J458" s="2">
        <f>COUNTIF(Eingabe[S1],HäufigsteErgebnisse[[#This Row],[Zahl]])+COUNTIF(Eingabe[S2],HäufigsteErgebnisse[[#This Row],[Zahl]])+COUNTIF(Eingabe[S3],HäufigsteErgebnisse[[#This Row],[Zahl]])+COUNTIF(Eingabe[S4],HäufigsteErgebnisse[[#This Row],[Zahl]])</f>
        <v>0</v>
      </c>
      <c r="K458" s="2">
        <f>COUNTIF(Eingabe[GES],HäufigsteErgebnisse[[#This Row],[Zahl]])</f>
        <v>1</v>
      </c>
      <c r="L458" s="2">
        <f>HäufigsteErgebnisse[[#This Row],[Zahl]]</f>
        <v>400</v>
      </c>
    </row>
    <row r="459" spans="2:12" x14ac:dyDescent="0.3">
      <c r="B459" s="2">
        <v>401</v>
      </c>
      <c r="C459" s="2">
        <f>COUNTIF(Eingabe[Volle],HäufigsteErgebnisse[[#This Row],[Zahl]])</f>
        <v>0</v>
      </c>
      <c r="D459" s="2">
        <f>COUNTIF(Eingabe[Räumer],HäufigsteErgebnisse[[#This Row],[Zahl]])</f>
        <v>0</v>
      </c>
      <c r="E459" s="2">
        <f>COUNTIF(Eingabe[Fehler],HäufigsteErgebnisse[[#This Row],[Zahl]])</f>
        <v>0</v>
      </c>
      <c r="F459" s="2">
        <f>COUNTIF(Eingabe[S1],HäufigsteErgebnisse[[#This Row],[Zahl]])</f>
        <v>0</v>
      </c>
      <c r="G459" s="2">
        <f>COUNTIF(Eingabe[S2],HäufigsteErgebnisse[[#This Row],[Zahl]])</f>
        <v>0</v>
      </c>
      <c r="H459" s="2">
        <f>COUNTIF(Eingabe[S3],HäufigsteErgebnisse[[#This Row],[Zahl]])</f>
        <v>0</v>
      </c>
      <c r="I459" s="2">
        <f>COUNTIF(Eingabe[S4],HäufigsteErgebnisse[[#This Row],[Zahl]])</f>
        <v>0</v>
      </c>
      <c r="J459" s="2">
        <f>COUNTIF(Eingabe[S1],HäufigsteErgebnisse[[#This Row],[Zahl]])+COUNTIF(Eingabe[S2],HäufigsteErgebnisse[[#This Row],[Zahl]])+COUNTIF(Eingabe[S3],HäufigsteErgebnisse[[#This Row],[Zahl]])+COUNTIF(Eingabe[S4],HäufigsteErgebnisse[[#This Row],[Zahl]])</f>
        <v>0</v>
      </c>
      <c r="K459" s="2">
        <f>COUNTIF(Eingabe[GES],HäufigsteErgebnisse[[#This Row],[Zahl]])</f>
        <v>0</v>
      </c>
      <c r="L459" s="2">
        <f>HäufigsteErgebnisse[[#This Row],[Zahl]]</f>
        <v>401</v>
      </c>
    </row>
    <row r="460" spans="2:12" x14ac:dyDescent="0.3">
      <c r="B460" s="2">
        <v>402</v>
      </c>
      <c r="C460" s="2">
        <f>COUNTIF(Eingabe[Volle],HäufigsteErgebnisse[[#This Row],[Zahl]])</f>
        <v>0</v>
      </c>
      <c r="D460" s="2">
        <f>COUNTIF(Eingabe[Räumer],HäufigsteErgebnisse[[#This Row],[Zahl]])</f>
        <v>0</v>
      </c>
      <c r="E460" s="2">
        <f>COUNTIF(Eingabe[Fehler],HäufigsteErgebnisse[[#This Row],[Zahl]])</f>
        <v>0</v>
      </c>
      <c r="F460" s="2">
        <f>COUNTIF(Eingabe[S1],HäufigsteErgebnisse[[#This Row],[Zahl]])</f>
        <v>0</v>
      </c>
      <c r="G460" s="2">
        <f>COUNTIF(Eingabe[S2],HäufigsteErgebnisse[[#This Row],[Zahl]])</f>
        <v>0</v>
      </c>
      <c r="H460" s="2">
        <f>COUNTIF(Eingabe[S3],HäufigsteErgebnisse[[#This Row],[Zahl]])</f>
        <v>0</v>
      </c>
      <c r="I460" s="2">
        <f>COUNTIF(Eingabe[S4],HäufigsteErgebnisse[[#This Row],[Zahl]])</f>
        <v>0</v>
      </c>
      <c r="J460" s="2">
        <f>COUNTIF(Eingabe[S1],HäufigsteErgebnisse[[#This Row],[Zahl]])+COUNTIF(Eingabe[S2],HäufigsteErgebnisse[[#This Row],[Zahl]])+COUNTIF(Eingabe[S3],HäufigsteErgebnisse[[#This Row],[Zahl]])+COUNTIF(Eingabe[S4],HäufigsteErgebnisse[[#This Row],[Zahl]])</f>
        <v>0</v>
      </c>
      <c r="K460" s="2">
        <f>COUNTIF(Eingabe[GES],HäufigsteErgebnisse[[#This Row],[Zahl]])</f>
        <v>0</v>
      </c>
      <c r="L460" s="2">
        <f>HäufigsteErgebnisse[[#This Row],[Zahl]]</f>
        <v>402</v>
      </c>
    </row>
    <row r="461" spans="2:12" x14ac:dyDescent="0.3">
      <c r="B461" s="2">
        <v>403</v>
      </c>
      <c r="C461" s="2">
        <f>COUNTIF(Eingabe[Volle],HäufigsteErgebnisse[[#This Row],[Zahl]])</f>
        <v>0</v>
      </c>
      <c r="D461" s="2">
        <f>COUNTIF(Eingabe[Räumer],HäufigsteErgebnisse[[#This Row],[Zahl]])</f>
        <v>0</v>
      </c>
      <c r="E461" s="2">
        <f>COUNTIF(Eingabe[Fehler],HäufigsteErgebnisse[[#This Row],[Zahl]])</f>
        <v>0</v>
      </c>
      <c r="F461" s="2">
        <f>COUNTIF(Eingabe[S1],HäufigsteErgebnisse[[#This Row],[Zahl]])</f>
        <v>0</v>
      </c>
      <c r="G461" s="2">
        <f>COUNTIF(Eingabe[S2],HäufigsteErgebnisse[[#This Row],[Zahl]])</f>
        <v>0</v>
      </c>
      <c r="H461" s="2">
        <f>COUNTIF(Eingabe[S3],HäufigsteErgebnisse[[#This Row],[Zahl]])</f>
        <v>0</v>
      </c>
      <c r="I461" s="2">
        <f>COUNTIF(Eingabe[S4],HäufigsteErgebnisse[[#This Row],[Zahl]])</f>
        <v>0</v>
      </c>
      <c r="J461" s="2">
        <f>COUNTIF(Eingabe[S1],HäufigsteErgebnisse[[#This Row],[Zahl]])+COUNTIF(Eingabe[S2],HäufigsteErgebnisse[[#This Row],[Zahl]])+COUNTIF(Eingabe[S3],HäufigsteErgebnisse[[#This Row],[Zahl]])+COUNTIF(Eingabe[S4],HäufigsteErgebnisse[[#This Row],[Zahl]])</f>
        <v>0</v>
      </c>
      <c r="K461" s="2">
        <f>COUNTIF(Eingabe[GES],HäufigsteErgebnisse[[#This Row],[Zahl]])</f>
        <v>1</v>
      </c>
      <c r="L461" s="2">
        <f>HäufigsteErgebnisse[[#This Row],[Zahl]]</f>
        <v>403</v>
      </c>
    </row>
    <row r="462" spans="2:12" x14ac:dyDescent="0.3">
      <c r="B462" s="2">
        <v>404</v>
      </c>
      <c r="C462" s="2">
        <f>COUNTIF(Eingabe[Volle],HäufigsteErgebnisse[[#This Row],[Zahl]])</f>
        <v>0</v>
      </c>
      <c r="D462" s="2">
        <f>COUNTIF(Eingabe[Räumer],HäufigsteErgebnisse[[#This Row],[Zahl]])</f>
        <v>0</v>
      </c>
      <c r="E462" s="2">
        <f>COUNTIF(Eingabe[Fehler],HäufigsteErgebnisse[[#This Row],[Zahl]])</f>
        <v>0</v>
      </c>
      <c r="F462" s="2">
        <f>COUNTIF(Eingabe[S1],HäufigsteErgebnisse[[#This Row],[Zahl]])</f>
        <v>0</v>
      </c>
      <c r="G462" s="2">
        <f>COUNTIF(Eingabe[S2],HäufigsteErgebnisse[[#This Row],[Zahl]])</f>
        <v>0</v>
      </c>
      <c r="H462" s="2">
        <f>COUNTIF(Eingabe[S3],HäufigsteErgebnisse[[#This Row],[Zahl]])</f>
        <v>0</v>
      </c>
      <c r="I462" s="2">
        <f>COUNTIF(Eingabe[S4],HäufigsteErgebnisse[[#This Row],[Zahl]])</f>
        <v>0</v>
      </c>
      <c r="J462" s="2">
        <f>COUNTIF(Eingabe[S1],HäufigsteErgebnisse[[#This Row],[Zahl]])+COUNTIF(Eingabe[S2],HäufigsteErgebnisse[[#This Row],[Zahl]])+COUNTIF(Eingabe[S3],HäufigsteErgebnisse[[#This Row],[Zahl]])+COUNTIF(Eingabe[S4],HäufigsteErgebnisse[[#This Row],[Zahl]])</f>
        <v>0</v>
      </c>
      <c r="K462" s="2">
        <f>COUNTIF(Eingabe[GES],HäufigsteErgebnisse[[#This Row],[Zahl]])</f>
        <v>0</v>
      </c>
      <c r="L462" s="2">
        <f>HäufigsteErgebnisse[[#This Row],[Zahl]]</f>
        <v>404</v>
      </c>
    </row>
    <row r="463" spans="2:12" x14ac:dyDescent="0.3">
      <c r="B463" s="2">
        <v>405</v>
      </c>
      <c r="C463" s="2">
        <f>COUNTIF(Eingabe[Volle],HäufigsteErgebnisse[[#This Row],[Zahl]])</f>
        <v>2</v>
      </c>
      <c r="D463" s="2">
        <f>COUNTIF(Eingabe[Räumer],HäufigsteErgebnisse[[#This Row],[Zahl]])</f>
        <v>0</v>
      </c>
      <c r="E463" s="2">
        <f>COUNTIF(Eingabe[Fehler],HäufigsteErgebnisse[[#This Row],[Zahl]])</f>
        <v>0</v>
      </c>
      <c r="F463" s="2">
        <f>COUNTIF(Eingabe[S1],HäufigsteErgebnisse[[#This Row],[Zahl]])</f>
        <v>0</v>
      </c>
      <c r="G463" s="2">
        <f>COUNTIF(Eingabe[S2],HäufigsteErgebnisse[[#This Row],[Zahl]])</f>
        <v>0</v>
      </c>
      <c r="H463" s="2">
        <f>COUNTIF(Eingabe[S3],HäufigsteErgebnisse[[#This Row],[Zahl]])</f>
        <v>0</v>
      </c>
      <c r="I463" s="2">
        <f>COUNTIF(Eingabe[S4],HäufigsteErgebnisse[[#This Row],[Zahl]])</f>
        <v>0</v>
      </c>
      <c r="J463" s="2">
        <f>COUNTIF(Eingabe[S1],HäufigsteErgebnisse[[#This Row],[Zahl]])+COUNTIF(Eingabe[S2],HäufigsteErgebnisse[[#This Row],[Zahl]])+COUNTIF(Eingabe[S3],HäufigsteErgebnisse[[#This Row],[Zahl]])+COUNTIF(Eingabe[S4],HäufigsteErgebnisse[[#This Row],[Zahl]])</f>
        <v>0</v>
      </c>
      <c r="K463" s="2">
        <f>COUNTIF(Eingabe[GES],HäufigsteErgebnisse[[#This Row],[Zahl]])</f>
        <v>0</v>
      </c>
      <c r="L463" s="2">
        <f>HäufigsteErgebnisse[[#This Row],[Zahl]]</f>
        <v>405</v>
      </c>
    </row>
    <row r="464" spans="2:12" x14ac:dyDescent="0.3">
      <c r="B464" s="2">
        <v>406</v>
      </c>
      <c r="C464" s="2">
        <f>COUNTIF(Eingabe[Volle],HäufigsteErgebnisse[[#This Row],[Zahl]])</f>
        <v>0</v>
      </c>
      <c r="D464" s="2">
        <f>COUNTIF(Eingabe[Räumer],HäufigsteErgebnisse[[#This Row],[Zahl]])</f>
        <v>0</v>
      </c>
      <c r="E464" s="2">
        <f>COUNTIF(Eingabe[Fehler],HäufigsteErgebnisse[[#This Row],[Zahl]])</f>
        <v>0</v>
      </c>
      <c r="F464" s="2">
        <f>COUNTIF(Eingabe[S1],HäufigsteErgebnisse[[#This Row],[Zahl]])</f>
        <v>0</v>
      </c>
      <c r="G464" s="2">
        <f>COUNTIF(Eingabe[S2],HäufigsteErgebnisse[[#This Row],[Zahl]])</f>
        <v>0</v>
      </c>
      <c r="H464" s="2">
        <f>COUNTIF(Eingabe[S3],HäufigsteErgebnisse[[#This Row],[Zahl]])</f>
        <v>0</v>
      </c>
      <c r="I464" s="2">
        <f>COUNTIF(Eingabe[S4],HäufigsteErgebnisse[[#This Row],[Zahl]])</f>
        <v>0</v>
      </c>
      <c r="J464" s="2">
        <f>COUNTIF(Eingabe[S1],HäufigsteErgebnisse[[#This Row],[Zahl]])+COUNTIF(Eingabe[S2],HäufigsteErgebnisse[[#This Row],[Zahl]])+COUNTIF(Eingabe[S3],HäufigsteErgebnisse[[#This Row],[Zahl]])+COUNTIF(Eingabe[S4],HäufigsteErgebnisse[[#This Row],[Zahl]])</f>
        <v>0</v>
      </c>
      <c r="K464" s="2">
        <f>COUNTIF(Eingabe[GES],HäufigsteErgebnisse[[#This Row],[Zahl]])</f>
        <v>0</v>
      </c>
      <c r="L464" s="2">
        <f>HäufigsteErgebnisse[[#This Row],[Zahl]]</f>
        <v>406</v>
      </c>
    </row>
    <row r="465" spans="2:12" x14ac:dyDescent="0.3">
      <c r="B465" s="2">
        <v>407</v>
      </c>
      <c r="C465" s="2">
        <f>COUNTIF(Eingabe[Volle],HäufigsteErgebnisse[[#This Row],[Zahl]])</f>
        <v>0</v>
      </c>
      <c r="D465" s="2">
        <f>COUNTIF(Eingabe[Räumer],HäufigsteErgebnisse[[#This Row],[Zahl]])</f>
        <v>0</v>
      </c>
      <c r="E465" s="2">
        <f>COUNTIF(Eingabe[Fehler],HäufigsteErgebnisse[[#This Row],[Zahl]])</f>
        <v>0</v>
      </c>
      <c r="F465" s="2">
        <f>COUNTIF(Eingabe[S1],HäufigsteErgebnisse[[#This Row],[Zahl]])</f>
        <v>0</v>
      </c>
      <c r="G465" s="2">
        <f>COUNTIF(Eingabe[S2],HäufigsteErgebnisse[[#This Row],[Zahl]])</f>
        <v>0</v>
      </c>
      <c r="H465" s="2">
        <f>COUNTIF(Eingabe[S3],HäufigsteErgebnisse[[#This Row],[Zahl]])</f>
        <v>0</v>
      </c>
      <c r="I465" s="2">
        <f>COUNTIF(Eingabe[S4],HäufigsteErgebnisse[[#This Row],[Zahl]])</f>
        <v>0</v>
      </c>
      <c r="J465" s="2">
        <f>COUNTIF(Eingabe[S1],HäufigsteErgebnisse[[#This Row],[Zahl]])+COUNTIF(Eingabe[S2],HäufigsteErgebnisse[[#This Row],[Zahl]])+COUNTIF(Eingabe[S3],HäufigsteErgebnisse[[#This Row],[Zahl]])+COUNTIF(Eingabe[S4],HäufigsteErgebnisse[[#This Row],[Zahl]])</f>
        <v>0</v>
      </c>
      <c r="K465" s="2">
        <f>COUNTIF(Eingabe[GES],HäufigsteErgebnisse[[#This Row],[Zahl]])</f>
        <v>0</v>
      </c>
      <c r="L465" s="2">
        <f>HäufigsteErgebnisse[[#This Row],[Zahl]]</f>
        <v>407</v>
      </c>
    </row>
    <row r="466" spans="2:12" x14ac:dyDescent="0.3">
      <c r="B466" s="2">
        <v>408</v>
      </c>
      <c r="C466" s="2">
        <f>COUNTIF(Eingabe[Volle],HäufigsteErgebnisse[[#This Row],[Zahl]])</f>
        <v>0</v>
      </c>
      <c r="D466" s="2">
        <f>COUNTIF(Eingabe[Räumer],HäufigsteErgebnisse[[#This Row],[Zahl]])</f>
        <v>0</v>
      </c>
      <c r="E466" s="2">
        <f>COUNTIF(Eingabe[Fehler],HäufigsteErgebnisse[[#This Row],[Zahl]])</f>
        <v>0</v>
      </c>
      <c r="F466" s="2">
        <f>COUNTIF(Eingabe[S1],HäufigsteErgebnisse[[#This Row],[Zahl]])</f>
        <v>0</v>
      </c>
      <c r="G466" s="2">
        <f>COUNTIF(Eingabe[S2],HäufigsteErgebnisse[[#This Row],[Zahl]])</f>
        <v>0</v>
      </c>
      <c r="H466" s="2">
        <f>COUNTIF(Eingabe[S3],HäufigsteErgebnisse[[#This Row],[Zahl]])</f>
        <v>0</v>
      </c>
      <c r="I466" s="2">
        <f>COUNTIF(Eingabe[S4],HäufigsteErgebnisse[[#This Row],[Zahl]])</f>
        <v>0</v>
      </c>
      <c r="J466" s="2">
        <f>COUNTIF(Eingabe[S1],HäufigsteErgebnisse[[#This Row],[Zahl]])+COUNTIF(Eingabe[S2],HäufigsteErgebnisse[[#This Row],[Zahl]])+COUNTIF(Eingabe[S3],HäufigsteErgebnisse[[#This Row],[Zahl]])+COUNTIF(Eingabe[S4],HäufigsteErgebnisse[[#This Row],[Zahl]])</f>
        <v>0</v>
      </c>
      <c r="K466" s="2">
        <f>COUNTIF(Eingabe[GES],HäufigsteErgebnisse[[#This Row],[Zahl]])</f>
        <v>0</v>
      </c>
      <c r="L466" s="2">
        <f>HäufigsteErgebnisse[[#This Row],[Zahl]]</f>
        <v>408</v>
      </c>
    </row>
    <row r="467" spans="2:12" x14ac:dyDescent="0.3">
      <c r="B467" s="2">
        <v>409</v>
      </c>
      <c r="C467" s="2">
        <f>COUNTIF(Eingabe[Volle],HäufigsteErgebnisse[[#This Row],[Zahl]])</f>
        <v>0</v>
      </c>
      <c r="D467" s="2">
        <f>COUNTIF(Eingabe[Räumer],HäufigsteErgebnisse[[#This Row],[Zahl]])</f>
        <v>0</v>
      </c>
      <c r="E467" s="2">
        <f>COUNTIF(Eingabe[Fehler],HäufigsteErgebnisse[[#This Row],[Zahl]])</f>
        <v>0</v>
      </c>
      <c r="F467" s="2">
        <f>COUNTIF(Eingabe[S1],HäufigsteErgebnisse[[#This Row],[Zahl]])</f>
        <v>0</v>
      </c>
      <c r="G467" s="2">
        <f>COUNTIF(Eingabe[S2],HäufigsteErgebnisse[[#This Row],[Zahl]])</f>
        <v>0</v>
      </c>
      <c r="H467" s="2">
        <f>COUNTIF(Eingabe[S3],HäufigsteErgebnisse[[#This Row],[Zahl]])</f>
        <v>0</v>
      </c>
      <c r="I467" s="2">
        <f>COUNTIF(Eingabe[S4],HäufigsteErgebnisse[[#This Row],[Zahl]])</f>
        <v>0</v>
      </c>
      <c r="J467" s="2">
        <f>COUNTIF(Eingabe[S1],HäufigsteErgebnisse[[#This Row],[Zahl]])+COUNTIF(Eingabe[S2],HäufigsteErgebnisse[[#This Row],[Zahl]])+COUNTIF(Eingabe[S3],HäufigsteErgebnisse[[#This Row],[Zahl]])+COUNTIF(Eingabe[S4],HäufigsteErgebnisse[[#This Row],[Zahl]])</f>
        <v>0</v>
      </c>
      <c r="K467" s="2">
        <f>COUNTIF(Eingabe[GES],HäufigsteErgebnisse[[#This Row],[Zahl]])</f>
        <v>0</v>
      </c>
      <c r="L467" s="2">
        <f>HäufigsteErgebnisse[[#This Row],[Zahl]]</f>
        <v>409</v>
      </c>
    </row>
    <row r="468" spans="2:12" x14ac:dyDescent="0.3">
      <c r="B468" s="2">
        <v>410</v>
      </c>
      <c r="C468" s="2">
        <f>COUNTIF(Eingabe[Volle],HäufigsteErgebnisse[[#This Row],[Zahl]])</f>
        <v>0</v>
      </c>
      <c r="D468" s="2">
        <f>COUNTIF(Eingabe[Räumer],HäufigsteErgebnisse[[#This Row],[Zahl]])</f>
        <v>0</v>
      </c>
      <c r="E468" s="2">
        <f>COUNTIF(Eingabe[Fehler],HäufigsteErgebnisse[[#This Row],[Zahl]])</f>
        <v>0</v>
      </c>
      <c r="F468" s="2">
        <f>COUNTIF(Eingabe[S1],HäufigsteErgebnisse[[#This Row],[Zahl]])</f>
        <v>0</v>
      </c>
      <c r="G468" s="2">
        <f>COUNTIF(Eingabe[S2],HäufigsteErgebnisse[[#This Row],[Zahl]])</f>
        <v>0</v>
      </c>
      <c r="H468" s="2">
        <f>COUNTIF(Eingabe[S3],HäufigsteErgebnisse[[#This Row],[Zahl]])</f>
        <v>0</v>
      </c>
      <c r="I468" s="2">
        <f>COUNTIF(Eingabe[S4],HäufigsteErgebnisse[[#This Row],[Zahl]])</f>
        <v>0</v>
      </c>
      <c r="J468" s="2">
        <f>COUNTIF(Eingabe[S1],HäufigsteErgebnisse[[#This Row],[Zahl]])+COUNTIF(Eingabe[S2],HäufigsteErgebnisse[[#This Row],[Zahl]])+COUNTIF(Eingabe[S3],HäufigsteErgebnisse[[#This Row],[Zahl]])+COUNTIF(Eingabe[S4],HäufigsteErgebnisse[[#This Row],[Zahl]])</f>
        <v>0</v>
      </c>
      <c r="K468" s="2">
        <f>COUNTIF(Eingabe[GES],HäufigsteErgebnisse[[#This Row],[Zahl]])</f>
        <v>0</v>
      </c>
      <c r="L468" s="2">
        <f>HäufigsteErgebnisse[[#This Row],[Zahl]]</f>
        <v>410</v>
      </c>
    </row>
    <row r="469" spans="2:12" x14ac:dyDescent="0.3">
      <c r="B469" s="2">
        <v>411</v>
      </c>
      <c r="C469" s="2">
        <f>COUNTIF(Eingabe[Volle],HäufigsteErgebnisse[[#This Row],[Zahl]])</f>
        <v>0</v>
      </c>
      <c r="D469" s="2">
        <f>COUNTIF(Eingabe[Räumer],HäufigsteErgebnisse[[#This Row],[Zahl]])</f>
        <v>0</v>
      </c>
      <c r="E469" s="2">
        <f>COUNTIF(Eingabe[Fehler],HäufigsteErgebnisse[[#This Row],[Zahl]])</f>
        <v>0</v>
      </c>
      <c r="F469" s="2">
        <f>COUNTIF(Eingabe[S1],HäufigsteErgebnisse[[#This Row],[Zahl]])</f>
        <v>0</v>
      </c>
      <c r="G469" s="2">
        <f>COUNTIF(Eingabe[S2],HäufigsteErgebnisse[[#This Row],[Zahl]])</f>
        <v>0</v>
      </c>
      <c r="H469" s="2">
        <f>COUNTIF(Eingabe[S3],HäufigsteErgebnisse[[#This Row],[Zahl]])</f>
        <v>0</v>
      </c>
      <c r="I469" s="2">
        <f>COUNTIF(Eingabe[S4],HäufigsteErgebnisse[[#This Row],[Zahl]])</f>
        <v>0</v>
      </c>
      <c r="J469" s="2">
        <f>COUNTIF(Eingabe[S1],HäufigsteErgebnisse[[#This Row],[Zahl]])+COUNTIF(Eingabe[S2],HäufigsteErgebnisse[[#This Row],[Zahl]])+COUNTIF(Eingabe[S3],HäufigsteErgebnisse[[#This Row],[Zahl]])+COUNTIF(Eingabe[S4],HäufigsteErgebnisse[[#This Row],[Zahl]])</f>
        <v>0</v>
      </c>
      <c r="K469" s="2">
        <f>COUNTIF(Eingabe[GES],HäufigsteErgebnisse[[#This Row],[Zahl]])</f>
        <v>0</v>
      </c>
      <c r="L469" s="2">
        <f>HäufigsteErgebnisse[[#This Row],[Zahl]]</f>
        <v>411</v>
      </c>
    </row>
    <row r="470" spans="2:12" x14ac:dyDescent="0.3">
      <c r="B470" s="2">
        <v>412</v>
      </c>
      <c r="C470" s="2">
        <f>COUNTIF(Eingabe[Volle],HäufigsteErgebnisse[[#This Row],[Zahl]])</f>
        <v>0</v>
      </c>
      <c r="D470" s="2">
        <f>COUNTIF(Eingabe[Räumer],HäufigsteErgebnisse[[#This Row],[Zahl]])</f>
        <v>0</v>
      </c>
      <c r="E470" s="2">
        <f>COUNTIF(Eingabe[Fehler],HäufigsteErgebnisse[[#This Row],[Zahl]])</f>
        <v>0</v>
      </c>
      <c r="F470" s="2">
        <f>COUNTIF(Eingabe[S1],HäufigsteErgebnisse[[#This Row],[Zahl]])</f>
        <v>0</v>
      </c>
      <c r="G470" s="2">
        <f>COUNTIF(Eingabe[S2],HäufigsteErgebnisse[[#This Row],[Zahl]])</f>
        <v>0</v>
      </c>
      <c r="H470" s="2">
        <f>COUNTIF(Eingabe[S3],HäufigsteErgebnisse[[#This Row],[Zahl]])</f>
        <v>0</v>
      </c>
      <c r="I470" s="2">
        <f>COUNTIF(Eingabe[S4],HäufigsteErgebnisse[[#This Row],[Zahl]])</f>
        <v>0</v>
      </c>
      <c r="J470" s="2">
        <f>COUNTIF(Eingabe[S1],HäufigsteErgebnisse[[#This Row],[Zahl]])+COUNTIF(Eingabe[S2],HäufigsteErgebnisse[[#This Row],[Zahl]])+COUNTIF(Eingabe[S3],HäufigsteErgebnisse[[#This Row],[Zahl]])+COUNTIF(Eingabe[S4],HäufigsteErgebnisse[[#This Row],[Zahl]])</f>
        <v>0</v>
      </c>
      <c r="K470" s="2">
        <f>COUNTIF(Eingabe[GES],HäufigsteErgebnisse[[#This Row],[Zahl]])</f>
        <v>0</v>
      </c>
      <c r="L470" s="2">
        <f>HäufigsteErgebnisse[[#This Row],[Zahl]]</f>
        <v>412</v>
      </c>
    </row>
    <row r="471" spans="2:12" x14ac:dyDescent="0.3">
      <c r="B471" s="2">
        <v>413</v>
      </c>
      <c r="C471" s="2">
        <f>COUNTIF(Eingabe[Volle],HäufigsteErgebnisse[[#This Row],[Zahl]])</f>
        <v>0</v>
      </c>
      <c r="D471" s="2">
        <f>COUNTIF(Eingabe[Räumer],HäufigsteErgebnisse[[#This Row],[Zahl]])</f>
        <v>0</v>
      </c>
      <c r="E471" s="2">
        <f>COUNTIF(Eingabe[Fehler],HäufigsteErgebnisse[[#This Row],[Zahl]])</f>
        <v>0</v>
      </c>
      <c r="F471" s="2">
        <f>COUNTIF(Eingabe[S1],HäufigsteErgebnisse[[#This Row],[Zahl]])</f>
        <v>0</v>
      </c>
      <c r="G471" s="2">
        <f>COUNTIF(Eingabe[S2],HäufigsteErgebnisse[[#This Row],[Zahl]])</f>
        <v>0</v>
      </c>
      <c r="H471" s="2">
        <f>COUNTIF(Eingabe[S3],HäufigsteErgebnisse[[#This Row],[Zahl]])</f>
        <v>0</v>
      </c>
      <c r="I471" s="2">
        <f>COUNTIF(Eingabe[S4],HäufigsteErgebnisse[[#This Row],[Zahl]])</f>
        <v>0</v>
      </c>
      <c r="J471" s="2">
        <f>COUNTIF(Eingabe[S1],HäufigsteErgebnisse[[#This Row],[Zahl]])+COUNTIF(Eingabe[S2],HäufigsteErgebnisse[[#This Row],[Zahl]])+COUNTIF(Eingabe[S3],HäufigsteErgebnisse[[#This Row],[Zahl]])+COUNTIF(Eingabe[S4],HäufigsteErgebnisse[[#This Row],[Zahl]])</f>
        <v>0</v>
      </c>
      <c r="K471" s="2">
        <f>COUNTIF(Eingabe[GES],HäufigsteErgebnisse[[#This Row],[Zahl]])</f>
        <v>0</v>
      </c>
      <c r="L471" s="2">
        <f>HäufigsteErgebnisse[[#This Row],[Zahl]]</f>
        <v>413</v>
      </c>
    </row>
    <row r="472" spans="2:12" x14ac:dyDescent="0.3">
      <c r="B472" s="2">
        <v>414</v>
      </c>
      <c r="C472" s="2">
        <f>COUNTIF(Eingabe[Volle],HäufigsteErgebnisse[[#This Row],[Zahl]])</f>
        <v>0</v>
      </c>
      <c r="D472" s="2">
        <f>COUNTIF(Eingabe[Räumer],HäufigsteErgebnisse[[#This Row],[Zahl]])</f>
        <v>0</v>
      </c>
      <c r="E472" s="2">
        <f>COUNTIF(Eingabe[Fehler],HäufigsteErgebnisse[[#This Row],[Zahl]])</f>
        <v>0</v>
      </c>
      <c r="F472" s="2">
        <f>COUNTIF(Eingabe[S1],HäufigsteErgebnisse[[#This Row],[Zahl]])</f>
        <v>0</v>
      </c>
      <c r="G472" s="2">
        <f>COUNTIF(Eingabe[S2],HäufigsteErgebnisse[[#This Row],[Zahl]])</f>
        <v>0</v>
      </c>
      <c r="H472" s="2">
        <f>COUNTIF(Eingabe[S3],HäufigsteErgebnisse[[#This Row],[Zahl]])</f>
        <v>0</v>
      </c>
      <c r="I472" s="2">
        <f>COUNTIF(Eingabe[S4],HäufigsteErgebnisse[[#This Row],[Zahl]])</f>
        <v>0</v>
      </c>
      <c r="J472" s="2">
        <f>COUNTIF(Eingabe[S1],HäufigsteErgebnisse[[#This Row],[Zahl]])+COUNTIF(Eingabe[S2],HäufigsteErgebnisse[[#This Row],[Zahl]])+COUNTIF(Eingabe[S3],HäufigsteErgebnisse[[#This Row],[Zahl]])+COUNTIF(Eingabe[S4],HäufigsteErgebnisse[[#This Row],[Zahl]])</f>
        <v>0</v>
      </c>
      <c r="K472" s="2">
        <f>COUNTIF(Eingabe[GES],HäufigsteErgebnisse[[#This Row],[Zahl]])</f>
        <v>0</v>
      </c>
      <c r="L472" s="2">
        <f>HäufigsteErgebnisse[[#This Row],[Zahl]]</f>
        <v>414</v>
      </c>
    </row>
    <row r="473" spans="2:12" x14ac:dyDescent="0.3">
      <c r="B473" s="2">
        <v>415</v>
      </c>
      <c r="C473" s="2">
        <f>COUNTIF(Eingabe[Volle],HäufigsteErgebnisse[[#This Row],[Zahl]])</f>
        <v>0</v>
      </c>
      <c r="D473" s="2">
        <f>COUNTIF(Eingabe[Räumer],HäufigsteErgebnisse[[#This Row],[Zahl]])</f>
        <v>0</v>
      </c>
      <c r="E473" s="2">
        <f>COUNTIF(Eingabe[Fehler],HäufigsteErgebnisse[[#This Row],[Zahl]])</f>
        <v>0</v>
      </c>
      <c r="F473" s="2">
        <f>COUNTIF(Eingabe[S1],HäufigsteErgebnisse[[#This Row],[Zahl]])</f>
        <v>0</v>
      </c>
      <c r="G473" s="2">
        <f>COUNTIF(Eingabe[S2],HäufigsteErgebnisse[[#This Row],[Zahl]])</f>
        <v>0</v>
      </c>
      <c r="H473" s="2">
        <f>COUNTIF(Eingabe[S3],HäufigsteErgebnisse[[#This Row],[Zahl]])</f>
        <v>0</v>
      </c>
      <c r="I473" s="2">
        <f>COUNTIF(Eingabe[S4],HäufigsteErgebnisse[[#This Row],[Zahl]])</f>
        <v>0</v>
      </c>
      <c r="J473" s="2">
        <f>COUNTIF(Eingabe[S1],HäufigsteErgebnisse[[#This Row],[Zahl]])+COUNTIF(Eingabe[S2],HäufigsteErgebnisse[[#This Row],[Zahl]])+COUNTIF(Eingabe[S3],HäufigsteErgebnisse[[#This Row],[Zahl]])+COUNTIF(Eingabe[S4],HäufigsteErgebnisse[[#This Row],[Zahl]])</f>
        <v>0</v>
      </c>
      <c r="K473" s="2">
        <f>COUNTIF(Eingabe[GES],HäufigsteErgebnisse[[#This Row],[Zahl]])</f>
        <v>0</v>
      </c>
      <c r="L473" s="2">
        <f>HäufigsteErgebnisse[[#This Row],[Zahl]]</f>
        <v>415</v>
      </c>
    </row>
    <row r="474" spans="2:12" x14ac:dyDescent="0.3">
      <c r="B474" s="2">
        <v>416</v>
      </c>
      <c r="C474" s="2">
        <f>COUNTIF(Eingabe[Volle],HäufigsteErgebnisse[[#This Row],[Zahl]])</f>
        <v>0</v>
      </c>
      <c r="D474" s="2">
        <f>COUNTIF(Eingabe[Räumer],HäufigsteErgebnisse[[#This Row],[Zahl]])</f>
        <v>0</v>
      </c>
      <c r="E474" s="2">
        <f>COUNTIF(Eingabe[Fehler],HäufigsteErgebnisse[[#This Row],[Zahl]])</f>
        <v>0</v>
      </c>
      <c r="F474" s="2">
        <f>COUNTIF(Eingabe[S1],HäufigsteErgebnisse[[#This Row],[Zahl]])</f>
        <v>0</v>
      </c>
      <c r="G474" s="2">
        <f>COUNTIF(Eingabe[S2],HäufigsteErgebnisse[[#This Row],[Zahl]])</f>
        <v>0</v>
      </c>
      <c r="H474" s="2">
        <f>COUNTIF(Eingabe[S3],HäufigsteErgebnisse[[#This Row],[Zahl]])</f>
        <v>0</v>
      </c>
      <c r="I474" s="2">
        <f>COUNTIF(Eingabe[S4],HäufigsteErgebnisse[[#This Row],[Zahl]])</f>
        <v>0</v>
      </c>
      <c r="J474" s="2">
        <f>COUNTIF(Eingabe[S1],HäufigsteErgebnisse[[#This Row],[Zahl]])+COUNTIF(Eingabe[S2],HäufigsteErgebnisse[[#This Row],[Zahl]])+COUNTIF(Eingabe[S3],HäufigsteErgebnisse[[#This Row],[Zahl]])+COUNTIF(Eingabe[S4],HäufigsteErgebnisse[[#This Row],[Zahl]])</f>
        <v>0</v>
      </c>
      <c r="K474" s="2">
        <f>COUNTIF(Eingabe[GES],HäufigsteErgebnisse[[#This Row],[Zahl]])</f>
        <v>0</v>
      </c>
      <c r="L474" s="2">
        <f>HäufigsteErgebnisse[[#This Row],[Zahl]]</f>
        <v>416</v>
      </c>
    </row>
    <row r="475" spans="2:12" x14ac:dyDescent="0.3">
      <c r="B475" s="2">
        <v>417</v>
      </c>
      <c r="C475" s="2">
        <f>COUNTIF(Eingabe[Volle],HäufigsteErgebnisse[[#This Row],[Zahl]])</f>
        <v>0</v>
      </c>
      <c r="D475" s="2">
        <f>COUNTIF(Eingabe[Räumer],HäufigsteErgebnisse[[#This Row],[Zahl]])</f>
        <v>0</v>
      </c>
      <c r="E475" s="2">
        <f>COUNTIF(Eingabe[Fehler],HäufigsteErgebnisse[[#This Row],[Zahl]])</f>
        <v>0</v>
      </c>
      <c r="F475" s="2">
        <f>COUNTIF(Eingabe[S1],HäufigsteErgebnisse[[#This Row],[Zahl]])</f>
        <v>0</v>
      </c>
      <c r="G475" s="2">
        <f>COUNTIF(Eingabe[S2],HäufigsteErgebnisse[[#This Row],[Zahl]])</f>
        <v>0</v>
      </c>
      <c r="H475" s="2">
        <f>COUNTIF(Eingabe[S3],HäufigsteErgebnisse[[#This Row],[Zahl]])</f>
        <v>0</v>
      </c>
      <c r="I475" s="2">
        <f>COUNTIF(Eingabe[S4],HäufigsteErgebnisse[[#This Row],[Zahl]])</f>
        <v>0</v>
      </c>
      <c r="J475" s="2">
        <f>COUNTIF(Eingabe[S1],HäufigsteErgebnisse[[#This Row],[Zahl]])+COUNTIF(Eingabe[S2],HäufigsteErgebnisse[[#This Row],[Zahl]])+COUNTIF(Eingabe[S3],HäufigsteErgebnisse[[#This Row],[Zahl]])+COUNTIF(Eingabe[S4],HäufigsteErgebnisse[[#This Row],[Zahl]])</f>
        <v>0</v>
      </c>
      <c r="K475" s="2">
        <f>COUNTIF(Eingabe[GES],HäufigsteErgebnisse[[#This Row],[Zahl]])</f>
        <v>1</v>
      </c>
      <c r="L475" s="2">
        <f>HäufigsteErgebnisse[[#This Row],[Zahl]]</f>
        <v>417</v>
      </c>
    </row>
    <row r="476" spans="2:12" x14ac:dyDescent="0.3">
      <c r="B476" s="2">
        <v>418</v>
      </c>
      <c r="C476" s="2">
        <f>COUNTIF(Eingabe[Volle],HäufigsteErgebnisse[[#This Row],[Zahl]])</f>
        <v>0</v>
      </c>
      <c r="D476" s="2">
        <f>COUNTIF(Eingabe[Räumer],HäufigsteErgebnisse[[#This Row],[Zahl]])</f>
        <v>0</v>
      </c>
      <c r="E476" s="2">
        <f>COUNTIF(Eingabe[Fehler],HäufigsteErgebnisse[[#This Row],[Zahl]])</f>
        <v>0</v>
      </c>
      <c r="F476" s="2">
        <f>COUNTIF(Eingabe[S1],HäufigsteErgebnisse[[#This Row],[Zahl]])</f>
        <v>0</v>
      </c>
      <c r="G476" s="2">
        <f>COUNTIF(Eingabe[S2],HäufigsteErgebnisse[[#This Row],[Zahl]])</f>
        <v>0</v>
      </c>
      <c r="H476" s="2">
        <f>COUNTIF(Eingabe[S3],HäufigsteErgebnisse[[#This Row],[Zahl]])</f>
        <v>0</v>
      </c>
      <c r="I476" s="2">
        <f>COUNTIF(Eingabe[S4],HäufigsteErgebnisse[[#This Row],[Zahl]])</f>
        <v>0</v>
      </c>
      <c r="J476" s="2">
        <f>COUNTIF(Eingabe[S1],HäufigsteErgebnisse[[#This Row],[Zahl]])+COUNTIF(Eingabe[S2],HäufigsteErgebnisse[[#This Row],[Zahl]])+COUNTIF(Eingabe[S3],HäufigsteErgebnisse[[#This Row],[Zahl]])+COUNTIF(Eingabe[S4],HäufigsteErgebnisse[[#This Row],[Zahl]])</f>
        <v>0</v>
      </c>
      <c r="K476" s="2">
        <f>COUNTIF(Eingabe[GES],HäufigsteErgebnisse[[#This Row],[Zahl]])</f>
        <v>1</v>
      </c>
      <c r="L476" s="2">
        <f>HäufigsteErgebnisse[[#This Row],[Zahl]]</f>
        <v>418</v>
      </c>
    </row>
    <row r="477" spans="2:12" x14ac:dyDescent="0.3">
      <c r="B477" s="2">
        <v>419</v>
      </c>
      <c r="C477" s="2">
        <f>COUNTIF(Eingabe[Volle],HäufigsteErgebnisse[[#This Row],[Zahl]])</f>
        <v>0</v>
      </c>
      <c r="D477" s="2">
        <f>COUNTIF(Eingabe[Räumer],HäufigsteErgebnisse[[#This Row],[Zahl]])</f>
        <v>0</v>
      </c>
      <c r="E477" s="2">
        <f>COUNTIF(Eingabe[Fehler],HäufigsteErgebnisse[[#This Row],[Zahl]])</f>
        <v>0</v>
      </c>
      <c r="F477" s="2">
        <f>COUNTIF(Eingabe[S1],HäufigsteErgebnisse[[#This Row],[Zahl]])</f>
        <v>0</v>
      </c>
      <c r="G477" s="2">
        <f>COUNTIF(Eingabe[S2],HäufigsteErgebnisse[[#This Row],[Zahl]])</f>
        <v>0</v>
      </c>
      <c r="H477" s="2">
        <f>COUNTIF(Eingabe[S3],HäufigsteErgebnisse[[#This Row],[Zahl]])</f>
        <v>0</v>
      </c>
      <c r="I477" s="2">
        <f>COUNTIF(Eingabe[S4],HäufigsteErgebnisse[[#This Row],[Zahl]])</f>
        <v>0</v>
      </c>
      <c r="J477" s="2">
        <f>COUNTIF(Eingabe[S1],HäufigsteErgebnisse[[#This Row],[Zahl]])+COUNTIF(Eingabe[S2],HäufigsteErgebnisse[[#This Row],[Zahl]])+COUNTIF(Eingabe[S3],HäufigsteErgebnisse[[#This Row],[Zahl]])+COUNTIF(Eingabe[S4],HäufigsteErgebnisse[[#This Row],[Zahl]])</f>
        <v>0</v>
      </c>
      <c r="K477" s="2">
        <f>COUNTIF(Eingabe[GES],HäufigsteErgebnisse[[#This Row],[Zahl]])</f>
        <v>0</v>
      </c>
      <c r="L477" s="2">
        <f>HäufigsteErgebnisse[[#This Row],[Zahl]]</f>
        <v>419</v>
      </c>
    </row>
    <row r="478" spans="2:12" x14ac:dyDescent="0.3">
      <c r="B478" s="2">
        <v>420</v>
      </c>
      <c r="C478" s="2">
        <f>COUNTIF(Eingabe[Volle],HäufigsteErgebnisse[[#This Row],[Zahl]])</f>
        <v>0</v>
      </c>
      <c r="D478" s="2">
        <f>COUNTIF(Eingabe[Räumer],HäufigsteErgebnisse[[#This Row],[Zahl]])</f>
        <v>0</v>
      </c>
      <c r="E478" s="2">
        <f>COUNTIF(Eingabe[Fehler],HäufigsteErgebnisse[[#This Row],[Zahl]])</f>
        <v>0</v>
      </c>
      <c r="F478" s="2">
        <f>COUNTIF(Eingabe[S1],HäufigsteErgebnisse[[#This Row],[Zahl]])</f>
        <v>0</v>
      </c>
      <c r="G478" s="2">
        <f>COUNTIF(Eingabe[S2],HäufigsteErgebnisse[[#This Row],[Zahl]])</f>
        <v>0</v>
      </c>
      <c r="H478" s="2">
        <f>COUNTIF(Eingabe[S3],HäufigsteErgebnisse[[#This Row],[Zahl]])</f>
        <v>0</v>
      </c>
      <c r="I478" s="2">
        <f>COUNTIF(Eingabe[S4],HäufigsteErgebnisse[[#This Row],[Zahl]])</f>
        <v>0</v>
      </c>
      <c r="J478" s="2">
        <f>COUNTIF(Eingabe[S1],HäufigsteErgebnisse[[#This Row],[Zahl]])+COUNTIF(Eingabe[S2],HäufigsteErgebnisse[[#This Row],[Zahl]])+COUNTIF(Eingabe[S3],HäufigsteErgebnisse[[#This Row],[Zahl]])+COUNTIF(Eingabe[S4],HäufigsteErgebnisse[[#This Row],[Zahl]])</f>
        <v>0</v>
      </c>
      <c r="K478" s="2">
        <f>COUNTIF(Eingabe[GES],HäufigsteErgebnisse[[#This Row],[Zahl]])</f>
        <v>1</v>
      </c>
      <c r="L478" s="2">
        <f>HäufigsteErgebnisse[[#This Row],[Zahl]]</f>
        <v>420</v>
      </c>
    </row>
    <row r="479" spans="2:12" x14ac:dyDescent="0.3">
      <c r="B479" s="2">
        <v>421</v>
      </c>
      <c r="C479" s="2">
        <f>COUNTIF(Eingabe[Volle],HäufigsteErgebnisse[[#This Row],[Zahl]])</f>
        <v>0</v>
      </c>
      <c r="D479" s="2">
        <f>COUNTIF(Eingabe[Räumer],HäufigsteErgebnisse[[#This Row],[Zahl]])</f>
        <v>0</v>
      </c>
      <c r="E479" s="2">
        <f>COUNTIF(Eingabe[Fehler],HäufigsteErgebnisse[[#This Row],[Zahl]])</f>
        <v>0</v>
      </c>
      <c r="F479" s="2">
        <f>COUNTIF(Eingabe[S1],HäufigsteErgebnisse[[#This Row],[Zahl]])</f>
        <v>0</v>
      </c>
      <c r="G479" s="2">
        <f>COUNTIF(Eingabe[S2],HäufigsteErgebnisse[[#This Row],[Zahl]])</f>
        <v>0</v>
      </c>
      <c r="H479" s="2">
        <f>COUNTIF(Eingabe[S3],HäufigsteErgebnisse[[#This Row],[Zahl]])</f>
        <v>0</v>
      </c>
      <c r="I479" s="2">
        <f>COUNTIF(Eingabe[S4],HäufigsteErgebnisse[[#This Row],[Zahl]])</f>
        <v>0</v>
      </c>
      <c r="J479" s="2">
        <f>COUNTIF(Eingabe[S1],HäufigsteErgebnisse[[#This Row],[Zahl]])+COUNTIF(Eingabe[S2],HäufigsteErgebnisse[[#This Row],[Zahl]])+COUNTIF(Eingabe[S3],HäufigsteErgebnisse[[#This Row],[Zahl]])+COUNTIF(Eingabe[S4],HäufigsteErgebnisse[[#This Row],[Zahl]])</f>
        <v>0</v>
      </c>
      <c r="K479" s="2">
        <f>COUNTIF(Eingabe[GES],HäufigsteErgebnisse[[#This Row],[Zahl]])</f>
        <v>0</v>
      </c>
      <c r="L479" s="2">
        <f>HäufigsteErgebnisse[[#This Row],[Zahl]]</f>
        <v>421</v>
      </c>
    </row>
    <row r="480" spans="2:12" x14ac:dyDescent="0.3">
      <c r="B480" s="2">
        <v>422</v>
      </c>
      <c r="C480" s="2">
        <f>COUNTIF(Eingabe[Volle],HäufigsteErgebnisse[[#This Row],[Zahl]])</f>
        <v>0</v>
      </c>
      <c r="D480" s="2">
        <f>COUNTIF(Eingabe[Räumer],HäufigsteErgebnisse[[#This Row],[Zahl]])</f>
        <v>0</v>
      </c>
      <c r="E480" s="2">
        <f>COUNTIF(Eingabe[Fehler],HäufigsteErgebnisse[[#This Row],[Zahl]])</f>
        <v>0</v>
      </c>
      <c r="F480" s="2">
        <f>COUNTIF(Eingabe[S1],HäufigsteErgebnisse[[#This Row],[Zahl]])</f>
        <v>0</v>
      </c>
      <c r="G480" s="2">
        <f>COUNTIF(Eingabe[S2],HäufigsteErgebnisse[[#This Row],[Zahl]])</f>
        <v>0</v>
      </c>
      <c r="H480" s="2">
        <f>COUNTIF(Eingabe[S3],HäufigsteErgebnisse[[#This Row],[Zahl]])</f>
        <v>0</v>
      </c>
      <c r="I480" s="2">
        <f>COUNTIF(Eingabe[S4],HäufigsteErgebnisse[[#This Row],[Zahl]])</f>
        <v>0</v>
      </c>
      <c r="J480" s="2">
        <f>COUNTIF(Eingabe[S1],HäufigsteErgebnisse[[#This Row],[Zahl]])+COUNTIF(Eingabe[S2],HäufigsteErgebnisse[[#This Row],[Zahl]])+COUNTIF(Eingabe[S3],HäufigsteErgebnisse[[#This Row],[Zahl]])+COUNTIF(Eingabe[S4],HäufigsteErgebnisse[[#This Row],[Zahl]])</f>
        <v>0</v>
      </c>
      <c r="K480" s="2">
        <f>COUNTIF(Eingabe[GES],HäufigsteErgebnisse[[#This Row],[Zahl]])</f>
        <v>0</v>
      </c>
      <c r="L480" s="2">
        <f>HäufigsteErgebnisse[[#This Row],[Zahl]]</f>
        <v>422</v>
      </c>
    </row>
    <row r="481" spans="2:12" x14ac:dyDescent="0.3">
      <c r="B481" s="2">
        <v>423</v>
      </c>
      <c r="C481" s="2">
        <f>COUNTIF(Eingabe[Volle],HäufigsteErgebnisse[[#This Row],[Zahl]])</f>
        <v>0</v>
      </c>
      <c r="D481" s="2">
        <f>COUNTIF(Eingabe[Räumer],HäufigsteErgebnisse[[#This Row],[Zahl]])</f>
        <v>0</v>
      </c>
      <c r="E481" s="2">
        <f>COUNTIF(Eingabe[Fehler],HäufigsteErgebnisse[[#This Row],[Zahl]])</f>
        <v>0</v>
      </c>
      <c r="F481" s="2">
        <f>COUNTIF(Eingabe[S1],HäufigsteErgebnisse[[#This Row],[Zahl]])</f>
        <v>0</v>
      </c>
      <c r="G481" s="2">
        <f>COUNTIF(Eingabe[S2],HäufigsteErgebnisse[[#This Row],[Zahl]])</f>
        <v>0</v>
      </c>
      <c r="H481" s="2">
        <f>COUNTIF(Eingabe[S3],HäufigsteErgebnisse[[#This Row],[Zahl]])</f>
        <v>0</v>
      </c>
      <c r="I481" s="2">
        <f>COUNTIF(Eingabe[S4],HäufigsteErgebnisse[[#This Row],[Zahl]])</f>
        <v>0</v>
      </c>
      <c r="J481" s="2">
        <f>COUNTIF(Eingabe[S1],HäufigsteErgebnisse[[#This Row],[Zahl]])+COUNTIF(Eingabe[S2],HäufigsteErgebnisse[[#This Row],[Zahl]])+COUNTIF(Eingabe[S3],HäufigsteErgebnisse[[#This Row],[Zahl]])+COUNTIF(Eingabe[S4],HäufigsteErgebnisse[[#This Row],[Zahl]])</f>
        <v>0</v>
      </c>
      <c r="K481" s="2">
        <f>COUNTIF(Eingabe[GES],HäufigsteErgebnisse[[#This Row],[Zahl]])</f>
        <v>0</v>
      </c>
      <c r="L481" s="2">
        <f>HäufigsteErgebnisse[[#This Row],[Zahl]]</f>
        <v>423</v>
      </c>
    </row>
    <row r="482" spans="2:12" x14ac:dyDescent="0.3">
      <c r="B482" s="2">
        <v>424</v>
      </c>
      <c r="C482" s="2">
        <f>COUNTIF(Eingabe[Volle],HäufigsteErgebnisse[[#This Row],[Zahl]])</f>
        <v>0</v>
      </c>
      <c r="D482" s="2">
        <f>COUNTIF(Eingabe[Räumer],HäufigsteErgebnisse[[#This Row],[Zahl]])</f>
        <v>0</v>
      </c>
      <c r="E482" s="2">
        <f>COUNTIF(Eingabe[Fehler],HäufigsteErgebnisse[[#This Row],[Zahl]])</f>
        <v>0</v>
      </c>
      <c r="F482" s="2">
        <f>COUNTIF(Eingabe[S1],HäufigsteErgebnisse[[#This Row],[Zahl]])</f>
        <v>0</v>
      </c>
      <c r="G482" s="2">
        <f>COUNTIF(Eingabe[S2],HäufigsteErgebnisse[[#This Row],[Zahl]])</f>
        <v>0</v>
      </c>
      <c r="H482" s="2">
        <f>COUNTIF(Eingabe[S3],HäufigsteErgebnisse[[#This Row],[Zahl]])</f>
        <v>0</v>
      </c>
      <c r="I482" s="2">
        <f>COUNTIF(Eingabe[S4],HäufigsteErgebnisse[[#This Row],[Zahl]])</f>
        <v>0</v>
      </c>
      <c r="J482" s="2">
        <f>COUNTIF(Eingabe[S1],HäufigsteErgebnisse[[#This Row],[Zahl]])+COUNTIF(Eingabe[S2],HäufigsteErgebnisse[[#This Row],[Zahl]])+COUNTIF(Eingabe[S3],HäufigsteErgebnisse[[#This Row],[Zahl]])+COUNTIF(Eingabe[S4],HäufigsteErgebnisse[[#This Row],[Zahl]])</f>
        <v>0</v>
      </c>
      <c r="K482" s="2">
        <f>COUNTIF(Eingabe[GES],HäufigsteErgebnisse[[#This Row],[Zahl]])</f>
        <v>0</v>
      </c>
      <c r="L482" s="2">
        <f>HäufigsteErgebnisse[[#This Row],[Zahl]]</f>
        <v>424</v>
      </c>
    </row>
    <row r="483" spans="2:12" x14ac:dyDescent="0.3">
      <c r="B483" s="2">
        <v>425</v>
      </c>
      <c r="C483" s="2">
        <f>COUNTIF(Eingabe[Volle],HäufigsteErgebnisse[[#This Row],[Zahl]])</f>
        <v>0</v>
      </c>
      <c r="D483" s="2">
        <f>COUNTIF(Eingabe[Räumer],HäufigsteErgebnisse[[#This Row],[Zahl]])</f>
        <v>0</v>
      </c>
      <c r="E483" s="2">
        <f>COUNTIF(Eingabe[Fehler],HäufigsteErgebnisse[[#This Row],[Zahl]])</f>
        <v>0</v>
      </c>
      <c r="F483" s="2">
        <f>COUNTIF(Eingabe[S1],HäufigsteErgebnisse[[#This Row],[Zahl]])</f>
        <v>0</v>
      </c>
      <c r="G483" s="2">
        <f>COUNTIF(Eingabe[S2],HäufigsteErgebnisse[[#This Row],[Zahl]])</f>
        <v>0</v>
      </c>
      <c r="H483" s="2">
        <f>COUNTIF(Eingabe[S3],HäufigsteErgebnisse[[#This Row],[Zahl]])</f>
        <v>0</v>
      </c>
      <c r="I483" s="2">
        <f>COUNTIF(Eingabe[S4],HäufigsteErgebnisse[[#This Row],[Zahl]])</f>
        <v>0</v>
      </c>
      <c r="J483" s="2">
        <f>COUNTIF(Eingabe[S1],HäufigsteErgebnisse[[#This Row],[Zahl]])+COUNTIF(Eingabe[S2],HäufigsteErgebnisse[[#This Row],[Zahl]])+COUNTIF(Eingabe[S3],HäufigsteErgebnisse[[#This Row],[Zahl]])+COUNTIF(Eingabe[S4],HäufigsteErgebnisse[[#This Row],[Zahl]])</f>
        <v>0</v>
      </c>
      <c r="K483" s="2">
        <f>COUNTIF(Eingabe[GES],HäufigsteErgebnisse[[#This Row],[Zahl]])</f>
        <v>0</v>
      </c>
      <c r="L483" s="2">
        <f>HäufigsteErgebnisse[[#This Row],[Zahl]]</f>
        <v>425</v>
      </c>
    </row>
    <row r="484" spans="2:12" x14ac:dyDescent="0.3">
      <c r="B484" s="2">
        <v>426</v>
      </c>
      <c r="C484" s="2">
        <f>COUNTIF(Eingabe[Volle],HäufigsteErgebnisse[[#This Row],[Zahl]])</f>
        <v>0</v>
      </c>
      <c r="D484" s="2">
        <f>COUNTIF(Eingabe[Räumer],HäufigsteErgebnisse[[#This Row],[Zahl]])</f>
        <v>0</v>
      </c>
      <c r="E484" s="2">
        <f>COUNTIF(Eingabe[Fehler],HäufigsteErgebnisse[[#This Row],[Zahl]])</f>
        <v>0</v>
      </c>
      <c r="F484" s="2">
        <f>COUNTIF(Eingabe[S1],HäufigsteErgebnisse[[#This Row],[Zahl]])</f>
        <v>0</v>
      </c>
      <c r="G484" s="2">
        <f>COUNTIF(Eingabe[S2],HäufigsteErgebnisse[[#This Row],[Zahl]])</f>
        <v>0</v>
      </c>
      <c r="H484" s="2">
        <f>COUNTIF(Eingabe[S3],HäufigsteErgebnisse[[#This Row],[Zahl]])</f>
        <v>0</v>
      </c>
      <c r="I484" s="2">
        <f>COUNTIF(Eingabe[S4],HäufigsteErgebnisse[[#This Row],[Zahl]])</f>
        <v>0</v>
      </c>
      <c r="J484" s="2">
        <f>COUNTIF(Eingabe[S1],HäufigsteErgebnisse[[#This Row],[Zahl]])+COUNTIF(Eingabe[S2],HäufigsteErgebnisse[[#This Row],[Zahl]])+COUNTIF(Eingabe[S3],HäufigsteErgebnisse[[#This Row],[Zahl]])+COUNTIF(Eingabe[S4],HäufigsteErgebnisse[[#This Row],[Zahl]])</f>
        <v>0</v>
      </c>
      <c r="K484" s="2">
        <f>COUNTIF(Eingabe[GES],HäufigsteErgebnisse[[#This Row],[Zahl]])</f>
        <v>2</v>
      </c>
      <c r="L484" s="2">
        <f>HäufigsteErgebnisse[[#This Row],[Zahl]]</f>
        <v>426</v>
      </c>
    </row>
    <row r="485" spans="2:12" x14ac:dyDescent="0.3">
      <c r="B485" s="2">
        <v>427</v>
      </c>
      <c r="C485" s="2">
        <f>COUNTIF(Eingabe[Volle],HäufigsteErgebnisse[[#This Row],[Zahl]])</f>
        <v>0</v>
      </c>
      <c r="D485" s="2">
        <f>COUNTIF(Eingabe[Räumer],HäufigsteErgebnisse[[#This Row],[Zahl]])</f>
        <v>0</v>
      </c>
      <c r="E485" s="2">
        <f>COUNTIF(Eingabe[Fehler],HäufigsteErgebnisse[[#This Row],[Zahl]])</f>
        <v>0</v>
      </c>
      <c r="F485" s="2">
        <f>COUNTIF(Eingabe[S1],HäufigsteErgebnisse[[#This Row],[Zahl]])</f>
        <v>0</v>
      </c>
      <c r="G485" s="2">
        <f>COUNTIF(Eingabe[S2],HäufigsteErgebnisse[[#This Row],[Zahl]])</f>
        <v>0</v>
      </c>
      <c r="H485" s="2">
        <f>COUNTIF(Eingabe[S3],HäufigsteErgebnisse[[#This Row],[Zahl]])</f>
        <v>0</v>
      </c>
      <c r="I485" s="2">
        <f>COUNTIF(Eingabe[S4],HäufigsteErgebnisse[[#This Row],[Zahl]])</f>
        <v>0</v>
      </c>
      <c r="J485" s="2">
        <f>COUNTIF(Eingabe[S1],HäufigsteErgebnisse[[#This Row],[Zahl]])+COUNTIF(Eingabe[S2],HäufigsteErgebnisse[[#This Row],[Zahl]])+COUNTIF(Eingabe[S3],HäufigsteErgebnisse[[#This Row],[Zahl]])+COUNTIF(Eingabe[S4],HäufigsteErgebnisse[[#This Row],[Zahl]])</f>
        <v>0</v>
      </c>
      <c r="K485" s="2">
        <f>COUNTIF(Eingabe[GES],HäufigsteErgebnisse[[#This Row],[Zahl]])</f>
        <v>0</v>
      </c>
      <c r="L485" s="2">
        <f>HäufigsteErgebnisse[[#This Row],[Zahl]]</f>
        <v>427</v>
      </c>
    </row>
    <row r="486" spans="2:12" x14ac:dyDescent="0.3">
      <c r="B486" s="2">
        <v>428</v>
      </c>
      <c r="C486" s="2">
        <f>COUNTIF(Eingabe[Volle],HäufigsteErgebnisse[[#This Row],[Zahl]])</f>
        <v>0</v>
      </c>
      <c r="D486" s="2">
        <f>COUNTIF(Eingabe[Räumer],HäufigsteErgebnisse[[#This Row],[Zahl]])</f>
        <v>0</v>
      </c>
      <c r="E486" s="2">
        <f>COUNTIF(Eingabe[Fehler],HäufigsteErgebnisse[[#This Row],[Zahl]])</f>
        <v>0</v>
      </c>
      <c r="F486" s="2">
        <f>COUNTIF(Eingabe[S1],HäufigsteErgebnisse[[#This Row],[Zahl]])</f>
        <v>0</v>
      </c>
      <c r="G486" s="2">
        <f>COUNTIF(Eingabe[S2],HäufigsteErgebnisse[[#This Row],[Zahl]])</f>
        <v>0</v>
      </c>
      <c r="H486" s="2">
        <f>COUNTIF(Eingabe[S3],HäufigsteErgebnisse[[#This Row],[Zahl]])</f>
        <v>0</v>
      </c>
      <c r="I486" s="2">
        <f>COUNTIF(Eingabe[S4],HäufigsteErgebnisse[[#This Row],[Zahl]])</f>
        <v>0</v>
      </c>
      <c r="J486" s="2">
        <f>COUNTIF(Eingabe[S1],HäufigsteErgebnisse[[#This Row],[Zahl]])+COUNTIF(Eingabe[S2],HäufigsteErgebnisse[[#This Row],[Zahl]])+COUNTIF(Eingabe[S3],HäufigsteErgebnisse[[#This Row],[Zahl]])+COUNTIF(Eingabe[S4],HäufigsteErgebnisse[[#This Row],[Zahl]])</f>
        <v>0</v>
      </c>
      <c r="K486" s="2">
        <f>COUNTIF(Eingabe[GES],HäufigsteErgebnisse[[#This Row],[Zahl]])</f>
        <v>2</v>
      </c>
      <c r="L486" s="2">
        <f>HäufigsteErgebnisse[[#This Row],[Zahl]]</f>
        <v>428</v>
      </c>
    </row>
    <row r="487" spans="2:12" x14ac:dyDescent="0.3">
      <c r="B487" s="2">
        <v>429</v>
      </c>
      <c r="C487" s="2">
        <f>COUNTIF(Eingabe[Volle],HäufigsteErgebnisse[[#This Row],[Zahl]])</f>
        <v>0</v>
      </c>
      <c r="D487" s="2">
        <f>COUNTIF(Eingabe[Räumer],HäufigsteErgebnisse[[#This Row],[Zahl]])</f>
        <v>0</v>
      </c>
      <c r="E487" s="2">
        <f>COUNTIF(Eingabe[Fehler],HäufigsteErgebnisse[[#This Row],[Zahl]])</f>
        <v>0</v>
      </c>
      <c r="F487" s="2">
        <f>COUNTIF(Eingabe[S1],HäufigsteErgebnisse[[#This Row],[Zahl]])</f>
        <v>0</v>
      </c>
      <c r="G487" s="2">
        <f>COUNTIF(Eingabe[S2],HäufigsteErgebnisse[[#This Row],[Zahl]])</f>
        <v>0</v>
      </c>
      <c r="H487" s="2">
        <f>COUNTIF(Eingabe[S3],HäufigsteErgebnisse[[#This Row],[Zahl]])</f>
        <v>0</v>
      </c>
      <c r="I487" s="2">
        <f>COUNTIF(Eingabe[S4],HäufigsteErgebnisse[[#This Row],[Zahl]])</f>
        <v>0</v>
      </c>
      <c r="J487" s="2">
        <f>COUNTIF(Eingabe[S1],HäufigsteErgebnisse[[#This Row],[Zahl]])+COUNTIF(Eingabe[S2],HäufigsteErgebnisse[[#This Row],[Zahl]])+COUNTIF(Eingabe[S3],HäufigsteErgebnisse[[#This Row],[Zahl]])+COUNTIF(Eingabe[S4],HäufigsteErgebnisse[[#This Row],[Zahl]])</f>
        <v>0</v>
      </c>
      <c r="K487" s="2">
        <f>COUNTIF(Eingabe[GES],HäufigsteErgebnisse[[#This Row],[Zahl]])</f>
        <v>1</v>
      </c>
      <c r="L487" s="2">
        <f>HäufigsteErgebnisse[[#This Row],[Zahl]]</f>
        <v>429</v>
      </c>
    </row>
    <row r="488" spans="2:12" x14ac:dyDescent="0.3">
      <c r="B488" s="2">
        <v>430</v>
      </c>
      <c r="C488" s="2">
        <f>COUNTIF(Eingabe[Volle],HäufigsteErgebnisse[[#This Row],[Zahl]])</f>
        <v>0</v>
      </c>
      <c r="D488" s="2">
        <f>COUNTIF(Eingabe[Räumer],HäufigsteErgebnisse[[#This Row],[Zahl]])</f>
        <v>0</v>
      </c>
      <c r="E488" s="2">
        <f>COUNTIF(Eingabe[Fehler],HäufigsteErgebnisse[[#This Row],[Zahl]])</f>
        <v>0</v>
      </c>
      <c r="F488" s="2">
        <f>COUNTIF(Eingabe[S1],HäufigsteErgebnisse[[#This Row],[Zahl]])</f>
        <v>0</v>
      </c>
      <c r="G488" s="2">
        <f>COUNTIF(Eingabe[S2],HäufigsteErgebnisse[[#This Row],[Zahl]])</f>
        <v>0</v>
      </c>
      <c r="H488" s="2">
        <f>COUNTIF(Eingabe[S3],HäufigsteErgebnisse[[#This Row],[Zahl]])</f>
        <v>0</v>
      </c>
      <c r="I488" s="2">
        <f>COUNTIF(Eingabe[S4],HäufigsteErgebnisse[[#This Row],[Zahl]])</f>
        <v>0</v>
      </c>
      <c r="J488" s="2">
        <f>COUNTIF(Eingabe[S1],HäufigsteErgebnisse[[#This Row],[Zahl]])+COUNTIF(Eingabe[S2],HäufigsteErgebnisse[[#This Row],[Zahl]])+COUNTIF(Eingabe[S3],HäufigsteErgebnisse[[#This Row],[Zahl]])+COUNTIF(Eingabe[S4],HäufigsteErgebnisse[[#This Row],[Zahl]])</f>
        <v>0</v>
      </c>
      <c r="K488" s="2">
        <f>COUNTIF(Eingabe[GES],HäufigsteErgebnisse[[#This Row],[Zahl]])</f>
        <v>0</v>
      </c>
      <c r="L488" s="2">
        <f>HäufigsteErgebnisse[[#This Row],[Zahl]]</f>
        <v>430</v>
      </c>
    </row>
    <row r="489" spans="2:12" x14ac:dyDescent="0.3">
      <c r="B489" s="2">
        <v>431</v>
      </c>
      <c r="C489" s="2">
        <f>COUNTIF(Eingabe[Volle],HäufigsteErgebnisse[[#This Row],[Zahl]])</f>
        <v>0</v>
      </c>
      <c r="D489" s="2">
        <f>COUNTIF(Eingabe[Räumer],HäufigsteErgebnisse[[#This Row],[Zahl]])</f>
        <v>0</v>
      </c>
      <c r="E489" s="2">
        <f>COUNTIF(Eingabe[Fehler],HäufigsteErgebnisse[[#This Row],[Zahl]])</f>
        <v>0</v>
      </c>
      <c r="F489" s="2">
        <f>COUNTIF(Eingabe[S1],HäufigsteErgebnisse[[#This Row],[Zahl]])</f>
        <v>0</v>
      </c>
      <c r="G489" s="2">
        <f>COUNTIF(Eingabe[S2],HäufigsteErgebnisse[[#This Row],[Zahl]])</f>
        <v>0</v>
      </c>
      <c r="H489" s="2">
        <f>COUNTIF(Eingabe[S3],HäufigsteErgebnisse[[#This Row],[Zahl]])</f>
        <v>0</v>
      </c>
      <c r="I489" s="2">
        <f>COUNTIF(Eingabe[S4],HäufigsteErgebnisse[[#This Row],[Zahl]])</f>
        <v>0</v>
      </c>
      <c r="J489" s="2">
        <f>COUNTIF(Eingabe[S1],HäufigsteErgebnisse[[#This Row],[Zahl]])+COUNTIF(Eingabe[S2],HäufigsteErgebnisse[[#This Row],[Zahl]])+COUNTIF(Eingabe[S3],HäufigsteErgebnisse[[#This Row],[Zahl]])+COUNTIF(Eingabe[S4],HäufigsteErgebnisse[[#This Row],[Zahl]])</f>
        <v>0</v>
      </c>
      <c r="K489" s="2">
        <f>COUNTIF(Eingabe[GES],HäufigsteErgebnisse[[#This Row],[Zahl]])</f>
        <v>0</v>
      </c>
      <c r="L489" s="2">
        <f>HäufigsteErgebnisse[[#This Row],[Zahl]]</f>
        <v>431</v>
      </c>
    </row>
    <row r="490" spans="2:12" x14ac:dyDescent="0.3">
      <c r="B490" s="2">
        <v>432</v>
      </c>
      <c r="C490" s="2">
        <f>COUNTIF(Eingabe[Volle],HäufigsteErgebnisse[[#This Row],[Zahl]])</f>
        <v>0</v>
      </c>
      <c r="D490" s="2">
        <f>COUNTIF(Eingabe[Räumer],HäufigsteErgebnisse[[#This Row],[Zahl]])</f>
        <v>0</v>
      </c>
      <c r="E490" s="2">
        <f>COUNTIF(Eingabe[Fehler],HäufigsteErgebnisse[[#This Row],[Zahl]])</f>
        <v>0</v>
      </c>
      <c r="F490" s="2">
        <f>COUNTIF(Eingabe[S1],HäufigsteErgebnisse[[#This Row],[Zahl]])</f>
        <v>0</v>
      </c>
      <c r="G490" s="2">
        <f>COUNTIF(Eingabe[S2],HäufigsteErgebnisse[[#This Row],[Zahl]])</f>
        <v>0</v>
      </c>
      <c r="H490" s="2">
        <f>COUNTIF(Eingabe[S3],HäufigsteErgebnisse[[#This Row],[Zahl]])</f>
        <v>0</v>
      </c>
      <c r="I490" s="2">
        <f>COUNTIF(Eingabe[S4],HäufigsteErgebnisse[[#This Row],[Zahl]])</f>
        <v>0</v>
      </c>
      <c r="J490" s="2">
        <f>COUNTIF(Eingabe[S1],HäufigsteErgebnisse[[#This Row],[Zahl]])+COUNTIF(Eingabe[S2],HäufigsteErgebnisse[[#This Row],[Zahl]])+COUNTIF(Eingabe[S3],HäufigsteErgebnisse[[#This Row],[Zahl]])+COUNTIF(Eingabe[S4],HäufigsteErgebnisse[[#This Row],[Zahl]])</f>
        <v>0</v>
      </c>
      <c r="K490" s="2">
        <f>COUNTIF(Eingabe[GES],HäufigsteErgebnisse[[#This Row],[Zahl]])</f>
        <v>1</v>
      </c>
      <c r="L490" s="2">
        <f>HäufigsteErgebnisse[[#This Row],[Zahl]]</f>
        <v>432</v>
      </c>
    </row>
    <row r="491" spans="2:12" x14ac:dyDescent="0.3">
      <c r="B491" s="2">
        <v>433</v>
      </c>
      <c r="C491" s="2">
        <f>COUNTIF(Eingabe[Volle],HäufigsteErgebnisse[[#This Row],[Zahl]])</f>
        <v>0</v>
      </c>
      <c r="D491" s="2">
        <f>COUNTIF(Eingabe[Räumer],HäufigsteErgebnisse[[#This Row],[Zahl]])</f>
        <v>0</v>
      </c>
      <c r="E491" s="2">
        <f>COUNTIF(Eingabe[Fehler],HäufigsteErgebnisse[[#This Row],[Zahl]])</f>
        <v>0</v>
      </c>
      <c r="F491" s="2">
        <f>COUNTIF(Eingabe[S1],HäufigsteErgebnisse[[#This Row],[Zahl]])</f>
        <v>0</v>
      </c>
      <c r="G491" s="2">
        <f>COUNTIF(Eingabe[S2],HäufigsteErgebnisse[[#This Row],[Zahl]])</f>
        <v>0</v>
      </c>
      <c r="H491" s="2">
        <f>COUNTIF(Eingabe[S3],HäufigsteErgebnisse[[#This Row],[Zahl]])</f>
        <v>0</v>
      </c>
      <c r="I491" s="2">
        <f>COUNTIF(Eingabe[S4],HäufigsteErgebnisse[[#This Row],[Zahl]])</f>
        <v>0</v>
      </c>
      <c r="J491" s="2">
        <f>COUNTIF(Eingabe[S1],HäufigsteErgebnisse[[#This Row],[Zahl]])+COUNTIF(Eingabe[S2],HäufigsteErgebnisse[[#This Row],[Zahl]])+COUNTIF(Eingabe[S3],HäufigsteErgebnisse[[#This Row],[Zahl]])+COUNTIF(Eingabe[S4],HäufigsteErgebnisse[[#This Row],[Zahl]])</f>
        <v>0</v>
      </c>
      <c r="K491" s="2">
        <f>COUNTIF(Eingabe[GES],HäufigsteErgebnisse[[#This Row],[Zahl]])</f>
        <v>0</v>
      </c>
      <c r="L491" s="2">
        <f>HäufigsteErgebnisse[[#This Row],[Zahl]]</f>
        <v>433</v>
      </c>
    </row>
    <row r="492" spans="2:12" x14ac:dyDescent="0.3">
      <c r="B492" s="2">
        <v>434</v>
      </c>
      <c r="C492" s="2">
        <f>COUNTIF(Eingabe[Volle],HäufigsteErgebnisse[[#This Row],[Zahl]])</f>
        <v>0</v>
      </c>
      <c r="D492" s="2">
        <f>COUNTIF(Eingabe[Räumer],HäufigsteErgebnisse[[#This Row],[Zahl]])</f>
        <v>0</v>
      </c>
      <c r="E492" s="2">
        <f>COUNTIF(Eingabe[Fehler],HäufigsteErgebnisse[[#This Row],[Zahl]])</f>
        <v>0</v>
      </c>
      <c r="F492" s="2">
        <f>COUNTIF(Eingabe[S1],HäufigsteErgebnisse[[#This Row],[Zahl]])</f>
        <v>0</v>
      </c>
      <c r="G492" s="2">
        <f>COUNTIF(Eingabe[S2],HäufigsteErgebnisse[[#This Row],[Zahl]])</f>
        <v>0</v>
      </c>
      <c r="H492" s="2">
        <f>COUNTIF(Eingabe[S3],HäufigsteErgebnisse[[#This Row],[Zahl]])</f>
        <v>0</v>
      </c>
      <c r="I492" s="2">
        <f>COUNTIF(Eingabe[S4],HäufigsteErgebnisse[[#This Row],[Zahl]])</f>
        <v>0</v>
      </c>
      <c r="J492" s="2">
        <f>COUNTIF(Eingabe[S1],HäufigsteErgebnisse[[#This Row],[Zahl]])+COUNTIF(Eingabe[S2],HäufigsteErgebnisse[[#This Row],[Zahl]])+COUNTIF(Eingabe[S3],HäufigsteErgebnisse[[#This Row],[Zahl]])+COUNTIF(Eingabe[S4],HäufigsteErgebnisse[[#This Row],[Zahl]])</f>
        <v>0</v>
      </c>
      <c r="K492" s="2">
        <f>COUNTIF(Eingabe[GES],HäufigsteErgebnisse[[#This Row],[Zahl]])</f>
        <v>0</v>
      </c>
      <c r="L492" s="2">
        <f>HäufigsteErgebnisse[[#This Row],[Zahl]]</f>
        <v>434</v>
      </c>
    </row>
    <row r="493" spans="2:12" x14ac:dyDescent="0.3">
      <c r="B493" s="2">
        <v>435</v>
      </c>
      <c r="C493" s="2">
        <f>COUNTIF(Eingabe[Volle],HäufigsteErgebnisse[[#This Row],[Zahl]])</f>
        <v>0</v>
      </c>
      <c r="D493" s="2">
        <f>COUNTIF(Eingabe[Räumer],HäufigsteErgebnisse[[#This Row],[Zahl]])</f>
        <v>0</v>
      </c>
      <c r="E493" s="2">
        <f>COUNTIF(Eingabe[Fehler],HäufigsteErgebnisse[[#This Row],[Zahl]])</f>
        <v>0</v>
      </c>
      <c r="F493" s="2">
        <f>COUNTIF(Eingabe[S1],HäufigsteErgebnisse[[#This Row],[Zahl]])</f>
        <v>0</v>
      </c>
      <c r="G493" s="2">
        <f>COUNTIF(Eingabe[S2],HäufigsteErgebnisse[[#This Row],[Zahl]])</f>
        <v>0</v>
      </c>
      <c r="H493" s="2">
        <f>COUNTIF(Eingabe[S3],HäufigsteErgebnisse[[#This Row],[Zahl]])</f>
        <v>0</v>
      </c>
      <c r="I493" s="2">
        <f>COUNTIF(Eingabe[S4],HäufigsteErgebnisse[[#This Row],[Zahl]])</f>
        <v>0</v>
      </c>
      <c r="J493" s="2">
        <f>COUNTIF(Eingabe[S1],HäufigsteErgebnisse[[#This Row],[Zahl]])+COUNTIF(Eingabe[S2],HäufigsteErgebnisse[[#This Row],[Zahl]])+COUNTIF(Eingabe[S3],HäufigsteErgebnisse[[#This Row],[Zahl]])+COUNTIF(Eingabe[S4],HäufigsteErgebnisse[[#This Row],[Zahl]])</f>
        <v>0</v>
      </c>
      <c r="K493" s="2">
        <f>COUNTIF(Eingabe[GES],HäufigsteErgebnisse[[#This Row],[Zahl]])</f>
        <v>0</v>
      </c>
      <c r="L493" s="2">
        <f>HäufigsteErgebnisse[[#This Row],[Zahl]]</f>
        <v>435</v>
      </c>
    </row>
    <row r="494" spans="2:12" x14ac:dyDescent="0.3">
      <c r="B494" s="2">
        <v>436</v>
      </c>
      <c r="C494" s="2">
        <f>COUNTIF(Eingabe[Volle],HäufigsteErgebnisse[[#This Row],[Zahl]])</f>
        <v>0</v>
      </c>
      <c r="D494" s="2">
        <f>COUNTIF(Eingabe[Räumer],HäufigsteErgebnisse[[#This Row],[Zahl]])</f>
        <v>0</v>
      </c>
      <c r="E494" s="2">
        <f>COUNTIF(Eingabe[Fehler],HäufigsteErgebnisse[[#This Row],[Zahl]])</f>
        <v>0</v>
      </c>
      <c r="F494" s="2">
        <f>COUNTIF(Eingabe[S1],HäufigsteErgebnisse[[#This Row],[Zahl]])</f>
        <v>0</v>
      </c>
      <c r="G494" s="2">
        <f>COUNTIF(Eingabe[S2],HäufigsteErgebnisse[[#This Row],[Zahl]])</f>
        <v>0</v>
      </c>
      <c r="H494" s="2">
        <f>COUNTIF(Eingabe[S3],HäufigsteErgebnisse[[#This Row],[Zahl]])</f>
        <v>0</v>
      </c>
      <c r="I494" s="2">
        <f>COUNTIF(Eingabe[S4],HäufigsteErgebnisse[[#This Row],[Zahl]])</f>
        <v>0</v>
      </c>
      <c r="J494" s="2">
        <f>COUNTIF(Eingabe[S1],HäufigsteErgebnisse[[#This Row],[Zahl]])+COUNTIF(Eingabe[S2],HäufigsteErgebnisse[[#This Row],[Zahl]])+COUNTIF(Eingabe[S3],HäufigsteErgebnisse[[#This Row],[Zahl]])+COUNTIF(Eingabe[S4],HäufigsteErgebnisse[[#This Row],[Zahl]])</f>
        <v>0</v>
      </c>
      <c r="K494" s="2">
        <f>COUNTIF(Eingabe[GES],HäufigsteErgebnisse[[#This Row],[Zahl]])</f>
        <v>0</v>
      </c>
      <c r="L494" s="2">
        <f>HäufigsteErgebnisse[[#This Row],[Zahl]]</f>
        <v>436</v>
      </c>
    </row>
    <row r="495" spans="2:12" x14ac:dyDescent="0.3">
      <c r="B495" s="2">
        <v>437</v>
      </c>
      <c r="C495" s="2">
        <f>COUNTIF(Eingabe[Volle],HäufigsteErgebnisse[[#This Row],[Zahl]])</f>
        <v>0</v>
      </c>
      <c r="D495" s="2">
        <f>COUNTIF(Eingabe[Räumer],HäufigsteErgebnisse[[#This Row],[Zahl]])</f>
        <v>0</v>
      </c>
      <c r="E495" s="2">
        <f>COUNTIF(Eingabe[Fehler],HäufigsteErgebnisse[[#This Row],[Zahl]])</f>
        <v>0</v>
      </c>
      <c r="F495" s="2">
        <f>COUNTIF(Eingabe[S1],HäufigsteErgebnisse[[#This Row],[Zahl]])</f>
        <v>0</v>
      </c>
      <c r="G495" s="2">
        <f>COUNTIF(Eingabe[S2],HäufigsteErgebnisse[[#This Row],[Zahl]])</f>
        <v>0</v>
      </c>
      <c r="H495" s="2">
        <f>COUNTIF(Eingabe[S3],HäufigsteErgebnisse[[#This Row],[Zahl]])</f>
        <v>0</v>
      </c>
      <c r="I495" s="2">
        <f>COUNTIF(Eingabe[S4],HäufigsteErgebnisse[[#This Row],[Zahl]])</f>
        <v>0</v>
      </c>
      <c r="J495" s="2">
        <f>COUNTIF(Eingabe[S1],HäufigsteErgebnisse[[#This Row],[Zahl]])+COUNTIF(Eingabe[S2],HäufigsteErgebnisse[[#This Row],[Zahl]])+COUNTIF(Eingabe[S3],HäufigsteErgebnisse[[#This Row],[Zahl]])+COUNTIF(Eingabe[S4],HäufigsteErgebnisse[[#This Row],[Zahl]])</f>
        <v>0</v>
      </c>
      <c r="K495" s="2">
        <f>COUNTIF(Eingabe[GES],HäufigsteErgebnisse[[#This Row],[Zahl]])</f>
        <v>0</v>
      </c>
      <c r="L495" s="2">
        <f>HäufigsteErgebnisse[[#This Row],[Zahl]]</f>
        <v>437</v>
      </c>
    </row>
    <row r="496" spans="2:12" x14ac:dyDescent="0.3">
      <c r="B496" s="2">
        <v>438</v>
      </c>
      <c r="C496" s="2">
        <f>COUNTIF(Eingabe[Volle],HäufigsteErgebnisse[[#This Row],[Zahl]])</f>
        <v>0</v>
      </c>
      <c r="D496" s="2">
        <f>COUNTIF(Eingabe[Räumer],HäufigsteErgebnisse[[#This Row],[Zahl]])</f>
        <v>0</v>
      </c>
      <c r="E496" s="2">
        <f>COUNTIF(Eingabe[Fehler],HäufigsteErgebnisse[[#This Row],[Zahl]])</f>
        <v>0</v>
      </c>
      <c r="F496" s="2">
        <f>COUNTIF(Eingabe[S1],HäufigsteErgebnisse[[#This Row],[Zahl]])</f>
        <v>0</v>
      </c>
      <c r="G496" s="2">
        <f>COUNTIF(Eingabe[S2],HäufigsteErgebnisse[[#This Row],[Zahl]])</f>
        <v>0</v>
      </c>
      <c r="H496" s="2">
        <f>COUNTIF(Eingabe[S3],HäufigsteErgebnisse[[#This Row],[Zahl]])</f>
        <v>0</v>
      </c>
      <c r="I496" s="2">
        <f>COUNTIF(Eingabe[S4],HäufigsteErgebnisse[[#This Row],[Zahl]])</f>
        <v>0</v>
      </c>
      <c r="J496" s="2">
        <f>COUNTIF(Eingabe[S1],HäufigsteErgebnisse[[#This Row],[Zahl]])+COUNTIF(Eingabe[S2],HäufigsteErgebnisse[[#This Row],[Zahl]])+COUNTIF(Eingabe[S3],HäufigsteErgebnisse[[#This Row],[Zahl]])+COUNTIF(Eingabe[S4],HäufigsteErgebnisse[[#This Row],[Zahl]])</f>
        <v>0</v>
      </c>
      <c r="K496" s="2">
        <f>COUNTIF(Eingabe[GES],HäufigsteErgebnisse[[#This Row],[Zahl]])</f>
        <v>1</v>
      </c>
      <c r="L496" s="2">
        <f>HäufigsteErgebnisse[[#This Row],[Zahl]]</f>
        <v>438</v>
      </c>
    </row>
    <row r="497" spans="2:12" x14ac:dyDescent="0.3">
      <c r="B497" s="2">
        <v>439</v>
      </c>
      <c r="C497" s="2">
        <f>COUNTIF(Eingabe[Volle],HäufigsteErgebnisse[[#This Row],[Zahl]])</f>
        <v>0</v>
      </c>
      <c r="D497" s="2">
        <f>COUNTIF(Eingabe[Räumer],HäufigsteErgebnisse[[#This Row],[Zahl]])</f>
        <v>0</v>
      </c>
      <c r="E497" s="2">
        <f>COUNTIF(Eingabe[Fehler],HäufigsteErgebnisse[[#This Row],[Zahl]])</f>
        <v>0</v>
      </c>
      <c r="F497" s="2">
        <f>COUNTIF(Eingabe[S1],HäufigsteErgebnisse[[#This Row],[Zahl]])</f>
        <v>0</v>
      </c>
      <c r="G497" s="2">
        <f>COUNTIF(Eingabe[S2],HäufigsteErgebnisse[[#This Row],[Zahl]])</f>
        <v>0</v>
      </c>
      <c r="H497" s="2">
        <f>COUNTIF(Eingabe[S3],HäufigsteErgebnisse[[#This Row],[Zahl]])</f>
        <v>0</v>
      </c>
      <c r="I497" s="2">
        <f>COUNTIF(Eingabe[S4],HäufigsteErgebnisse[[#This Row],[Zahl]])</f>
        <v>0</v>
      </c>
      <c r="J497" s="2">
        <f>COUNTIF(Eingabe[S1],HäufigsteErgebnisse[[#This Row],[Zahl]])+COUNTIF(Eingabe[S2],HäufigsteErgebnisse[[#This Row],[Zahl]])+COUNTIF(Eingabe[S3],HäufigsteErgebnisse[[#This Row],[Zahl]])+COUNTIF(Eingabe[S4],HäufigsteErgebnisse[[#This Row],[Zahl]])</f>
        <v>0</v>
      </c>
      <c r="K497" s="2">
        <f>COUNTIF(Eingabe[GES],HäufigsteErgebnisse[[#This Row],[Zahl]])</f>
        <v>1</v>
      </c>
      <c r="L497" s="2">
        <f>HäufigsteErgebnisse[[#This Row],[Zahl]]</f>
        <v>439</v>
      </c>
    </row>
    <row r="498" spans="2:12" x14ac:dyDescent="0.3">
      <c r="B498" s="2">
        <v>440</v>
      </c>
      <c r="C498" s="2">
        <f>COUNTIF(Eingabe[Volle],HäufigsteErgebnisse[[#This Row],[Zahl]])</f>
        <v>0</v>
      </c>
      <c r="D498" s="2">
        <f>COUNTIF(Eingabe[Räumer],HäufigsteErgebnisse[[#This Row],[Zahl]])</f>
        <v>0</v>
      </c>
      <c r="E498" s="2">
        <f>COUNTIF(Eingabe[Fehler],HäufigsteErgebnisse[[#This Row],[Zahl]])</f>
        <v>0</v>
      </c>
      <c r="F498" s="2">
        <f>COUNTIF(Eingabe[S1],HäufigsteErgebnisse[[#This Row],[Zahl]])</f>
        <v>0</v>
      </c>
      <c r="G498" s="2">
        <f>COUNTIF(Eingabe[S2],HäufigsteErgebnisse[[#This Row],[Zahl]])</f>
        <v>0</v>
      </c>
      <c r="H498" s="2">
        <f>COUNTIF(Eingabe[S3],HäufigsteErgebnisse[[#This Row],[Zahl]])</f>
        <v>0</v>
      </c>
      <c r="I498" s="2">
        <f>COUNTIF(Eingabe[S4],HäufigsteErgebnisse[[#This Row],[Zahl]])</f>
        <v>0</v>
      </c>
      <c r="J498" s="2">
        <f>COUNTIF(Eingabe[S1],HäufigsteErgebnisse[[#This Row],[Zahl]])+COUNTIF(Eingabe[S2],HäufigsteErgebnisse[[#This Row],[Zahl]])+COUNTIF(Eingabe[S3],HäufigsteErgebnisse[[#This Row],[Zahl]])+COUNTIF(Eingabe[S4],HäufigsteErgebnisse[[#This Row],[Zahl]])</f>
        <v>0</v>
      </c>
      <c r="K498" s="2">
        <f>COUNTIF(Eingabe[GES],HäufigsteErgebnisse[[#This Row],[Zahl]])</f>
        <v>0</v>
      </c>
      <c r="L498" s="2">
        <f>HäufigsteErgebnisse[[#This Row],[Zahl]]</f>
        <v>440</v>
      </c>
    </row>
    <row r="499" spans="2:12" x14ac:dyDescent="0.3">
      <c r="B499" s="2">
        <v>441</v>
      </c>
      <c r="C499" s="2">
        <f>COUNTIF(Eingabe[Volle],HäufigsteErgebnisse[[#This Row],[Zahl]])</f>
        <v>0</v>
      </c>
      <c r="D499" s="2">
        <f>COUNTIF(Eingabe[Räumer],HäufigsteErgebnisse[[#This Row],[Zahl]])</f>
        <v>0</v>
      </c>
      <c r="E499" s="2">
        <f>COUNTIF(Eingabe[Fehler],HäufigsteErgebnisse[[#This Row],[Zahl]])</f>
        <v>0</v>
      </c>
      <c r="F499" s="2">
        <f>COUNTIF(Eingabe[S1],HäufigsteErgebnisse[[#This Row],[Zahl]])</f>
        <v>0</v>
      </c>
      <c r="G499" s="2">
        <f>COUNTIF(Eingabe[S2],HäufigsteErgebnisse[[#This Row],[Zahl]])</f>
        <v>0</v>
      </c>
      <c r="H499" s="2">
        <f>COUNTIF(Eingabe[S3],HäufigsteErgebnisse[[#This Row],[Zahl]])</f>
        <v>0</v>
      </c>
      <c r="I499" s="2">
        <f>COUNTIF(Eingabe[S4],HäufigsteErgebnisse[[#This Row],[Zahl]])</f>
        <v>0</v>
      </c>
      <c r="J499" s="2">
        <f>COUNTIF(Eingabe[S1],HäufigsteErgebnisse[[#This Row],[Zahl]])+COUNTIF(Eingabe[S2],HäufigsteErgebnisse[[#This Row],[Zahl]])+COUNTIF(Eingabe[S3],HäufigsteErgebnisse[[#This Row],[Zahl]])+COUNTIF(Eingabe[S4],HäufigsteErgebnisse[[#This Row],[Zahl]])</f>
        <v>0</v>
      </c>
      <c r="K499" s="2">
        <f>COUNTIF(Eingabe[GES],HäufigsteErgebnisse[[#This Row],[Zahl]])</f>
        <v>0</v>
      </c>
      <c r="L499" s="2">
        <f>HäufigsteErgebnisse[[#This Row],[Zahl]]</f>
        <v>441</v>
      </c>
    </row>
    <row r="500" spans="2:12" x14ac:dyDescent="0.3">
      <c r="B500" s="2">
        <v>442</v>
      </c>
      <c r="C500" s="2">
        <f>COUNTIF(Eingabe[Volle],HäufigsteErgebnisse[[#This Row],[Zahl]])</f>
        <v>0</v>
      </c>
      <c r="D500" s="2">
        <f>COUNTIF(Eingabe[Räumer],HäufigsteErgebnisse[[#This Row],[Zahl]])</f>
        <v>0</v>
      </c>
      <c r="E500" s="2">
        <f>COUNTIF(Eingabe[Fehler],HäufigsteErgebnisse[[#This Row],[Zahl]])</f>
        <v>0</v>
      </c>
      <c r="F500" s="2">
        <f>COUNTIF(Eingabe[S1],HäufigsteErgebnisse[[#This Row],[Zahl]])</f>
        <v>0</v>
      </c>
      <c r="G500" s="2">
        <f>COUNTIF(Eingabe[S2],HäufigsteErgebnisse[[#This Row],[Zahl]])</f>
        <v>0</v>
      </c>
      <c r="H500" s="2">
        <f>COUNTIF(Eingabe[S3],HäufigsteErgebnisse[[#This Row],[Zahl]])</f>
        <v>0</v>
      </c>
      <c r="I500" s="2">
        <f>COUNTIF(Eingabe[S4],HäufigsteErgebnisse[[#This Row],[Zahl]])</f>
        <v>0</v>
      </c>
      <c r="J500" s="2">
        <f>COUNTIF(Eingabe[S1],HäufigsteErgebnisse[[#This Row],[Zahl]])+COUNTIF(Eingabe[S2],HäufigsteErgebnisse[[#This Row],[Zahl]])+COUNTIF(Eingabe[S3],HäufigsteErgebnisse[[#This Row],[Zahl]])+COUNTIF(Eingabe[S4],HäufigsteErgebnisse[[#This Row],[Zahl]])</f>
        <v>0</v>
      </c>
      <c r="K500" s="2">
        <f>COUNTIF(Eingabe[GES],HäufigsteErgebnisse[[#This Row],[Zahl]])</f>
        <v>1</v>
      </c>
      <c r="L500" s="2">
        <f>HäufigsteErgebnisse[[#This Row],[Zahl]]</f>
        <v>442</v>
      </c>
    </row>
    <row r="501" spans="2:12" x14ac:dyDescent="0.3">
      <c r="B501" s="2">
        <v>443</v>
      </c>
      <c r="C501" s="2">
        <f>COUNTIF(Eingabe[Volle],HäufigsteErgebnisse[[#This Row],[Zahl]])</f>
        <v>0</v>
      </c>
      <c r="D501" s="2">
        <f>COUNTIF(Eingabe[Räumer],HäufigsteErgebnisse[[#This Row],[Zahl]])</f>
        <v>0</v>
      </c>
      <c r="E501" s="2">
        <f>COUNTIF(Eingabe[Fehler],HäufigsteErgebnisse[[#This Row],[Zahl]])</f>
        <v>0</v>
      </c>
      <c r="F501" s="2">
        <f>COUNTIF(Eingabe[S1],HäufigsteErgebnisse[[#This Row],[Zahl]])</f>
        <v>0</v>
      </c>
      <c r="G501" s="2">
        <f>COUNTIF(Eingabe[S2],HäufigsteErgebnisse[[#This Row],[Zahl]])</f>
        <v>0</v>
      </c>
      <c r="H501" s="2">
        <f>COUNTIF(Eingabe[S3],HäufigsteErgebnisse[[#This Row],[Zahl]])</f>
        <v>0</v>
      </c>
      <c r="I501" s="2">
        <f>COUNTIF(Eingabe[S4],HäufigsteErgebnisse[[#This Row],[Zahl]])</f>
        <v>0</v>
      </c>
      <c r="J501" s="2">
        <f>COUNTIF(Eingabe[S1],HäufigsteErgebnisse[[#This Row],[Zahl]])+COUNTIF(Eingabe[S2],HäufigsteErgebnisse[[#This Row],[Zahl]])+COUNTIF(Eingabe[S3],HäufigsteErgebnisse[[#This Row],[Zahl]])+COUNTIF(Eingabe[S4],HäufigsteErgebnisse[[#This Row],[Zahl]])</f>
        <v>0</v>
      </c>
      <c r="K501" s="2">
        <f>COUNTIF(Eingabe[GES],HäufigsteErgebnisse[[#This Row],[Zahl]])</f>
        <v>0</v>
      </c>
      <c r="L501" s="2">
        <f>HäufigsteErgebnisse[[#This Row],[Zahl]]</f>
        <v>443</v>
      </c>
    </row>
    <row r="502" spans="2:12" x14ac:dyDescent="0.3">
      <c r="B502" s="2">
        <v>444</v>
      </c>
      <c r="C502" s="2">
        <f>COUNTIF(Eingabe[Volle],HäufigsteErgebnisse[[#This Row],[Zahl]])</f>
        <v>0</v>
      </c>
      <c r="D502" s="2">
        <f>COUNTIF(Eingabe[Räumer],HäufigsteErgebnisse[[#This Row],[Zahl]])</f>
        <v>0</v>
      </c>
      <c r="E502" s="2">
        <f>COUNTIF(Eingabe[Fehler],HäufigsteErgebnisse[[#This Row],[Zahl]])</f>
        <v>0</v>
      </c>
      <c r="F502" s="2">
        <f>COUNTIF(Eingabe[S1],HäufigsteErgebnisse[[#This Row],[Zahl]])</f>
        <v>0</v>
      </c>
      <c r="G502" s="2">
        <f>COUNTIF(Eingabe[S2],HäufigsteErgebnisse[[#This Row],[Zahl]])</f>
        <v>0</v>
      </c>
      <c r="H502" s="2">
        <f>COUNTIF(Eingabe[S3],HäufigsteErgebnisse[[#This Row],[Zahl]])</f>
        <v>0</v>
      </c>
      <c r="I502" s="2">
        <f>COUNTIF(Eingabe[S4],HäufigsteErgebnisse[[#This Row],[Zahl]])</f>
        <v>0</v>
      </c>
      <c r="J502" s="2">
        <f>COUNTIF(Eingabe[S1],HäufigsteErgebnisse[[#This Row],[Zahl]])+COUNTIF(Eingabe[S2],HäufigsteErgebnisse[[#This Row],[Zahl]])+COUNTIF(Eingabe[S3],HäufigsteErgebnisse[[#This Row],[Zahl]])+COUNTIF(Eingabe[S4],HäufigsteErgebnisse[[#This Row],[Zahl]])</f>
        <v>0</v>
      </c>
      <c r="K502" s="2">
        <f>COUNTIF(Eingabe[GES],HäufigsteErgebnisse[[#This Row],[Zahl]])</f>
        <v>0</v>
      </c>
      <c r="L502" s="2">
        <f>HäufigsteErgebnisse[[#This Row],[Zahl]]</f>
        <v>444</v>
      </c>
    </row>
    <row r="503" spans="2:12" x14ac:dyDescent="0.3">
      <c r="B503" s="2">
        <v>445</v>
      </c>
      <c r="C503" s="2">
        <f>COUNTIF(Eingabe[Volle],HäufigsteErgebnisse[[#This Row],[Zahl]])</f>
        <v>0</v>
      </c>
      <c r="D503" s="2">
        <f>COUNTIF(Eingabe[Räumer],HäufigsteErgebnisse[[#This Row],[Zahl]])</f>
        <v>0</v>
      </c>
      <c r="E503" s="2">
        <f>COUNTIF(Eingabe[Fehler],HäufigsteErgebnisse[[#This Row],[Zahl]])</f>
        <v>0</v>
      </c>
      <c r="F503" s="2">
        <f>COUNTIF(Eingabe[S1],HäufigsteErgebnisse[[#This Row],[Zahl]])</f>
        <v>0</v>
      </c>
      <c r="G503" s="2">
        <f>COUNTIF(Eingabe[S2],HäufigsteErgebnisse[[#This Row],[Zahl]])</f>
        <v>0</v>
      </c>
      <c r="H503" s="2">
        <f>COUNTIF(Eingabe[S3],HäufigsteErgebnisse[[#This Row],[Zahl]])</f>
        <v>0</v>
      </c>
      <c r="I503" s="2">
        <f>COUNTIF(Eingabe[S4],HäufigsteErgebnisse[[#This Row],[Zahl]])</f>
        <v>0</v>
      </c>
      <c r="J503" s="2">
        <f>COUNTIF(Eingabe[S1],HäufigsteErgebnisse[[#This Row],[Zahl]])+COUNTIF(Eingabe[S2],HäufigsteErgebnisse[[#This Row],[Zahl]])+COUNTIF(Eingabe[S3],HäufigsteErgebnisse[[#This Row],[Zahl]])+COUNTIF(Eingabe[S4],HäufigsteErgebnisse[[#This Row],[Zahl]])</f>
        <v>0</v>
      </c>
      <c r="K503" s="2">
        <f>COUNTIF(Eingabe[GES],HäufigsteErgebnisse[[#This Row],[Zahl]])</f>
        <v>0</v>
      </c>
      <c r="L503" s="2">
        <f>HäufigsteErgebnisse[[#This Row],[Zahl]]</f>
        <v>445</v>
      </c>
    </row>
    <row r="504" spans="2:12" x14ac:dyDescent="0.3">
      <c r="B504" s="2">
        <v>446</v>
      </c>
      <c r="C504" s="2">
        <f>COUNTIF(Eingabe[Volle],HäufigsteErgebnisse[[#This Row],[Zahl]])</f>
        <v>0</v>
      </c>
      <c r="D504" s="2">
        <f>COUNTIF(Eingabe[Räumer],HäufigsteErgebnisse[[#This Row],[Zahl]])</f>
        <v>0</v>
      </c>
      <c r="E504" s="2">
        <f>COUNTIF(Eingabe[Fehler],HäufigsteErgebnisse[[#This Row],[Zahl]])</f>
        <v>0</v>
      </c>
      <c r="F504" s="2">
        <f>COUNTIF(Eingabe[S1],HäufigsteErgebnisse[[#This Row],[Zahl]])</f>
        <v>0</v>
      </c>
      <c r="G504" s="2">
        <f>COUNTIF(Eingabe[S2],HäufigsteErgebnisse[[#This Row],[Zahl]])</f>
        <v>0</v>
      </c>
      <c r="H504" s="2">
        <f>COUNTIF(Eingabe[S3],HäufigsteErgebnisse[[#This Row],[Zahl]])</f>
        <v>0</v>
      </c>
      <c r="I504" s="2">
        <f>COUNTIF(Eingabe[S4],HäufigsteErgebnisse[[#This Row],[Zahl]])</f>
        <v>0</v>
      </c>
      <c r="J504" s="2">
        <f>COUNTIF(Eingabe[S1],HäufigsteErgebnisse[[#This Row],[Zahl]])+COUNTIF(Eingabe[S2],HäufigsteErgebnisse[[#This Row],[Zahl]])+COUNTIF(Eingabe[S3],HäufigsteErgebnisse[[#This Row],[Zahl]])+COUNTIF(Eingabe[S4],HäufigsteErgebnisse[[#This Row],[Zahl]])</f>
        <v>0</v>
      </c>
      <c r="K504" s="2">
        <f>COUNTIF(Eingabe[GES],HäufigsteErgebnisse[[#This Row],[Zahl]])</f>
        <v>0</v>
      </c>
      <c r="L504" s="2">
        <f>HäufigsteErgebnisse[[#This Row],[Zahl]]</f>
        <v>446</v>
      </c>
    </row>
    <row r="505" spans="2:12" x14ac:dyDescent="0.3">
      <c r="B505" s="2">
        <v>447</v>
      </c>
      <c r="C505" s="2">
        <f>COUNTIF(Eingabe[Volle],HäufigsteErgebnisse[[#This Row],[Zahl]])</f>
        <v>0</v>
      </c>
      <c r="D505" s="2">
        <f>COUNTIF(Eingabe[Räumer],HäufigsteErgebnisse[[#This Row],[Zahl]])</f>
        <v>0</v>
      </c>
      <c r="E505" s="2">
        <f>COUNTIF(Eingabe[Fehler],HäufigsteErgebnisse[[#This Row],[Zahl]])</f>
        <v>0</v>
      </c>
      <c r="F505" s="2">
        <f>COUNTIF(Eingabe[S1],HäufigsteErgebnisse[[#This Row],[Zahl]])</f>
        <v>0</v>
      </c>
      <c r="G505" s="2">
        <f>COUNTIF(Eingabe[S2],HäufigsteErgebnisse[[#This Row],[Zahl]])</f>
        <v>0</v>
      </c>
      <c r="H505" s="2">
        <f>COUNTIF(Eingabe[S3],HäufigsteErgebnisse[[#This Row],[Zahl]])</f>
        <v>0</v>
      </c>
      <c r="I505" s="2">
        <f>COUNTIF(Eingabe[S4],HäufigsteErgebnisse[[#This Row],[Zahl]])</f>
        <v>0</v>
      </c>
      <c r="J505" s="2">
        <f>COUNTIF(Eingabe[S1],HäufigsteErgebnisse[[#This Row],[Zahl]])+COUNTIF(Eingabe[S2],HäufigsteErgebnisse[[#This Row],[Zahl]])+COUNTIF(Eingabe[S3],HäufigsteErgebnisse[[#This Row],[Zahl]])+COUNTIF(Eingabe[S4],HäufigsteErgebnisse[[#This Row],[Zahl]])</f>
        <v>0</v>
      </c>
      <c r="K505" s="2">
        <f>COUNTIF(Eingabe[GES],HäufigsteErgebnisse[[#This Row],[Zahl]])</f>
        <v>1</v>
      </c>
      <c r="L505" s="2">
        <f>HäufigsteErgebnisse[[#This Row],[Zahl]]</f>
        <v>447</v>
      </c>
    </row>
    <row r="506" spans="2:12" x14ac:dyDescent="0.3">
      <c r="B506" s="2">
        <v>448</v>
      </c>
      <c r="C506" s="2">
        <f>COUNTIF(Eingabe[Volle],HäufigsteErgebnisse[[#This Row],[Zahl]])</f>
        <v>0</v>
      </c>
      <c r="D506" s="2">
        <f>COUNTIF(Eingabe[Räumer],HäufigsteErgebnisse[[#This Row],[Zahl]])</f>
        <v>0</v>
      </c>
      <c r="E506" s="2">
        <f>COUNTIF(Eingabe[Fehler],HäufigsteErgebnisse[[#This Row],[Zahl]])</f>
        <v>0</v>
      </c>
      <c r="F506" s="2">
        <f>COUNTIF(Eingabe[S1],HäufigsteErgebnisse[[#This Row],[Zahl]])</f>
        <v>0</v>
      </c>
      <c r="G506" s="2">
        <f>COUNTIF(Eingabe[S2],HäufigsteErgebnisse[[#This Row],[Zahl]])</f>
        <v>0</v>
      </c>
      <c r="H506" s="2">
        <f>COUNTIF(Eingabe[S3],HäufigsteErgebnisse[[#This Row],[Zahl]])</f>
        <v>0</v>
      </c>
      <c r="I506" s="2">
        <f>COUNTIF(Eingabe[S4],HäufigsteErgebnisse[[#This Row],[Zahl]])</f>
        <v>0</v>
      </c>
      <c r="J506" s="2">
        <f>COUNTIF(Eingabe[S1],HäufigsteErgebnisse[[#This Row],[Zahl]])+COUNTIF(Eingabe[S2],HäufigsteErgebnisse[[#This Row],[Zahl]])+COUNTIF(Eingabe[S3],HäufigsteErgebnisse[[#This Row],[Zahl]])+COUNTIF(Eingabe[S4],HäufigsteErgebnisse[[#This Row],[Zahl]])</f>
        <v>0</v>
      </c>
      <c r="K506" s="2">
        <f>COUNTIF(Eingabe[GES],HäufigsteErgebnisse[[#This Row],[Zahl]])</f>
        <v>2</v>
      </c>
      <c r="L506" s="2">
        <f>HäufigsteErgebnisse[[#This Row],[Zahl]]</f>
        <v>448</v>
      </c>
    </row>
    <row r="507" spans="2:12" x14ac:dyDescent="0.3">
      <c r="B507" s="2">
        <v>449</v>
      </c>
      <c r="C507" s="2">
        <f>COUNTIF(Eingabe[Volle],HäufigsteErgebnisse[[#This Row],[Zahl]])</f>
        <v>0</v>
      </c>
      <c r="D507" s="2">
        <f>COUNTIF(Eingabe[Räumer],HäufigsteErgebnisse[[#This Row],[Zahl]])</f>
        <v>0</v>
      </c>
      <c r="E507" s="2">
        <f>COUNTIF(Eingabe[Fehler],HäufigsteErgebnisse[[#This Row],[Zahl]])</f>
        <v>0</v>
      </c>
      <c r="F507" s="2">
        <f>COUNTIF(Eingabe[S1],HäufigsteErgebnisse[[#This Row],[Zahl]])</f>
        <v>0</v>
      </c>
      <c r="G507" s="2">
        <f>COUNTIF(Eingabe[S2],HäufigsteErgebnisse[[#This Row],[Zahl]])</f>
        <v>0</v>
      </c>
      <c r="H507" s="2">
        <f>COUNTIF(Eingabe[S3],HäufigsteErgebnisse[[#This Row],[Zahl]])</f>
        <v>0</v>
      </c>
      <c r="I507" s="2">
        <f>COUNTIF(Eingabe[S4],HäufigsteErgebnisse[[#This Row],[Zahl]])</f>
        <v>0</v>
      </c>
      <c r="J507" s="2">
        <f>COUNTIF(Eingabe[S1],HäufigsteErgebnisse[[#This Row],[Zahl]])+COUNTIF(Eingabe[S2],HäufigsteErgebnisse[[#This Row],[Zahl]])+COUNTIF(Eingabe[S3],HäufigsteErgebnisse[[#This Row],[Zahl]])+COUNTIF(Eingabe[S4],HäufigsteErgebnisse[[#This Row],[Zahl]])</f>
        <v>0</v>
      </c>
      <c r="K507" s="2">
        <f>COUNTIF(Eingabe[GES],HäufigsteErgebnisse[[#This Row],[Zahl]])</f>
        <v>1</v>
      </c>
      <c r="L507" s="2">
        <f>HäufigsteErgebnisse[[#This Row],[Zahl]]</f>
        <v>449</v>
      </c>
    </row>
    <row r="508" spans="2:12" x14ac:dyDescent="0.3">
      <c r="B508" s="2">
        <v>450</v>
      </c>
      <c r="C508" s="2">
        <f>COUNTIF(Eingabe[Volle],HäufigsteErgebnisse[[#This Row],[Zahl]])</f>
        <v>0</v>
      </c>
      <c r="D508" s="2">
        <f>COUNTIF(Eingabe[Räumer],HäufigsteErgebnisse[[#This Row],[Zahl]])</f>
        <v>0</v>
      </c>
      <c r="E508" s="2">
        <f>COUNTIF(Eingabe[Fehler],HäufigsteErgebnisse[[#This Row],[Zahl]])</f>
        <v>0</v>
      </c>
      <c r="F508" s="2">
        <f>COUNTIF(Eingabe[S1],HäufigsteErgebnisse[[#This Row],[Zahl]])</f>
        <v>0</v>
      </c>
      <c r="G508" s="2">
        <f>COUNTIF(Eingabe[S2],HäufigsteErgebnisse[[#This Row],[Zahl]])</f>
        <v>0</v>
      </c>
      <c r="H508" s="2">
        <f>COUNTIF(Eingabe[S3],HäufigsteErgebnisse[[#This Row],[Zahl]])</f>
        <v>0</v>
      </c>
      <c r="I508" s="2">
        <f>COUNTIF(Eingabe[S4],HäufigsteErgebnisse[[#This Row],[Zahl]])</f>
        <v>0</v>
      </c>
      <c r="J508" s="2">
        <f>COUNTIF(Eingabe[S1],HäufigsteErgebnisse[[#This Row],[Zahl]])+COUNTIF(Eingabe[S2],HäufigsteErgebnisse[[#This Row],[Zahl]])+COUNTIF(Eingabe[S3],HäufigsteErgebnisse[[#This Row],[Zahl]])+COUNTIF(Eingabe[S4],HäufigsteErgebnisse[[#This Row],[Zahl]])</f>
        <v>0</v>
      </c>
      <c r="K508" s="2">
        <f>COUNTIF(Eingabe[GES],HäufigsteErgebnisse[[#This Row],[Zahl]])</f>
        <v>0</v>
      </c>
      <c r="L508" s="2">
        <f>HäufigsteErgebnisse[[#This Row],[Zahl]]</f>
        <v>450</v>
      </c>
    </row>
    <row r="509" spans="2:12" x14ac:dyDescent="0.3">
      <c r="B509" s="2">
        <v>451</v>
      </c>
      <c r="C509" s="2">
        <f>COUNTIF(Eingabe[Volle],HäufigsteErgebnisse[[#This Row],[Zahl]])</f>
        <v>0</v>
      </c>
      <c r="D509" s="2">
        <f>COUNTIF(Eingabe[Räumer],HäufigsteErgebnisse[[#This Row],[Zahl]])</f>
        <v>0</v>
      </c>
      <c r="E509" s="2">
        <f>COUNTIF(Eingabe[Fehler],HäufigsteErgebnisse[[#This Row],[Zahl]])</f>
        <v>0</v>
      </c>
      <c r="F509" s="2">
        <f>COUNTIF(Eingabe[S1],HäufigsteErgebnisse[[#This Row],[Zahl]])</f>
        <v>0</v>
      </c>
      <c r="G509" s="2">
        <f>COUNTIF(Eingabe[S2],HäufigsteErgebnisse[[#This Row],[Zahl]])</f>
        <v>0</v>
      </c>
      <c r="H509" s="2">
        <f>COUNTIF(Eingabe[S3],HäufigsteErgebnisse[[#This Row],[Zahl]])</f>
        <v>0</v>
      </c>
      <c r="I509" s="2">
        <f>COUNTIF(Eingabe[S4],HäufigsteErgebnisse[[#This Row],[Zahl]])</f>
        <v>0</v>
      </c>
      <c r="J509" s="2">
        <f>COUNTIF(Eingabe[S1],HäufigsteErgebnisse[[#This Row],[Zahl]])+COUNTIF(Eingabe[S2],HäufigsteErgebnisse[[#This Row],[Zahl]])+COUNTIF(Eingabe[S3],HäufigsteErgebnisse[[#This Row],[Zahl]])+COUNTIF(Eingabe[S4],HäufigsteErgebnisse[[#This Row],[Zahl]])</f>
        <v>0</v>
      </c>
      <c r="K509" s="2">
        <f>COUNTIF(Eingabe[GES],HäufigsteErgebnisse[[#This Row],[Zahl]])</f>
        <v>0</v>
      </c>
      <c r="L509" s="2">
        <f>HäufigsteErgebnisse[[#This Row],[Zahl]]</f>
        <v>451</v>
      </c>
    </row>
    <row r="510" spans="2:12" x14ac:dyDescent="0.3">
      <c r="B510" s="2">
        <v>452</v>
      </c>
      <c r="C510" s="2">
        <f>COUNTIF(Eingabe[Volle],HäufigsteErgebnisse[[#This Row],[Zahl]])</f>
        <v>0</v>
      </c>
      <c r="D510" s="2">
        <f>COUNTIF(Eingabe[Räumer],HäufigsteErgebnisse[[#This Row],[Zahl]])</f>
        <v>0</v>
      </c>
      <c r="E510" s="2">
        <f>COUNTIF(Eingabe[Fehler],HäufigsteErgebnisse[[#This Row],[Zahl]])</f>
        <v>0</v>
      </c>
      <c r="F510" s="2">
        <f>COUNTIF(Eingabe[S1],HäufigsteErgebnisse[[#This Row],[Zahl]])</f>
        <v>0</v>
      </c>
      <c r="G510" s="2">
        <f>COUNTIF(Eingabe[S2],HäufigsteErgebnisse[[#This Row],[Zahl]])</f>
        <v>0</v>
      </c>
      <c r="H510" s="2">
        <f>COUNTIF(Eingabe[S3],HäufigsteErgebnisse[[#This Row],[Zahl]])</f>
        <v>0</v>
      </c>
      <c r="I510" s="2">
        <f>COUNTIF(Eingabe[S4],HäufigsteErgebnisse[[#This Row],[Zahl]])</f>
        <v>0</v>
      </c>
      <c r="J510" s="2">
        <f>COUNTIF(Eingabe[S1],HäufigsteErgebnisse[[#This Row],[Zahl]])+COUNTIF(Eingabe[S2],HäufigsteErgebnisse[[#This Row],[Zahl]])+COUNTIF(Eingabe[S3],HäufigsteErgebnisse[[#This Row],[Zahl]])+COUNTIF(Eingabe[S4],HäufigsteErgebnisse[[#This Row],[Zahl]])</f>
        <v>0</v>
      </c>
      <c r="K510" s="2">
        <f>COUNTIF(Eingabe[GES],HäufigsteErgebnisse[[#This Row],[Zahl]])</f>
        <v>1</v>
      </c>
      <c r="L510" s="2">
        <f>HäufigsteErgebnisse[[#This Row],[Zahl]]</f>
        <v>452</v>
      </c>
    </row>
    <row r="511" spans="2:12" x14ac:dyDescent="0.3">
      <c r="B511" s="2">
        <v>453</v>
      </c>
      <c r="C511" s="2">
        <f>COUNTIF(Eingabe[Volle],HäufigsteErgebnisse[[#This Row],[Zahl]])</f>
        <v>0</v>
      </c>
      <c r="D511" s="2">
        <f>COUNTIF(Eingabe[Räumer],HäufigsteErgebnisse[[#This Row],[Zahl]])</f>
        <v>0</v>
      </c>
      <c r="E511" s="2">
        <f>COUNTIF(Eingabe[Fehler],HäufigsteErgebnisse[[#This Row],[Zahl]])</f>
        <v>0</v>
      </c>
      <c r="F511" s="2">
        <f>COUNTIF(Eingabe[S1],HäufigsteErgebnisse[[#This Row],[Zahl]])</f>
        <v>0</v>
      </c>
      <c r="G511" s="2">
        <f>COUNTIF(Eingabe[S2],HäufigsteErgebnisse[[#This Row],[Zahl]])</f>
        <v>0</v>
      </c>
      <c r="H511" s="2">
        <f>COUNTIF(Eingabe[S3],HäufigsteErgebnisse[[#This Row],[Zahl]])</f>
        <v>0</v>
      </c>
      <c r="I511" s="2">
        <f>COUNTIF(Eingabe[S4],HäufigsteErgebnisse[[#This Row],[Zahl]])</f>
        <v>0</v>
      </c>
      <c r="J511" s="2">
        <f>COUNTIF(Eingabe[S1],HäufigsteErgebnisse[[#This Row],[Zahl]])+COUNTIF(Eingabe[S2],HäufigsteErgebnisse[[#This Row],[Zahl]])+COUNTIF(Eingabe[S3],HäufigsteErgebnisse[[#This Row],[Zahl]])+COUNTIF(Eingabe[S4],HäufigsteErgebnisse[[#This Row],[Zahl]])</f>
        <v>0</v>
      </c>
      <c r="K511" s="2">
        <f>COUNTIF(Eingabe[GES],HäufigsteErgebnisse[[#This Row],[Zahl]])</f>
        <v>0</v>
      </c>
      <c r="L511" s="2">
        <f>HäufigsteErgebnisse[[#This Row],[Zahl]]</f>
        <v>453</v>
      </c>
    </row>
    <row r="512" spans="2:12" x14ac:dyDescent="0.3">
      <c r="B512" s="2">
        <v>454</v>
      </c>
      <c r="C512" s="2">
        <f>COUNTIF(Eingabe[Volle],HäufigsteErgebnisse[[#This Row],[Zahl]])</f>
        <v>0</v>
      </c>
      <c r="D512" s="2">
        <f>COUNTIF(Eingabe[Räumer],HäufigsteErgebnisse[[#This Row],[Zahl]])</f>
        <v>0</v>
      </c>
      <c r="E512" s="2">
        <f>COUNTIF(Eingabe[Fehler],HäufigsteErgebnisse[[#This Row],[Zahl]])</f>
        <v>0</v>
      </c>
      <c r="F512" s="2">
        <f>COUNTIF(Eingabe[S1],HäufigsteErgebnisse[[#This Row],[Zahl]])</f>
        <v>0</v>
      </c>
      <c r="G512" s="2">
        <f>COUNTIF(Eingabe[S2],HäufigsteErgebnisse[[#This Row],[Zahl]])</f>
        <v>0</v>
      </c>
      <c r="H512" s="2">
        <f>COUNTIF(Eingabe[S3],HäufigsteErgebnisse[[#This Row],[Zahl]])</f>
        <v>0</v>
      </c>
      <c r="I512" s="2">
        <f>COUNTIF(Eingabe[S4],HäufigsteErgebnisse[[#This Row],[Zahl]])</f>
        <v>0</v>
      </c>
      <c r="J512" s="2">
        <f>COUNTIF(Eingabe[S1],HäufigsteErgebnisse[[#This Row],[Zahl]])+COUNTIF(Eingabe[S2],HäufigsteErgebnisse[[#This Row],[Zahl]])+COUNTIF(Eingabe[S3],HäufigsteErgebnisse[[#This Row],[Zahl]])+COUNTIF(Eingabe[S4],HäufigsteErgebnisse[[#This Row],[Zahl]])</f>
        <v>0</v>
      </c>
      <c r="K512" s="2">
        <f>COUNTIF(Eingabe[GES],HäufigsteErgebnisse[[#This Row],[Zahl]])</f>
        <v>4</v>
      </c>
      <c r="L512" s="2">
        <f>HäufigsteErgebnisse[[#This Row],[Zahl]]</f>
        <v>454</v>
      </c>
    </row>
    <row r="513" spans="2:12" x14ac:dyDescent="0.3">
      <c r="B513" s="2">
        <v>455</v>
      </c>
      <c r="C513" s="2">
        <f>COUNTIF(Eingabe[Volle],HäufigsteErgebnisse[[#This Row],[Zahl]])</f>
        <v>0</v>
      </c>
      <c r="D513" s="2">
        <f>COUNTIF(Eingabe[Räumer],HäufigsteErgebnisse[[#This Row],[Zahl]])</f>
        <v>0</v>
      </c>
      <c r="E513" s="2">
        <f>COUNTIF(Eingabe[Fehler],HäufigsteErgebnisse[[#This Row],[Zahl]])</f>
        <v>0</v>
      </c>
      <c r="F513" s="2">
        <f>COUNTIF(Eingabe[S1],HäufigsteErgebnisse[[#This Row],[Zahl]])</f>
        <v>0</v>
      </c>
      <c r="G513" s="2">
        <f>COUNTIF(Eingabe[S2],HäufigsteErgebnisse[[#This Row],[Zahl]])</f>
        <v>0</v>
      </c>
      <c r="H513" s="2">
        <f>COUNTIF(Eingabe[S3],HäufigsteErgebnisse[[#This Row],[Zahl]])</f>
        <v>0</v>
      </c>
      <c r="I513" s="2">
        <f>COUNTIF(Eingabe[S4],HäufigsteErgebnisse[[#This Row],[Zahl]])</f>
        <v>0</v>
      </c>
      <c r="J513" s="2">
        <f>COUNTIF(Eingabe[S1],HäufigsteErgebnisse[[#This Row],[Zahl]])+COUNTIF(Eingabe[S2],HäufigsteErgebnisse[[#This Row],[Zahl]])+COUNTIF(Eingabe[S3],HäufigsteErgebnisse[[#This Row],[Zahl]])+COUNTIF(Eingabe[S4],HäufigsteErgebnisse[[#This Row],[Zahl]])</f>
        <v>0</v>
      </c>
      <c r="K513" s="2">
        <f>COUNTIF(Eingabe[GES],HäufigsteErgebnisse[[#This Row],[Zahl]])</f>
        <v>1</v>
      </c>
      <c r="L513" s="2">
        <f>HäufigsteErgebnisse[[#This Row],[Zahl]]</f>
        <v>455</v>
      </c>
    </row>
    <row r="514" spans="2:12" x14ac:dyDescent="0.3">
      <c r="B514" s="2">
        <v>456</v>
      </c>
      <c r="C514" s="2">
        <f>COUNTIF(Eingabe[Volle],HäufigsteErgebnisse[[#This Row],[Zahl]])</f>
        <v>0</v>
      </c>
      <c r="D514" s="2">
        <f>COUNTIF(Eingabe[Räumer],HäufigsteErgebnisse[[#This Row],[Zahl]])</f>
        <v>0</v>
      </c>
      <c r="E514" s="2">
        <f>COUNTIF(Eingabe[Fehler],HäufigsteErgebnisse[[#This Row],[Zahl]])</f>
        <v>0</v>
      </c>
      <c r="F514" s="2">
        <f>COUNTIF(Eingabe[S1],HäufigsteErgebnisse[[#This Row],[Zahl]])</f>
        <v>0</v>
      </c>
      <c r="G514" s="2">
        <f>COUNTIF(Eingabe[S2],HäufigsteErgebnisse[[#This Row],[Zahl]])</f>
        <v>0</v>
      </c>
      <c r="H514" s="2">
        <f>COUNTIF(Eingabe[S3],HäufigsteErgebnisse[[#This Row],[Zahl]])</f>
        <v>0</v>
      </c>
      <c r="I514" s="2">
        <f>COUNTIF(Eingabe[S4],HäufigsteErgebnisse[[#This Row],[Zahl]])</f>
        <v>0</v>
      </c>
      <c r="J514" s="2">
        <f>COUNTIF(Eingabe[S1],HäufigsteErgebnisse[[#This Row],[Zahl]])+COUNTIF(Eingabe[S2],HäufigsteErgebnisse[[#This Row],[Zahl]])+COUNTIF(Eingabe[S3],HäufigsteErgebnisse[[#This Row],[Zahl]])+COUNTIF(Eingabe[S4],HäufigsteErgebnisse[[#This Row],[Zahl]])</f>
        <v>0</v>
      </c>
      <c r="K514" s="2">
        <f>COUNTIF(Eingabe[GES],HäufigsteErgebnisse[[#This Row],[Zahl]])</f>
        <v>1</v>
      </c>
      <c r="L514" s="2">
        <f>HäufigsteErgebnisse[[#This Row],[Zahl]]</f>
        <v>456</v>
      </c>
    </row>
    <row r="515" spans="2:12" x14ac:dyDescent="0.3">
      <c r="B515" s="2">
        <v>457</v>
      </c>
      <c r="C515" s="2">
        <f>COUNTIF(Eingabe[Volle],HäufigsteErgebnisse[[#This Row],[Zahl]])</f>
        <v>0</v>
      </c>
      <c r="D515" s="2">
        <f>COUNTIF(Eingabe[Räumer],HäufigsteErgebnisse[[#This Row],[Zahl]])</f>
        <v>0</v>
      </c>
      <c r="E515" s="2">
        <f>COUNTIF(Eingabe[Fehler],HäufigsteErgebnisse[[#This Row],[Zahl]])</f>
        <v>0</v>
      </c>
      <c r="F515" s="2">
        <f>COUNTIF(Eingabe[S1],HäufigsteErgebnisse[[#This Row],[Zahl]])</f>
        <v>0</v>
      </c>
      <c r="G515" s="2">
        <f>COUNTIF(Eingabe[S2],HäufigsteErgebnisse[[#This Row],[Zahl]])</f>
        <v>0</v>
      </c>
      <c r="H515" s="2">
        <f>COUNTIF(Eingabe[S3],HäufigsteErgebnisse[[#This Row],[Zahl]])</f>
        <v>0</v>
      </c>
      <c r="I515" s="2">
        <f>COUNTIF(Eingabe[S4],HäufigsteErgebnisse[[#This Row],[Zahl]])</f>
        <v>0</v>
      </c>
      <c r="J515" s="2">
        <f>COUNTIF(Eingabe[S1],HäufigsteErgebnisse[[#This Row],[Zahl]])+COUNTIF(Eingabe[S2],HäufigsteErgebnisse[[#This Row],[Zahl]])+COUNTIF(Eingabe[S3],HäufigsteErgebnisse[[#This Row],[Zahl]])+COUNTIF(Eingabe[S4],HäufigsteErgebnisse[[#This Row],[Zahl]])</f>
        <v>0</v>
      </c>
      <c r="K515" s="2">
        <f>COUNTIF(Eingabe[GES],HäufigsteErgebnisse[[#This Row],[Zahl]])</f>
        <v>0</v>
      </c>
      <c r="L515" s="2">
        <f>HäufigsteErgebnisse[[#This Row],[Zahl]]</f>
        <v>457</v>
      </c>
    </row>
    <row r="516" spans="2:12" x14ac:dyDescent="0.3">
      <c r="B516" s="2">
        <v>458</v>
      </c>
      <c r="C516" s="2">
        <f>COUNTIF(Eingabe[Volle],HäufigsteErgebnisse[[#This Row],[Zahl]])</f>
        <v>0</v>
      </c>
      <c r="D516" s="2">
        <f>COUNTIF(Eingabe[Räumer],HäufigsteErgebnisse[[#This Row],[Zahl]])</f>
        <v>0</v>
      </c>
      <c r="E516" s="2">
        <f>COUNTIF(Eingabe[Fehler],HäufigsteErgebnisse[[#This Row],[Zahl]])</f>
        <v>0</v>
      </c>
      <c r="F516" s="2">
        <f>COUNTIF(Eingabe[S1],HäufigsteErgebnisse[[#This Row],[Zahl]])</f>
        <v>0</v>
      </c>
      <c r="G516" s="2">
        <f>COUNTIF(Eingabe[S2],HäufigsteErgebnisse[[#This Row],[Zahl]])</f>
        <v>0</v>
      </c>
      <c r="H516" s="2">
        <f>COUNTIF(Eingabe[S3],HäufigsteErgebnisse[[#This Row],[Zahl]])</f>
        <v>0</v>
      </c>
      <c r="I516" s="2">
        <f>COUNTIF(Eingabe[S4],HäufigsteErgebnisse[[#This Row],[Zahl]])</f>
        <v>0</v>
      </c>
      <c r="J516" s="2">
        <f>COUNTIF(Eingabe[S1],HäufigsteErgebnisse[[#This Row],[Zahl]])+COUNTIF(Eingabe[S2],HäufigsteErgebnisse[[#This Row],[Zahl]])+COUNTIF(Eingabe[S3],HäufigsteErgebnisse[[#This Row],[Zahl]])+COUNTIF(Eingabe[S4],HäufigsteErgebnisse[[#This Row],[Zahl]])</f>
        <v>0</v>
      </c>
      <c r="K516" s="2">
        <f>COUNTIF(Eingabe[GES],HäufigsteErgebnisse[[#This Row],[Zahl]])</f>
        <v>1</v>
      </c>
      <c r="L516" s="2">
        <f>HäufigsteErgebnisse[[#This Row],[Zahl]]</f>
        <v>458</v>
      </c>
    </row>
    <row r="517" spans="2:12" x14ac:dyDescent="0.3">
      <c r="B517" s="2">
        <v>459</v>
      </c>
      <c r="C517" s="2">
        <f>COUNTIF(Eingabe[Volle],HäufigsteErgebnisse[[#This Row],[Zahl]])</f>
        <v>0</v>
      </c>
      <c r="D517" s="2">
        <f>COUNTIF(Eingabe[Räumer],HäufigsteErgebnisse[[#This Row],[Zahl]])</f>
        <v>0</v>
      </c>
      <c r="E517" s="2">
        <f>COUNTIF(Eingabe[Fehler],HäufigsteErgebnisse[[#This Row],[Zahl]])</f>
        <v>0</v>
      </c>
      <c r="F517" s="2">
        <f>COUNTIF(Eingabe[S1],HäufigsteErgebnisse[[#This Row],[Zahl]])</f>
        <v>0</v>
      </c>
      <c r="G517" s="2">
        <f>COUNTIF(Eingabe[S2],HäufigsteErgebnisse[[#This Row],[Zahl]])</f>
        <v>0</v>
      </c>
      <c r="H517" s="2">
        <f>COUNTIF(Eingabe[S3],HäufigsteErgebnisse[[#This Row],[Zahl]])</f>
        <v>0</v>
      </c>
      <c r="I517" s="2">
        <f>COUNTIF(Eingabe[S4],HäufigsteErgebnisse[[#This Row],[Zahl]])</f>
        <v>0</v>
      </c>
      <c r="J517" s="2">
        <f>COUNTIF(Eingabe[S1],HäufigsteErgebnisse[[#This Row],[Zahl]])+COUNTIF(Eingabe[S2],HäufigsteErgebnisse[[#This Row],[Zahl]])+COUNTIF(Eingabe[S3],HäufigsteErgebnisse[[#This Row],[Zahl]])+COUNTIF(Eingabe[S4],HäufigsteErgebnisse[[#This Row],[Zahl]])</f>
        <v>0</v>
      </c>
      <c r="K517" s="2">
        <f>COUNTIF(Eingabe[GES],HäufigsteErgebnisse[[#This Row],[Zahl]])</f>
        <v>0</v>
      </c>
      <c r="L517" s="2">
        <f>HäufigsteErgebnisse[[#This Row],[Zahl]]</f>
        <v>459</v>
      </c>
    </row>
    <row r="518" spans="2:12" x14ac:dyDescent="0.3">
      <c r="B518" s="2">
        <v>460</v>
      </c>
      <c r="C518" s="2">
        <f>COUNTIF(Eingabe[Volle],HäufigsteErgebnisse[[#This Row],[Zahl]])</f>
        <v>0</v>
      </c>
      <c r="D518" s="2">
        <f>COUNTIF(Eingabe[Räumer],HäufigsteErgebnisse[[#This Row],[Zahl]])</f>
        <v>0</v>
      </c>
      <c r="E518" s="2">
        <f>COUNTIF(Eingabe[Fehler],HäufigsteErgebnisse[[#This Row],[Zahl]])</f>
        <v>0</v>
      </c>
      <c r="F518" s="2">
        <f>COUNTIF(Eingabe[S1],HäufigsteErgebnisse[[#This Row],[Zahl]])</f>
        <v>0</v>
      </c>
      <c r="G518" s="2">
        <f>COUNTIF(Eingabe[S2],HäufigsteErgebnisse[[#This Row],[Zahl]])</f>
        <v>0</v>
      </c>
      <c r="H518" s="2">
        <f>COUNTIF(Eingabe[S3],HäufigsteErgebnisse[[#This Row],[Zahl]])</f>
        <v>0</v>
      </c>
      <c r="I518" s="2">
        <f>COUNTIF(Eingabe[S4],HäufigsteErgebnisse[[#This Row],[Zahl]])</f>
        <v>0</v>
      </c>
      <c r="J518" s="2">
        <f>COUNTIF(Eingabe[S1],HäufigsteErgebnisse[[#This Row],[Zahl]])+COUNTIF(Eingabe[S2],HäufigsteErgebnisse[[#This Row],[Zahl]])+COUNTIF(Eingabe[S3],HäufigsteErgebnisse[[#This Row],[Zahl]])+COUNTIF(Eingabe[S4],HäufigsteErgebnisse[[#This Row],[Zahl]])</f>
        <v>0</v>
      </c>
      <c r="K518" s="2">
        <f>COUNTIF(Eingabe[GES],HäufigsteErgebnisse[[#This Row],[Zahl]])</f>
        <v>1</v>
      </c>
      <c r="L518" s="2">
        <f>HäufigsteErgebnisse[[#This Row],[Zahl]]</f>
        <v>460</v>
      </c>
    </row>
    <row r="519" spans="2:12" x14ac:dyDescent="0.3">
      <c r="B519" s="2">
        <v>461</v>
      </c>
      <c r="C519" s="2">
        <f>COUNTIF(Eingabe[Volle],HäufigsteErgebnisse[[#This Row],[Zahl]])</f>
        <v>0</v>
      </c>
      <c r="D519" s="2">
        <f>COUNTIF(Eingabe[Räumer],HäufigsteErgebnisse[[#This Row],[Zahl]])</f>
        <v>0</v>
      </c>
      <c r="E519" s="2">
        <f>COUNTIF(Eingabe[Fehler],HäufigsteErgebnisse[[#This Row],[Zahl]])</f>
        <v>0</v>
      </c>
      <c r="F519" s="2">
        <f>COUNTIF(Eingabe[S1],HäufigsteErgebnisse[[#This Row],[Zahl]])</f>
        <v>0</v>
      </c>
      <c r="G519" s="2">
        <f>COUNTIF(Eingabe[S2],HäufigsteErgebnisse[[#This Row],[Zahl]])</f>
        <v>0</v>
      </c>
      <c r="H519" s="2">
        <f>COUNTIF(Eingabe[S3],HäufigsteErgebnisse[[#This Row],[Zahl]])</f>
        <v>0</v>
      </c>
      <c r="I519" s="2">
        <f>COUNTIF(Eingabe[S4],HäufigsteErgebnisse[[#This Row],[Zahl]])</f>
        <v>0</v>
      </c>
      <c r="J519" s="2">
        <f>COUNTIF(Eingabe[S1],HäufigsteErgebnisse[[#This Row],[Zahl]])+COUNTIF(Eingabe[S2],HäufigsteErgebnisse[[#This Row],[Zahl]])+COUNTIF(Eingabe[S3],HäufigsteErgebnisse[[#This Row],[Zahl]])+COUNTIF(Eingabe[S4],HäufigsteErgebnisse[[#This Row],[Zahl]])</f>
        <v>0</v>
      </c>
      <c r="K519" s="2">
        <f>COUNTIF(Eingabe[GES],HäufigsteErgebnisse[[#This Row],[Zahl]])</f>
        <v>0</v>
      </c>
      <c r="L519" s="2">
        <f>HäufigsteErgebnisse[[#This Row],[Zahl]]</f>
        <v>461</v>
      </c>
    </row>
    <row r="520" spans="2:12" x14ac:dyDescent="0.3">
      <c r="B520" s="2">
        <v>462</v>
      </c>
      <c r="C520" s="2">
        <f>COUNTIF(Eingabe[Volle],HäufigsteErgebnisse[[#This Row],[Zahl]])</f>
        <v>0</v>
      </c>
      <c r="D520" s="2">
        <f>COUNTIF(Eingabe[Räumer],HäufigsteErgebnisse[[#This Row],[Zahl]])</f>
        <v>0</v>
      </c>
      <c r="E520" s="2">
        <f>COUNTIF(Eingabe[Fehler],HäufigsteErgebnisse[[#This Row],[Zahl]])</f>
        <v>0</v>
      </c>
      <c r="F520" s="2">
        <f>COUNTIF(Eingabe[S1],HäufigsteErgebnisse[[#This Row],[Zahl]])</f>
        <v>0</v>
      </c>
      <c r="G520" s="2">
        <f>COUNTIF(Eingabe[S2],HäufigsteErgebnisse[[#This Row],[Zahl]])</f>
        <v>0</v>
      </c>
      <c r="H520" s="2">
        <f>COUNTIF(Eingabe[S3],HäufigsteErgebnisse[[#This Row],[Zahl]])</f>
        <v>0</v>
      </c>
      <c r="I520" s="2">
        <f>COUNTIF(Eingabe[S4],HäufigsteErgebnisse[[#This Row],[Zahl]])</f>
        <v>0</v>
      </c>
      <c r="J520" s="2">
        <f>COUNTIF(Eingabe[S1],HäufigsteErgebnisse[[#This Row],[Zahl]])+COUNTIF(Eingabe[S2],HäufigsteErgebnisse[[#This Row],[Zahl]])+COUNTIF(Eingabe[S3],HäufigsteErgebnisse[[#This Row],[Zahl]])+COUNTIF(Eingabe[S4],HäufigsteErgebnisse[[#This Row],[Zahl]])</f>
        <v>0</v>
      </c>
      <c r="K520" s="2">
        <f>COUNTIF(Eingabe[GES],HäufigsteErgebnisse[[#This Row],[Zahl]])</f>
        <v>1</v>
      </c>
      <c r="L520" s="2">
        <f>HäufigsteErgebnisse[[#This Row],[Zahl]]</f>
        <v>462</v>
      </c>
    </row>
    <row r="521" spans="2:12" x14ac:dyDescent="0.3">
      <c r="B521" s="2">
        <v>463</v>
      </c>
      <c r="C521" s="2">
        <f>COUNTIF(Eingabe[Volle],HäufigsteErgebnisse[[#This Row],[Zahl]])</f>
        <v>0</v>
      </c>
      <c r="D521" s="2">
        <f>COUNTIF(Eingabe[Räumer],HäufigsteErgebnisse[[#This Row],[Zahl]])</f>
        <v>0</v>
      </c>
      <c r="E521" s="2">
        <f>COUNTIF(Eingabe[Fehler],HäufigsteErgebnisse[[#This Row],[Zahl]])</f>
        <v>0</v>
      </c>
      <c r="F521" s="2">
        <f>COUNTIF(Eingabe[S1],HäufigsteErgebnisse[[#This Row],[Zahl]])</f>
        <v>0</v>
      </c>
      <c r="G521" s="2">
        <f>COUNTIF(Eingabe[S2],HäufigsteErgebnisse[[#This Row],[Zahl]])</f>
        <v>0</v>
      </c>
      <c r="H521" s="2">
        <f>COUNTIF(Eingabe[S3],HäufigsteErgebnisse[[#This Row],[Zahl]])</f>
        <v>0</v>
      </c>
      <c r="I521" s="2">
        <f>COUNTIF(Eingabe[S4],HäufigsteErgebnisse[[#This Row],[Zahl]])</f>
        <v>0</v>
      </c>
      <c r="J521" s="2">
        <f>COUNTIF(Eingabe[S1],HäufigsteErgebnisse[[#This Row],[Zahl]])+COUNTIF(Eingabe[S2],HäufigsteErgebnisse[[#This Row],[Zahl]])+COUNTIF(Eingabe[S3],HäufigsteErgebnisse[[#This Row],[Zahl]])+COUNTIF(Eingabe[S4],HäufigsteErgebnisse[[#This Row],[Zahl]])</f>
        <v>0</v>
      </c>
      <c r="K521" s="2">
        <f>COUNTIF(Eingabe[GES],HäufigsteErgebnisse[[#This Row],[Zahl]])</f>
        <v>1</v>
      </c>
      <c r="L521" s="2">
        <f>HäufigsteErgebnisse[[#This Row],[Zahl]]</f>
        <v>463</v>
      </c>
    </row>
    <row r="522" spans="2:12" x14ac:dyDescent="0.3">
      <c r="B522" s="2">
        <v>464</v>
      </c>
      <c r="C522" s="2">
        <f>COUNTIF(Eingabe[Volle],HäufigsteErgebnisse[[#This Row],[Zahl]])</f>
        <v>0</v>
      </c>
      <c r="D522" s="2">
        <f>COUNTIF(Eingabe[Räumer],HäufigsteErgebnisse[[#This Row],[Zahl]])</f>
        <v>0</v>
      </c>
      <c r="E522" s="2">
        <f>COUNTIF(Eingabe[Fehler],HäufigsteErgebnisse[[#This Row],[Zahl]])</f>
        <v>0</v>
      </c>
      <c r="F522" s="2">
        <f>COUNTIF(Eingabe[S1],HäufigsteErgebnisse[[#This Row],[Zahl]])</f>
        <v>0</v>
      </c>
      <c r="G522" s="2">
        <f>COUNTIF(Eingabe[S2],HäufigsteErgebnisse[[#This Row],[Zahl]])</f>
        <v>0</v>
      </c>
      <c r="H522" s="2">
        <f>COUNTIF(Eingabe[S3],HäufigsteErgebnisse[[#This Row],[Zahl]])</f>
        <v>0</v>
      </c>
      <c r="I522" s="2">
        <f>COUNTIF(Eingabe[S4],HäufigsteErgebnisse[[#This Row],[Zahl]])</f>
        <v>0</v>
      </c>
      <c r="J522" s="2">
        <f>COUNTIF(Eingabe[S1],HäufigsteErgebnisse[[#This Row],[Zahl]])+COUNTIF(Eingabe[S2],HäufigsteErgebnisse[[#This Row],[Zahl]])+COUNTIF(Eingabe[S3],HäufigsteErgebnisse[[#This Row],[Zahl]])+COUNTIF(Eingabe[S4],HäufigsteErgebnisse[[#This Row],[Zahl]])</f>
        <v>0</v>
      </c>
      <c r="K522" s="2">
        <f>COUNTIF(Eingabe[GES],HäufigsteErgebnisse[[#This Row],[Zahl]])</f>
        <v>1</v>
      </c>
      <c r="L522" s="2">
        <f>HäufigsteErgebnisse[[#This Row],[Zahl]]</f>
        <v>464</v>
      </c>
    </row>
    <row r="523" spans="2:12" x14ac:dyDescent="0.3">
      <c r="B523" s="2">
        <v>465</v>
      </c>
      <c r="C523" s="2">
        <f>COUNTIF(Eingabe[Volle],HäufigsteErgebnisse[[#This Row],[Zahl]])</f>
        <v>0</v>
      </c>
      <c r="D523" s="2">
        <f>COUNTIF(Eingabe[Räumer],HäufigsteErgebnisse[[#This Row],[Zahl]])</f>
        <v>0</v>
      </c>
      <c r="E523" s="2">
        <f>COUNTIF(Eingabe[Fehler],HäufigsteErgebnisse[[#This Row],[Zahl]])</f>
        <v>0</v>
      </c>
      <c r="F523" s="2">
        <f>COUNTIF(Eingabe[S1],HäufigsteErgebnisse[[#This Row],[Zahl]])</f>
        <v>0</v>
      </c>
      <c r="G523" s="2">
        <f>COUNTIF(Eingabe[S2],HäufigsteErgebnisse[[#This Row],[Zahl]])</f>
        <v>0</v>
      </c>
      <c r="H523" s="2">
        <f>COUNTIF(Eingabe[S3],HäufigsteErgebnisse[[#This Row],[Zahl]])</f>
        <v>0</v>
      </c>
      <c r="I523" s="2">
        <f>COUNTIF(Eingabe[S4],HäufigsteErgebnisse[[#This Row],[Zahl]])</f>
        <v>0</v>
      </c>
      <c r="J523" s="2">
        <f>COUNTIF(Eingabe[S1],HäufigsteErgebnisse[[#This Row],[Zahl]])+COUNTIF(Eingabe[S2],HäufigsteErgebnisse[[#This Row],[Zahl]])+COUNTIF(Eingabe[S3],HäufigsteErgebnisse[[#This Row],[Zahl]])+COUNTIF(Eingabe[S4],HäufigsteErgebnisse[[#This Row],[Zahl]])</f>
        <v>0</v>
      </c>
      <c r="K523" s="2">
        <f>COUNTIF(Eingabe[GES],HäufigsteErgebnisse[[#This Row],[Zahl]])</f>
        <v>1</v>
      </c>
      <c r="L523" s="2">
        <f>HäufigsteErgebnisse[[#This Row],[Zahl]]</f>
        <v>465</v>
      </c>
    </row>
    <row r="524" spans="2:12" x14ac:dyDescent="0.3">
      <c r="B524" s="2">
        <v>466</v>
      </c>
      <c r="C524" s="2">
        <f>COUNTIF(Eingabe[Volle],HäufigsteErgebnisse[[#This Row],[Zahl]])</f>
        <v>0</v>
      </c>
      <c r="D524" s="2">
        <f>COUNTIF(Eingabe[Räumer],HäufigsteErgebnisse[[#This Row],[Zahl]])</f>
        <v>0</v>
      </c>
      <c r="E524" s="2">
        <f>COUNTIF(Eingabe[Fehler],HäufigsteErgebnisse[[#This Row],[Zahl]])</f>
        <v>0</v>
      </c>
      <c r="F524" s="2">
        <f>COUNTIF(Eingabe[S1],HäufigsteErgebnisse[[#This Row],[Zahl]])</f>
        <v>0</v>
      </c>
      <c r="G524" s="2">
        <f>COUNTIF(Eingabe[S2],HäufigsteErgebnisse[[#This Row],[Zahl]])</f>
        <v>0</v>
      </c>
      <c r="H524" s="2">
        <f>COUNTIF(Eingabe[S3],HäufigsteErgebnisse[[#This Row],[Zahl]])</f>
        <v>0</v>
      </c>
      <c r="I524" s="2">
        <f>COUNTIF(Eingabe[S4],HäufigsteErgebnisse[[#This Row],[Zahl]])</f>
        <v>0</v>
      </c>
      <c r="J524" s="2">
        <f>COUNTIF(Eingabe[S1],HäufigsteErgebnisse[[#This Row],[Zahl]])+COUNTIF(Eingabe[S2],HäufigsteErgebnisse[[#This Row],[Zahl]])+COUNTIF(Eingabe[S3],HäufigsteErgebnisse[[#This Row],[Zahl]])+COUNTIF(Eingabe[S4],HäufigsteErgebnisse[[#This Row],[Zahl]])</f>
        <v>0</v>
      </c>
      <c r="K524" s="2">
        <f>COUNTIF(Eingabe[GES],HäufigsteErgebnisse[[#This Row],[Zahl]])</f>
        <v>0</v>
      </c>
      <c r="L524" s="2">
        <f>HäufigsteErgebnisse[[#This Row],[Zahl]]</f>
        <v>466</v>
      </c>
    </row>
    <row r="525" spans="2:12" x14ac:dyDescent="0.3">
      <c r="B525" s="2">
        <v>467</v>
      </c>
      <c r="C525" s="2">
        <f>COUNTIF(Eingabe[Volle],HäufigsteErgebnisse[[#This Row],[Zahl]])</f>
        <v>0</v>
      </c>
      <c r="D525" s="2">
        <f>COUNTIF(Eingabe[Räumer],HäufigsteErgebnisse[[#This Row],[Zahl]])</f>
        <v>0</v>
      </c>
      <c r="E525" s="2">
        <f>COUNTIF(Eingabe[Fehler],HäufigsteErgebnisse[[#This Row],[Zahl]])</f>
        <v>0</v>
      </c>
      <c r="F525" s="2">
        <f>COUNTIF(Eingabe[S1],HäufigsteErgebnisse[[#This Row],[Zahl]])</f>
        <v>0</v>
      </c>
      <c r="G525" s="2">
        <f>COUNTIF(Eingabe[S2],HäufigsteErgebnisse[[#This Row],[Zahl]])</f>
        <v>0</v>
      </c>
      <c r="H525" s="2">
        <f>COUNTIF(Eingabe[S3],HäufigsteErgebnisse[[#This Row],[Zahl]])</f>
        <v>0</v>
      </c>
      <c r="I525" s="2">
        <f>COUNTIF(Eingabe[S4],HäufigsteErgebnisse[[#This Row],[Zahl]])</f>
        <v>0</v>
      </c>
      <c r="J525" s="2">
        <f>COUNTIF(Eingabe[S1],HäufigsteErgebnisse[[#This Row],[Zahl]])+COUNTIF(Eingabe[S2],HäufigsteErgebnisse[[#This Row],[Zahl]])+COUNTIF(Eingabe[S3],HäufigsteErgebnisse[[#This Row],[Zahl]])+COUNTIF(Eingabe[S4],HäufigsteErgebnisse[[#This Row],[Zahl]])</f>
        <v>0</v>
      </c>
      <c r="K525" s="2">
        <f>COUNTIF(Eingabe[GES],HäufigsteErgebnisse[[#This Row],[Zahl]])</f>
        <v>1</v>
      </c>
      <c r="L525" s="2">
        <f>HäufigsteErgebnisse[[#This Row],[Zahl]]</f>
        <v>467</v>
      </c>
    </row>
    <row r="526" spans="2:12" x14ac:dyDescent="0.3">
      <c r="B526" s="2">
        <v>468</v>
      </c>
      <c r="C526" s="2">
        <f>COUNTIF(Eingabe[Volle],HäufigsteErgebnisse[[#This Row],[Zahl]])</f>
        <v>0</v>
      </c>
      <c r="D526" s="2">
        <f>COUNTIF(Eingabe[Räumer],HäufigsteErgebnisse[[#This Row],[Zahl]])</f>
        <v>0</v>
      </c>
      <c r="E526" s="2">
        <f>COUNTIF(Eingabe[Fehler],HäufigsteErgebnisse[[#This Row],[Zahl]])</f>
        <v>0</v>
      </c>
      <c r="F526" s="2">
        <f>COUNTIF(Eingabe[S1],HäufigsteErgebnisse[[#This Row],[Zahl]])</f>
        <v>0</v>
      </c>
      <c r="G526" s="2">
        <f>COUNTIF(Eingabe[S2],HäufigsteErgebnisse[[#This Row],[Zahl]])</f>
        <v>0</v>
      </c>
      <c r="H526" s="2">
        <f>COUNTIF(Eingabe[S3],HäufigsteErgebnisse[[#This Row],[Zahl]])</f>
        <v>0</v>
      </c>
      <c r="I526" s="2">
        <f>COUNTIF(Eingabe[S4],HäufigsteErgebnisse[[#This Row],[Zahl]])</f>
        <v>0</v>
      </c>
      <c r="J526" s="2">
        <f>COUNTIF(Eingabe[S1],HäufigsteErgebnisse[[#This Row],[Zahl]])+COUNTIF(Eingabe[S2],HäufigsteErgebnisse[[#This Row],[Zahl]])+COUNTIF(Eingabe[S3],HäufigsteErgebnisse[[#This Row],[Zahl]])+COUNTIF(Eingabe[S4],HäufigsteErgebnisse[[#This Row],[Zahl]])</f>
        <v>0</v>
      </c>
      <c r="K526" s="2">
        <f>COUNTIF(Eingabe[GES],HäufigsteErgebnisse[[#This Row],[Zahl]])</f>
        <v>2</v>
      </c>
      <c r="L526" s="2">
        <f>HäufigsteErgebnisse[[#This Row],[Zahl]]</f>
        <v>468</v>
      </c>
    </row>
    <row r="527" spans="2:12" x14ac:dyDescent="0.3">
      <c r="B527" s="2">
        <v>469</v>
      </c>
      <c r="C527" s="2">
        <f>COUNTIF(Eingabe[Volle],HäufigsteErgebnisse[[#This Row],[Zahl]])</f>
        <v>0</v>
      </c>
      <c r="D527" s="2">
        <f>COUNTIF(Eingabe[Räumer],HäufigsteErgebnisse[[#This Row],[Zahl]])</f>
        <v>0</v>
      </c>
      <c r="E527" s="2">
        <f>COUNTIF(Eingabe[Fehler],HäufigsteErgebnisse[[#This Row],[Zahl]])</f>
        <v>0</v>
      </c>
      <c r="F527" s="2">
        <f>COUNTIF(Eingabe[S1],HäufigsteErgebnisse[[#This Row],[Zahl]])</f>
        <v>0</v>
      </c>
      <c r="G527" s="2">
        <f>COUNTIF(Eingabe[S2],HäufigsteErgebnisse[[#This Row],[Zahl]])</f>
        <v>0</v>
      </c>
      <c r="H527" s="2">
        <f>COUNTIF(Eingabe[S3],HäufigsteErgebnisse[[#This Row],[Zahl]])</f>
        <v>0</v>
      </c>
      <c r="I527" s="2">
        <f>COUNTIF(Eingabe[S4],HäufigsteErgebnisse[[#This Row],[Zahl]])</f>
        <v>0</v>
      </c>
      <c r="J527" s="2">
        <f>COUNTIF(Eingabe[S1],HäufigsteErgebnisse[[#This Row],[Zahl]])+COUNTIF(Eingabe[S2],HäufigsteErgebnisse[[#This Row],[Zahl]])+COUNTIF(Eingabe[S3],HäufigsteErgebnisse[[#This Row],[Zahl]])+COUNTIF(Eingabe[S4],HäufigsteErgebnisse[[#This Row],[Zahl]])</f>
        <v>0</v>
      </c>
      <c r="K527" s="2">
        <f>COUNTIF(Eingabe[GES],HäufigsteErgebnisse[[#This Row],[Zahl]])</f>
        <v>3</v>
      </c>
      <c r="L527" s="2">
        <f>HäufigsteErgebnisse[[#This Row],[Zahl]]</f>
        <v>469</v>
      </c>
    </row>
    <row r="528" spans="2:12" x14ac:dyDescent="0.3">
      <c r="B528" s="2">
        <v>470</v>
      </c>
      <c r="C528" s="2">
        <f>COUNTIF(Eingabe[Volle],HäufigsteErgebnisse[[#This Row],[Zahl]])</f>
        <v>0</v>
      </c>
      <c r="D528" s="2">
        <f>COUNTIF(Eingabe[Räumer],HäufigsteErgebnisse[[#This Row],[Zahl]])</f>
        <v>0</v>
      </c>
      <c r="E528" s="2">
        <f>COUNTIF(Eingabe[Fehler],HäufigsteErgebnisse[[#This Row],[Zahl]])</f>
        <v>0</v>
      </c>
      <c r="F528" s="2">
        <f>COUNTIF(Eingabe[S1],HäufigsteErgebnisse[[#This Row],[Zahl]])</f>
        <v>0</v>
      </c>
      <c r="G528" s="2">
        <f>COUNTIF(Eingabe[S2],HäufigsteErgebnisse[[#This Row],[Zahl]])</f>
        <v>0</v>
      </c>
      <c r="H528" s="2">
        <f>COUNTIF(Eingabe[S3],HäufigsteErgebnisse[[#This Row],[Zahl]])</f>
        <v>0</v>
      </c>
      <c r="I528" s="2">
        <f>COUNTIF(Eingabe[S4],HäufigsteErgebnisse[[#This Row],[Zahl]])</f>
        <v>0</v>
      </c>
      <c r="J528" s="2">
        <f>COUNTIF(Eingabe[S1],HäufigsteErgebnisse[[#This Row],[Zahl]])+COUNTIF(Eingabe[S2],HäufigsteErgebnisse[[#This Row],[Zahl]])+COUNTIF(Eingabe[S3],HäufigsteErgebnisse[[#This Row],[Zahl]])+COUNTIF(Eingabe[S4],HäufigsteErgebnisse[[#This Row],[Zahl]])</f>
        <v>0</v>
      </c>
      <c r="K528" s="2">
        <f>COUNTIF(Eingabe[GES],HäufigsteErgebnisse[[#This Row],[Zahl]])</f>
        <v>1</v>
      </c>
      <c r="L528" s="2">
        <f>HäufigsteErgebnisse[[#This Row],[Zahl]]</f>
        <v>470</v>
      </c>
    </row>
    <row r="529" spans="2:12" x14ac:dyDescent="0.3">
      <c r="B529" s="2">
        <v>471</v>
      </c>
      <c r="C529" s="2">
        <f>COUNTIF(Eingabe[Volle],HäufigsteErgebnisse[[#This Row],[Zahl]])</f>
        <v>0</v>
      </c>
      <c r="D529" s="2">
        <f>COUNTIF(Eingabe[Räumer],HäufigsteErgebnisse[[#This Row],[Zahl]])</f>
        <v>0</v>
      </c>
      <c r="E529" s="2">
        <f>COUNTIF(Eingabe[Fehler],HäufigsteErgebnisse[[#This Row],[Zahl]])</f>
        <v>0</v>
      </c>
      <c r="F529" s="2">
        <f>COUNTIF(Eingabe[S1],HäufigsteErgebnisse[[#This Row],[Zahl]])</f>
        <v>0</v>
      </c>
      <c r="G529" s="2">
        <f>COUNTIF(Eingabe[S2],HäufigsteErgebnisse[[#This Row],[Zahl]])</f>
        <v>0</v>
      </c>
      <c r="H529" s="2">
        <f>COUNTIF(Eingabe[S3],HäufigsteErgebnisse[[#This Row],[Zahl]])</f>
        <v>0</v>
      </c>
      <c r="I529" s="2">
        <f>COUNTIF(Eingabe[S4],HäufigsteErgebnisse[[#This Row],[Zahl]])</f>
        <v>0</v>
      </c>
      <c r="J529" s="2">
        <f>COUNTIF(Eingabe[S1],HäufigsteErgebnisse[[#This Row],[Zahl]])+COUNTIF(Eingabe[S2],HäufigsteErgebnisse[[#This Row],[Zahl]])+COUNTIF(Eingabe[S3],HäufigsteErgebnisse[[#This Row],[Zahl]])+COUNTIF(Eingabe[S4],HäufigsteErgebnisse[[#This Row],[Zahl]])</f>
        <v>0</v>
      </c>
      <c r="K529" s="2">
        <f>COUNTIF(Eingabe[GES],HäufigsteErgebnisse[[#This Row],[Zahl]])</f>
        <v>2</v>
      </c>
      <c r="L529" s="2">
        <f>HäufigsteErgebnisse[[#This Row],[Zahl]]</f>
        <v>471</v>
      </c>
    </row>
    <row r="530" spans="2:12" x14ac:dyDescent="0.3">
      <c r="B530" s="2">
        <v>472</v>
      </c>
      <c r="C530" s="2">
        <f>COUNTIF(Eingabe[Volle],HäufigsteErgebnisse[[#This Row],[Zahl]])</f>
        <v>0</v>
      </c>
      <c r="D530" s="2">
        <f>COUNTIF(Eingabe[Räumer],HäufigsteErgebnisse[[#This Row],[Zahl]])</f>
        <v>0</v>
      </c>
      <c r="E530" s="2">
        <f>COUNTIF(Eingabe[Fehler],HäufigsteErgebnisse[[#This Row],[Zahl]])</f>
        <v>0</v>
      </c>
      <c r="F530" s="2">
        <f>COUNTIF(Eingabe[S1],HäufigsteErgebnisse[[#This Row],[Zahl]])</f>
        <v>0</v>
      </c>
      <c r="G530" s="2">
        <f>COUNTIF(Eingabe[S2],HäufigsteErgebnisse[[#This Row],[Zahl]])</f>
        <v>0</v>
      </c>
      <c r="H530" s="2">
        <f>COUNTIF(Eingabe[S3],HäufigsteErgebnisse[[#This Row],[Zahl]])</f>
        <v>0</v>
      </c>
      <c r="I530" s="2">
        <f>COUNTIF(Eingabe[S4],HäufigsteErgebnisse[[#This Row],[Zahl]])</f>
        <v>0</v>
      </c>
      <c r="J530" s="2">
        <f>COUNTIF(Eingabe[S1],HäufigsteErgebnisse[[#This Row],[Zahl]])+COUNTIF(Eingabe[S2],HäufigsteErgebnisse[[#This Row],[Zahl]])+COUNTIF(Eingabe[S3],HäufigsteErgebnisse[[#This Row],[Zahl]])+COUNTIF(Eingabe[S4],HäufigsteErgebnisse[[#This Row],[Zahl]])</f>
        <v>0</v>
      </c>
      <c r="K530" s="2">
        <f>COUNTIF(Eingabe[GES],HäufigsteErgebnisse[[#This Row],[Zahl]])</f>
        <v>1</v>
      </c>
      <c r="L530" s="2">
        <f>HäufigsteErgebnisse[[#This Row],[Zahl]]</f>
        <v>472</v>
      </c>
    </row>
    <row r="531" spans="2:12" x14ac:dyDescent="0.3">
      <c r="B531" s="2">
        <v>473</v>
      </c>
      <c r="C531" s="2">
        <f>COUNTIF(Eingabe[Volle],HäufigsteErgebnisse[[#This Row],[Zahl]])</f>
        <v>0</v>
      </c>
      <c r="D531" s="2">
        <f>COUNTIF(Eingabe[Räumer],HäufigsteErgebnisse[[#This Row],[Zahl]])</f>
        <v>0</v>
      </c>
      <c r="E531" s="2">
        <f>COUNTIF(Eingabe[Fehler],HäufigsteErgebnisse[[#This Row],[Zahl]])</f>
        <v>0</v>
      </c>
      <c r="F531" s="2">
        <f>COUNTIF(Eingabe[S1],HäufigsteErgebnisse[[#This Row],[Zahl]])</f>
        <v>0</v>
      </c>
      <c r="G531" s="2">
        <f>COUNTIF(Eingabe[S2],HäufigsteErgebnisse[[#This Row],[Zahl]])</f>
        <v>0</v>
      </c>
      <c r="H531" s="2">
        <f>COUNTIF(Eingabe[S3],HäufigsteErgebnisse[[#This Row],[Zahl]])</f>
        <v>0</v>
      </c>
      <c r="I531" s="2">
        <f>COUNTIF(Eingabe[S4],HäufigsteErgebnisse[[#This Row],[Zahl]])</f>
        <v>0</v>
      </c>
      <c r="J531" s="2">
        <f>COUNTIF(Eingabe[S1],HäufigsteErgebnisse[[#This Row],[Zahl]])+COUNTIF(Eingabe[S2],HäufigsteErgebnisse[[#This Row],[Zahl]])+COUNTIF(Eingabe[S3],HäufigsteErgebnisse[[#This Row],[Zahl]])+COUNTIF(Eingabe[S4],HäufigsteErgebnisse[[#This Row],[Zahl]])</f>
        <v>0</v>
      </c>
      <c r="K531" s="2">
        <f>COUNTIF(Eingabe[GES],HäufigsteErgebnisse[[#This Row],[Zahl]])</f>
        <v>0</v>
      </c>
      <c r="L531" s="2">
        <f>HäufigsteErgebnisse[[#This Row],[Zahl]]</f>
        <v>473</v>
      </c>
    </row>
    <row r="532" spans="2:12" x14ac:dyDescent="0.3">
      <c r="B532" s="2">
        <v>474</v>
      </c>
      <c r="C532" s="2">
        <f>COUNTIF(Eingabe[Volle],HäufigsteErgebnisse[[#This Row],[Zahl]])</f>
        <v>0</v>
      </c>
      <c r="D532" s="2">
        <f>COUNTIF(Eingabe[Räumer],HäufigsteErgebnisse[[#This Row],[Zahl]])</f>
        <v>0</v>
      </c>
      <c r="E532" s="2">
        <f>COUNTIF(Eingabe[Fehler],HäufigsteErgebnisse[[#This Row],[Zahl]])</f>
        <v>0</v>
      </c>
      <c r="F532" s="2">
        <f>COUNTIF(Eingabe[S1],HäufigsteErgebnisse[[#This Row],[Zahl]])</f>
        <v>0</v>
      </c>
      <c r="G532" s="2">
        <f>COUNTIF(Eingabe[S2],HäufigsteErgebnisse[[#This Row],[Zahl]])</f>
        <v>0</v>
      </c>
      <c r="H532" s="2">
        <f>COUNTIF(Eingabe[S3],HäufigsteErgebnisse[[#This Row],[Zahl]])</f>
        <v>0</v>
      </c>
      <c r="I532" s="2">
        <f>COUNTIF(Eingabe[S4],HäufigsteErgebnisse[[#This Row],[Zahl]])</f>
        <v>0</v>
      </c>
      <c r="J532" s="2">
        <f>COUNTIF(Eingabe[S1],HäufigsteErgebnisse[[#This Row],[Zahl]])+COUNTIF(Eingabe[S2],HäufigsteErgebnisse[[#This Row],[Zahl]])+COUNTIF(Eingabe[S3],HäufigsteErgebnisse[[#This Row],[Zahl]])+COUNTIF(Eingabe[S4],HäufigsteErgebnisse[[#This Row],[Zahl]])</f>
        <v>0</v>
      </c>
      <c r="K532" s="2">
        <f>COUNTIF(Eingabe[GES],HäufigsteErgebnisse[[#This Row],[Zahl]])</f>
        <v>0</v>
      </c>
      <c r="L532" s="2">
        <f>HäufigsteErgebnisse[[#This Row],[Zahl]]</f>
        <v>474</v>
      </c>
    </row>
    <row r="533" spans="2:12" x14ac:dyDescent="0.3">
      <c r="B533" s="2">
        <v>475</v>
      </c>
      <c r="C533" s="2">
        <f>COUNTIF(Eingabe[Volle],HäufigsteErgebnisse[[#This Row],[Zahl]])</f>
        <v>0</v>
      </c>
      <c r="D533" s="2">
        <f>COUNTIF(Eingabe[Räumer],HäufigsteErgebnisse[[#This Row],[Zahl]])</f>
        <v>0</v>
      </c>
      <c r="E533" s="2">
        <f>COUNTIF(Eingabe[Fehler],HäufigsteErgebnisse[[#This Row],[Zahl]])</f>
        <v>0</v>
      </c>
      <c r="F533" s="2">
        <f>COUNTIF(Eingabe[S1],HäufigsteErgebnisse[[#This Row],[Zahl]])</f>
        <v>0</v>
      </c>
      <c r="G533" s="2">
        <f>COUNTIF(Eingabe[S2],HäufigsteErgebnisse[[#This Row],[Zahl]])</f>
        <v>0</v>
      </c>
      <c r="H533" s="2">
        <f>COUNTIF(Eingabe[S3],HäufigsteErgebnisse[[#This Row],[Zahl]])</f>
        <v>0</v>
      </c>
      <c r="I533" s="2">
        <f>COUNTIF(Eingabe[S4],HäufigsteErgebnisse[[#This Row],[Zahl]])</f>
        <v>0</v>
      </c>
      <c r="J533" s="2">
        <f>COUNTIF(Eingabe[S1],HäufigsteErgebnisse[[#This Row],[Zahl]])+COUNTIF(Eingabe[S2],HäufigsteErgebnisse[[#This Row],[Zahl]])+COUNTIF(Eingabe[S3],HäufigsteErgebnisse[[#This Row],[Zahl]])+COUNTIF(Eingabe[S4],HäufigsteErgebnisse[[#This Row],[Zahl]])</f>
        <v>0</v>
      </c>
      <c r="K533" s="2">
        <f>COUNTIF(Eingabe[GES],HäufigsteErgebnisse[[#This Row],[Zahl]])</f>
        <v>1</v>
      </c>
      <c r="L533" s="2">
        <f>HäufigsteErgebnisse[[#This Row],[Zahl]]</f>
        <v>475</v>
      </c>
    </row>
    <row r="534" spans="2:12" x14ac:dyDescent="0.3">
      <c r="B534" s="2">
        <v>476</v>
      </c>
      <c r="C534" s="2">
        <f>COUNTIF(Eingabe[Volle],HäufigsteErgebnisse[[#This Row],[Zahl]])</f>
        <v>0</v>
      </c>
      <c r="D534" s="2">
        <f>COUNTIF(Eingabe[Räumer],HäufigsteErgebnisse[[#This Row],[Zahl]])</f>
        <v>0</v>
      </c>
      <c r="E534" s="2">
        <f>COUNTIF(Eingabe[Fehler],HäufigsteErgebnisse[[#This Row],[Zahl]])</f>
        <v>0</v>
      </c>
      <c r="F534" s="2">
        <f>COUNTIF(Eingabe[S1],HäufigsteErgebnisse[[#This Row],[Zahl]])</f>
        <v>0</v>
      </c>
      <c r="G534" s="2">
        <f>COUNTIF(Eingabe[S2],HäufigsteErgebnisse[[#This Row],[Zahl]])</f>
        <v>0</v>
      </c>
      <c r="H534" s="2">
        <f>COUNTIF(Eingabe[S3],HäufigsteErgebnisse[[#This Row],[Zahl]])</f>
        <v>0</v>
      </c>
      <c r="I534" s="2">
        <f>COUNTIF(Eingabe[S4],HäufigsteErgebnisse[[#This Row],[Zahl]])</f>
        <v>0</v>
      </c>
      <c r="J534" s="2">
        <f>COUNTIF(Eingabe[S1],HäufigsteErgebnisse[[#This Row],[Zahl]])+COUNTIF(Eingabe[S2],HäufigsteErgebnisse[[#This Row],[Zahl]])+COUNTIF(Eingabe[S3],HäufigsteErgebnisse[[#This Row],[Zahl]])+COUNTIF(Eingabe[S4],HäufigsteErgebnisse[[#This Row],[Zahl]])</f>
        <v>0</v>
      </c>
      <c r="K534" s="2">
        <f>COUNTIF(Eingabe[GES],HäufigsteErgebnisse[[#This Row],[Zahl]])</f>
        <v>0</v>
      </c>
      <c r="L534" s="2">
        <f>HäufigsteErgebnisse[[#This Row],[Zahl]]</f>
        <v>476</v>
      </c>
    </row>
    <row r="535" spans="2:12" x14ac:dyDescent="0.3">
      <c r="B535" s="2">
        <v>477</v>
      </c>
      <c r="C535" s="2">
        <f>COUNTIF(Eingabe[Volle],HäufigsteErgebnisse[[#This Row],[Zahl]])</f>
        <v>0</v>
      </c>
      <c r="D535" s="2">
        <f>COUNTIF(Eingabe[Räumer],HäufigsteErgebnisse[[#This Row],[Zahl]])</f>
        <v>0</v>
      </c>
      <c r="E535" s="2">
        <f>COUNTIF(Eingabe[Fehler],HäufigsteErgebnisse[[#This Row],[Zahl]])</f>
        <v>0</v>
      </c>
      <c r="F535" s="2">
        <f>COUNTIF(Eingabe[S1],HäufigsteErgebnisse[[#This Row],[Zahl]])</f>
        <v>0</v>
      </c>
      <c r="G535" s="2">
        <f>COUNTIF(Eingabe[S2],HäufigsteErgebnisse[[#This Row],[Zahl]])</f>
        <v>0</v>
      </c>
      <c r="H535" s="2">
        <f>COUNTIF(Eingabe[S3],HäufigsteErgebnisse[[#This Row],[Zahl]])</f>
        <v>0</v>
      </c>
      <c r="I535" s="2">
        <f>COUNTIF(Eingabe[S4],HäufigsteErgebnisse[[#This Row],[Zahl]])</f>
        <v>0</v>
      </c>
      <c r="J535" s="2">
        <f>COUNTIF(Eingabe[S1],HäufigsteErgebnisse[[#This Row],[Zahl]])+COUNTIF(Eingabe[S2],HäufigsteErgebnisse[[#This Row],[Zahl]])+COUNTIF(Eingabe[S3],HäufigsteErgebnisse[[#This Row],[Zahl]])+COUNTIF(Eingabe[S4],HäufigsteErgebnisse[[#This Row],[Zahl]])</f>
        <v>0</v>
      </c>
      <c r="K535" s="2">
        <f>COUNTIF(Eingabe[GES],HäufigsteErgebnisse[[#This Row],[Zahl]])</f>
        <v>3</v>
      </c>
      <c r="L535" s="2">
        <f>HäufigsteErgebnisse[[#This Row],[Zahl]]</f>
        <v>477</v>
      </c>
    </row>
    <row r="536" spans="2:12" x14ac:dyDescent="0.3">
      <c r="B536" s="2">
        <v>478</v>
      </c>
      <c r="C536" s="2">
        <f>COUNTIF(Eingabe[Volle],HäufigsteErgebnisse[[#This Row],[Zahl]])</f>
        <v>0</v>
      </c>
      <c r="D536" s="2">
        <f>COUNTIF(Eingabe[Räumer],HäufigsteErgebnisse[[#This Row],[Zahl]])</f>
        <v>0</v>
      </c>
      <c r="E536" s="2">
        <f>COUNTIF(Eingabe[Fehler],HäufigsteErgebnisse[[#This Row],[Zahl]])</f>
        <v>0</v>
      </c>
      <c r="F536" s="2">
        <f>COUNTIF(Eingabe[S1],HäufigsteErgebnisse[[#This Row],[Zahl]])</f>
        <v>0</v>
      </c>
      <c r="G536" s="2">
        <f>COUNTIF(Eingabe[S2],HäufigsteErgebnisse[[#This Row],[Zahl]])</f>
        <v>0</v>
      </c>
      <c r="H536" s="2">
        <f>COUNTIF(Eingabe[S3],HäufigsteErgebnisse[[#This Row],[Zahl]])</f>
        <v>0</v>
      </c>
      <c r="I536" s="2">
        <f>COUNTIF(Eingabe[S4],HäufigsteErgebnisse[[#This Row],[Zahl]])</f>
        <v>0</v>
      </c>
      <c r="J536" s="2">
        <f>COUNTIF(Eingabe[S1],HäufigsteErgebnisse[[#This Row],[Zahl]])+COUNTIF(Eingabe[S2],HäufigsteErgebnisse[[#This Row],[Zahl]])+COUNTIF(Eingabe[S3],HäufigsteErgebnisse[[#This Row],[Zahl]])+COUNTIF(Eingabe[S4],HäufigsteErgebnisse[[#This Row],[Zahl]])</f>
        <v>0</v>
      </c>
      <c r="K536" s="2">
        <f>COUNTIF(Eingabe[GES],HäufigsteErgebnisse[[#This Row],[Zahl]])</f>
        <v>0</v>
      </c>
      <c r="L536" s="2">
        <f>HäufigsteErgebnisse[[#This Row],[Zahl]]</f>
        <v>478</v>
      </c>
    </row>
    <row r="537" spans="2:12" x14ac:dyDescent="0.3">
      <c r="B537" s="2">
        <v>479</v>
      </c>
      <c r="C537" s="2">
        <f>COUNTIF(Eingabe[Volle],HäufigsteErgebnisse[[#This Row],[Zahl]])</f>
        <v>0</v>
      </c>
      <c r="D537" s="2">
        <f>COUNTIF(Eingabe[Räumer],HäufigsteErgebnisse[[#This Row],[Zahl]])</f>
        <v>0</v>
      </c>
      <c r="E537" s="2">
        <f>COUNTIF(Eingabe[Fehler],HäufigsteErgebnisse[[#This Row],[Zahl]])</f>
        <v>0</v>
      </c>
      <c r="F537" s="2">
        <f>COUNTIF(Eingabe[S1],HäufigsteErgebnisse[[#This Row],[Zahl]])</f>
        <v>0</v>
      </c>
      <c r="G537" s="2">
        <f>COUNTIF(Eingabe[S2],HäufigsteErgebnisse[[#This Row],[Zahl]])</f>
        <v>0</v>
      </c>
      <c r="H537" s="2">
        <f>COUNTIF(Eingabe[S3],HäufigsteErgebnisse[[#This Row],[Zahl]])</f>
        <v>0</v>
      </c>
      <c r="I537" s="2">
        <f>COUNTIF(Eingabe[S4],HäufigsteErgebnisse[[#This Row],[Zahl]])</f>
        <v>0</v>
      </c>
      <c r="J537" s="2">
        <f>COUNTIF(Eingabe[S1],HäufigsteErgebnisse[[#This Row],[Zahl]])+COUNTIF(Eingabe[S2],HäufigsteErgebnisse[[#This Row],[Zahl]])+COUNTIF(Eingabe[S3],HäufigsteErgebnisse[[#This Row],[Zahl]])+COUNTIF(Eingabe[S4],HäufigsteErgebnisse[[#This Row],[Zahl]])</f>
        <v>0</v>
      </c>
      <c r="K537" s="2">
        <f>COUNTIF(Eingabe[GES],HäufigsteErgebnisse[[#This Row],[Zahl]])</f>
        <v>1</v>
      </c>
      <c r="L537" s="2">
        <f>HäufigsteErgebnisse[[#This Row],[Zahl]]</f>
        <v>479</v>
      </c>
    </row>
    <row r="538" spans="2:12" x14ac:dyDescent="0.3">
      <c r="B538" s="2">
        <v>480</v>
      </c>
      <c r="C538" s="2">
        <f>COUNTIF(Eingabe[Volle],HäufigsteErgebnisse[[#This Row],[Zahl]])</f>
        <v>0</v>
      </c>
      <c r="D538" s="2">
        <f>COUNTIF(Eingabe[Räumer],HäufigsteErgebnisse[[#This Row],[Zahl]])</f>
        <v>0</v>
      </c>
      <c r="E538" s="2">
        <f>COUNTIF(Eingabe[Fehler],HäufigsteErgebnisse[[#This Row],[Zahl]])</f>
        <v>0</v>
      </c>
      <c r="F538" s="2">
        <f>COUNTIF(Eingabe[S1],HäufigsteErgebnisse[[#This Row],[Zahl]])</f>
        <v>0</v>
      </c>
      <c r="G538" s="2">
        <f>COUNTIF(Eingabe[S2],HäufigsteErgebnisse[[#This Row],[Zahl]])</f>
        <v>0</v>
      </c>
      <c r="H538" s="2">
        <f>COUNTIF(Eingabe[S3],HäufigsteErgebnisse[[#This Row],[Zahl]])</f>
        <v>0</v>
      </c>
      <c r="I538" s="2">
        <f>COUNTIF(Eingabe[S4],HäufigsteErgebnisse[[#This Row],[Zahl]])</f>
        <v>0</v>
      </c>
      <c r="J538" s="2">
        <f>COUNTIF(Eingabe[S1],HäufigsteErgebnisse[[#This Row],[Zahl]])+COUNTIF(Eingabe[S2],HäufigsteErgebnisse[[#This Row],[Zahl]])+COUNTIF(Eingabe[S3],HäufigsteErgebnisse[[#This Row],[Zahl]])+COUNTIF(Eingabe[S4],HäufigsteErgebnisse[[#This Row],[Zahl]])</f>
        <v>0</v>
      </c>
      <c r="K538" s="2">
        <f>COUNTIF(Eingabe[GES],HäufigsteErgebnisse[[#This Row],[Zahl]])</f>
        <v>2</v>
      </c>
      <c r="L538" s="2">
        <f>HäufigsteErgebnisse[[#This Row],[Zahl]]</f>
        <v>480</v>
      </c>
    </row>
    <row r="539" spans="2:12" x14ac:dyDescent="0.3">
      <c r="B539" s="2">
        <v>481</v>
      </c>
      <c r="C539" s="2">
        <f>COUNTIF(Eingabe[Volle],HäufigsteErgebnisse[[#This Row],[Zahl]])</f>
        <v>0</v>
      </c>
      <c r="D539" s="2">
        <f>COUNTIF(Eingabe[Räumer],HäufigsteErgebnisse[[#This Row],[Zahl]])</f>
        <v>0</v>
      </c>
      <c r="E539" s="2">
        <f>COUNTIF(Eingabe[Fehler],HäufigsteErgebnisse[[#This Row],[Zahl]])</f>
        <v>0</v>
      </c>
      <c r="F539" s="2">
        <f>COUNTIF(Eingabe[S1],HäufigsteErgebnisse[[#This Row],[Zahl]])</f>
        <v>0</v>
      </c>
      <c r="G539" s="2">
        <f>COUNTIF(Eingabe[S2],HäufigsteErgebnisse[[#This Row],[Zahl]])</f>
        <v>0</v>
      </c>
      <c r="H539" s="2">
        <f>COUNTIF(Eingabe[S3],HäufigsteErgebnisse[[#This Row],[Zahl]])</f>
        <v>0</v>
      </c>
      <c r="I539" s="2">
        <f>COUNTIF(Eingabe[S4],HäufigsteErgebnisse[[#This Row],[Zahl]])</f>
        <v>0</v>
      </c>
      <c r="J539" s="2">
        <f>COUNTIF(Eingabe[S1],HäufigsteErgebnisse[[#This Row],[Zahl]])+COUNTIF(Eingabe[S2],HäufigsteErgebnisse[[#This Row],[Zahl]])+COUNTIF(Eingabe[S3],HäufigsteErgebnisse[[#This Row],[Zahl]])+COUNTIF(Eingabe[S4],HäufigsteErgebnisse[[#This Row],[Zahl]])</f>
        <v>0</v>
      </c>
      <c r="K539" s="2">
        <f>COUNTIF(Eingabe[GES],HäufigsteErgebnisse[[#This Row],[Zahl]])</f>
        <v>0</v>
      </c>
      <c r="L539" s="2">
        <f>HäufigsteErgebnisse[[#This Row],[Zahl]]</f>
        <v>481</v>
      </c>
    </row>
    <row r="540" spans="2:12" x14ac:dyDescent="0.3">
      <c r="B540" s="2">
        <v>482</v>
      </c>
      <c r="C540" s="2">
        <f>COUNTIF(Eingabe[Volle],HäufigsteErgebnisse[[#This Row],[Zahl]])</f>
        <v>0</v>
      </c>
      <c r="D540" s="2">
        <f>COUNTIF(Eingabe[Räumer],HäufigsteErgebnisse[[#This Row],[Zahl]])</f>
        <v>0</v>
      </c>
      <c r="E540" s="2">
        <f>COUNTIF(Eingabe[Fehler],HäufigsteErgebnisse[[#This Row],[Zahl]])</f>
        <v>0</v>
      </c>
      <c r="F540" s="2">
        <f>COUNTIF(Eingabe[S1],HäufigsteErgebnisse[[#This Row],[Zahl]])</f>
        <v>0</v>
      </c>
      <c r="G540" s="2">
        <f>COUNTIF(Eingabe[S2],HäufigsteErgebnisse[[#This Row],[Zahl]])</f>
        <v>0</v>
      </c>
      <c r="H540" s="2">
        <f>COUNTIF(Eingabe[S3],HäufigsteErgebnisse[[#This Row],[Zahl]])</f>
        <v>0</v>
      </c>
      <c r="I540" s="2">
        <f>COUNTIF(Eingabe[S4],HäufigsteErgebnisse[[#This Row],[Zahl]])</f>
        <v>0</v>
      </c>
      <c r="J540" s="2">
        <f>COUNTIF(Eingabe[S1],HäufigsteErgebnisse[[#This Row],[Zahl]])+COUNTIF(Eingabe[S2],HäufigsteErgebnisse[[#This Row],[Zahl]])+COUNTIF(Eingabe[S3],HäufigsteErgebnisse[[#This Row],[Zahl]])+COUNTIF(Eingabe[S4],HäufigsteErgebnisse[[#This Row],[Zahl]])</f>
        <v>0</v>
      </c>
      <c r="K540" s="2">
        <f>COUNTIF(Eingabe[GES],HäufigsteErgebnisse[[#This Row],[Zahl]])</f>
        <v>0</v>
      </c>
      <c r="L540" s="2">
        <f>HäufigsteErgebnisse[[#This Row],[Zahl]]</f>
        <v>482</v>
      </c>
    </row>
    <row r="541" spans="2:12" x14ac:dyDescent="0.3">
      <c r="B541" s="2">
        <v>483</v>
      </c>
      <c r="C541" s="2">
        <f>COUNTIF(Eingabe[Volle],HäufigsteErgebnisse[[#This Row],[Zahl]])</f>
        <v>0</v>
      </c>
      <c r="D541" s="2">
        <f>COUNTIF(Eingabe[Räumer],HäufigsteErgebnisse[[#This Row],[Zahl]])</f>
        <v>0</v>
      </c>
      <c r="E541" s="2">
        <f>COUNTIF(Eingabe[Fehler],HäufigsteErgebnisse[[#This Row],[Zahl]])</f>
        <v>0</v>
      </c>
      <c r="F541" s="2">
        <f>COUNTIF(Eingabe[S1],HäufigsteErgebnisse[[#This Row],[Zahl]])</f>
        <v>0</v>
      </c>
      <c r="G541" s="2">
        <f>COUNTIF(Eingabe[S2],HäufigsteErgebnisse[[#This Row],[Zahl]])</f>
        <v>0</v>
      </c>
      <c r="H541" s="2">
        <f>COUNTIF(Eingabe[S3],HäufigsteErgebnisse[[#This Row],[Zahl]])</f>
        <v>0</v>
      </c>
      <c r="I541" s="2">
        <f>COUNTIF(Eingabe[S4],HäufigsteErgebnisse[[#This Row],[Zahl]])</f>
        <v>0</v>
      </c>
      <c r="J541" s="2">
        <f>COUNTIF(Eingabe[S1],HäufigsteErgebnisse[[#This Row],[Zahl]])+COUNTIF(Eingabe[S2],HäufigsteErgebnisse[[#This Row],[Zahl]])+COUNTIF(Eingabe[S3],HäufigsteErgebnisse[[#This Row],[Zahl]])+COUNTIF(Eingabe[S4],HäufigsteErgebnisse[[#This Row],[Zahl]])</f>
        <v>0</v>
      </c>
      <c r="K541" s="2">
        <f>COUNTIF(Eingabe[GES],HäufigsteErgebnisse[[#This Row],[Zahl]])</f>
        <v>2</v>
      </c>
      <c r="L541" s="2">
        <f>HäufigsteErgebnisse[[#This Row],[Zahl]]</f>
        <v>483</v>
      </c>
    </row>
    <row r="542" spans="2:12" x14ac:dyDescent="0.3">
      <c r="B542" s="2">
        <v>484</v>
      </c>
      <c r="C542" s="2">
        <f>COUNTIF(Eingabe[Volle],HäufigsteErgebnisse[[#This Row],[Zahl]])</f>
        <v>0</v>
      </c>
      <c r="D542" s="2">
        <f>COUNTIF(Eingabe[Räumer],HäufigsteErgebnisse[[#This Row],[Zahl]])</f>
        <v>0</v>
      </c>
      <c r="E542" s="2">
        <f>COUNTIF(Eingabe[Fehler],HäufigsteErgebnisse[[#This Row],[Zahl]])</f>
        <v>0</v>
      </c>
      <c r="F542" s="2">
        <f>COUNTIF(Eingabe[S1],HäufigsteErgebnisse[[#This Row],[Zahl]])</f>
        <v>0</v>
      </c>
      <c r="G542" s="2">
        <f>COUNTIF(Eingabe[S2],HäufigsteErgebnisse[[#This Row],[Zahl]])</f>
        <v>0</v>
      </c>
      <c r="H542" s="2">
        <f>COUNTIF(Eingabe[S3],HäufigsteErgebnisse[[#This Row],[Zahl]])</f>
        <v>0</v>
      </c>
      <c r="I542" s="2">
        <f>COUNTIF(Eingabe[S4],HäufigsteErgebnisse[[#This Row],[Zahl]])</f>
        <v>0</v>
      </c>
      <c r="J542" s="2">
        <f>COUNTIF(Eingabe[S1],HäufigsteErgebnisse[[#This Row],[Zahl]])+COUNTIF(Eingabe[S2],HäufigsteErgebnisse[[#This Row],[Zahl]])+COUNTIF(Eingabe[S3],HäufigsteErgebnisse[[#This Row],[Zahl]])+COUNTIF(Eingabe[S4],HäufigsteErgebnisse[[#This Row],[Zahl]])</f>
        <v>0</v>
      </c>
      <c r="K542" s="2">
        <f>COUNTIF(Eingabe[GES],HäufigsteErgebnisse[[#This Row],[Zahl]])</f>
        <v>1</v>
      </c>
      <c r="L542" s="2">
        <f>HäufigsteErgebnisse[[#This Row],[Zahl]]</f>
        <v>484</v>
      </c>
    </row>
    <row r="543" spans="2:12" x14ac:dyDescent="0.3">
      <c r="B543" s="2">
        <v>485</v>
      </c>
      <c r="C543" s="2">
        <f>COUNTIF(Eingabe[Volle],HäufigsteErgebnisse[[#This Row],[Zahl]])</f>
        <v>0</v>
      </c>
      <c r="D543" s="2">
        <f>COUNTIF(Eingabe[Räumer],HäufigsteErgebnisse[[#This Row],[Zahl]])</f>
        <v>0</v>
      </c>
      <c r="E543" s="2">
        <f>COUNTIF(Eingabe[Fehler],HäufigsteErgebnisse[[#This Row],[Zahl]])</f>
        <v>0</v>
      </c>
      <c r="F543" s="2">
        <f>COUNTIF(Eingabe[S1],HäufigsteErgebnisse[[#This Row],[Zahl]])</f>
        <v>0</v>
      </c>
      <c r="G543" s="2">
        <f>COUNTIF(Eingabe[S2],HäufigsteErgebnisse[[#This Row],[Zahl]])</f>
        <v>0</v>
      </c>
      <c r="H543" s="2">
        <f>COUNTIF(Eingabe[S3],HäufigsteErgebnisse[[#This Row],[Zahl]])</f>
        <v>0</v>
      </c>
      <c r="I543" s="2">
        <f>COUNTIF(Eingabe[S4],HäufigsteErgebnisse[[#This Row],[Zahl]])</f>
        <v>0</v>
      </c>
      <c r="J543" s="2">
        <f>COUNTIF(Eingabe[S1],HäufigsteErgebnisse[[#This Row],[Zahl]])+COUNTIF(Eingabe[S2],HäufigsteErgebnisse[[#This Row],[Zahl]])+COUNTIF(Eingabe[S3],HäufigsteErgebnisse[[#This Row],[Zahl]])+COUNTIF(Eingabe[S4],HäufigsteErgebnisse[[#This Row],[Zahl]])</f>
        <v>0</v>
      </c>
      <c r="K543" s="2">
        <f>COUNTIF(Eingabe[GES],HäufigsteErgebnisse[[#This Row],[Zahl]])</f>
        <v>1</v>
      </c>
      <c r="L543" s="2">
        <f>HäufigsteErgebnisse[[#This Row],[Zahl]]</f>
        <v>485</v>
      </c>
    </row>
    <row r="544" spans="2:12" x14ac:dyDescent="0.3">
      <c r="B544" s="2">
        <v>486</v>
      </c>
      <c r="C544" s="2">
        <f>COUNTIF(Eingabe[Volle],HäufigsteErgebnisse[[#This Row],[Zahl]])</f>
        <v>0</v>
      </c>
      <c r="D544" s="2">
        <f>COUNTIF(Eingabe[Räumer],HäufigsteErgebnisse[[#This Row],[Zahl]])</f>
        <v>0</v>
      </c>
      <c r="E544" s="2">
        <f>COUNTIF(Eingabe[Fehler],HäufigsteErgebnisse[[#This Row],[Zahl]])</f>
        <v>0</v>
      </c>
      <c r="F544" s="2">
        <f>COUNTIF(Eingabe[S1],HäufigsteErgebnisse[[#This Row],[Zahl]])</f>
        <v>0</v>
      </c>
      <c r="G544" s="2">
        <f>COUNTIF(Eingabe[S2],HäufigsteErgebnisse[[#This Row],[Zahl]])</f>
        <v>0</v>
      </c>
      <c r="H544" s="2">
        <f>COUNTIF(Eingabe[S3],HäufigsteErgebnisse[[#This Row],[Zahl]])</f>
        <v>0</v>
      </c>
      <c r="I544" s="2">
        <f>COUNTIF(Eingabe[S4],HäufigsteErgebnisse[[#This Row],[Zahl]])</f>
        <v>0</v>
      </c>
      <c r="J544" s="2">
        <f>COUNTIF(Eingabe[S1],HäufigsteErgebnisse[[#This Row],[Zahl]])+COUNTIF(Eingabe[S2],HäufigsteErgebnisse[[#This Row],[Zahl]])+COUNTIF(Eingabe[S3],HäufigsteErgebnisse[[#This Row],[Zahl]])+COUNTIF(Eingabe[S4],HäufigsteErgebnisse[[#This Row],[Zahl]])</f>
        <v>0</v>
      </c>
      <c r="K544" s="2">
        <f>COUNTIF(Eingabe[GES],HäufigsteErgebnisse[[#This Row],[Zahl]])</f>
        <v>0</v>
      </c>
      <c r="L544" s="2">
        <f>HäufigsteErgebnisse[[#This Row],[Zahl]]</f>
        <v>486</v>
      </c>
    </row>
    <row r="545" spans="2:12" x14ac:dyDescent="0.3">
      <c r="B545" s="2">
        <v>487</v>
      </c>
      <c r="C545" s="2">
        <f>COUNTIF(Eingabe[Volle],HäufigsteErgebnisse[[#This Row],[Zahl]])</f>
        <v>0</v>
      </c>
      <c r="D545" s="2">
        <f>COUNTIF(Eingabe[Räumer],HäufigsteErgebnisse[[#This Row],[Zahl]])</f>
        <v>0</v>
      </c>
      <c r="E545" s="2">
        <f>COUNTIF(Eingabe[Fehler],HäufigsteErgebnisse[[#This Row],[Zahl]])</f>
        <v>0</v>
      </c>
      <c r="F545" s="2">
        <f>COUNTIF(Eingabe[S1],HäufigsteErgebnisse[[#This Row],[Zahl]])</f>
        <v>0</v>
      </c>
      <c r="G545" s="2">
        <f>COUNTIF(Eingabe[S2],HäufigsteErgebnisse[[#This Row],[Zahl]])</f>
        <v>0</v>
      </c>
      <c r="H545" s="2">
        <f>COUNTIF(Eingabe[S3],HäufigsteErgebnisse[[#This Row],[Zahl]])</f>
        <v>0</v>
      </c>
      <c r="I545" s="2">
        <f>COUNTIF(Eingabe[S4],HäufigsteErgebnisse[[#This Row],[Zahl]])</f>
        <v>0</v>
      </c>
      <c r="J545" s="2">
        <f>COUNTIF(Eingabe[S1],HäufigsteErgebnisse[[#This Row],[Zahl]])+COUNTIF(Eingabe[S2],HäufigsteErgebnisse[[#This Row],[Zahl]])+COUNTIF(Eingabe[S3],HäufigsteErgebnisse[[#This Row],[Zahl]])+COUNTIF(Eingabe[S4],HäufigsteErgebnisse[[#This Row],[Zahl]])</f>
        <v>0</v>
      </c>
      <c r="K545" s="2">
        <f>COUNTIF(Eingabe[GES],HäufigsteErgebnisse[[#This Row],[Zahl]])</f>
        <v>2</v>
      </c>
      <c r="L545" s="2">
        <f>HäufigsteErgebnisse[[#This Row],[Zahl]]</f>
        <v>487</v>
      </c>
    </row>
    <row r="546" spans="2:12" x14ac:dyDescent="0.3">
      <c r="B546" s="2">
        <v>488</v>
      </c>
      <c r="C546" s="2">
        <f>COUNTIF(Eingabe[Volle],HäufigsteErgebnisse[[#This Row],[Zahl]])</f>
        <v>0</v>
      </c>
      <c r="D546" s="2">
        <f>COUNTIF(Eingabe[Räumer],HäufigsteErgebnisse[[#This Row],[Zahl]])</f>
        <v>0</v>
      </c>
      <c r="E546" s="2">
        <f>COUNTIF(Eingabe[Fehler],HäufigsteErgebnisse[[#This Row],[Zahl]])</f>
        <v>0</v>
      </c>
      <c r="F546" s="2">
        <f>COUNTIF(Eingabe[S1],HäufigsteErgebnisse[[#This Row],[Zahl]])</f>
        <v>0</v>
      </c>
      <c r="G546" s="2">
        <f>COUNTIF(Eingabe[S2],HäufigsteErgebnisse[[#This Row],[Zahl]])</f>
        <v>0</v>
      </c>
      <c r="H546" s="2">
        <f>COUNTIF(Eingabe[S3],HäufigsteErgebnisse[[#This Row],[Zahl]])</f>
        <v>0</v>
      </c>
      <c r="I546" s="2">
        <f>COUNTIF(Eingabe[S4],HäufigsteErgebnisse[[#This Row],[Zahl]])</f>
        <v>0</v>
      </c>
      <c r="J546" s="2">
        <f>COUNTIF(Eingabe[S1],HäufigsteErgebnisse[[#This Row],[Zahl]])+COUNTIF(Eingabe[S2],HäufigsteErgebnisse[[#This Row],[Zahl]])+COUNTIF(Eingabe[S3],HäufigsteErgebnisse[[#This Row],[Zahl]])+COUNTIF(Eingabe[S4],HäufigsteErgebnisse[[#This Row],[Zahl]])</f>
        <v>0</v>
      </c>
      <c r="K546" s="2">
        <f>COUNTIF(Eingabe[GES],HäufigsteErgebnisse[[#This Row],[Zahl]])</f>
        <v>2</v>
      </c>
      <c r="L546" s="2">
        <f>HäufigsteErgebnisse[[#This Row],[Zahl]]</f>
        <v>488</v>
      </c>
    </row>
    <row r="547" spans="2:12" x14ac:dyDescent="0.3">
      <c r="B547" s="2">
        <v>489</v>
      </c>
      <c r="C547" s="2">
        <f>COUNTIF(Eingabe[Volle],HäufigsteErgebnisse[[#This Row],[Zahl]])</f>
        <v>0</v>
      </c>
      <c r="D547" s="2">
        <f>COUNTIF(Eingabe[Räumer],HäufigsteErgebnisse[[#This Row],[Zahl]])</f>
        <v>0</v>
      </c>
      <c r="E547" s="2">
        <f>COUNTIF(Eingabe[Fehler],HäufigsteErgebnisse[[#This Row],[Zahl]])</f>
        <v>0</v>
      </c>
      <c r="F547" s="2">
        <f>COUNTIF(Eingabe[S1],HäufigsteErgebnisse[[#This Row],[Zahl]])</f>
        <v>0</v>
      </c>
      <c r="G547" s="2">
        <f>COUNTIF(Eingabe[S2],HäufigsteErgebnisse[[#This Row],[Zahl]])</f>
        <v>0</v>
      </c>
      <c r="H547" s="2">
        <f>COUNTIF(Eingabe[S3],HäufigsteErgebnisse[[#This Row],[Zahl]])</f>
        <v>0</v>
      </c>
      <c r="I547" s="2">
        <f>COUNTIF(Eingabe[S4],HäufigsteErgebnisse[[#This Row],[Zahl]])</f>
        <v>0</v>
      </c>
      <c r="J547" s="2">
        <f>COUNTIF(Eingabe[S1],HäufigsteErgebnisse[[#This Row],[Zahl]])+COUNTIF(Eingabe[S2],HäufigsteErgebnisse[[#This Row],[Zahl]])+COUNTIF(Eingabe[S3],HäufigsteErgebnisse[[#This Row],[Zahl]])+COUNTIF(Eingabe[S4],HäufigsteErgebnisse[[#This Row],[Zahl]])</f>
        <v>0</v>
      </c>
      <c r="K547" s="2">
        <f>COUNTIF(Eingabe[GES],HäufigsteErgebnisse[[#This Row],[Zahl]])</f>
        <v>2</v>
      </c>
      <c r="L547" s="2">
        <f>HäufigsteErgebnisse[[#This Row],[Zahl]]</f>
        <v>489</v>
      </c>
    </row>
    <row r="548" spans="2:12" x14ac:dyDescent="0.3">
      <c r="B548" s="2">
        <v>490</v>
      </c>
      <c r="C548" s="2">
        <f>COUNTIF(Eingabe[Volle],HäufigsteErgebnisse[[#This Row],[Zahl]])</f>
        <v>0</v>
      </c>
      <c r="D548" s="2">
        <f>COUNTIF(Eingabe[Räumer],HäufigsteErgebnisse[[#This Row],[Zahl]])</f>
        <v>0</v>
      </c>
      <c r="E548" s="2">
        <f>COUNTIF(Eingabe[Fehler],HäufigsteErgebnisse[[#This Row],[Zahl]])</f>
        <v>0</v>
      </c>
      <c r="F548" s="2">
        <f>COUNTIF(Eingabe[S1],HäufigsteErgebnisse[[#This Row],[Zahl]])</f>
        <v>0</v>
      </c>
      <c r="G548" s="2">
        <f>COUNTIF(Eingabe[S2],HäufigsteErgebnisse[[#This Row],[Zahl]])</f>
        <v>0</v>
      </c>
      <c r="H548" s="2">
        <f>COUNTIF(Eingabe[S3],HäufigsteErgebnisse[[#This Row],[Zahl]])</f>
        <v>0</v>
      </c>
      <c r="I548" s="2">
        <f>COUNTIF(Eingabe[S4],HäufigsteErgebnisse[[#This Row],[Zahl]])</f>
        <v>0</v>
      </c>
      <c r="J548" s="2">
        <f>COUNTIF(Eingabe[S1],HäufigsteErgebnisse[[#This Row],[Zahl]])+COUNTIF(Eingabe[S2],HäufigsteErgebnisse[[#This Row],[Zahl]])+COUNTIF(Eingabe[S3],HäufigsteErgebnisse[[#This Row],[Zahl]])+COUNTIF(Eingabe[S4],HäufigsteErgebnisse[[#This Row],[Zahl]])</f>
        <v>0</v>
      </c>
      <c r="K548" s="2">
        <f>COUNTIF(Eingabe[GES],HäufigsteErgebnisse[[#This Row],[Zahl]])</f>
        <v>6</v>
      </c>
      <c r="L548" s="2">
        <f>HäufigsteErgebnisse[[#This Row],[Zahl]]</f>
        <v>490</v>
      </c>
    </row>
    <row r="549" spans="2:12" x14ac:dyDescent="0.3">
      <c r="B549" s="2">
        <v>491</v>
      </c>
      <c r="C549" s="2">
        <f>COUNTIF(Eingabe[Volle],HäufigsteErgebnisse[[#This Row],[Zahl]])</f>
        <v>0</v>
      </c>
      <c r="D549" s="2">
        <f>COUNTIF(Eingabe[Räumer],HäufigsteErgebnisse[[#This Row],[Zahl]])</f>
        <v>0</v>
      </c>
      <c r="E549" s="2">
        <f>COUNTIF(Eingabe[Fehler],HäufigsteErgebnisse[[#This Row],[Zahl]])</f>
        <v>0</v>
      </c>
      <c r="F549" s="2">
        <f>COUNTIF(Eingabe[S1],HäufigsteErgebnisse[[#This Row],[Zahl]])</f>
        <v>0</v>
      </c>
      <c r="G549" s="2">
        <f>COUNTIF(Eingabe[S2],HäufigsteErgebnisse[[#This Row],[Zahl]])</f>
        <v>0</v>
      </c>
      <c r="H549" s="2">
        <f>COUNTIF(Eingabe[S3],HäufigsteErgebnisse[[#This Row],[Zahl]])</f>
        <v>0</v>
      </c>
      <c r="I549" s="2">
        <f>COUNTIF(Eingabe[S4],HäufigsteErgebnisse[[#This Row],[Zahl]])</f>
        <v>0</v>
      </c>
      <c r="J549" s="2">
        <f>COUNTIF(Eingabe[S1],HäufigsteErgebnisse[[#This Row],[Zahl]])+COUNTIF(Eingabe[S2],HäufigsteErgebnisse[[#This Row],[Zahl]])+COUNTIF(Eingabe[S3],HäufigsteErgebnisse[[#This Row],[Zahl]])+COUNTIF(Eingabe[S4],HäufigsteErgebnisse[[#This Row],[Zahl]])</f>
        <v>0</v>
      </c>
      <c r="K549" s="2">
        <f>COUNTIF(Eingabe[GES],HäufigsteErgebnisse[[#This Row],[Zahl]])</f>
        <v>1</v>
      </c>
      <c r="L549" s="2">
        <f>HäufigsteErgebnisse[[#This Row],[Zahl]]</f>
        <v>491</v>
      </c>
    </row>
    <row r="550" spans="2:12" x14ac:dyDescent="0.3">
      <c r="B550" s="2">
        <v>492</v>
      </c>
      <c r="C550" s="2">
        <f>COUNTIF(Eingabe[Volle],HäufigsteErgebnisse[[#This Row],[Zahl]])</f>
        <v>0</v>
      </c>
      <c r="D550" s="2">
        <f>COUNTIF(Eingabe[Räumer],HäufigsteErgebnisse[[#This Row],[Zahl]])</f>
        <v>0</v>
      </c>
      <c r="E550" s="2">
        <f>COUNTIF(Eingabe[Fehler],HäufigsteErgebnisse[[#This Row],[Zahl]])</f>
        <v>0</v>
      </c>
      <c r="F550" s="2">
        <f>COUNTIF(Eingabe[S1],HäufigsteErgebnisse[[#This Row],[Zahl]])</f>
        <v>0</v>
      </c>
      <c r="G550" s="2">
        <f>COUNTIF(Eingabe[S2],HäufigsteErgebnisse[[#This Row],[Zahl]])</f>
        <v>0</v>
      </c>
      <c r="H550" s="2">
        <f>COUNTIF(Eingabe[S3],HäufigsteErgebnisse[[#This Row],[Zahl]])</f>
        <v>0</v>
      </c>
      <c r="I550" s="2">
        <f>COUNTIF(Eingabe[S4],HäufigsteErgebnisse[[#This Row],[Zahl]])</f>
        <v>0</v>
      </c>
      <c r="J550" s="2">
        <f>COUNTIF(Eingabe[S1],HäufigsteErgebnisse[[#This Row],[Zahl]])+COUNTIF(Eingabe[S2],HäufigsteErgebnisse[[#This Row],[Zahl]])+COUNTIF(Eingabe[S3],HäufigsteErgebnisse[[#This Row],[Zahl]])+COUNTIF(Eingabe[S4],HäufigsteErgebnisse[[#This Row],[Zahl]])</f>
        <v>0</v>
      </c>
      <c r="K550" s="2">
        <f>COUNTIF(Eingabe[GES],HäufigsteErgebnisse[[#This Row],[Zahl]])</f>
        <v>3</v>
      </c>
      <c r="L550" s="2">
        <f>HäufigsteErgebnisse[[#This Row],[Zahl]]</f>
        <v>492</v>
      </c>
    </row>
    <row r="551" spans="2:12" x14ac:dyDescent="0.3">
      <c r="B551" s="2">
        <v>493</v>
      </c>
      <c r="C551" s="2">
        <f>COUNTIF(Eingabe[Volle],HäufigsteErgebnisse[[#This Row],[Zahl]])</f>
        <v>0</v>
      </c>
      <c r="D551" s="2">
        <f>COUNTIF(Eingabe[Räumer],HäufigsteErgebnisse[[#This Row],[Zahl]])</f>
        <v>0</v>
      </c>
      <c r="E551" s="2">
        <f>COUNTIF(Eingabe[Fehler],HäufigsteErgebnisse[[#This Row],[Zahl]])</f>
        <v>0</v>
      </c>
      <c r="F551" s="2">
        <f>COUNTIF(Eingabe[S1],HäufigsteErgebnisse[[#This Row],[Zahl]])</f>
        <v>0</v>
      </c>
      <c r="G551" s="2">
        <f>COUNTIF(Eingabe[S2],HäufigsteErgebnisse[[#This Row],[Zahl]])</f>
        <v>0</v>
      </c>
      <c r="H551" s="2">
        <f>COUNTIF(Eingabe[S3],HäufigsteErgebnisse[[#This Row],[Zahl]])</f>
        <v>0</v>
      </c>
      <c r="I551" s="2">
        <f>COUNTIF(Eingabe[S4],HäufigsteErgebnisse[[#This Row],[Zahl]])</f>
        <v>0</v>
      </c>
      <c r="J551" s="2">
        <f>COUNTIF(Eingabe[S1],HäufigsteErgebnisse[[#This Row],[Zahl]])+COUNTIF(Eingabe[S2],HäufigsteErgebnisse[[#This Row],[Zahl]])+COUNTIF(Eingabe[S3],HäufigsteErgebnisse[[#This Row],[Zahl]])+COUNTIF(Eingabe[S4],HäufigsteErgebnisse[[#This Row],[Zahl]])</f>
        <v>0</v>
      </c>
      <c r="K551" s="2">
        <f>COUNTIF(Eingabe[GES],HäufigsteErgebnisse[[#This Row],[Zahl]])</f>
        <v>2</v>
      </c>
      <c r="L551" s="2">
        <f>HäufigsteErgebnisse[[#This Row],[Zahl]]</f>
        <v>493</v>
      </c>
    </row>
    <row r="552" spans="2:12" x14ac:dyDescent="0.3">
      <c r="B552" s="2">
        <v>494</v>
      </c>
      <c r="C552" s="2">
        <f>COUNTIF(Eingabe[Volle],HäufigsteErgebnisse[[#This Row],[Zahl]])</f>
        <v>0</v>
      </c>
      <c r="D552" s="2">
        <f>COUNTIF(Eingabe[Räumer],HäufigsteErgebnisse[[#This Row],[Zahl]])</f>
        <v>0</v>
      </c>
      <c r="E552" s="2">
        <f>COUNTIF(Eingabe[Fehler],HäufigsteErgebnisse[[#This Row],[Zahl]])</f>
        <v>0</v>
      </c>
      <c r="F552" s="2">
        <f>COUNTIF(Eingabe[S1],HäufigsteErgebnisse[[#This Row],[Zahl]])</f>
        <v>0</v>
      </c>
      <c r="G552" s="2">
        <f>COUNTIF(Eingabe[S2],HäufigsteErgebnisse[[#This Row],[Zahl]])</f>
        <v>0</v>
      </c>
      <c r="H552" s="2">
        <f>COUNTIF(Eingabe[S3],HäufigsteErgebnisse[[#This Row],[Zahl]])</f>
        <v>0</v>
      </c>
      <c r="I552" s="2">
        <f>COUNTIF(Eingabe[S4],HäufigsteErgebnisse[[#This Row],[Zahl]])</f>
        <v>0</v>
      </c>
      <c r="J552" s="2">
        <f>COUNTIF(Eingabe[S1],HäufigsteErgebnisse[[#This Row],[Zahl]])+COUNTIF(Eingabe[S2],HäufigsteErgebnisse[[#This Row],[Zahl]])+COUNTIF(Eingabe[S3],HäufigsteErgebnisse[[#This Row],[Zahl]])+COUNTIF(Eingabe[S4],HäufigsteErgebnisse[[#This Row],[Zahl]])</f>
        <v>0</v>
      </c>
      <c r="K552" s="2">
        <f>COUNTIF(Eingabe[GES],HäufigsteErgebnisse[[#This Row],[Zahl]])</f>
        <v>3</v>
      </c>
      <c r="L552" s="2">
        <f>HäufigsteErgebnisse[[#This Row],[Zahl]]</f>
        <v>494</v>
      </c>
    </row>
    <row r="553" spans="2:12" x14ac:dyDescent="0.3">
      <c r="B553" s="2">
        <v>495</v>
      </c>
      <c r="C553" s="2">
        <f>COUNTIF(Eingabe[Volle],HäufigsteErgebnisse[[#This Row],[Zahl]])</f>
        <v>0</v>
      </c>
      <c r="D553" s="2">
        <f>COUNTIF(Eingabe[Räumer],HäufigsteErgebnisse[[#This Row],[Zahl]])</f>
        <v>0</v>
      </c>
      <c r="E553" s="2">
        <f>COUNTIF(Eingabe[Fehler],HäufigsteErgebnisse[[#This Row],[Zahl]])</f>
        <v>0</v>
      </c>
      <c r="F553" s="2">
        <f>COUNTIF(Eingabe[S1],HäufigsteErgebnisse[[#This Row],[Zahl]])</f>
        <v>0</v>
      </c>
      <c r="G553" s="2">
        <f>COUNTIF(Eingabe[S2],HäufigsteErgebnisse[[#This Row],[Zahl]])</f>
        <v>0</v>
      </c>
      <c r="H553" s="2">
        <f>COUNTIF(Eingabe[S3],HäufigsteErgebnisse[[#This Row],[Zahl]])</f>
        <v>0</v>
      </c>
      <c r="I553" s="2">
        <f>COUNTIF(Eingabe[S4],HäufigsteErgebnisse[[#This Row],[Zahl]])</f>
        <v>0</v>
      </c>
      <c r="J553" s="2">
        <f>COUNTIF(Eingabe[S1],HäufigsteErgebnisse[[#This Row],[Zahl]])+COUNTIF(Eingabe[S2],HäufigsteErgebnisse[[#This Row],[Zahl]])+COUNTIF(Eingabe[S3],HäufigsteErgebnisse[[#This Row],[Zahl]])+COUNTIF(Eingabe[S4],HäufigsteErgebnisse[[#This Row],[Zahl]])</f>
        <v>0</v>
      </c>
      <c r="K553" s="2">
        <f>COUNTIF(Eingabe[GES],HäufigsteErgebnisse[[#This Row],[Zahl]])</f>
        <v>0</v>
      </c>
      <c r="L553" s="2">
        <f>HäufigsteErgebnisse[[#This Row],[Zahl]]</f>
        <v>495</v>
      </c>
    </row>
    <row r="554" spans="2:12" x14ac:dyDescent="0.3">
      <c r="B554" s="2">
        <v>496</v>
      </c>
      <c r="C554" s="2">
        <f>COUNTIF(Eingabe[Volle],HäufigsteErgebnisse[[#This Row],[Zahl]])</f>
        <v>0</v>
      </c>
      <c r="D554" s="2">
        <f>COUNTIF(Eingabe[Räumer],HäufigsteErgebnisse[[#This Row],[Zahl]])</f>
        <v>0</v>
      </c>
      <c r="E554" s="2">
        <f>COUNTIF(Eingabe[Fehler],HäufigsteErgebnisse[[#This Row],[Zahl]])</f>
        <v>0</v>
      </c>
      <c r="F554" s="2">
        <f>COUNTIF(Eingabe[S1],HäufigsteErgebnisse[[#This Row],[Zahl]])</f>
        <v>0</v>
      </c>
      <c r="G554" s="2">
        <f>COUNTIF(Eingabe[S2],HäufigsteErgebnisse[[#This Row],[Zahl]])</f>
        <v>0</v>
      </c>
      <c r="H554" s="2">
        <f>COUNTIF(Eingabe[S3],HäufigsteErgebnisse[[#This Row],[Zahl]])</f>
        <v>0</v>
      </c>
      <c r="I554" s="2">
        <f>COUNTIF(Eingabe[S4],HäufigsteErgebnisse[[#This Row],[Zahl]])</f>
        <v>0</v>
      </c>
      <c r="J554" s="2">
        <f>COUNTIF(Eingabe[S1],HäufigsteErgebnisse[[#This Row],[Zahl]])+COUNTIF(Eingabe[S2],HäufigsteErgebnisse[[#This Row],[Zahl]])+COUNTIF(Eingabe[S3],HäufigsteErgebnisse[[#This Row],[Zahl]])+COUNTIF(Eingabe[S4],HäufigsteErgebnisse[[#This Row],[Zahl]])</f>
        <v>0</v>
      </c>
      <c r="K554" s="2">
        <f>COUNTIF(Eingabe[GES],HäufigsteErgebnisse[[#This Row],[Zahl]])</f>
        <v>4</v>
      </c>
      <c r="L554" s="2">
        <f>HäufigsteErgebnisse[[#This Row],[Zahl]]</f>
        <v>496</v>
      </c>
    </row>
    <row r="555" spans="2:12" x14ac:dyDescent="0.3">
      <c r="B555" s="2">
        <v>497</v>
      </c>
      <c r="C555" s="2">
        <f>COUNTIF(Eingabe[Volle],HäufigsteErgebnisse[[#This Row],[Zahl]])</f>
        <v>0</v>
      </c>
      <c r="D555" s="2">
        <f>COUNTIF(Eingabe[Räumer],HäufigsteErgebnisse[[#This Row],[Zahl]])</f>
        <v>0</v>
      </c>
      <c r="E555" s="2">
        <f>COUNTIF(Eingabe[Fehler],HäufigsteErgebnisse[[#This Row],[Zahl]])</f>
        <v>0</v>
      </c>
      <c r="F555" s="2">
        <f>COUNTIF(Eingabe[S1],HäufigsteErgebnisse[[#This Row],[Zahl]])</f>
        <v>0</v>
      </c>
      <c r="G555" s="2">
        <f>COUNTIF(Eingabe[S2],HäufigsteErgebnisse[[#This Row],[Zahl]])</f>
        <v>0</v>
      </c>
      <c r="H555" s="2">
        <f>COUNTIF(Eingabe[S3],HäufigsteErgebnisse[[#This Row],[Zahl]])</f>
        <v>0</v>
      </c>
      <c r="I555" s="2">
        <f>COUNTIF(Eingabe[S4],HäufigsteErgebnisse[[#This Row],[Zahl]])</f>
        <v>0</v>
      </c>
      <c r="J555" s="2">
        <f>COUNTIF(Eingabe[S1],HäufigsteErgebnisse[[#This Row],[Zahl]])+COUNTIF(Eingabe[S2],HäufigsteErgebnisse[[#This Row],[Zahl]])+COUNTIF(Eingabe[S3],HäufigsteErgebnisse[[#This Row],[Zahl]])+COUNTIF(Eingabe[S4],HäufigsteErgebnisse[[#This Row],[Zahl]])</f>
        <v>0</v>
      </c>
      <c r="K555" s="2">
        <f>COUNTIF(Eingabe[GES],HäufigsteErgebnisse[[#This Row],[Zahl]])</f>
        <v>5</v>
      </c>
      <c r="L555" s="2">
        <f>HäufigsteErgebnisse[[#This Row],[Zahl]]</f>
        <v>497</v>
      </c>
    </row>
    <row r="556" spans="2:12" x14ac:dyDescent="0.3">
      <c r="B556" s="2">
        <v>498</v>
      </c>
      <c r="C556" s="2">
        <f>COUNTIF(Eingabe[Volle],HäufigsteErgebnisse[[#This Row],[Zahl]])</f>
        <v>0</v>
      </c>
      <c r="D556" s="2">
        <f>COUNTIF(Eingabe[Räumer],HäufigsteErgebnisse[[#This Row],[Zahl]])</f>
        <v>0</v>
      </c>
      <c r="E556" s="2">
        <f>COUNTIF(Eingabe[Fehler],HäufigsteErgebnisse[[#This Row],[Zahl]])</f>
        <v>0</v>
      </c>
      <c r="F556" s="2">
        <f>COUNTIF(Eingabe[S1],HäufigsteErgebnisse[[#This Row],[Zahl]])</f>
        <v>0</v>
      </c>
      <c r="G556" s="2">
        <f>COUNTIF(Eingabe[S2],HäufigsteErgebnisse[[#This Row],[Zahl]])</f>
        <v>0</v>
      </c>
      <c r="H556" s="2">
        <f>COUNTIF(Eingabe[S3],HäufigsteErgebnisse[[#This Row],[Zahl]])</f>
        <v>0</v>
      </c>
      <c r="I556" s="2">
        <f>COUNTIF(Eingabe[S4],HäufigsteErgebnisse[[#This Row],[Zahl]])</f>
        <v>0</v>
      </c>
      <c r="J556" s="2">
        <f>COUNTIF(Eingabe[S1],HäufigsteErgebnisse[[#This Row],[Zahl]])+COUNTIF(Eingabe[S2],HäufigsteErgebnisse[[#This Row],[Zahl]])+COUNTIF(Eingabe[S3],HäufigsteErgebnisse[[#This Row],[Zahl]])+COUNTIF(Eingabe[S4],HäufigsteErgebnisse[[#This Row],[Zahl]])</f>
        <v>0</v>
      </c>
      <c r="K556" s="2">
        <f>COUNTIF(Eingabe[GES],HäufigsteErgebnisse[[#This Row],[Zahl]])</f>
        <v>3</v>
      </c>
      <c r="L556" s="2">
        <f>HäufigsteErgebnisse[[#This Row],[Zahl]]</f>
        <v>498</v>
      </c>
    </row>
    <row r="557" spans="2:12" x14ac:dyDescent="0.3">
      <c r="B557" s="2">
        <v>499</v>
      </c>
      <c r="C557" s="2">
        <f>COUNTIF(Eingabe[Volle],HäufigsteErgebnisse[[#This Row],[Zahl]])</f>
        <v>0</v>
      </c>
      <c r="D557" s="2">
        <f>COUNTIF(Eingabe[Räumer],HäufigsteErgebnisse[[#This Row],[Zahl]])</f>
        <v>0</v>
      </c>
      <c r="E557" s="2">
        <f>COUNTIF(Eingabe[Fehler],HäufigsteErgebnisse[[#This Row],[Zahl]])</f>
        <v>0</v>
      </c>
      <c r="F557" s="2">
        <f>COUNTIF(Eingabe[S1],HäufigsteErgebnisse[[#This Row],[Zahl]])</f>
        <v>0</v>
      </c>
      <c r="G557" s="2">
        <f>COUNTIF(Eingabe[S2],HäufigsteErgebnisse[[#This Row],[Zahl]])</f>
        <v>0</v>
      </c>
      <c r="H557" s="2">
        <f>COUNTIF(Eingabe[S3],HäufigsteErgebnisse[[#This Row],[Zahl]])</f>
        <v>0</v>
      </c>
      <c r="I557" s="2">
        <f>COUNTIF(Eingabe[S4],HäufigsteErgebnisse[[#This Row],[Zahl]])</f>
        <v>0</v>
      </c>
      <c r="J557" s="2">
        <f>COUNTIF(Eingabe[S1],HäufigsteErgebnisse[[#This Row],[Zahl]])+COUNTIF(Eingabe[S2],HäufigsteErgebnisse[[#This Row],[Zahl]])+COUNTIF(Eingabe[S3],HäufigsteErgebnisse[[#This Row],[Zahl]])+COUNTIF(Eingabe[S4],HäufigsteErgebnisse[[#This Row],[Zahl]])</f>
        <v>0</v>
      </c>
      <c r="K557" s="2">
        <f>COUNTIF(Eingabe[GES],HäufigsteErgebnisse[[#This Row],[Zahl]])</f>
        <v>6</v>
      </c>
      <c r="L557" s="2">
        <f>HäufigsteErgebnisse[[#This Row],[Zahl]]</f>
        <v>499</v>
      </c>
    </row>
    <row r="558" spans="2:12" x14ac:dyDescent="0.3">
      <c r="B558" s="2">
        <v>500</v>
      </c>
      <c r="C558" s="2">
        <f>COUNTIF(Eingabe[Volle],HäufigsteErgebnisse[[#This Row],[Zahl]])</f>
        <v>0</v>
      </c>
      <c r="D558" s="2">
        <f>COUNTIF(Eingabe[Räumer],HäufigsteErgebnisse[[#This Row],[Zahl]])</f>
        <v>0</v>
      </c>
      <c r="E558" s="2">
        <f>COUNTIF(Eingabe[Fehler],HäufigsteErgebnisse[[#This Row],[Zahl]])</f>
        <v>0</v>
      </c>
      <c r="F558" s="2">
        <f>COUNTIF(Eingabe[S1],HäufigsteErgebnisse[[#This Row],[Zahl]])</f>
        <v>0</v>
      </c>
      <c r="G558" s="2">
        <f>COUNTIF(Eingabe[S2],HäufigsteErgebnisse[[#This Row],[Zahl]])</f>
        <v>0</v>
      </c>
      <c r="H558" s="2">
        <f>COUNTIF(Eingabe[S3],HäufigsteErgebnisse[[#This Row],[Zahl]])</f>
        <v>0</v>
      </c>
      <c r="I558" s="2">
        <f>COUNTIF(Eingabe[S4],HäufigsteErgebnisse[[#This Row],[Zahl]])</f>
        <v>0</v>
      </c>
      <c r="J558" s="2">
        <f>COUNTIF(Eingabe[S1],HäufigsteErgebnisse[[#This Row],[Zahl]])+COUNTIF(Eingabe[S2],HäufigsteErgebnisse[[#This Row],[Zahl]])+COUNTIF(Eingabe[S3],HäufigsteErgebnisse[[#This Row],[Zahl]])+COUNTIF(Eingabe[S4],HäufigsteErgebnisse[[#This Row],[Zahl]])</f>
        <v>0</v>
      </c>
      <c r="K558" s="2">
        <f>COUNTIF(Eingabe[GES],HäufigsteErgebnisse[[#This Row],[Zahl]])</f>
        <v>3</v>
      </c>
      <c r="L558" s="2">
        <f>HäufigsteErgebnisse[[#This Row],[Zahl]]</f>
        <v>500</v>
      </c>
    </row>
    <row r="559" spans="2:12" x14ac:dyDescent="0.3">
      <c r="B559" s="2">
        <v>501</v>
      </c>
      <c r="C559" s="2">
        <f>COUNTIF(Eingabe[Volle],HäufigsteErgebnisse[[#This Row],[Zahl]])</f>
        <v>0</v>
      </c>
      <c r="D559" s="2">
        <f>COUNTIF(Eingabe[Räumer],HäufigsteErgebnisse[[#This Row],[Zahl]])</f>
        <v>0</v>
      </c>
      <c r="E559" s="2">
        <f>COUNTIF(Eingabe[Fehler],HäufigsteErgebnisse[[#This Row],[Zahl]])</f>
        <v>0</v>
      </c>
      <c r="F559" s="2">
        <f>COUNTIF(Eingabe[S1],HäufigsteErgebnisse[[#This Row],[Zahl]])</f>
        <v>0</v>
      </c>
      <c r="G559" s="2">
        <f>COUNTIF(Eingabe[S2],HäufigsteErgebnisse[[#This Row],[Zahl]])</f>
        <v>0</v>
      </c>
      <c r="H559" s="2">
        <f>COUNTIF(Eingabe[S3],HäufigsteErgebnisse[[#This Row],[Zahl]])</f>
        <v>0</v>
      </c>
      <c r="I559" s="2">
        <f>COUNTIF(Eingabe[S4],HäufigsteErgebnisse[[#This Row],[Zahl]])</f>
        <v>0</v>
      </c>
      <c r="J559" s="2">
        <f>COUNTIF(Eingabe[S1],HäufigsteErgebnisse[[#This Row],[Zahl]])+COUNTIF(Eingabe[S2],HäufigsteErgebnisse[[#This Row],[Zahl]])+COUNTIF(Eingabe[S3],HäufigsteErgebnisse[[#This Row],[Zahl]])+COUNTIF(Eingabe[S4],HäufigsteErgebnisse[[#This Row],[Zahl]])</f>
        <v>0</v>
      </c>
      <c r="K559" s="2">
        <f>COUNTIF(Eingabe[GES],HäufigsteErgebnisse[[#This Row],[Zahl]])</f>
        <v>2</v>
      </c>
      <c r="L559" s="2">
        <f>HäufigsteErgebnisse[[#This Row],[Zahl]]</f>
        <v>501</v>
      </c>
    </row>
    <row r="560" spans="2:12" x14ac:dyDescent="0.3">
      <c r="B560" s="2">
        <v>502</v>
      </c>
      <c r="C560" s="2">
        <f>COUNTIF(Eingabe[Volle],HäufigsteErgebnisse[[#This Row],[Zahl]])</f>
        <v>0</v>
      </c>
      <c r="D560" s="2">
        <f>COUNTIF(Eingabe[Räumer],HäufigsteErgebnisse[[#This Row],[Zahl]])</f>
        <v>0</v>
      </c>
      <c r="E560" s="2">
        <f>COUNTIF(Eingabe[Fehler],HäufigsteErgebnisse[[#This Row],[Zahl]])</f>
        <v>0</v>
      </c>
      <c r="F560" s="2">
        <f>COUNTIF(Eingabe[S1],HäufigsteErgebnisse[[#This Row],[Zahl]])</f>
        <v>0</v>
      </c>
      <c r="G560" s="2">
        <f>COUNTIF(Eingabe[S2],HäufigsteErgebnisse[[#This Row],[Zahl]])</f>
        <v>0</v>
      </c>
      <c r="H560" s="2">
        <f>COUNTIF(Eingabe[S3],HäufigsteErgebnisse[[#This Row],[Zahl]])</f>
        <v>0</v>
      </c>
      <c r="I560" s="2">
        <f>COUNTIF(Eingabe[S4],HäufigsteErgebnisse[[#This Row],[Zahl]])</f>
        <v>0</v>
      </c>
      <c r="J560" s="2">
        <f>COUNTIF(Eingabe[S1],HäufigsteErgebnisse[[#This Row],[Zahl]])+COUNTIF(Eingabe[S2],HäufigsteErgebnisse[[#This Row],[Zahl]])+COUNTIF(Eingabe[S3],HäufigsteErgebnisse[[#This Row],[Zahl]])+COUNTIF(Eingabe[S4],HäufigsteErgebnisse[[#This Row],[Zahl]])</f>
        <v>0</v>
      </c>
      <c r="K560" s="2">
        <f>COUNTIF(Eingabe[GES],HäufigsteErgebnisse[[#This Row],[Zahl]])</f>
        <v>4</v>
      </c>
      <c r="L560" s="2">
        <f>HäufigsteErgebnisse[[#This Row],[Zahl]]</f>
        <v>502</v>
      </c>
    </row>
    <row r="561" spans="2:12" x14ac:dyDescent="0.3">
      <c r="B561" s="2">
        <v>503</v>
      </c>
      <c r="C561" s="2">
        <f>COUNTIF(Eingabe[Volle],HäufigsteErgebnisse[[#This Row],[Zahl]])</f>
        <v>0</v>
      </c>
      <c r="D561" s="2">
        <f>COUNTIF(Eingabe[Räumer],HäufigsteErgebnisse[[#This Row],[Zahl]])</f>
        <v>0</v>
      </c>
      <c r="E561" s="2">
        <f>COUNTIF(Eingabe[Fehler],HäufigsteErgebnisse[[#This Row],[Zahl]])</f>
        <v>0</v>
      </c>
      <c r="F561" s="2">
        <f>COUNTIF(Eingabe[S1],HäufigsteErgebnisse[[#This Row],[Zahl]])</f>
        <v>0</v>
      </c>
      <c r="G561" s="2">
        <f>COUNTIF(Eingabe[S2],HäufigsteErgebnisse[[#This Row],[Zahl]])</f>
        <v>0</v>
      </c>
      <c r="H561" s="2">
        <f>COUNTIF(Eingabe[S3],HäufigsteErgebnisse[[#This Row],[Zahl]])</f>
        <v>0</v>
      </c>
      <c r="I561" s="2">
        <f>COUNTIF(Eingabe[S4],HäufigsteErgebnisse[[#This Row],[Zahl]])</f>
        <v>0</v>
      </c>
      <c r="J561" s="2">
        <f>COUNTIF(Eingabe[S1],HäufigsteErgebnisse[[#This Row],[Zahl]])+COUNTIF(Eingabe[S2],HäufigsteErgebnisse[[#This Row],[Zahl]])+COUNTIF(Eingabe[S3],HäufigsteErgebnisse[[#This Row],[Zahl]])+COUNTIF(Eingabe[S4],HäufigsteErgebnisse[[#This Row],[Zahl]])</f>
        <v>0</v>
      </c>
      <c r="K561" s="2">
        <f>COUNTIF(Eingabe[GES],HäufigsteErgebnisse[[#This Row],[Zahl]])</f>
        <v>4</v>
      </c>
      <c r="L561" s="2">
        <f>HäufigsteErgebnisse[[#This Row],[Zahl]]</f>
        <v>503</v>
      </c>
    </row>
    <row r="562" spans="2:12" x14ac:dyDescent="0.3">
      <c r="B562" s="2">
        <v>504</v>
      </c>
      <c r="C562" s="2">
        <f>COUNTIF(Eingabe[Volle],HäufigsteErgebnisse[[#This Row],[Zahl]])</f>
        <v>0</v>
      </c>
      <c r="D562" s="2">
        <f>COUNTIF(Eingabe[Räumer],HäufigsteErgebnisse[[#This Row],[Zahl]])</f>
        <v>0</v>
      </c>
      <c r="E562" s="2">
        <f>COUNTIF(Eingabe[Fehler],HäufigsteErgebnisse[[#This Row],[Zahl]])</f>
        <v>0</v>
      </c>
      <c r="F562" s="2">
        <f>COUNTIF(Eingabe[S1],HäufigsteErgebnisse[[#This Row],[Zahl]])</f>
        <v>0</v>
      </c>
      <c r="G562" s="2">
        <f>COUNTIF(Eingabe[S2],HäufigsteErgebnisse[[#This Row],[Zahl]])</f>
        <v>0</v>
      </c>
      <c r="H562" s="2">
        <f>COUNTIF(Eingabe[S3],HäufigsteErgebnisse[[#This Row],[Zahl]])</f>
        <v>0</v>
      </c>
      <c r="I562" s="2">
        <f>COUNTIF(Eingabe[S4],HäufigsteErgebnisse[[#This Row],[Zahl]])</f>
        <v>0</v>
      </c>
      <c r="J562" s="2">
        <f>COUNTIF(Eingabe[S1],HäufigsteErgebnisse[[#This Row],[Zahl]])+COUNTIF(Eingabe[S2],HäufigsteErgebnisse[[#This Row],[Zahl]])+COUNTIF(Eingabe[S3],HäufigsteErgebnisse[[#This Row],[Zahl]])+COUNTIF(Eingabe[S4],HäufigsteErgebnisse[[#This Row],[Zahl]])</f>
        <v>0</v>
      </c>
      <c r="K562" s="2">
        <f>COUNTIF(Eingabe[GES],HäufigsteErgebnisse[[#This Row],[Zahl]])</f>
        <v>2</v>
      </c>
      <c r="L562" s="2">
        <f>HäufigsteErgebnisse[[#This Row],[Zahl]]</f>
        <v>504</v>
      </c>
    </row>
    <row r="563" spans="2:12" x14ac:dyDescent="0.3">
      <c r="B563" s="2">
        <v>505</v>
      </c>
      <c r="C563" s="2">
        <f>COUNTIF(Eingabe[Volle],HäufigsteErgebnisse[[#This Row],[Zahl]])</f>
        <v>0</v>
      </c>
      <c r="D563" s="2">
        <f>COUNTIF(Eingabe[Räumer],HäufigsteErgebnisse[[#This Row],[Zahl]])</f>
        <v>0</v>
      </c>
      <c r="E563" s="2">
        <f>COUNTIF(Eingabe[Fehler],HäufigsteErgebnisse[[#This Row],[Zahl]])</f>
        <v>0</v>
      </c>
      <c r="F563" s="2">
        <f>COUNTIF(Eingabe[S1],HäufigsteErgebnisse[[#This Row],[Zahl]])</f>
        <v>0</v>
      </c>
      <c r="G563" s="2">
        <f>COUNTIF(Eingabe[S2],HäufigsteErgebnisse[[#This Row],[Zahl]])</f>
        <v>0</v>
      </c>
      <c r="H563" s="2">
        <f>COUNTIF(Eingabe[S3],HäufigsteErgebnisse[[#This Row],[Zahl]])</f>
        <v>0</v>
      </c>
      <c r="I563" s="2">
        <f>COUNTIF(Eingabe[S4],HäufigsteErgebnisse[[#This Row],[Zahl]])</f>
        <v>0</v>
      </c>
      <c r="J563" s="2">
        <f>COUNTIF(Eingabe[S1],HäufigsteErgebnisse[[#This Row],[Zahl]])+COUNTIF(Eingabe[S2],HäufigsteErgebnisse[[#This Row],[Zahl]])+COUNTIF(Eingabe[S3],HäufigsteErgebnisse[[#This Row],[Zahl]])+COUNTIF(Eingabe[S4],HäufigsteErgebnisse[[#This Row],[Zahl]])</f>
        <v>0</v>
      </c>
      <c r="K563" s="2">
        <f>COUNTIF(Eingabe[GES],HäufigsteErgebnisse[[#This Row],[Zahl]])</f>
        <v>1</v>
      </c>
      <c r="L563" s="2">
        <f>HäufigsteErgebnisse[[#This Row],[Zahl]]</f>
        <v>505</v>
      </c>
    </row>
    <row r="564" spans="2:12" x14ac:dyDescent="0.3">
      <c r="B564" s="2">
        <v>506</v>
      </c>
      <c r="C564" s="2">
        <f>COUNTIF(Eingabe[Volle],HäufigsteErgebnisse[[#This Row],[Zahl]])</f>
        <v>0</v>
      </c>
      <c r="D564" s="2">
        <f>COUNTIF(Eingabe[Räumer],HäufigsteErgebnisse[[#This Row],[Zahl]])</f>
        <v>0</v>
      </c>
      <c r="E564" s="2">
        <f>COUNTIF(Eingabe[Fehler],HäufigsteErgebnisse[[#This Row],[Zahl]])</f>
        <v>0</v>
      </c>
      <c r="F564" s="2">
        <f>COUNTIF(Eingabe[S1],HäufigsteErgebnisse[[#This Row],[Zahl]])</f>
        <v>0</v>
      </c>
      <c r="G564" s="2">
        <f>COUNTIF(Eingabe[S2],HäufigsteErgebnisse[[#This Row],[Zahl]])</f>
        <v>0</v>
      </c>
      <c r="H564" s="2">
        <f>COUNTIF(Eingabe[S3],HäufigsteErgebnisse[[#This Row],[Zahl]])</f>
        <v>0</v>
      </c>
      <c r="I564" s="2">
        <f>COUNTIF(Eingabe[S4],HäufigsteErgebnisse[[#This Row],[Zahl]])</f>
        <v>0</v>
      </c>
      <c r="J564" s="2">
        <f>COUNTIF(Eingabe[S1],HäufigsteErgebnisse[[#This Row],[Zahl]])+COUNTIF(Eingabe[S2],HäufigsteErgebnisse[[#This Row],[Zahl]])+COUNTIF(Eingabe[S3],HäufigsteErgebnisse[[#This Row],[Zahl]])+COUNTIF(Eingabe[S4],HäufigsteErgebnisse[[#This Row],[Zahl]])</f>
        <v>0</v>
      </c>
      <c r="K564" s="2">
        <f>COUNTIF(Eingabe[GES],HäufigsteErgebnisse[[#This Row],[Zahl]])</f>
        <v>6</v>
      </c>
      <c r="L564" s="2">
        <f>HäufigsteErgebnisse[[#This Row],[Zahl]]</f>
        <v>506</v>
      </c>
    </row>
    <row r="565" spans="2:12" x14ac:dyDescent="0.3">
      <c r="B565" s="2">
        <v>507</v>
      </c>
      <c r="C565" s="2">
        <f>COUNTIF(Eingabe[Volle],HäufigsteErgebnisse[[#This Row],[Zahl]])</f>
        <v>0</v>
      </c>
      <c r="D565" s="2">
        <f>COUNTIF(Eingabe[Räumer],HäufigsteErgebnisse[[#This Row],[Zahl]])</f>
        <v>0</v>
      </c>
      <c r="E565" s="2">
        <f>COUNTIF(Eingabe[Fehler],HäufigsteErgebnisse[[#This Row],[Zahl]])</f>
        <v>0</v>
      </c>
      <c r="F565" s="2">
        <f>COUNTIF(Eingabe[S1],HäufigsteErgebnisse[[#This Row],[Zahl]])</f>
        <v>0</v>
      </c>
      <c r="G565" s="2">
        <f>COUNTIF(Eingabe[S2],HäufigsteErgebnisse[[#This Row],[Zahl]])</f>
        <v>0</v>
      </c>
      <c r="H565" s="2">
        <f>COUNTIF(Eingabe[S3],HäufigsteErgebnisse[[#This Row],[Zahl]])</f>
        <v>0</v>
      </c>
      <c r="I565" s="2">
        <f>COUNTIF(Eingabe[S4],HäufigsteErgebnisse[[#This Row],[Zahl]])</f>
        <v>0</v>
      </c>
      <c r="J565" s="2">
        <f>COUNTIF(Eingabe[S1],HäufigsteErgebnisse[[#This Row],[Zahl]])+COUNTIF(Eingabe[S2],HäufigsteErgebnisse[[#This Row],[Zahl]])+COUNTIF(Eingabe[S3],HäufigsteErgebnisse[[#This Row],[Zahl]])+COUNTIF(Eingabe[S4],HäufigsteErgebnisse[[#This Row],[Zahl]])</f>
        <v>0</v>
      </c>
      <c r="K565" s="2">
        <f>COUNTIF(Eingabe[GES],HäufigsteErgebnisse[[#This Row],[Zahl]])</f>
        <v>5</v>
      </c>
      <c r="L565" s="2">
        <f>HäufigsteErgebnisse[[#This Row],[Zahl]]</f>
        <v>507</v>
      </c>
    </row>
    <row r="566" spans="2:12" x14ac:dyDescent="0.3">
      <c r="B566" s="2">
        <v>508</v>
      </c>
      <c r="C566" s="2">
        <f>COUNTIF(Eingabe[Volle],HäufigsteErgebnisse[[#This Row],[Zahl]])</f>
        <v>0</v>
      </c>
      <c r="D566" s="2">
        <f>COUNTIF(Eingabe[Räumer],HäufigsteErgebnisse[[#This Row],[Zahl]])</f>
        <v>0</v>
      </c>
      <c r="E566" s="2">
        <f>COUNTIF(Eingabe[Fehler],HäufigsteErgebnisse[[#This Row],[Zahl]])</f>
        <v>0</v>
      </c>
      <c r="F566" s="2">
        <f>COUNTIF(Eingabe[S1],HäufigsteErgebnisse[[#This Row],[Zahl]])</f>
        <v>0</v>
      </c>
      <c r="G566" s="2">
        <f>COUNTIF(Eingabe[S2],HäufigsteErgebnisse[[#This Row],[Zahl]])</f>
        <v>0</v>
      </c>
      <c r="H566" s="2">
        <f>COUNTIF(Eingabe[S3],HäufigsteErgebnisse[[#This Row],[Zahl]])</f>
        <v>0</v>
      </c>
      <c r="I566" s="2">
        <f>COUNTIF(Eingabe[S4],HäufigsteErgebnisse[[#This Row],[Zahl]])</f>
        <v>0</v>
      </c>
      <c r="J566" s="2">
        <f>COUNTIF(Eingabe[S1],HäufigsteErgebnisse[[#This Row],[Zahl]])+COUNTIF(Eingabe[S2],HäufigsteErgebnisse[[#This Row],[Zahl]])+COUNTIF(Eingabe[S3],HäufigsteErgebnisse[[#This Row],[Zahl]])+COUNTIF(Eingabe[S4],HäufigsteErgebnisse[[#This Row],[Zahl]])</f>
        <v>0</v>
      </c>
      <c r="K566" s="2">
        <f>COUNTIF(Eingabe[GES],HäufigsteErgebnisse[[#This Row],[Zahl]])</f>
        <v>5</v>
      </c>
      <c r="L566" s="2">
        <f>HäufigsteErgebnisse[[#This Row],[Zahl]]</f>
        <v>508</v>
      </c>
    </row>
    <row r="567" spans="2:12" x14ac:dyDescent="0.3">
      <c r="B567" s="2">
        <v>509</v>
      </c>
      <c r="C567" s="2">
        <f>COUNTIF(Eingabe[Volle],HäufigsteErgebnisse[[#This Row],[Zahl]])</f>
        <v>0</v>
      </c>
      <c r="D567" s="2">
        <f>COUNTIF(Eingabe[Räumer],HäufigsteErgebnisse[[#This Row],[Zahl]])</f>
        <v>0</v>
      </c>
      <c r="E567" s="2">
        <f>COUNTIF(Eingabe[Fehler],HäufigsteErgebnisse[[#This Row],[Zahl]])</f>
        <v>0</v>
      </c>
      <c r="F567" s="2">
        <f>COUNTIF(Eingabe[S1],HäufigsteErgebnisse[[#This Row],[Zahl]])</f>
        <v>0</v>
      </c>
      <c r="G567" s="2">
        <f>COUNTIF(Eingabe[S2],HäufigsteErgebnisse[[#This Row],[Zahl]])</f>
        <v>0</v>
      </c>
      <c r="H567" s="2">
        <f>COUNTIF(Eingabe[S3],HäufigsteErgebnisse[[#This Row],[Zahl]])</f>
        <v>0</v>
      </c>
      <c r="I567" s="2">
        <f>COUNTIF(Eingabe[S4],HäufigsteErgebnisse[[#This Row],[Zahl]])</f>
        <v>0</v>
      </c>
      <c r="J567" s="2">
        <f>COUNTIF(Eingabe[S1],HäufigsteErgebnisse[[#This Row],[Zahl]])+COUNTIF(Eingabe[S2],HäufigsteErgebnisse[[#This Row],[Zahl]])+COUNTIF(Eingabe[S3],HäufigsteErgebnisse[[#This Row],[Zahl]])+COUNTIF(Eingabe[S4],HäufigsteErgebnisse[[#This Row],[Zahl]])</f>
        <v>0</v>
      </c>
      <c r="K567" s="2">
        <f>COUNTIF(Eingabe[GES],HäufigsteErgebnisse[[#This Row],[Zahl]])</f>
        <v>3</v>
      </c>
      <c r="L567" s="2">
        <f>HäufigsteErgebnisse[[#This Row],[Zahl]]</f>
        <v>509</v>
      </c>
    </row>
    <row r="568" spans="2:12" x14ac:dyDescent="0.3">
      <c r="B568" s="2">
        <v>510</v>
      </c>
      <c r="C568" s="2">
        <f>COUNTIF(Eingabe[Volle],HäufigsteErgebnisse[[#This Row],[Zahl]])</f>
        <v>0</v>
      </c>
      <c r="D568" s="2">
        <f>COUNTIF(Eingabe[Räumer],HäufigsteErgebnisse[[#This Row],[Zahl]])</f>
        <v>0</v>
      </c>
      <c r="E568" s="2">
        <f>COUNTIF(Eingabe[Fehler],HäufigsteErgebnisse[[#This Row],[Zahl]])</f>
        <v>0</v>
      </c>
      <c r="F568" s="2">
        <f>COUNTIF(Eingabe[S1],HäufigsteErgebnisse[[#This Row],[Zahl]])</f>
        <v>0</v>
      </c>
      <c r="G568" s="2">
        <f>COUNTIF(Eingabe[S2],HäufigsteErgebnisse[[#This Row],[Zahl]])</f>
        <v>0</v>
      </c>
      <c r="H568" s="2">
        <f>COUNTIF(Eingabe[S3],HäufigsteErgebnisse[[#This Row],[Zahl]])</f>
        <v>0</v>
      </c>
      <c r="I568" s="2">
        <f>COUNTIF(Eingabe[S4],HäufigsteErgebnisse[[#This Row],[Zahl]])</f>
        <v>0</v>
      </c>
      <c r="J568" s="2">
        <f>COUNTIF(Eingabe[S1],HäufigsteErgebnisse[[#This Row],[Zahl]])+COUNTIF(Eingabe[S2],HäufigsteErgebnisse[[#This Row],[Zahl]])+COUNTIF(Eingabe[S3],HäufigsteErgebnisse[[#This Row],[Zahl]])+COUNTIF(Eingabe[S4],HäufigsteErgebnisse[[#This Row],[Zahl]])</f>
        <v>0</v>
      </c>
      <c r="K568" s="2">
        <f>COUNTIF(Eingabe[GES],HäufigsteErgebnisse[[#This Row],[Zahl]])</f>
        <v>2</v>
      </c>
      <c r="L568" s="2">
        <f>HäufigsteErgebnisse[[#This Row],[Zahl]]</f>
        <v>510</v>
      </c>
    </row>
    <row r="569" spans="2:12" x14ac:dyDescent="0.3">
      <c r="B569" s="2">
        <v>511</v>
      </c>
      <c r="C569" s="2">
        <f>COUNTIF(Eingabe[Volle],HäufigsteErgebnisse[[#This Row],[Zahl]])</f>
        <v>0</v>
      </c>
      <c r="D569" s="2">
        <f>COUNTIF(Eingabe[Räumer],HäufigsteErgebnisse[[#This Row],[Zahl]])</f>
        <v>0</v>
      </c>
      <c r="E569" s="2">
        <f>COUNTIF(Eingabe[Fehler],HäufigsteErgebnisse[[#This Row],[Zahl]])</f>
        <v>0</v>
      </c>
      <c r="F569" s="2">
        <f>COUNTIF(Eingabe[S1],HäufigsteErgebnisse[[#This Row],[Zahl]])</f>
        <v>0</v>
      </c>
      <c r="G569" s="2">
        <f>COUNTIF(Eingabe[S2],HäufigsteErgebnisse[[#This Row],[Zahl]])</f>
        <v>0</v>
      </c>
      <c r="H569" s="2">
        <f>COUNTIF(Eingabe[S3],HäufigsteErgebnisse[[#This Row],[Zahl]])</f>
        <v>0</v>
      </c>
      <c r="I569" s="2">
        <f>COUNTIF(Eingabe[S4],HäufigsteErgebnisse[[#This Row],[Zahl]])</f>
        <v>0</v>
      </c>
      <c r="J569" s="2">
        <f>COUNTIF(Eingabe[S1],HäufigsteErgebnisse[[#This Row],[Zahl]])+COUNTIF(Eingabe[S2],HäufigsteErgebnisse[[#This Row],[Zahl]])+COUNTIF(Eingabe[S3],HäufigsteErgebnisse[[#This Row],[Zahl]])+COUNTIF(Eingabe[S4],HäufigsteErgebnisse[[#This Row],[Zahl]])</f>
        <v>0</v>
      </c>
      <c r="K569" s="2">
        <f>COUNTIF(Eingabe[GES],HäufigsteErgebnisse[[#This Row],[Zahl]])</f>
        <v>5</v>
      </c>
      <c r="L569" s="2">
        <f>HäufigsteErgebnisse[[#This Row],[Zahl]]</f>
        <v>511</v>
      </c>
    </row>
    <row r="570" spans="2:12" x14ac:dyDescent="0.3">
      <c r="B570" s="2">
        <v>512</v>
      </c>
      <c r="C570" s="2">
        <f>COUNTIF(Eingabe[Volle],HäufigsteErgebnisse[[#This Row],[Zahl]])</f>
        <v>0</v>
      </c>
      <c r="D570" s="2">
        <f>COUNTIF(Eingabe[Räumer],HäufigsteErgebnisse[[#This Row],[Zahl]])</f>
        <v>0</v>
      </c>
      <c r="E570" s="2">
        <f>COUNTIF(Eingabe[Fehler],HäufigsteErgebnisse[[#This Row],[Zahl]])</f>
        <v>0</v>
      </c>
      <c r="F570" s="2">
        <f>COUNTIF(Eingabe[S1],HäufigsteErgebnisse[[#This Row],[Zahl]])</f>
        <v>0</v>
      </c>
      <c r="G570" s="2">
        <f>COUNTIF(Eingabe[S2],HäufigsteErgebnisse[[#This Row],[Zahl]])</f>
        <v>0</v>
      </c>
      <c r="H570" s="2">
        <f>COUNTIF(Eingabe[S3],HäufigsteErgebnisse[[#This Row],[Zahl]])</f>
        <v>0</v>
      </c>
      <c r="I570" s="2">
        <f>COUNTIF(Eingabe[S4],HäufigsteErgebnisse[[#This Row],[Zahl]])</f>
        <v>0</v>
      </c>
      <c r="J570" s="2">
        <f>COUNTIF(Eingabe[S1],HäufigsteErgebnisse[[#This Row],[Zahl]])+COUNTIF(Eingabe[S2],HäufigsteErgebnisse[[#This Row],[Zahl]])+COUNTIF(Eingabe[S3],HäufigsteErgebnisse[[#This Row],[Zahl]])+COUNTIF(Eingabe[S4],HäufigsteErgebnisse[[#This Row],[Zahl]])</f>
        <v>0</v>
      </c>
      <c r="K570" s="2">
        <f>COUNTIF(Eingabe[GES],HäufigsteErgebnisse[[#This Row],[Zahl]])</f>
        <v>6</v>
      </c>
      <c r="L570" s="2">
        <f>HäufigsteErgebnisse[[#This Row],[Zahl]]</f>
        <v>512</v>
      </c>
    </row>
    <row r="571" spans="2:12" x14ac:dyDescent="0.3">
      <c r="B571" s="2">
        <v>513</v>
      </c>
      <c r="C571" s="2">
        <f>COUNTIF(Eingabe[Volle],HäufigsteErgebnisse[[#This Row],[Zahl]])</f>
        <v>0</v>
      </c>
      <c r="D571" s="2">
        <f>COUNTIF(Eingabe[Räumer],HäufigsteErgebnisse[[#This Row],[Zahl]])</f>
        <v>0</v>
      </c>
      <c r="E571" s="2">
        <f>COUNTIF(Eingabe[Fehler],HäufigsteErgebnisse[[#This Row],[Zahl]])</f>
        <v>0</v>
      </c>
      <c r="F571" s="2">
        <f>COUNTIF(Eingabe[S1],HäufigsteErgebnisse[[#This Row],[Zahl]])</f>
        <v>0</v>
      </c>
      <c r="G571" s="2">
        <f>COUNTIF(Eingabe[S2],HäufigsteErgebnisse[[#This Row],[Zahl]])</f>
        <v>0</v>
      </c>
      <c r="H571" s="2">
        <f>COUNTIF(Eingabe[S3],HäufigsteErgebnisse[[#This Row],[Zahl]])</f>
        <v>0</v>
      </c>
      <c r="I571" s="2">
        <f>COUNTIF(Eingabe[S4],HäufigsteErgebnisse[[#This Row],[Zahl]])</f>
        <v>0</v>
      </c>
      <c r="J571" s="2">
        <f>COUNTIF(Eingabe[S1],HäufigsteErgebnisse[[#This Row],[Zahl]])+COUNTIF(Eingabe[S2],HäufigsteErgebnisse[[#This Row],[Zahl]])+COUNTIF(Eingabe[S3],HäufigsteErgebnisse[[#This Row],[Zahl]])+COUNTIF(Eingabe[S4],HäufigsteErgebnisse[[#This Row],[Zahl]])</f>
        <v>0</v>
      </c>
      <c r="K571" s="2">
        <f>COUNTIF(Eingabe[GES],HäufigsteErgebnisse[[#This Row],[Zahl]])</f>
        <v>4</v>
      </c>
      <c r="L571" s="2">
        <f>HäufigsteErgebnisse[[#This Row],[Zahl]]</f>
        <v>513</v>
      </c>
    </row>
    <row r="572" spans="2:12" x14ac:dyDescent="0.3">
      <c r="B572" s="2">
        <v>514</v>
      </c>
      <c r="C572" s="2">
        <f>COUNTIF(Eingabe[Volle],HäufigsteErgebnisse[[#This Row],[Zahl]])</f>
        <v>0</v>
      </c>
      <c r="D572" s="2">
        <f>COUNTIF(Eingabe[Räumer],HäufigsteErgebnisse[[#This Row],[Zahl]])</f>
        <v>0</v>
      </c>
      <c r="E572" s="2">
        <f>COUNTIF(Eingabe[Fehler],HäufigsteErgebnisse[[#This Row],[Zahl]])</f>
        <v>0</v>
      </c>
      <c r="F572" s="2">
        <f>COUNTIF(Eingabe[S1],HäufigsteErgebnisse[[#This Row],[Zahl]])</f>
        <v>0</v>
      </c>
      <c r="G572" s="2">
        <f>COUNTIF(Eingabe[S2],HäufigsteErgebnisse[[#This Row],[Zahl]])</f>
        <v>0</v>
      </c>
      <c r="H572" s="2">
        <f>COUNTIF(Eingabe[S3],HäufigsteErgebnisse[[#This Row],[Zahl]])</f>
        <v>0</v>
      </c>
      <c r="I572" s="2">
        <f>COUNTIF(Eingabe[S4],HäufigsteErgebnisse[[#This Row],[Zahl]])</f>
        <v>0</v>
      </c>
      <c r="J572" s="2">
        <f>COUNTIF(Eingabe[S1],HäufigsteErgebnisse[[#This Row],[Zahl]])+COUNTIF(Eingabe[S2],HäufigsteErgebnisse[[#This Row],[Zahl]])+COUNTIF(Eingabe[S3],HäufigsteErgebnisse[[#This Row],[Zahl]])+COUNTIF(Eingabe[S4],HäufigsteErgebnisse[[#This Row],[Zahl]])</f>
        <v>0</v>
      </c>
      <c r="K572" s="2">
        <f>COUNTIF(Eingabe[GES],HäufigsteErgebnisse[[#This Row],[Zahl]])</f>
        <v>2</v>
      </c>
      <c r="L572" s="2">
        <f>HäufigsteErgebnisse[[#This Row],[Zahl]]</f>
        <v>514</v>
      </c>
    </row>
    <row r="573" spans="2:12" x14ac:dyDescent="0.3">
      <c r="B573" s="2">
        <v>515</v>
      </c>
      <c r="C573" s="2">
        <f>COUNTIF(Eingabe[Volle],HäufigsteErgebnisse[[#This Row],[Zahl]])</f>
        <v>0</v>
      </c>
      <c r="D573" s="2">
        <f>COUNTIF(Eingabe[Räumer],HäufigsteErgebnisse[[#This Row],[Zahl]])</f>
        <v>0</v>
      </c>
      <c r="E573" s="2">
        <f>COUNTIF(Eingabe[Fehler],HäufigsteErgebnisse[[#This Row],[Zahl]])</f>
        <v>0</v>
      </c>
      <c r="F573" s="2">
        <f>COUNTIF(Eingabe[S1],HäufigsteErgebnisse[[#This Row],[Zahl]])</f>
        <v>0</v>
      </c>
      <c r="G573" s="2">
        <f>COUNTIF(Eingabe[S2],HäufigsteErgebnisse[[#This Row],[Zahl]])</f>
        <v>0</v>
      </c>
      <c r="H573" s="2">
        <f>COUNTIF(Eingabe[S3],HäufigsteErgebnisse[[#This Row],[Zahl]])</f>
        <v>0</v>
      </c>
      <c r="I573" s="2">
        <f>COUNTIF(Eingabe[S4],HäufigsteErgebnisse[[#This Row],[Zahl]])</f>
        <v>0</v>
      </c>
      <c r="J573" s="2">
        <f>COUNTIF(Eingabe[S1],HäufigsteErgebnisse[[#This Row],[Zahl]])+COUNTIF(Eingabe[S2],HäufigsteErgebnisse[[#This Row],[Zahl]])+COUNTIF(Eingabe[S3],HäufigsteErgebnisse[[#This Row],[Zahl]])+COUNTIF(Eingabe[S4],HäufigsteErgebnisse[[#This Row],[Zahl]])</f>
        <v>0</v>
      </c>
      <c r="K573" s="2">
        <f>COUNTIF(Eingabe[GES],HäufigsteErgebnisse[[#This Row],[Zahl]])</f>
        <v>2</v>
      </c>
      <c r="L573" s="2">
        <f>HäufigsteErgebnisse[[#This Row],[Zahl]]</f>
        <v>515</v>
      </c>
    </row>
    <row r="574" spans="2:12" x14ac:dyDescent="0.3">
      <c r="B574" s="2">
        <v>516</v>
      </c>
      <c r="C574" s="2">
        <f>COUNTIF(Eingabe[Volle],HäufigsteErgebnisse[[#This Row],[Zahl]])</f>
        <v>0</v>
      </c>
      <c r="D574" s="2">
        <f>COUNTIF(Eingabe[Räumer],HäufigsteErgebnisse[[#This Row],[Zahl]])</f>
        <v>0</v>
      </c>
      <c r="E574" s="2">
        <f>COUNTIF(Eingabe[Fehler],HäufigsteErgebnisse[[#This Row],[Zahl]])</f>
        <v>0</v>
      </c>
      <c r="F574" s="2">
        <f>COUNTIF(Eingabe[S1],HäufigsteErgebnisse[[#This Row],[Zahl]])</f>
        <v>0</v>
      </c>
      <c r="G574" s="2">
        <f>COUNTIF(Eingabe[S2],HäufigsteErgebnisse[[#This Row],[Zahl]])</f>
        <v>0</v>
      </c>
      <c r="H574" s="2">
        <f>COUNTIF(Eingabe[S3],HäufigsteErgebnisse[[#This Row],[Zahl]])</f>
        <v>0</v>
      </c>
      <c r="I574" s="2">
        <f>COUNTIF(Eingabe[S4],HäufigsteErgebnisse[[#This Row],[Zahl]])</f>
        <v>0</v>
      </c>
      <c r="J574" s="2">
        <f>COUNTIF(Eingabe[S1],HäufigsteErgebnisse[[#This Row],[Zahl]])+COUNTIF(Eingabe[S2],HäufigsteErgebnisse[[#This Row],[Zahl]])+COUNTIF(Eingabe[S3],HäufigsteErgebnisse[[#This Row],[Zahl]])+COUNTIF(Eingabe[S4],HäufigsteErgebnisse[[#This Row],[Zahl]])</f>
        <v>0</v>
      </c>
      <c r="K574" s="2">
        <f>COUNTIF(Eingabe[GES],HäufigsteErgebnisse[[#This Row],[Zahl]])</f>
        <v>1</v>
      </c>
      <c r="L574" s="2">
        <f>HäufigsteErgebnisse[[#This Row],[Zahl]]</f>
        <v>516</v>
      </c>
    </row>
    <row r="575" spans="2:12" x14ac:dyDescent="0.3">
      <c r="B575" s="2">
        <v>517</v>
      </c>
      <c r="C575" s="2">
        <f>COUNTIF(Eingabe[Volle],HäufigsteErgebnisse[[#This Row],[Zahl]])</f>
        <v>0</v>
      </c>
      <c r="D575" s="2">
        <f>COUNTIF(Eingabe[Räumer],HäufigsteErgebnisse[[#This Row],[Zahl]])</f>
        <v>0</v>
      </c>
      <c r="E575" s="2">
        <f>COUNTIF(Eingabe[Fehler],HäufigsteErgebnisse[[#This Row],[Zahl]])</f>
        <v>0</v>
      </c>
      <c r="F575" s="2">
        <f>COUNTIF(Eingabe[S1],HäufigsteErgebnisse[[#This Row],[Zahl]])</f>
        <v>0</v>
      </c>
      <c r="G575" s="2">
        <f>COUNTIF(Eingabe[S2],HäufigsteErgebnisse[[#This Row],[Zahl]])</f>
        <v>0</v>
      </c>
      <c r="H575" s="2">
        <f>COUNTIF(Eingabe[S3],HäufigsteErgebnisse[[#This Row],[Zahl]])</f>
        <v>0</v>
      </c>
      <c r="I575" s="2">
        <f>COUNTIF(Eingabe[S4],HäufigsteErgebnisse[[#This Row],[Zahl]])</f>
        <v>0</v>
      </c>
      <c r="J575" s="2">
        <f>COUNTIF(Eingabe[S1],HäufigsteErgebnisse[[#This Row],[Zahl]])+COUNTIF(Eingabe[S2],HäufigsteErgebnisse[[#This Row],[Zahl]])+COUNTIF(Eingabe[S3],HäufigsteErgebnisse[[#This Row],[Zahl]])+COUNTIF(Eingabe[S4],HäufigsteErgebnisse[[#This Row],[Zahl]])</f>
        <v>0</v>
      </c>
      <c r="K575" s="2">
        <f>COUNTIF(Eingabe[GES],HäufigsteErgebnisse[[#This Row],[Zahl]])</f>
        <v>2</v>
      </c>
      <c r="L575" s="2">
        <f>HäufigsteErgebnisse[[#This Row],[Zahl]]</f>
        <v>517</v>
      </c>
    </row>
    <row r="576" spans="2:12" x14ac:dyDescent="0.3">
      <c r="B576" s="2">
        <v>518</v>
      </c>
      <c r="C576" s="2">
        <f>COUNTIF(Eingabe[Volle],HäufigsteErgebnisse[[#This Row],[Zahl]])</f>
        <v>0</v>
      </c>
      <c r="D576" s="2">
        <f>COUNTIF(Eingabe[Räumer],HäufigsteErgebnisse[[#This Row],[Zahl]])</f>
        <v>0</v>
      </c>
      <c r="E576" s="2">
        <f>COUNTIF(Eingabe[Fehler],HäufigsteErgebnisse[[#This Row],[Zahl]])</f>
        <v>0</v>
      </c>
      <c r="F576" s="2">
        <f>COUNTIF(Eingabe[S1],HäufigsteErgebnisse[[#This Row],[Zahl]])</f>
        <v>0</v>
      </c>
      <c r="G576" s="2">
        <f>COUNTIF(Eingabe[S2],HäufigsteErgebnisse[[#This Row],[Zahl]])</f>
        <v>0</v>
      </c>
      <c r="H576" s="2">
        <f>COUNTIF(Eingabe[S3],HäufigsteErgebnisse[[#This Row],[Zahl]])</f>
        <v>0</v>
      </c>
      <c r="I576" s="2">
        <f>COUNTIF(Eingabe[S4],HäufigsteErgebnisse[[#This Row],[Zahl]])</f>
        <v>0</v>
      </c>
      <c r="J576" s="2">
        <f>COUNTIF(Eingabe[S1],HäufigsteErgebnisse[[#This Row],[Zahl]])+COUNTIF(Eingabe[S2],HäufigsteErgebnisse[[#This Row],[Zahl]])+COUNTIF(Eingabe[S3],HäufigsteErgebnisse[[#This Row],[Zahl]])+COUNTIF(Eingabe[S4],HäufigsteErgebnisse[[#This Row],[Zahl]])</f>
        <v>0</v>
      </c>
      <c r="K576" s="2">
        <f>COUNTIF(Eingabe[GES],HäufigsteErgebnisse[[#This Row],[Zahl]])</f>
        <v>2</v>
      </c>
      <c r="L576" s="2">
        <f>HäufigsteErgebnisse[[#This Row],[Zahl]]</f>
        <v>518</v>
      </c>
    </row>
    <row r="577" spans="2:12" x14ac:dyDescent="0.3">
      <c r="B577" s="2">
        <v>519</v>
      </c>
      <c r="C577" s="2">
        <f>COUNTIF(Eingabe[Volle],HäufigsteErgebnisse[[#This Row],[Zahl]])</f>
        <v>0</v>
      </c>
      <c r="D577" s="2">
        <f>COUNTIF(Eingabe[Räumer],HäufigsteErgebnisse[[#This Row],[Zahl]])</f>
        <v>0</v>
      </c>
      <c r="E577" s="2">
        <f>COUNTIF(Eingabe[Fehler],HäufigsteErgebnisse[[#This Row],[Zahl]])</f>
        <v>0</v>
      </c>
      <c r="F577" s="2">
        <f>COUNTIF(Eingabe[S1],HäufigsteErgebnisse[[#This Row],[Zahl]])</f>
        <v>0</v>
      </c>
      <c r="G577" s="2">
        <f>COUNTIF(Eingabe[S2],HäufigsteErgebnisse[[#This Row],[Zahl]])</f>
        <v>0</v>
      </c>
      <c r="H577" s="2">
        <f>COUNTIF(Eingabe[S3],HäufigsteErgebnisse[[#This Row],[Zahl]])</f>
        <v>0</v>
      </c>
      <c r="I577" s="2">
        <f>COUNTIF(Eingabe[S4],HäufigsteErgebnisse[[#This Row],[Zahl]])</f>
        <v>0</v>
      </c>
      <c r="J577" s="2">
        <f>COUNTIF(Eingabe[S1],HäufigsteErgebnisse[[#This Row],[Zahl]])+COUNTIF(Eingabe[S2],HäufigsteErgebnisse[[#This Row],[Zahl]])+COUNTIF(Eingabe[S3],HäufigsteErgebnisse[[#This Row],[Zahl]])+COUNTIF(Eingabe[S4],HäufigsteErgebnisse[[#This Row],[Zahl]])</f>
        <v>0</v>
      </c>
      <c r="K577" s="2">
        <f>COUNTIF(Eingabe[GES],HäufigsteErgebnisse[[#This Row],[Zahl]])</f>
        <v>1</v>
      </c>
      <c r="L577" s="2">
        <f>HäufigsteErgebnisse[[#This Row],[Zahl]]</f>
        <v>519</v>
      </c>
    </row>
    <row r="578" spans="2:12" x14ac:dyDescent="0.3">
      <c r="B578" s="2">
        <v>520</v>
      </c>
      <c r="C578" s="2">
        <f>COUNTIF(Eingabe[Volle],HäufigsteErgebnisse[[#This Row],[Zahl]])</f>
        <v>0</v>
      </c>
      <c r="D578" s="2">
        <f>COUNTIF(Eingabe[Räumer],HäufigsteErgebnisse[[#This Row],[Zahl]])</f>
        <v>0</v>
      </c>
      <c r="E578" s="2">
        <f>COUNTIF(Eingabe[Fehler],HäufigsteErgebnisse[[#This Row],[Zahl]])</f>
        <v>0</v>
      </c>
      <c r="F578" s="2">
        <f>COUNTIF(Eingabe[S1],HäufigsteErgebnisse[[#This Row],[Zahl]])</f>
        <v>0</v>
      </c>
      <c r="G578" s="2">
        <f>COUNTIF(Eingabe[S2],HäufigsteErgebnisse[[#This Row],[Zahl]])</f>
        <v>0</v>
      </c>
      <c r="H578" s="2">
        <f>COUNTIF(Eingabe[S3],HäufigsteErgebnisse[[#This Row],[Zahl]])</f>
        <v>0</v>
      </c>
      <c r="I578" s="2">
        <f>COUNTIF(Eingabe[S4],HäufigsteErgebnisse[[#This Row],[Zahl]])</f>
        <v>0</v>
      </c>
      <c r="J578" s="2">
        <f>COUNTIF(Eingabe[S1],HäufigsteErgebnisse[[#This Row],[Zahl]])+COUNTIF(Eingabe[S2],HäufigsteErgebnisse[[#This Row],[Zahl]])+COUNTIF(Eingabe[S3],HäufigsteErgebnisse[[#This Row],[Zahl]])+COUNTIF(Eingabe[S4],HäufigsteErgebnisse[[#This Row],[Zahl]])</f>
        <v>0</v>
      </c>
      <c r="K578" s="2">
        <f>COUNTIF(Eingabe[GES],HäufigsteErgebnisse[[#This Row],[Zahl]])</f>
        <v>5</v>
      </c>
      <c r="L578" s="2">
        <f>HäufigsteErgebnisse[[#This Row],[Zahl]]</f>
        <v>520</v>
      </c>
    </row>
    <row r="579" spans="2:12" x14ac:dyDescent="0.3">
      <c r="B579" s="2">
        <v>521</v>
      </c>
      <c r="C579" s="2">
        <f>COUNTIF(Eingabe[Volle],HäufigsteErgebnisse[[#This Row],[Zahl]])</f>
        <v>0</v>
      </c>
      <c r="D579" s="2">
        <f>COUNTIF(Eingabe[Räumer],HäufigsteErgebnisse[[#This Row],[Zahl]])</f>
        <v>0</v>
      </c>
      <c r="E579" s="2">
        <f>COUNTIF(Eingabe[Fehler],HäufigsteErgebnisse[[#This Row],[Zahl]])</f>
        <v>0</v>
      </c>
      <c r="F579" s="2">
        <f>COUNTIF(Eingabe[S1],HäufigsteErgebnisse[[#This Row],[Zahl]])</f>
        <v>0</v>
      </c>
      <c r="G579" s="2">
        <f>COUNTIF(Eingabe[S2],HäufigsteErgebnisse[[#This Row],[Zahl]])</f>
        <v>0</v>
      </c>
      <c r="H579" s="2">
        <f>COUNTIF(Eingabe[S3],HäufigsteErgebnisse[[#This Row],[Zahl]])</f>
        <v>0</v>
      </c>
      <c r="I579" s="2">
        <f>COUNTIF(Eingabe[S4],HäufigsteErgebnisse[[#This Row],[Zahl]])</f>
        <v>0</v>
      </c>
      <c r="J579" s="2">
        <f>COUNTIF(Eingabe[S1],HäufigsteErgebnisse[[#This Row],[Zahl]])+COUNTIF(Eingabe[S2],HäufigsteErgebnisse[[#This Row],[Zahl]])+COUNTIF(Eingabe[S3],HäufigsteErgebnisse[[#This Row],[Zahl]])+COUNTIF(Eingabe[S4],HäufigsteErgebnisse[[#This Row],[Zahl]])</f>
        <v>0</v>
      </c>
      <c r="K579" s="2">
        <f>COUNTIF(Eingabe[GES],HäufigsteErgebnisse[[#This Row],[Zahl]])</f>
        <v>5</v>
      </c>
      <c r="L579" s="2">
        <f>HäufigsteErgebnisse[[#This Row],[Zahl]]</f>
        <v>521</v>
      </c>
    </row>
    <row r="580" spans="2:12" x14ac:dyDescent="0.3">
      <c r="B580" s="2">
        <v>522</v>
      </c>
      <c r="C580" s="2">
        <f>COUNTIF(Eingabe[Volle],HäufigsteErgebnisse[[#This Row],[Zahl]])</f>
        <v>0</v>
      </c>
      <c r="D580" s="2">
        <f>COUNTIF(Eingabe[Räumer],HäufigsteErgebnisse[[#This Row],[Zahl]])</f>
        <v>0</v>
      </c>
      <c r="E580" s="2">
        <f>COUNTIF(Eingabe[Fehler],HäufigsteErgebnisse[[#This Row],[Zahl]])</f>
        <v>0</v>
      </c>
      <c r="F580" s="2">
        <f>COUNTIF(Eingabe[S1],HäufigsteErgebnisse[[#This Row],[Zahl]])</f>
        <v>0</v>
      </c>
      <c r="G580" s="2">
        <f>COUNTIF(Eingabe[S2],HäufigsteErgebnisse[[#This Row],[Zahl]])</f>
        <v>0</v>
      </c>
      <c r="H580" s="2">
        <f>COUNTIF(Eingabe[S3],HäufigsteErgebnisse[[#This Row],[Zahl]])</f>
        <v>0</v>
      </c>
      <c r="I580" s="2">
        <f>COUNTIF(Eingabe[S4],HäufigsteErgebnisse[[#This Row],[Zahl]])</f>
        <v>0</v>
      </c>
      <c r="J580" s="2">
        <f>COUNTIF(Eingabe[S1],HäufigsteErgebnisse[[#This Row],[Zahl]])+COUNTIF(Eingabe[S2],HäufigsteErgebnisse[[#This Row],[Zahl]])+COUNTIF(Eingabe[S3],HäufigsteErgebnisse[[#This Row],[Zahl]])+COUNTIF(Eingabe[S4],HäufigsteErgebnisse[[#This Row],[Zahl]])</f>
        <v>0</v>
      </c>
      <c r="K580" s="2">
        <f>COUNTIF(Eingabe[GES],HäufigsteErgebnisse[[#This Row],[Zahl]])</f>
        <v>3</v>
      </c>
      <c r="L580" s="2">
        <f>HäufigsteErgebnisse[[#This Row],[Zahl]]</f>
        <v>522</v>
      </c>
    </row>
    <row r="581" spans="2:12" x14ac:dyDescent="0.3">
      <c r="B581" s="2">
        <v>523</v>
      </c>
      <c r="C581" s="2">
        <f>COUNTIF(Eingabe[Volle],HäufigsteErgebnisse[[#This Row],[Zahl]])</f>
        <v>0</v>
      </c>
      <c r="D581" s="2">
        <f>COUNTIF(Eingabe[Räumer],HäufigsteErgebnisse[[#This Row],[Zahl]])</f>
        <v>0</v>
      </c>
      <c r="E581" s="2">
        <f>COUNTIF(Eingabe[Fehler],HäufigsteErgebnisse[[#This Row],[Zahl]])</f>
        <v>0</v>
      </c>
      <c r="F581" s="2">
        <f>COUNTIF(Eingabe[S1],HäufigsteErgebnisse[[#This Row],[Zahl]])</f>
        <v>0</v>
      </c>
      <c r="G581" s="2">
        <f>COUNTIF(Eingabe[S2],HäufigsteErgebnisse[[#This Row],[Zahl]])</f>
        <v>0</v>
      </c>
      <c r="H581" s="2">
        <f>COUNTIF(Eingabe[S3],HäufigsteErgebnisse[[#This Row],[Zahl]])</f>
        <v>0</v>
      </c>
      <c r="I581" s="2">
        <f>COUNTIF(Eingabe[S4],HäufigsteErgebnisse[[#This Row],[Zahl]])</f>
        <v>0</v>
      </c>
      <c r="J581" s="2">
        <f>COUNTIF(Eingabe[S1],HäufigsteErgebnisse[[#This Row],[Zahl]])+COUNTIF(Eingabe[S2],HäufigsteErgebnisse[[#This Row],[Zahl]])+COUNTIF(Eingabe[S3],HäufigsteErgebnisse[[#This Row],[Zahl]])+COUNTIF(Eingabe[S4],HäufigsteErgebnisse[[#This Row],[Zahl]])</f>
        <v>0</v>
      </c>
      <c r="K581" s="2">
        <f>COUNTIF(Eingabe[GES],HäufigsteErgebnisse[[#This Row],[Zahl]])</f>
        <v>2</v>
      </c>
      <c r="L581" s="2">
        <f>HäufigsteErgebnisse[[#This Row],[Zahl]]</f>
        <v>523</v>
      </c>
    </row>
    <row r="582" spans="2:12" x14ac:dyDescent="0.3">
      <c r="B582" s="2">
        <v>524</v>
      </c>
      <c r="C582" s="2">
        <f>COUNTIF(Eingabe[Volle],HäufigsteErgebnisse[[#This Row],[Zahl]])</f>
        <v>0</v>
      </c>
      <c r="D582" s="2">
        <f>COUNTIF(Eingabe[Räumer],HäufigsteErgebnisse[[#This Row],[Zahl]])</f>
        <v>0</v>
      </c>
      <c r="E582" s="2">
        <f>COUNTIF(Eingabe[Fehler],HäufigsteErgebnisse[[#This Row],[Zahl]])</f>
        <v>0</v>
      </c>
      <c r="F582" s="2">
        <f>COUNTIF(Eingabe[S1],HäufigsteErgebnisse[[#This Row],[Zahl]])</f>
        <v>0</v>
      </c>
      <c r="G582" s="2">
        <f>COUNTIF(Eingabe[S2],HäufigsteErgebnisse[[#This Row],[Zahl]])</f>
        <v>0</v>
      </c>
      <c r="H582" s="2">
        <f>COUNTIF(Eingabe[S3],HäufigsteErgebnisse[[#This Row],[Zahl]])</f>
        <v>0</v>
      </c>
      <c r="I582" s="2">
        <f>COUNTIF(Eingabe[S4],HäufigsteErgebnisse[[#This Row],[Zahl]])</f>
        <v>0</v>
      </c>
      <c r="J582" s="2">
        <f>COUNTIF(Eingabe[S1],HäufigsteErgebnisse[[#This Row],[Zahl]])+COUNTIF(Eingabe[S2],HäufigsteErgebnisse[[#This Row],[Zahl]])+COUNTIF(Eingabe[S3],HäufigsteErgebnisse[[#This Row],[Zahl]])+COUNTIF(Eingabe[S4],HäufigsteErgebnisse[[#This Row],[Zahl]])</f>
        <v>0</v>
      </c>
      <c r="K582" s="2">
        <f>COUNTIF(Eingabe[GES],HäufigsteErgebnisse[[#This Row],[Zahl]])</f>
        <v>1</v>
      </c>
      <c r="L582" s="2">
        <f>HäufigsteErgebnisse[[#This Row],[Zahl]]</f>
        <v>524</v>
      </c>
    </row>
    <row r="583" spans="2:12" x14ac:dyDescent="0.3">
      <c r="B583" s="2">
        <v>525</v>
      </c>
      <c r="C583" s="2">
        <f>COUNTIF(Eingabe[Volle],HäufigsteErgebnisse[[#This Row],[Zahl]])</f>
        <v>0</v>
      </c>
      <c r="D583" s="2">
        <f>COUNTIF(Eingabe[Räumer],HäufigsteErgebnisse[[#This Row],[Zahl]])</f>
        <v>0</v>
      </c>
      <c r="E583" s="2">
        <f>COUNTIF(Eingabe[Fehler],HäufigsteErgebnisse[[#This Row],[Zahl]])</f>
        <v>0</v>
      </c>
      <c r="F583" s="2">
        <f>COUNTIF(Eingabe[S1],HäufigsteErgebnisse[[#This Row],[Zahl]])</f>
        <v>0</v>
      </c>
      <c r="G583" s="2">
        <f>COUNTIF(Eingabe[S2],HäufigsteErgebnisse[[#This Row],[Zahl]])</f>
        <v>0</v>
      </c>
      <c r="H583" s="2">
        <f>COUNTIF(Eingabe[S3],HäufigsteErgebnisse[[#This Row],[Zahl]])</f>
        <v>0</v>
      </c>
      <c r="I583" s="2">
        <f>COUNTIF(Eingabe[S4],HäufigsteErgebnisse[[#This Row],[Zahl]])</f>
        <v>0</v>
      </c>
      <c r="J583" s="2">
        <f>COUNTIF(Eingabe[S1],HäufigsteErgebnisse[[#This Row],[Zahl]])+COUNTIF(Eingabe[S2],HäufigsteErgebnisse[[#This Row],[Zahl]])+COUNTIF(Eingabe[S3],HäufigsteErgebnisse[[#This Row],[Zahl]])+COUNTIF(Eingabe[S4],HäufigsteErgebnisse[[#This Row],[Zahl]])</f>
        <v>0</v>
      </c>
      <c r="K583" s="2">
        <f>COUNTIF(Eingabe[GES],HäufigsteErgebnisse[[#This Row],[Zahl]])</f>
        <v>1</v>
      </c>
      <c r="L583" s="2">
        <f>HäufigsteErgebnisse[[#This Row],[Zahl]]</f>
        <v>525</v>
      </c>
    </row>
    <row r="584" spans="2:12" x14ac:dyDescent="0.3">
      <c r="B584" s="2">
        <v>526</v>
      </c>
      <c r="C584" s="2">
        <f>COUNTIF(Eingabe[Volle],HäufigsteErgebnisse[[#This Row],[Zahl]])</f>
        <v>0</v>
      </c>
      <c r="D584" s="2">
        <f>COUNTIF(Eingabe[Räumer],HäufigsteErgebnisse[[#This Row],[Zahl]])</f>
        <v>0</v>
      </c>
      <c r="E584" s="2">
        <f>COUNTIF(Eingabe[Fehler],HäufigsteErgebnisse[[#This Row],[Zahl]])</f>
        <v>0</v>
      </c>
      <c r="F584" s="2">
        <f>COUNTIF(Eingabe[S1],HäufigsteErgebnisse[[#This Row],[Zahl]])</f>
        <v>0</v>
      </c>
      <c r="G584" s="2">
        <f>COUNTIF(Eingabe[S2],HäufigsteErgebnisse[[#This Row],[Zahl]])</f>
        <v>0</v>
      </c>
      <c r="H584" s="2">
        <f>COUNTIF(Eingabe[S3],HäufigsteErgebnisse[[#This Row],[Zahl]])</f>
        <v>0</v>
      </c>
      <c r="I584" s="2">
        <f>COUNTIF(Eingabe[S4],HäufigsteErgebnisse[[#This Row],[Zahl]])</f>
        <v>0</v>
      </c>
      <c r="J584" s="2">
        <f>COUNTIF(Eingabe[S1],HäufigsteErgebnisse[[#This Row],[Zahl]])+COUNTIF(Eingabe[S2],HäufigsteErgebnisse[[#This Row],[Zahl]])+COUNTIF(Eingabe[S3],HäufigsteErgebnisse[[#This Row],[Zahl]])+COUNTIF(Eingabe[S4],HäufigsteErgebnisse[[#This Row],[Zahl]])</f>
        <v>0</v>
      </c>
      <c r="K584" s="2">
        <f>COUNTIF(Eingabe[GES],HäufigsteErgebnisse[[#This Row],[Zahl]])</f>
        <v>7</v>
      </c>
      <c r="L584" s="2">
        <f>HäufigsteErgebnisse[[#This Row],[Zahl]]</f>
        <v>526</v>
      </c>
    </row>
    <row r="585" spans="2:12" x14ac:dyDescent="0.3">
      <c r="B585" s="2">
        <v>527</v>
      </c>
      <c r="C585" s="2">
        <f>COUNTIF(Eingabe[Volle],HäufigsteErgebnisse[[#This Row],[Zahl]])</f>
        <v>0</v>
      </c>
      <c r="D585" s="2">
        <f>COUNTIF(Eingabe[Räumer],HäufigsteErgebnisse[[#This Row],[Zahl]])</f>
        <v>0</v>
      </c>
      <c r="E585" s="2">
        <f>COUNTIF(Eingabe[Fehler],HäufigsteErgebnisse[[#This Row],[Zahl]])</f>
        <v>0</v>
      </c>
      <c r="F585" s="2">
        <f>COUNTIF(Eingabe[S1],HäufigsteErgebnisse[[#This Row],[Zahl]])</f>
        <v>0</v>
      </c>
      <c r="G585" s="2">
        <f>COUNTIF(Eingabe[S2],HäufigsteErgebnisse[[#This Row],[Zahl]])</f>
        <v>0</v>
      </c>
      <c r="H585" s="2">
        <f>COUNTIF(Eingabe[S3],HäufigsteErgebnisse[[#This Row],[Zahl]])</f>
        <v>0</v>
      </c>
      <c r="I585" s="2">
        <f>COUNTIF(Eingabe[S4],HäufigsteErgebnisse[[#This Row],[Zahl]])</f>
        <v>0</v>
      </c>
      <c r="J585" s="2">
        <f>COUNTIF(Eingabe[S1],HäufigsteErgebnisse[[#This Row],[Zahl]])+COUNTIF(Eingabe[S2],HäufigsteErgebnisse[[#This Row],[Zahl]])+COUNTIF(Eingabe[S3],HäufigsteErgebnisse[[#This Row],[Zahl]])+COUNTIF(Eingabe[S4],HäufigsteErgebnisse[[#This Row],[Zahl]])</f>
        <v>0</v>
      </c>
      <c r="K585" s="2">
        <f>COUNTIF(Eingabe[GES],HäufigsteErgebnisse[[#This Row],[Zahl]])</f>
        <v>3</v>
      </c>
      <c r="L585" s="2">
        <f>HäufigsteErgebnisse[[#This Row],[Zahl]]</f>
        <v>527</v>
      </c>
    </row>
    <row r="586" spans="2:12" x14ac:dyDescent="0.3">
      <c r="B586" s="2">
        <v>528</v>
      </c>
      <c r="C586" s="2">
        <f>COUNTIF(Eingabe[Volle],HäufigsteErgebnisse[[#This Row],[Zahl]])</f>
        <v>0</v>
      </c>
      <c r="D586" s="2">
        <f>COUNTIF(Eingabe[Räumer],HäufigsteErgebnisse[[#This Row],[Zahl]])</f>
        <v>0</v>
      </c>
      <c r="E586" s="2">
        <f>COUNTIF(Eingabe[Fehler],HäufigsteErgebnisse[[#This Row],[Zahl]])</f>
        <v>0</v>
      </c>
      <c r="F586" s="2">
        <f>COUNTIF(Eingabe[S1],HäufigsteErgebnisse[[#This Row],[Zahl]])</f>
        <v>0</v>
      </c>
      <c r="G586" s="2">
        <f>COUNTIF(Eingabe[S2],HäufigsteErgebnisse[[#This Row],[Zahl]])</f>
        <v>0</v>
      </c>
      <c r="H586" s="2">
        <f>COUNTIF(Eingabe[S3],HäufigsteErgebnisse[[#This Row],[Zahl]])</f>
        <v>0</v>
      </c>
      <c r="I586" s="2">
        <f>COUNTIF(Eingabe[S4],HäufigsteErgebnisse[[#This Row],[Zahl]])</f>
        <v>0</v>
      </c>
      <c r="J586" s="2">
        <f>COUNTIF(Eingabe[S1],HäufigsteErgebnisse[[#This Row],[Zahl]])+COUNTIF(Eingabe[S2],HäufigsteErgebnisse[[#This Row],[Zahl]])+COUNTIF(Eingabe[S3],HäufigsteErgebnisse[[#This Row],[Zahl]])+COUNTIF(Eingabe[S4],HäufigsteErgebnisse[[#This Row],[Zahl]])</f>
        <v>0</v>
      </c>
      <c r="K586" s="2">
        <f>COUNTIF(Eingabe[GES],HäufigsteErgebnisse[[#This Row],[Zahl]])</f>
        <v>10</v>
      </c>
      <c r="L586" s="2">
        <f>HäufigsteErgebnisse[[#This Row],[Zahl]]</f>
        <v>528</v>
      </c>
    </row>
    <row r="587" spans="2:12" x14ac:dyDescent="0.3">
      <c r="B587" s="2">
        <v>529</v>
      </c>
      <c r="C587" s="2">
        <f>COUNTIF(Eingabe[Volle],HäufigsteErgebnisse[[#This Row],[Zahl]])</f>
        <v>0</v>
      </c>
      <c r="D587" s="2">
        <f>COUNTIF(Eingabe[Räumer],HäufigsteErgebnisse[[#This Row],[Zahl]])</f>
        <v>0</v>
      </c>
      <c r="E587" s="2">
        <f>COUNTIF(Eingabe[Fehler],HäufigsteErgebnisse[[#This Row],[Zahl]])</f>
        <v>0</v>
      </c>
      <c r="F587" s="2">
        <f>COUNTIF(Eingabe[S1],HäufigsteErgebnisse[[#This Row],[Zahl]])</f>
        <v>0</v>
      </c>
      <c r="G587" s="2">
        <f>COUNTIF(Eingabe[S2],HäufigsteErgebnisse[[#This Row],[Zahl]])</f>
        <v>0</v>
      </c>
      <c r="H587" s="2">
        <f>COUNTIF(Eingabe[S3],HäufigsteErgebnisse[[#This Row],[Zahl]])</f>
        <v>0</v>
      </c>
      <c r="I587" s="2">
        <f>COUNTIF(Eingabe[S4],HäufigsteErgebnisse[[#This Row],[Zahl]])</f>
        <v>0</v>
      </c>
      <c r="J587" s="2">
        <f>COUNTIF(Eingabe[S1],HäufigsteErgebnisse[[#This Row],[Zahl]])+COUNTIF(Eingabe[S2],HäufigsteErgebnisse[[#This Row],[Zahl]])+COUNTIF(Eingabe[S3],HäufigsteErgebnisse[[#This Row],[Zahl]])+COUNTIF(Eingabe[S4],HäufigsteErgebnisse[[#This Row],[Zahl]])</f>
        <v>0</v>
      </c>
      <c r="K587" s="2">
        <f>COUNTIF(Eingabe[GES],HäufigsteErgebnisse[[#This Row],[Zahl]])</f>
        <v>5</v>
      </c>
      <c r="L587" s="2">
        <f>HäufigsteErgebnisse[[#This Row],[Zahl]]</f>
        <v>529</v>
      </c>
    </row>
    <row r="588" spans="2:12" x14ac:dyDescent="0.3">
      <c r="B588" s="2">
        <v>530</v>
      </c>
      <c r="C588" s="2">
        <f>COUNTIF(Eingabe[Volle],HäufigsteErgebnisse[[#This Row],[Zahl]])</f>
        <v>0</v>
      </c>
      <c r="D588" s="2">
        <f>COUNTIF(Eingabe[Räumer],HäufigsteErgebnisse[[#This Row],[Zahl]])</f>
        <v>0</v>
      </c>
      <c r="E588" s="2">
        <f>COUNTIF(Eingabe[Fehler],HäufigsteErgebnisse[[#This Row],[Zahl]])</f>
        <v>0</v>
      </c>
      <c r="F588" s="2">
        <f>COUNTIF(Eingabe[S1],HäufigsteErgebnisse[[#This Row],[Zahl]])</f>
        <v>0</v>
      </c>
      <c r="G588" s="2">
        <f>COUNTIF(Eingabe[S2],HäufigsteErgebnisse[[#This Row],[Zahl]])</f>
        <v>0</v>
      </c>
      <c r="H588" s="2">
        <f>COUNTIF(Eingabe[S3],HäufigsteErgebnisse[[#This Row],[Zahl]])</f>
        <v>0</v>
      </c>
      <c r="I588" s="2">
        <f>COUNTIF(Eingabe[S4],HäufigsteErgebnisse[[#This Row],[Zahl]])</f>
        <v>0</v>
      </c>
      <c r="J588" s="2">
        <f>COUNTIF(Eingabe[S1],HäufigsteErgebnisse[[#This Row],[Zahl]])+COUNTIF(Eingabe[S2],HäufigsteErgebnisse[[#This Row],[Zahl]])+COUNTIF(Eingabe[S3],HäufigsteErgebnisse[[#This Row],[Zahl]])+COUNTIF(Eingabe[S4],HäufigsteErgebnisse[[#This Row],[Zahl]])</f>
        <v>0</v>
      </c>
      <c r="K588" s="2">
        <f>COUNTIF(Eingabe[GES],HäufigsteErgebnisse[[#This Row],[Zahl]])</f>
        <v>1</v>
      </c>
      <c r="L588" s="2">
        <f>HäufigsteErgebnisse[[#This Row],[Zahl]]</f>
        <v>530</v>
      </c>
    </row>
    <row r="589" spans="2:12" x14ac:dyDescent="0.3">
      <c r="B589" s="2">
        <v>531</v>
      </c>
      <c r="C589" s="2">
        <f>COUNTIF(Eingabe[Volle],HäufigsteErgebnisse[[#This Row],[Zahl]])</f>
        <v>0</v>
      </c>
      <c r="D589" s="2">
        <f>COUNTIF(Eingabe[Räumer],HäufigsteErgebnisse[[#This Row],[Zahl]])</f>
        <v>0</v>
      </c>
      <c r="E589" s="2">
        <f>COUNTIF(Eingabe[Fehler],HäufigsteErgebnisse[[#This Row],[Zahl]])</f>
        <v>0</v>
      </c>
      <c r="F589" s="2">
        <f>COUNTIF(Eingabe[S1],HäufigsteErgebnisse[[#This Row],[Zahl]])</f>
        <v>0</v>
      </c>
      <c r="G589" s="2">
        <f>COUNTIF(Eingabe[S2],HäufigsteErgebnisse[[#This Row],[Zahl]])</f>
        <v>0</v>
      </c>
      <c r="H589" s="2">
        <f>COUNTIF(Eingabe[S3],HäufigsteErgebnisse[[#This Row],[Zahl]])</f>
        <v>0</v>
      </c>
      <c r="I589" s="2">
        <f>COUNTIF(Eingabe[S4],HäufigsteErgebnisse[[#This Row],[Zahl]])</f>
        <v>0</v>
      </c>
      <c r="J589" s="2">
        <f>COUNTIF(Eingabe[S1],HäufigsteErgebnisse[[#This Row],[Zahl]])+COUNTIF(Eingabe[S2],HäufigsteErgebnisse[[#This Row],[Zahl]])+COUNTIF(Eingabe[S3],HäufigsteErgebnisse[[#This Row],[Zahl]])+COUNTIF(Eingabe[S4],HäufigsteErgebnisse[[#This Row],[Zahl]])</f>
        <v>0</v>
      </c>
      <c r="K589" s="2">
        <f>COUNTIF(Eingabe[GES],HäufigsteErgebnisse[[#This Row],[Zahl]])</f>
        <v>5</v>
      </c>
      <c r="L589" s="2">
        <f>HäufigsteErgebnisse[[#This Row],[Zahl]]</f>
        <v>531</v>
      </c>
    </row>
    <row r="590" spans="2:12" x14ac:dyDescent="0.3">
      <c r="B590" s="2">
        <v>532</v>
      </c>
      <c r="C590" s="2">
        <f>COUNTIF(Eingabe[Volle],HäufigsteErgebnisse[[#This Row],[Zahl]])</f>
        <v>0</v>
      </c>
      <c r="D590" s="2">
        <f>COUNTIF(Eingabe[Räumer],HäufigsteErgebnisse[[#This Row],[Zahl]])</f>
        <v>0</v>
      </c>
      <c r="E590" s="2">
        <f>COUNTIF(Eingabe[Fehler],HäufigsteErgebnisse[[#This Row],[Zahl]])</f>
        <v>0</v>
      </c>
      <c r="F590" s="2">
        <f>COUNTIF(Eingabe[S1],HäufigsteErgebnisse[[#This Row],[Zahl]])</f>
        <v>0</v>
      </c>
      <c r="G590" s="2">
        <f>COUNTIF(Eingabe[S2],HäufigsteErgebnisse[[#This Row],[Zahl]])</f>
        <v>0</v>
      </c>
      <c r="H590" s="2">
        <f>COUNTIF(Eingabe[S3],HäufigsteErgebnisse[[#This Row],[Zahl]])</f>
        <v>0</v>
      </c>
      <c r="I590" s="2">
        <f>COUNTIF(Eingabe[S4],HäufigsteErgebnisse[[#This Row],[Zahl]])</f>
        <v>0</v>
      </c>
      <c r="J590" s="2">
        <f>COUNTIF(Eingabe[S1],HäufigsteErgebnisse[[#This Row],[Zahl]])+COUNTIF(Eingabe[S2],HäufigsteErgebnisse[[#This Row],[Zahl]])+COUNTIF(Eingabe[S3],HäufigsteErgebnisse[[#This Row],[Zahl]])+COUNTIF(Eingabe[S4],HäufigsteErgebnisse[[#This Row],[Zahl]])</f>
        <v>0</v>
      </c>
      <c r="K590" s="2">
        <f>COUNTIF(Eingabe[GES],HäufigsteErgebnisse[[#This Row],[Zahl]])</f>
        <v>3</v>
      </c>
      <c r="L590" s="2">
        <f>HäufigsteErgebnisse[[#This Row],[Zahl]]</f>
        <v>532</v>
      </c>
    </row>
    <row r="591" spans="2:12" x14ac:dyDescent="0.3">
      <c r="B591" s="2">
        <v>533</v>
      </c>
      <c r="C591" s="2">
        <f>COUNTIF(Eingabe[Volle],HäufigsteErgebnisse[[#This Row],[Zahl]])</f>
        <v>0</v>
      </c>
      <c r="D591" s="2">
        <f>COUNTIF(Eingabe[Räumer],HäufigsteErgebnisse[[#This Row],[Zahl]])</f>
        <v>0</v>
      </c>
      <c r="E591" s="2">
        <f>COUNTIF(Eingabe[Fehler],HäufigsteErgebnisse[[#This Row],[Zahl]])</f>
        <v>0</v>
      </c>
      <c r="F591" s="2">
        <f>COUNTIF(Eingabe[S1],HäufigsteErgebnisse[[#This Row],[Zahl]])</f>
        <v>0</v>
      </c>
      <c r="G591" s="2">
        <f>COUNTIF(Eingabe[S2],HäufigsteErgebnisse[[#This Row],[Zahl]])</f>
        <v>0</v>
      </c>
      <c r="H591" s="2">
        <f>COUNTIF(Eingabe[S3],HäufigsteErgebnisse[[#This Row],[Zahl]])</f>
        <v>0</v>
      </c>
      <c r="I591" s="2">
        <f>COUNTIF(Eingabe[S4],HäufigsteErgebnisse[[#This Row],[Zahl]])</f>
        <v>0</v>
      </c>
      <c r="J591" s="2">
        <f>COUNTIF(Eingabe[S1],HäufigsteErgebnisse[[#This Row],[Zahl]])+COUNTIF(Eingabe[S2],HäufigsteErgebnisse[[#This Row],[Zahl]])+COUNTIF(Eingabe[S3],HäufigsteErgebnisse[[#This Row],[Zahl]])+COUNTIF(Eingabe[S4],HäufigsteErgebnisse[[#This Row],[Zahl]])</f>
        <v>0</v>
      </c>
      <c r="K591" s="2">
        <f>COUNTIF(Eingabe[GES],HäufigsteErgebnisse[[#This Row],[Zahl]])</f>
        <v>6</v>
      </c>
      <c r="L591" s="2">
        <f>HäufigsteErgebnisse[[#This Row],[Zahl]]</f>
        <v>533</v>
      </c>
    </row>
    <row r="592" spans="2:12" x14ac:dyDescent="0.3">
      <c r="B592" s="2">
        <v>534</v>
      </c>
      <c r="C592" s="2">
        <f>COUNTIF(Eingabe[Volle],HäufigsteErgebnisse[[#This Row],[Zahl]])</f>
        <v>0</v>
      </c>
      <c r="D592" s="2">
        <f>COUNTIF(Eingabe[Räumer],HäufigsteErgebnisse[[#This Row],[Zahl]])</f>
        <v>0</v>
      </c>
      <c r="E592" s="2">
        <f>COUNTIF(Eingabe[Fehler],HäufigsteErgebnisse[[#This Row],[Zahl]])</f>
        <v>0</v>
      </c>
      <c r="F592" s="2">
        <f>COUNTIF(Eingabe[S1],HäufigsteErgebnisse[[#This Row],[Zahl]])</f>
        <v>0</v>
      </c>
      <c r="G592" s="2">
        <f>COUNTIF(Eingabe[S2],HäufigsteErgebnisse[[#This Row],[Zahl]])</f>
        <v>0</v>
      </c>
      <c r="H592" s="2">
        <f>COUNTIF(Eingabe[S3],HäufigsteErgebnisse[[#This Row],[Zahl]])</f>
        <v>0</v>
      </c>
      <c r="I592" s="2">
        <f>COUNTIF(Eingabe[S4],HäufigsteErgebnisse[[#This Row],[Zahl]])</f>
        <v>0</v>
      </c>
      <c r="J592" s="2">
        <f>COUNTIF(Eingabe[S1],HäufigsteErgebnisse[[#This Row],[Zahl]])+COUNTIF(Eingabe[S2],HäufigsteErgebnisse[[#This Row],[Zahl]])+COUNTIF(Eingabe[S3],HäufigsteErgebnisse[[#This Row],[Zahl]])+COUNTIF(Eingabe[S4],HäufigsteErgebnisse[[#This Row],[Zahl]])</f>
        <v>0</v>
      </c>
      <c r="K592" s="2">
        <f>COUNTIF(Eingabe[GES],HäufigsteErgebnisse[[#This Row],[Zahl]])</f>
        <v>2</v>
      </c>
      <c r="L592" s="2">
        <f>HäufigsteErgebnisse[[#This Row],[Zahl]]</f>
        <v>534</v>
      </c>
    </row>
    <row r="593" spans="2:12" x14ac:dyDescent="0.3">
      <c r="B593" s="2">
        <v>535</v>
      </c>
      <c r="C593" s="2">
        <f>COUNTIF(Eingabe[Volle],HäufigsteErgebnisse[[#This Row],[Zahl]])</f>
        <v>0</v>
      </c>
      <c r="D593" s="2">
        <f>COUNTIF(Eingabe[Räumer],HäufigsteErgebnisse[[#This Row],[Zahl]])</f>
        <v>0</v>
      </c>
      <c r="E593" s="2">
        <f>COUNTIF(Eingabe[Fehler],HäufigsteErgebnisse[[#This Row],[Zahl]])</f>
        <v>0</v>
      </c>
      <c r="F593" s="2">
        <f>COUNTIF(Eingabe[S1],HäufigsteErgebnisse[[#This Row],[Zahl]])</f>
        <v>0</v>
      </c>
      <c r="G593" s="2">
        <f>COUNTIF(Eingabe[S2],HäufigsteErgebnisse[[#This Row],[Zahl]])</f>
        <v>0</v>
      </c>
      <c r="H593" s="2">
        <f>COUNTIF(Eingabe[S3],HäufigsteErgebnisse[[#This Row],[Zahl]])</f>
        <v>0</v>
      </c>
      <c r="I593" s="2">
        <f>COUNTIF(Eingabe[S4],HäufigsteErgebnisse[[#This Row],[Zahl]])</f>
        <v>0</v>
      </c>
      <c r="J593" s="2">
        <f>COUNTIF(Eingabe[S1],HäufigsteErgebnisse[[#This Row],[Zahl]])+COUNTIF(Eingabe[S2],HäufigsteErgebnisse[[#This Row],[Zahl]])+COUNTIF(Eingabe[S3],HäufigsteErgebnisse[[#This Row],[Zahl]])+COUNTIF(Eingabe[S4],HäufigsteErgebnisse[[#This Row],[Zahl]])</f>
        <v>0</v>
      </c>
      <c r="K593" s="2">
        <f>COUNTIF(Eingabe[GES],HäufigsteErgebnisse[[#This Row],[Zahl]])</f>
        <v>3</v>
      </c>
      <c r="L593" s="2">
        <f>HäufigsteErgebnisse[[#This Row],[Zahl]]</f>
        <v>535</v>
      </c>
    </row>
    <row r="594" spans="2:12" x14ac:dyDescent="0.3">
      <c r="B594" s="2">
        <v>536</v>
      </c>
      <c r="C594" s="2">
        <f>COUNTIF(Eingabe[Volle],HäufigsteErgebnisse[[#This Row],[Zahl]])</f>
        <v>0</v>
      </c>
      <c r="D594" s="2">
        <f>COUNTIF(Eingabe[Räumer],HäufigsteErgebnisse[[#This Row],[Zahl]])</f>
        <v>0</v>
      </c>
      <c r="E594" s="2">
        <f>COUNTIF(Eingabe[Fehler],HäufigsteErgebnisse[[#This Row],[Zahl]])</f>
        <v>0</v>
      </c>
      <c r="F594" s="2">
        <f>COUNTIF(Eingabe[S1],HäufigsteErgebnisse[[#This Row],[Zahl]])</f>
        <v>0</v>
      </c>
      <c r="G594" s="2">
        <f>COUNTIF(Eingabe[S2],HäufigsteErgebnisse[[#This Row],[Zahl]])</f>
        <v>0</v>
      </c>
      <c r="H594" s="2">
        <f>COUNTIF(Eingabe[S3],HäufigsteErgebnisse[[#This Row],[Zahl]])</f>
        <v>0</v>
      </c>
      <c r="I594" s="2">
        <f>COUNTIF(Eingabe[S4],HäufigsteErgebnisse[[#This Row],[Zahl]])</f>
        <v>0</v>
      </c>
      <c r="J594" s="2">
        <f>COUNTIF(Eingabe[S1],HäufigsteErgebnisse[[#This Row],[Zahl]])+COUNTIF(Eingabe[S2],HäufigsteErgebnisse[[#This Row],[Zahl]])+COUNTIF(Eingabe[S3],HäufigsteErgebnisse[[#This Row],[Zahl]])+COUNTIF(Eingabe[S4],HäufigsteErgebnisse[[#This Row],[Zahl]])</f>
        <v>0</v>
      </c>
      <c r="K594" s="2">
        <f>COUNTIF(Eingabe[GES],HäufigsteErgebnisse[[#This Row],[Zahl]])</f>
        <v>3</v>
      </c>
      <c r="L594" s="2">
        <f>HäufigsteErgebnisse[[#This Row],[Zahl]]</f>
        <v>536</v>
      </c>
    </row>
    <row r="595" spans="2:12" x14ac:dyDescent="0.3">
      <c r="B595" s="2">
        <v>537</v>
      </c>
      <c r="C595" s="2">
        <f>COUNTIF(Eingabe[Volle],HäufigsteErgebnisse[[#This Row],[Zahl]])</f>
        <v>0</v>
      </c>
      <c r="D595" s="2">
        <f>COUNTIF(Eingabe[Räumer],HäufigsteErgebnisse[[#This Row],[Zahl]])</f>
        <v>0</v>
      </c>
      <c r="E595" s="2">
        <f>COUNTIF(Eingabe[Fehler],HäufigsteErgebnisse[[#This Row],[Zahl]])</f>
        <v>0</v>
      </c>
      <c r="F595" s="2">
        <f>COUNTIF(Eingabe[S1],HäufigsteErgebnisse[[#This Row],[Zahl]])</f>
        <v>0</v>
      </c>
      <c r="G595" s="2">
        <f>COUNTIF(Eingabe[S2],HäufigsteErgebnisse[[#This Row],[Zahl]])</f>
        <v>0</v>
      </c>
      <c r="H595" s="2">
        <f>COUNTIF(Eingabe[S3],HäufigsteErgebnisse[[#This Row],[Zahl]])</f>
        <v>0</v>
      </c>
      <c r="I595" s="2">
        <f>COUNTIF(Eingabe[S4],HäufigsteErgebnisse[[#This Row],[Zahl]])</f>
        <v>0</v>
      </c>
      <c r="J595" s="2">
        <f>COUNTIF(Eingabe[S1],HäufigsteErgebnisse[[#This Row],[Zahl]])+COUNTIF(Eingabe[S2],HäufigsteErgebnisse[[#This Row],[Zahl]])+COUNTIF(Eingabe[S3],HäufigsteErgebnisse[[#This Row],[Zahl]])+COUNTIF(Eingabe[S4],HäufigsteErgebnisse[[#This Row],[Zahl]])</f>
        <v>0</v>
      </c>
      <c r="K595" s="2">
        <f>COUNTIF(Eingabe[GES],HäufigsteErgebnisse[[#This Row],[Zahl]])</f>
        <v>3</v>
      </c>
      <c r="L595" s="2">
        <f>HäufigsteErgebnisse[[#This Row],[Zahl]]</f>
        <v>537</v>
      </c>
    </row>
    <row r="596" spans="2:12" x14ac:dyDescent="0.3">
      <c r="B596" s="2">
        <v>538</v>
      </c>
      <c r="C596" s="2">
        <f>COUNTIF(Eingabe[Volle],HäufigsteErgebnisse[[#This Row],[Zahl]])</f>
        <v>0</v>
      </c>
      <c r="D596" s="2">
        <f>COUNTIF(Eingabe[Räumer],HäufigsteErgebnisse[[#This Row],[Zahl]])</f>
        <v>0</v>
      </c>
      <c r="E596" s="2">
        <f>COUNTIF(Eingabe[Fehler],HäufigsteErgebnisse[[#This Row],[Zahl]])</f>
        <v>0</v>
      </c>
      <c r="F596" s="2">
        <f>COUNTIF(Eingabe[S1],HäufigsteErgebnisse[[#This Row],[Zahl]])</f>
        <v>0</v>
      </c>
      <c r="G596" s="2">
        <f>COUNTIF(Eingabe[S2],HäufigsteErgebnisse[[#This Row],[Zahl]])</f>
        <v>0</v>
      </c>
      <c r="H596" s="2">
        <f>COUNTIF(Eingabe[S3],HäufigsteErgebnisse[[#This Row],[Zahl]])</f>
        <v>0</v>
      </c>
      <c r="I596" s="2">
        <f>COUNTIF(Eingabe[S4],HäufigsteErgebnisse[[#This Row],[Zahl]])</f>
        <v>0</v>
      </c>
      <c r="J596" s="2">
        <f>COUNTIF(Eingabe[S1],HäufigsteErgebnisse[[#This Row],[Zahl]])+COUNTIF(Eingabe[S2],HäufigsteErgebnisse[[#This Row],[Zahl]])+COUNTIF(Eingabe[S3],HäufigsteErgebnisse[[#This Row],[Zahl]])+COUNTIF(Eingabe[S4],HäufigsteErgebnisse[[#This Row],[Zahl]])</f>
        <v>0</v>
      </c>
      <c r="K596" s="2">
        <f>COUNTIF(Eingabe[GES],HäufigsteErgebnisse[[#This Row],[Zahl]])</f>
        <v>1</v>
      </c>
      <c r="L596" s="2">
        <f>HäufigsteErgebnisse[[#This Row],[Zahl]]</f>
        <v>538</v>
      </c>
    </row>
    <row r="597" spans="2:12" x14ac:dyDescent="0.3">
      <c r="B597" s="2">
        <v>539</v>
      </c>
      <c r="C597" s="2">
        <f>COUNTIF(Eingabe[Volle],HäufigsteErgebnisse[[#This Row],[Zahl]])</f>
        <v>0</v>
      </c>
      <c r="D597" s="2">
        <f>COUNTIF(Eingabe[Räumer],HäufigsteErgebnisse[[#This Row],[Zahl]])</f>
        <v>0</v>
      </c>
      <c r="E597" s="2">
        <f>COUNTIF(Eingabe[Fehler],HäufigsteErgebnisse[[#This Row],[Zahl]])</f>
        <v>0</v>
      </c>
      <c r="F597" s="2">
        <f>COUNTIF(Eingabe[S1],HäufigsteErgebnisse[[#This Row],[Zahl]])</f>
        <v>0</v>
      </c>
      <c r="G597" s="2">
        <f>COUNTIF(Eingabe[S2],HäufigsteErgebnisse[[#This Row],[Zahl]])</f>
        <v>0</v>
      </c>
      <c r="H597" s="2">
        <f>COUNTIF(Eingabe[S3],HäufigsteErgebnisse[[#This Row],[Zahl]])</f>
        <v>0</v>
      </c>
      <c r="I597" s="2">
        <f>COUNTIF(Eingabe[S4],HäufigsteErgebnisse[[#This Row],[Zahl]])</f>
        <v>0</v>
      </c>
      <c r="J597" s="2">
        <f>COUNTIF(Eingabe[S1],HäufigsteErgebnisse[[#This Row],[Zahl]])+COUNTIF(Eingabe[S2],HäufigsteErgebnisse[[#This Row],[Zahl]])+COUNTIF(Eingabe[S3],HäufigsteErgebnisse[[#This Row],[Zahl]])+COUNTIF(Eingabe[S4],HäufigsteErgebnisse[[#This Row],[Zahl]])</f>
        <v>0</v>
      </c>
      <c r="K597" s="2">
        <f>COUNTIF(Eingabe[GES],HäufigsteErgebnisse[[#This Row],[Zahl]])</f>
        <v>3</v>
      </c>
      <c r="L597" s="2">
        <f>HäufigsteErgebnisse[[#This Row],[Zahl]]</f>
        <v>539</v>
      </c>
    </row>
    <row r="598" spans="2:12" x14ac:dyDescent="0.3">
      <c r="B598" s="2">
        <v>540</v>
      </c>
      <c r="C598" s="2">
        <f>COUNTIF(Eingabe[Volle],HäufigsteErgebnisse[[#This Row],[Zahl]])</f>
        <v>0</v>
      </c>
      <c r="D598" s="2">
        <f>COUNTIF(Eingabe[Räumer],HäufigsteErgebnisse[[#This Row],[Zahl]])</f>
        <v>0</v>
      </c>
      <c r="E598" s="2">
        <f>COUNTIF(Eingabe[Fehler],HäufigsteErgebnisse[[#This Row],[Zahl]])</f>
        <v>0</v>
      </c>
      <c r="F598" s="2">
        <f>COUNTIF(Eingabe[S1],HäufigsteErgebnisse[[#This Row],[Zahl]])</f>
        <v>0</v>
      </c>
      <c r="G598" s="2">
        <f>COUNTIF(Eingabe[S2],HäufigsteErgebnisse[[#This Row],[Zahl]])</f>
        <v>0</v>
      </c>
      <c r="H598" s="2">
        <f>COUNTIF(Eingabe[S3],HäufigsteErgebnisse[[#This Row],[Zahl]])</f>
        <v>0</v>
      </c>
      <c r="I598" s="2">
        <f>COUNTIF(Eingabe[S4],HäufigsteErgebnisse[[#This Row],[Zahl]])</f>
        <v>0</v>
      </c>
      <c r="J598" s="2">
        <f>COUNTIF(Eingabe[S1],HäufigsteErgebnisse[[#This Row],[Zahl]])+COUNTIF(Eingabe[S2],HäufigsteErgebnisse[[#This Row],[Zahl]])+COUNTIF(Eingabe[S3],HäufigsteErgebnisse[[#This Row],[Zahl]])+COUNTIF(Eingabe[S4],HäufigsteErgebnisse[[#This Row],[Zahl]])</f>
        <v>0</v>
      </c>
      <c r="K598" s="2">
        <f>COUNTIF(Eingabe[GES],HäufigsteErgebnisse[[#This Row],[Zahl]])</f>
        <v>3</v>
      </c>
      <c r="L598" s="2">
        <f>HäufigsteErgebnisse[[#This Row],[Zahl]]</f>
        <v>540</v>
      </c>
    </row>
    <row r="599" spans="2:12" x14ac:dyDescent="0.3">
      <c r="B599" s="2">
        <v>541</v>
      </c>
      <c r="C599" s="2">
        <f>COUNTIF(Eingabe[Volle],HäufigsteErgebnisse[[#This Row],[Zahl]])</f>
        <v>0</v>
      </c>
      <c r="D599" s="2">
        <f>COUNTIF(Eingabe[Räumer],HäufigsteErgebnisse[[#This Row],[Zahl]])</f>
        <v>0</v>
      </c>
      <c r="E599" s="2">
        <f>COUNTIF(Eingabe[Fehler],HäufigsteErgebnisse[[#This Row],[Zahl]])</f>
        <v>0</v>
      </c>
      <c r="F599" s="2">
        <f>COUNTIF(Eingabe[S1],HäufigsteErgebnisse[[#This Row],[Zahl]])</f>
        <v>0</v>
      </c>
      <c r="G599" s="2">
        <f>COUNTIF(Eingabe[S2],HäufigsteErgebnisse[[#This Row],[Zahl]])</f>
        <v>0</v>
      </c>
      <c r="H599" s="2">
        <f>COUNTIF(Eingabe[S3],HäufigsteErgebnisse[[#This Row],[Zahl]])</f>
        <v>0</v>
      </c>
      <c r="I599" s="2">
        <f>COUNTIF(Eingabe[S4],HäufigsteErgebnisse[[#This Row],[Zahl]])</f>
        <v>0</v>
      </c>
      <c r="J599" s="2">
        <f>COUNTIF(Eingabe[S1],HäufigsteErgebnisse[[#This Row],[Zahl]])+COUNTIF(Eingabe[S2],HäufigsteErgebnisse[[#This Row],[Zahl]])+COUNTIF(Eingabe[S3],HäufigsteErgebnisse[[#This Row],[Zahl]])+COUNTIF(Eingabe[S4],HäufigsteErgebnisse[[#This Row],[Zahl]])</f>
        <v>0</v>
      </c>
      <c r="K599" s="2">
        <f>COUNTIF(Eingabe[GES],HäufigsteErgebnisse[[#This Row],[Zahl]])</f>
        <v>2</v>
      </c>
      <c r="L599" s="2">
        <f>HäufigsteErgebnisse[[#This Row],[Zahl]]</f>
        <v>541</v>
      </c>
    </row>
    <row r="600" spans="2:12" x14ac:dyDescent="0.3">
      <c r="B600" s="2">
        <v>542</v>
      </c>
      <c r="C600" s="2">
        <f>COUNTIF(Eingabe[Volle],HäufigsteErgebnisse[[#This Row],[Zahl]])</f>
        <v>0</v>
      </c>
      <c r="D600" s="2">
        <f>COUNTIF(Eingabe[Räumer],HäufigsteErgebnisse[[#This Row],[Zahl]])</f>
        <v>0</v>
      </c>
      <c r="E600" s="2">
        <f>COUNTIF(Eingabe[Fehler],HäufigsteErgebnisse[[#This Row],[Zahl]])</f>
        <v>0</v>
      </c>
      <c r="F600" s="2">
        <f>COUNTIF(Eingabe[S1],HäufigsteErgebnisse[[#This Row],[Zahl]])</f>
        <v>0</v>
      </c>
      <c r="G600" s="2">
        <f>COUNTIF(Eingabe[S2],HäufigsteErgebnisse[[#This Row],[Zahl]])</f>
        <v>0</v>
      </c>
      <c r="H600" s="2">
        <f>COUNTIF(Eingabe[S3],HäufigsteErgebnisse[[#This Row],[Zahl]])</f>
        <v>0</v>
      </c>
      <c r="I600" s="2">
        <f>COUNTIF(Eingabe[S4],HäufigsteErgebnisse[[#This Row],[Zahl]])</f>
        <v>0</v>
      </c>
      <c r="J600" s="2">
        <f>COUNTIF(Eingabe[S1],HäufigsteErgebnisse[[#This Row],[Zahl]])+COUNTIF(Eingabe[S2],HäufigsteErgebnisse[[#This Row],[Zahl]])+COUNTIF(Eingabe[S3],HäufigsteErgebnisse[[#This Row],[Zahl]])+COUNTIF(Eingabe[S4],HäufigsteErgebnisse[[#This Row],[Zahl]])</f>
        <v>0</v>
      </c>
      <c r="K600" s="2">
        <f>COUNTIF(Eingabe[GES],HäufigsteErgebnisse[[#This Row],[Zahl]])</f>
        <v>5</v>
      </c>
      <c r="L600" s="2">
        <f>HäufigsteErgebnisse[[#This Row],[Zahl]]</f>
        <v>542</v>
      </c>
    </row>
    <row r="601" spans="2:12" x14ac:dyDescent="0.3">
      <c r="B601" s="2">
        <v>543</v>
      </c>
      <c r="C601" s="2">
        <f>COUNTIF(Eingabe[Volle],HäufigsteErgebnisse[[#This Row],[Zahl]])</f>
        <v>0</v>
      </c>
      <c r="D601" s="2">
        <f>COUNTIF(Eingabe[Räumer],HäufigsteErgebnisse[[#This Row],[Zahl]])</f>
        <v>0</v>
      </c>
      <c r="E601" s="2">
        <f>COUNTIF(Eingabe[Fehler],HäufigsteErgebnisse[[#This Row],[Zahl]])</f>
        <v>0</v>
      </c>
      <c r="F601" s="2">
        <f>COUNTIF(Eingabe[S1],HäufigsteErgebnisse[[#This Row],[Zahl]])</f>
        <v>0</v>
      </c>
      <c r="G601" s="2">
        <f>COUNTIF(Eingabe[S2],HäufigsteErgebnisse[[#This Row],[Zahl]])</f>
        <v>0</v>
      </c>
      <c r="H601" s="2">
        <f>COUNTIF(Eingabe[S3],HäufigsteErgebnisse[[#This Row],[Zahl]])</f>
        <v>0</v>
      </c>
      <c r="I601" s="2">
        <f>COUNTIF(Eingabe[S4],HäufigsteErgebnisse[[#This Row],[Zahl]])</f>
        <v>0</v>
      </c>
      <c r="J601" s="2">
        <f>COUNTIF(Eingabe[S1],HäufigsteErgebnisse[[#This Row],[Zahl]])+COUNTIF(Eingabe[S2],HäufigsteErgebnisse[[#This Row],[Zahl]])+COUNTIF(Eingabe[S3],HäufigsteErgebnisse[[#This Row],[Zahl]])+COUNTIF(Eingabe[S4],HäufigsteErgebnisse[[#This Row],[Zahl]])</f>
        <v>0</v>
      </c>
      <c r="K601" s="2">
        <f>COUNTIF(Eingabe[GES],HäufigsteErgebnisse[[#This Row],[Zahl]])</f>
        <v>1</v>
      </c>
      <c r="L601" s="2">
        <f>HäufigsteErgebnisse[[#This Row],[Zahl]]</f>
        <v>543</v>
      </c>
    </row>
    <row r="602" spans="2:12" x14ac:dyDescent="0.3">
      <c r="B602" s="2">
        <v>544</v>
      </c>
      <c r="C602" s="2">
        <f>COUNTIF(Eingabe[Volle],HäufigsteErgebnisse[[#This Row],[Zahl]])</f>
        <v>0</v>
      </c>
      <c r="D602" s="2">
        <f>COUNTIF(Eingabe[Räumer],HäufigsteErgebnisse[[#This Row],[Zahl]])</f>
        <v>0</v>
      </c>
      <c r="E602" s="2">
        <f>COUNTIF(Eingabe[Fehler],HäufigsteErgebnisse[[#This Row],[Zahl]])</f>
        <v>0</v>
      </c>
      <c r="F602" s="2">
        <f>COUNTIF(Eingabe[S1],HäufigsteErgebnisse[[#This Row],[Zahl]])</f>
        <v>0</v>
      </c>
      <c r="G602" s="2">
        <f>COUNTIF(Eingabe[S2],HäufigsteErgebnisse[[#This Row],[Zahl]])</f>
        <v>0</v>
      </c>
      <c r="H602" s="2">
        <f>COUNTIF(Eingabe[S3],HäufigsteErgebnisse[[#This Row],[Zahl]])</f>
        <v>0</v>
      </c>
      <c r="I602" s="2">
        <f>COUNTIF(Eingabe[S4],HäufigsteErgebnisse[[#This Row],[Zahl]])</f>
        <v>0</v>
      </c>
      <c r="J602" s="2">
        <f>COUNTIF(Eingabe[S1],HäufigsteErgebnisse[[#This Row],[Zahl]])+COUNTIF(Eingabe[S2],HäufigsteErgebnisse[[#This Row],[Zahl]])+COUNTIF(Eingabe[S3],HäufigsteErgebnisse[[#This Row],[Zahl]])+COUNTIF(Eingabe[S4],HäufigsteErgebnisse[[#This Row],[Zahl]])</f>
        <v>0</v>
      </c>
      <c r="K602" s="2">
        <f>COUNTIF(Eingabe[GES],HäufigsteErgebnisse[[#This Row],[Zahl]])</f>
        <v>0</v>
      </c>
      <c r="L602" s="2">
        <f>HäufigsteErgebnisse[[#This Row],[Zahl]]</f>
        <v>544</v>
      </c>
    </row>
    <row r="603" spans="2:12" x14ac:dyDescent="0.3">
      <c r="B603" s="2">
        <v>545</v>
      </c>
      <c r="C603" s="2">
        <f>COUNTIF(Eingabe[Volle],HäufigsteErgebnisse[[#This Row],[Zahl]])</f>
        <v>0</v>
      </c>
      <c r="D603" s="2">
        <f>COUNTIF(Eingabe[Räumer],HäufigsteErgebnisse[[#This Row],[Zahl]])</f>
        <v>0</v>
      </c>
      <c r="E603" s="2">
        <f>COUNTIF(Eingabe[Fehler],HäufigsteErgebnisse[[#This Row],[Zahl]])</f>
        <v>0</v>
      </c>
      <c r="F603" s="2">
        <f>COUNTIF(Eingabe[S1],HäufigsteErgebnisse[[#This Row],[Zahl]])</f>
        <v>0</v>
      </c>
      <c r="G603" s="2">
        <f>COUNTIF(Eingabe[S2],HäufigsteErgebnisse[[#This Row],[Zahl]])</f>
        <v>0</v>
      </c>
      <c r="H603" s="2">
        <f>COUNTIF(Eingabe[S3],HäufigsteErgebnisse[[#This Row],[Zahl]])</f>
        <v>0</v>
      </c>
      <c r="I603" s="2">
        <f>COUNTIF(Eingabe[S4],HäufigsteErgebnisse[[#This Row],[Zahl]])</f>
        <v>0</v>
      </c>
      <c r="J603" s="2">
        <f>COUNTIF(Eingabe[S1],HäufigsteErgebnisse[[#This Row],[Zahl]])+COUNTIF(Eingabe[S2],HäufigsteErgebnisse[[#This Row],[Zahl]])+COUNTIF(Eingabe[S3],HäufigsteErgebnisse[[#This Row],[Zahl]])+COUNTIF(Eingabe[S4],HäufigsteErgebnisse[[#This Row],[Zahl]])</f>
        <v>0</v>
      </c>
      <c r="K603" s="2">
        <f>COUNTIF(Eingabe[GES],HäufigsteErgebnisse[[#This Row],[Zahl]])</f>
        <v>2</v>
      </c>
      <c r="L603" s="2">
        <f>HäufigsteErgebnisse[[#This Row],[Zahl]]</f>
        <v>545</v>
      </c>
    </row>
    <row r="604" spans="2:12" x14ac:dyDescent="0.3">
      <c r="B604" s="2">
        <v>546</v>
      </c>
      <c r="C604" s="2">
        <f>COUNTIF(Eingabe[Volle],HäufigsteErgebnisse[[#This Row],[Zahl]])</f>
        <v>0</v>
      </c>
      <c r="D604" s="2">
        <f>COUNTIF(Eingabe[Räumer],HäufigsteErgebnisse[[#This Row],[Zahl]])</f>
        <v>0</v>
      </c>
      <c r="E604" s="2">
        <f>COUNTIF(Eingabe[Fehler],HäufigsteErgebnisse[[#This Row],[Zahl]])</f>
        <v>0</v>
      </c>
      <c r="F604" s="2">
        <f>COUNTIF(Eingabe[S1],HäufigsteErgebnisse[[#This Row],[Zahl]])</f>
        <v>0</v>
      </c>
      <c r="G604" s="2">
        <f>COUNTIF(Eingabe[S2],HäufigsteErgebnisse[[#This Row],[Zahl]])</f>
        <v>0</v>
      </c>
      <c r="H604" s="2">
        <f>COUNTIF(Eingabe[S3],HäufigsteErgebnisse[[#This Row],[Zahl]])</f>
        <v>0</v>
      </c>
      <c r="I604" s="2">
        <f>COUNTIF(Eingabe[S4],HäufigsteErgebnisse[[#This Row],[Zahl]])</f>
        <v>0</v>
      </c>
      <c r="J604" s="2">
        <f>COUNTIF(Eingabe[S1],HäufigsteErgebnisse[[#This Row],[Zahl]])+COUNTIF(Eingabe[S2],HäufigsteErgebnisse[[#This Row],[Zahl]])+COUNTIF(Eingabe[S3],HäufigsteErgebnisse[[#This Row],[Zahl]])+COUNTIF(Eingabe[S4],HäufigsteErgebnisse[[#This Row],[Zahl]])</f>
        <v>0</v>
      </c>
      <c r="K604" s="2">
        <f>COUNTIF(Eingabe[GES],HäufigsteErgebnisse[[#This Row],[Zahl]])</f>
        <v>3</v>
      </c>
      <c r="L604" s="2">
        <f>HäufigsteErgebnisse[[#This Row],[Zahl]]</f>
        <v>546</v>
      </c>
    </row>
    <row r="605" spans="2:12" x14ac:dyDescent="0.3">
      <c r="B605" s="2">
        <v>547</v>
      </c>
      <c r="C605" s="2">
        <f>COUNTIF(Eingabe[Volle],HäufigsteErgebnisse[[#This Row],[Zahl]])</f>
        <v>0</v>
      </c>
      <c r="D605" s="2">
        <f>COUNTIF(Eingabe[Räumer],HäufigsteErgebnisse[[#This Row],[Zahl]])</f>
        <v>0</v>
      </c>
      <c r="E605" s="2">
        <f>COUNTIF(Eingabe[Fehler],HäufigsteErgebnisse[[#This Row],[Zahl]])</f>
        <v>0</v>
      </c>
      <c r="F605" s="2">
        <f>COUNTIF(Eingabe[S1],HäufigsteErgebnisse[[#This Row],[Zahl]])</f>
        <v>0</v>
      </c>
      <c r="G605" s="2">
        <f>COUNTIF(Eingabe[S2],HäufigsteErgebnisse[[#This Row],[Zahl]])</f>
        <v>0</v>
      </c>
      <c r="H605" s="2">
        <f>COUNTIF(Eingabe[S3],HäufigsteErgebnisse[[#This Row],[Zahl]])</f>
        <v>0</v>
      </c>
      <c r="I605" s="2">
        <f>COUNTIF(Eingabe[S4],HäufigsteErgebnisse[[#This Row],[Zahl]])</f>
        <v>0</v>
      </c>
      <c r="J605" s="2">
        <f>COUNTIF(Eingabe[S1],HäufigsteErgebnisse[[#This Row],[Zahl]])+COUNTIF(Eingabe[S2],HäufigsteErgebnisse[[#This Row],[Zahl]])+COUNTIF(Eingabe[S3],HäufigsteErgebnisse[[#This Row],[Zahl]])+COUNTIF(Eingabe[S4],HäufigsteErgebnisse[[#This Row],[Zahl]])</f>
        <v>0</v>
      </c>
      <c r="K605" s="2">
        <f>COUNTIF(Eingabe[GES],HäufigsteErgebnisse[[#This Row],[Zahl]])</f>
        <v>2</v>
      </c>
      <c r="L605" s="2">
        <f>HäufigsteErgebnisse[[#This Row],[Zahl]]</f>
        <v>547</v>
      </c>
    </row>
    <row r="606" spans="2:12" x14ac:dyDescent="0.3">
      <c r="B606" s="2">
        <v>548</v>
      </c>
      <c r="C606" s="2">
        <f>COUNTIF(Eingabe[Volle],HäufigsteErgebnisse[[#This Row],[Zahl]])</f>
        <v>0</v>
      </c>
      <c r="D606" s="2">
        <f>COUNTIF(Eingabe[Räumer],HäufigsteErgebnisse[[#This Row],[Zahl]])</f>
        <v>0</v>
      </c>
      <c r="E606" s="2">
        <f>COUNTIF(Eingabe[Fehler],HäufigsteErgebnisse[[#This Row],[Zahl]])</f>
        <v>0</v>
      </c>
      <c r="F606" s="2">
        <f>COUNTIF(Eingabe[S1],HäufigsteErgebnisse[[#This Row],[Zahl]])</f>
        <v>0</v>
      </c>
      <c r="G606" s="2">
        <f>COUNTIF(Eingabe[S2],HäufigsteErgebnisse[[#This Row],[Zahl]])</f>
        <v>0</v>
      </c>
      <c r="H606" s="2">
        <f>COUNTIF(Eingabe[S3],HäufigsteErgebnisse[[#This Row],[Zahl]])</f>
        <v>0</v>
      </c>
      <c r="I606" s="2">
        <f>COUNTIF(Eingabe[S4],HäufigsteErgebnisse[[#This Row],[Zahl]])</f>
        <v>0</v>
      </c>
      <c r="J606" s="2">
        <f>COUNTIF(Eingabe[S1],HäufigsteErgebnisse[[#This Row],[Zahl]])+COUNTIF(Eingabe[S2],HäufigsteErgebnisse[[#This Row],[Zahl]])+COUNTIF(Eingabe[S3],HäufigsteErgebnisse[[#This Row],[Zahl]])+COUNTIF(Eingabe[S4],HäufigsteErgebnisse[[#This Row],[Zahl]])</f>
        <v>0</v>
      </c>
      <c r="K606" s="2">
        <f>COUNTIF(Eingabe[GES],HäufigsteErgebnisse[[#This Row],[Zahl]])</f>
        <v>0</v>
      </c>
      <c r="L606" s="2">
        <f>HäufigsteErgebnisse[[#This Row],[Zahl]]</f>
        <v>548</v>
      </c>
    </row>
    <row r="607" spans="2:12" x14ac:dyDescent="0.3">
      <c r="B607" s="2">
        <v>549</v>
      </c>
      <c r="C607" s="2">
        <f>COUNTIF(Eingabe[Volle],HäufigsteErgebnisse[[#This Row],[Zahl]])</f>
        <v>0</v>
      </c>
      <c r="D607" s="2">
        <f>COUNTIF(Eingabe[Räumer],HäufigsteErgebnisse[[#This Row],[Zahl]])</f>
        <v>0</v>
      </c>
      <c r="E607" s="2">
        <f>COUNTIF(Eingabe[Fehler],HäufigsteErgebnisse[[#This Row],[Zahl]])</f>
        <v>0</v>
      </c>
      <c r="F607" s="2">
        <f>COUNTIF(Eingabe[S1],HäufigsteErgebnisse[[#This Row],[Zahl]])</f>
        <v>0</v>
      </c>
      <c r="G607" s="2">
        <f>COUNTIF(Eingabe[S2],HäufigsteErgebnisse[[#This Row],[Zahl]])</f>
        <v>0</v>
      </c>
      <c r="H607" s="2">
        <f>COUNTIF(Eingabe[S3],HäufigsteErgebnisse[[#This Row],[Zahl]])</f>
        <v>0</v>
      </c>
      <c r="I607" s="2">
        <f>COUNTIF(Eingabe[S4],HäufigsteErgebnisse[[#This Row],[Zahl]])</f>
        <v>0</v>
      </c>
      <c r="J607" s="2">
        <f>COUNTIF(Eingabe[S1],HäufigsteErgebnisse[[#This Row],[Zahl]])+COUNTIF(Eingabe[S2],HäufigsteErgebnisse[[#This Row],[Zahl]])+COUNTIF(Eingabe[S3],HäufigsteErgebnisse[[#This Row],[Zahl]])+COUNTIF(Eingabe[S4],HäufigsteErgebnisse[[#This Row],[Zahl]])</f>
        <v>0</v>
      </c>
      <c r="K607" s="2">
        <f>COUNTIF(Eingabe[GES],HäufigsteErgebnisse[[#This Row],[Zahl]])</f>
        <v>1</v>
      </c>
      <c r="L607" s="2">
        <f>HäufigsteErgebnisse[[#This Row],[Zahl]]</f>
        <v>549</v>
      </c>
    </row>
    <row r="608" spans="2:12" x14ac:dyDescent="0.3">
      <c r="B608" s="2">
        <v>550</v>
      </c>
      <c r="C608" s="2">
        <f>COUNTIF(Eingabe[Volle],HäufigsteErgebnisse[[#This Row],[Zahl]])</f>
        <v>0</v>
      </c>
      <c r="D608" s="2">
        <f>COUNTIF(Eingabe[Räumer],HäufigsteErgebnisse[[#This Row],[Zahl]])</f>
        <v>0</v>
      </c>
      <c r="E608" s="2">
        <f>COUNTIF(Eingabe[Fehler],HäufigsteErgebnisse[[#This Row],[Zahl]])</f>
        <v>0</v>
      </c>
      <c r="F608" s="2">
        <f>COUNTIF(Eingabe[S1],HäufigsteErgebnisse[[#This Row],[Zahl]])</f>
        <v>0</v>
      </c>
      <c r="G608" s="2">
        <f>COUNTIF(Eingabe[S2],HäufigsteErgebnisse[[#This Row],[Zahl]])</f>
        <v>0</v>
      </c>
      <c r="H608" s="2">
        <f>COUNTIF(Eingabe[S3],HäufigsteErgebnisse[[#This Row],[Zahl]])</f>
        <v>0</v>
      </c>
      <c r="I608" s="2">
        <f>COUNTIF(Eingabe[S4],HäufigsteErgebnisse[[#This Row],[Zahl]])</f>
        <v>0</v>
      </c>
      <c r="J608" s="2">
        <f>COUNTIF(Eingabe[S1],HäufigsteErgebnisse[[#This Row],[Zahl]])+COUNTIF(Eingabe[S2],HäufigsteErgebnisse[[#This Row],[Zahl]])+COUNTIF(Eingabe[S3],HäufigsteErgebnisse[[#This Row],[Zahl]])+COUNTIF(Eingabe[S4],HäufigsteErgebnisse[[#This Row],[Zahl]])</f>
        <v>0</v>
      </c>
      <c r="K608" s="2">
        <f>COUNTIF(Eingabe[GES],HäufigsteErgebnisse[[#This Row],[Zahl]])</f>
        <v>3</v>
      </c>
      <c r="L608" s="2">
        <f>HäufigsteErgebnisse[[#This Row],[Zahl]]</f>
        <v>550</v>
      </c>
    </row>
    <row r="609" spans="2:12" x14ac:dyDescent="0.3">
      <c r="B609" s="2">
        <v>551</v>
      </c>
      <c r="C609" s="2">
        <f>COUNTIF(Eingabe[Volle],HäufigsteErgebnisse[[#This Row],[Zahl]])</f>
        <v>0</v>
      </c>
      <c r="D609" s="2">
        <f>COUNTIF(Eingabe[Räumer],HäufigsteErgebnisse[[#This Row],[Zahl]])</f>
        <v>0</v>
      </c>
      <c r="E609" s="2">
        <f>COUNTIF(Eingabe[Fehler],HäufigsteErgebnisse[[#This Row],[Zahl]])</f>
        <v>0</v>
      </c>
      <c r="F609" s="2">
        <f>COUNTIF(Eingabe[S1],HäufigsteErgebnisse[[#This Row],[Zahl]])</f>
        <v>0</v>
      </c>
      <c r="G609" s="2">
        <f>COUNTIF(Eingabe[S2],HäufigsteErgebnisse[[#This Row],[Zahl]])</f>
        <v>0</v>
      </c>
      <c r="H609" s="2">
        <f>COUNTIF(Eingabe[S3],HäufigsteErgebnisse[[#This Row],[Zahl]])</f>
        <v>0</v>
      </c>
      <c r="I609" s="2">
        <f>COUNTIF(Eingabe[S4],HäufigsteErgebnisse[[#This Row],[Zahl]])</f>
        <v>0</v>
      </c>
      <c r="J609" s="2">
        <f>COUNTIF(Eingabe[S1],HäufigsteErgebnisse[[#This Row],[Zahl]])+COUNTIF(Eingabe[S2],HäufigsteErgebnisse[[#This Row],[Zahl]])+COUNTIF(Eingabe[S3],HäufigsteErgebnisse[[#This Row],[Zahl]])+COUNTIF(Eingabe[S4],HäufigsteErgebnisse[[#This Row],[Zahl]])</f>
        <v>0</v>
      </c>
      <c r="K609" s="2">
        <f>COUNTIF(Eingabe[GES],HäufigsteErgebnisse[[#This Row],[Zahl]])</f>
        <v>3</v>
      </c>
      <c r="L609" s="2">
        <f>HäufigsteErgebnisse[[#This Row],[Zahl]]</f>
        <v>551</v>
      </c>
    </row>
    <row r="610" spans="2:12" x14ac:dyDescent="0.3">
      <c r="B610" s="2">
        <v>552</v>
      </c>
      <c r="C610" s="2">
        <f>COUNTIF(Eingabe[Volle],HäufigsteErgebnisse[[#This Row],[Zahl]])</f>
        <v>0</v>
      </c>
      <c r="D610" s="2">
        <f>COUNTIF(Eingabe[Räumer],HäufigsteErgebnisse[[#This Row],[Zahl]])</f>
        <v>0</v>
      </c>
      <c r="E610" s="2">
        <f>COUNTIF(Eingabe[Fehler],HäufigsteErgebnisse[[#This Row],[Zahl]])</f>
        <v>0</v>
      </c>
      <c r="F610" s="2">
        <f>COUNTIF(Eingabe[S1],HäufigsteErgebnisse[[#This Row],[Zahl]])</f>
        <v>0</v>
      </c>
      <c r="G610" s="2">
        <f>COUNTIF(Eingabe[S2],HäufigsteErgebnisse[[#This Row],[Zahl]])</f>
        <v>0</v>
      </c>
      <c r="H610" s="2">
        <f>COUNTIF(Eingabe[S3],HäufigsteErgebnisse[[#This Row],[Zahl]])</f>
        <v>0</v>
      </c>
      <c r="I610" s="2">
        <f>COUNTIF(Eingabe[S4],HäufigsteErgebnisse[[#This Row],[Zahl]])</f>
        <v>0</v>
      </c>
      <c r="J610" s="2">
        <f>COUNTIF(Eingabe[S1],HäufigsteErgebnisse[[#This Row],[Zahl]])+COUNTIF(Eingabe[S2],HäufigsteErgebnisse[[#This Row],[Zahl]])+COUNTIF(Eingabe[S3],HäufigsteErgebnisse[[#This Row],[Zahl]])+COUNTIF(Eingabe[S4],HäufigsteErgebnisse[[#This Row],[Zahl]])</f>
        <v>0</v>
      </c>
      <c r="K610" s="2">
        <f>COUNTIF(Eingabe[GES],HäufigsteErgebnisse[[#This Row],[Zahl]])</f>
        <v>1</v>
      </c>
      <c r="L610" s="2">
        <f>HäufigsteErgebnisse[[#This Row],[Zahl]]</f>
        <v>552</v>
      </c>
    </row>
    <row r="611" spans="2:12" x14ac:dyDescent="0.3">
      <c r="B611" s="2">
        <v>553</v>
      </c>
      <c r="C611" s="2">
        <f>COUNTIF(Eingabe[Volle],HäufigsteErgebnisse[[#This Row],[Zahl]])</f>
        <v>0</v>
      </c>
      <c r="D611" s="2">
        <f>COUNTIF(Eingabe[Räumer],HäufigsteErgebnisse[[#This Row],[Zahl]])</f>
        <v>0</v>
      </c>
      <c r="E611" s="2">
        <f>COUNTIF(Eingabe[Fehler],HäufigsteErgebnisse[[#This Row],[Zahl]])</f>
        <v>0</v>
      </c>
      <c r="F611" s="2">
        <f>COUNTIF(Eingabe[S1],HäufigsteErgebnisse[[#This Row],[Zahl]])</f>
        <v>0</v>
      </c>
      <c r="G611" s="2">
        <f>COUNTIF(Eingabe[S2],HäufigsteErgebnisse[[#This Row],[Zahl]])</f>
        <v>0</v>
      </c>
      <c r="H611" s="2">
        <f>COUNTIF(Eingabe[S3],HäufigsteErgebnisse[[#This Row],[Zahl]])</f>
        <v>0</v>
      </c>
      <c r="I611" s="2">
        <f>COUNTIF(Eingabe[S4],HäufigsteErgebnisse[[#This Row],[Zahl]])</f>
        <v>0</v>
      </c>
      <c r="J611" s="2">
        <f>COUNTIF(Eingabe[S1],HäufigsteErgebnisse[[#This Row],[Zahl]])+COUNTIF(Eingabe[S2],HäufigsteErgebnisse[[#This Row],[Zahl]])+COUNTIF(Eingabe[S3],HäufigsteErgebnisse[[#This Row],[Zahl]])+COUNTIF(Eingabe[S4],HäufigsteErgebnisse[[#This Row],[Zahl]])</f>
        <v>0</v>
      </c>
      <c r="K611" s="2">
        <f>COUNTIF(Eingabe[GES],HäufigsteErgebnisse[[#This Row],[Zahl]])</f>
        <v>4</v>
      </c>
      <c r="L611" s="2">
        <f>HäufigsteErgebnisse[[#This Row],[Zahl]]</f>
        <v>553</v>
      </c>
    </row>
    <row r="612" spans="2:12" x14ac:dyDescent="0.3">
      <c r="B612" s="2">
        <v>554</v>
      </c>
      <c r="C612" s="2">
        <f>COUNTIF(Eingabe[Volle],HäufigsteErgebnisse[[#This Row],[Zahl]])</f>
        <v>0</v>
      </c>
      <c r="D612" s="2">
        <f>COUNTIF(Eingabe[Räumer],HäufigsteErgebnisse[[#This Row],[Zahl]])</f>
        <v>0</v>
      </c>
      <c r="E612" s="2">
        <f>COUNTIF(Eingabe[Fehler],HäufigsteErgebnisse[[#This Row],[Zahl]])</f>
        <v>0</v>
      </c>
      <c r="F612" s="2">
        <f>COUNTIF(Eingabe[S1],HäufigsteErgebnisse[[#This Row],[Zahl]])</f>
        <v>0</v>
      </c>
      <c r="G612" s="2">
        <f>COUNTIF(Eingabe[S2],HäufigsteErgebnisse[[#This Row],[Zahl]])</f>
        <v>0</v>
      </c>
      <c r="H612" s="2">
        <f>COUNTIF(Eingabe[S3],HäufigsteErgebnisse[[#This Row],[Zahl]])</f>
        <v>0</v>
      </c>
      <c r="I612" s="2">
        <f>COUNTIF(Eingabe[S4],HäufigsteErgebnisse[[#This Row],[Zahl]])</f>
        <v>0</v>
      </c>
      <c r="J612" s="2">
        <f>COUNTIF(Eingabe[S1],HäufigsteErgebnisse[[#This Row],[Zahl]])+COUNTIF(Eingabe[S2],HäufigsteErgebnisse[[#This Row],[Zahl]])+COUNTIF(Eingabe[S3],HäufigsteErgebnisse[[#This Row],[Zahl]])+COUNTIF(Eingabe[S4],HäufigsteErgebnisse[[#This Row],[Zahl]])</f>
        <v>0</v>
      </c>
      <c r="K612" s="2">
        <f>COUNTIF(Eingabe[GES],HäufigsteErgebnisse[[#This Row],[Zahl]])</f>
        <v>2</v>
      </c>
      <c r="L612" s="2">
        <f>HäufigsteErgebnisse[[#This Row],[Zahl]]</f>
        <v>554</v>
      </c>
    </row>
    <row r="613" spans="2:12" x14ac:dyDescent="0.3">
      <c r="B613" s="2">
        <v>555</v>
      </c>
      <c r="C613" s="2">
        <f>COUNTIF(Eingabe[Volle],HäufigsteErgebnisse[[#This Row],[Zahl]])</f>
        <v>0</v>
      </c>
      <c r="D613" s="2">
        <f>COUNTIF(Eingabe[Räumer],HäufigsteErgebnisse[[#This Row],[Zahl]])</f>
        <v>0</v>
      </c>
      <c r="E613" s="2">
        <f>COUNTIF(Eingabe[Fehler],HäufigsteErgebnisse[[#This Row],[Zahl]])</f>
        <v>0</v>
      </c>
      <c r="F613" s="2">
        <f>COUNTIF(Eingabe[S1],HäufigsteErgebnisse[[#This Row],[Zahl]])</f>
        <v>0</v>
      </c>
      <c r="G613" s="2">
        <f>COUNTIF(Eingabe[S2],HäufigsteErgebnisse[[#This Row],[Zahl]])</f>
        <v>0</v>
      </c>
      <c r="H613" s="2">
        <f>COUNTIF(Eingabe[S3],HäufigsteErgebnisse[[#This Row],[Zahl]])</f>
        <v>0</v>
      </c>
      <c r="I613" s="2">
        <f>COUNTIF(Eingabe[S4],HäufigsteErgebnisse[[#This Row],[Zahl]])</f>
        <v>0</v>
      </c>
      <c r="J613" s="2">
        <f>COUNTIF(Eingabe[S1],HäufigsteErgebnisse[[#This Row],[Zahl]])+COUNTIF(Eingabe[S2],HäufigsteErgebnisse[[#This Row],[Zahl]])+COUNTIF(Eingabe[S3],HäufigsteErgebnisse[[#This Row],[Zahl]])+COUNTIF(Eingabe[S4],HäufigsteErgebnisse[[#This Row],[Zahl]])</f>
        <v>0</v>
      </c>
      <c r="K613" s="2">
        <f>COUNTIF(Eingabe[GES],HäufigsteErgebnisse[[#This Row],[Zahl]])</f>
        <v>1</v>
      </c>
      <c r="L613" s="2">
        <f>HäufigsteErgebnisse[[#This Row],[Zahl]]</f>
        <v>555</v>
      </c>
    </row>
    <row r="614" spans="2:12" x14ac:dyDescent="0.3">
      <c r="B614" s="2">
        <v>556</v>
      </c>
      <c r="C614" s="2">
        <f>COUNTIF(Eingabe[Volle],HäufigsteErgebnisse[[#This Row],[Zahl]])</f>
        <v>0</v>
      </c>
      <c r="D614" s="2">
        <f>COUNTIF(Eingabe[Räumer],HäufigsteErgebnisse[[#This Row],[Zahl]])</f>
        <v>0</v>
      </c>
      <c r="E614" s="2">
        <f>COUNTIF(Eingabe[Fehler],HäufigsteErgebnisse[[#This Row],[Zahl]])</f>
        <v>0</v>
      </c>
      <c r="F614" s="2">
        <f>COUNTIF(Eingabe[S1],HäufigsteErgebnisse[[#This Row],[Zahl]])</f>
        <v>0</v>
      </c>
      <c r="G614" s="2">
        <f>COUNTIF(Eingabe[S2],HäufigsteErgebnisse[[#This Row],[Zahl]])</f>
        <v>0</v>
      </c>
      <c r="H614" s="2">
        <f>COUNTIF(Eingabe[S3],HäufigsteErgebnisse[[#This Row],[Zahl]])</f>
        <v>0</v>
      </c>
      <c r="I614" s="2">
        <f>COUNTIF(Eingabe[S4],HäufigsteErgebnisse[[#This Row],[Zahl]])</f>
        <v>0</v>
      </c>
      <c r="J614" s="2">
        <f>COUNTIF(Eingabe[S1],HäufigsteErgebnisse[[#This Row],[Zahl]])+COUNTIF(Eingabe[S2],HäufigsteErgebnisse[[#This Row],[Zahl]])+COUNTIF(Eingabe[S3],HäufigsteErgebnisse[[#This Row],[Zahl]])+COUNTIF(Eingabe[S4],HäufigsteErgebnisse[[#This Row],[Zahl]])</f>
        <v>0</v>
      </c>
      <c r="K614" s="2">
        <f>COUNTIF(Eingabe[GES],HäufigsteErgebnisse[[#This Row],[Zahl]])</f>
        <v>0</v>
      </c>
      <c r="L614" s="2">
        <f>HäufigsteErgebnisse[[#This Row],[Zahl]]</f>
        <v>556</v>
      </c>
    </row>
    <row r="615" spans="2:12" x14ac:dyDescent="0.3">
      <c r="B615" s="2">
        <v>557</v>
      </c>
      <c r="C615" s="2">
        <f>COUNTIF(Eingabe[Volle],HäufigsteErgebnisse[[#This Row],[Zahl]])</f>
        <v>0</v>
      </c>
      <c r="D615" s="2">
        <f>COUNTIF(Eingabe[Räumer],HäufigsteErgebnisse[[#This Row],[Zahl]])</f>
        <v>0</v>
      </c>
      <c r="E615" s="2">
        <f>COUNTIF(Eingabe[Fehler],HäufigsteErgebnisse[[#This Row],[Zahl]])</f>
        <v>0</v>
      </c>
      <c r="F615" s="2">
        <f>COUNTIF(Eingabe[S1],HäufigsteErgebnisse[[#This Row],[Zahl]])</f>
        <v>0</v>
      </c>
      <c r="G615" s="2">
        <f>COUNTIF(Eingabe[S2],HäufigsteErgebnisse[[#This Row],[Zahl]])</f>
        <v>0</v>
      </c>
      <c r="H615" s="2">
        <f>COUNTIF(Eingabe[S3],HäufigsteErgebnisse[[#This Row],[Zahl]])</f>
        <v>0</v>
      </c>
      <c r="I615" s="2">
        <f>COUNTIF(Eingabe[S4],HäufigsteErgebnisse[[#This Row],[Zahl]])</f>
        <v>0</v>
      </c>
      <c r="J615" s="2">
        <f>COUNTIF(Eingabe[S1],HäufigsteErgebnisse[[#This Row],[Zahl]])+COUNTIF(Eingabe[S2],HäufigsteErgebnisse[[#This Row],[Zahl]])+COUNTIF(Eingabe[S3],HäufigsteErgebnisse[[#This Row],[Zahl]])+COUNTIF(Eingabe[S4],HäufigsteErgebnisse[[#This Row],[Zahl]])</f>
        <v>0</v>
      </c>
      <c r="K615" s="2">
        <f>COUNTIF(Eingabe[GES],HäufigsteErgebnisse[[#This Row],[Zahl]])</f>
        <v>0</v>
      </c>
      <c r="L615" s="2">
        <f>HäufigsteErgebnisse[[#This Row],[Zahl]]</f>
        <v>557</v>
      </c>
    </row>
    <row r="616" spans="2:12" x14ac:dyDescent="0.3">
      <c r="B616" s="2">
        <v>558</v>
      </c>
      <c r="C616" s="2">
        <f>COUNTIF(Eingabe[Volle],HäufigsteErgebnisse[[#This Row],[Zahl]])</f>
        <v>0</v>
      </c>
      <c r="D616" s="2">
        <f>COUNTIF(Eingabe[Räumer],HäufigsteErgebnisse[[#This Row],[Zahl]])</f>
        <v>0</v>
      </c>
      <c r="E616" s="2">
        <f>COUNTIF(Eingabe[Fehler],HäufigsteErgebnisse[[#This Row],[Zahl]])</f>
        <v>0</v>
      </c>
      <c r="F616" s="2">
        <f>COUNTIF(Eingabe[S1],HäufigsteErgebnisse[[#This Row],[Zahl]])</f>
        <v>0</v>
      </c>
      <c r="G616" s="2">
        <f>COUNTIF(Eingabe[S2],HäufigsteErgebnisse[[#This Row],[Zahl]])</f>
        <v>0</v>
      </c>
      <c r="H616" s="2">
        <f>COUNTIF(Eingabe[S3],HäufigsteErgebnisse[[#This Row],[Zahl]])</f>
        <v>0</v>
      </c>
      <c r="I616" s="2">
        <f>COUNTIF(Eingabe[S4],HäufigsteErgebnisse[[#This Row],[Zahl]])</f>
        <v>0</v>
      </c>
      <c r="J616" s="2">
        <f>COUNTIF(Eingabe[S1],HäufigsteErgebnisse[[#This Row],[Zahl]])+COUNTIF(Eingabe[S2],HäufigsteErgebnisse[[#This Row],[Zahl]])+COUNTIF(Eingabe[S3],HäufigsteErgebnisse[[#This Row],[Zahl]])+COUNTIF(Eingabe[S4],HäufigsteErgebnisse[[#This Row],[Zahl]])</f>
        <v>0</v>
      </c>
      <c r="K616" s="2">
        <f>COUNTIF(Eingabe[GES],HäufigsteErgebnisse[[#This Row],[Zahl]])</f>
        <v>4</v>
      </c>
      <c r="L616" s="2">
        <f>HäufigsteErgebnisse[[#This Row],[Zahl]]</f>
        <v>558</v>
      </c>
    </row>
    <row r="617" spans="2:12" x14ac:dyDescent="0.3">
      <c r="B617" s="2">
        <v>559</v>
      </c>
      <c r="C617" s="2">
        <f>COUNTIF(Eingabe[Volle],HäufigsteErgebnisse[[#This Row],[Zahl]])</f>
        <v>0</v>
      </c>
      <c r="D617" s="2">
        <f>COUNTIF(Eingabe[Räumer],HäufigsteErgebnisse[[#This Row],[Zahl]])</f>
        <v>0</v>
      </c>
      <c r="E617" s="2">
        <f>COUNTIF(Eingabe[Fehler],HäufigsteErgebnisse[[#This Row],[Zahl]])</f>
        <v>0</v>
      </c>
      <c r="F617" s="2">
        <f>COUNTIF(Eingabe[S1],HäufigsteErgebnisse[[#This Row],[Zahl]])</f>
        <v>0</v>
      </c>
      <c r="G617" s="2">
        <f>COUNTIF(Eingabe[S2],HäufigsteErgebnisse[[#This Row],[Zahl]])</f>
        <v>0</v>
      </c>
      <c r="H617" s="2">
        <f>COUNTIF(Eingabe[S3],HäufigsteErgebnisse[[#This Row],[Zahl]])</f>
        <v>0</v>
      </c>
      <c r="I617" s="2">
        <f>COUNTIF(Eingabe[S4],HäufigsteErgebnisse[[#This Row],[Zahl]])</f>
        <v>0</v>
      </c>
      <c r="J617" s="2">
        <f>COUNTIF(Eingabe[S1],HäufigsteErgebnisse[[#This Row],[Zahl]])+COUNTIF(Eingabe[S2],HäufigsteErgebnisse[[#This Row],[Zahl]])+COUNTIF(Eingabe[S3],HäufigsteErgebnisse[[#This Row],[Zahl]])+COUNTIF(Eingabe[S4],HäufigsteErgebnisse[[#This Row],[Zahl]])</f>
        <v>0</v>
      </c>
      <c r="K617" s="2">
        <f>COUNTIF(Eingabe[GES],HäufigsteErgebnisse[[#This Row],[Zahl]])</f>
        <v>0</v>
      </c>
      <c r="L617" s="2">
        <f>HäufigsteErgebnisse[[#This Row],[Zahl]]</f>
        <v>559</v>
      </c>
    </row>
    <row r="618" spans="2:12" x14ac:dyDescent="0.3">
      <c r="B618" s="2">
        <v>560</v>
      </c>
      <c r="C618" s="2">
        <f>COUNTIF(Eingabe[Volle],HäufigsteErgebnisse[[#This Row],[Zahl]])</f>
        <v>0</v>
      </c>
      <c r="D618" s="2">
        <f>COUNTIF(Eingabe[Räumer],HäufigsteErgebnisse[[#This Row],[Zahl]])</f>
        <v>0</v>
      </c>
      <c r="E618" s="2">
        <f>COUNTIF(Eingabe[Fehler],HäufigsteErgebnisse[[#This Row],[Zahl]])</f>
        <v>0</v>
      </c>
      <c r="F618" s="2">
        <f>COUNTIF(Eingabe[S1],HäufigsteErgebnisse[[#This Row],[Zahl]])</f>
        <v>0</v>
      </c>
      <c r="G618" s="2">
        <f>COUNTIF(Eingabe[S2],HäufigsteErgebnisse[[#This Row],[Zahl]])</f>
        <v>0</v>
      </c>
      <c r="H618" s="2">
        <f>COUNTIF(Eingabe[S3],HäufigsteErgebnisse[[#This Row],[Zahl]])</f>
        <v>0</v>
      </c>
      <c r="I618" s="2">
        <f>COUNTIF(Eingabe[S4],HäufigsteErgebnisse[[#This Row],[Zahl]])</f>
        <v>0</v>
      </c>
      <c r="J618" s="2">
        <f>COUNTIF(Eingabe[S1],HäufigsteErgebnisse[[#This Row],[Zahl]])+COUNTIF(Eingabe[S2],HäufigsteErgebnisse[[#This Row],[Zahl]])+COUNTIF(Eingabe[S3],HäufigsteErgebnisse[[#This Row],[Zahl]])+COUNTIF(Eingabe[S4],HäufigsteErgebnisse[[#This Row],[Zahl]])</f>
        <v>0</v>
      </c>
      <c r="K618" s="2">
        <f>COUNTIF(Eingabe[GES],HäufigsteErgebnisse[[#This Row],[Zahl]])</f>
        <v>2</v>
      </c>
      <c r="L618" s="2">
        <f>HäufigsteErgebnisse[[#This Row],[Zahl]]</f>
        <v>560</v>
      </c>
    </row>
    <row r="619" spans="2:12" x14ac:dyDescent="0.3">
      <c r="B619" s="2">
        <v>561</v>
      </c>
      <c r="C619" s="2">
        <f>COUNTIF(Eingabe[Volle],HäufigsteErgebnisse[[#This Row],[Zahl]])</f>
        <v>0</v>
      </c>
      <c r="D619" s="2">
        <f>COUNTIF(Eingabe[Räumer],HäufigsteErgebnisse[[#This Row],[Zahl]])</f>
        <v>0</v>
      </c>
      <c r="E619" s="2">
        <f>COUNTIF(Eingabe[Fehler],HäufigsteErgebnisse[[#This Row],[Zahl]])</f>
        <v>0</v>
      </c>
      <c r="F619" s="2">
        <f>COUNTIF(Eingabe[S1],HäufigsteErgebnisse[[#This Row],[Zahl]])</f>
        <v>0</v>
      </c>
      <c r="G619" s="2">
        <f>COUNTIF(Eingabe[S2],HäufigsteErgebnisse[[#This Row],[Zahl]])</f>
        <v>0</v>
      </c>
      <c r="H619" s="2">
        <f>COUNTIF(Eingabe[S3],HäufigsteErgebnisse[[#This Row],[Zahl]])</f>
        <v>0</v>
      </c>
      <c r="I619" s="2">
        <f>COUNTIF(Eingabe[S4],HäufigsteErgebnisse[[#This Row],[Zahl]])</f>
        <v>0</v>
      </c>
      <c r="J619" s="2">
        <f>COUNTIF(Eingabe[S1],HäufigsteErgebnisse[[#This Row],[Zahl]])+COUNTIF(Eingabe[S2],HäufigsteErgebnisse[[#This Row],[Zahl]])+COUNTIF(Eingabe[S3],HäufigsteErgebnisse[[#This Row],[Zahl]])+COUNTIF(Eingabe[S4],HäufigsteErgebnisse[[#This Row],[Zahl]])</f>
        <v>0</v>
      </c>
      <c r="K619" s="2">
        <f>COUNTIF(Eingabe[GES],HäufigsteErgebnisse[[#This Row],[Zahl]])</f>
        <v>1</v>
      </c>
      <c r="L619" s="2">
        <f>HäufigsteErgebnisse[[#This Row],[Zahl]]</f>
        <v>561</v>
      </c>
    </row>
    <row r="620" spans="2:12" x14ac:dyDescent="0.3">
      <c r="B620" s="2">
        <v>562</v>
      </c>
      <c r="C620" s="2">
        <f>COUNTIF(Eingabe[Volle],HäufigsteErgebnisse[[#This Row],[Zahl]])</f>
        <v>0</v>
      </c>
      <c r="D620" s="2">
        <f>COUNTIF(Eingabe[Räumer],HäufigsteErgebnisse[[#This Row],[Zahl]])</f>
        <v>0</v>
      </c>
      <c r="E620" s="2">
        <f>COUNTIF(Eingabe[Fehler],HäufigsteErgebnisse[[#This Row],[Zahl]])</f>
        <v>0</v>
      </c>
      <c r="F620" s="2">
        <f>COUNTIF(Eingabe[S1],HäufigsteErgebnisse[[#This Row],[Zahl]])</f>
        <v>0</v>
      </c>
      <c r="G620" s="2">
        <f>COUNTIF(Eingabe[S2],HäufigsteErgebnisse[[#This Row],[Zahl]])</f>
        <v>0</v>
      </c>
      <c r="H620" s="2">
        <f>COUNTIF(Eingabe[S3],HäufigsteErgebnisse[[#This Row],[Zahl]])</f>
        <v>0</v>
      </c>
      <c r="I620" s="2">
        <f>COUNTIF(Eingabe[S4],HäufigsteErgebnisse[[#This Row],[Zahl]])</f>
        <v>0</v>
      </c>
      <c r="J620" s="2">
        <f>COUNTIF(Eingabe[S1],HäufigsteErgebnisse[[#This Row],[Zahl]])+COUNTIF(Eingabe[S2],HäufigsteErgebnisse[[#This Row],[Zahl]])+COUNTIF(Eingabe[S3],HäufigsteErgebnisse[[#This Row],[Zahl]])+COUNTIF(Eingabe[S4],HäufigsteErgebnisse[[#This Row],[Zahl]])</f>
        <v>0</v>
      </c>
      <c r="K620" s="2">
        <f>COUNTIF(Eingabe[GES],HäufigsteErgebnisse[[#This Row],[Zahl]])</f>
        <v>3</v>
      </c>
      <c r="L620" s="2">
        <f>HäufigsteErgebnisse[[#This Row],[Zahl]]</f>
        <v>562</v>
      </c>
    </row>
    <row r="621" spans="2:12" x14ac:dyDescent="0.3">
      <c r="B621" s="2">
        <v>563</v>
      </c>
      <c r="C621" s="2">
        <f>COUNTIF(Eingabe[Volle],HäufigsteErgebnisse[[#This Row],[Zahl]])</f>
        <v>0</v>
      </c>
      <c r="D621" s="2">
        <f>COUNTIF(Eingabe[Räumer],HäufigsteErgebnisse[[#This Row],[Zahl]])</f>
        <v>0</v>
      </c>
      <c r="E621" s="2">
        <f>COUNTIF(Eingabe[Fehler],HäufigsteErgebnisse[[#This Row],[Zahl]])</f>
        <v>0</v>
      </c>
      <c r="F621" s="2">
        <f>COUNTIF(Eingabe[S1],HäufigsteErgebnisse[[#This Row],[Zahl]])</f>
        <v>0</v>
      </c>
      <c r="G621" s="2">
        <f>COUNTIF(Eingabe[S2],HäufigsteErgebnisse[[#This Row],[Zahl]])</f>
        <v>0</v>
      </c>
      <c r="H621" s="2">
        <f>COUNTIF(Eingabe[S3],HäufigsteErgebnisse[[#This Row],[Zahl]])</f>
        <v>0</v>
      </c>
      <c r="I621" s="2">
        <f>COUNTIF(Eingabe[S4],HäufigsteErgebnisse[[#This Row],[Zahl]])</f>
        <v>0</v>
      </c>
      <c r="J621" s="2">
        <f>COUNTIF(Eingabe[S1],HäufigsteErgebnisse[[#This Row],[Zahl]])+COUNTIF(Eingabe[S2],HäufigsteErgebnisse[[#This Row],[Zahl]])+COUNTIF(Eingabe[S3],HäufigsteErgebnisse[[#This Row],[Zahl]])+COUNTIF(Eingabe[S4],HäufigsteErgebnisse[[#This Row],[Zahl]])</f>
        <v>0</v>
      </c>
      <c r="K621" s="2">
        <f>COUNTIF(Eingabe[GES],HäufigsteErgebnisse[[#This Row],[Zahl]])</f>
        <v>0</v>
      </c>
      <c r="L621" s="2">
        <f>HäufigsteErgebnisse[[#This Row],[Zahl]]</f>
        <v>563</v>
      </c>
    </row>
    <row r="622" spans="2:12" x14ac:dyDescent="0.3">
      <c r="B622" s="2">
        <v>564</v>
      </c>
      <c r="C622" s="2">
        <f>COUNTIF(Eingabe[Volle],HäufigsteErgebnisse[[#This Row],[Zahl]])</f>
        <v>0</v>
      </c>
      <c r="D622" s="2">
        <f>COUNTIF(Eingabe[Räumer],HäufigsteErgebnisse[[#This Row],[Zahl]])</f>
        <v>0</v>
      </c>
      <c r="E622" s="2">
        <f>COUNTIF(Eingabe[Fehler],HäufigsteErgebnisse[[#This Row],[Zahl]])</f>
        <v>0</v>
      </c>
      <c r="F622" s="2">
        <f>COUNTIF(Eingabe[S1],HäufigsteErgebnisse[[#This Row],[Zahl]])</f>
        <v>0</v>
      </c>
      <c r="G622" s="2">
        <f>COUNTIF(Eingabe[S2],HäufigsteErgebnisse[[#This Row],[Zahl]])</f>
        <v>0</v>
      </c>
      <c r="H622" s="2">
        <f>COUNTIF(Eingabe[S3],HäufigsteErgebnisse[[#This Row],[Zahl]])</f>
        <v>0</v>
      </c>
      <c r="I622" s="2">
        <f>COUNTIF(Eingabe[S4],HäufigsteErgebnisse[[#This Row],[Zahl]])</f>
        <v>0</v>
      </c>
      <c r="J622" s="2">
        <f>COUNTIF(Eingabe[S1],HäufigsteErgebnisse[[#This Row],[Zahl]])+COUNTIF(Eingabe[S2],HäufigsteErgebnisse[[#This Row],[Zahl]])+COUNTIF(Eingabe[S3],HäufigsteErgebnisse[[#This Row],[Zahl]])+COUNTIF(Eingabe[S4],HäufigsteErgebnisse[[#This Row],[Zahl]])</f>
        <v>0</v>
      </c>
      <c r="K622" s="2">
        <f>COUNTIF(Eingabe[GES],HäufigsteErgebnisse[[#This Row],[Zahl]])</f>
        <v>3</v>
      </c>
      <c r="L622" s="2">
        <f>HäufigsteErgebnisse[[#This Row],[Zahl]]</f>
        <v>564</v>
      </c>
    </row>
    <row r="623" spans="2:12" x14ac:dyDescent="0.3">
      <c r="B623" s="2">
        <v>565</v>
      </c>
      <c r="C623" s="2">
        <f>COUNTIF(Eingabe[Volle],HäufigsteErgebnisse[[#This Row],[Zahl]])</f>
        <v>0</v>
      </c>
      <c r="D623" s="2">
        <f>COUNTIF(Eingabe[Räumer],HäufigsteErgebnisse[[#This Row],[Zahl]])</f>
        <v>0</v>
      </c>
      <c r="E623" s="2">
        <f>COUNTIF(Eingabe[Fehler],HäufigsteErgebnisse[[#This Row],[Zahl]])</f>
        <v>0</v>
      </c>
      <c r="F623" s="2">
        <f>COUNTIF(Eingabe[S1],HäufigsteErgebnisse[[#This Row],[Zahl]])</f>
        <v>0</v>
      </c>
      <c r="G623" s="2">
        <f>COUNTIF(Eingabe[S2],HäufigsteErgebnisse[[#This Row],[Zahl]])</f>
        <v>0</v>
      </c>
      <c r="H623" s="2">
        <f>COUNTIF(Eingabe[S3],HäufigsteErgebnisse[[#This Row],[Zahl]])</f>
        <v>0</v>
      </c>
      <c r="I623" s="2">
        <f>COUNTIF(Eingabe[S4],HäufigsteErgebnisse[[#This Row],[Zahl]])</f>
        <v>0</v>
      </c>
      <c r="J623" s="2">
        <f>COUNTIF(Eingabe[S1],HäufigsteErgebnisse[[#This Row],[Zahl]])+COUNTIF(Eingabe[S2],HäufigsteErgebnisse[[#This Row],[Zahl]])+COUNTIF(Eingabe[S3],HäufigsteErgebnisse[[#This Row],[Zahl]])+COUNTIF(Eingabe[S4],HäufigsteErgebnisse[[#This Row],[Zahl]])</f>
        <v>0</v>
      </c>
      <c r="K623" s="2">
        <f>COUNTIF(Eingabe[GES],HäufigsteErgebnisse[[#This Row],[Zahl]])</f>
        <v>0</v>
      </c>
      <c r="L623" s="2">
        <f>HäufigsteErgebnisse[[#This Row],[Zahl]]</f>
        <v>565</v>
      </c>
    </row>
    <row r="624" spans="2:12" x14ac:dyDescent="0.3">
      <c r="B624" s="2">
        <v>566</v>
      </c>
      <c r="C624" s="2">
        <f>COUNTIF(Eingabe[Volle],HäufigsteErgebnisse[[#This Row],[Zahl]])</f>
        <v>0</v>
      </c>
      <c r="D624" s="2">
        <f>COUNTIF(Eingabe[Räumer],HäufigsteErgebnisse[[#This Row],[Zahl]])</f>
        <v>0</v>
      </c>
      <c r="E624" s="2">
        <f>COUNTIF(Eingabe[Fehler],HäufigsteErgebnisse[[#This Row],[Zahl]])</f>
        <v>0</v>
      </c>
      <c r="F624" s="2">
        <f>COUNTIF(Eingabe[S1],HäufigsteErgebnisse[[#This Row],[Zahl]])</f>
        <v>0</v>
      </c>
      <c r="G624" s="2">
        <f>COUNTIF(Eingabe[S2],HäufigsteErgebnisse[[#This Row],[Zahl]])</f>
        <v>0</v>
      </c>
      <c r="H624" s="2">
        <f>COUNTIF(Eingabe[S3],HäufigsteErgebnisse[[#This Row],[Zahl]])</f>
        <v>0</v>
      </c>
      <c r="I624" s="2">
        <f>COUNTIF(Eingabe[S4],HäufigsteErgebnisse[[#This Row],[Zahl]])</f>
        <v>0</v>
      </c>
      <c r="J624" s="2">
        <f>COUNTIF(Eingabe[S1],HäufigsteErgebnisse[[#This Row],[Zahl]])+COUNTIF(Eingabe[S2],HäufigsteErgebnisse[[#This Row],[Zahl]])+COUNTIF(Eingabe[S3],HäufigsteErgebnisse[[#This Row],[Zahl]])+COUNTIF(Eingabe[S4],HäufigsteErgebnisse[[#This Row],[Zahl]])</f>
        <v>0</v>
      </c>
      <c r="K624" s="2">
        <f>COUNTIF(Eingabe[GES],HäufigsteErgebnisse[[#This Row],[Zahl]])</f>
        <v>0</v>
      </c>
      <c r="L624" s="2">
        <f>HäufigsteErgebnisse[[#This Row],[Zahl]]</f>
        <v>566</v>
      </c>
    </row>
    <row r="625" spans="2:12" x14ac:dyDescent="0.3">
      <c r="B625" s="2">
        <v>567</v>
      </c>
      <c r="C625" s="2">
        <f>COUNTIF(Eingabe[Volle],HäufigsteErgebnisse[[#This Row],[Zahl]])</f>
        <v>0</v>
      </c>
      <c r="D625" s="2">
        <f>COUNTIF(Eingabe[Räumer],HäufigsteErgebnisse[[#This Row],[Zahl]])</f>
        <v>0</v>
      </c>
      <c r="E625" s="2">
        <f>COUNTIF(Eingabe[Fehler],HäufigsteErgebnisse[[#This Row],[Zahl]])</f>
        <v>0</v>
      </c>
      <c r="F625" s="2">
        <f>COUNTIF(Eingabe[S1],HäufigsteErgebnisse[[#This Row],[Zahl]])</f>
        <v>0</v>
      </c>
      <c r="G625" s="2">
        <f>COUNTIF(Eingabe[S2],HäufigsteErgebnisse[[#This Row],[Zahl]])</f>
        <v>0</v>
      </c>
      <c r="H625" s="2">
        <f>COUNTIF(Eingabe[S3],HäufigsteErgebnisse[[#This Row],[Zahl]])</f>
        <v>0</v>
      </c>
      <c r="I625" s="2">
        <f>COUNTIF(Eingabe[S4],HäufigsteErgebnisse[[#This Row],[Zahl]])</f>
        <v>0</v>
      </c>
      <c r="J625" s="2">
        <f>COUNTIF(Eingabe[S1],HäufigsteErgebnisse[[#This Row],[Zahl]])+COUNTIF(Eingabe[S2],HäufigsteErgebnisse[[#This Row],[Zahl]])+COUNTIF(Eingabe[S3],HäufigsteErgebnisse[[#This Row],[Zahl]])+COUNTIF(Eingabe[S4],HäufigsteErgebnisse[[#This Row],[Zahl]])</f>
        <v>0</v>
      </c>
      <c r="K625" s="2">
        <f>COUNTIF(Eingabe[GES],HäufigsteErgebnisse[[#This Row],[Zahl]])</f>
        <v>0</v>
      </c>
      <c r="L625" s="2">
        <f>HäufigsteErgebnisse[[#This Row],[Zahl]]</f>
        <v>567</v>
      </c>
    </row>
    <row r="626" spans="2:12" x14ac:dyDescent="0.3">
      <c r="B626" s="2">
        <v>568</v>
      </c>
      <c r="C626" s="2">
        <f>COUNTIF(Eingabe[Volle],HäufigsteErgebnisse[[#This Row],[Zahl]])</f>
        <v>0</v>
      </c>
      <c r="D626" s="2">
        <f>COUNTIF(Eingabe[Räumer],HäufigsteErgebnisse[[#This Row],[Zahl]])</f>
        <v>0</v>
      </c>
      <c r="E626" s="2">
        <f>COUNTIF(Eingabe[Fehler],HäufigsteErgebnisse[[#This Row],[Zahl]])</f>
        <v>0</v>
      </c>
      <c r="F626" s="2">
        <f>COUNTIF(Eingabe[S1],HäufigsteErgebnisse[[#This Row],[Zahl]])</f>
        <v>0</v>
      </c>
      <c r="G626" s="2">
        <f>COUNTIF(Eingabe[S2],HäufigsteErgebnisse[[#This Row],[Zahl]])</f>
        <v>0</v>
      </c>
      <c r="H626" s="2">
        <f>COUNTIF(Eingabe[S3],HäufigsteErgebnisse[[#This Row],[Zahl]])</f>
        <v>0</v>
      </c>
      <c r="I626" s="2">
        <f>COUNTIF(Eingabe[S4],HäufigsteErgebnisse[[#This Row],[Zahl]])</f>
        <v>0</v>
      </c>
      <c r="J626" s="2">
        <f>COUNTIF(Eingabe[S1],HäufigsteErgebnisse[[#This Row],[Zahl]])+COUNTIF(Eingabe[S2],HäufigsteErgebnisse[[#This Row],[Zahl]])+COUNTIF(Eingabe[S3],HäufigsteErgebnisse[[#This Row],[Zahl]])+COUNTIF(Eingabe[S4],HäufigsteErgebnisse[[#This Row],[Zahl]])</f>
        <v>0</v>
      </c>
      <c r="K626" s="2">
        <f>COUNTIF(Eingabe[GES],HäufigsteErgebnisse[[#This Row],[Zahl]])</f>
        <v>1</v>
      </c>
      <c r="L626" s="2">
        <f>HäufigsteErgebnisse[[#This Row],[Zahl]]</f>
        <v>568</v>
      </c>
    </row>
    <row r="627" spans="2:12" x14ac:dyDescent="0.3">
      <c r="B627" s="2">
        <v>569</v>
      </c>
      <c r="C627" s="2">
        <f>COUNTIF(Eingabe[Volle],HäufigsteErgebnisse[[#This Row],[Zahl]])</f>
        <v>0</v>
      </c>
      <c r="D627" s="2">
        <f>COUNTIF(Eingabe[Räumer],HäufigsteErgebnisse[[#This Row],[Zahl]])</f>
        <v>0</v>
      </c>
      <c r="E627" s="2">
        <f>COUNTIF(Eingabe[Fehler],HäufigsteErgebnisse[[#This Row],[Zahl]])</f>
        <v>0</v>
      </c>
      <c r="F627" s="2">
        <f>COUNTIF(Eingabe[S1],HäufigsteErgebnisse[[#This Row],[Zahl]])</f>
        <v>0</v>
      </c>
      <c r="G627" s="2">
        <f>COUNTIF(Eingabe[S2],HäufigsteErgebnisse[[#This Row],[Zahl]])</f>
        <v>0</v>
      </c>
      <c r="H627" s="2">
        <f>COUNTIF(Eingabe[S3],HäufigsteErgebnisse[[#This Row],[Zahl]])</f>
        <v>0</v>
      </c>
      <c r="I627" s="2">
        <f>COUNTIF(Eingabe[S4],HäufigsteErgebnisse[[#This Row],[Zahl]])</f>
        <v>0</v>
      </c>
      <c r="J627" s="2">
        <f>COUNTIF(Eingabe[S1],HäufigsteErgebnisse[[#This Row],[Zahl]])+COUNTIF(Eingabe[S2],HäufigsteErgebnisse[[#This Row],[Zahl]])+COUNTIF(Eingabe[S3],HäufigsteErgebnisse[[#This Row],[Zahl]])+COUNTIF(Eingabe[S4],HäufigsteErgebnisse[[#This Row],[Zahl]])</f>
        <v>0</v>
      </c>
      <c r="K627" s="2">
        <f>COUNTIF(Eingabe[GES],HäufigsteErgebnisse[[#This Row],[Zahl]])</f>
        <v>0</v>
      </c>
      <c r="L627" s="2">
        <f>HäufigsteErgebnisse[[#This Row],[Zahl]]</f>
        <v>569</v>
      </c>
    </row>
    <row r="628" spans="2:12" x14ac:dyDescent="0.3">
      <c r="B628" s="2">
        <v>570</v>
      </c>
      <c r="C628" s="2">
        <f>COUNTIF(Eingabe[Volle],HäufigsteErgebnisse[[#This Row],[Zahl]])</f>
        <v>0</v>
      </c>
      <c r="D628" s="2">
        <f>COUNTIF(Eingabe[Räumer],HäufigsteErgebnisse[[#This Row],[Zahl]])</f>
        <v>0</v>
      </c>
      <c r="E628" s="2">
        <f>COUNTIF(Eingabe[Fehler],HäufigsteErgebnisse[[#This Row],[Zahl]])</f>
        <v>0</v>
      </c>
      <c r="F628" s="2">
        <f>COUNTIF(Eingabe[S1],HäufigsteErgebnisse[[#This Row],[Zahl]])</f>
        <v>0</v>
      </c>
      <c r="G628" s="2">
        <f>COUNTIF(Eingabe[S2],HäufigsteErgebnisse[[#This Row],[Zahl]])</f>
        <v>0</v>
      </c>
      <c r="H628" s="2">
        <f>COUNTIF(Eingabe[S3],HäufigsteErgebnisse[[#This Row],[Zahl]])</f>
        <v>0</v>
      </c>
      <c r="I628" s="2">
        <f>COUNTIF(Eingabe[S4],HäufigsteErgebnisse[[#This Row],[Zahl]])</f>
        <v>0</v>
      </c>
      <c r="J628" s="2">
        <f>COUNTIF(Eingabe[S1],HäufigsteErgebnisse[[#This Row],[Zahl]])+COUNTIF(Eingabe[S2],HäufigsteErgebnisse[[#This Row],[Zahl]])+COUNTIF(Eingabe[S3],HäufigsteErgebnisse[[#This Row],[Zahl]])+COUNTIF(Eingabe[S4],HäufigsteErgebnisse[[#This Row],[Zahl]])</f>
        <v>0</v>
      </c>
      <c r="K628" s="2">
        <f>COUNTIF(Eingabe[GES],HäufigsteErgebnisse[[#This Row],[Zahl]])</f>
        <v>1</v>
      </c>
      <c r="L628" s="2">
        <f>HäufigsteErgebnisse[[#This Row],[Zahl]]</f>
        <v>570</v>
      </c>
    </row>
    <row r="629" spans="2:12" x14ac:dyDescent="0.3">
      <c r="B629" s="2">
        <v>571</v>
      </c>
      <c r="C629" s="2">
        <f>COUNTIF(Eingabe[Volle],HäufigsteErgebnisse[[#This Row],[Zahl]])</f>
        <v>0</v>
      </c>
      <c r="D629" s="2">
        <f>COUNTIF(Eingabe[Räumer],HäufigsteErgebnisse[[#This Row],[Zahl]])</f>
        <v>0</v>
      </c>
      <c r="E629" s="2">
        <f>COUNTIF(Eingabe[Fehler],HäufigsteErgebnisse[[#This Row],[Zahl]])</f>
        <v>0</v>
      </c>
      <c r="F629" s="2">
        <f>COUNTIF(Eingabe[S1],HäufigsteErgebnisse[[#This Row],[Zahl]])</f>
        <v>0</v>
      </c>
      <c r="G629" s="2">
        <f>COUNTIF(Eingabe[S2],HäufigsteErgebnisse[[#This Row],[Zahl]])</f>
        <v>0</v>
      </c>
      <c r="H629" s="2">
        <f>COUNTIF(Eingabe[S3],HäufigsteErgebnisse[[#This Row],[Zahl]])</f>
        <v>0</v>
      </c>
      <c r="I629" s="2">
        <f>COUNTIF(Eingabe[S4],HäufigsteErgebnisse[[#This Row],[Zahl]])</f>
        <v>0</v>
      </c>
      <c r="J629" s="2">
        <f>COUNTIF(Eingabe[S1],HäufigsteErgebnisse[[#This Row],[Zahl]])+COUNTIF(Eingabe[S2],HäufigsteErgebnisse[[#This Row],[Zahl]])+COUNTIF(Eingabe[S3],HäufigsteErgebnisse[[#This Row],[Zahl]])+COUNTIF(Eingabe[S4],HäufigsteErgebnisse[[#This Row],[Zahl]])</f>
        <v>0</v>
      </c>
      <c r="K629" s="2">
        <f>COUNTIF(Eingabe[GES],HäufigsteErgebnisse[[#This Row],[Zahl]])</f>
        <v>0</v>
      </c>
      <c r="L629" s="2">
        <f>HäufigsteErgebnisse[[#This Row],[Zahl]]</f>
        <v>571</v>
      </c>
    </row>
    <row r="630" spans="2:12" x14ac:dyDescent="0.3">
      <c r="B630" s="2">
        <v>572</v>
      </c>
      <c r="C630" s="2">
        <f>COUNTIF(Eingabe[Volle],HäufigsteErgebnisse[[#This Row],[Zahl]])</f>
        <v>0</v>
      </c>
      <c r="D630" s="2">
        <f>COUNTIF(Eingabe[Räumer],HäufigsteErgebnisse[[#This Row],[Zahl]])</f>
        <v>0</v>
      </c>
      <c r="E630" s="2">
        <f>COUNTIF(Eingabe[Fehler],HäufigsteErgebnisse[[#This Row],[Zahl]])</f>
        <v>0</v>
      </c>
      <c r="F630" s="2">
        <f>COUNTIF(Eingabe[S1],HäufigsteErgebnisse[[#This Row],[Zahl]])</f>
        <v>0</v>
      </c>
      <c r="G630" s="2">
        <f>COUNTIF(Eingabe[S2],HäufigsteErgebnisse[[#This Row],[Zahl]])</f>
        <v>0</v>
      </c>
      <c r="H630" s="2">
        <f>COUNTIF(Eingabe[S3],HäufigsteErgebnisse[[#This Row],[Zahl]])</f>
        <v>0</v>
      </c>
      <c r="I630" s="2">
        <f>COUNTIF(Eingabe[S4],HäufigsteErgebnisse[[#This Row],[Zahl]])</f>
        <v>0</v>
      </c>
      <c r="J630" s="2">
        <f>COUNTIF(Eingabe[S1],HäufigsteErgebnisse[[#This Row],[Zahl]])+COUNTIF(Eingabe[S2],HäufigsteErgebnisse[[#This Row],[Zahl]])+COUNTIF(Eingabe[S3],HäufigsteErgebnisse[[#This Row],[Zahl]])+COUNTIF(Eingabe[S4],HäufigsteErgebnisse[[#This Row],[Zahl]])</f>
        <v>0</v>
      </c>
      <c r="K630" s="2">
        <f>COUNTIF(Eingabe[GES],HäufigsteErgebnisse[[#This Row],[Zahl]])</f>
        <v>0</v>
      </c>
      <c r="L630" s="2">
        <f>HäufigsteErgebnisse[[#This Row],[Zahl]]</f>
        <v>572</v>
      </c>
    </row>
    <row r="631" spans="2:12" x14ac:dyDescent="0.3">
      <c r="B631" s="2">
        <v>573</v>
      </c>
      <c r="C631" s="2">
        <f>COUNTIF(Eingabe[Volle],HäufigsteErgebnisse[[#This Row],[Zahl]])</f>
        <v>0</v>
      </c>
      <c r="D631" s="2">
        <f>COUNTIF(Eingabe[Räumer],HäufigsteErgebnisse[[#This Row],[Zahl]])</f>
        <v>0</v>
      </c>
      <c r="E631" s="2">
        <f>COUNTIF(Eingabe[Fehler],HäufigsteErgebnisse[[#This Row],[Zahl]])</f>
        <v>0</v>
      </c>
      <c r="F631" s="2">
        <f>COUNTIF(Eingabe[S1],HäufigsteErgebnisse[[#This Row],[Zahl]])</f>
        <v>0</v>
      </c>
      <c r="G631" s="2">
        <f>COUNTIF(Eingabe[S2],HäufigsteErgebnisse[[#This Row],[Zahl]])</f>
        <v>0</v>
      </c>
      <c r="H631" s="2">
        <f>COUNTIF(Eingabe[S3],HäufigsteErgebnisse[[#This Row],[Zahl]])</f>
        <v>0</v>
      </c>
      <c r="I631" s="2">
        <f>COUNTIF(Eingabe[S4],HäufigsteErgebnisse[[#This Row],[Zahl]])</f>
        <v>0</v>
      </c>
      <c r="J631" s="2">
        <f>COUNTIF(Eingabe[S1],HäufigsteErgebnisse[[#This Row],[Zahl]])+COUNTIF(Eingabe[S2],HäufigsteErgebnisse[[#This Row],[Zahl]])+COUNTIF(Eingabe[S3],HäufigsteErgebnisse[[#This Row],[Zahl]])+COUNTIF(Eingabe[S4],HäufigsteErgebnisse[[#This Row],[Zahl]])</f>
        <v>0</v>
      </c>
      <c r="K631" s="2">
        <f>COUNTIF(Eingabe[GES],HäufigsteErgebnisse[[#This Row],[Zahl]])</f>
        <v>0</v>
      </c>
      <c r="L631" s="2">
        <f>HäufigsteErgebnisse[[#This Row],[Zahl]]</f>
        <v>573</v>
      </c>
    </row>
    <row r="632" spans="2:12" x14ac:dyDescent="0.3">
      <c r="B632" s="2">
        <v>574</v>
      </c>
      <c r="C632" s="2">
        <f>COUNTIF(Eingabe[Volle],HäufigsteErgebnisse[[#This Row],[Zahl]])</f>
        <v>0</v>
      </c>
      <c r="D632" s="2">
        <f>COUNTIF(Eingabe[Räumer],HäufigsteErgebnisse[[#This Row],[Zahl]])</f>
        <v>0</v>
      </c>
      <c r="E632" s="2">
        <f>COUNTIF(Eingabe[Fehler],HäufigsteErgebnisse[[#This Row],[Zahl]])</f>
        <v>0</v>
      </c>
      <c r="F632" s="2">
        <f>COUNTIF(Eingabe[S1],HäufigsteErgebnisse[[#This Row],[Zahl]])</f>
        <v>0</v>
      </c>
      <c r="G632" s="2">
        <f>COUNTIF(Eingabe[S2],HäufigsteErgebnisse[[#This Row],[Zahl]])</f>
        <v>0</v>
      </c>
      <c r="H632" s="2">
        <f>COUNTIF(Eingabe[S3],HäufigsteErgebnisse[[#This Row],[Zahl]])</f>
        <v>0</v>
      </c>
      <c r="I632" s="2">
        <f>COUNTIF(Eingabe[S4],HäufigsteErgebnisse[[#This Row],[Zahl]])</f>
        <v>0</v>
      </c>
      <c r="J632" s="2">
        <f>COUNTIF(Eingabe[S1],HäufigsteErgebnisse[[#This Row],[Zahl]])+COUNTIF(Eingabe[S2],HäufigsteErgebnisse[[#This Row],[Zahl]])+COUNTIF(Eingabe[S3],HäufigsteErgebnisse[[#This Row],[Zahl]])+COUNTIF(Eingabe[S4],HäufigsteErgebnisse[[#This Row],[Zahl]])</f>
        <v>0</v>
      </c>
      <c r="K632" s="2">
        <f>COUNTIF(Eingabe[GES],HäufigsteErgebnisse[[#This Row],[Zahl]])</f>
        <v>2</v>
      </c>
      <c r="L632" s="2">
        <f>HäufigsteErgebnisse[[#This Row],[Zahl]]</f>
        <v>574</v>
      </c>
    </row>
    <row r="633" spans="2:12" x14ac:dyDescent="0.3">
      <c r="B633" s="2">
        <v>575</v>
      </c>
      <c r="C633" s="2">
        <f>COUNTIF(Eingabe[Volle],HäufigsteErgebnisse[[#This Row],[Zahl]])</f>
        <v>0</v>
      </c>
      <c r="D633" s="2">
        <f>COUNTIF(Eingabe[Räumer],HäufigsteErgebnisse[[#This Row],[Zahl]])</f>
        <v>0</v>
      </c>
      <c r="E633" s="2">
        <f>COUNTIF(Eingabe[Fehler],HäufigsteErgebnisse[[#This Row],[Zahl]])</f>
        <v>0</v>
      </c>
      <c r="F633" s="2">
        <f>COUNTIF(Eingabe[S1],HäufigsteErgebnisse[[#This Row],[Zahl]])</f>
        <v>0</v>
      </c>
      <c r="G633" s="2">
        <f>COUNTIF(Eingabe[S2],HäufigsteErgebnisse[[#This Row],[Zahl]])</f>
        <v>0</v>
      </c>
      <c r="H633" s="2">
        <f>COUNTIF(Eingabe[S3],HäufigsteErgebnisse[[#This Row],[Zahl]])</f>
        <v>0</v>
      </c>
      <c r="I633" s="2">
        <f>COUNTIF(Eingabe[S4],HäufigsteErgebnisse[[#This Row],[Zahl]])</f>
        <v>0</v>
      </c>
      <c r="J633" s="2">
        <f>COUNTIF(Eingabe[S1],HäufigsteErgebnisse[[#This Row],[Zahl]])+COUNTIF(Eingabe[S2],HäufigsteErgebnisse[[#This Row],[Zahl]])+COUNTIF(Eingabe[S3],HäufigsteErgebnisse[[#This Row],[Zahl]])+COUNTIF(Eingabe[S4],HäufigsteErgebnisse[[#This Row],[Zahl]])</f>
        <v>0</v>
      </c>
      <c r="K633" s="2">
        <f>COUNTIF(Eingabe[GES],HäufigsteErgebnisse[[#This Row],[Zahl]])</f>
        <v>1</v>
      </c>
      <c r="L633" s="2">
        <f>HäufigsteErgebnisse[[#This Row],[Zahl]]</f>
        <v>575</v>
      </c>
    </row>
    <row r="634" spans="2:12" x14ac:dyDescent="0.3">
      <c r="B634" s="2">
        <v>576</v>
      </c>
      <c r="C634" s="2">
        <f>COUNTIF(Eingabe[Volle],HäufigsteErgebnisse[[#This Row],[Zahl]])</f>
        <v>0</v>
      </c>
      <c r="D634" s="2">
        <f>COUNTIF(Eingabe[Räumer],HäufigsteErgebnisse[[#This Row],[Zahl]])</f>
        <v>0</v>
      </c>
      <c r="E634" s="2">
        <f>COUNTIF(Eingabe[Fehler],HäufigsteErgebnisse[[#This Row],[Zahl]])</f>
        <v>0</v>
      </c>
      <c r="F634" s="2">
        <f>COUNTIF(Eingabe[S1],HäufigsteErgebnisse[[#This Row],[Zahl]])</f>
        <v>0</v>
      </c>
      <c r="G634" s="2">
        <f>COUNTIF(Eingabe[S2],HäufigsteErgebnisse[[#This Row],[Zahl]])</f>
        <v>0</v>
      </c>
      <c r="H634" s="2">
        <f>COUNTIF(Eingabe[S3],HäufigsteErgebnisse[[#This Row],[Zahl]])</f>
        <v>0</v>
      </c>
      <c r="I634" s="2">
        <f>COUNTIF(Eingabe[S4],HäufigsteErgebnisse[[#This Row],[Zahl]])</f>
        <v>0</v>
      </c>
      <c r="J634" s="2">
        <f>COUNTIF(Eingabe[S1],HäufigsteErgebnisse[[#This Row],[Zahl]])+COUNTIF(Eingabe[S2],HäufigsteErgebnisse[[#This Row],[Zahl]])+COUNTIF(Eingabe[S3],HäufigsteErgebnisse[[#This Row],[Zahl]])+COUNTIF(Eingabe[S4],HäufigsteErgebnisse[[#This Row],[Zahl]])</f>
        <v>0</v>
      </c>
      <c r="K634" s="2">
        <f>COUNTIF(Eingabe[GES],HäufigsteErgebnisse[[#This Row],[Zahl]])</f>
        <v>1</v>
      </c>
      <c r="L634" s="2">
        <f>HäufigsteErgebnisse[[#This Row],[Zahl]]</f>
        <v>576</v>
      </c>
    </row>
    <row r="635" spans="2:12" x14ac:dyDescent="0.3">
      <c r="B635" s="2">
        <v>577</v>
      </c>
      <c r="C635" s="2">
        <f>COUNTIF(Eingabe[Volle],HäufigsteErgebnisse[[#This Row],[Zahl]])</f>
        <v>0</v>
      </c>
      <c r="D635" s="2">
        <f>COUNTIF(Eingabe[Räumer],HäufigsteErgebnisse[[#This Row],[Zahl]])</f>
        <v>0</v>
      </c>
      <c r="E635" s="2">
        <f>COUNTIF(Eingabe[Fehler],HäufigsteErgebnisse[[#This Row],[Zahl]])</f>
        <v>0</v>
      </c>
      <c r="F635" s="2">
        <f>COUNTIF(Eingabe[S1],HäufigsteErgebnisse[[#This Row],[Zahl]])</f>
        <v>0</v>
      </c>
      <c r="G635" s="2">
        <f>COUNTIF(Eingabe[S2],HäufigsteErgebnisse[[#This Row],[Zahl]])</f>
        <v>0</v>
      </c>
      <c r="H635" s="2">
        <f>COUNTIF(Eingabe[S3],HäufigsteErgebnisse[[#This Row],[Zahl]])</f>
        <v>0</v>
      </c>
      <c r="I635" s="2">
        <f>COUNTIF(Eingabe[S4],HäufigsteErgebnisse[[#This Row],[Zahl]])</f>
        <v>0</v>
      </c>
      <c r="J635" s="2">
        <f>COUNTIF(Eingabe[S1],HäufigsteErgebnisse[[#This Row],[Zahl]])+COUNTIF(Eingabe[S2],HäufigsteErgebnisse[[#This Row],[Zahl]])+COUNTIF(Eingabe[S3],HäufigsteErgebnisse[[#This Row],[Zahl]])+COUNTIF(Eingabe[S4],HäufigsteErgebnisse[[#This Row],[Zahl]])</f>
        <v>0</v>
      </c>
      <c r="K635" s="2">
        <f>COUNTIF(Eingabe[GES],HäufigsteErgebnisse[[#This Row],[Zahl]])</f>
        <v>1</v>
      </c>
      <c r="L635" s="2">
        <f>HäufigsteErgebnisse[[#This Row],[Zahl]]</f>
        <v>577</v>
      </c>
    </row>
    <row r="636" spans="2:12" x14ac:dyDescent="0.3">
      <c r="B636" s="2">
        <v>578</v>
      </c>
      <c r="C636" s="2">
        <f>COUNTIF(Eingabe[Volle],HäufigsteErgebnisse[[#This Row],[Zahl]])</f>
        <v>0</v>
      </c>
      <c r="D636" s="2">
        <f>COUNTIF(Eingabe[Räumer],HäufigsteErgebnisse[[#This Row],[Zahl]])</f>
        <v>0</v>
      </c>
      <c r="E636" s="2">
        <f>COUNTIF(Eingabe[Fehler],HäufigsteErgebnisse[[#This Row],[Zahl]])</f>
        <v>0</v>
      </c>
      <c r="F636" s="2">
        <f>COUNTIF(Eingabe[S1],HäufigsteErgebnisse[[#This Row],[Zahl]])</f>
        <v>0</v>
      </c>
      <c r="G636" s="2">
        <f>COUNTIF(Eingabe[S2],HäufigsteErgebnisse[[#This Row],[Zahl]])</f>
        <v>0</v>
      </c>
      <c r="H636" s="2">
        <f>COUNTIF(Eingabe[S3],HäufigsteErgebnisse[[#This Row],[Zahl]])</f>
        <v>0</v>
      </c>
      <c r="I636" s="2">
        <f>COUNTIF(Eingabe[S4],HäufigsteErgebnisse[[#This Row],[Zahl]])</f>
        <v>0</v>
      </c>
      <c r="J636" s="2">
        <f>COUNTIF(Eingabe[S1],HäufigsteErgebnisse[[#This Row],[Zahl]])+COUNTIF(Eingabe[S2],HäufigsteErgebnisse[[#This Row],[Zahl]])+COUNTIF(Eingabe[S3],HäufigsteErgebnisse[[#This Row],[Zahl]])+COUNTIF(Eingabe[S4],HäufigsteErgebnisse[[#This Row],[Zahl]])</f>
        <v>0</v>
      </c>
      <c r="K636" s="2">
        <f>COUNTIF(Eingabe[GES],HäufigsteErgebnisse[[#This Row],[Zahl]])</f>
        <v>1</v>
      </c>
      <c r="L636" s="2">
        <f>HäufigsteErgebnisse[[#This Row],[Zahl]]</f>
        <v>578</v>
      </c>
    </row>
    <row r="637" spans="2:12" x14ac:dyDescent="0.3">
      <c r="B637" s="2">
        <v>579</v>
      </c>
      <c r="C637" s="2">
        <f>COUNTIF(Eingabe[Volle],HäufigsteErgebnisse[[#This Row],[Zahl]])</f>
        <v>0</v>
      </c>
      <c r="D637" s="2">
        <f>COUNTIF(Eingabe[Räumer],HäufigsteErgebnisse[[#This Row],[Zahl]])</f>
        <v>0</v>
      </c>
      <c r="E637" s="2">
        <f>COUNTIF(Eingabe[Fehler],HäufigsteErgebnisse[[#This Row],[Zahl]])</f>
        <v>0</v>
      </c>
      <c r="F637" s="2">
        <f>COUNTIF(Eingabe[S1],HäufigsteErgebnisse[[#This Row],[Zahl]])</f>
        <v>0</v>
      </c>
      <c r="G637" s="2">
        <f>COUNTIF(Eingabe[S2],HäufigsteErgebnisse[[#This Row],[Zahl]])</f>
        <v>0</v>
      </c>
      <c r="H637" s="2">
        <f>COUNTIF(Eingabe[S3],HäufigsteErgebnisse[[#This Row],[Zahl]])</f>
        <v>0</v>
      </c>
      <c r="I637" s="2">
        <f>COUNTIF(Eingabe[S4],HäufigsteErgebnisse[[#This Row],[Zahl]])</f>
        <v>0</v>
      </c>
      <c r="J637" s="2">
        <f>COUNTIF(Eingabe[S1],HäufigsteErgebnisse[[#This Row],[Zahl]])+COUNTIF(Eingabe[S2],HäufigsteErgebnisse[[#This Row],[Zahl]])+COUNTIF(Eingabe[S3],HäufigsteErgebnisse[[#This Row],[Zahl]])+COUNTIF(Eingabe[S4],HäufigsteErgebnisse[[#This Row],[Zahl]])</f>
        <v>0</v>
      </c>
      <c r="K637" s="2">
        <f>COUNTIF(Eingabe[GES],HäufigsteErgebnisse[[#This Row],[Zahl]])</f>
        <v>1</v>
      </c>
      <c r="L637" s="2">
        <f>HäufigsteErgebnisse[[#This Row],[Zahl]]</f>
        <v>579</v>
      </c>
    </row>
    <row r="638" spans="2:12" x14ac:dyDescent="0.3">
      <c r="B638" s="2">
        <v>580</v>
      </c>
      <c r="C638" s="2">
        <f>COUNTIF(Eingabe[Volle],HäufigsteErgebnisse[[#This Row],[Zahl]])</f>
        <v>0</v>
      </c>
      <c r="D638" s="2">
        <f>COUNTIF(Eingabe[Räumer],HäufigsteErgebnisse[[#This Row],[Zahl]])</f>
        <v>0</v>
      </c>
      <c r="E638" s="2">
        <f>COUNTIF(Eingabe[Fehler],HäufigsteErgebnisse[[#This Row],[Zahl]])</f>
        <v>0</v>
      </c>
      <c r="F638" s="2">
        <f>COUNTIF(Eingabe[S1],HäufigsteErgebnisse[[#This Row],[Zahl]])</f>
        <v>0</v>
      </c>
      <c r="G638" s="2">
        <f>COUNTIF(Eingabe[S2],HäufigsteErgebnisse[[#This Row],[Zahl]])</f>
        <v>0</v>
      </c>
      <c r="H638" s="2">
        <f>COUNTIF(Eingabe[S3],HäufigsteErgebnisse[[#This Row],[Zahl]])</f>
        <v>0</v>
      </c>
      <c r="I638" s="2">
        <f>COUNTIF(Eingabe[S4],HäufigsteErgebnisse[[#This Row],[Zahl]])</f>
        <v>0</v>
      </c>
      <c r="J638" s="2">
        <f>COUNTIF(Eingabe[S1],HäufigsteErgebnisse[[#This Row],[Zahl]])+COUNTIF(Eingabe[S2],HäufigsteErgebnisse[[#This Row],[Zahl]])+COUNTIF(Eingabe[S3],HäufigsteErgebnisse[[#This Row],[Zahl]])+COUNTIF(Eingabe[S4],HäufigsteErgebnisse[[#This Row],[Zahl]])</f>
        <v>0</v>
      </c>
      <c r="K638" s="2">
        <f>COUNTIF(Eingabe[GES],HäufigsteErgebnisse[[#This Row],[Zahl]])</f>
        <v>0</v>
      </c>
      <c r="L638" s="2">
        <f>HäufigsteErgebnisse[[#This Row],[Zahl]]</f>
        <v>580</v>
      </c>
    </row>
    <row r="639" spans="2:12" x14ac:dyDescent="0.3">
      <c r="B639" s="2">
        <v>581</v>
      </c>
      <c r="C639" s="2">
        <f>COUNTIF(Eingabe[Volle],HäufigsteErgebnisse[[#This Row],[Zahl]])</f>
        <v>0</v>
      </c>
      <c r="D639" s="2">
        <f>COUNTIF(Eingabe[Räumer],HäufigsteErgebnisse[[#This Row],[Zahl]])</f>
        <v>0</v>
      </c>
      <c r="E639" s="2">
        <f>COUNTIF(Eingabe[Fehler],HäufigsteErgebnisse[[#This Row],[Zahl]])</f>
        <v>0</v>
      </c>
      <c r="F639" s="2">
        <f>COUNTIF(Eingabe[S1],HäufigsteErgebnisse[[#This Row],[Zahl]])</f>
        <v>0</v>
      </c>
      <c r="G639" s="2">
        <f>COUNTIF(Eingabe[S2],HäufigsteErgebnisse[[#This Row],[Zahl]])</f>
        <v>0</v>
      </c>
      <c r="H639" s="2">
        <f>COUNTIF(Eingabe[S3],HäufigsteErgebnisse[[#This Row],[Zahl]])</f>
        <v>0</v>
      </c>
      <c r="I639" s="2">
        <f>COUNTIF(Eingabe[S4],HäufigsteErgebnisse[[#This Row],[Zahl]])</f>
        <v>0</v>
      </c>
      <c r="J639" s="2">
        <f>COUNTIF(Eingabe[S1],HäufigsteErgebnisse[[#This Row],[Zahl]])+COUNTIF(Eingabe[S2],HäufigsteErgebnisse[[#This Row],[Zahl]])+COUNTIF(Eingabe[S3],HäufigsteErgebnisse[[#This Row],[Zahl]])+COUNTIF(Eingabe[S4],HäufigsteErgebnisse[[#This Row],[Zahl]])</f>
        <v>0</v>
      </c>
      <c r="K639" s="2">
        <f>COUNTIF(Eingabe[GES],HäufigsteErgebnisse[[#This Row],[Zahl]])</f>
        <v>0</v>
      </c>
      <c r="L639" s="2">
        <f>HäufigsteErgebnisse[[#This Row],[Zahl]]</f>
        <v>581</v>
      </c>
    </row>
    <row r="640" spans="2:12" x14ac:dyDescent="0.3">
      <c r="B640" s="2">
        <v>582</v>
      </c>
      <c r="C640" s="2">
        <f>COUNTIF(Eingabe[Volle],HäufigsteErgebnisse[[#This Row],[Zahl]])</f>
        <v>0</v>
      </c>
      <c r="D640" s="2">
        <f>COUNTIF(Eingabe[Räumer],HäufigsteErgebnisse[[#This Row],[Zahl]])</f>
        <v>0</v>
      </c>
      <c r="E640" s="2">
        <f>COUNTIF(Eingabe[Fehler],HäufigsteErgebnisse[[#This Row],[Zahl]])</f>
        <v>0</v>
      </c>
      <c r="F640" s="2">
        <f>COUNTIF(Eingabe[S1],HäufigsteErgebnisse[[#This Row],[Zahl]])</f>
        <v>0</v>
      </c>
      <c r="G640" s="2">
        <f>COUNTIF(Eingabe[S2],HäufigsteErgebnisse[[#This Row],[Zahl]])</f>
        <v>0</v>
      </c>
      <c r="H640" s="2">
        <f>COUNTIF(Eingabe[S3],HäufigsteErgebnisse[[#This Row],[Zahl]])</f>
        <v>0</v>
      </c>
      <c r="I640" s="2">
        <f>COUNTIF(Eingabe[S4],HäufigsteErgebnisse[[#This Row],[Zahl]])</f>
        <v>0</v>
      </c>
      <c r="J640" s="2">
        <f>COUNTIF(Eingabe[S1],HäufigsteErgebnisse[[#This Row],[Zahl]])+COUNTIF(Eingabe[S2],HäufigsteErgebnisse[[#This Row],[Zahl]])+COUNTIF(Eingabe[S3],HäufigsteErgebnisse[[#This Row],[Zahl]])+COUNTIF(Eingabe[S4],HäufigsteErgebnisse[[#This Row],[Zahl]])</f>
        <v>0</v>
      </c>
      <c r="K640" s="2">
        <f>COUNTIF(Eingabe[GES],HäufigsteErgebnisse[[#This Row],[Zahl]])</f>
        <v>0</v>
      </c>
      <c r="L640" s="2">
        <f>HäufigsteErgebnisse[[#This Row],[Zahl]]</f>
        <v>582</v>
      </c>
    </row>
    <row r="641" spans="2:12" x14ac:dyDescent="0.3">
      <c r="B641" s="2">
        <v>583</v>
      </c>
      <c r="C641" s="2">
        <f>COUNTIF(Eingabe[Volle],HäufigsteErgebnisse[[#This Row],[Zahl]])</f>
        <v>0</v>
      </c>
      <c r="D641" s="2">
        <f>COUNTIF(Eingabe[Räumer],HäufigsteErgebnisse[[#This Row],[Zahl]])</f>
        <v>0</v>
      </c>
      <c r="E641" s="2">
        <f>COUNTIF(Eingabe[Fehler],HäufigsteErgebnisse[[#This Row],[Zahl]])</f>
        <v>0</v>
      </c>
      <c r="F641" s="2">
        <f>COUNTIF(Eingabe[S1],HäufigsteErgebnisse[[#This Row],[Zahl]])</f>
        <v>0</v>
      </c>
      <c r="G641" s="2">
        <f>COUNTIF(Eingabe[S2],HäufigsteErgebnisse[[#This Row],[Zahl]])</f>
        <v>0</v>
      </c>
      <c r="H641" s="2">
        <f>COUNTIF(Eingabe[S3],HäufigsteErgebnisse[[#This Row],[Zahl]])</f>
        <v>0</v>
      </c>
      <c r="I641" s="2">
        <f>COUNTIF(Eingabe[S4],HäufigsteErgebnisse[[#This Row],[Zahl]])</f>
        <v>0</v>
      </c>
      <c r="J641" s="2">
        <f>COUNTIF(Eingabe[S1],HäufigsteErgebnisse[[#This Row],[Zahl]])+COUNTIF(Eingabe[S2],HäufigsteErgebnisse[[#This Row],[Zahl]])+COUNTIF(Eingabe[S3],HäufigsteErgebnisse[[#This Row],[Zahl]])+COUNTIF(Eingabe[S4],HäufigsteErgebnisse[[#This Row],[Zahl]])</f>
        <v>0</v>
      </c>
      <c r="K641" s="2">
        <f>COUNTIF(Eingabe[GES],HäufigsteErgebnisse[[#This Row],[Zahl]])</f>
        <v>0</v>
      </c>
      <c r="L641" s="2">
        <f>HäufigsteErgebnisse[[#This Row],[Zahl]]</f>
        <v>583</v>
      </c>
    </row>
    <row r="642" spans="2:12" x14ac:dyDescent="0.3">
      <c r="B642" s="2">
        <v>584</v>
      </c>
      <c r="C642" s="2">
        <f>COUNTIF(Eingabe[Volle],HäufigsteErgebnisse[[#This Row],[Zahl]])</f>
        <v>0</v>
      </c>
      <c r="D642" s="2">
        <f>COUNTIF(Eingabe[Räumer],HäufigsteErgebnisse[[#This Row],[Zahl]])</f>
        <v>0</v>
      </c>
      <c r="E642" s="2">
        <f>COUNTIF(Eingabe[Fehler],HäufigsteErgebnisse[[#This Row],[Zahl]])</f>
        <v>0</v>
      </c>
      <c r="F642" s="2">
        <f>COUNTIF(Eingabe[S1],HäufigsteErgebnisse[[#This Row],[Zahl]])</f>
        <v>0</v>
      </c>
      <c r="G642" s="2">
        <f>COUNTIF(Eingabe[S2],HäufigsteErgebnisse[[#This Row],[Zahl]])</f>
        <v>0</v>
      </c>
      <c r="H642" s="2">
        <f>COUNTIF(Eingabe[S3],HäufigsteErgebnisse[[#This Row],[Zahl]])</f>
        <v>0</v>
      </c>
      <c r="I642" s="2">
        <f>COUNTIF(Eingabe[S4],HäufigsteErgebnisse[[#This Row],[Zahl]])</f>
        <v>0</v>
      </c>
      <c r="J642" s="2">
        <f>COUNTIF(Eingabe[S1],HäufigsteErgebnisse[[#This Row],[Zahl]])+COUNTIF(Eingabe[S2],HäufigsteErgebnisse[[#This Row],[Zahl]])+COUNTIF(Eingabe[S3],HäufigsteErgebnisse[[#This Row],[Zahl]])+COUNTIF(Eingabe[S4],HäufigsteErgebnisse[[#This Row],[Zahl]])</f>
        <v>0</v>
      </c>
      <c r="K642" s="2">
        <f>COUNTIF(Eingabe[GES],HäufigsteErgebnisse[[#This Row],[Zahl]])</f>
        <v>1</v>
      </c>
      <c r="L642" s="2">
        <f>HäufigsteErgebnisse[[#This Row],[Zahl]]</f>
        <v>584</v>
      </c>
    </row>
    <row r="643" spans="2:12" x14ac:dyDescent="0.3">
      <c r="B643" s="2">
        <v>585</v>
      </c>
      <c r="C643" s="2">
        <f>COUNTIF(Eingabe[Volle],HäufigsteErgebnisse[[#This Row],[Zahl]])</f>
        <v>0</v>
      </c>
      <c r="D643" s="2">
        <f>COUNTIF(Eingabe[Räumer],HäufigsteErgebnisse[[#This Row],[Zahl]])</f>
        <v>0</v>
      </c>
      <c r="E643" s="2">
        <f>COUNTIF(Eingabe[Fehler],HäufigsteErgebnisse[[#This Row],[Zahl]])</f>
        <v>0</v>
      </c>
      <c r="F643" s="2">
        <f>COUNTIF(Eingabe[S1],HäufigsteErgebnisse[[#This Row],[Zahl]])</f>
        <v>0</v>
      </c>
      <c r="G643" s="2">
        <f>COUNTIF(Eingabe[S2],HäufigsteErgebnisse[[#This Row],[Zahl]])</f>
        <v>0</v>
      </c>
      <c r="H643" s="2">
        <f>COUNTIF(Eingabe[S3],HäufigsteErgebnisse[[#This Row],[Zahl]])</f>
        <v>0</v>
      </c>
      <c r="I643" s="2">
        <f>COUNTIF(Eingabe[S4],HäufigsteErgebnisse[[#This Row],[Zahl]])</f>
        <v>0</v>
      </c>
      <c r="J643" s="2">
        <f>COUNTIF(Eingabe[S1],HäufigsteErgebnisse[[#This Row],[Zahl]])+COUNTIF(Eingabe[S2],HäufigsteErgebnisse[[#This Row],[Zahl]])+COUNTIF(Eingabe[S3],HäufigsteErgebnisse[[#This Row],[Zahl]])+COUNTIF(Eingabe[S4],HäufigsteErgebnisse[[#This Row],[Zahl]])</f>
        <v>0</v>
      </c>
      <c r="K643" s="2">
        <f>COUNTIF(Eingabe[GES],HäufigsteErgebnisse[[#This Row],[Zahl]])</f>
        <v>0</v>
      </c>
      <c r="L643" s="2">
        <f>HäufigsteErgebnisse[[#This Row],[Zahl]]</f>
        <v>585</v>
      </c>
    </row>
    <row r="644" spans="2:12" x14ac:dyDescent="0.3">
      <c r="B644" s="2">
        <v>586</v>
      </c>
      <c r="C644" s="2">
        <f>COUNTIF(Eingabe[Volle],HäufigsteErgebnisse[[#This Row],[Zahl]])</f>
        <v>0</v>
      </c>
      <c r="D644" s="2">
        <f>COUNTIF(Eingabe[Räumer],HäufigsteErgebnisse[[#This Row],[Zahl]])</f>
        <v>0</v>
      </c>
      <c r="E644" s="2">
        <f>COUNTIF(Eingabe[Fehler],HäufigsteErgebnisse[[#This Row],[Zahl]])</f>
        <v>0</v>
      </c>
      <c r="F644" s="2">
        <f>COUNTIF(Eingabe[S1],HäufigsteErgebnisse[[#This Row],[Zahl]])</f>
        <v>0</v>
      </c>
      <c r="G644" s="2">
        <f>COUNTIF(Eingabe[S2],HäufigsteErgebnisse[[#This Row],[Zahl]])</f>
        <v>0</v>
      </c>
      <c r="H644" s="2">
        <f>COUNTIF(Eingabe[S3],HäufigsteErgebnisse[[#This Row],[Zahl]])</f>
        <v>0</v>
      </c>
      <c r="I644" s="2">
        <f>COUNTIF(Eingabe[S4],HäufigsteErgebnisse[[#This Row],[Zahl]])</f>
        <v>0</v>
      </c>
      <c r="J644" s="2">
        <f>COUNTIF(Eingabe[S1],HäufigsteErgebnisse[[#This Row],[Zahl]])+COUNTIF(Eingabe[S2],HäufigsteErgebnisse[[#This Row],[Zahl]])+COUNTIF(Eingabe[S3],HäufigsteErgebnisse[[#This Row],[Zahl]])+COUNTIF(Eingabe[S4],HäufigsteErgebnisse[[#This Row],[Zahl]])</f>
        <v>0</v>
      </c>
      <c r="K644" s="2">
        <f>COUNTIF(Eingabe[GES],HäufigsteErgebnisse[[#This Row],[Zahl]])</f>
        <v>0</v>
      </c>
      <c r="L644" s="2">
        <f>HäufigsteErgebnisse[[#This Row],[Zahl]]</f>
        <v>586</v>
      </c>
    </row>
    <row r="645" spans="2:12" x14ac:dyDescent="0.3">
      <c r="B645" s="2">
        <v>587</v>
      </c>
      <c r="C645" s="2">
        <f>COUNTIF(Eingabe[Volle],HäufigsteErgebnisse[[#This Row],[Zahl]])</f>
        <v>0</v>
      </c>
      <c r="D645" s="2">
        <f>COUNTIF(Eingabe[Räumer],HäufigsteErgebnisse[[#This Row],[Zahl]])</f>
        <v>0</v>
      </c>
      <c r="E645" s="2">
        <f>COUNTIF(Eingabe[Fehler],HäufigsteErgebnisse[[#This Row],[Zahl]])</f>
        <v>0</v>
      </c>
      <c r="F645" s="2">
        <f>COUNTIF(Eingabe[S1],HäufigsteErgebnisse[[#This Row],[Zahl]])</f>
        <v>0</v>
      </c>
      <c r="G645" s="2">
        <f>COUNTIF(Eingabe[S2],HäufigsteErgebnisse[[#This Row],[Zahl]])</f>
        <v>0</v>
      </c>
      <c r="H645" s="2">
        <f>COUNTIF(Eingabe[S3],HäufigsteErgebnisse[[#This Row],[Zahl]])</f>
        <v>0</v>
      </c>
      <c r="I645" s="2">
        <f>COUNTIF(Eingabe[S4],HäufigsteErgebnisse[[#This Row],[Zahl]])</f>
        <v>0</v>
      </c>
      <c r="J645" s="2">
        <f>COUNTIF(Eingabe[S1],HäufigsteErgebnisse[[#This Row],[Zahl]])+COUNTIF(Eingabe[S2],HäufigsteErgebnisse[[#This Row],[Zahl]])+COUNTIF(Eingabe[S3],HäufigsteErgebnisse[[#This Row],[Zahl]])+COUNTIF(Eingabe[S4],HäufigsteErgebnisse[[#This Row],[Zahl]])</f>
        <v>0</v>
      </c>
      <c r="K645" s="2">
        <f>COUNTIF(Eingabe[GES],HäufigsteErgebnisse[[#This Row],[Zahl]])</f>
        <v>1</v>
      </c>
      <c r="L645" s="2">
        <f>HäufigsteErgebnisse[[#This Row],[Zahl]]</f>
        <v>587</v>
      </c>
    </row>
    <row r="646" spans="2:12" x14ac:dyDescent="0.3">
      <c r="B646" s="2">
        <v>588</v>
      </c>
      <c r="C646" s="2">
        <f>COUNTIF(Eingabe[Volle],HäufigsteErgebnisse[[#This Row],[Zahl]])</f>
        <v>0</v>
      </c>
      <c r="D646" s="2">
        <f>COUNTIF(Eingabe[Räumer],HäufigsteErgebnisse[[#This Row],[Zahl]])</f>
        <v>0</v>
      </c>
      <c r="E646" s="2">
        <f>COUNTIF(Eingabe[Fehler],HäufigsteErgebnisse[[#This Row],[Zahl]])</f>
        <v>0</v>
      </c>
      <c r="F646" s="2">
        <f>COUNTIF(Eingabe[S1],HäufigsteErgebnisse[[#This Row],[Zahl]])</f>
        <v>0</v>
      </c>
      <c r="G646" s="2">
        <f>COUNTIF(Eingabe[S2],HäufigsteErgebnisse[[#This Row],[Zahl]])</f>
        <v>0</v>
      </c>
      <c r="H646" s="2">
        <f>COUNTIF(Eingabe[S3],HäufigsteErgebnisse[[#This Row],[Zahl]])</f>
        <v>0</v>
      </c>
      <c r="I646" s="2">
        <f>COUNTIF(Eingabe[S4],HäufigsteErgebnisse[[#This Row],[Zahl]])</f>
        <v>0</v>
      </c>
      <c r="J646" s="2">
        <f>COUNTIF(Eingabe[S1],HäufigsteErgebnisse[[#This Row],[Zahl]])+COUNTIF(Eingabe[S2],HäufigsteErgebnisse[[#This Row],[Zahl]])+COUNTIF(Eingabe[S3],HäufigsteErgebnisse[[#This Row],[Zahl]])+COUNTIF(Eingabe[S4],HäufigsteErgebnisse[[#This Row],[Zahl]])</f>
        <v>0</v>
      </c>
      <c r="K646" s="2">
        <f>COUNTIF(Eingabe[GES],HäufigsteErgebnisse[[#This Row],[Zahl]])</f>
        <v>0</v>
      </c>
      <c r="L646" s="2">
        <f>HäufigsteErgebnisse[[#This Row],[Zahl]]</f>
        <v>588</v>
      </c>
    </row>
    <row r="647" spans="2:12" x14ac:dyDescent="0.3">
      <c r="B647" s="2">
        <v>589</v>
      </c>
      <c r="C647" s="2">
        <f>COUNTIF(Eingabe[Volle],HäufigsteErgebnisse[[#This Row],[Zahl]])</f>
        <v>0</v>
      </c>
      <c r="D647" s="2">
        <f>COUNTIF(Eingabe[Räumer],HäufigsteErgebnisse[[#This Row],[Zahl]])</f>
        <v>0</v>
      </c>
      <c r="E647" s="2">
        <f>COUNTIF(Eingabe[Fehler],HäufigsteErgebnisse[[#This Row],[Zahl]])</f>
        <v>0</v>
      </c>
      <c r="F647" s="2">
        <f>COUNTIF(Eingabe[S1],HäufigsteErgebnisse[[#This Row],[Zahl]])</f>
        <v>0</v>
      </c>
      <c r="G647" s="2">
        <f>COUNTIF(Eingabe[S2],HäufigsteErgebnisse[[#This Row],[Zahl]])</f>
        <v>0</v>
      </c>
      <c r="H647" s="2">
        <f>COUNTIF(Eingabe[S3],HäufigsteErgebnisse[[#This Row],[Zahl]])</f>
        <v>0</v>
      </c>
      <c r="I647" s="2">
        <f>COUNTIF(Eingabe[S4],HäufigsteErgebnisse[[#This Row],[Zahl]])</f>
        <v>0</v>
      </c>
      <c r="J647" s="2">
        <f>COUNTIF(Eingabe[S1],HäufigsteErgebnisse[[#This Row],[Zahl]])+COUNTIF(Eingabe[S2],HäufigsteErgebnisse[[#This Row],[Zahl]])+COUNTIF(Eingabe[S3],HäufigsteErgebnisse[[#This Row],[Zahl]])+COUNTIF(Eingabe[S4],HäufigsteErgebnisse[[#This Row],[Zahl]])</f>
        <v>0</v>
      </c>
      <c r="K647" s="2">
        <f>COUNTIF(Eingabe[GES],HäufigsteErgebnisse[[#This Row],[Zahl]])</f>
        <v>0</v>
      </c>
      <c r="L647" s="2">
        <f>HäufigsteErgebnisse[[#This Row],[Zahl]]</f>
        <v>589</v>
      </c>
    </row>
    <row r="648" spans="2:12" x14ac:dyDescent="0.3">
      <c r="B648" s="2">
        <v>590</v>
      </c>
      <c r="C648" s="2">
        <f>COUNTIF(Eingabe[Volle],HäufigsteErgebnisse[[#This Row],[Zahl]])</f>
        <v>0</v>
      </c>
      <c r="D648" s="2">
        <f>COUNTIF(Eingabe[Räumer],HäufigsteErgebnisse[[#This Row],[Zahl]])</f>
        <v>0</v>
      </c>
      <c r="E648" s="2">
        <f>COUNTIF(Eingabe[Fehler],HäufigsteErgebnisse[[#This Row],[Zahl]])</f>
        <v>0</v>
      </c>
      <c r="F648" s="2">
        <f>COUNTIF(Eingabe[S1],HäufigsteErgebnisse[[#This Row],[Zahl]])</f>
        <v>0</v>
      </c>
      <c r="G648" s="2">
        <f>COUNTIF(Eingabe[S2],HäufigsteErgebnisse[[#This Row],[Zahl]])</f>
        <v>0</v>
      </c>
      <c r="H648" s="2">
        <f>COUNTIF(Eingabe[S3],HäufigsteErgebnisse[[#This Row],[Zahl]])</f>
        <v>0</v>
      </c>
      <c r="I648" s="2">
        <f>COUNTIF(Eingabe[S4],HäufigsteErgebnisse[[#This Row],[Zahl]])</f>
        <v>0</v>
      </c>
      <c r="J648" s="2">
        <f>COUNTIF(Eingabe[S1],HäufigsteErgebnisse[[#This Row],[Zahl]])+COUNTIF(Eingabe[S2],HäufigsteErgebnisse[[#This Row],[Zahl]])+COUNTIF(Eingabe[S3],HäufigsteErgebnisse[[#This Row],[Zahl]])+COUNTIF(Eingabe[S4],HäufigsteErgebnisse[[#This Row],[Zahl]])</f>
        <v>0</v>
      </c>
      <c r="K648" s="2">
        <f>COUNTIF(Eingabe[GES],HäufigsteErgebnisse[[#This Row],[Zahl]])</f>
        <v>0</v>
      </c>
      <c r="L648" s="2">
        <f>HäufigsteErgebnisse[[#This Row],[Zahl]]</f>
        <v>590</v>
      </c>
    </row>
    <row r="649" spans="2:12" x14ac:dyDescent="0.3">
      <c r="B649" s="2">
        <v>591</v>
      </c>
      <c r="C649" s="2">
        <f>COUNTIF(Eingabe[Volle],HäufigsteErgebnisse[[#This Row],[Zahl]])</f>
        <v>0</v>
      </c>
      <c r="D649" s="2">
        <f>COUNTIF(Eingabe[Räumer],HäufigsteErgebnisse[[#This Row],[Zahl]])</f>
        <v>0</v>
      </c>
      <c r="E649" s="2">
        <f>COUNTIF(Eingabe[Fehler],HäufigsteErgebnisse[[#This Row],[Zahl]])</f>
        <v>0</v>
      </c>
      <c r="F649" s="2">
        <f>COUNTIF(Eingabe[S1],HäufigsteErgebnisse[[#This Row],[Zahl]])</f>
        <v>0</v>
      </c>
      <c r="G649" s="2">
        <f>COUNTIF(Eingabe[S2],HäufigsteErgebnisse[[#This Row],[Zahl]])</f>
        <v>0</v>
      </c>
      <c r="H649" s="2">
        <f>COUNTIF(Eingabe[S3],HäufigsteErgebnisse[[#This Row],[Zahl]])</f>
        <v>0</v>
      </c>
      <c r="I649" s="2">
        <f>COUNTIF(Eingabe[S4],HäufigsteErgebnisse[[#This Row],[Zahl]])</f>
        <v>0</v>
      </c>
      <c r="J649" s="2">
        <f>COUNTIF(Eingabe[S1],HäufigsteErgebnisse[[#This Row],[Zahl]])+COUNTIF(Eingabe[S2],HäufigsteErgebnisse[[#This Row],[Zahl]])+COUNTIF(Eingabe[S3],HäufigsteErgebnisse[[#This Row],[Zahl]])+COUNTIF(Eingabe[S4],HäufigsteErgebnisse[[#This Row],[Zahl]])</f>
        <v>0</v>
      </c>
      <c r="K649" s="2">
        <f>COUNTIF(Eingabe[GES],HäufigsteErgebnisse[[#This Row],[Zahl]])</f>
        <v>0</v>
      </c>
      <c r="L649" s="2">
        <f>HäufigsteErgebnisse[[#This Row],[Zahl]]</f>
        <v>591</v>
      </c>
    </row>
    <row r="650" spans="2:12" x14ac:dyDescent="0.3">
      <c r="B650" s="2">
        <v>592</v>
      </c>
      <c r="C650" s="2">
        <f>COUNTIF(Eingabe[Volle],HäufigsteErgebnisse[[#This Row],[Zahl]])</f>
        <v>0</v>
      </c>
      <c r="D650" s="2">
        <f>COUNTIF(Eingabe[Räumer],HäufigsteErgebnisse[[#This Row],[Zahl]])</f>
        <v>0</v>
      </c>
      <c r="E650" s="2">
        <f>COUNTIF(Eingabe[Fehler],HäufigsteErgebnisse[[#This Row],[Zahl]])</f>
        <v>0</v>
      </c>
      <c r="F650" s="2">
        <f>COUNTIF(Eingabe[S1],HäufigsteErgebnisse[[#This Row],[Zahl]])</f>
        <v>0</v>
      </c>
      <c r="G650" s="2">
        <f>COUNTIF(Eingabe[S2],HäufigsteErgebnisse[[#This Row],[Zahl]])</f>
        <v>0</v>
      </c>
      <c r="H650" s="2">
        <f>COUNTIF(Eingabe[S3],HäufigsteErgebnisse[[#This Row],[Zahl]])</f>
        <v>0</v>
      </c>
      <c r="I650" s="2">
        <f>COUNTIF(Eingabe[S4],HäufigsteErgebnisse[[#This Row],[Zahl]])</f>
        <v>0</v>
      </c>
      <c r="J650" s="2">
        <f>COUNTIF(Eingabe[S1],HäufigsteErgebnisse[[#This Row],[Zahl]])+COUNTIF(Eingabe[S2],HäufigsteErgebnisse[[#This Row],[Zahl]])+COUNTIF(Eingabe[S3],HäufigsteErgebnisse[[#This Row],[Zahl]])+COUNTIF(Eingabe[S4],HäufigsteErgebnisse[[#This Row],[Zahl]])</f>
        <v>0</v>
      </c>
      <c r="K650" s="2">
        <f>COUNTIF(Eingabe[GES],HäufigsteErgebnisse[[#This Row],[Zahl]])</f>
        <v>1</v>
      </c>
      <c r="L650" s="2">
        <f>HäufigsteErgebnisse[[#This Row],[Zahl]]</f>
        <v>592</v>
      </c>
    </row>
    <row r="651" spans="2:12" x14ac:dyDescent="0.3">
      <c r="B651" s="2">
        <v>593</v>
      </c>
      <c r="C651" s="2">
        <f>COUNTIF(Eingabe[Volle],HäufigsteErgebnisse[[#This Row],[Zahl]])</f>
        <v>0</v>
      </c>
      <c r="D651" s="2">
        <f>COUNTIF(Eingabe[Räumer],HäufigsteErgebnisse[[#This Row],[Zahl]])</f>
        <v>0</v>
      </c>
      <c r="E651" s="2">
        <f>COUNTIF(Eingabe[Fehler],HäufigsteErgebnisse[[#This Row],[Zahl]])</f>
        <v>0</v>
      </c>
      <c r="F651" s="2">
        <f>COUNTIF(Eingabe[S1],HäufigsteErgebnisse[[#This Row],[Zahl]])</f>
        <v>0</v>
      </c>
      <c r="G651" s="2">
        <f>COUNTIF(Eingabe[S2],HäufigsteErgebnisse[[#This Row],[Zahl]])</f>
        <v>0</v>
      </c>
      <c r="H651" s="2">
        <f>COUNTIF(Eingabe[S3],HäufigsteErgebnisse[[#This Row],[Zahl]])</f>
        <v>0</v>
      </c>
      <c r="I651" s="2">
        <f>COUNTIF(Eingabe[S4],HäufigsteErgebnisse[[#This Row],[Zahl]])</f>
        <v>0</v>
      </c>
      <c r="J651" s="2">
        <f>COUNTIF(Eingabe[S1],HäufigsteErgebnisse[[#This Row],[Zahl]])+COUNTIF(Eingabe[S2],HäufigsteErgebnisse[[#This Row],[Zahl]])+COUNTIF(Eingabe[S3],HäufigsteErgebnisse[[#This Row],[Zahl]])+COUNTIF(Eingabe[S4],HäufigsteErgebnisse[[#This Row],[Zahl]])</f>
        <v>0</v>
      </c>
      <c r="K651" s="2">
        <f>COUNTIF(Eingabe[GES],HäufigsteErgebnisse[[#This Row],[Zahl]])</f>
        <v>1</v>
      </c>
      <c r="L651" s="2">
        <f>HäufigsteErgebnisse[[#This Row],[Zahl]]</f>
        <v>593</v>
      </c>
    </row>
    <row r="652" spans="2:12" x14ac:dyDescent="0.3">
      <c r="B652" s="2">
        <v>594</v>
      </c>
      <c r="C652" s="2">
        <f>COUNTIF(Eingabe[Volle],HäufigsteErgebnisse[[#This Row],[Zahl]])</f>
        <v>0</v>
      </c>
      <c r="D652" s="2">
        <f>COUNTIF(Eingabe[Räumer],HäufigsteErgebnisse[[#This Row],[Zahl]])</f>
        <v>0</v>
      </c>
      <c r="E652" s="2">
        <f>COUNTIF(Eingabe[Fehler],HäufigsteErgebnisse[[#This Row],[Zahl]])</f>
        <v>0</v>
      </c>
      <c r="F652" s="2">
        <f>COUNTIF(Eingabe[S1],HäufigsteErgebnisse[[#This Row],[Zahl]])</f>
        <v>0</v>
      </c>
      <c r="G652" s="2">
        <f>COUNTIF(Eingabe[S2],HäufigsteErgebnisse[[#This Row],[Zahl]])</f>
        <v>0</v>
      </c>
      <c r="H652" s="2">
        <f>COUNTIF(Eingabe[S3],HäufigsteErgebnisse[[#This Row],[Zahl]])</f>
        <v>0</v>
      </c>
      <c r="I652" s="2">
        <f>COUNTIF(Eingabe[S4],HäufigsteErgebnisse[[#This Row],[Zahl]])</f>
        <v>0</v>
      </c>
      <c r="J652" s="2">
        <f>COUNTIF(Eingabe[S1],HäufigsteErgebnisse[[#This Row],[Zahl]])+COUNTIF(Eingabe[S2],HäufigsteErgebnisse[[#This Row],[Zahl]])+COUNTIF(Eingabe[S3],HäufigsteErgebnisse[[#This Row],[Zahl]])+COUNTIF(Eingabe[S4],HäufigsteErgebnisse[[#This Row],[Zahl]])</f>
        <v>0</v>
      </c>
      <c r="K652" s="2">
        <f>COUNTIF(Eingabe[GES],HäufigsteErgebnisse[[#This Row],[Zahl]])</f>
        <v>0</v>
      </c>
      <c r="L652" s="2">
        <f>HäufigsteErgebnisse[[#This Row],[Zahl]]</f>
        <v>594</v>
      </c>
    </row>
    <row r="653" spans="2:12" x14ac:dyDescent="0.3">
      <c r="B653" s="2">
        <v>595</v>
      </c>
      <c r="C653" s="2">
        <f>COUNTIF(Eingabe[Volle],HäufigsteErgebnisse[[#This Row],[Zahl]])</f>
        <v>0</v>
      </c>
      <c r="D653" s="2">
        <f>COUNTIF(Eingabe[Räumer],HäufigsteErgebnisse[[#This Row],[Zahl]])</f>
        <v>0</v>
      </c>
      <c r="E653" s="2">
        <f>COUNTIF(Eingabe[Fehler],HäufigsteErgebnisse[[#This Row],[Zahl]])</f>
        <v>0</v>
      </c>
      <c r="F653" s="2">
        <f>COUNTIF(Eingabe[S1],HäufigsteErgebnisse[[#This Row],[Zahl]])</f>
        <v>0</v>
      </c>
      <c r="G653" s="2">
        <f>COUNTIF(Eingabe[S2],HäufigsteErgebnisse[[#This Row],[Zahl]])</f>
        <v>0</v>
      </c>
      <c r="H653" s="2">
        <f>COUNTIF(Eingabe[S3],HäufigsteErgebnisse[[#This Row],[Zahl]])</f>
        <v>0</v>
      </c>
      <c r="I653" s="2">
        <f>COUNTIF(Eingabe[S4],HäufigsteErgebnisse[[#This Row],[Zahl]])</f>
        <v>0</v>
      </c>
      <c r="J653" s="2">
        <f>COUNTIF(Eingabe[S1],HäufigsteErgebnisse[[#This Row],[Zahl]])+COUNTIF(Eingabe[S2],HäufigsteErgebnisse[[#This Row],[Zahl]])+COUNTIF(Eingabe[S3],HäufigsteErgebnisse[[#This Row],[Zahl]])+COUNTIF(Eingabe[S4],HäufigsteErgebnisse[[#This Row],[Zahl]])</f>
        <v>0</v>
      </c>
      <c r="K653" s="2">
        <f>COUNTIF(Eingabe[GES],HäufigsteErgebnisse[[#This Row],[Zahl]])</f>
        <v>0</v>
      </c>
      <c r="L653" s="2">
        <f>HäufigsteErgebnisse[[#This Row],[Zahl]]</f>
        <v>595</v>
      </c>
    </row>
    <row r="654" spans="2:12" x14ac:dyDescent="0.3">
      <c r="B654" s="2">
        <v>596</v>
      </c>
      <c r="C654" s="2">
        <f>COUNTIF(Eingabe[Volle],HäufigsteErgebnisse[[#This Row],[Zahl]])</f>
        <v>0</v>
      </c>
      <c r="D654" s="2">
        <f>COUNTIF(Eingabe[Räumer],HäufigsteErgebnisse[[#This Row],[Zahl]])</f>
        <v>0</v>
      </c>
      <c r="E654" s="2">
        <f>COUNTIF(Eingabe[Fehler],HäufigsteErgebnisse[[#This Row],[Zahl]])</f>
        <v>0</v>
      </c>
      <c r="F654" s="2">
        <f>COUNTIF(Eingabe[S1],HäufigsteErgebnisse[[#This Row],[Zahl]])</f>
        <v>0</v>
      </c>
      <c r="G654" s="2">
        <f>COUNTIF(Eingabe[S2],HäufigsteErgebnisse[[#This Row],[Zahl]])</f>
        <v>0</v>
      </c>
      <c r="H654" s="2">
        <f>COUNTIF(Eingabe[S3],HäufigsteErgebnisse[[#This Row],[Zahl]])</f>
        <v>0</v>
      </c>
      <c r="I654" s="2">
        <f>COUNTIF(Eingabe[S4],HäufigsteErgebnisse[[#This Row],[Zahl]])</f>
        <v>0</v>
      </c>
      <c r="J654" s="2">
        <f>COUNTIF(Eingabe[S1],HäufigsteErgebnisse[[#This Row],[Zahl]])+COUNTIF(Eingabe[S2],HäufigsteErgebnisse[[#This Row],[Zahl]])+COUNTIF(Eingabe[S3],HäufigsteErgebnisse[[#This Row],[Zahl]])+COUNTIF(Eingabe[S4],HäufigsteErgebnisse[[#This Row],[Zahl]])</f>
        <v>0</v>
      </c>
      <c r="K654" s="2">
        <f>COUNTIF(Eingabe[GES],HäufigsteErgebnisse[[#This Row],[Zahl]])</f>
        <v>0</v>
      </c>
      <c r="L654" s="2">
        <f>HäufigsteErgebnisse[[#This Row],[Zahl]]</f>
        <v>596</v>
      </c>
    </row>
    <row r="655" spans="2:12" x14ac:dyDescent="0.3">
      <c r="B655" s="2">
        <v>597</v>
      </c>
      <c r="C655" s="2">
        <f>COUNTIF(Eingabe[Volle],HäufigsteErgebnisse[[#This Row],[Zahl]])</f>
        <v>0</v>
      </c>
      <c r="D655" s="2">
        <f>COUNTIF(Eingabe[Räumer],HäufigsteErgebnisse[[#This Row],[Zahl]])</f>
        <v>0</v>
      </c>
      <c r="E655" s="2">
        <f>COUNTIF(Eingabe[Fehler],HäufigsteErgebnisse[[#This Row],[Zahl]])</f>
        <v>0</v>
      </c>
      <c r="F655" s="2">
        <f>COUNTIF(Eingabe[S1],HäufigsteErgebnisse[[#This Row],[Zahl]])</f>
        <v>0</v>
      </c>
      <c r="G655" s="2">
        <f>COUNTIF(Eingabe[S2],HäufigsteErgebnisse[[#This Row],[Zahl]])</f>
        <v>0</v>
      </c>
      <c r="H655" s="2">
        <f>COUNTIF(Eingabe[S3],HäufigsteErgebnisse[[#This Row],[Zahl]])</f>
        <v>0</v>
      </c>
      <c r="I655" s="2">
        <f>COUNTIF(Eingabe[S4],HäufigsteErgebnisse[[#This Row],[Zahl]])</f>
        <v>0</v>
      </c>
      <c r="J655" s="2">
        <f>COUNTIF(Eingabe[S1],HäufigsteErgebnisse[[#This Row],[Zahl]])+COUNTIF(Eingabe[S2],HäufigsteErgebnisse[[#This Row],[Zahl]])+COUNTIF(Eingabe[S3],HäufigsteErgebnisse[[#This Row],[Zahl]])+COUNTIF(Eingabe[S4],HäufigsteErgebnisse[[#This Row],[Zahl]])</f>
        <v>0</v>
      </c>
      <c r="K655" s="2">
        <f>COUNTIF(Eingabe[GES],HäufigsteErgebnisse[[#This Row],[Zahl]])</f>
        <v>0</v>
      </c>
      <c r="L655" s="2">
        <f>HäufigsteErgebnisse[[#This Row],[Zahl]]</f>
        <v>597</v>
      </c>
    </row>
    <row r="656" spans="2:12" x14ac:dyDescent="0.3">
      <c r="B656" s="2">
        <v>598</v>
      </c>
      <c r="C656" s="2">
        <f>COUNTIF(Eingabe[Volle],HäufigsteErgebnisse[[#This Row],[Zahl]])</f>
        <v>0</v>
      </c>
      <c r="D656" s="2">
        <f>COUNTIF(Eingabe[Räumer],HäufigsteErgebnisse[[#This Row],[Zahl]])</f>
        <v>0</v>
      </c>
      <c r="E656" s="2">
        <f>COUNTIF(Eingabe[Fehler],HäufigsteErgebnisse[[#This Row],[Zahl]])</f>
        <v>0</v>
      </c>
      <c r="F656" s="2">
        <f>COUNTIF(Eingabe[S1],HäufigsteErgebnisse[[#This Row],[Zahl]])</f>
        <v>0</v>
      </c>
      <c r="G656" s="2">
        <f>COUNTIF(Eingabe[S2],HäufigsteErgebnisse[[#This Row],[Zahl]])</f>
        <v>0</v>
      </c>
      <c r="H656" s="2">
        <f>COUNTIF(Eingabe[S3],HäufigsteErgebnisse[[#This Row],[Zahl]])</f>
        <v>0</v>
      </c>
      <c r="I656" s="2">
        <f>COUNTIF(Eingabe[S4],HäufigsteErgebnisse[[#This Row],[Zahl]])</f>
        <v>0</v>
      </c>
      <c r="J656" s="2">
        <f>COUNTIF(Eingabe[S1],HäufigsteErgebnisse[[#This Row],[Zahl]])+COUNTIF(Eingabe[S2],HäufigsteErgebnisse[[#This Row],[Zahl]])+COUNTIF(Eingabe[S3],HäufigsteErgebnisse[[#This Row],[Zahl]])+COUNTIF(Eingabe[S4],HäufigsteErgebnisse[[#This Row],[Zahl]])</f>
        <v>0</v>
      </c>
      <c r="K656" s="2">
        <f>COUNTIF(Eingabe[GES],HäufigsteErgebnisse[[#This Row],[Zahl]])</f>
        <v>0</v>
      </c>
      <c r="L656" s="2">
        <f>HäufigsteErgebnisse[[#This Row],[Zahl]]</f>
        <v>598</v>
      </c>
    </row>
    <row r="657" spans="2:12" x14ac:dyDescent="0.3">
      <c r="B657" s="2">
        <v>599</v>
      </c>
      <c r="C657" s="2">
        <f>COUNTIF(Eingabe[Volle],HäufigsteErgebnisse[[#This Row],[Zahl]])</f>
        <v>0</v>
      </c>
      <c r="D657" s="2">
        <f>COUNTIF(Eingabe[Räumer],HäufigsteErgebnisse[[#This Row],[Zahl]])</f>
        <v>0</v>
      </c>
      <c r="E657" s="2">
        <f>COUNTIF(Eingabe[Fehler],HäufigsteErgebnisse[[#This Row],[Zahl]])</f>
        <v>0</v>
      </c>
      <c r="F657" s="2">
        <f>COUNTIF(Eingabe[S1],HäufigsteErgebnisse[[#This Row],[Zahl]])</f>
        <v>0</v>
      </c>
      <c r="G657" s="2">
        <f>COUNTIF(Eingabe[S2],HäufigsteErgebnisse[[#This Row],[Zahl]])</f>
        <v>0</v>
      </c>
      <c r="H657" s="2">
        <f>COUNTIF(Eingabe[S3],HäufigsteErgebnisse[[#This Row],[Zahl]])</f>
        <v>0</v>
      </c>
      <c r="I657" s="2">
        <f>COUNTIF(Eingabe[S4],HäufigsteErgebnisse[[#This Row],[Zahl]])</f>
        <v>0</v>
      </c>
      <c r="J657" s="2">
        <f>COUNTIF(Eingabe[S1],HäufigsteErgebnisse[[#This Row],[Zahl]])+COUNTIF(Eingabe[S2],HäufigsteErgebnisse[[#This Row],[Zahl]])+COUNTIF(Eingabe[S3],HäufigsteErgebnisse[[#This Row],[Zahl]])+COUNTIF(Eingabe[S4],HäufigsteErgebnisse[[#This Row],[Zahl]])</f>
        <v>0</v>
      </c>
      <c r="K657" s="2">
        <f>COUNTIF(Eingabe[GES],HäufigsteErgebnisse[[#This Row],[Zahl]])</f>
        <v>1</v>
      </c>
      <c r="L657" s="2">
        <f>HäufigsteErgebnisse[[#This Row],[Zahl]]</f>
        <v>599</v>
      </c>
    </row>
    <row r="658" spans="2:12" x14ac:dyDescent="0.3">
      <c r="B658" s="2">
        <v>600</v>
      </c>
      <c r="C658" s="2">
        <f>COUNTIF(Eingabe[Volle],HäufigsteErgebnisse[[#This Row],[Zahl]])</f>
        <v>0</v>
      </c>
      <c r="D658" s="2">
        <f>COUNTIF(Eingabe[Räumer],HäufigsteErgebnisse[[#This Row],[Zahl]])</f>
        <v>0</v>
      </c>
      <c r="E658" s="2">
        <f>COUNTIF(Eingabe[Fehler],HäufigsteErgebnisse[[#This Row],[Zahl]])</f>
        <v>0</v>
      </c>
      <c r="F658" s="2">
        <f>COUNTIF(Eingabe[S1],HäufigsteErgebnisse[[#This Row],[Zahl]])</f>
        <v>0</v>
      </c>
      <c r="G658" s="2">
        <f>COUNTIF(Eingabe[S2],HäufigsteErgebnisse[[#This Row],[Zahl]])</f>
        <v>0</v>
      </c>
      <c r="H658" s="2">
        <f>COUNTIF(Eingabe[S3],HäufigsteErgebnisse[[#This Row],[Zahl]])</f>
        <v>0</v>
      </c>
      <c r="I658" s="2">
        <f>COUNTIF(Eingabe[S4],HäufigsteErgebnisse[[#This Row],[Zahl]])</f>
        <v>0</v>
      </c>
      <c r="J658" s="2">
        <f>COUNTIF(Eingabe[S1],HäufigsteErgebnisse[[#This Row],[Zahl]])+COUNTIF(Eingabe[S2],HäufigsteErgebnisse[[#This Row],[Zahl]])+COUNTIF(Eingabe[S3],HäufigsteErgebnisse[[#This Row],[Zahl]])+COUNTIF(Eingabe[S4],HäufigsteErgebnisse[[#This Row],[Zahl]])</f>
        <v>0</v>
      </c>
      <c r="K658" s="2">
        <f>COUNTIF(Eingabe[GES],HäufigsteErgebnisse[[#This Row],[Zahl]])</f>
        <v>1</v>
      </c>
      <c r="L658" s="2">
        <f>HäufigsteErgebnisse[[#This Row],[Zahl]]</f>
        <v>600</v>
      </c>
    </row>
    <row r="659" spans="2:12" x14ac:dyDescent="0.3">
      <c r="B659" s="2">
        <v>601</v>
      </c>
      <c r="C659" s="2">
        <f>COUNTIF(Eingabe[Volle],HäufigsteErgebnisse[[#This Row],[Zahl]])</f>
        <v>0</v>
      </c>
      <c r="D659" s="2">
        <f>COUNTIF(Eingabe[Räumer],HäufigsteErgebnisse[[#This Row],[Zahl]])</f>
        <v>0</v>
      </c>
      <c r="E659" s="2">
        <f>COUNTIF(Eingabe[Fehler],HäufigsteErgebnisse[[#This Row],[Zahl]])</f>
        <v>0</v>
      </c>
      <c r="F659" s="2">
        <f>COUNTIF(Eingabe[S1],HäufigsteErgebnisse[[#This Row],[Zahl]])</f>
        <v>0</v>
      </c>
      <c r="G659" s="2">
        <f>COUNTIF(Eingabe[S2],HäufigsteErgebnisse[[#This Row],[Zahl]])</f>
        <v>0</v>
      </c>
      <c r="H659" s="2">
        <f>COUNTIF(Eingabe[S3],HäufigsteErgebnisse[[#This Row],[Zahl]])</f>
        <v>0</v>
      </c>
      <c r="I659" s="2">
        <f>COUNTIF(Eingabe[S4],HäufigsteErgebnisse[[#This Row],[Zahl]])</f>
        <v>0</v>
      </c>
      <c r="J659" s="2">
        <f>COUNTIF(Eingabe[S1],HäufigsteErgebnisse[[#This Row],[Zahl]])+COUNTIF(Eingabe[S2],HäufigsteErgebnisse[[#This Row],[Zahl]])+COUNTIF(Eingabe[S3],HäufigsteErgebnisse[[#This Row],[Zahl]])+COUNTIF(Eingabe[S4],HäufigsteErgebnisse[[#This Row],[Zahl]])</f>
        <v>0</v>
      </c>
      <c r="K659" s="2">
        <f>COUNTIF(Eingabe[GES],HäufigsteErgebnisse[[#This Row],[Zahl]])</f>
        <v>0</v>
      </c>
      <c r="L659" s="2">
        <f>HäufigsteErgebnisse[[#This Row],[Zahl]]</f>
        <v>601</v>
      </c>
    </row>
    <row r="660" spans="2:12" x14ac:dyDescent="0.3">
      <c r="B660" s="2">
        <v>602</v>
      </c>
      <c r="C660" s="2">
        <f>COUNTIF(Eingabe[Volle],HäufigsteErgebnisse[[#This Row],[Zahl]])</f>
        <v>0</v>
      </c>
      <c r="D660" s="2">
        <f>COUNTIF(Eingabe[Räumer],HäufigsteErgebnisse[[#This Row],[Zahl]])</f>
        <v>0</v>
      </c>
      <c r="E660" s="2">
        <f>COUNTIF(Eingabe[Fehler],HäufigsteErgebnisse[[#This Row],[Zahl]])</f>
        <v>0</v>
      </c>
      <c r="F660" s="2">
        <f>COUNTIF(Eingabe[S1],HäufigsteErgebnisse[[#This Row],[Zahl]])</f>
        <v>0</v>
      </c>
      <c r="G660" s="2">
        <f>COUNTIF(Eingabe[S2],HäufigsteErgebnisse[[#This Row],[Zahl]])</f>
        <v>0</v>
      </c>
      <c r="H660" s="2">
        <f>COUNTIF(Eingabe[S3],HäufigsteErgebnisse[[#This Row],[Zahl]])</f>
        <v>0</v>
      </c>
      <c r="I660" s="2">
        <f>COUNTIF(Eingabe[S4],HäufigsteErgebnisse[[#This Row],[Zahl]])</f>
        <v>0</v>
      </c>
      <c r="J660" s="2">
        <f>COUNTIF(Eingabe[S1],HäufigsteErgebnisse[[#This Row],[Zahl]])+COUNTIF(Eingabe[S2],HäufigsteErgebnisse[[#This Row],[Zahl]])+COUNTIF(Eingabe[S3],HäufigsteErgebnisse[[#This Row],[Zahl]])+COUNTIF(Eingabe[S4],HäufigsteErgebnisse[[#This Row],[Zahl]])</f>
        <v>0</v>
      </c>
      <c r="K660" s="2">
        <f>COUNTIF(Eingabe[GES],HäufigsteErgebnisse[[#This Row],[Zahl]])</f>
        <v>0</v>
      </c>
      <c r="L660" s="2">
        <f>HäufigsteErgebnisse[[#This Row],[Zahl]]</f>
        <v>602</v>
      </c>
    </row>
    <row r="661" spans="2:12" x14ac:dyDescent="0.3">
      <c r="B661" s="2">
        <v>603</v>
      </c>
      <c r="C661" s="2">
        <f>COUNTIF(Eingabe[Volle],HäufigsteErgebnisse[[#This Row],[Zahl]])</f>
        <v>0</v>
      </c>
      <c r="D661" s="2">
        <f>COUNTIF(Eingabe[Räumer],HäufigsteErgebnisse[[#This Row],[Zahl]])</f>
        <v>0</v>
      </c>
      <c r="E661" s="2">
        <f>COUNTIF(Eingabe[Fehler],HäufigsteErgebnisse[[#This Row],[Zahl]])</f>
        <v>0</v>
      </c>
      <c r="F661" s="2">
        <f>COUNTIF(Eingabe[S1],HäufigsteErgebnisse[[#This Row],[Zahl]])</f>
        <v>0</v>
      </c>
      <c r="G661" s="2">
        <f>COUNTIF(Eingabe[S2],HäufigsteErgebnisse[[#This Row],[Zahl]])</f>
        <v>0</v>
      </c>
      <c r="H661" s="2">
        <f>COUNTIF(Eingabe[S3],HäufigsteErgebnisse[[#This Row],[Zahl]])</f>
        <v>0</v>
      </c>
      <c r="I661" s="2">
        <f>COUNTIF(Eingabe[S4],HäufigsteErgebnisse[[#This Row],[Zahl]])</f>
        <v>0</v>
      </c>
      <c r="J661" s="2">
        <f>COUNTIF(Eingabe[S1],HäufigsteErgebnisse[[#This Row],[Zahl]])+COUNTIF(Eingabe[S2],HäufigsteErgebnisse[[#This Row],[Zahl]])+COUNTIF(Eingabe[S3],HäufigsteErgebnisse[[#This Row],[Zahl]])+COUNTIF(Eingabe[S4],HäufigsteErgebnisse[[#This Row],[Zahl]])</f>
        <v>0</v>
      </c>
      <c r="K661" s="2">
        <f>COUNTIF(Eingabe[GES],HäufigsteErgebnisse[[#This Row],[Zahl]])</f>
        <v>0</v>
      </c>
      <c r="L661" s="2">
        <f>HäufigsteErgebnisse[[#This Row],[Zahl]]</f>
        <v>603</v>
      </c>
    </row>
    <row r="662" spans="2:12" x14ac:dyDescent="0.3">
      <c r="B662" s="2">
        <v>604</v>
      </c>
      <c r="C662" s="2">
        <f>COUNTIF(Eingabe[Volle],HäufigsteErgebnisse[[#This Row],[Zahl]])</f>
        <v>0</v>
      </c>
      <c r="D662" s="2">
        <f>COUNTIF(Eingabe[Räumer],HäufigsteErgebnisse[[#This Row],[Zahl]])</f>
        <v>0</v>
      </c>
      <c r="E662" s="2">
        <f>COUNTIF(Eingabe[Fehler],HäufigsteErgebnisse[[#This Row],[Zahl]])</f>
        <v>0</v>
      </c>
      <c r="F662" s="2">
        <f>COUNTIF(Eingabe[S1],HäufigsteErgebnisse[[#This Row],[Zahl]])</f>
        <v>0</v>
      </c>
      <c r="G662" s="2">
        <f>COUNTIF(Eingabe[S2],HäufigsteErgebnisse[[#This Row],[Zahl]])</f>
        <v>0</v>
      </c>
      <c r="H662" s="2">
        <f>COUNTIF(Eingabe[S3],HäufigsteErgebnisse[[#This Row],[Zahl]])</f>
        <v>0</v>
      </c>
      <c r="I662" s="2">
        <f>COUNTIF(Eingabe[S4],HäufigsteErgebnisse[[#This Row],[Zahl]])</f>
        <v>0</v>
      </c>
      <c r="J662" s="2">
        <f>COUNTIF(Eingabe[S1],HäufigsteErgebnisse[[#This Row],[Zahl]])+COUNTIF(Eingabe[S2],HäufigsteErgebnisse[[#This Row],[Zahl]])+COUNTIF(Eingabe[S3],HäufigsteErgebnisse[[#This Row],[Zahl]])+COUNTIF(Eingabe[S4],HäufigsteErgebnisse[[#This Row],[Zahl]])</f>
        <v>0</v>
      </c>
      <c r="K662" s="2">
        <f>COUNTIF(Eingabe[GES],HäufigsteErgebnisse[[#This Row],[Zahl]])</f>
        <v>0</v>
      </c>
      <c r="L662" s="2">
        <f>HäufigsteErgebnisse[[#This Row],[Zahl]]</f>
        <v>604</v>
      </c>
    </row>
    <row r="663" spans="2:12" x14ac:dyDescent="0.3">
      <c r="B663" s="2">
        <v>605</v>
      </c>
      <c r="C663" s="2">
        <f>COUNTIF(Eingabe[Volle],HäufigsteErgebnisse[[#This Row],[Zahl]])</f>
        <v>0</v>
      </c>
      <c r="D663" s="2">
        <f>COUNTIF(Eingabe[Räumer],HäufigsteErgebnisse[[#This Row],[Zahl]])</f>
        <v>0</v>
      </c>
      <c r="E663" s="2">
        <f>COUNTIF(Eingabe[Fehler],HäufigsteErgebnisse[[#This Row],[Zahl]])</f>
        <v>0</v>
      </c>
      <c r="F663" s="2">
        <f>COUNTIF(Eingabe[S1],HäufigsteErgebnisse[[#This Row],[Zahl]])</f>
        <v>0</v>
      </c>
      <c r="G663" s="2">
        <f>COUNTIF(Eingabe[S2],HäufigsteErgebnisse[[#This Row],[Zahl]])</f>
        <v>0</v>
      </c>
      <c r="H663" s="2">
        <f>COUNTIF(Eingabe[S3],HäufigsteErgebnisse[[#This Row],[Zahl]])</f>
        <v>0</v>
      </c>
      <c r="I663" s="2">
        <f>COUNTIF(Eingabe[S4],HäufigsteErgebnisse[[#This Row],[Zahl]])</f>
        <v>0</v>
      </c>
      <c r="J663" s="2">
        <f>COUNTIF(Eingabe[S1],HäufigsteErgebnisse[[#This Row],[Zahl]])+COUNTIF(Eingabe[S2],HäufigsteErgebnisse[[#This Row],[Zahl]])+COUNTIF(Eingabe[S3],HäufigsteErgebnisse[[#This Row],[Zahl]])+COUNTIF(Eingabe[S4],HäufigsteErgebnisse[[#This Row],[Zahl]])</f>
        <v>0</v>
      </c>
      <c r="K663" s="2">
        <f>COUNTIF(Eingabe[GES],HäufigsteErgebnisse[[#This Row],[Zahl]])</f>
        <v>1</v>
      </c>
      <c r="L663" s="2">
        <f>HäufigsteErgebnisse[[#This Row],[Zahl]]</f>
        <v>605</v>
      </c>
    </row>
    <row r="664" spans="2:12" x14ac:dyDescent="0.3">
      <c r="B664" s="2">
        <v>606</v>
      </c>
      <c r="C664" s="2">
        <f>COUNTIF(Eingabe[Volle],HäufigsteErgebnisse[[#This Row],[Zahl]])</f>
        <v>0</v>
      </c>
      <c r="D664" s="2">
        <f>COUNTIF(Eingabe[Räumer],HäufigsteErgebnisse[[#This Row],[Zahl]])</f>
        <v>0</v>
      </c>
      <c r="E664" s="2">
        <f>COUNTIF(Eingabe[Fehler],HäufigsteErgebnisse[[#This Row],[Zahl]])</f>
        <v>0</v>
      </c>
      <c r="F664" s="2">
        <f>COUNTIF(Eingabe[S1],HäufigsteErgebnisse[[#This Row],[Zahl]])</f>
        <v>0</v>
      </c>
      <c r="G664" s="2">
        <f>COUNTIF(Eingabe[S2],HäufigsteErgebnisse[[#This Row],[Zahl]])</f>
        <v>0</v>
      </c>
      <c r="H664" s="2">
        <f>COUNTIF(Eingabe[S3],HäufigsteErgebnisse[[#This Row],[Zahl]])</f>
        <v>0</v>
      </c>
      <c r="I664" s="2">
        <f>COUNTIF(Eingabe[S4],HäufigsteErgebnisse[[#This Row],[Zahl]])</f>
        <v>0</v>
      </c>
      <c r="J664" s="2">
        <f>COUNTIF(Eingabe[S1],HäufigsteErgebnisse[[#This Row],[Zahl]])+COUNTIF(Eingabe[S2],HäufigsteErgebnisse[[#This Row],[Zahl]])+COUNTIF(Eingabe[S3],HäufigsteErgebnisse[[#This Row],[Zahl]])+COUNTIF(Eingabe[S4],HäufigsteErgebnisse[[#This Row],[Zahl]])</f>
        <v>0</v>
      </c>
      <c r="K664" s="2">
        <f>COUNTIF(Eingabe[GES],HäufigsteErgebnisse[[#This Row],[Zahl]])</f>
        <v>0</v>
      </c>
      <c r="L664" s="2">
        <f>HäufigsteErgebnisse[[#This Row],[Zahl]]</f>
        <v>606</v>
      </c>
    </row>
    <row r="665" spans="2:12" x14ac:dyDescent="0.3">
      <c r="B665" s="2">
        <v>607</v>
      </c>
      <c r="C665" s="2">
        <f>COUNTIF(Eingabe[Volle],HäufigsteErgebnisse[[#This Row],[Zahl]])</f>
        <v>0</v>
      </c>
      <c r="D665" s="2">
        <f>COUNTIF(Eingabe[Räumer],HäufigsteErgebnisse[[#This Row],[Zahl]])</f>
        <v>0</v>
      </c>
      <c r="E665" s="2">
        <f>COUNTIF(Eingabe[Fehler],HäufigsteErgebnisse[[#This Row],[Zahl]])</f>
        <v>0</v>
      </c>
      <c r="F665" s="2">
        <f>COUNTIF(Eingabe[S1],HäufigsteErgebnisse[[#This Row],[Zahl]])</f>
        <v>0</v>
      </c>
      <c r="G665" s="2">
        <f>COUNTIF(Eingabe[S2],HäufigsteErgebnisse[[#This Row],[Zahl]])</f>
        <v>0</v>
      </c>
      <c r="H665" s="2">
        <f>COUNTIF(Eingabe[S3],HäufigsteErgebnisse[[#This Row],[Zahl]])</f>
        <v>0</v>
      </c>
      <c r="I665" s="2">
        <f>COUNTIF(Eingabe[S4],HäufigsteErgebnisse[[#This Row],[Zahl]])</f>
        <v>0</v>
      </c>
      <c r="J665" s="2">
        <f>COUNTIF(Eingabe[S1],HäufigsteErgebnisse[[#This Row],[Zahl]])+COUNTIF(Eingabe[S2],HäufigsteErgebnisse[[#This Row],[Zahl]])+COUNTIF(Eingabe[S3],HäufigsteErgebnisse[[#This Row],[Zahl]])+COUNTIF(Eingabe[S4],HäufigsteErgebnisse[[#This Row],[Zahl]])</f>
        <v>0</v>
      </c>
      <c r="K665" s="2">
        <f>COUNTIF(Eingabe[GES],HäufigsteErgebnisse[[#This Row],[Zahl]])</f>
        <v>0</v>
      </c>
      <c r="L665" s="2">
        <f>HäufigsteErgebnisse[[#This Row],[Zahl]]</f>
        <v>607</v>
      </c>
    </row>
    <row r="666" spans="2:12" x14ac:dyDescent="0.3">
      <c r="B666" s="2">
        <v>608</v>
      </c>
      <c r="C666" s="2">
        <f>COUNTIF(Eingabe[Volle],HäufigsteErgebnisse[[#This Row],[Zahl]])</f>
        <v>0</v>
      </c>
      <c r="D666" s="2">
        <f>COUNTIF(Eingabe[Räumer],HäufigsteErgebnisse[[#This Row],[Zahl]])</f>
        <v>0</v>
      </c>
      <c r="E666" s="2">
        <f>COUNTIF(Eingabe[Fehler],HäufigsteErgebnisse[[#This Row],[Zahl]])</f>
        <v>0</v>
      </c>
      <c r="F666" s="2">
        <f>COUNTIF(Eingabe[S1],HäufigsteErgebnisse[[#This Row],[Zahl]])</f>
        <v>0</v>
      </c>
      <c r="G666" s="2">
        <f>COUNTIF(Eingabe[S2],HäufigsteErgebnisse[[#This Row],[Zahl]])</f>
        <v>0</v>
      </c>
      <c r="H666" s="2">
        <f>COUNTIF(Eingabe[S3],HäufigsteErgebnisse[[#This Row],[Zahl]])</f>
        <v>0</v>
      </c>
      <c r="I666" s="2">
        <f>COUNTIF(Eingabe[S4],HäufigsteErgebnisse[[#This Row],[Zahl]])</f>
        <v>0</v>
      </c>
      <c r="J666" s="2">
        <f>COUNTIF(Eingabe[S1],HäufigsteErgebnisse[[#This Row],[Zahl]])+COUNTIF(Eingabe[S2],HäufigsteErgebnisse[[#This Row],[Zahl]])+COUNTIF(Eingabe[S3],HäufigsteErgebnisse[[#This Row],[Zahl]])+COUNTIF(Eingabe[S4],HäufigsteErgebnisse[[#This Row],[Zahl]])</f>
        <v>0</v>
      </c>
      <c r="K666" s="2">
        <f>COUNTIF(Eingabe[GES],HäufigsteErgebnisse[[#This Row],[Zahl]])</f>
        <v>0</v>
      </c>
      <c r="L666" s="2">
        <f>HäufigsteErgebnisse[[#This Row],[Zahl]]</f>
        <v>608</v>
      </c>
    </row>
    <row r="667" spans="2:12" x14ac:dyDescent="0.3">
      <c r="B667" s="2">
        <v>609</v>
      </c>
      <c r="C667" s="2">
        <f>COUNTIF(Eingabe[Volle],HäufigsteErgebnisse[[#This Row],[Zahl]])</f>
        <v>0</v>
      </c>
      <c r="D667" s="2">
        <f>COUNTIF(Eingabe[Räumer],HäufigsteErgebnisse[[#This Row],[Zahl]])</f>
        <v>0</v>
      </c>
      <c r="E667" s="2">
        <f>COUNTIF(Eingabe[Fehler],HäufigsteErgebnisse[[#This Row],[Zahl]])</f>
        <v>0</v>
      </c>
      <c r="F667" s="2">
        <f>COUNTIF(Eingabe[S1],HäufigsteErgebnisse[[#This Row],[Zahl]])</f>
        <v>0</v>
      </c>
      <c r="G667" s="2">
        <f>COUNTIF(Eingabe[S2],HäufigsteErgebnisse[[#This Row],[Zahl]])</f>
        <v>0</v>
      </c>
      <c r="H667" s="2">
        <f>COUNTIF(Eingabe[S3],HäufigsteErgebnisse[[#This Row],[Zahl]])</f>
        <v>0</v>
      </c>
      <c r="I667" s="2">
        <f>COUNTIF(Eingabe[S4],HäufigsteErgebnisse[[#This Row],[Zahl]])</f>
        <v>0</v>
      </c>
      <c r="J667" s="2">
        <f>COUNTIF(Eingabe[S1],HäufigsteErgebnisse[[#This Row],[Zahl]])+COUNTIF(Eingabe[S2],HäufigsteErgebnisse[[#This Row],[Zahl]])+COUNTIF(Eingabe[S3],HäufigsteErgebnisse[[#This Row],[Zahl]])+COUNTIF(Eingabe[S4],HäufigsteErgebnisse[[#This Row],[Zahl]])</f>
        <v>0</v>
      </c>
      <c r="K667" s="2">
        <f>COUNTIF(Eingabe[GES],HäufigsteErgebnisse[[#This Row],[Zahl]])</f>
        <v>0</v>
      </c>
      <c r="L667" s="2">
        <f>HäufigsteErgebnisse[[#This Row],[Zahl]]</f>
        <v>609</v>
      </c>
    </row>
    <row r="668" spans="2:12" x14ac:dyDescent="0.3">
      <c r="B668" s="2">
        <v>610</v>
      </c>
      <c r="C668" s="2">
        <f>COUNTIF(Eingabe[Volle],HäufigsteErgebnisse[[#This Row],[Zahl]])</f>
        <v>0</v>
      </c>
      <c r="D668" s="2">
        <f>COUNTIF(Eingabe[Räumer],HäufigsteErgebnisse[[#This Row],[Zahl]])</f>
        <v>0</v>
      </c>
      <c r="E668" s="2">
        <f>COUNTIF(Eingabe[Fehler],HäufigsteErgebnisse[[#This Row],[Zahl]])</f>
        <v>0</v>
      </c>
      <c r="F668" s="2">
        <f>COUNTIF(Eingabe[S1],HäufigsteErgebnisse[[#This Row],[Zahl]])</f>
        <v>0</v>
      </c>
      <c r="G668" s="2">
        <f>COUNTIF(Eingabe[S2],HäufigsteErgebnisse[[#This Row],[Zahl]])</f>
        <v>0</v>
      </c>
      <c r="H668" s="2">
        <f>COUNTIF(Eingabe[S3],HäufigsteErgebnisse[[#This Row],[Zahl]])</f>
        <v>0</v>
      </c>
      <c r="I668" s="2">
        <f>COUNTIF(Eingabe[S4],HäufigsteErgebnisse[[#This Row],[Zahl]])</f>
        <v>0</v>
      </c>
      <c r="J668" s="2">
        <f>COUNTIF(Eingabe[S1],HäufigsteErgebnisse[[#This Row],[Zahl]])+COUNTIF(Eingabe[S2],HäufigsteErgebnisse[[#This Row],[Zahl]])+COUNTIF(Eingabe[S3],HäufigsteErgebnisse[[#This Row],[Zahl]])+COUNTIF(Eingabe[S4],HäufigsteErgebnisse[[#This Row],[Zahl]])</f>
        <v>0</v>
      </c>
      <c r="K668" s="2">
        <f>COUNTIF(Eingabe[GES],HäufigsteErgebnisse[[#This Row],[Zahl]])</f>
        <v>1</v>
      </c>
      <c r="L668" s="2">
        <f>HäufigsteErgebnisse[[#This Row],[Zahl]]</f>
        <v>610</v>
      </c>
    </row>
    <row r="669" spans="2:12" x14ac:dyDescent="0.3">
      <c r="B669" s="2">
        <v>611</v>
      </c>
      <c r="C669" s="2">
        <f>COUNTIF(Eingabe[Volle],HäufigsteErgebnisse[[#This Row],[Zahl]])</f>
        <v>0</v>
      </c>
      <c r="D669" s="2">
        <f>COUNTIF(Eingabe[Räumer],HäufigsteErgebnisse[[#This Row],[Zahl]])</f>
        <v>0</v>
      </c>
      <c r="E669" s="2">
        <f>COUNTIF(Eingabe[Fehler],HäufigsteErgebnisse[[#This Row],[Zahl]])</f>
        <v>0</v>
      </c>
      <c r="F669" s="2">
        <f>COUNTIF(Eingabe[S1],HäufigsteErgebnisse[[#This Row],[Zahl]])</f>
        <v>0</v>
      </c>
      <c r="G669" s="2">
        <f>COUNTIF(Eingabe[S2],HäufigsteErgebnisse[[#This Row],[Zahl]])</f>
        <v>0</v>
      </c>
      <c r="H669" s="2">
        <f>COUNTIF(Eingabe[S3],HäufigsteErgebnisse[[#This Row],[Zahl]])</f>
        <v>0</v>
      </c>
      <c r="I669" s="2">
        <f>COUNTIF(Eingabe[S4],HäufigsteErgebnisse[[#This Row],[Zahl]])</f>
        <v>0</v>
      </c>
      <c r="J669" s="2">
        <f>COUNTIF(Eingabe[S1],HäufigsteErgebnisse[[#This Row],[Zahl]])+COUNTIF(Eingabe[S2],HäufigsteErgebnisse[[#This Row],[Zahl]])+COUNTIF(Eingabe[S3],HäufigsteErgebnisse[[#This Row],[Zahl]])+COUNTIF(Eingabe[S4],HäufigsteErgebnisse[[#This Row],[Zahl]])</f>
        <v>0</v>
      </c>
      <c r="K669" s="2">
        <f>COUNTIF(Eingabe[GES],HäufigsteErgebnisse[[#This Row],[Zahl]])</f>
        <v>0</v>
      </c>
      <c r="L669" s="2">
        <f>HäufigsteErgebnisse[[#This Row],[Zahl]]</f>
        <v>611</v>
      </c>
    </row>
    <row r="670" spans="2:12" x14ac:dyDescent="0.3">
      <c r="B670" s="2">
        <v>612</v>
      </c>
      <c r="C670" s="2">
        <f>COUNTIF(Eingabe[Volle],HäufigsteErgebnisse[[#This Row],[Zahl]])</f>
        <v>0</v>
      </c>
      <c r="D670" s="2">
        <f>COUNTIF(Eingabe[Räumer],HäufigsteErgebnisse[[#This Row],[Zahl]])</f>
        <v>0</v>
      </c>
      <c r="E670" s="2">
        <f>COUNTIF(Eingabe[Fehler],HäufigsteErgebnisse[[#This Row],[Zahl]])</f>
        <v>0</v>
      </c>
      <c r="F670" s="2">
        <f>COUNTIF(Eingabe[S1],HäufigsteErgebnisse[[#This Row],[Zahl]])</f>
        <v>0</v>
      </c>
      <c r="G670" s="2">
        <f>COUNTIF(Eingabe[S2],HäufigsteErgebnisse[[#This Row],[Zahl]])</f>
        <v>0</v>
      </c>
      <c r="H670" s="2">
        <f>COUNTIF(Eingabe[S3],HäufigsteErgebnisse[[#This Row],[Zahl]])</f>
        <v>0</v>
      </c>
      <c r="I670" s="2">
        <f>COUNTIF(Eingabe[S4],HäufigsteErgebnisse[[#This Row],[Zahl]])</f>
        <v>0</v>
      </c>
      <c r="J670" s="2">
        <f>COUNTIF(Eingabe[S1],HäufigsteErgebnisse[[#This Row],[Zahl]])+COUNTIF(Eingabe[S2],HäufigsteErgebnisse[[#This Row],[Zahl]])+COUNTIF(Eingabe[S3],HäufigsteErgebnisse[[#This Row],[Zahl]])+COUNTIF(Eingabe[S4],HäufigsteErgebnisse[[#This Row],[Zahl]])</f>
        <v>0</v>
      </c>
      <c r="K670" s="2">
        <f>COUNTIF(Eingabe[GES],HäufigsteErgebnisse[[#This Row],[Zahl]])</f>
        <v>0</v>
      </c>
      <c r="L670" s="2">
        <f>HäufigsteErgebnisse[[#This Row],[Zahl]]</f>
        <v>612</v>
      </c>
    </row>
    <row r="671" spans="2:12" x14ac:dyDescent="0.3">
      <c r="B671" s="2">
        <v>613</v>
      </c>
      <c r="C671" s="2">
        <f>COUNTIF(Eingabe[Volle],HäufigsteErgebnisse[[#This Row],[Zahl]])</f>
        <v>0</v>
      </c>
      <c r="D671" s="2">
        <f>COUNTIF(Eingabe[Räumer],HäufigsteErgebnisse[[#This Row],[Zahl]])</f>
        <v>0</v>
      </c>
      <c r="E671" s="2">
        <f>COUNTIF(Eingabe[Fehler],HäufigsteErgebnisse[[#This Row],[Zahl]])</f>
        <v>0</v>
      </c>
      <c r="F671" s="2">
        <f>COUNTIF(Eingabe[S1],HäufigsteErgebnisse[[#This Row],[Zahl]])</f>
        <v>0</v>
      </c>
      <c r="G671" s="2">
        <f>COUNTIF(Eingabe[S2],HäufigsteErgebnisse[[#This Row],[Zahl]])</f>
        <v>0</v>
      </c>
      <c r="H671" s="2">
        <f>COUNTIF(Eingabe[S3],HäufigsteErgebnisse[[#This Row],[Zahl]])</f>
        <v>0</v>
      </c>
      <c r="I671" s="2">
        <f>COUNTIF(Eingabe[S4],HäufigsteErgebnisse[[#This Row],[Zahl]])</f>
        <v>0</v>
      </c>
      <c r="J671" s="2">
        <f>COUNTIF(Eingabe[S1],HäufigsteErgebnisse[[#This Row],[Zahl]])+COUNTIF(Eingabe[S2],HäufigsteErgebnisse[[#This Row],[Zahl]])+COUNTIF(Eingabe[S3],HäufigsteErgebnisse[[#This Row],[Zahl]])+COUNTIF(Eingabe[S4],HäufigsteErgebnisse[[#This Row],[Zahl]])</f>
        <v>0</v>
      </c>
      <c r="K671" s="2">
        <f>COUNTIF(Eingabe[GES],HäufigsteErgebnisse[[#This Row],[Zahl]])</f>
        <v>0</v>
      </c>
      <c r="L671" s="2">
        <f>HäufigsteErgebnisse[[#This Row],[Zahl]]</f>
        <v>613</v>
      </c>
    </row>
    <row r="672" spans="2:12" x14ac:dyDescent="0.3">
      <c r="B672" s="2">
        <v>614</v>
      </c>
      <c r="C672" s="2">
        <f>COUNTIF(Eingabe[Volle],HäufigsteErgebnisse[[#This Row],[Zahl]])</f>
        <v>0</v>
      </c>
      <c r="D672" s="2">
        <f>COUNTIF(Eingabe[Räumer],HäufigsteErgebnisse[[#This Row],[Zahl]])</f>
        <v>0</v>
      </c>
      <c r="E672" s="2">
        <f>COUNTIF(Eingabe[Fehler],HäufigsteErgebnisse[[#This Row],[Zahl]])</f>
        <v>0</v>
      </c>
      <c r="F672" s="2">
        <f>COUNTIF(Eingabe[S1],HäufigsteErgebnisse[[#This Row],[Zahl]])</f>
        <v>0</v>
      </c>
      <c r="G672" s="2">
        <f>COUNTIF(Eingabe[S2],HäufigsteErgebnisse[[#This Row],[Zahl]])</f>
        <v>0</v>
      </c>
      <c r="H672" s="2">
        <f>COUNTIF(Eingabe[S3],HäufigsteErgebnisse[[#This Row],[Zahl]])</f>
        <v>0</v>
      </c>
      <c r="I672" s="2">
        <f>COUNTIF(Eingabe[S4],HäufigsteErgebnisse[[#This Row],[Zahl]])</f>
        <v>0</v>
      </c>
      <c r="J672" s="2">
        <f>COUNTIF(Eingabe[S1],HäufigsteErgebnisse[[#This Row],[Zahl]])+COUNTIF(Eingabe[S2],HäufigsteErgebnisse[[#This Row],[Zahl]])+COUNTIF(Eingabe[S3],HäufigsteErgebnisse[[#This Row],[Zahl]])+COUNTIF(Eingabe[S4],HäufigsteErgebnisse[[#This Row],[Zahl]])</f>
        <v>0</v>
      </c>
      <c r="K672" s="2">
        <f>COUNTIF(Eingabe[GES],HäufigsteErgebnisse[[#This Row],[Zahl]])</f>
        <v>0</v>
      </c>
      <c r="L672" s="2">
        <f>HäufigsteErgebnisse[[#This Row],[Zahl]]</f>
        <v>614</v>
      </c>
    </row>
    <row r="673" spans="2:12" x14ac:dyDescent="0.3">
      <c r="B673" s="2">
        <v>615</v>
      </c>
      <c r="C673" s="2">
        <f>COUNTIF(Eingabe[Volle],HäufigsteErgebnisse[[#This Row],[Zahl]])</f>
        <v>0</v>
      </c>
      <c r="D673" s="2">
        <f>COUNTIF(Eingabe[Räumer],HäufigsteErgebnisse[[#This Row],[Zahl]])</f>
        <v>0</v>
      </c>
      <c r="E673" s="2">
        <f>COUNTIF(Eingabe[Fehler],HäufigsteErgebnisse[[#This Row],[Zahl]])</f>
        <v>0</v>
      </c>
      <c r="F673" s="2">
        <f>COUNTIF(Eingabe[S1],HäufigsteErgebnisse[[#This Row],[Zahl]])</f>
        <v>0</v>
      </c>
      <c r="G673" s="2">
        <f>COUNTIF(Eingabe[S2],HäufigsteErgebnisse[[#This Row],[Zahl]])</f>
        <v>0</v>
      </c>
      <c r="H673" s="2">
        <f>COUNTIF(Eingabe[S3],HäufigsteErgebnisse[[#This Row],[Zahl]])</f>
        <v>0</v>
      </c>
      <c r="I673" s="2">
        <f>COUNTIF(Eingabe[S4],HäufigsteErgebnisse[[#This Row],[Zahl]])</f>
        <v>0</v>
      </c>
      <c r="J673" s="2">
        <f>COUNTIF(Eingabe[S1],HäufigsteErgebnisse[[#This Row],[Zahl]])+COUNTIF(Eingabe[S2],HäufigsteErgebnisse[[#This Row],[Zahl]])+COUNTIF(Eingabe[S3],HäufigsteErgebnisse[[#This Row],[Zahl]])+COUNTIF(Eingabe[S4],HäufigsteErgebnisse[[#This Row],[Zahl]])</f>
        <v>0</v>
      </c>
      <c r="K673" s="2">
        <f>COUNTIF(Eingabe[GES],HäufigsteErgebnisse[[#This Row],[Zahl]])</f>
        <v>0</v>
      </c>
      <c r="L673" s="2">
        <f>HäufigsteErgebnisse[[#This Row],[Zahl]]</f>
        <v>615</v>
      </c>
    </row>
    <row r="674" spans="2:12" x14ac:dyDescent="0.3">
      <c r="B674" s="2">
        <v>616</v>
      </c>
      <c r="C674" s="2">
        <f>COUNTIF(Eingabe[Volle],HäufigsteErgebnisse[[#This Row],[Zahl]])</f>
        <v>0</v>
      </c>
      <c r="D674" s="2">
        <f>COUNTIF(Eingabe[Räumer],HäufigsteErgebnisse[[#This Row],[Zahl]])</f>
        <v>0</v>
      </c>
      <c r="E674" s="2">
        <f>COUNTIF(Eingabe[Fehler],HäufigsteErgebnisse[[#This Row],[Zahl]])</f>
        <v>0</v>
      </c>
      <c r="F674" s="2">
        <f>COUNTIF(Eingabe[S1],HäufigsteErgebnisse[[#This Row],[Zahl]])</f>
        <v>0</v>
      </c>
      <c r="G674" s="2">
        <f>COUNTIF(Eingabe[S2],HäufigsteErgebnisse[[#This Row],[Zahl]])</f>
        <v>0</v>
      </c>
      <c r="H674" s="2">
        <f>COUNTIF(Eingabe[S3],HäufigsteErgebnisse[[#This Row],[Zahl]])</f>
        <v>0</v>
      </c>
      <c r="I674" s="2">
        <f>COUNTIF(Eingabe[S4],HäufigsteErgebnisse[[#This Row],[Zahl]])</f>
        <v>0</v>
      </c>
      <c r="J674" s="2">
        <f>COUNTIF(Eingabe[S1],HäufigsteErgebnisse[[#This Row],[Zahl]])+COUNTIF(Eingabe[S2],HäufigsteErgebnisse[[#This Row],[Zahl]])+COUNTIF(Eingabe[S3],HäufigsteErgebnisse[[#This Row],[Zahl]])+COUNTIF(Eingabe[S4],HäufigsteErgebnisse[[#This Row],[Zahl]])</f>
        <v>0</v>
      </c>
      <c r="K674" s="2">
        <f>COUNTIF(Eingabe[GES],HäufigsteErgebnisse[[#This Row],[Zahl]])</f>
        <v>0</v>
      </c>
      <c r="L674" s="2">
        <f>HäufigsteErgebnisse[[#This Row],[Zahl]]</f>
        <v>616</v>
      </c>
    </row>
    <row r="675" spans="2:12" x14ac:dyDescent="0.3">
      <c r="B675" s="2">
        <v>617</v>
      </c>
      <c r="C675" s="2">
        <f>COUNTIF(Eingabe[Volle],HäufigsteErgebnisse[[#This Row],[Zahl]])</f>
        <v>0</v>
      </c>
      <c r="D675" s="2">
        <f>COUNTIF(Eingabe[Räumer],HäufigsteErgebnisse[[#This Row],[Zahl]])</f>
        <v>0</v>
      </c>
      <c r="E675" s="2">
        <f>COUNTIF(Eingabe[Fehler],HäufigsteErgebnisse[[#This Row],[Zahl]])</f>
        <v>0</v>
      </c>
      <c r="F675" s="2">
        <f>COUNTIF(Eingabe[S1],HäufigsteErgebnisse[[#This Row],[Zahl]])</f>
        <v>0</v>
      </c>
      <c r="G675" s="2">
        <f>COUNTIF(Eingabe[S2],HäufigsteErgebnisse[[#This Row],[Zahl]])</f>
        <v>0</v>
      </c>
      <c r="H675" s="2">
        <f>COUNTIF(Eingabe[S3],HäufigsteErgebnisse[[#This Row],[Zahl]])</f>
        <v>0</v>
      </c>
      <c r="I675" s="2">
        <f>COUNTIF(Eingabe[S4],HäufigsteErgebnisse[[#This Row],[Zahl]])</f>
        <v>0</v>
      </c>
      <c r="J675" s="2">
        <f>COUNTIF(Eingabe[S1],HäufigsteErgebnisse[[#This Row],[Zahl]])+COUNTIF(Eingabe[S2],HäufigsteErgebnisse[[#This Row],[Zahl]])+COUNTIF(Eingabe[S3],HäufigsteErgebnisse[[#This Row],[Zahl]])+COUNTIF(Eingabe[S4],HäufigsteErgebnisse[[#This Row],[Zahl]])</f>
        <v>0</v>
      </c>
      <c r="K675" s="2">
        <f>COUNTIF(Eingabe[GES],HäufigsteErgebnisse[[#This Row],[Zahl]])</f>
        <v>0</v>
      </c>
      <c r="L675" s="2">
        <f>HäufigsteErgebnisse[[#This Row],[Zahl]]</f>
        <v>617</v>
      </c>
    </row>
    <row r="676" spans="2:12" x14ac:dyDescent="0.3">
      <c r="B676" s="2">
        <v>618</v>
      </c>
      <c r="C676" s="2">
        <f>COUNTIF(Eingabe[Volle],HäufigsteErgebnisse[[#This Row],[Zahl]])</f>
        <v>0</v>
      </c>
      <c r="D676" s="2">
        <f>COUNTIF(Eingabe[Räumer],HäufigsteErgebnisse[[#This Row],[Zahl]])</f>
        <v>0</v>
      </c>
      <c r="E676" s="2">
        <f>COUNTIF(Eingabe[Fehler],HäufigsteErgebnisse[[#This Row],[Zahl]])</f>
        <v>0</v>
      </c>
      <c r="F676" s="2">
        <f>COUNTIF(Eingabe[S1],HäufigsteErgebnisse[[#This Row],[Zahl]])</f>
        <v>0</v>
      </c>
      <c r="G676" s="2">
        <f>COUNTIF(Eingabe[S2],HäufigsteErgebnisse[[#This Row],[Zahl]])</f>
        <v>0</v>
      </c>
      <c r="H676" s="2">
        <f>COUNTIF(Eingabe[S3],HäufigsteErgebnisse[[#This Row],[Zahl]])</f>
        <v>0</v>
      </c>
      <c r="I676" s="2">
        <f>COUNTIF(Eingabe[S4],HäufigsteErgebnisse[[#This Row],[Zahl]])</f>
        <v>0</v>
      </c>
      <c r="J676" s="2">
        <f>COUNTIF(Eingabe[S1],HäufigsteErgebnisse[[#This Row],[Zahl]])+COUNTIF(Eingabe[S2],HäufigsteErgebnisse[[#This Row],[Zahl]])+COUNTIF(Eingabe[S3],HäufigsteErgebnisse[[#This Row],[Zahl]])+COUNTIF(Eingabe[S4],HäufigsteErgebnisse[[#This Row],[Zahl]])</f>
        <v>0</v>
      </c>
      <c r="K676" s="2">
        <f>COUNTIF(Eingabe[GES],HäufigsteErgebnisse[[#This Row],[Zahl]])</f>
        <v>0</v>
      </c>
      <c r="L676" s="2">
        <f>HäufigsteErgebnisse[[#This Row],[Zahl]]</f>
        <v>618</v>
      </c>
    </row>
    <row r="677" spans="2:12" x14ac:dyDescent="0.3">
      <c r="B677" s="2">
        <v>619</v>
      </c>
      <c r="C677" s="2">
        <f>COUNTIF(Eingabe[Volle],HäufigsteErgebnisse[[#This Row],[Zahl]])</f>
        <v>0</v>
      </c>
      <c r="D677" s="2">
        <f>COUNTIF(Eingabe[Räumer],HäufigsteErgebnisse[[#This Row],[Zahl]])</f>
        <v>0</v>
      </c>
      <c r="E677" s="2">
        <f>COUNTIF(Eingabe[Fehler],HäufigsteErgebnisse[[#This Row],[Zahl]])</f>
        <v>0</v>
      </c>
      <c r="F677" s="2">
        <f>COUNTIF(Eingabe[S1],HäufigsteErgebnisse[[#This Row],[Zahl]])</f>
        <v>0</v>
      </c>
      <c r="G677" s="2">
        <f>COUNTIF(Eingabe[S2],HäufigsteErgebnisse[[#This Row],[Zahl]])</f>
        <v>0</v>
      </c>
      <c r="H677" s="2">
        <f>COUNTIF(Eingabe[S3],HäufigsteErgebnisse[[#This Row],[Zahl]])</f>
        <v>0</v>
      </c>
      <c r="I677" s="2">
        <f>COUNTIF(Eingabe[S4],HäufigsteErgebnisse[[#This Row],[Zahl]])</f>
        <v>0</v>
      </c>
      <c r="J677" s="2">
        <f>COUNTIF(Eingabe[S1],HäufigsteErgebnisse[[#This Row],[Zahl]])+COUNTIF(Eingabe[S2],HäufigsteErgebnisse[[#This Row],[Zahl]])+COUNTIF(Eingabe[S3],HäufigsteErgebnisse[[#This Row],[Zahl]])+COUNTIF(Eingabe[S4],HäufigsteErgebnisse[[#This Row],[Zahl]])</f>
        <v>0</v>
      </c>
      <c r="K677" s="2">
        <f>COUNTIF(Eingabe[GES],HäufigsteErgebnisse[[#This Row],[Zahl]])</f>
        <v>0</v>
      </c>
      <c r="L677" s="2">
        <f>HäufigsteErgebnisse[[#This Row],[Zahl]]</f>
        <v>619</v>
      </c>
    </row>
    <row r="678" spans="2:12" x14ac:dyDescent="0.3">
      <c r="B678" s="2">
        <v>620</v>
      </c>
      <c r="C678" s="2">
        <f>COUNTIF(Eingabe[Volle],HäufigsteErgebnisse[[#This Row],[Zahl]])</f>
        <v>0</v>
      </c>
      <c r="D678" s="2">
        <f>COUNTIF(Eingabe[Räumer],HäufigsteErgebnisse[[#This Row],[Zahl]])</f>
        <v>0</v>
      </c>
      <c r="E678" s="2">
        <f>COUNTIF(Eingabe[Fehler],HäufigsteErgebnisse[[#This Row],[Zahl]])</f>
        <v>0</v>
      </c>
      <c r="F678" s="2">
        <f>COUNTIF(Eingabe[S1],HäufigsteErgebnisse[[#This Row],[Zahl]])</f>
        <v>0</v>
      </c>
      <c r="G678" s="2">
        <f>COUNTIF(Eingabe[S2],HäufigsteErgebnisse[[#This Row],[Zahl]])</f>
        <v>0</v>
      </c>
      <c r="H678" s="2">
        <f>COUNTIF(Eingabe[S3],HäufigsteErgebnisse[[#This Row],[Zahl]])</f>
        <v>0</v>
      </c>
      <c r="I678" s="2">
        <f>COUNTIF(Eingabe[S4],HäufigsteErgebnisse[[#This Row],[Zahl]])</f>
        <v>0</v>
      </c>
      <c r="J678" s="2">
        <f>COUNTIF(Eingabe[S1],HäufigsteErgebnisse[[#This Row],[Zahl]])+COUNTIF(Eingabe[S2],HäufigsteErgebnisse[[#This Row],[Zahl]])+COUNTIF(Eingabe[S3],HäufigsteErgebnisse[[#This Row],[Zahl]])+COUNTIF(Eingabe[S4],HäufigsteErgebnisse[[#This Row],[Zahl]])</f>
        <v>0</v>
      </c>
      <c r="K678" s="2">
        <f>COUNTIF(Eingabe[GES],HäufigsteErgebnisse[[#This Row],[Zahl]])</f>
        <v>0</v>
      </c>
      <c r="L678" s="2">
        <f>HäufigsteErgebnisse[[#This Row],[Zahl]]</f>
        <v>620</v>
      </c>
    </row>
    <row r="679" spans="2:12" x14ac:dyDescent="0.3">
      <c r="B679" s="2">
        <v>621</v>
      </c>
      <c r="C679" s="2">
        <f>COUNTIF(Eingabe[Volle],HäufigsteErgebnisse[[#This Row],[Zahl]])</f>
        <v>0</v>
      </c>
      <c r="D679" s="2">
        <f>COUNTIF(Eingabe[Räumer],HäufigsteErgebnisse[[#This Row],[Zahl]])</f>
        <v>0</v>
      </c>
      <c r="E679" s="2">
        <f>COUNTIF(Eingabe[Fehler],HäufigsteErgebnisse[[#This Row],[Zahl]])</f>
        <v>0</v>
      </c>
      <c r="F679" s="2">
        <f>COUNTIF(Eingabe[S1],HäufigsteErgebnisse[[#This Row],[Zahl]])</f>
        <v>0</v>
      </c>
      <c r="G679" s="2">
        <f>COUNTIF(Eingabe[S2],HäufigsteErgebnisse[[#This Row],[Zahl]])</f>
        <v>0</v>
      </c>
      <c r="H679" s="2">
        <f>COUNTIF(Eingabe[S3],HäufigsteErgebnisse[[#This Row],[Zahl]])</f>
        <v>0</v>
      </c>
      <c r="I679" s="2">
        <f>COUNTIF(Eingabe[S4],HäufigsteErgebnisse[[#This Row],[Zahl]])</f>
        <v>0</v>
      </c>
      <c r="J679" s="2">
        <f>COUNTIF(Eingabe[S1],HäufigsteErgebnisse[[#This Row],[Zahl]])+COUNTIF(Eingabe[S2],HäufigsteErgebnisse[[#This Row],[Zahl]])+COUNTIF(Eingabe[S3],HäufigsteErgebnisse[[#This Row],[Zahl]])+COUNTIF(Eingabe[S4],HäufigsteErgebnisse[[#This Row],[Zahl]])</f>
        <v>0</v>
      </c>
      <c r="K679" s="2">
        <f>COUNTIF(Eingabe[GES],HäufigsteErgebnisse[[#This Row],[Zahl]])</f>
        <v>0</v>
      </c>
      <c r="L679" s="2">
        <f>HäufigsteErgebnisse[[#This Row],[Zahl]]</f>
        <v>621</v>
      </c>
    </row>
    <row r="680" spans="2:12" x14ac:dyDescent="0.3">
      <c r="B680" s="2">
        <v>622</v>
      </c>
      <c r="C680" s="2">
        <f>COUNTIF(Eingabe[Volle],HäufigsteErgebnisse[[#This Row],[Zahl]])</f>
        <v>0</v>
      </c>
      <c r="D680" s="2">
        <f>COUNTIF(Eingabe[Räumer],HäufigsteErgebnisse[[#This Row],[Zahl]])</f>
        <v>0</v>
      </c>
      <c r="E680" s="2">
        <f>COUNTIF(Eingabe[Fehler],HäufigsteErgebnisse[[#This Row],[Zahl]])</f>
        <v>0</v>
      </c>
      <c r="F680" s="2">
        <f>COUNTIF(Eingabe[S1],HäufigsteErgebnisse[[#This Row],[Zahl]])</f>
        <v>0</v>
      </c>
      <c r="G680" s="2">
        <f>COUNTIF(Eingabe[S2],HäufigsteErgebnisse[[#This Row],[Zahl]])</f>
        <v>0</v>
      </c>
      <c r="H680" s="2">
        <f>COUNTIF(Eingabe[S3],HäufigsteErgebnisse[[#This Row],[Zahl]])</f>
        <v>0</v>
      </c>
      <c r="I680" s="2">
        <f>COUNTIF(Eingabe[S4],HäufigsteErgebnisse[[#This Row],[Zahl]])</f>
        <v>0</v>
      </c>
      <c r="J680" s="2">
        <f>COUNTIF(Eingabe[S1],HäufigsteErgebnisse[[#This Row],[Zahl]])+COUNTIF(Eingabe[S2],HäufigsteErgebnisse[[#This Row],[Zahl]])+COUNTIF(Eingabe[S3],HäufigsteErgebnisse[[#This Row],[Zahl]])+COUNTIF(Eingabe[S4],HäufigsteErgebnisse[[#This Row],[Zahl]])</f>
        <v>0</v>
      </c>
      <c r="K680" s="2">
        <f>COUNTIF(Eingabe[GES],HäufigsteErgebnisse[[#This Row],[Zahl]])</f>
        <v>0</v>
      </c>
      <c r="L680" s="2">
        <f>HäufigsteErgebnisse[[#This Row],[Zahl]]</f>
        <v>622</v>
      </c>
    </row>
    <row r="681" spans="2:12" x14ac:dyDescent="0.3">
      <c r="B681" s="2">
        <v>623</v>
      </c>
      <c r="C681" s="2">
        <f>COUNTIF(Eingabe[Volle],HäufigsteErgebnisse[[#This Row],[Zahl]])</f>
        <v>0</v>
      </c>
      <c r="D681" s="2">
        <f>COUNTIF(Eingabe[Räumer],HäufigsteErgebnisse[[#This Row],[Zahl]])</f>
        <v>0</v>
      </c>
      <c r="E681" s="2">
        <f>COUNTIF(Eingabe[Fehler],HäufigsteErgebnisse[[#This Row],[Zahl]])</f>
        <v>0</v>
      </c>
      <c r="F681" s="2">
        <f>COUNTIF(Eingabe[S1],HäufigsteErgebnisse[[#This Row],[Zahl]])</f>
        <v>0</v>
      </c>
      <c r="G681" s="2">
        <f>COUNTIF(Eingabe[S2],HäufigsteErgebnisse[[#This Row],[Zahl]])</f>
        <v>0</v>
      </c>
      <c r="H681" s="2">
        <f>COUNTIF(Eingabe[S3],HäufigsteErgebnisse[[#This Row],[Zahl]])</f>
        <v>0</v>
      </c>
      <c r="I681" s="2">
        <f>COUNTIF(Eingabe[S4],HäufigsteErgebnisse[[#This Row],[Zahl]])</f>
        <v>0</v>
      </c>
      <c r="J681" s="2">
        <f>COUNTIF(Eingabe[S1],HäufigsteErgebnisse[[#This Row],[Zahl]])+COUNTIF(Eingabe[S2],HäufigsteErgebnisse[[#This Row],[Zahl]])+COUNTIF(Eingabe[S3],HäufigsteErgebnisse[[#This Row],[Zahl]])+COUNTIF(Eingabe[S4],HäufigsteErgebnisse[[#This Row],[Zahl]])</f>
        <v>0</v>
      </c>
      <c r="K681" s="2">
        <f>COUNTIF(Eingabe[GES],HäufigsteErgebnisse[[#This Row],[Zahl]])</f>
        <v>0</v>
      </c>
      <c r="L681" s="2">
        <f>HäufigsteErgebnisse[[#This Row],[Zahl]]</f>
        <v>623</v>
      </c>
    </row>
    <row r="682" spans="2:12" x14ac:dyDescent="0.3">
      <c r="B682" s="2">
        <v>624</v>
      </c>
      <c r="C682" s="2">
        <f>COUNTIF(Eingabe[Volle],HäufigsteErgebnisse[[#This Row],[Zahl]])</f>
        <v>0</v>
      </c>
      <c r="D682" s="2">
        <f>COUNTIF(Eingabe[Räumer],HäufigsteErgebnisse[[#This Row],[Zahl]])</f>
        <v>0</v>
      </c>
      <c r="E682" s="2">
        <f>COUNTIF(Eingabe[Fehler],HäufigsteErgebnisse[[#This Row],[Zahl]])</f>
        <v>0</v>
      </c>
      <c r="F682" s="2">
        <f>COUNTIF(Eingabe[S1],HäufigsteErgebnisse[[#This Row],[Zahl]])</f>
        <v>0</v>
      </c>
      <c r="G682" s="2">
        <f>COUNTIF(Eingabe[S2],HäufigsteErgebnisse[[#This Row],[Zahl]])</f>
        <v>0</v>
      </c>
      <c r="H682" s="2">
        <f>COUNTIF(Eingabe[S3],HäufigsteErgebnisse[[#This Row],[Zahl]])</f>
        <v>0</v>
      </c>
      <c r="I682" s="2">
        <f>COUNTIF(Eingabe[S4],HäufigsteErgebnisse[[#This Row],[Zahl]])</f>
        <v>0</v>
      </c>
      <c r="J682" s="2">
        <f>COUNTIF(Eingabe[S1],HäufigsteErgebnisse[[#This Row],[Zahl]])+COUNTIF(Eingabe[S2],HäufigsteErgebnisse[[#This Row],[Zahl]])+COUNTIF(Eingabe[S3],HäufigsteErgebnisse[[#This Row],[Zahl]])+COUNTIF(Eingabe[S4],HäufigsteErgebnisse[[#This Row],[Zahl]])</f>
        <v>0</v>
      </c>
      <c r="K682" s="2">
        <f>COUNTIF(Eingabe[GES],HäufigsteErgebnisse[[#This Row],[Zahl]])</f>
        <v>0</v>
      </c>
      <c r="L682" s="2">
        <f>HäufigsteErgebnisse[[#This Row],[Zahl]]</f>
        <v>624</v>
      </c>
    </row>
    <row r="683" spans="2:12" x14ac:dyDescent="0.3">
      <c r="B683" s="2">
        <v>625</v>
      </c>
      <c r="C683" s="2">
        <f>COUNTIF(Eingabe[Volle],HäufigsteErgebnisse[[#This Row],[Zahl]])</f>
        <v>0</v>
      </c>
      <c r="D683" s="2">
        <f>COUNTIF(Eingabe[Räumer],HäufigsteErgebnisse[[#This Row],[Zahl]])</f>
        <v>0</v>
      </c>
      <c r="E683" s="2">
        <f>COUNTIF(Eingabe[Fehler],HäufigsteErgebnisse[[#This Row],[Zahl]])</f>
        <v>0</v>
      </c>
      <c r="F683" s="2">
        <f>COUNTIF(Eingabe[S1],HäufigsteErgebnisse[[#This Row],[Zahl]])</f>
        <v>0</v>
      </c>
      <c r="G683" s="2">
        <f>COUNTIF(Eingabe[S2],HäufigsteErgebnisse[[#This Row],[Zahl]])</f>
        <v>0</v>
      </c>
      <c r="H683" s="2">
        <f>COUNTIF(Eingabe[S3],HäufigsteErgebnisse[[#This Row],[Zahl]])</f>
        <v>0</v>
      </c>
      <c r="I683" s="2">
        <f>COUNTIF(Eingabe[S4],HäufigsteErgebnisse[[#This Row],[Zahl]])</f>
        <v>0</v>
      </c>
      <c r="J683" s="2">
        <f>COUNTIF(Eingabe[S1],HäufigsteErgebnisse[[#This Row],[Zahl]])+COUNTIF(Eingabe[S2],HäufigsteErgebnisse[[#This Row],[Zahl]])+COUNTIF(Eingabe[S3],HäufigsteErgebnisse[[#This Row],[Zahl]])+COUNTIF(Eingabe[S4],HäufigsteErgebnisse[[#This Row],[Zahl]])</f>
        <v>0</v>
      </c>
      <c r="K683" s="2">
        <f>COUNTIF(Eingabe[GES],HäufigsteErgebnisse[[#This Row],[Zahl]])</f>
        <v>0</v>
      </c>
      <c r="L683" s="2">
        <f>HäufigsteErgebnisse[[#This Row],[Zahl]]</f>
        <v>625</v>
      </c>
    </row>
    <row r="684" spans="2:12" x14ac:dyDescent="0.3">
      <c r="B684" s="2">
        <v>626</v>
      </c>
      <c r="C684" s="2">
        <f>COUNTIF(Eingabe[Volle],HäufigsteErgebnisse[[#This Row],[Zahl]])</f>
        <v>0</v>
      </c>
      <c r="D684" s="2">
        <f>COUNTIF(Eingabe[Räumer],HäufigsteErgebnisse[[#This Row],[Zahl]])</f>
        <v>0</v>
      </c>
      <c r="E684" s="2">
        <f>COUNTIF(Eingabe[Fehler],HäufigsteErgebnisse[[#This Row],[Zahl]])</f>
        <v>0</v>
      </c>
      <c r="F684" s="2">
        <f>COUNTIF(Eingabe[S1],HäufigsteErgebnisse[[#This Row],[Zahl]])</f>
        <v>0</v>
      </c>
      <c r="G684" s="2">
        <f>COUNTIF(Eingabe[S2],HäufigsteErgebnisse[[#This Row],[Zahl]])</f>
        <v>0</v>
      </c>
      <c r="H684" s="2">
        <f>COUNTIF(Eingabe[S3],HäufigsteErgebnisse[[#This Row],[Zahl]])</f>
        <v>0</v>
      </c>
      <c r="I684" s="2">
        <f>COUNTIF(Eingabe[S4],HäufigsteErgebnisse[[#This Row],[Zahl]])</f>
        <v>0</v>
      </c>
      <c r="J684" s="2">
        <f>COUNTIF(Eingabe[S1],HäufigsteErgebnisse[[#This Row],[Zahl]])+COUNTIF(Eingabe[S2],HäufigsteErgebnisse[[#This Row],[Zahl]])+COUNTIF(Eingabe[S3],HäufigsteErgebnisse[[#This Row],[Zahl]])+COUNTIF(Eingabe[S4],HäufigsteErgebnisse[[#This Row],[Zahl]])</f>
        <v>0</v>
      </c>
      <c r="K684" s="2">
        <f>COUNTIF(Eingabe[GES],HäufigsteErgebnisse[[#This Row],[Zahl]])</f>
        <v>0</v>
      </c>
      <c r="L684" s="2">
        <f>HäufigsteErgebnisse[[#This Row],[Zahl]]</f>
        <v>626</v>
      </c>
    </row>
    <row r="685" spans="2:12" x14ac:dyDescent="0.3">
      <c r="B685" s="2">
        <v>627</v>
      </c>
      <c r="C685" s="2">
        <f>COUNTIF(Eingabe[Volle],HäufigsteErgebnisse[[#This Row],[Zahl]])</f>
        <v>0</v>
      </c>
      <c r="D685" s="2">
        <f>COUNTIF(Eingabe[Räumer],HäufigsteErgebnisse[[#This Row],[Zahl]])</f>
        <v>0</v>
      </c>
      <c r="E685" s="2">
        <f>COUNTIF(Eingabe[Fehler],HäufigsteErgebnisse[[#This Row],[Zahl]])</f>
        <v>0</v>
      </c>
      <c r="F685" s="2">
        <f>COUNTIF(Eingabe[S1],HäufigsteErgebnisse[[#This Row],[Zahl]])</f>
        <v>0</v>
      </c>
      <c r="G685" s="2">
        <f>COUNTIF(Eingabe[S2],HäufigsteErgebnisse[[#This Row],[Zahl]])</f>
        <v>0</v>
      </c>
      <c r="H685" s="2">
        <f>COUNTIF(Eingabe[S3],HäufigsteErgebnisse[[#This Row],[Zahl]])</f>
        <v>0</v>
      </c>
      <c r="I685" s="2">
        <f>COUNTIF(Eingabe[S4],HäufigsteErgebnisse[[#This Row],[Zahl]])</f>
        <v>0</v>
      </c>
      <c r="J685" s="2">
        <f>COUNTIF(Eingabe[S1],HäufigsteErgebnisse[[#This Row],[Zahl]])+COUNTIF(Eingabe[S2],HäufigsteErgebnisse[[#This Row],[Zahl]])+COUNTIF(Eingabe[S3],HäufigsteErgebnisse[[#This Row],[Zahl]])+COUNTIF(Eingabe[S4],HäufigsteErgebnisse[[#This Row],[Zahl]])</f>
        <v>0</v>
      </c>
      <c r="K685" s="2">
        <f>COUNTIF(Eingabe[GES],HäufigsteErgebnisse[[#This Row],[Zahl]])</f>
        <v>1</v>
      </c>
      <c r="L685" s="2">
        <f>HäufigsteErgebnisse[[#This Row],[Zahl]]</f>
        <v>627</v>
      </c>
    </row>
    <row r="686" spans="2:12" x14ac:dyDescent="0.3">
      <c r="B686" s="2">
        <v>628</v>
      </c>
      <c r="C686" s="2">
        <f>COUNTIF(Eingabe[Volle],HäufigsteErgebnisse[[#This Row],[Zahl]])</f>
        <v>0</v>
      </c>
      <c r="D686" s="2">
        <f>COUNTIF(Eingabe[Räumer],HäufigsteErgebnisse[[#This Row],[Zahl]])</f>
        <v>0</v>
      </c>
      <c r="E686" s="2">
        <f>COUNTIF(Eingabe[Fehler],HäufigsteErgebnisse[[#This Row],[Zahl]])</f>
        <v>0</v>
      </c>
      <c r="F686" s="2">
        <f>COUNTIF(Eingabe[S1],HäufigsteErgebnisse[[#This Row],[Zahl]])</f>
        <v>0</v>
      </c>
      <c r="G686" s="2">
        <f>COUNTIF(Eingabe[S2],HäufigsteErgebnisse[[#This Row],[Zahl]])</f>
        <v>0</v>
      </c>
      <c r="H686" s="2">
        <f>COUNTIF(Eingabe[S3],HäufigsteErgebnisse[[#This Row],[Zahl]])</f>
        <v>0</v>
      </c>
      <c r="I686" s="2">
        <f>COUNTIF(Eingabe[S4],HäufigsteErgebnisse[[#This Row],[Zahl]])</f>
        <v>0</v>
      </c>
      <c r="J686" s="2">
        <f>COUNTIF(Eingabe[S1],HäufigsteErgebnisse[[#This Row],[Zahl]])+COUNTIF(Eingabe[S2],HäufigsteErgebnisse[[#This Row],[Zahl]])+COUNTIF(Eingabe[S3],HäufigsteErgebnisse[[#This Row],[Zahl]])+COUNTIF(Eingabe[S4],HäufigsteErgebnisse[[#This Row],[Zahl]])</f>
        <v>0</v>
      </c>
      <c r="K686" s="2">
        <f>COUNTIF(Eingabe[GES],HäufigsteErgebnisse[[#This Row],[Zahl]])</f>
        <v>1</v>
      </c>
      <c r="L686" s="2">
        <f>HäufigsteErgebnisse[[#This Row],[Zahl]]</f>
        <v>628</v>
      </c>
    </row>
    <row r="687" spans="2:12" x14ac:dyDescent="0.3">
      <c r="B687" s="2">
        <v>629</v>
      </c>
      <c r="C687" s="2">
        <f>COUNTIF(Eingabe[Volle],HäufigsteErgebnisse[[#This Row],[Zahl]])</f>
        <v>0</v>
      </c>
      <c r="D687" s="2">
        <f>COUNTIF(Eingabe[Räumer],HäufigsteErgebnisse[[#This Row],[Zahl]])</f>
        <v>0</v>
      </c>
      <c r="E687" s="2">
        <f>COUNTIF(Eingabe[Fehler],HäufigsteErgebnisse[[#This Row],[Zahl]])</f>
        <v>0</v>
      </c>
      <c r="F687" s="2">
        <f>COUNTIF(Eingabe[S1],HäufigsteErgebnisse[[#This Row],[Zahl]])</f>
        <v>0</v>
      </c>
      <c r="G687" s="2">
        <f>COUNTIF(Eingabe[S2],HäufigsteErgebnisse[[#This Row],[Zahl]])</f>
        <v>0</v>
      </c>
      <c r="H687" s="2">
        <f>COUNTIF(Eingabe[S3],HäufigsteErgebnisse[[#This Row],[Zahl]])</f>
        <v>0</v>
      </c>
      <c r="I687" s="2">
        <f>COUNTIF(Eingabe[S4],HäufigsteErgebnisse[[#This Row],[Zahl]])</f>
        <v>0</v>
      </c>
      <c r="J687" s="2">
        <f>COUNTIF(Eingabe[S1],HäufigsteErgebnisse[[#This Row],[Zahl]])+COUNTIF(Eingabe[S2],HäufigsteErgebnisse[[#This Row],[Zahl]])+COUNTIF(Eingabe[S3],HäufigsteErgebnisse[[#This Row],[Zahl]])+COUNTIF(Eingabe[S4],HäufigsteErgebnisse[[#This Row],[Zahl]])</f>
        <v>0</v>
      </c>
      <c r="K687" s="2">
        <f>COUNTIF(Eingabe[GES],HäufigsteErgebnisse[[#This Row],[Zahl]])</f>
        <v>0</v>
      </c>
      <c r="L687" s="2">
        <f>HäufigsteErgebnisse[[#This Row],[Zahl]]</f>
        <v>629</v>
      </c>
    </row>
    <row r="688" spans="2:12" x14ac:dyDescent="0.3">
      <c r="B688" s="2">
        <v>630</v>
      </c>
      <c r="C688" s="2">
        <f>COUNTIF(Eingabe[Volle],HäufigsteErgebnisse[[#This Row],[Zahl]])</f>
        <v>0</v>
      </c>
      <c r="D688" s="2">
        <f>COUNTIF(Eingabe[Räumer],HäufigsteErgebnisse[[#This Row],[Zahl]])</f>
        <v>0</v>
      </c>
      <c r="E688" s="2">
        <f>COUNTIF(Eingabe[Fehler],HäufigsteErgebnisse[[#This Row],[Zahl]])</f>
        <v>0</v>
      </c>
      <c r="F688" s="2">
        <f>COUNTIF(Eingabe[S1],HäufigsteErgebnisse[[#This Row],[Zahl]])</f>
        <v>0</v>
      </c>
      <c r="G688" s="2">
        <f>COUNTIF(Eingabe[S2],HäufigsteErgebnisse[[#This Row],[Zahl]])</f>
        <v>0</v>
      </c>
      <c r="H688" s="2">
        <f>COUNTIF(Eingabe[S3],HäufigsteErgebnisse[[#This Row],[Zahl]])</f>
        <v>0</v>
      </c>
      <c r="I688" s="2">
        <f>COUNTIF(Eingabe[S4],HäufigsteErgebnisse[[#This Row],[Zahl]])</f>
        <v>0</v>
      </c>
      <c r="J688" s="2">
        <f>COUNTIF(Eingabe[S1],HäufigsteErgebnisse[[#This Row],[Zahl]])+COUNTIF(Eingabe[S2],HäufigsteErgebnisse[[#This Row],[Zahl]])+COUNTIF(Eingabe[S3],HäufigsteErgebnisse[[#This Row],[Zahl]])+COUNTIF(Eingabe[S4],HäufigsteErgebnisse[[#This Row],[Zahl]])</f>
        <v>0</v>
      </c>
      <c r="K688" s="2">
        <f>COUNTIF(Eingabe[GES],HäufigsteErgebnisse[[#This Row],[Zahl]])</f>
        <v>0</v>
      </c>
      <c r="L688" s="2">
        <f>HäufigsteErgebnisse[[#This Row],[Zahl]]</f>
        <v>630</v>
      </c>
    </row>
    <row r="689" spans="2:12" x14ac:dyDescent="0.3">
      <c r="B689" s="2">
        <v>631</v>
      </c>
      <c r="C689" s="2">
        <f>COUNTIF(Eingabe[Volle],HäufigsteErgebnisse[[#This Row],[Zahl]])</f>
        <v>0</v>
      </c>
      <c r="D689" s="2">
        <f>COUNTIF(Eingabe[Räumer],HäufigsteErgebnisse[[#This Row],[Zahl]])</f>
        <v>0</v>
      </c>
      <c r="E689" s="2">
        <f>COUNTIF(Eingabe[Fehler],HäufigsteErgebnisse[[#This Row],[Zahl]])</f>
        <v>0</v>
      </c>
      <c r="F689" s="2">
        <f>COUNTIF(Eingabe[S1],HäufigsteErgebnisse[[#This Row],[Zahl]])</f>
        <v>0</v>
      </c>
      <c r="G689" s="2">
        <f>COUNTIF(Eingabe[S2],HäufigsteErgebnisse[[#This Row],[Zahl]])</f>
        <v>0</v>
      </c>
      <c r="H689" s="2">
        <f>COUNTIF(Eingabe[S3],HäufigsteErgebnisse[[#This Row],[Zahl]])</f>
        <v>0</v>
      </c>
      <c r="I689" s="2">
        <f>COUNTIF(Eingabe[S4],HäufigsteErgebnisse[[#This Row],[Zahl]])</f>
        <v>0</v>
      </c>
      <c r="J689" s="2">
        <f>COUNTIF(Eingabe[S1],HäufigsteErgebnisse[[#This Row],[Zahl]])+COUNTIF(Eingabe[S2],HäufigsteErgebnisse[[#This Row],[Zahl]])+COUNTIF(Eingabe[S3],HäufigsteErgebnisse[[#This Row],[Zahl]])+COUNTIF(Eingabe[S4],HäufigsteErgebnisse[[#This Row],[Zahl]])</f>
        <v>0</v>
      </c>
      <c r="K689" s="2">
        <f>COUNTIF(Eingabe[GES],HäufigsteErgebnisse[[#This Row],[Zahl]])</f>
        <v>0</v>
      </c>
      <c r="L689" s="2">
        <f>HäufigsteErgebnisse[[#This Row],[Zahl]]</f>
        <v>631</v>
      </c>
    </row>
    <row r="690" spans="2:12" x14ac:dyDescent="0.3">
      <c r="B690" s="2">
        <v>632</v>
      </c>
      <c r="C690" s="2">
        <f>COUNTIF(Eingabe[Volle],HäufigsteErgebnisse[[#This Row],[Zahl]])</f>
        <v>0</v>
      </c>
      <c r="D690" s="2">
        <f>COUNTIF(Eingabe[Räumer],HäufigsteErgebnisse[[#This Row],[Zahl]])</f>
        <v>0</v>
      </c>
      <c r="E690" s="2">
        <f>COUNTIF(Eingabe[Fehler],HäufigsteErgebnisse[[#This Row],[Zahl]])</f>
        <v>0</v>
      </c>
      <c r="F690" s="2">
        <f>COUNTIF(Eingabe[S1],HäufigsteErgebnisse[[#This Row],[Zahl]])</f>
        <v>0</v>
      </c>
      <c r="G690" s="2">
        <f>COUNTIF(Eingabe[S2],HäufigsteErgebnisse[[#This Row],[Zahl]])</f>
        <v>0</v>
      </c>
      <c r="H690" s="2">
        <f>COUNTIF(Eingabe[S3],HäufigsteErgebnisse[[#This Row],[Zahl]])</f>
        <v>0</v>
      </c>
      <c r="I690" s="2">
        <f>COUNTIF(Eingabe[S4],HäufigsteErgebnisse[[#This Row],[Zahl]])</f>
        <v>0</v>
      </c>
      <c r="J690" s="2">
        <f>COUNTIF(Eingabe[S1],HäufigsteErgebnisse[[#This Row],[Zahl]])+COUNTIF(Eingabe[S2],HäufigsteErgebnisse[[#This Row],[Zahl]])+COUNTIF(Eingabe[S3],HäufigsteErgebnisse[[#This Row],[Zahl]])+COUNTIF(Eingabe[S4],HäufigsteErgebnisse[[#This Row],[Zahl]])</f>
        <v>0</v>
      </c>
      <c r="K690" s="2">
        <f>COUNTIF(Eingabe[GES],HäufigsteErgebnisse[[#This Row],[Zahl]])</f>
        <v>0</v>
      </c>
      <c r="L690" s="2">
        <f>HäufigsteErgebnisse[[#This Row],[Zahl]]</f>
        <v>632</v>
      </c>
    </row>
    <row r="691" spans="2:12" x14ac:dyDescent="0.3">
      <c r="B691" s="2">
        <v>633</v>
      </c>
      <c r="C691" s="2">
        <f>COUNTIF(Eingabe[Volle],HäufigsteErgebnisse[[#This Row],[Zahl]])</f>
        <v>0</v>
      </c>
      <c r="D691" s="2">
        <f>COUNTIF(Eingabe[Räumer],HäufigsteErgebnisse[[#This Row],[Zahl]])</f>
        <v>0</v>
      </c>
      <c r="E691" s="2">
        <f>COUNTIF(Eingabe[Fehler],HäufigsteErgebnisse[[#This Row],[Zahl]])</f>
        <v>0</v>
      </c>
      <c r="F691" s="2">
        <f>COUNTIF(Eingabe[S1],HäufigsteErgebnisse[[#This Row],[Zahl]])</f>
        <v>0</v>
      </c>
      <c r="G691" s="2">
        <f>COUNTIF(Eingabe[S2],HäufigsteErgebnisse[[#This Row],[Zahl]])</f>
        <v>0</v>
      </c>
      <c r="H691" s="2">
        <f>COUNTIF(Eingabe[S3],HäufigsteErgebnisse[[#This Row],[Zahl]])</f>
        <v>0</v>
      </c>
      <c r="I691" s="2">
        <f>COUNTIF(Eingabe[S4],HäufigsteErgebnisse[[#This Row],[Zahl]])</f>
        <v>0</v>
      </c>
      <c r="J691" s="2">
        <f>COUNTIF(Eingabe[S1],HäufigsteErgebnisse[[#This Row],[Zahl]])+COUNTIF(Eingabe[S2],HäufigsteErgebnisse[[#This Row],[Zahl]])+COUNTIF(Eingabe[S3],HäufigsteErgebnisse[[#This Row],[Zahl]])+COUNTIF(Eingabe[S4],HäufigsteErgebnisse[[#This Row],[Zahl]])</f>
        <v>0</v>
      </c>
      <c r="K691" s="2">
        <f>COUNTIF(Eingabe[GES],HäufigsteErgebnisse[[#This Row],[Zahl]])</f>
        <v>0</v>
      </c>
      <c r="L691" s="2">
        <f>HäufigsteErgebnisse[[#This Row],[Zahl]]</f>
        <v>633</v>
      </c>
    </row>
    <row r="692" spans="2:12" x14ac:dyDescent="0.3">
      <c r="B692" s="2">
        <v>634</v>
      </c>
      <c r="C692" s="2">
        <f>COUNTIF(Eingabe[Volle],HäufigsteErgebnisse[[#This Row],[Zahl]])</f>
        <v>0</v>
      </c>
      <c r="D692" s="2">
        <f>COUNTIF(Eingabe[Räumer],HäufigsteErgebnisse[[#This Row],[Zahl]])</f>
        <v>0</v>
      </c>
      <c r="E692" s="2">
        <f>COUNTIF(Eingabe[Fehler],HäufigsteErgebnisse[[#This Row],[Zahl]])</f>
        <v>0</v>
      </c>
      <c r="F692" s="2">
        <f>COUNTIF(Eingabe[S1],HäufigsteErgebnisse[[#This Row],[Zahl]])</f>
        <v>0</v>
      </c>
      <c r="G692" s="2">
        <f>COUNTIF(Eingabe[S2],HäufigsteErgebnisse[[#This Row],[Zahl]])</f>
        <v>0</v>
      </c>
      <c r="H692" s="2">
        <f>COUNTIF(Eingabe[S3],HäufigsteErgebnisse[[#This Row],[Zahl]])</f>
        <v>0</v>
      </c>
      <c r="I692" s="2">
        <f>COUNTIF(Eingabe[S4],HäufigsteErgebnisse[[#This Row],[Zahl]])</f>
        <v>0</v>
      </c>
      <c r="J692" s="2">
        <f>COUNTIF(Eingabe[S1],HäufigsteErgebnisse[[#This Row],[Zahl]])+COUNTIF(Eingabe[S2],HäufigsteErgebnisse[[#This Row],[Zahl]])+COUNTIF(Eingabe[S3],HäufigsteErgebnisse[[#This Row],[Zahl]])+COUNTIF(Eingabe[S4],HäufigsteErgebnisse[[#This Row],[Zahl]])</f>
        <v>0</v>
      </c>
      <c r="K692" s="2">
        <f>COUNTIF(Eingabe[GES],HäufigsteErgebnisse[[#This Row],[Zahl]])</f>
        <v>0</v>
      </c>
      <c r="L692" s="2">
        <f>HäufigsteErgebnisse[[#This Row],[Zahl]]</f>
        <v>634</v>
      </c>
    </row>
    <row r="693" spans="2:12" x14ac:dyDescent="0.3">
      <c r="B693" s="2">
        <v>635</v>
      </c>
      <c r="C693" s="2">
        <f>COUNTIF(Eingabe[Volle],HäufigsteErgebnisse[[#This Row],[Zahl]])</f>
        <v>0</v>
      </c>
      <c r="D693" s="2">
        <f>COUNTIF(Eingabe[Räumer],HäufigsteErgebnisse[[#This Row],[Zahl]])</f>
        <v>0</v>
      </c>
      <c r="E693" s="2">
        <f>COUNTIF(Eingabe[Fehler],HäufigsteErgebnisse[[#This Row],[Zahl]])</f>
        <v>0</v>
      </c>
      <c r="F693" s="2">
        <f>COUNTIF(Eingabe[S1],HäufigsteErgebnisse[[#This Row],[Zahl]])</f>
        <v>0</v>
      </c>
      <c r="G693" s="2">
        <f>COUNTIF(Eingabe[S2],HäufigsteErgebnisse[[#This Row],[Zahl]])</f>
        <v>0</v>
      </c>
      <c r="H693" s="2">
        <f>COUNTIF(Eingabe[S3],HäufigsteErgebnisse[[#This Row],[Zahl]])</f>
        <v>0</v>
      </c>
      <c r="I693" s="2">
        <f>COUNTIF(Eingabe[S4],HäufigsteErgebnisse[[#This Row],[Zahl]])</f>
        <v>0</v>
      </c>
      <c r="J693" s="2">
        <f>COUNTIF(Eingabe[S1],HäufigsteErgebnisse[[#This Row],[Zahl]])+COUNTIF(Eingabe[S2],HäufigsteErgebnisse[[#This Row],[Zahl]])+COUNTIF(Eingabe[S3],HäufigsteErgebnisse[[#This Row],[Zahl]])+COUNTIF(Eingabe[S4],HäufigsteErgebnisse[[#This Row],[Zahl]])</f>
        <v>0</v>
      </c>
      <c r="K693" s="2">
        <f>COUNTIF(Eingabe[GES],HäufigsteErgebnisse[[#This Row],[Zahl]])</f>
        <v>0</v>
      </c>
      <c r="L693" s="2">
        <f>HäufigsteErgebnisse[[#This Row],[Zahl]]</f>
        <v>635</v>
      </c>
    </row>
    <row r="694" spans="2:12" x14ac:dyDescent="0.3">
      <c r="B694" s="2">
        <v>636</v>
      </c>
      <c r="C694" s="2">
        <f>COUNTIF(Eingabe[Volle],HäufigsteErgebnisse[[#This Row],[Zahl]])</f>
        <v>0</v>
      </c>
      <c r="D694" s="2">
        <f>COUNTIF(Eingabe[Räumer],HäufigsteErgebnisse[[#This Row],[Zahl]])</f>
        <v>0</v>
      </c>
      <c r="E694" s="2">
        <f>COUNTIF(Eingabe[Fehler],HäufigsteErgebnisse[[#This Row],[Zahl]])</f>
        <v>0</v>
      </c>
      <c r="F694" s="2">
        <f>COUNTIF(Eingabe[S1],HäufigsteErgebnisse[[#This Row],[Zahl]])</f>
        <v>0</v>
      </c>
      <c r="G694" s="2">
        <f>COUNTIF(Eingabe[S2],HäufigsteErgebnisse[[#This Row],[Zahl]])</f>
        <v>0</v>
      </c>
      <c r="H694" s="2">
        <f>COUNTIF(Eingabe[S3],HäufigsteErgebnisse[[#This Row],[Zahl]])</f>
        <v>0</v>
      </c>
      <c r="I694" s="2">
        <f>COUNTIF(Eingabe[S4],HäufigsteErgebnisse[[#This Row],[Zahl]])</f>
        <v>0</v>
      </c>
      <c r="J694" s="2">
        <f>COUNTIF(Eingabe[S1],HäufigsteErgebnisse[[#This Row],[Zahl]])+COUNTIF(Eingabe[S2],HäufigsteErgebnisse[[#This Row],[Zahl]])+COUNTIF(Eingabe[S3],HäufigsteErgebnisse[[#This Row],[Zahl]])+COUNTIF(Eingabe[S4],HäufigsteErgebnisse[[#This Row],[Zahl]])</f>
        <v>0</v>
      </c>
      <c r="K694" s="2">
        <f>COUNTIF(Eingabe[GES],HäufigsteErgebnisse[[#This Row],[Zahl]])</f>
        <v>0</v>
      </c>
      <c r="L694" s="2">
        <f>HäufigsteErgebnisse[[#This Row],[Zahl]]</f>
        <v>636</v>
      </c>
    </row>
    <row r="695" spans="2:12" x14ac:dyDescent="0.3">
      <c r="B695" s="2">
        <v>637</v>
      </c>
      <c r="C695" s="2">
        <f>COUNTIF(Eingabe[Volle],HäufigsteErgebnisse[[#This Row],[Zahl]])</f>
        <v>0</v>
      </c>
      <c r="D695" s="2">
        <f>COUNTIF(Eingabe[Räumer],HäufigsteErgebnisse[[#This Row],[Zahl]])</f>
        <v>0</v>
      </c>
      <c r="E695" s="2">
        <f>COUNTIF(Eingabe[Fehler],HäufigsteErgebnisse[[#This Row],[Zahl]])</f>
        <v>0</v>
      </c>
      <c r="F695" s="2">
        <f>COUNTIF(Eingabe[S1],HäufigsteErgebnisse[[#This Row],[Zahl]])</f>
        <v>0</v>
      </c>
      <c r="G695" s="2">
        <f>COUNTIF(Eingabe[S2],HäufigsteErgebnisse[[#This Row],[Zahl]])</f>
        <v>0</v>
      </c>
      <c r="H695" s="2">
        <f>COUNTIF(Eingabe[S3],HäufigsteErgebnisse[[#This Row],[Zahl]])</f>
        <v>0</v>
      </c>
      <c r="I695" s="2">
        <f>COUNTIF(Eingabe[S4],HäufigsteErgebnisse[[#This Row],[Zahl]])</f>
        <v>0</v>
      </c>
      <c r="J695" s="2">
        <f>COUNTIF(Eingabe[S1],HäufigsteErgebnisse[[#This Row],[Zahl]])+COUNTIF(Eingabe[S2],HäufigsteErgebnisse[[#This Row],[Zahl]])+COUNTIF(Eingabe[S3],HäufigsteErgebnisse[[#This Row],[Zahl]])+COUNTIF(Eingabe[S4],HäufigsteErgebnisse[[#This Row],[Zahl]])</f>
        <v>0</v>
      </c>
      <c r="K695" s="2">
        <f>COUNTIF(Eingabe[GES],HäufigsteErgebnisse[[#This Row],[Zahl]])</f>
        <v>0</v>
      </c>
      <c r="L695" s="2">
        <f>HäufigsteErgebnisse[[#This Row],[Zahl]]</f>
        <v>637</v>
      </c>
    </row>
    <row r="696" spans="2:12" x14ac:dyDescent="0.3">
      <c r="B696" s="2">
        <v>638</v>
      </c>
      <c r="C696" s="2">
        <f>COUNTIF(Eingabe[Volle],HäufigsteErgebnisse[[#This Row],[Zahl]])</f>
        <v>0</v>
      </c>
      <c r="D696" s="2">
        <f>COUNTIF(Eingabe[Räumer],HäufigsteErgebnisse[[#This Row],[Zahl]])</f>
        <v>0</v>
      </c>
      <c r="E696" s="2">
        <f>COUNTIF(Eingabe[Fehler],HäufigsteErgebnisse[[#This Row],[Zahl]])</f>
        <v>0</v>
      </c>
      <c r="F696" s="2">
        <f>COUNTIF(Eingabe[S1],HäufigsteErgebnisse[[#This Row],[Zahl]])</f>
        <v>0</v>
      </c>
      <c r="G696" s="2">
        <f>COUNTIF(Eingabe[S2],HäufigsteErgebnisse[[#This Row],[Zahl]])</f>
        <v>0</v>
      </c>
      <c r="H696" s="2">
        <f>COUNTIF(Eingabe[S3],HäufigsteErgebnisse[[#This Row],[Zahl]])</f>
        <v>0</v>
      </c>
      <c r="I696" s="2">
        <f>COUNTIF(Eingabe[S4],HäufigsteErgebnisse[[#This Row],[Zahl]])</f>
        <v>0</v>
      </c>
      <c r="J696" s="2">
        <f>COUNTIF(Eingabe[S1],HäufigsteErgebnisse[[#This Row],[Zahl]])+COUNTIF(Eingabe[S2],HäufigsteErgebnisse[[#This Row],[Zahl]])+COUNTIF(Eingabe[S3],HäufigsteErgebnisse[[#This Row],[Zahl]])+COUNTIF(Eingabe[S4],HäufigsteErgebnisse[[#This Row],[Zahl]])</f>
        <v>0</v>
      </c>
      <c r="K696" s="2">
        <f>COUNTIF(Eingabe[GES],HäufigsteErgebnisse[[#This Row],[Zahl]])</f>
        <v>0</v>
      </c>
      <c r="L696" s="2">
        <f>HäufigsteErgebnisse[[#This Row],[Zahl]]</f>
        <v>638</v>
      </c>
    </row>
    <row r="697" spans="2:12" x14ac:dyDescent="0.3">
      <c r="B697" s="2">
        <v>639</v>
      </c>
      <c r="C697" s="2">
        <f>COUNTIF(Eingabe[Volle],HäufigsteErgebnisse[[#This Row],[Zahl]])</f>
        <v>0</v>
      </c>
      <c r="D697" s="2">
        <f>COUNTIF(Eingabe[Räumer],HäufigsteErgebnisse[[#This Row],[Zahl]])</f>
        <v>0</v>
      </c>
      <c r="E697" s="2">
        <f>COUNTIF(Eingabe[Fehler],HäufigsteErgebnisse[[#This Row],[Zahl]])</f>
        <v>0</v>
      </c>
      <c r="F697" s="2">
        <f>COUNTIF(Eingabe[S1],HäufigsteErgebnisse[[#This Row],[Zahl]])</f>
        <v>0</v>
      </c>
      <c r="G697" s="2">
        <f>COUNTIF(Eingabe[S2],HäufigsteErgebnisse[[#This Row],[Zahl]])</f>
        <v>0</v>
      </c>
      <c r="H697" s="2">
        <f>COUNTIF(Eingabe[S3],HäufigsteErgebnisse[[#This Row],[Zahl]])</f>
        <v>0</v>
      </c>
      <c r="I697" s="2">
        <f>COUNTIF(Eingabe[S4],HäufigsteErgebnisse[[#This Row],[Zahl]])</f>
        <v>0</v>
      </c>
      <c r="J697" s="2">
        <f>COUNTIF(Eingabe[S1],HäufigsteErgebnisse[[#This Row],[Zahl]])+COUNTIF(Eingabe[S2],HäufigsteErgebnisse[[#This Row],[Zahl]])+COUNTIF(Eingabe[S3],HäufigsteErgebnisse[[#This Row],[Zahl]])+COUNTIF(Eingabe[S4],HäufigsteErgebnisse[[#This Row],[Zahl]])</f>
        <v>0</v>
      </c>
      <c r="K697" s="2">
        <f>COUNTIF(Eingabe[GES],HäufigsteErgebnisse[[#This Row],[Zahl]])</f>
        <v>0</v>
      </c>
      <c r="L697" s="2">
        <f>HäufigsteErgebnisse[[#This Row],[Zahl]]</f>
        <v>639</v>
      </c>
    </row>
    <row r="698" spans="2:12" x14ac:dyDescent="0.3">
      <c r="B698" s="2">
        <v>640</v>
      </c>
      <c r="C698" s="2">
        <f>COUNTIF(Eingabe[Volle],HäufigsteErgebnisse[[#This Row],[Zahl]])</f>
        <v>0</v>
      </c>
      <c r="D698" s="2">
        <f>COUNTIF(Eingabe[Räumer],HäufigsteErgebnisse[[#This Row],[Zahl]])</f>
        <v>0</v>
      </c>
      <c r="E698" s="2">
        <f>COUNTIF(Eingabe[Fehler],HäufigsteErgebnisse[[#This Row],[Zahl]])</f>
        <v>0</v>
      </c>
      <c r="F698" s="2">
        <f>COUNTIF(Eingabe[S1],HäufigsteErgebnisse[[#This Row],[Zahl]])</f>
        <v>0</v>
      </c>
      <c r="G698" s="2">
        <f>COUNTIF(Eingabe[S2],HäufigsteErgebnisse[[#This Row],[Zahl]])</f>
        <v>0</v>
      </c>
      <c r="H698" s="2">
        <f>COUNTIF(Eingabe[S3],HäufigsteErgebnisse[[#This Row],[Zahl]])</f>
        <v>0</v>
      </c>
      <c r="I698" s="2">
        <f>COUNTIF(Eingabe[S4],HäufigsteErgebnisse[[#This Row],[Zahl]])</f>
        <v>0</v>
      </c>
      <c r="J698" s="2">
        <f>COUNTIF(Eingabe[S1],HäufigsteErgebnisse[[#This Row],[Zahl]])+COUNTIF(Eingabe[S2],HäufigsteErgebnisse[[#This Row],[Zahl]])+COUNTIF(Eingabe[S3],HäufigsteErgebnisse[[#This Row],[Zahl]])+COUNTIF(Eingabe[S4],HäufigsteErgebnisse[[#This Row],[Zahl]])</f>
        <v>0</v>
      </c>
      <c r="K698" s="2">
        <f>COUNTIF(Eingabe[GES],HäufigsteErgebnisse[[#This Row],[Zahl]])</f>
        <v>0</v>
      </c>
      <c r="L698" s="2">
        <f>HäufigsteErgebnisse[[#This Row],[Zahl]]</f>
        <v>640</v>
      </c>
    </row>
    <row r="699" spans="2:12" x14ac:dyDescent="0.3">
      <c r="B699" s="2">
        <v>641</v>
      </c>
      <c r="C699" s="2">
        <f>COUNTIF(Eingabe[Volle],HäufigsteErgebnisse[[#This Row],[Zahl]])</f>
        <v>0</v>
      </c>
      <c r="D699" s="2">
        <f>COUNTIF(Eingabe[Räumer],HäufigsteErgebnisse[[#This Row],[Zahl]])</f>
        <v>0</v>
      </c>
      <c r="E699" s="2">
        <f>COUNTIF(Eingabe[Fehler],HäufigsteErgebnisse[[#This Row],[Zahl]])</f>
        <v>0</v>
      </c>
      <c r="F699" s="2">
        <f>COUNTIF(Eingabe[S1],HäufigsteErgebnisse[[#This Row],[Zahl]])</f>
        <v>0</v>
      </c>
      <c r="G699" s="2">
        <f>COUNTIF(Eingabe[S2],HäufigsteErgebnisse[[#This Row],[Zahl]])</f>
        <v>0</v>
      </c>
      <c r="H699" s="2">
        <f>COUNTIF(Eingabe[S3],HäufigsteErgebnisse[[#This Row],[Zahl]])</f>
        <v>0</v>
      </c>
      <c r="I699" s="2">
        <f>COUNTIF(Eingabe[S4],HäufigsteErgebnisse[[#This Row],[Zahl]])</f>
        <v>0</v>
      </c>
      <c r="J699" s="2">
        <f>COUNTIF(Eingabe[S1],HäufigsteErgebnisse[[#This Row],[Zahl]])+COUNTIF(Eingabe[S2],HäufigsteErgebnisse[[#This Row],[Zahl]])+COUNTIF(Eingabe[S3],HäufigsteErgebnisse[[#This Row],[Zahl]])+COUNTIF(Eingabe[S4],HäufigsteErgebnisse[[#This Row],[Zahl]])</f>
        <v>0</v>
      </c>
      <c r="K699" s="2">
        <f>COUNTIF(Eingabe[GES],HäufigsteErgebnisse[[#This Row],[Zahl]])</f>
        <v>0</v>
      </c>
      <c r="L699" s="2">
        <f>HäufigsteErgebnisse[[#This Row],[Zahl]]</f>
        <v>641</v>
      </c>
    </row>
    <row r="700" spans="2:12" x14ac:dyDescent="0.3">
      <c r="B700" s="2">
        <v>642</v>
      </c>
      <c r="C700" s="2">
        <f>COUNTIF(Eingabe[Volle],HäufigsteErgebnisse[[#This Row],[Zahl]])</f>
        <v>0</v>
      </c>
      <c r="D700" s="2">
        <f>COUNTIF(Eingabe[Räumer],HäufigsteErgebnisse[[#This Row],[Zahl]])</f>
        <v>0</v>
      </c>
      <c r="E700" s="2">
        <f>COUNTIF(Eingabe[Fehler],HäufigsteErgebnisse[[#This Row],[Zahl]])</f>
        <v>0</v>
      </c>
      <c r="F700" s="2">
        <f>COUNTIF(Eingabe[S1],HäufigsteErgebnisse[[#This Row],[Zahl]])</f>
        <v>0</v>
      </c>
      <c r="G700" s="2">
        <f>COUNTIF(Eingabe[S2],HäufigsteErgebnisse[[#This Row],[Zahl]])</f>
        <v>0</v>
      </c>
      <c r="H700" s="2">
        <f>COUNTIF(Eingabe[S3],HäufigsteErgebnisse[[#This Row],[Zahl]])</f>
        <v>0</v>
      </c>
      <c r="I700" s="2">
        <f>COUNTIF(Eingabe[S4],HäufigsteErgebnisse[[#This Row],[Zahl]])</f>
        <v>0</v>
      </c>
      <c r="J700" s="2">
        <f>COUNTIF(Eingabe[S1],HäufigsteErgebnisse[[#This Row],[Zahl]])+COUNTIF(Eingabe[S2],HäufigsteErgebnisse[[#This Row],[Zahl]])+COUNTIF(Eingabe[S3],HäufigsteErgebnisse[[#This Row],[Zahl]])+COUNTIF(Eingabe[S4],HäufigsteErgebnisse[[#This Row],[Zahl]])</f>
        <v>0</v>
      </c>
      <c r="K700" s="2">
        <f>COUNTIF(Eingabe[GES],HäufigsteErgebnisse[[#This Row],[Zahl]])</f>
        <v>0</v>
      </c>
      <c r="L700" s="2">
        <f>HäufigsteErgebnisse[[#This Row],[Zahl]]</f>
        <v>642</v>
      </c>
    </row>
    <row r="701" spans="2:12" x14ac:dyDescent="0.3">
      <c r="B701" s="2">
        <v>643</v>
      </c>
      <c r="C701" s="2">
        <f>COUNTIF(Eingabe[Volle],HäufigsteErgebnisse[[#This Row],[Zahl]])</f>
        <v>0</v>
      </c>
      <c r="D701" s="2">
        <f>COUNTIF(Eingabe[Räumer],HäufigsteErgebnisse[[#This Row],[Zahl]])</f>
        <v>0</v>
      </c>
      <c r="E701" s="2">
        <f>COUNTIF(Eingabe[Fehler],HäufigsteErgebnisse[[#This Row],[Zahl]])</f>
        <v>0</v>
      </c>
      <c r="F701" s="2">
        <f>COUNTIF(Eingabe[S1],HäufigsteErgebnisse[[#This Row],[Zahl]])</f>
        <v>0</v>
      </c>
      <c r="G701" s="2">
        <f>COUNTIF(Eingabe[S2],HäufigsteErgebnisse[[#This Row],[Zahl]])</f>
        <v>0</v>
      </c>
      <c r="H701" s="2">
        <f>COUNTIF(Eingabe[S3],HäufigsteErgebnisse[[#This Row],[Zahl]])</f>
        <v>0</v>
      </c>
      <c r="I701" s="2">
        <f>COUNTIF(Eingabe[S4],HäufigsteErgebnisse[[#This Row],[Zahl]])</f>
        <v>0</v>
      </c>
      <c r="J701" s="2">
        <f>COUNTIF(Eingabe[S1],HäufigsteErgebnisse[[#This Row],[Zahl]])+COUNTIF(Eingabe[S2],HäufigsteErgebnisse[[#This Row],[Zahl]])+COUNTIF(Eingabe[S3],HäufigsteErgebnisse[[#This Row],[Zahl]])+COUNTIF(Eingabe[S4],HäufigsteErgebnisse[[#This Row],[Zahl]])</f>
        <v>0</v>
      </c>
      <c r="K701" s="2">
        <f>COUNTIF(Eingabe[GES],HäufigsteErgebnisse[[#This Row],[Zahl]])</f>
        <v>0</v>
      </c>
      <c r="L701" s="2">
        <f>HäufigsteErgebnisse[[#This Row],[Zahl]]</f>
        <v>643</v>
      </c>
    </row>
    <row r="702" spans="2:12" x14ac:dyDescent="0.3">
      <c r="B702" s="2">
        <v>644</v>
      </c>
      <c r="C702" s="2">
        <f>COUNTIF(Eingabe[Volle],HäufigsteErgebnisse[[#This Row],[Zahl]])</f>
        <v>0</v>
      </c>
      <c r="D702" s="2">
        <f>COUNTIF(Eingabe[Räumer],HäufigsteErgebnisse[[#This Row],[Zahl]])</f>
        <v>0</v>
      </c>
      <c r="E702" s="2">
        <f>COUNTIF(Eingabe[Fehler],HäufigsteErgebnisse[[#This Row],[Zahl]])</f>
        <v>0</v>
      </c>
      <c r="F702" s="2">
        <f>COUNTIF(Eingabe[S1],HäufigsteErgebnisse[[#This Row],[Zahl]])</f>
        <v>0</v>
      </c>
      <c r="G702" s="2">
        <f>COUNTIF(Eingabe[S2],HäufigsteErgebnisse[[#This Row],[Zahl]])</f>
        <v>0</v>
      </c>
      <c r="H702" s="2">
        <f>COUNTIF(Eingabe[S3],HäufigsteErgebnisse[[#This Row],[Zahl]])</f>
        <v>0</v>
      </c>
      <c r="I702" s="2">
        <f>COUNTIF(Eingabe[S4],HäufigsteErgebnisse[[#This Row],[Zahl]])</f>
        <v>0</v>
      </c>
      <c r="J702" s="2">
        <f>COUNTIF(Eingabe[S1],HäufigsteErgebnisse[[#This Row],[Zahl]])+COUNTIF(Eingabe[S2],HäufigsteErgebnisse[[#This Row],[Zahl]])+COUNTIF(Eingabe[S3],HäufigsteErgebnisse[[#This Row],[Zahl]])+COUNTIF(Eingabe[S4],HäufigsteErgebnisse[[#This Row],[Zahl]])</f>
        <v>0</v>
      </c>
      <c r="K702" s="2">
        <f>COUNTIF(Eingabe[GES],HäufigsteErgebnisse[[#This Row],[Zahl]])</f>
        <v>0</v>
      </c>
      <c r="L702" s="2">
        <f>HäufigsteErgebnisse[[#This Row],[Zahl]]</f>
        <v>644</v>
      </c>
    </row>
    <row r="703" spans="2:12" x14ac:dyDescent="0.3">
      <c r="B703" s="2">
        <v>645</v>
      </c>
      <c r="C703" s="2">
        <f>COUNTIF(Eingabe[Volle],HäufigsteErgebnisse[[#This Row],[Zahl]])</f>
        <v>0</v>
      </c>
      <c r="D703" s="2">
        <f>COUNTIF(Eingabe[Räumer],HäufigsteErgebnisse[[#This Row],[Zahl]])</f>
        <v>0</v>
      </c>
      <c r="E703" s="2">
        <f>COUNTIF(Eingabe[Fehler],HäufigsteErgebnisse[[#This Row],[Zahl]])</f>
        <v>0</v>
      </c>
      <c r="F703" s="2">
        <f>COUNTIF(Eingabe[S1],HäufigsteErgebnisse[[#This Row],[Zahl]])</f>
        <v>0</v>
      </c>
      <c r="G703" s="2">
        <f>COUNTIF(Eingabe[S2],HäufigsteErgebnisse[[#This Row],[Zahl]])</f>
        <v>0</v>
      </c>
      <c r="H703" s="2">
        <f>COUNTIF(Eingabe[S3],HäufigsteErgebnisse[[#This Row],[Zahl]])</f>
        <v>0</v>
      </c>
      <c r="I703" s="2">
        <f>COUNTIF(Eingabe[S4],HäufigsteErgebnisse[[#This Row],[Zahl]])</f>
        <v>0</v>
      </c>
      <c r="J703" s="2">
        <f>COUNTIF(Eingabe[S1],HäufigsteErgebnisse[[#This Row],[Zahl]])+COUNTIF(Eingabe[S2],HäufigsteErgebnisse[[#This Row],[Zahl]])+COUNTIF(Eingabe[S3],HäufigsteErgebnisse[[#This Row],[Zahl]])+COUNTIF(Eingabe[S4],HäufigsteErgebnisse[[#This Row],[Zahl]])</f>
        <v>0</v>
      </c>
      <c r="K703" s="2">
        <f>COUNTIF(Eingabe[GES],HäufigsteErgebnisse[[#This Row],[Zahl]])</f>
        <v>0</v>
      </c>
      <c r="L703" s="2">
        <f>HäufigsteErgebnisse[[#This Row],[Zahl]]</f>
        <v>645</v>
      </c>
    </row>
    <row r="704" spans="2:12" x14ac:dyDescent="0.3">
      <c r="B704" s="2">
        <v>646</v>
      </c>
      <c r="C704" s="2">
        <f>COUNTIF(Eingabe[Volle],HäufigsteErgebnisse[[#This Row],[Zahl]])</f>
        <v>0</v>
      </c>
      <c r="D704" s="2">
        <f>COUNTIF(Eingabe[Räumer],HäufigsteErgebnisse[[#This Row],[Zahl]])</f>
        <v>0</v>
      </c>
      <c r="E704" s="2">
        <f>COUNTIF(Eingabe[Fehler],HäufigsteErgebnisse[[#This Row],[Zahl]])</f>
        <v>0</v>
      </c>
      <c r="F704" s="2">
        <f>COUNTIF(Eingabe[S1],HäufigsteErgebnisse[[#This Row],[Zahl]])</f>
        <v>0</v>
      </c>
      <c r="G704" s="2">
        <f>COUNTIF(Eingabe[S2],HäufigsteErgebnisse[[#This Row],[Zahl]])</f>
        <v>0</v>
      </c>
      <c r="H704" s="2">
        <f>COUNTIF(Eingabe[S3],HäufigsteErgebnisse[[#This Row],[Zahl]])</f>
        <v>0</v>
      </c>
      <c r="I704" s="2">
        <f>COUNTIF(Eingabe[S4],HäufigsteErgebnisse[[#This Row],[Zahl]])</f>
        <v>0</v>
      </c>
      <c r="J704" s="2">
        <f>COUNTIF(Eingabe[S1],HäufigsteErgebnisse[[#This Row],[Zahl]])+COUNTIF(Eingabe[S2],HäufigsteErgebnisse[[#This Row],[Zahl]])+COUNTIF(Eingabe[S3],HäufigsteErgebnisse[[#This Row],[Zahl]])+COUNTIF(Eingabe[S4],HäufigsteErgebnisse[[#This Row],[Zahl]])</f>
        <v>0</v>
      </c>
      <c r="K704" s="2">
        <f>COUNTIF(Eingabe[GES],HäufigsteErgebnisse[[#This Row],[Zahl]])</f>
        <v>0</v>
      </c>
      <c r="L704" s="2">
        <f>HäufigsteErgebnisse[[#This Row],[Zahl]]</f>
        <v>646</v>
      </c>
    </row>
    <row r="705" spans="2:12" x14ac:dyDescent="0.3">
      <c r="B705" s="2">
        <v>647</v>
      </c>
      <c r="C705" s="2">
        <f>COUNTIF(Eingabe[Volle],HäufigsteErgebnisse[[#This Row],[Zahl]])</f>
        <v>0</v>
      </c>
      <c r="D705" s="2">
        <f>COUNTIF(Eingabe[Räumer],HäufigsteErgebnisse[[#This Row],[Zahl]])</f>
        <v>0</v>
      </c>
      <c r="E705" s="2">
        <f>COUNTIF(Eingabe[Fehler],HäufigsteErgebnisse[[#This Row],[Zahl]])</f>
        <v>0</v>
      </c>
      <c r="F705" s="2">
        <f>COUNTIF(Eingabe[S1],HäufigsteErgebnisse[[#This Row],[Zahl]])</f>
        <v>0</v>
      </c>
      <c r="G705" s="2">
        <f>COUNTIF(Eingabe[S2],HäufigsteErgebnisse[[#This Row],[Zahl]])</f>
        <v>0</v>
      </c>
      <c r="H705" s="2">
        <f>COUNTIF(Eingabe[S3],HäufigsteErgebnisse[[#This Row],[Zahl]])</f>
        <v>0</v>
      </c>
      <c r="I705" s="2">
        <f>COUNTIF(Eingabe[S4],HäufigsteErgebnisse[[#This Row],[Zahl]])</f>
        <v>0</v>
      </c>
      <c r="J705" s="2">
        <f>COUNTIF(Eingabe[S1],HäufigsteErgebnisse[[#This Row],[Zahl]])+COUNTIF(Eingabe[S2],HäufigsteErgebnisse[[#This Row],[Zahl]])+COUNTIF(Eingabe[S3],HäufigsteErgebnisse[[#This Row],[Zahl]])+COUNTIF(Eingabe[S4],HäufigsteErgebnisse[[#This Row],[Zahl]])</f>
        <v>0</v>
      </c>
      <c r="K705" s="2">
        <f>COUNTIF(Eingabe[GES],HäufigsteErgebnisse[[#This Row],[Zahl]])</f>
        <v>0</v>
      </c>
      <c r="L705" s="2">
        <f>HäufigsteErgebnisse[[#This Row],[Zahl]]</f>
        <v>647</v>
      </c>
    </row>
    <row r="706" spans="2:12" x14ac:dyDescent="0.3">
      <c r="B706" s="2">
        <v>648</v>
      </c>
      <c r="C706" s="2">
        <f>COUNTIF(Eingabe[Volle],HäufigsteErgebnisse[[#This Row],[Zahl]])</f>
        <v>0</v>
      </c>
      <c r="D706" s="2">
        <f>COUNTIF(Eingabe[Räumer],HäufigsteErgebnisse[[#This Row],[Zahl]])</f>
        <v>0</v>
      </c>
      <c r="E706" s="2">
        <f>COUNTIF(Eingabe[Fehler],HäufigsteErgebnisse[[#This Row],[Zahl]])</f>
        <v>0</v>
      </c>
      <c r="F706" s="2">
        <f>COUNTIF(Eingabe[S1],HäufigsteErgebnisse[[#This Row],[Zahl]])</f>
        <v>0</v>
      </c>
      <c r="G706" s="2">
        <f>COUNTIF(Eingabe[S2],HäufigsteErgebnisse[[#This Row],[Zahl]])</f>
        <v>0</v>
      </c>
      <c r="H706" s="2">
        <f>COUNTIF(Eingabe[S3],HäufigsteErgebnisse[[#This Row],[Zahl]])</f>
        <v>0</v>
      </c>
      <c r="I706" s="2">
        <f>COUNTIF(Eingabe[S4],HäufigsteErgebnisse[[#This Row],[Zahl]])</f>
        <v>0</v>
      </c>
      <c r="J706" s="2">
        <f>COUNTIF(Eingabe[S1],HäufigsteErgebnisse[[#This Row],[Zahl]])+COUNTIF(Eingabe[S2],HäufigsteErgebnisse[[#This Row],[Zahl]])+COUNTIF(Eingabe[S3],HäufigsteErgebnisse[[#This Row],[Zahl]])+COUNTIF(Eingabe[S4],HäufigsteErgebnisse[[#This Row],[Zahl]])</f>
        <v>0</v>
      </c>
      <c r="K706" s="2">
        <f>COUNTIF(Eingabe[GES],HäufigsteErgebnisse[[#This Row],[Zahl]])</f>
        <v>0</v>
      </c>
      <c r="L706" s="2">
        <f>HäufigsteErgebnisse[[#This Row],[Zahl]]</f>
        <v>648</v>
      </c>
    </row>
    <row r="707" spans="2:12" x14ac:dyDescent="0.3">
      <c r="B707" s="2">
        <v>649</v>
      </c>
      <c r="C707" s="2">
        <f>COUNTIF(Eingabe[Volle],HäufigsteErgebnisse[[#This Row],[Zahl]])</f>
        <v>0</v>
      </c>
      <c r="D707" s="2">
        <f>COUNTIF(Eingabe[Räumer],HäufigsteErgebnisse[[#This Row],[Zahl]])</f>
        <v>0</v>
      </c>
      <c r="E707" s="2">
        <f>COUNTIF(Eingabe[Fehler],HäufigsteErgebnisse[[#This Row],[Zahl]])</f>
        <v>0</v>
      </c>
      <c r="F707" s="2">
        <f>COUNTIF(Eingabe[S1],HäufigsteErgebnisse[[#This Row],[Zahl]])</f>
        <v>0</v>
      </c>
      <c r="G707" s="2">
        <f>COUNTIF(Eingabe[S2],HäufigsteErgebnisse[[#This Row],[Zahl]])</f>
        <v>0</v>
      </c>
      <c r="H707" s="2">
        <f>COUNTIF(Eingabe[S3],HäufigsteErgebnisse[[#This Row],[Zahl]])</f>
        <v>0</v>
      </c>
      <c r="I707" s="2">
        <f>COUNTIF(Eingabe[S4],HäufigsteErgebnisse[[#This Row],[Zahl]])</f>
        <v>0</v>
      </c>
      <c r="J707" s="2">
        <f>COUNTIF(Eingabe[S1],HäufigsteErgebnisse[[#This Row],[Zahl]])+COUNTIF(Eingabe[S2],HäufigsteErgebnisse[[#This Row],[Zahl]])+COUNTIF(Eingabe[S3],HäufigsteErgebnisse[[#This Row],[Zahl]])+COUNTIF(Eingabe[S4],HäufigsteErgebnisse[[#This Row],[Zahl]])</f>
        <v>0</v>
      </c>
      <c r="K707" s="2">
        <f>COUNTIF(Eingabe[GES],HäufigsteErgebnisse[[#This Row],[Zahl]])</f>
        <v>1</v>
      </c>
      <c r="L707" s="2">
        <f>HäufigsteErgebnisse[[#This Row],[Zahl]]</f>
        <v>649</v>
      </c>
    </row>
    <row r="708" spans="2:12" x14ac:dyDescent="0.3">
      <c r="B708" s="2">
        <v>650</v>
      </c>
      <c r="C708" s="2">
        <f>COUNTIF(Eingabe[Volle],HäufigsteErgebnisse[[#This Row],[Zahl]])</f>
        <v>0</v>
      </c>
      <c r="D708" s="2">
        <f>COUNTIF(Eingabe[Räumer],HäufigsteErgebnisse[[#This Row],[Zahl]])</f>
        <v>0</v>
      </c>
      <c r="E708" s="2">
        <f>COUNTIF(Eingabe[Fehler],HäufigsteErgebnisse[[#This Row],[Zahl]])</f>
        <v>0</v>
      </c>
      <c r="F708" s="2">
        <f>COUNTIF(Eingabe[S1],HäufigsteErgebnisse[[#This Row],[Zahl]])</f>
        <v>0</v>
      </c>
      <c r="G708" s="2">
        <f>COUNTIF(Eingabe[S2],HäufigsteErgebnisse[[#This Row],[Zahl]])</f>
        <v>0</v>
      </c>
      <c r="H708" s="2">
        <f>COUNTIF(Eingabe[S3],HäufigsteErgebnisse[[#This Row],[Zahl]])</f>
        <v>0</v>
      </c>
      <c r="I708" s="2">
        <f>COUNTIF(Eingabe[S4],HäufigsteErgebnisse[[#This Row],[Zahl]])</f>
        <v>0</v>
      </c>
      <c r="J708" s="2">
        <f>COUNTIF(Eingabe[S1],HäufigsteErgebnisse[[#This Row],[Zahl]])+COUNTIF(Eingabe[S2],HäufigsteErgebnisse[[#This Row],[Zahl]])+COUNTIF(Eingabe[S3],HäufigsteErgebnisse[[#This Row],[Zahl]])+COUNTIF(Eingabe[S4],HäufigsteErgebnisse[[#This Row],[Zahl]])</f>
        <v>0</v>
      </c>
      <c r="K708" s="2">
        <f>COUNTIF(Eingabe[GES],HäufigsteErgebnisse[[#This Row],[Zahl]])</f>
        <v>0</v>
      </c>
      <c r="L708" s="2">
        <f>HäufigsteErgebnisse[[#This Row],[Zahl]]</f>
        <v>650</v>
      </c>
    </row>
    <row r="709" spans="2:12" x14ac:dyDescent="0.3">
      <c r="B709" s="2">
        <v>651</v>
      </c>
      <c r="C709" s="2">
        <f>COUNTIF(Eingabe[Volle],HäufigsteErgebnisse[[#This Row],[Zahl]])</f>
        <v>0</v>
      </c>
      <c r="D709" s="2">
        <f>COUNTIF(Eingabe[Räumer],HäufigsteErgebnisse[[#This Row],[Zahl]])</f>
        <v>0</v>
      </c>
      <c r="E709" s="2">
        <f>COUNTIF(Eingabe[Fehler],HäufigsteErgebnisse[[#This Row],[Zahl]])</f>
        <v>0</v>
      </c>
      <c r="F709" s="2">
        <f>COUNTIF(Eingabe[S1],HäufigsteErgebnisse[[#This Row],[Zahl]])</f>
        <v>0</v>
      </c>
      <c r="G709" s="2">
        <f>COUNTIF(Eingabe[S2],HäufigsteErgebnisse[[#This Row],[Zahl]])</f>
        <v>0</v>
      </c>
      <c r="H709" s="2">
        <f>COUNTIF(Eingabe[S3],HäufigsteErgebnisse[[#This Row],[Zahl]])</f>
        <v>0</v>
      </c>
      <c r="I709" s="2">
        <f>COUNTIF(Eingabe[S4],HäufigsteErgebnisse[[#This Row],[Zahl]])</f>
        <v>0</v>
      </c>
      <c r="J709" s="2">
        <f>COUNTIF(Eingabe[S1],HäufigsteErgebnisse[[#This Row],[Zahl]])+COUNTIF(Eingabe[S2],HäufigsteErgebnisse[[#This Row],[Zahl]])+COUNTIF(Eingabe[S3],HäufigsteErgebnisse[[#This Row],[Zahl]])+COUNTIF(Eingabe[S4],HäufigsteErgebnisse[[#This Row],[Zahl]])</f>
        <v>0</v>
      </c>
      <c r="K709" s="2">
        <f>COUNTIF(Eingabe[GES],HäufigsteErgebnisse[[#This Row],[Zahl]])</f>
        <v>0</v>
      </c>
      <c r="L709" s="2">
        <f>HäufigsteErgebnisse[[#This Row],[Zahl]]</f>
        <v>651</v>
      </c>
    </row>
    <row r="710" spans="2:12" x14ac:dyDescent="0.3">
      <c r="B710" s="2">
        <v>652</v>
      </c>
      <c r="C710" s="2">
        <f>COUNTIF(Eingabe[Volle],HäufigsteErgebnisse[[#This Row],[Zahl]])</f>
        <v>0</v>
      </c>
      <c r="D710" s="2">
        <f>COUNTIF(Eingabe[Räumer],HäufigsteErgebnisse[[#This Row],[Zahl]])</f>
        <v>0</v>
      </c>
      <c r="E710" s="2">
        <f>COUNTIF(Eingabe[Fehler],HäufigsteErgebnisse[[#This Row],[Zahl]])</f>
        <v>0</v>
      </c>
      <c r="F710" s="2">
        <f>COUNTIF(Eingabe[S1],HäufigsteErgebnisse[[#This Row],[Zahl]])</f>
        <v>0</v>
      </c>
      <c r="G710" s="2">
        <f>COUNTIF(Eingabe[S2],HäufigsteErgebnisse[[#This Row],[Zahl]])</f>
        <v>0</v>
      </c>
      <c r="H710" s="2">
        <f>COUNTIF(Eingabe[S3],HäufigsteErgebnisse[[#This Row],[Zahl]])</f>
        <v>0</v>
      </c>
      <c r="I710" s="2">
        <f>COUNTIF(Eingabe[S4],HäufigsteErgebnisse[[#This Row],[Zahl]])</f>
        <v>0</v>
      </c>
      <c r="J710" s="2">
        <f>COUNTIF(Eingabe[S1],HäufigsteErgebnisse[[#This Row],[Zahl]])+COUNTIF(Eingabe[S2],HäufigsteErgebnisse[[#This Row],[Zahl]])+COUNTIF(Eingabe[S3],HäufigsteErgebnisse[[#This Row],[Zahl]])+COUNTIF(Eingabe[S4],HäufigsteErgebnisse[[#This Row],[Zahl]])</f>
        <v>0</v>
      </c>
      <c r="K710" s="2">
        <f>COUNTIF(Eingabe[GES],HäufigsteErgebnisse[[#This Row],[Zahl]])</f>
        <v>0</v>
      </c>
      <c r="L710" s="2">
        <f>HäufigsteErgebnisse[[#This Row],[Zahl]]</f>
        <v>652</v>
      </c>
    </row>
    <row r="711" spans="2:12" x14ac:dyDescent="0.3">
      <c r="B711" s="2">
        <v>653</v>
      </c>
      <c r="C711" s="2">
        <f>COUNTIF(Eingabe[Volle],HäufigsteErgebnisse[[#This Row],[Zahl]])</f>
        <v>0</v>
      </c>
      <c r="D711" s="2">
        <f>COUNTIF(Eingabe[Räumer],HäufigsteErgebnisse[[#This Row],[Zahl]])</f>
        <v>0</v>
      </c>
      <c r="E711" s="2">
        <f>COUNTIF(Eingabe[Fehler],HäufigsteErgebnisse[[#This Row],[Zahl]])</f>
        <v>0</v>
      </c>
      <c r="F711" s="2">
        <f>COUNTIF(Eingabe[S1],HäufigsteErgebnisse[[#This Row],[Zahl]])</f>
        <v>0</v>
      </c>
      <c r="G711" s="2">
        <f>COUNTIF(Eingabe[S2],HäufigsteErgebnisse[[#This Row],[Zahl]])</f>
        <v>0</v>
      </c>
      <c r="H711" s="2">
        <f>COUNTIF(Eingabe[S3],HäufigsteErgebnisse[[#This Row],[Zahl]])</f>
        <v>0</v>
      </c>
      <c r="I711" s="2">
        <f>COUNTIF(Eingabe[S4],HäufigsteErgebnisse[[#This Row],[Zahl]])</f>
        <v>0</v>
      </c>
      <c r="J711" s="2">
        <f>COUNTIF(Eingabe[S1],HäufigsteErgebnisse[[#This Row],[Zahl]])+COUNTIF(Eingabe[S2],HäufigsteErgebnisse[[#This Row],[Zahl]])+COUNTIF(Eingabe[S3],HäufigsteErgebnisse[[#This Row],[Zahl]])+COUNTIF(Eingabe[S4],HäufigsteErgebnisse[[#This Row],[Zahl]])</f>
        <v>0</v>
      </c>
      <c r="K711" s="2">
        <f>COUNTIF(Eingabe[GES],HäufigsteErgebnisse[[#This Row],[Zahl]])</f>
        <v>0</v>
      </c>
      <c r="L711" s="2">
        <f>HäufigsteErgebnisse[[#This Row],[Zahl]]</f>
        <v>653</v>
      </c>
    </row>
    <row r="712" spans="2:12" x14ac:dyDescent="0.3">
      <c r="B712" s="2">
        <v>654</v>
      </c>
      <c r="C712" s="2">
        <f>COUNTIF(Eingabe[Volle],HäufigsteErgebnisse[[#This Row],[Zahl]])</f>
        <v>0</v>
      </c>
      <c r="D712" s="2">
        <f>COUNTIF(Eingabe[Räumer],HäufigsteErgebnisse[[#This Row],[Zahl]])</f>
        <v>0</v>
      </c>
      <c r="E712" s="2">
        <f>COUNTIF(Eingabe[Fehler],HäufigsteErgebnisse[[#This Row],[Zahl]])</f>
        <v>0</v>
      </c>
      <c r="F712" s="2">
        <f>COUNTIF(Eingabe[S1],HäufigsteErgebnisse[[#This Row],[Zahl]])</f>
        <v>0</v>
      </c>
      <c r="G712" s="2">
        <f>COUNTIF(Eingabe[S2],HäufigsteErgebnisse[[#This Row],[Zahl]])</f>
        <v>0</v>
      </c>
      <c r="H712" s="2">
        <f>COUNTIF(Eingabe[S3],HäufigsteErgebnisse[[#This Row],[Zahl]])</f>
        <v>0</v>
      </c>
      <c r="I712" s="2">
        <f>COUNTIF(Eingabe[S4],HäufigsteErgebnisse[[#This Row],[Zahl]])</f>
        <v>0</v>
      </c>
      <c r="J712" s="2">
        <f>COUNTIF(Eingabe[S1],HäufigsteErgebnisse[[#This Row],[Zahl]])+COUNTIF(Eingabe[S2],HäufigsteErgebnisse[[#This Row],[Zahl]])+COUNTIF(Eingabe[S3],HäufigsteErgebnisse[[#This Row],[Zahl]])+COUNTIF(Eingabe[S4],HäufigsteErgebnisse[[#This Row],[Zahl]])</f>
        <v>0</v>
      </c>
      <c r="K712" s="2">
        <f>COUNTIF(Eingabe[GES],HäufigsteErgebnisse[[#This Row],[Zahl]])</f>
        <v>0</v>
      </c>
      <c r="L712" s="2">
        <f>HäufigsteErgebnisse[[#This Row],[Zahl]]</f>
        <v>654</v>
      </c>
    </row>
    <row r="713" spans="2:12" x14ac:dyDescent="0.3">
      <c r="B713" s="2">
        <v>655</v>
      </c>
      <c r="C713" s="2">
        <f>COUNTIF(Eingabe[Volle],HäufigsteErgebnisse[[#This Row],[Zahl]])</f>
        <v>0</v>
      </c>
      <c r="D713" s="2">
        <f>COUNTIF(Eingabe[Räumer],HäufigsteErgebnisse[[#This Row],[Zahl]])</f>
        <v>0</v>
      </c>
      <c r="E713" s="2">
        <f>COUNTIF(Eingabe[Fehler],HäufigsteErgebnisse[[#This Row],[Zahl]])</f>
        <v>0</v>
      </c>
      <c r="F713" s="2">
        <f>COUNTIF(Eingabe[S1],HäufigsteErgebnisse[[#This Row],[Zahl]])</f>
        <v>0</v>
      </c>
      <c r="G713" s="2">
        <f>COUNTIF(Eingabe[S2],HäufigsteErgebnisse[[#This Row],[Zahl]])</f>
        <v>0</v>
      </c>
      <c r="H713" s="2">
        <f>COUNTIF(Eingabe[S3],HäufigsteErgebnisse[[#This Row],[Zahl]])</f>
        <v>0</v>
      </c>
      <c r="I713" s="2">
        <f>COUNTIF(Eingabe[S4],HäufigsteErgebnisse[[#This Row],[Zahl]])</f>
        <v>0</v>
      </c>
      <c r="J713" s="2">
        <f>COUNTIF(Eingabe[S1],HäufigsteErgebnisse[[#This Row],[Zahl]])+COUNTIF(Eingabe[S2],HäufigsteErgebnisse[[#This Row],[Zahl]])+COUNTIF(Eingabe[S3],HäufigsteErgebnisse[[#This Row],[Zahl]])+COUNTIF(Eingabe[S4],HäufigsteErgebnisse[[#This Row],[Zahl]])</f>
        <v>0</v>
      </c>
      <c r="K713" s="2">
        <f>COUNTIF(Eingabe[GES],HäufigsteErgebnisse[[#This Row],[Zahl]])</f>
        <v>0</v>
      </c>
      <c r="L713" s="2">
        <f>HäufigsteErgebnisse[[#This Row],[Zahl]]</f>
        <v>655</v>
      </c>
    </row>
    <row r="714" spans="2:12" x14ac:dyDescent="0.3">
      <c r="B714" s="2">
        <v>656</v>
      </c>
      <c r="C714" s="2">
        <f>COUNTIF(Eingabe[Volle],HäufigsteErgebnisse[[#This Row],[Zahl]])</f>
        <v>0</v>
      </c>
      <c r="D714" s="2">
        <f>COUNTIF(Eingabe[Räumer],HäufigsteErgebnisse[[#This Row],[Zahl]])</f>
        <v>0</v>
      </c>
      <c r="E714" s="2">
        <f>COUNTIF(Eingabe[Fehler],HäufigsteErgebnisse[[#This Row],[Zahl]])</f>
        <v>0</v>
      </c>
      <c r="F714" s="2">
        <f>COUNTIF(Eingabe[S1],HäufigsteErgebnisse[[#This Row],[Zahl]])</f>
        <v>0</v>
      </c>
      <c r="G714" s="2">
        <f>COUNTIF(Eingabe[S2],HäufigsteErgebnisse[[#This Row],[Zahl]])</f>
        <v>0</v>
      </c>
      <c r="H714" s="2">
        <f>COUNTIF(Eingabe[S3],HäufigsteErgebnisse[[#This Row],[Zahl]])</f>
        <v>0</v>
      </c>
      <c r="I714" s="2">
        <f>COUNTIF(Eingabe[S4],HäufigsteErgebnisse[[#This Row],[Zahl]])</f>
        <v>0</v>
      </c>
      <c r="J714" s="2">
        <f>COUNTIF(Eingabe[S1],HäufigsteErgebnisse[[#This Row],[Zahl]])+COUNTIF(Eingabe[S2],HäufigsteErgebnisse[[#This Row],[Zahl]])+COUNTIF(Eingabe[S3],HäufigsteErgebnisse[[#This Row],[Zahl]])+COUNTIF(Eingabe[S4],HäufigsteErgebnisse[[#This Row],[Zahl]])</f>
        <v>0</v>
      </c>
      <c r="K714" s="2">
        <f>COUNTIF(Eingabe[GES],HäufigsteErgebnisse[[#This Row],[Zahl]])</f>
        <v>0</v>
      </c>
      <c r="L714" s="2">
        <f>HäufigsteErgebnisse[[#This Row],[Zahl]]</f>
        <v>656</v>
      </c>
    </row>
    <row r="715" spans="2:12" x14ac:dyDescent="0.3">
      <c r="B715" s="2">
        <v>657</v>
      </c>
      <c r="C715" s="2">
        <f>COUNTIF(Eingabe[Volle],HäufigsteErgebnisse[[#This Row],[Zahl]])</f>
        <v>0</v>
      </c>
      <c r="D715" s="2">
        <f>COUNTIF(Eingabe[Räumer],HäufigsteErgebnisse[[#This Row],[Zahl]])</f>
        <v>0</v>
      </c>
      <c r="E715" s="2">
        <f>COUNTIF(Eingabe[Fehler],HäufigsteErgebnisse[[#This Row],[Zahl]])</f>
        <v>0</v>
      </c>
      <c r="F715" s="2">
        <f>COUNTIF(Eingabe[S1],HäufigsteErgebnisse[[#This Row],[Zahl]])</f>
        <v>0</v>
      </c>
      <c r="G715" s="2">
        <f>COUNTIF(Eingabe[S2],HäufigsteErgebnisse[[#This Row],[Zahl]])</f>
        <v>0</v>
      </c>
      <c r="H715" s="2">
        <f>COUNTIF(Eingabe[S3],HäufigsteErgebnisse[[#This Row],[Zahl]])</f>
        <v>0</v>
      </c>
      <c r="I715" s="2">
        <f>COUNTIF(Eingabe[S4],HäufigsteErgebnisse[[#This Row],[Zahl]])</f>
        <v>0</v>
      </c>
      <c r="J715" s="2">
        <f>COUNTIF(Eingabe[S1],HäufigsteErgebnisse[[#This Row],[Zahl]])+COUNTIF(Eingabe[S2],HäufigsteErgebnisse[[#This Row],[Zahl]])+COUNTIF(Eingabe[S3],HäufigsteErgebnisse[[#This Row],[Zahl]])+COUNTIF(Eingabe[S4],HäufigsteErgebnisse[[#This Row],[Zahl]])</f>
        <v>0</v>
      </c>
      <c r="K715" s="2">
        <f>COUNTIF(Eingabe[GES],HäufigsteErgebnisse[[#This Row],[Zahl]])</f>
        <v>0</v>
      </c>
      <c r="L715" s="2">
        <f>HäufigsteErgebnisse[[#This Row],[Zahl]]</f>
        <v>657</v>
      </c>
    </row>
    <row r="716" spans="2:12" x14ac:dyDescent="0.3">
      <c r="B716" s="2">
        <v>658</v>
      </c>
      <c r="C716" s="2">
        <f>COUNTIF(Eingabe[Volle],HäufigsteErgebnisse[[#This Row],[Zahl]])</f>
        <v>0</v>
      </c>
      <c r="D716" s="2">
        <f>COUNTIF(Eingabe[Räumer],HäufigsteErgebnisse[[#This Row],[Zahl]])</f>
        <v>0</v>
      </c>
      <c r="E716" s="2">
        <f>COUNTIF(Eingabe[Fehler],HäufigsteErgebnisse[[#This Row],[Zahl]])</f>
        <v>0</v>
      </c>
      <c r="F716" s="2">
        <f>COUNTIF(Eingabe[S1],HäufigsteErgebnisse[[#This Row],[Zahl]])</f>
        <v>0</v>
      </c>
      <c r="G716" s="2">
        <f>COUNTIF(Eingabe[S2],HäufigsteErgebnisse[[#This Row],[Zahl]])</f>
        <v>0</v>
      </c>
      <c r="H716" s="2">
        <f>COUNTIF(Eingabe[S3],HäufigsteErgebnisse[[#This Row],[Zahl]])</f>
        <v>0</v>
      </c>
      <c r="I716" s="2">
        <f>COUNTIF(Eingabe[S4],HäufigsteErgebnisse[[#This Row],[Zahl]])</f>
        <v>0</v>
      </c>
      <c r="J716" s="2">
        <f>COUNTIF(Eingabe[S1],HäufigsteErgebnisse[[#This Row],[Zahl]])+COUNTIF(Eingabe[S2],HäufigsteErgebnisse[[#This Row],[Zahl]])+COUNTIF(Eingabe[S3],HäufigsteErgebnisse[[#This Row],[Zahl]])+COUNTIF(Eingabe[S4],HäufigsteErgebnisse[[#This Row],[Zahl]])</f>
        <v>0</v>
      </c>
      <c r="K716" s="2">
        <f>COUNTIF(Eingabe[GES],HäufigsteErgebnisse[[#This Row],[Zahl]])</f>
        <v>0</v>
      </c>
      <c r="L716" s="2">
        <f>HäufigsteErgebnisse[[#This Row],[Zahl]]</f>
        <v>658</v>
      </c>
    </row>
    <row r="717" spans="2:12" x14ac:dyDescent="0.3">
      <c r="B717" s="2">
        <v>659</v>
      </c>
      <c r="C717" s="2">
        <f>COUNTIF(Eingabe[Volle],HäufigsteErgebnisse[[#This Row],[Zahl]])</f>
        <v>0</v>
      </c>
      <c r="D717" s="2">
        <f>COUNTIF(Eingabe[Räumer],HäufigsteErgebnisse[[#This Row],[Zahl]])</f>
        <v>0</v>
      </c>
      <c r="E717" s="2">
        <f>COUNTIF(Eingabe[Fehler],HäufigsteErgebnisse[[#This Row],[Zahl]])</f>
        <v>0</v>
      </c>
      <c r="F717" s="2">
        <f>COUNTIF(Eingabe[S1],HäufigsteErgebnisse[[#This Row],[Zahl]])</f>
        <v>0</v>
      </c>
      <c r="G717" s="2">
        <f>COUNTIF(Eingabe[S2],HäufigsteErgebnisse[[#This Row],[Zahl]])</f>
        <v>0</v>
      </c>
      <c r="H717" s="2">
        <f>COUNTIF(Eingabe[S3],HäufigsteErgebnisse[[#This Row],[Zahl]])</f>
        <v>0</v>
      </c>
      <c r="I717" s="2">
        <f>COUNTIF(Eingabe[S4],HäufigsteErgebnisse[[#This Row],[Zahl]])</f>
        <v>0</v>
      </c>
      <c r="J717" s="2">
        <f>COUNTIF(Eingabe[S1],HäufigsteErgebnisse[[#This Row],[Zahl]])+COUNTIF(Eingabe[S2],HäufigsteErgebnisse[[#This Row],[Zahl]])+COUNTIF(Eingabe[S3],HäufigsteErgebnisse[[#This Row],[Zahl]])+COUNTIF(Eingabe[S4],HäufigsteErgebnisse[[#This Row],[Zahl]])</f>
        <v>0</v>
      </c>
      <c r="K717" s="2">
        <f>COUNTIF(Eingabe[GES],HäufigsteErgebnisse[[#This Row],[Zahl]])</f>
        <v>0</v>
      </c>
      <c r="L717" s="2">
        <f>HäufigsteErgebnisse[[#This Row],[Zahl]]</f>
        <v>659</v>
      </c>
    </row>
    <row r="718" spans="2:12" x14ac:dyDescent="0.3">
      <c r="B718" s="2">
        <v>660</v>
      </c>
      <c r="C718" s="2">
        <f>COUNTIF(Eingabe[Volle],HäufigsteErgebnisse[[#This Row],[Zahl]])</f>
        <v>0</v>
      </c>
      <c r="D718" s="2">
        <f>COUNTIF(Eingabe[Räumer],HäufigsteErgebnisse[[#This Row],[Zahl]])</f>
        <v>0</v>
      </c>
      <c r="E718" s="2">
        <f>COUNTIF(Eingabe[Fehler],HäufigsteErgebnisse[[#This Row],[Zahl]])</f>
        <v>0</v>
      </c>
      <c r="F718" s="2">
        <f>COUNTIF(Eingabe[S1],HäufigsteErgebnisse[[#This Row],[Zahl]])</f>
        <v>0</v>
      </c>
      <c r="G718" s="2">
        <f>COUNTIF(Eingabe[S2],HäufigsteErgebnisse[[#This Row],[Zahl]])</f>
        <v>0</v>
      </c>
      <c r="H718" s="2">
        <f>COUNTIF(Eingabe[S3],HäufigsteErgebnisse[[#This Row],[Zahl]])</f>
        <v>0</v>
      </c>
      <c r="I718" s="2">
        <f>COUNTIF(Eingabe[S4],HäufigsteErgebnisse[[#This Row],[Zahl]])</f>
        <v>0</v>
      </c>
      <c r="J718" s="2">
        <f>COUNTIF(Eingabe[S1],HäufigsteErgebnisse[[#This Row],[Zahl]])+COUNTIF(Eingabe[S2],HäufigsteErgebnisse[[#This Row],[Zahl]])+COUNTIF(Eingabe[S3],HäufigsteErgebnisse[[#This Row],[Zahl]])+COUNTIF(Eingabe[S4],HäufigsteErgebnisse[[#This Row],[Zahl]])</f>
        <v>0</v>
      </c>
      <c r="K718" s="2">
        <f>COUNTIF(Eingabe[GES],HäufigsteErgebnisse[[#This Row],[Zahl]])</f>
        <v>0</v>
      </c>
      <c r="L718" s="2">
        <f>HäufigsteErgebnisse[[#This Row],[Zahl]]</f>
        <v>660</v>
      </c>
    </row>
    <row r="719" spans="2:12" x14ac:dyDescent="0.3">
      <c r="B719" s="2">
        <v>661</v>
      </c>
      <c r="C719" s="2">
        <f>COUNTIF(Eingabe[Volle],HäufigsteErgebnisse[[#This Row],[Zahl]])</f>
        <v>0</v>
      </c>
      <c r="D719" s="2">
        <f>COUNTIF(Eingabe[Räumer],HäufigsteErgebnisse[[#This Row],[Zahl]])</f>
        <v>0</v>
      </c>
      <c r="E719" s="2">
        <f>COUNTIF(Eingabe[Fehler],HäufigsteErgebnisse[[#This Row],[Zahl]])</f>
        <v>0</v>
      </c>
      <c r="F719" s="2">
        <f>COUNTIF(Eingabe[S1],HäufigsteErgebnisse[[#This Row],[Zahl]])</f>
        <v>0</v>
      </c>
      <c r="G719" s="2">
        <f>COUNTIF(Eingabe[S2],HäufigsteErgebnisse[[#This Row],[Zahl]])</f>
        <v>0</v>
      </c>
      <c r="H719" s="2">
        <f>COUNTIF(Eingabe[S3],HäufigsteErgebnisse[[#This Row],[Zahl]])</f>
        <v>0</v>
      </c>
      <c r="I719" s="2">
        <f>COUNTIF(Eingabe[S4],HäufigsteErgebnisse[[#This Row],[Zahl]])</f>
        <v>0</v>
      </c>
      <c r="J719" s="2">
        <f>COUNTIF(Eingabe[S1],HäufigsteErgebnisse[[#This Row],[Zahl]])+COUNTIF(Eingabe[S2],HäufigsteErgebnisse[[#This Row],[Zahl]])+COUNTIF(Eingabe[S3],HäufigsteErgebnisse[[#This Row],[Zahl]])+COUNTIF(Eingabe[S4],HäufigsteErgebnisse[[#This Row],[Zahl]])</f>
        <v>0</v>
      </c>
      <c r="K719" s="2">
        <f>COUNTIF(Eingabe[GES],HäufigsteErgebnisse[[#This Row],[Zahl]])</f>
        <v>0</v>
      </c>
      <c r="L719" s="2">
        <f>HäufigsteErgebnisse[[#This Row],[Zahl]]</f>
        <v>661</v>
      </c>
    </row>
    <row r="720" spans="2:12" x14ac:dyDescent="0.3">
      <c r="B720" s="2">
        <v>662</v>
      </c>
      <c r="C720" s="2">
        <f>COUNTIF(Eingabe[Volle],HäufigsteErgebnisse[[#This Row],[Zahl]])</f>
        <v>0</v>
      </c>
      <c r="D720" s="2">
        <f>COUNTIF(Eingabe[Räumer],HäufigsteErgebnisse[[#This Row],[Zahl]])</f>
        <v>0</v>
      </c>
      <c r="E720" s="2">
        <f>COUNTIF(Eingabe[Fehler],HäufigsteErgebnisse[[#This Row],[Zahl]])</f>
        <v>0</v>
      </c>
      <c r="F720" s="2">
        <f>COUNTIF(Eingabe[S1],HäufigsteErgebnisse[[#This Row],[Zahl]])</f>
        <v>0</v>
      </c>
      <c r="G720" s="2">
        <f>COUNTIF(Eingabe[S2],HäufigsteErgebnisse[[#This Row],[Zahl]])</f>
        <v>0</v>
      </c>
      <c r="H720" s="2">
        <f>COUNTIF(Eingabe[S3],HäufigsteErgebnisse[[#This Row],[Zahl]])</f>
        <v>0</v>
      </c>
      <c r="I720" s="2">
        <f>COUNTIF(Eingabe[S4],HäufigsteErgebnisse[[#This Row],[Zahl]])</f>
        <v>0</v>
      </c>
      <c r="J720" s="2">
        <f>COUNTIF(Eingabe[S1],HäufigsteErgebnisse[[#This Row],[Zahl]])+COUNTIF(Eingabe[S2],HäufigsteErgebnisse[[#This Row],[Zahl]])+COUNTIF(Eingabe[S3],HäufigsteErgebnisse[[#This Row],[Zahl]])+COUNTIF(Eingabe[S4],HäufigsteErgebnisse[[#This Row],[Zahl]])</f>
        <v>0</v>
      </c>
      <c r="K720" s="2">
        <f>COUNTIF(Eingabe[GES],HäufigsteErgebnisse[[#This Row],[Zahl]])</f>
        <v>0</v>
      </c>
      <c r="L720" s="2">
        <f>HäufigsteErgebnisse[[#This Row],[Zahl]]</f>
        <v>662</v>
      </c>
    </row>
    <row r="721" spans="2:12" x14ac:dyDescent="0.3">
      <c r="B721" s="2">
        <v>663</v>
      </c>
      <c r="C721" s="2">
        <f>COUNTIF(Eingabe[Volle],HäufigsteErgebnisse[[#This Row],[Zahl]])</f>
        <v>0</v>
      </c>
      <c r="D721" s="2">
        <f>COUNTIF(Eingabe[Räumer],HäufigsteErgebnisse[[#This Row],[Zahl]])</f>
        <v>0</v>
      </c>
      <c r="E721" s="2">
        <f>COUNTIF(Eingabe[Fehler],HäufigsteErgebnisse[[#This Row],[Zahl]])</f>
        <v>0</v>
      </c>
      <c r="F721" s="2">
        <f>COUNTIF(Eingabe[S1],HäufigsteErgebnisse[[#This Row],[Zahl]])</f>
        <v>0</v>
      </c>
      <c r="G721" s="2">
        <f>COUNTIF(Eingabe[S2],HäufigsteErgebnisse[[#This Row],[Zahl]])</f>
        <v>0</v>
      </c>
      <c r="H721" s="2">
        <f>COUNTIF(Eingabe[S3],HäufigsteErgebnisse[[#This Row],[Zahl]])</f>
        <v>0</v>
      </c>
      <c r="I721" s="2">
        <f>COUNTIF(Eingabe[S4],HäufigsteErgebnisse[[#This Row],[Zahl]])</f>
        <v>0</v>
      </c>
      <c r="J721" s="2">
        <f>COUNTIF(Eingabe[S1],HäufigsteErgebnisse[[#This Row],[Zahl]])+COUNTIF(Eingabe[S2],HäufigsteErgebnisse[[#This Row],[Zahl]])+COUNTIF(Eingabe[S3],HäufigsteErgebnisse[[#This Row],[Zahl]])+COUNTIF(Eingabe[S4],HäufigsteErgebnisse[[#This Row],[Zahl]])</f>
        <v>0</v>
      </c>
      <c r="K721" s="2">
        <f>COUNTIF(Eingabe[GES],HäufigsteErgebnisse[[#This Row],[Zahl]])</f>
        <v>0</v>
      </c>
      <c r="L721" s="2">
        <f>HäufigsteErgebnisse[[#This Row],[Zahl]]</f>
        <v>663</v>
      </c>
    </row>
    <row r="722" spans="2:12" x14ac:dyDescent="0.3">
      <c r="B722" s="2">
        <v>664</v>
      </c>
      <c r="C722" s="2">
        <f>COUNTIF(Eingabe[Volle],HäufigsteErgebnisse[[#This Row],[Zahl]])</f>
        <v>0</v>
      </c>
      <c r="D722" s="2">
        <f>COUNTIF(Eingabe[Räumer],HäufigsteErgebnisse[[#This Row],[Zahl]])</f>
        <v>0</v>
      </c>
      <c r="E722" s="2">
        <f>COUNTIF(Eingabe[Fehler],HäufigsteErgebnisse[[#This Row],[Zahl]])</f>
        <v>0</v>
      </c>
      <c r="F722" s="2">
        <f>COUNTIF(Eingabe[S1],HäufigsteErgebnisse[[#This Row],[Zahl]])</f>
        <v>0</v>
      </c>
      <c r="G722" s="2">
        <f>COUNTIF(Eingabe[S2],HäufigsteErgebnisse[[#This Row],[Zahl]])</f>
        <v>0</v>
      </c>
      <c r="H722" s="2">
        <f>COUNTIF(Eingabe[S3],HäufigsteErgebnisse[[#This Row],[Zahl]])</f>
        <v>0</v>
      </c>
      <c r="I722" s="2">
        <f>COUNTIF(Eingabe[S4],HäufigsteErgebnisse[[#This Row],[Zahl]])</f>
        <v>0</v>
      </c>
      <c r="J722" s="2">
        <f>COUNTIF(Eingabe[S1],HäufigsteErgebnisse[[#This Row],[Zahl]])+COUNTIF(Eingabe[S2],HäufigsteErgebnisse[[#This Row],[Zahl]])+COUNTIF(Eingabe[S3],HäufigsteErgebnisse[[#This Row],[Zahl]])+COUNTIF(Eingabe[S4],HäufigsteErgebnisse[[#This Row],[Zahl]])</f>
        <v>0</v>
      </c>
      <c r="K722" s="2">
        <f>COUNTIF(Eingabe[GES],HäufigsteErgebnisse[[#This Row],[Zahl]])</f>
        <v>0</v>
      </c>
      <c r="L722" s="2">
        <f>HäufigsteErgebnisse[[#This Row],[Zahl]]</f>
        <v>664</v>
      </c>
    </row>
    <row r="723" spans="2:12" x14ac:dyDescent="0.3">
      <c r="B723" s="2">
        <v>665</v>
      </c>
      <c r="C723" s="2">
        <f>COUNTIF(Eingabe[Volle],HäufigsteErgebnisse[[#This Row],[Zahl]])</f>
        <v>0</v>
      </c>
      <c r="D723" s="2">
        <f>COUNTIF(Eingabe[Räumer],HäufigsteErgebnisse[[#This Row],[Zahl]])</f>
        <v>0</v>
      </c>
      <c r="E723" s="2">
        <f>COUNTIF(Eingabe[Fehler],HäufigsteErgebnisse[[#This Row],[Zahl]])</f>
        <v>0</v>
      </c>
      <c r="F723" s="2">
        <f>COUNTIF(Eingabe[S1],HäufigsteErgebnisse[[#This Row],[Zahl]])</f>
        <v>0</v>
      </c>
      <c r="G723" s="2">
        <f>COUNTIF(Eingabe[S2],HäufigsteErgebnisse[[#This Row],[Zahl]])</f>
        <v>0</v>
      </c>
      <c r="H723" s="2">
        <f>COUNTIF(Eingabe[S3],HäufigsteErgebnisse[[#This Row],[Zahl]])</f>
        <v>0</v>
      </c>
      <c r="I723" s="2">
        <f>COUNTIF(Eingabe[S4],HäufigsteErgebnisse[[#This Row],[Zahl]])</f>
        <v>0</v>
      </c>
      <c r="J723" s="2">
        <f>COUNTIF(Eingabe[S1],HäufigsteErgebnisse[[#This Row],[Zahl]])+COUNTIF(Eingabe[S2],HäufigsteErgebnisse[[#This Row],[Zahl]])+COUNTIF(Eingabe[S3],HäufigsteErgebnisse[[#This Row],[Zahl]])+COUNTIF(Eingabe[S4],HäufigsteErgebnisse[[#This Row],[Zahl]])</f>
        <v>0</v>
      </c>
      <c r="K723" s="2">
        <f>COUNTIF(Eingabe[GES],HäufigsteErgebnisse[[#This Row],[Zahl]])</f>
        <v>0</v>
      </c>
      <c r="L723" s="2">
        <f>HäufigsteErgebnisse[[#This Row],[Zahl]]</f>
        <v>665</v>
      </c>
    </row>
    <row r="724" spans="2:12" x14ac:dyDescent="0.3">
      <c r="B724" s="2">
        <v>666</v>
      </c>
      <c r="C724" s="2">
        <f>COUNTIF(Eingabe[Volle],HäufigsteErgebnisse[[#This Row],[Zahl]])</f>
        <v>0</v>
      </c>
      <c r="D724" s="2">
        <f>COUNTIF(Eingabe[Räumer],HäufigsteErgebnisse[[#This Row],[Zahl]])</f>
        <v>0</v>
      </c>
      <c r="E724" s="2">
        <f>COUNTIF(Eingabe[Fehler],HäufigsteErgebnisse[[#This Row],[Zahl]])</f>
        <v>0</v>
      </c>
      <c r="F724" s="2">
        <f>COUNTIF(Eingabe[S1],HäufigsteErgebnisse[[#This Row],[Zahl]])</f>
        <v>0</v>
      </c>
      <c r="G724" s="2">
        <f>COUNTIF(Eingabe[S2],HäufigsteErgebnisse[[#This Row],[Zahl]])</f>
        <v>0</v>
      </c>
      <c r="H724" s="2">
        <f>COUNTIF(Eingabe[S3],HäufigsteErgebnisse[[#This Row],[Zahl]])</f>
        <v>0</v>
      </c>
      <c r="I724" s="2">
        <f>COUNTIF(Eingabe[S4],HäufigsteErgebnisse[[#This Row],[Zahl]])</f>
        <v>0</v>
      </c>
      <c r="J724" s="2">
        <f>COUNTIF(Eingabe[S1],HäufigsteErgebnisse[[#This Row],[Zahl]])+COUNTIF(Eingabe[S2],HäufigsteErgebnisse[[#This Row],[Zahl]])+COUNTIF(Eingabe[S3],HäufigsteErgebnisse[[#This Row],[Zahl]])+COUNTIF(Eingabe[S4],HäufigsteErgebnisse[[#This Row],[Zahl]])</f>
        <v>0</v>
      </c>
      <c r="K724" s="2">
        <f>COUNTIF(Eingabe[GES],HäufigsteErgebnisse[[#This Row],[Zahl]])</f>
        <v>0</v>
      </c>
      <c r="L724" s="2">
        <f>HäufigsteErgebnisse[[#This Row],[Zahl]]</f>
        <v>666</v>
      </c>
    </row>
    <row r="725" spans="2:12" x14ac:dyDescent="0.3">
      <c r="B725" s="2">
        <v>667</v>
      </c>
      <c r="C725" s="2">
        <f>COUNTIF(Eingabe[Volle],HäufigsteErgebnisse[[#This Row],[Zahl]])</f>
        <v>0</v>
      </c>
      <c r="D725" s="2">
        <f>COUNTIF(Eingabe[Räumer],HäufigsteErgebnisse[[#This Row],[Zahl]])</f>
        <v>0</v>
      </c>
      <c r="E725" s="2">
        <f>COUNTIF(Eingabe[Fehler],HäufigsteErgebnisse[[#This Row],[Zahl]])</f>
        <v>0</v>
      </c>
      <c r="F725" s="2">
        <f>COUNTIF(Eingabe[S1],HäufigsteErgebnisse[[#This Row],[Zahl]])</f>
        <v>0</v>
      </c>
      <c r="G725" s="2">
        <f>COUNTIF(Eingabe[S2],HäufigsteErgebnisse[[#This Row],[Zahl]])</f>
        <v>0</v>
      </c>
      <c r="H725" s="2">
        <f>COUNTIF(Eingabe[S3],HäufigsteErgebnisse[[#This Row],[Zahl]])</f>
        <v>0</v>
      </c>
      <c r="I725" s="2">
        <f>COUNTIF(Eingabe[S4],HäufigsteErgebnisse[[#This Row],[Zahl]])</f>
        <v>0</v>
      </c>
      <c r="J725" s="2">
        <f>COUNTIF(Eingabe[S1],HäufigsteErgebnisse[[#This Row],[Zahl]])+COUNTIF(Eingabe[S2],HäufigsteErgebnisse[[#This Row],[Zahl]])+COUNTIF(Eingabe[S3],HäufigsteErgebnisse[[#This Row],[Zahl]])+COUNTIF(Eingabe[S4],HäufigsteErgebnisse[[#This Row],[Zahl]])</f>
        <v>0</v>
      </c>
      <c r="K725" s="2">
        <f>COUNTIF(Eingabe[GES],HäufigsteErgebnisse[[#This Row],[Zahl]])</f>
        <v>0</v>
      </c>
      <c r="L725" s="2">
        <f>HäufigsteErgebnisse[[#This Row],[Zahl]]</f>
        <v>667</v>
      </c>
    </row>
    <row r="726" spans="2:12" x14ac:dyDescent="0.3">
      <c r="B726" s="2">
        <v>668</v>
      </c>
      <c r="C726" s="2">
        <f>COUNTIF(Eingabe[Volle],HäufigsteErgebnisse[[#This Row],[Zahl]])</f>
        <v>0</v>
      </c>
      <c r="D726" s="2">
        <f>COUNTIF(Eingabe[Räumer],HäufigsteErgebnisse[[#This Row],[Zahl]])</f>
        <v>0</v>
      </c>
      <c r="E726" s="2">
        <f>COUNTIF(Eingabe[Fehler],HäufigsteErgebnisse[[#This Row],[Zahl]])</f>
        <v>0</v>
      </c>
      <c r="F726" s="2">
        <f>COUNTIF(Eingabe[S1],HäufigsteErgebnisse[[#This Row],[Zahl]])</f>
        <v>0</v>
      </c>
      <c r="G726" s="2">
        <f>COUNTIF(Eingabe[S2],HäufigsteErgebnisse[[#This Row],[Zahl]])</f>
        <v>0</v>
      </c>
      <c r="H726" s="2">
        <f>COUNTIF(Eingabe[S3],HäufigsteErgebnisse[[#This Row],[Zahl]])</f>
        <v>0</v>
      </c>
      <c r="I726" s="2">
        <f>COUNTIF(Eingabe[S4],HäufigsteErgebnisse[[#This Row],[Zahl]])</f>
        <v>0</v>
      </c>
      <c r="J726" s="2">
        <f>COUNTIF(Eingabe[S1],HäufigsteErgebnisse[[#This Row],[Zahl]])+COUNTIF(Eingabe[S2],HäufigsteErgebnisse[[#This Row],[Zahl]])+COUNTIF(Eingabe[S3],HäufigsteErgebnisse[[#This Row],[Zahl]])+COUNTIF(Eingabe[S4],HäufigsteErgebnisse[[#This Row],[Zahl]])</f>
        <v>0</v>
      </c>
      <c r="K726" s="2">
        <f>COUNTIF(Eingabe[GES],HäufigsteErgebnisse[[#This Row],[Zahl]])</f>
        <v>0</v>
      </c>
      <c r="L726" s="2">
        <f>HäufigsteErgebnisse[[#This Row],[Zahl]]</f>
        <v>668</v>
      </c>
    </row>
    <row r="727" spans="2:12" x14ac:dyDescent="0.3">
      <c r="B727" s="2">
        <v>669</v>
      </c>
      <c r="C727" s="2">
        <f>COUNTIF(Eingabe[Volle],HäufigsteErgebnisse[[#This Row],[Zahl]])</f>
        <v>0</v>
      </c>
      <c r="D727" s="2">
        <f>COUNTIF(Eingabe[Räumer],HäufigsteErgebnisse[[#This Row],[Zahl]])</f>
        <v>0</v>
      </c>
      <c r="E727" s="2">
        <f>COUNTIF(Eingabe[Fehler],HäufigsteErgebnisse[[#This Row],[Zahl]])</f>
        <v>0</v>
      </c>
      <c r="F727" s="2">
        <f>COUNTIF(Eingabe[S1],HäufigsteErgebnisse[[#This Row],[Zahl]])</f>
        <v>0</v>
      </c>
      <c r="G727" s="2">
        <f>COUNTIF(Eingabe[S2],HäufigsteErgebnisse[[#This Row],[Zahl]])</f>
        <v>0</v>
      </c>
      <c r="H727" s="2">
        <f>COUNTIF(Eingabe[S3],HäufigsteErgebnisse[[#This Row],[Zahl]])</f>
        <v>0</v>
      </c>
      <c r="I727" s="2">
        <f>COUNTIF(Eingabe[S4],HäufigsteErgebnisse[[#This Row],[Zahl]])</f>
        <v>0</v>
      </c>
      <c r="J727" s="2">
        <f>COUNTIF(Eingabe[S1],HäufigsteErgebnisse[[#This Row],[Zahl]])+COUNTIF(Eingabe[S2],HäufigsteErgebnisse[[#This Row],[Zahl]])+COUNTIF(Eingabe[S3],HäufigsteErgebnisse[[#This Row],[Zahl]])+COUNTIF(Eingabe[S4],HäufigsteErgebnisse[[#This Row],[Zahl]])</f>
        <v>0</v>
      </c>
      <c r="K727" s="2">
        <f>COUNTIF(Eingabe[GES],HäufigsteErgebnisse[[#This Row],[Zahl]])</f>
        <v>0</v>
      </c>
      <c r="L727" s="2">
        <f>HäufigsteErgebnisse[[#This Row],[Zahl]]</f>
        <v>669</v>
      </c>
    </row>
    <row r="728" spans="2:12" x14ac:dyDescent="0.3">
      <c r="B728" s="2">
        <v>670</v>
      </c>
      <c r="C728" s="2">
        <f>COUNTIF(Eingabe[Volle],HäufigsteErgebnisse[[#This Row],[Zahl]])</f>
        <v>0</v>
      </c>
      <c r="D728" s="2">
        <f>COUNTIF(Eingabe[Räumer],HäufigsteErgebnisse[[#This Row],[Zahl]])</f>
        <v>0</v>
      </c>
      <c r="E728" s="2">
        <f>COUNTIF(Eingabe[Fehler],HäufigsteErgebnisse[[#This Row],[Zahl]])</f>
        <v>0</v>
      </c>
      <c r="F728" s="2">
        <f>COUNTIF(Eingabe[S1],HäufigsteErgebnisse[[#This Row],[Zahl]])</f>
        <v>0</v>
      </c>
      <c r="G728" s="2">
        <f>COUNTIF(Eingabe[S2],HäufigsteErgebnisse[[#This Row],[Zahl]])</f>
        <v>0</v>
      </c>
      <c r="H728" s="2">
        <f>COUNTIF(Eingabe[S3],HäufigsteErgebnisse[[#This Row],[Zahl]])</f>
        <v>0</v>
      </c>
      <c r="I728" s="2">
        <f>COUNTIF(Eingabe[S4],HäufigsteErgebnisse[[#This Row],[Zahl]])</f>
        <v>0</v>
      </c>
      <c r="J728" s="2">
        <f>COUNTIF(Eingabe[S1],HäufigsteErgebnisse[[#This Row],[Zahl]])+COUNTIF(Eingabe[S2],HäufigsteErgebnisse[[#This Row],[Zahl]])+COUNTIF(Eingabe[S3],HäufigsteErgebnisse[[#This Row],[Zahl]])+COUNTIF(Eingabe[S4],HäufigsteErgebnisse[[#This Row],[Zahl]])</f>
        <v>0</v>
      </c>
      <c r="K728" s="2">
        <f>COUNTIF(Eingabe[GES],HäufigsteErgebnisse[[#This Row],[Zahl]])</f>
        <v>0</v>
      </c>
      <c r="L728" s="2">
        <f>HäufigsteErgebnisse[[#This Row],[Zahl]]</f>
        <v>670</v>
      </c>
    </row>
    <row r="729" spans="2:12" x14ac:dyDescent="0.3">
      <c r="B729" s="2">
        <v>671</v>
      </c>
      <c r="C729" s="2">
        <f>COUNTIF(Eingabe[Volle],HäufigsteErgebnisse[[#This Row],[Zahl]])</f>
        <v>0</v>
      </c>
      <c r="D729" s="2">
        <f>COUNTIF(Eingabe[Räumer],HäufigsteErgebnisse[[#This Row],[Zahl]])</f>
        <v>0</v>
      </c>
      <c r="E729" s="2">
        <f>COUNTIF(Eingabe[Fehler],HäufigsteErgebnisse[[#This Row],[Zahl]])</f>
        <v>0</v>
      </c>
      <c r="F729" s="2">
        <f>COUNTIF(Eingabe[S1],HäufigsteErgebnisse[[#This Row],[Zahl]])</f>
        <v>0</v>
      </c>
      <c r="G729" s="2">
        <f>COUNTIF(Eingabe[S2],HäufigsteErgebnisse[[#This Row],[Zahl]])</f>
        <v>0</v>
      </c>
      <c r="H729" s="2">
        <f>COUNTIF(Eingabe[S3],HäufigsteErgebnisse[[#This Row],[Zahl]])</f>
        <v>0</v>
      </c>
      <c r="I729" s="2">
        <f>COUNTIF(Eingabe[S4],HäufigsteErgebnisse[[#This Row],[Zahl]])</f>
        <v>0</v>
      </c>
      <c r="J729" s="2">
        <f>COUNTIF(Eingabe[S1],HäufigsteErgebnisse[[#This Row],[Zahl]])+COUNTIF(Eingabe[S2],HäufigsteErgebnisse[[#This Row],[Zahl]])+COUNTIF(Eingabe[S3],HäufigsteErgebnisse[[#This Row],[Zahl]])+COUNTIF(Eingabe[S4],HäufigsteErgebnisse[[#This Row],[Zahl]])</f>
        <v>0</v>
      </c>
      <c r="K729" s="2">
        <f>COUNTIF(Eingabe[GES],HäufigsteErgebnisse[[#This Row],[Zahl]])</f>
        <v>0</v>
      </c>
      <c r="L729" s="2">
        <f>HäufigsteErgebnisse[[#This Row],[Zahl]]</f>
        <v>671</v>
      </c>
    </row>
    <row r="730" spans="2:12" x14ac:dyDescent="0.3">
      <c r="B730" s="2">
        <v>672</v>
      </c>
      <c r="C730" s="2">
        <f>COUNTIF(Eingabe[Volle],HäufigsteErgebnisse[[#This Row],[Zahl]])</f>
        <v>0</v>
      </c>
      <c r="D730" s="2">
        <f>COUNTIF(Eingabe[Räumer],HäufigsteErgebnisse[[#This Row],[Zahl]])</f>
        <v>0</v>
      </c>
      <c r="E730" s="2">
        <f>COUNTIF(Eingabe[Fehler],HäufigsteErgebnisse[[#This Row],[Zahl]])</f>
        <v>0</v>
      </c>
      <c r="F730" s="2">
        <f>COUNTIF(Eingabe[S1],HäufigsteErgebnisse[[#This Row],[Zahl]])</f>
        <v>0</v>
      </c>
      <c r="G730" s="2">
        <f>COUNTIF(Eingabe[S2],HäufigsteErgebnisse[[#This Row],[Zahl]])</f>
        <v>0</v>
      </c>
      <c r="H730" s="2">
        <f>COUNTIF(Eingabe[S3],HäufigsteErgebnisse[[#This Row],[Zahl]])</f>
        <v>0</v>
      </c>
      <c r="I730" s="2">
        <f>COUNTIF(Eingabe[S4],HäufigsteErgebnisse[[#This Row],[Zahl]])</f>
        <v>0</v>
      </c>
      <c r="J730" s="2">
        <f>COUNTIF(Eingabe[S1],HäufigsteErgebnisse[[#This Row],[Zahl]])+COUNTIF(Eingabe[S2],HäufigsteErgebnisse[[#This Row],[Zahl]])+COUNTIF(Eingabe[S3],HäufigsteErgebnisse[[#This Row],[Zahl]])+COUNTIF(Eingabe[S4],HäufigsteErgebnisse[[#This Row],[Zahl]])</f>
        <v>0</v>
      </c>
      <c r="K730" s="2">
        <f>COUNTIF(Eingabe[GES],HäufigsteErgebnisse[[#This Row],[Zahl]])</f>
        <v>0</v>
      </c>
      <c r="L730" s="2">
        <f>HäufigsteErgebnisse[[#This Row],[Zahl]]</f>
        <v>672</v>
      </c>
    </row>
    <row r="731" spans="2:12" x14ac:dyDescent="0.3">
      <c r="B731" s="2">
        <v>673</v>
      </c>
      <c r="C731" s="2">
        <f>COUNTIF(Eingabe[Volle],HäufigsteErgebnisse[[#This Row],[Zahl]])</f>
        <v>0</v>
      </c>
      <c r="D731" s="2">
        <f>COUNTIF(Eingabe[Räumer],HäufigsteErgebnisse[[#This Row],[Zahl]])</f>
        <v>0</v>
      </c>
      <c r="E731" s="2">
        <f>COUNTIF(Eingabe[Fehler],HäufigsteErgebnisse[[#This Row],[Zahl]])</f>
        <v>0</v>
      </c>
      <c r="F731" s="2">
        <f>COUNTIF(Eingabe[S1],HäufigsteErgebnisse[[#This Row],[Zahl]])</f>
        <v>0</v>
      </c>
      <c r="G731" s="2">
        <f>COUNTIF(Eingabe[S2],HäufigsteErgebnisse[[#This Row],[Zahl]])</f>
        <v>0</v>
      </c>
      <c r="H731" s="2">
        <f>COUNTIF(Eingabe[S3],HäufigsteErgebnisse[[#This Row],[Zahl]])</f>
        <v>0</v>
      </c>
      <c r="I731" s="2">
        <f>COUNTIF(Eingabe[S4],HäufigsteErgebnisse[[#This Row],[Zahl]])</f>
        <v>0</v>
      </c>
      <c r="J731" s="2">
        <f>COUNTIF(Eingabe[S1],HäufigsteErgebnisse[[#This Row],[Zahl]])+COUNTIF(Eingabe[S2],HäufigsteErgebnisse[[#This Row],[Zahl]])+COUNTIF(Eingabe[S3],HäufigsteErgebnisse[[#This Row],[Zahl]])+COUNTIF(Eingabe[S4],HäufigsteErgebnisse[[#This Row],[Zahl]])</f>
        <v>0</v>
      </c>
      <c r="K731" s="2">
        <f>COUNTIF(Eingabe[GES],HäufigsteErgebnisse[[#This Row],[Zahl]])</f>
        <v>0</v>
      </c>
      <c r="L731" s="2">
        <f>HäufigsteErgebnisse[[#This Row],[Zahl]]</f>
        <v>673</v>
      </c>
    </row>
    <row r="732" spans="2:12" x14ac:dyDescent="0.3">
      <c r="B732" s="2">
        <v>674</v>
      </c>
      <c r="C732" s="2">
        <f>COUNTIF(Eingabe[Volle],HäufigsteErgebnisse[[#This Row],[Zahl]])</f>
        <v>0</v>
      </c>
      <c r="D732" s="2">
        <f>COUNTIF(Eingabe[Räumer],HäufigsteErgebnisse[[#This Row],[Zahl]])</f>
        <v>0</v>
      </c>
      <c r="E732" s="2">
        <f>COUNTIF(Eingabe[Fehler],HäufigsteErgebnisse[[#This Row],[Zahl]])</f>
        <v>0</v>
      </c>
      <c r="F732" s="2">
        <f>COUNTIF(Eingabe[S1],HäufigsteErgebnisse[[#This Row],[Zahl]])</f>
        <v>0</v>
      </c>
      <c r="G732" s="2">
        <f>COUNTIF(Eingabe[S2],HäufigsteErgebnisse[[#This Row],[Zahl]])</f>
        <v>0</v>
      </c>
      <c r="H732" s="2">
        <f>COUNTIF(Eingabe[S3],HäufigsteErgebnisse[[#This Row],[Zahl]])</f>
        <v>0</v>
      </c>
      <c r="I732" s="2">
        <f>COUNTIF(Eingabe[S4],HäufigsteErgebnisse[[#This Row],[Zahl]])</f>
        <v>0</v>
      </c>
      <c r="J732" s="2">
        <f>COUNTIF(Eingabe[S1],HäufigsteErgebnisse[[#This Row],[Zahl]])+COUNTIF(Eingabe[S2],HäufigsteErgebnisse[[#This Row],[Zahl]])+COUNTIF(Eingabe[S3],HäufigsteErgebnisse[[#This Row],[Zahl]])+COUNTIF(Eingabe[S4],HäufigsteErgebnisse[[#This Row],[Zahl]])</f>
        <v>0</v>
      </c>
      <c r="K732" s="2">
        <f>COUNTIF(Eingabe[GES],HäufigsteErgebnisse[[#This Row],[Zahl]])</f>
        <v>0</v>
      </c>
      <c r="L732" s="2">
        <f>HäufigsteErgebnisse[[#This Row],[Zahl]]</f>
        <v>674</v>
      </c>
    </row>
    <row r="733" spans="2:12" x14ac:dyDescent="0.3">
      <c r="B733" s="2">
        <v>675</v>
      </c>
      <c r="C733" s="2">
        <f>COUNTIF(Eingabe[Volle],HäufigsteErgebnisse[[#This Row],[Zahl]])</f>
        <v>0</v>
      </c>
      <c r="D733" s="2">
        <f>COUNTIF(Eingabe[Räumer],HäufigsteErgebnisse[[#This Row],[Zahl]])</f>
        <v>0</v>
      </c>
      <c r="E733" s="2">
        <f>COUNTIF(Eingabe[Fehler],HäufigsteErgebnisse[[#This Row],[Zahl]])</f>
        <v>0</v>
      </c>
      <c r="F733" s="2">
        <f>COUNTIF(Eingabe[S1],HäufigsteErgebnisse[[#This Row],[Zahl]])</f>
        <v>0</v>
      </c>
      <c r="G733" s="2">
        <f>COUNTIF(Eingabe[S2],HäufigsteErgebnisse[[#This Row],[Zahl]])</f>
        <v>0</v>
      </c>
      <c r="H733" s="2">
        <f>COUNTIF(Eingabe[S3],HäufigsteErgebnisse[[#This Row],[Zahl]])</f>
        <v>0</v>
      </c>
      <c r="I733" s="2">
        <f>COUNTIF(Eingabe[S4],HäufigsteErgebnisse[[#This Row],[Zahl]])</f>
        <v>0</v>
      </c>
      <c r="J733" s="2">
        <f>COUNTIF(Eingabe[S1],HäufigsteErgebnisse[[#This Row],[Zahl]])+COUNTIF(Eingabe[S2],HäufigsteErgebnisse[[#This Row],[Zahl]])+COUNTIF(Eingabe[S3],HäufigsteErgebnisse[[#This Row],[Zahl]])+COUNTIF(Eingabe[S4],HäufigsteErgebnisse[[#This Row],[Zahl]])</f>
        <v>0</v>
      </c>
      <c r="K733" s="2">
        <f>COUNTIF(Eingabe[GES],HäufigsteErgebnisse[[#This Row],[Zahl]])</f>
        <v>0</v>
      </c>
      <c r="L733" s="2">
        <f>HäufigsteErgebnisse[[#This Row],[Zahl]]</f>
        <v>675</v>
      </c>
    </row>
    <row r="734" spans="2:12" x14ac:dyDescent="0.3">
      <c r="B734" s="2">
        <v>676</v>
      </c>
      <c r="C734" s="2">
        <f>COUNTIF(Eingabe[Volle],HäufigsteErgebnisse[[#This Row],[Zahl]])</f>
        <v>0</v>
      </c>
      <c r="D734" s="2">
        <f>COUNTIF(Eingabe[Räumer],HäufigsteErgebnisse[[#This Row],[Zahl]])</f>
        <v>0</v>
      </c>
      <c r="E734" s="2">
        <f>COUNTIF(Eingabe[Fehler],HäufigsteErgebnisse[[#This Row],[Zahl]])</f>
        <v>0</v>
      </c>
      <c r="F734" s="2">
        <f>COUNTIF(Eingabe[S1],HäufigsteErgebnisse[[#This Row],[Zahl]])</f>
        <v>0</v>
      </c>
      <c r="G734" s="2">
        <f>COUNTIF(Eingabe[S2],HäufigsteErgebnisse[[#This Row],[Zahl]])</f>
        <v>0</v>
      </c>
      <c r="H734" s="2">
        <f>COUNTIF(Eingabe[S3],HäufigsteErgebnisse[[#This Row],[Zahl]])</f>
        <v>0</v>
      </c>
      <c r="I734" s="2">
        <f>COUNTIF(Eingabe[S4],HäufigsteErgebnisse[[#This Row],[Zahl]])</f>
        <v>0</v>
      </c>
      <c r="J734" s="2">
        <f>COUNTIF(Eingabe[S1],HäufigsteErgebnisse[[#This Row],[Zahl]])+COUNTIF(Eingabe[S2],HäufigsteErgebnisse[[#This Row],[Zahl]])+COUNTIF(Eingabe[S3],HäufigsteErgebnisse[[#This Row],[Zahl]])+COUNTIF(Eingabe[S4],HäufigsteErgebnisse[[#This Row],[Zahl]])</f>
        <v>0</v>
      </c>
      <c r="K734" s="2">
        <f>COUNTIF(Eingabe[GES],HäufigsteErgebnisse[[#This Row],[Zahl]])</f>
        <v>0</v>
      </c>
      <c r="L734" s="2">
        <f>HäufigsteErgebnisse[[#This Row],[Zahl]]</f>
        <v>676</v>
      </c>
    </row>
    <row r="735" spans="2:12" x14ac:dyDescent="0.3">
      <c r="B735" s="2">
        <v>677</v>
      </c>
      <c r="C735" s="2">
        <f>COUNTIF(Eingabe[Volle],HäufigsteErgebnisse[[#This Row],[Zahl]])</f>
        <v>0</v>
      </c>
      <c r="D735" s="2">
        <f>COUNTIF(Eingabe[Räumer],HäufigsteErgebnisse[[#This Row],[Zahl]])</f>
        <v>0</v>
      </c>
      <c r="E735" s="2">
        <f>COUNTIF(Eingabe[Fehler],HäufigsteErgebnisse[[#This Row],[Zahl]])</f>
        <v>0</v>
      </c>
      <c r="F735" s="2">
        <f>COUNTIF(Eingabe[S1],HäufigsteErgebnisse[[#This Row],[Zahl]])</f>
        <v>0</v>
      </c>
      <c r="G735" s="2">
        <f>COUNTIF(Eingabe[S2],HäufigsteErgebnisse[[#This Row],[Zahl]])</f>
        <v>0</v>
      </c>
      <c r="H735" s="2">
        <f>COUNTIF(Eingabe[S3],HäufigsteErgebnisse[[#This Row],[Zahl]])</f>
        <v>0</v>
      </c>
      <c r="I735" s="2">
        <f>COUNTIF(Eingabe[S4],HäufigsteErgebnisse[[#This Row],[Zahl]])</f>
        <v>0</v>
      </c>
      <c r="J735" s="2">
        <f>COUNTIF(Eingabe[S1],HäufigsteErgebnisse[[#This Row],[Zahl]])+COUNTIF(Eingabe[S2],HäufigsteErgebnisse[[#This Row],[Zahl]])+COUNTIF(Eingabe[S3],HäufigsteErgebnisse[[#This Row],[Zahl]])+COUNTIF(Eingabe[S4],HäufigsteErgebnisse[[#This Row],[Zahl]])</f>
        <v>0</v>
      </c>
      <c r="K735" s="2">
        <f>COUNTIF(Eingabe[GES],HäufigsteErgebnisse[[#This Row],[Zahl]])</f>
        <v>0</v>
      </c>
      <c r="L735" s="2">
        <f>HäufigsteErgebnisse[[#This Row],[Zahl]]</f>
        <v>677</v>
      </c>
    </row>
    <row r="736" spans="2:12" x14ac:dyDescent="0.3">
      <c r="B736" s="2">
        <v>678</v>
      </c>
      <c r="C736" s="2">
        <f>COUNTIF(Eingabe[Volle],HäufigsteErgebnisse[[#This Row],[Zahl]])</f>
        <v>0</v>
      </c>
      <c r="D736" s="2">
        <f>COUNTIF(Eingabe[Räumer],HäufigsteErgebnisse[[#This Row],[Zahl]])</f>
        <v>0</v>
      </c>
      <c r="E736" s="2">
        <f>COUNTIF(Eingabe[Fehler],HäufigsteErgebnisse[[#This Row],[Zahl]])</f>
        <v>0</v>
      </c>
      <c r="F736" s="2">
        <f>COUNTIF(Eingabe[S1],HäufigsteErgebnisse[[#This Row],[Zahl]])</f>
        <v>0</v>
      </c>
      <c r="G736" s="2">
        <f>COUNTIF(Eingabe[S2],HäufigsteErgebnisse[[#This Row],[Zahl]])</f>
        <v>0</v>
      </c>
      <c r="H736" s="2">
        <f>COUNTIF(Eingabe[S3],HäufigsteErgebnisse[[#This Row],[Zahl]])</f>
        <v>0</v>
      </c>
      <c r="I736" s="2">
        <f>COUNTIF(Eingabe[S4],HäufigsteErgebnisse[[#This Row],[Zahl]])</f>
        <v>0</v>
      </c>
      <c r="J736" s="2">
        <f>COUNTIF(Eingabe[S1],HäufigsteErgebnisse[[#This Row],[Zahl]])+COUNTIF(Eingabe[S2],HäufigsteErgebnisse[[#This Row],[Zahl]])+COUNTIF(Eingabe[S3],HäufigsteErgebnisse[[#This Row],[Zahl]])+COUNTIF(Eingabe[S4],HäufigsteErgebnisse[[#This Row],[Zahl]])</f>
        <v>0</v>
      </c>
      <c r="K736" s="2">
        <f>COUNTIF(Eingabe[GES],HäufigsteErgebnisse[[#This Row],[Zahl]])</f>
        <v>0</v>
      </c>
      <c r="L736" s="2">
        <f>HäufigsteErgebnisse[[#This Row],[Zahl]]</f>
        <v>678</v>
      </c>
    </row>
    <row r="737" spans="2:12" x14ac:dyDescent="0.3">
      <c r="B737" s="2">
        <v>679</v>
      </c>
      <c r="C737" s="2">
        <f>COUNTIF(Eingabe[Volle],HäufigsteErgebnisse[[#This Row],[Zahl]])</f>
        <v>0</v>
      </c>
      <c r="D737" s="2">
        <f>COUNTIF(Eingabe[Räumer],HäufigsteErgebnisse[[#This Row],[Zahl]])</f>
        <v>0</v>
      </c>
      <c r="E737" s="2">
        <f>COUNTIF(Eingabe[Fehler],HäufigsteErgebnisse[[#This Row],[Zahl]])</f>
        <v>0</v>
      </c>
      <c r="F737" s="2">
        <f>COUNTIF(Eingabe[S1],HäufigsteErgebnisse[[#This Row],[Zahl]])</f>
        <v>0</v>
      </c>
      <c r="G737" s="2">
        <f>COUNTIF(Eingabe[S2],HäufigsteErgebnisse[[#This Row],[Zahl]])</f>
        <v>0</v>
      </c>
      <c r="H737" s="2">
        <f>COUNTIF(Eingabe[S3],HäufigsteErgebnisse[[#This Row],[Zahl]])</f>
        <v>0</v>
      </c>
      <c r="I737" s="2">
        <f>COUNTIF(Eingabe[S4],HäufigsteErgebnisse[[#This Row],[Zahl]])</f>
        <v>0</v>
      </c>
      <c r="J737" s="2">
        <f>COUNTIF(Eingabe[S1],HäufigsteErgebnisse[[#This Row],[Zahl]])+COUNTIF(Eingabe[S2],HäufigsteErgebnisse[[#This Row],[Zahl]])+COUNTIF(Eingabe[S3],HäufigsteErgebnisse[[#This Row],[Zahl]])+COUNTIF(Eingabe[S4],HäufigsteErgebnisse[[#This Row],[Zahl]])</f>
        <v>0</v>
      </c>
      <c r="K737" s="2">
        <f>COUNTIF(Eingabe[GES],HäufigsteErgebnisse[[#This Row],[Zahl]])</f>
        <v>0</v>
      </c>
      <c r="L737" s="2">
        <f>HäufigsteErgebnisse[[#This Row],[Zahl]]</f>
        <v>679</v>
      </c>
    </row>
    <row r="738" spans="2:12" x14ac:dyDescent="0.3">
      <c r="B738" s="2">
        <v>680</v>
      </c>
      <c r="C738" s="2">
        <f>COUNTIF(Eingabe[Volle],HäufigsteErgebnisse[[#This Row],[Zahl]])</f>
        <v>0</v>
      </c>
      <c r="D738" s="2">
        <f>COUNTIF(Eingabe[Räumer],HäufigsteErgebnisse[[#This Row],[Zahl]])</f>
        <v>0</v>
      </c>
      <c r="E738" s="2">
        <f>COUNTIF(Eingabe[Fehler],HäufigsteErgebnisse[[#This Row],[Zahl]])</f>
        <v>0</v>
      </c>
      <c r="F738" s="2">
        <f>COUNTIF(Eingabe[S1],HäufigsteErgebnisse[[#This Row],[Zahl]])</f>
        <v>0</v>
      </c>
      <c r="G738" s="2">
        <f>COUNTIF(Eingabe[S2],HäufigsteErgebnisse[[#This Row],[Zahl]])</f>
        <v>0</v>
      </c>
      <c r="H738" s="2">
        <f>COUNTIF(Eingabe[S3],HäufigsteErgebnisse[[#This Row],[Zahl]])</f>
        <v>0</v>
      </c>
      <c r="I738" s="2">
        <f>COUNTIF(Eingabe[S4],HäufigsteErgebnisse[[#This Row],[Zahl]])</f>
        <v>0</v>
      </c>
      <c r="J738" s="2">
        <f>COUNTIF(Eingabe[S1],HäufigsteErgebnisse[[#This Row],[Zahl]])+COUNTIF(Eingabe[S2],HäufigsteErgebnisse[[#This Row],[Zahl]])+COUNTIF(Eingabe[S3],HäufigsteErgebnisse[[#This Row],[Zahl]])+COUNTIF(Eingabe[S4],HäufigsteErgebnisse[[#This Row],[Zahl]])</f>
        <v>0</v>
      </c>
      <c r="K738" s="2">
        <f>COUNTIF(Eingabe[GES],HäufigsteErgebnisse[[#This Row],[Zahl]])</f>
        <v>0</v>
      </c>
      <c r="L738" s="2">
        <f>HäufigsteErgebnisse[[#This Row],[Zahl]]</f>
        <v>680</v>
      </c>
    </row>
    <row r="739" spans="2:12" x14ac:dyDescent="0.3">
      <c r="B739" s="2">
        <v>681</v>
      </c>
      <c r="C739" s="2">
        <f>COUNTIF(Eingabe[Volle],HäufigsteErgebnisse[[#This Row],[Zahl]])</f>
        <v>0</v>
      </c>
      <c r="D739" s="2">
        <f>COUNTIF(Eingabe[Räumer],HäufigsteErgebnisse[[#This Row],[Zahl]])</f>
        <v>0</v>
      </c>
      <c r="E739" s="2">
        <f>COUNTIF(Eingabe[Fehler],HäufigsteErgebnisse[[#This Row],[Zahl]])</f>
        <v>0</v>
      </c>
      <c r="F739" s="2">
        <f>COUNTIF(Eingabe[S1],HäufigsteErgebnisse[[#This Row],[Zahl]])</f>
        <v>0</v>
      </c>
      <c r="G739" s="2">
        <f>COUNTIF(Eingabe[S2],HäufigsteErgebnisse[[#This Row],[Zahl]])</f>
        <v>0</v>
      </c>
      <c r="H739" s="2">
        <f>COUNTIF(Eingabe[S3],HäufigsteErgebnisse[[#This Row],[Zahl]])</f>
        <v>0</v>
      </c>
      <c r="I739" s="2">
        <f>COUNTIF(Eingabe[S4],HäufigsteErgebnisse[[#This Row],[Zahl]])</f>
        <v>0</v>
      </c>
      <c r="J739" s="2">
        <f>COUNTIF(Eingabe[S1],HäufigsteErgebnisse[[#This Row],[Zahl]])+COUNTIF(Eingabe[S2],HäufigsteErgebnisse[[#This Row],[Zahl]])+COUNTIF(Eingabe[S3],HäufigsteErgebnisse[[#This Row],[Zahl]])+COUNTIF(Eingabe[S4],HäufigsteErgebnisse[[#This Row],[Zahl]])</f>
        <v>0</v>
      </c>
      <c r="K739" s="2">
        <f>COUNTIF(Eingabe[GES],HäufigsteErgebnisse[[#This Row],[Zahl]])</f>
        <v>0</v>
      </c>
      <c r="L739" s="2">
        <f>HäufigsteErgebnisse[[#This Row],[Zahl]]</f>
        <v>681</v>
      </c>
    </row>
    <row r="740" spans="2:12" x14ac:dyDescent="0.3">
      <c r="B740" s="2">
        <v>682</v>
      </c>
      <c r="C740" s="2">
        <f>COUNTIF(Eingabe[Volle],HäufigsteErgebnisse[[#This Row],[Zahl]])</f>
        <v>0</v>
      </c>
      <c r="D740" s="2">
        <f>COUNTIF(Eingabe[Räumer],HäufigsteErgebnisse[[#This Row],[Zahl]])</f>
        <v>0</v>
      </c>
      <c r="E740" s="2">
        <f>COUNTIF(Eingabe[Fehler],HäufigsteErgebnisse[[#This Row],[Zahl]])</f>
        <v>0</v>
      </c>
      <c r="F740" s="2">
        <f>COUNTIF(Eingabe[S1],HäufigsteErgebnisse[[#This Row],[Zahl]])</f>
        <v>0</v>
      </c>
      <c r="G740" s="2">
        <f>COUNTIF(Eingabe[S2],HäufigsteErgebnisse[[#This Row],[Zahl]])</f>
        <v>0</v>
      </c>
      <c r="H740" s="2">
        <f>COUNTIF(Eingabe[S3],HäufigsteErgebnisse[[#This Row],[Zahl]])</f>
        <v>0</v>
      </c>
      <c r="I740" s="2">
        <f>COUNTIF(Eingabe[S4],HäufigsteErgebnisse[[#This Row],[Zahl]])</f>
        <v>0</v>
      </c>
      <c r="J740" s="2">
        <f>COUNTIF(Eingabe[S1],HäufigsteErgebnisse[[#This Row],[Zahl]])+COUNTIF(Eingabe[S2],HäufigsteErgebnisse[[#This Row],[Zahl]])+COUNTIF(Eingabe[S3],HäufigsteErgebnisse[[#This Row],[Zahl]])+COUNTIF(Eingabe[S4],HäufigsteErgebnisse[[#This Row],[Zahl]])</f>
        <v>0</v>
      </c>
      <c r="K740" s="2">
        <f>COUNTIF(Eingabe[GES],HäufigsteErgebnisse[[#This Row],[Zahl]])</f>
        <v>0</v>
      </c>
      <c r="L740" s="2">
        <f>HäufigsteErgebnisse[[#This Row],[Zahl]]</f>
        <v>682</v>
      </c>
    </row>
    <row r="741" spans="2:12" x14ac:dyDescent="0.3">
      <c r="B741" s="2">
        <v>683</v>
      </c>
      <c r="C741" s="2">
        <f>COUNTIF(Eingabe[Volle],HäufigsteErgebnisse[[#This Row],[Zahl]])</f>
        <v>0</v>
      </c>
      <c r="D741" s="2">
        <f>COUNTIF(Eingabe[Räumer],HäufigsteErgebnisse[[#This Row],[Zahl]])</f>
        <v>0</v>
      </c>
      <c r="E741" s="2">
        <f>COUNTIF(Eingabe[Fehler],HäufigsteErgebnisse[[#This Row],[Zahl]])</f>
        <v>0</v>
      </c>
      <c r="F741" s="2">
        <f>COUNTIF(Eingabe[S1],HäufigsteErgebnisse[[#This Row],[Zahl]])</f>
        <v>0</v>
      </c>
      <c r="G741" s="2">
        <f>COUNTIF(Eingabe[S2],HäufigsteErgebnisse[[#This Row],[Zahl]])</f>
        <v>0</v>
      </c>
      <c r="H741" s="2">
        <f>COUNTIF(Eingabe[S3],HäufigsteErgebnisse[[#This Row],[Zahl]])</f>
        <v>0</v>
      </c>
      <c r="I741" s="2">
        <f>COUNTIF(Eingabe[S4],HäufigsteErgebnisse[[#This Row],[Zahl]])</f>
        <v>0</v>
      </c>
      <c r="J741" s="2">
        <f>COUNTIF(Eingabe[S1],HäufigsteErgebnisse[[#This Row],[Zahl]])+COUNTIF(Eingabe[S2],HäufigsteErgebnisse[[#This Row],[Zahl]])+COUNTIF(Eingabe[S3],HäufigsteErgebnisse[[#This Row],[Zahl]])+COUNTIF(Eingabe[S4],HäufigsteErgebnisse[[#This Row],[Zahl]])</f>
        <v>0</v>
      </c>
      <c r="K741" s="2">
        <f>COUNTIF(Eingabe[GES],HäufigsteErgebnisse[[#This Row],[Zahl]])</f>
        <v>0</v>
      </c>
      <c r="L741" s="2">
        <f>HäufigsteErgebnisse[[#This Row],[Zahl]]</f>
        <v>683</v>
      </c>
    </row>
    <row r="742" spans="2:12" x14ac:dyDescent="0.3">
      <c r="B742" s="2">
        <v>684</v>
      </c>
      <c r="C742" s="2">
        <f>COUNTIF(Eingabe[Volle],HäufigsteErgebnisse[[#This Row],[Zahl]])</f>
        <v>0</v>
      </c>
      <c r="D742" s="2">
        <f>COUNTIF(Eingabe[Räumer],HäufigsteErgebnisse[[#This Row],[Zahl]])</f>
        <v>0</v>
      </c>
      <c r="E742" s="2">
        <f>COUNTIF(Eingabe[Fehler],HäufigsteErgebnisse[[#This Row],[Zahl]])</f>
        <v>0</v>
      </c>
      <c r="F742" s="2">
        <f>COUNTIF(Eingabe[S1],HäufigsteErgebnisse[[#This Row],[Zahl]])</f>
        <v>0</v>
      </c>
      <c r="G742" s="2">
        <f>COUNTIF(Eingabe[S2],HäufigsteErgebnisse[[#This Row],[Zahl]])</f>
        <v>0</v>
      </c>
      <c r="H742" s="2">
        <f>COUNTIF(Eingabe[S3],HäufigsteErgebnisse[[#This Row],[Zahl]])</f>
        <v>0</v>
      </c>
      <c r="I742" s="2">
        <f>COUNTIF(Eingabe[S4],HäufigsteErgebnisse[[#This Row],[Zahl]])</f>
        <v>0</v>
      </c>
      <c r="J742" s="2">
        <f>COUNTIF(Eingabe[S1],HäufigsteErgebnisse[[#This Row],[Zahl]])+COUNTIF(Eingabe[S2],HäufigsteErgebnisse[[#This Row],[Zahl]])+COUNTIF(Eingabe[S3],HäufigsteErgebnisse[[#This Row],[Zahl]])+COUNTIF(Eingabe[S4],HäufigsteErgebnisse[[#This Row],[Zahl]])</f>
        <v>0</v>
      </c>
      <c r="K742" s="2">
        <f>COUNTIF(Eingabe[GES],HäufigsteErgebnisse[[#This Row],[Zahl]])</f>
        <v>0</v>
      </c>
      <c r="L742" s="2">
        <f>HäufigsteErgebnisse[[#This Row],[Zahl]]</f>
        <v>684</v>
      </c>
    </row>
    <row r="743" spans="2:12" x14ac:dyDescent="0.3">
      <c r="B743" s="2">
        <v>685</v>
      </c>
      <c r="C743" s="2">
        <f>COUNTIF(Eingabe[Volle],HäufigsteErgebnisse[[#This Row],[Zahl]])</f>
        <v>0</v>
      </c>
      <c r="D743" s="2">
        <f>COUNTIF(Eingabe[Räumer],HäufigsteErgebnisse[[#This Row],[Zahl]])</f>
        <v>0</v>
      </c>
      <c r="E743" s="2">
        <f>COUNTIF(Eingabe[Fehler],HäufigsteErgebnisse[[#This Row],[Zahl]])</f>
        <v>0</v>
      </c>
      <c r="F743" s="2">
        <f>COUNTIF(Eingabe[S1],HäufigsteErgebnisse[[#This Row],[Zahl]])</f>
        <v>0</v>
      </c>
      <c r="G743" s="2">
        <f>COUNTIF(Eingabe[S2],HäufigsteErgebnisse[[#This Row],[Zahl]])</f>
        <v>0</v>
      </c>
      <c r="H743" s="2">
        <f>COUNTIF(Eingabe[S3],HäufigsteErgebnisse[[#This Row],[Zahl]])</f>
        <v>0</v>
      </c>
      <c r="I743" s="2">
        <f>COUNTIF(Eingabe[S4],HäufigsteErgebnisse[[#This Row],[Zahl]])</f>
        <v>0</v>
      </c>
      <c r="J743" s="2">
        <f>COUNTIF(Eingabe[S1],HäufigsteErgebnisse[[#This Row],[Zahl]])+COUNTIF(Eingabe[S2],HäufigsteErgebnisse[[#This Row],[Zahl]])+COUNTIF(Eingabe[S3],HäufigsteErgebnisse[[#This Row],[Zahl]])+COUNTIF(Eingabe[S4],HäufigsteErgebnisse[[#This Row],[Zahl]])</f>
        <v>0</v>
      </c>
      <c r="K743" s="2">
        <f>COUNTIF(Eingabe[GES],HäufigsteErgebnisse[[#This Row],[Zahl]])</f>
        <v>0</v>
      </c>
      <c r="L743" s="2">
        <f>HäufigsteErgebnisse[[#This Row],[Zahl]]</f>
        <v>685</v>
      </c>
    </row>
    <row r="744" spans="2:12" x14ac:dyDescent="0.3">
      <c r="B744" s="2">
        <v>686</v>
      </c>
      <c r="C744" s="2">
        <f>COUNTIF(Eingabe[Volle],HäufigsteErgebnisse[[#This Row],[Zahl]])</f>
        <v>0</v>
      </c>
      <c r="D744" s="2">
        <f>COUNTIF(Eingabe[Räumer],HäufigsteErgebnisse[[#This Row],[Zahl]])</f>
        <v>0</v>
      </c>
      <c r="E744" s="2">
        <f>COUNTIF(Eingabe[Fehler],HäufigsteErgebnisse[[#This Row],[Zahl]])</f>
        <v>0</v>
      </c>
      <c r="F744" s="2">
        <f>COUNTIF(Eingabe[S1],HäufigsteErgebnisse[[#This Row],[Zahl]])</f>
        <v>0</v>
      </c>
      <c r="G744" s="2">
        <f>COUNTIF(Eingabe[S2],HäufigsteErgebnisse[[#This Row],[Zahl]])</f>
        <v>0</v>
      </c>
      <c r="H744" s="2">
        <f>COUNTIF(Eingabe[S3],HäufigsteErgebnisse[[#This Row],[Zahl]])</f>
        <v>0</v>
      </c>
      <c r="I744" s="2">
        <f>COUNTIF(Eingabe[S4],HäufigsteErgebnisse[[#This Row],[Zahl]])</f>
        <v>0</v>
      </c>
      <c r="J744" s="2">
        <f>COUNTIF(Eingabe[S1],HäufigsteErgebnisse[[#This Row],[Zahl]])+COUNTIF(Eingabe[S2],HäufigsteErgebnisse[[#This Row],[Zahl]])+COUNTIF(Eingabe[S3],HäufigsteErgebnisse[[#This Row],[Zahl]])+COUNTIF(Eingabe[S4],HäufigsteErgebnisse[[#This Row],[Zahl]])</f>
        <v>0</v>
      </c>
      <c r="K744" s="2">
        <f>COUNTIF(Eingabe[GES],HäufigsteErgebnisse[[#This Row],[Zahl]])</f>
        <v>0</v>
      </c>
      <c r="L744" s="2">
        <f>HäufigsteErgebnisse[[#This Row],[Zahl]]</f>
        <v>686</v>
      </c>
    </row>
    <row r="745" spans="2:12" x14ac:dyDescent="0.3">
      <c r="B745" s="2">
        <v>687</v>
      </c>
      <c r="C745" s="2">
        <f>COUNTIF(Eingabe[Volle],HäufigsteErgebnisse[[#This Row],[Zahl]])</f>
        <v>0</v>
      </c>
      <c r="D745" s="2">
        <f>COUNTIF(Eingabe[Räumer],HäufigsteErgebnisse[[#This Row],[Zahl]])</f>
        <v>0</v>
      </c>
      <c r="E745" s="2">
        <f>COUNTIF(Eingabe[Fehler],HäufigsteErgebnisse[[#This Row],[Zahl]])</f>
        <v>0</v>
      </c>
      <c r="F745" s="2">
        <f>COUNTIF(Eingabe[S1],HäufigsteErgebnisse[[#This Row],[Zahl]])</f>
        <v>0</v>
      </c>
      <c r="G745" s="2">
        <f>COUNTIF(Eingabe[S2],HäufigsteErgebnisse[[#This Row],[Zahl]])</f>
        <v>0</v>
      </c>
      <c r="H745" s="2">
        <f>COUNTIF(Eingabe[S3],HäufigsteErgebnisse[[#This Row],[Zahl]])</f>
        <v>0</v>
      </c>
      <c r="I745" s="2">
        <f>COUNTIF(Eingabe[S4],HäufigsteErgebnisse[[#This Row],[Zahl]])</f>
        <v>0</v>
      </c>
      <c r="J745" s="2">
        <f>COUNTIF(Eingabe[S1],HäufigsteErgebnisse[[#This Row],[Zahl]])+COUNTIF(Eingabe[S2],HäufigsteErgebnisse[[#This Row],[Zahl]])+COUNTIF(Eingabe[S3],HäufigsteErgebnisse[[#This Row],[Zahl]])+COUNTIF(Eingabe[S4],HäufigsteErgebnisse[[#This Row],[Zahl]])</f>
        <v>0</v>
      </c>
      <c r="K745" s="2">
        <f>COUNTIF(Eingabe[GES],HäufigsteErgebnisse[[#This Row],[Zahl]])</f>
        <v>0</v>
      </c>
      <c r="L745" s="2">
        <f>HäufigsteErgebnisse[[#This Row],[Zahl]]</f>
        <v>687</v>
      </c>
    </row>
    <row r="746" spans="2:12" x14ac:dyDescent="0.3">
      <c r="B746" s="2">
        <v>688</v>
      </c>
      <c r="C746" s="2">
        <f>COUNTIF(Eingabe[Volle],HäufigsteErgebnisse[[#This Row],[Zahl]])</f>
        <v>0</v>
      </c>
      <c r="D746" s="2">
        <f>COUNTIF(Eingabe[Räumer],HäufigsteErgebnisse[[#This Row],[Zahl]])</f>
        <v>0</v>
      </c>
      <c r="E746" s="2">
        <f>COUNTIF(Eingabe[Fehler],HäufigsteErgebnisse[[#This Row],[Zahl]])</f>
        <v>0</v>
      </c>
      <c r="F746" s="2">
        <f>COUNTIF(Eingabe[S1],HäufigsteErgebnisse[[#This Row],[Zahl]])</f>
        <v>0</v>
      </c>
      <c r="G746" s="2">
        <f>COUNTIF(Eingabe[S2],HäufigsteErgebnisse[[#This Row],[Zahl]])</f>
        <v>0</v>
      </c>
      <c r="H746" s="2">
        <f>COUNTIF(Eingabe[S3],HäufigsteErgebnisse[[#This Row],[Zahl]])</f>
        <v>0</v>
      </c>
      <c r="I746" s="2">
        <f>COUNTIF(Eingabe[S4],HäufigsteErgebnisse[[#This Row],[Zahl]])</f>
        <v>0</v>
      </c>
      <c r="J746" s="2">
        <f>COUNTIF(Eingabe[S1],HäufigsteErgebnisse[[#This Row],[Zahl]])+COUNTIF(Eingabe[S2],HäufigsteErgebnisse[[#This Row],[Zahl]])+COUNTIF(Eingabe[S3],HäufigsteErgebnisse[[#This Row],[Zahl]])+COUNTIF(Eingabe[S4],HäufigsteErgebnisse[[#This Row],[Zahl]])</f>
        <v>0</v>
      </c>
      <c r="K746" s="2">
        <f>COUNTIF(Eingabe[GES],HäufigsteErgebnisse[[#This Row],[Zahl]])</f>
        <v>0</v>
      </c>
      <c r="L746" s="2">
        <f>HäufigsteErgebnisse[[#This Row],[Zahl]]</f>
        <v>688</v>
      </c>
    </row>
    <row r="747" spans="2:12" x14ac:dyDescent="0.3">
      <c r="B747" s="2">
        <v>689</v>
      </c>
      <c r="C747" s="2">
        <f>COUNTIF(Eingabe[Volle],HäufigsteErgebnisse[[#This Row],[Zahl]])</f>
        <v>0</v>
      </c>
      <c r="D747" s="2">
        <f>COUNTIF(Eingabe[Räumer],HäufigsteErgebnisse[[#This Row],[Zahl]])</f>
        <v>0</v>
      </c>
      <c r="E747" s="2">
        <f>COUNTIF(Eingabe[Fehler],HäufigsteErgebnisse[[#This Row],[Zahl]])</f>
        <v>0</v>
      </c>
      <c r="F747" s="2">
        <f>COUNTIF(Eingabe[S1],HäufigsteErgebnisse[[#This Row],[Zahl]])</f>
        <v>0</v>
      </c>
      <c r="G747" s="2">
        <f>COUNTIF(Eingabe[S2],HäufigsteErgebnisse[[#This Row],[Zahl]])</f>
        <v>0</v>
      </c>
      <c r="H747" s="2">
        <f>COUNTIF(Eingabe[S3],HäufigsteErgebnisse[[#This Row],[Zahl]])</f>
        <v>0</v>
      </c>
      <c r="I747" s="2">
        <f>COUNTIF(Eingabe[S4],HäufigsteErgebnisse[[#This Row],[Zahl]])</f>
        <v>0</v>
      </c>
      <c r="J747" s="2">
        <f>COUNTIF(Eingabe[S1],HäufigsteErgebnisse[[#This Row],[Zahl]])+COUNTIF(Eingabe[S2],HäufigsteErgebnisse[[#This Row],[Zahl]])+COUNTIF(Eingabe[S3],HäufigsteErgebnisse[[#This Row],[Zahl]])+COUNTIF(Eingabe[S4],HäufigsteErgebnisse[[#This Row],[Zahl]])</f>
        <v>0</v>
      </c>
      <c r="K747" s="2">
        <f>COUNTIF(Eingabe[GES],HäufigsteErgebnisse[[#This Row],[Zahl]])</f>
        <v>0</v>
      </c>
      <c r="L747" s="2">
        <f>HäufigsteErgebnisse[[#This Row],[Zahl]]</f>
        <v>689</v>
      </c>
    </row>
    <row r="748" spans="2:12" x14ac:dyDescent="0.3">
      <c r="B748" s="2">
        <v>690</v>
      </c>
      <c r="C748" s="2">
        <f>COUNTIF(Eingabe[Volle],HäufigsteErgebnisse[[#This Row],[Zahl]])</f>
        <v>0</v>
      </c>
      <c r="D748" s="2">
        <f>COUNTIF(Eingabe[Räumer],HäufigsteErgebnisse[[#This Row],[Zahl]])</f>
        <v>0</v>
      </c>
      <c r="E748" s="2">
        <f>COUNTIF(Eingabe[Fehler],HäufigsteErgebnisse[[#This Row],[Zahl]])</f>
        <v>0</v>
      </c>
      <c r="F748" s="2">
        <f>COUNTIF(Eingabe[S1],HäufigsteErgebnisse[[#This Row],[Zahl]])</f>
        <v>0</v>
      </c>
      <c r="G748" s="2">
        <f>COUNTIF(Eingabe[S2],HäufigsteErgebnisse[[#This Row],[Zahl]])</f>
        <v>0</v>
      </c>
      <c r="H748" s="2">
        <f>COUNTIF(Eingabe[S3],HäufigsteErgebnisse[[#This Row],[Zahl]])</f>
        <v>0</v>
      </c>
      <c r="I748" s="2">
        <f>COUNTIF(Eingabe[S4],HäufigsteErgebnisse[[#This Row],[Zahl]])</f>
        <v>0</v>
      </c>
      <c r="J748" s="2">
        <f>COUNTIF(Eingabe[S1],HäufigsteErgebnisse[[#This Row],[Zahl]])+COUNTIF(Eingabe[S2],HäufigsteErgebnisse[[#This Row],[Zahl]])+COUNTIF(Eingabe[S3],HäufigsteErgebnisse[[#This Row],[Zahl]])+COUNTIF(Eingabe[S4],HäufigsteErgebnisse[[#This Row],[Zahl]])</f>
        <v>0</v>
      </c>
      <c r="K748" s="2">
        <f>COUNTIF(Eingabe[GES],HäufigsteErgebnisse[[#This Row],[Zahl]])</f>
        <v>0</v>
      </c>
      <c r="L748" s="2">
        <f>HäufigsteErgebnisse[[#This Row],[Zahl]]</f>
        <v>690</v>
      </c>
    </row>
    <row r="749" spans="2:12" x14ac:dyDescent="0.3">
      <c r="B749" s="2">
        <v>691</v>
      </c>
      <c r="C749" s="2">
        <f>COUNTIF(Eingabe[Volle],HäufigsteErgebnisse[[#This Row],[Zahl]])</f>
        <v>0</v>
      </c>
      <c r="D749" s="2">
        <f>COUNTIF(Eingabe[Räumer],HäufigsteErgebnisse[[#This Row],[Zahl]])</f>
        <v>0</v>
      </c>
      <c r="E749" s="2">
        <f>COUNTIF(Eingabe[Fehler],HäufigsteErgebnisse[[#This Row],[Zahl]])</f>
        <v>0</v>
      </c>
      <c r="F749" s="2">
        <f>COUNTIF(Eingabe[S1],HäufigsteErgebnisse[[#This Row],[Zahl]])</f>
        <v>0</v>
      </c>
      <c r="G749" s="2">
        <f>COUNTIF(Eingabe[S2],HäufigsteErgebnisse[[#This Row],[Zahl]])</f>
        <v>0</v>
      </c>
      <c r="H749" s="2">
        <f>COUNTIF(Eingabe[S3],HäufigsteErgebnisse[[#This Row],[Zahl]])</f>
        <v>0</v>
      </c>
      <c r="I749" s="2">
        <f>COUNTIF(Eingabe[S4],HäufigsteErgebnisse[[#This Row],[Zahl]])</f>
        <v>0</v>
      </c>
      <c r="J749" s="2">
        <f>COUNTIF(Eingabe[S1],HäufigsteErgebnisse[[#This Row],[Zahl]])+COUNTIF(Eingabe[S2],HäufigsteErgebnisse[[#This Row],[Zahl]])+COUNTIF(Eingabe[S3],HäufigsteErgebnisse[[#This Row],[Zahl]])+COUNTIF(Eingabe[S4],HäufigsteErgebnisse[[#This Row],[Zahl]])</f>
        <v>0</v>
      </c>
      <c r="K749" s="2">
        <f>COUNTIF(Eingabe[GES],HäufigsteErgebnisse[[#This Row],[Zahl]])</f>
        <v>0</v>
      </c>
      <c r="L749" s="2">
        <f>HäufigsteErgebnisse[[#This Row],[Zahl]]</f>
        <v>691</v>
      </c>
    </row>
    <row r="750" spans="2:12" x14ac:dyDescent="0.3">
      <c r="B750" s="2">
        <v>692</v>
      </c>
      <c r="C750" s="2">
        <f>COUNTIF(Eingabe[Volle],HäufigsteErgebnisse[[#This Row],[Zahl]])</f>
        <v>0</v>
      </c>
      <c r="D750" s="2">
        <f>COUNTIF(Eingabe[Räumer],HäufigsteErgebnisse[[#This Row],[Zahl]])</f>
        <v>0</v>
      </c>
      <c r="E750" s="2">
        <f>COUNTIF(Eingabe[Fehler],HäufigsteErgebnisse[[#This Row],[Zahl]])</f>
        <v>0</v>
      </c>
      <c r="F750" s="2">
        <f>COUNTIF(Eingabe[S1],HäufigsteErgebnisse[[#This Row],[Zahl]])</f>
        <v>0</v>
      </c>
      <c r="G750" s="2">
        <f>COUNTIF(Eingabe[S2],HäufigsteErgebnisse[[#This Row],[Zahl]])</f>
        <v>0</v>
      </c>
      <c r="H750" s="2">
        <f>COUNTIF(Eingabe[S3],HäufigsteErgebnisse[[#This Row],[Zahl]])</f>
        <v>0</v>
      </c>
      <c r="I750" s="2">
        <f>COUNTIF(Eingabe[S4],HäufigsteErgebnisse[[#This Row],[Zahl]])</f>
        <v>0</v>
      </c>
      <c r="J750" s="2">
        <f>COUNTIF(Eingabe[S1],HäufigsteErgebnisse[[#This Row],[Zahl]])+COUNTIF(Eingabe[S2],HäufigsteErgebnisse[[#This Row],[Zahl]])+COUNTIF(Eingabe[S3],HäufigsteErgebnisse[[#This Row],[Zahl]])+COUNTIF(Eingabe[S4],HäufigsteErgebnisse[[#This Row],[Zahl]])</f>
        <v>0</v>
      </c>
      <c r="K750" s="2">
        <f>COUNTIF(Eingabe[GES],HäufigsteErgebnisse[[#This Row],[Zahl]])</f>
        <v>0</v>
      </c>
      <c r="L750" s="2">
        <f>HäufigsteErgebnisse[[#This Row],[Zahl]]</f>
        <v>692</v>
      </c>
    </row>
    <row r="751" spans="2:12" x14ac:dyDescent="0.3">
      <c r="B751" s="2">
        <v>693</v>
      </c>
      <c r="C751" s="2">
        <f>COUNTIF(Eingabe[Volle],HäufigsteErgebnisse[[#This Row],[Zahl]])</f>
        <v>0</v>
      </c>
      <c r="D751" s="2">
        <f>COUNTIF(Eingabe[Räumer],HäufigsteErgebnisse[[#This Row],[Zahl]])</f>
        <v>0</v>
      </c>
      <c r="E751" s="2">
        <f>COUNTIF(Eingabe[Fehler],HäufigsteErgebnisse[[#This Row],[Zahl]])</f>
        <v>0</v>
      </c>
      <c r="F751" s="2">
        <f>COUNTIF(Eingabe[S1],HäufigsteErgebnisse[[#This Row],[Zahl]])</f>
        <v>0</v>
      </c>
      <c r="G751" s="2">
        <f>COUNTIF(Eingabe[S2],HäufigsteErgebnisse[[#This Row],[Zahl]])</f>
        <v>0</v>
      </c>
      <c r="H751" s="2">
        <f>COUNTIF(Eingabe[S3],HäufigsteErgebnisse[[#This Row],[Zahl]])</f>
        <v>0</v>
      </c>
      <c r="I751" s="2">
        <f>COUNTIF(Eingabe[S4],HäufigsteErgebnisse[[#This Row],[Zahl]])</f>
        <v>0</v>
      </c>
      <c r="J751" s="2">
        <f>COUNTIF(Eingabe[S1],HäufigsteErgebnisse[[#This Row],[Zahl]])+COUNTIF(Eingabe[S2],HäufigsteErgebnisse[[#This Row],[Zahl]])+COUNTIF(Eingabe[S3],HäufigsteErgebnisse[[#This Row],[Zahl]])+COUNTIF(Eingabe[S4],HäufigsteErgebnisse[[#This Row],[Zahl]])</f>
        <v>0</v>
      </c>
      <c r="K751" s="2">
        <f>COUNTIF(Eingabe[GES],HäufigsteErgebnisse[[#This Row],[Zahl]])</f>
        <v>0</v>
      </c>
      <c r="L751" s="2">
        <f>HäufigsteErgebnisse[[#This Row],[Zahl]]</f>
        <v>693</v>
      </c>
    </row>
    <row r="752" spans="2:12" x14ac:dyDescent="0.3">
      <c r="B752" s="2">
        <v>694</v>
      </c>
      <c r="C752" s="2">
        <f>COUNTIF(Eingabe[Volle],HäufigsteErgebnisse[[#This Row],[Zahl]])</f>
        <v>0</v>
      </c>
      <c r="D752" s="2">
        <f>COUNTIF(Eingabe[Räumer],HäufigsteErgebnisse[[#This Row],[Zahl]])</f>
        <v>0</v>
      </c>
      <c r="E752" s="2">
        <f>COUNTIF(Eingabe[Fehler],HäufigsteErgebnisse[[#This Row],[Zahl]])</f>
        <v>0</v>
      </c>
      <c r="F752" s="2">
        <f>COUNTIF(Eingabe[S1],HäufigsteErgebnisse[[#This Row],[Zahl]])</f>
        <v>0</v>
      </c>
      <c r="G752" s="2">
        <f>COUNTIF(Eingabe[S2],HäufigsteErgebnisse[[#This Row],[Zahl]])</f>
        <v>0</v>
      </c>
      <c r="H752" s="2">
        <f>COUNTIF(Eingabe[S3],HäufigsteErgebnisse[[#This Row],[Zahl]])</f>
        <v>0</v>
      </c>
      <c r="I752" s="2">
        <f>COUNTIF(Eingabe[S4],HäufigsteErgebnisse[[#This Row],[Zahl]])</f>
        <v>0</v>
      </c>
      <c r="J752" s="2">
        <f>COUNTIF(Eingabe[S1],HäufigsteErgebnisse[[#This Row],[Zahl]])+COUNTIF(Eingabe[S2],HäufigsteErgebnisse[[#This Row],[Zahl]])+COUNTIF(Eingabe[S3],HäufigsteErgebnisse[[#This Row],[Zahl]])+COUNTIF(Eingabe[S4],HäufigsteErgebnisse[[#This Row],[Zahl]])</f>
        <v>0</v>
      </c>
      <c r="K752" s="2">
        <f>COUNTIF(Eingabe[GES],HäufigsteErgebnisse[[#This Row],[Zahl]])</f>
        <v>0</v>
      </c>
      <c r="L752" s="2">
        <f>HäufigsteErgebnisse[[#This Row],[Zahl]]</f>
        <v>694</v>
      </c>
    </row>
    <row r="753" spans="2:12" x14ac:dyDescent="0.3">
      <c r="B753" s="2">
        <v>695</v>
      </c>
      <c r="C753" s="2">
        <f>COUNTIF(Eingabe[Volle],HäufigsteErgebnisse[[#This Row],[Zahl]])</f>
        <v>0</v>
      </c>
      <c r="D753" s="2">
        <f>COUNTIF(Eingabe[Räumer],HäufigsteErgebnisse[[#This Row],[Zahl]])</f>
        <v>0</v>
      </c>
      <c r="E753" s="2">
        <f>COUNTIF(Eingabe[Fehler],HäufigsteErgebnisse[[#This Row],[Zahl]])</f>
        <v>0</v>
      </c>
      <c r="F753" s="2">
        <f>COUNTIF(Eingabe[S1],HäufigsteErgebnisse[[#This Row],[Zahl]])</f>
        <v>0</v>
      </c>
      <c r="G753" s="2">
        <f>COUNTIF(Eingabe[S2],HäufigsteErgebnisse[[#This Row],[Zahl]])</f>
        <v>0</v>
      </c>
      <c r="H753" s="2">
        <f>COUNTIF(Eingabe[S3],HäufigsteErgebnisse[[#This Row],[Zahl]])</f>
        <v>0</v>
      </c>
      <c r="I753" s="2">
        <f>COUNTIF(Eingabe[S4],HäufigsteErgebnisse[[#This Row],[Zahl]])</f>
        <v>0</v>
      </c>
      <c r="J753" s="2">
        <f>COUNTIF(Eingabe[S1],HäufigsteErgebnisse[[#This Row],[Zahl]])+COUNTIF(Eingabe[S2],HäufigsteErgebnisse[[#This Row],[Zahl]])+COUNTIF(Eingabe[S3],HäufigsteErgebnisse[[#This Row],[Zahl]])+COUNTIF(Eingabe[S4],HäufigsteErgebnisse[[#This Row],[Zahl]])</f>
        <v>0</v>
      </c>
      <c r="K753" s="2">
        <f>COUNTIF(Eingabe[GES],HäufigsteErgebnisse[[#This Row],[Zahl]])</f>
        <v>0</v>
      </c>
      <c r="L753" s="2">
        <f>HäufigsteErgebnisse[[#This Row],[Zahl]]</f>
        <v>695</v>
      </c>
    </row>
    <row r="754" spans="2:12" x14ac:dyDescent="0.3">
      <c r="B754" s="2">
        <v>696</v>
      </c>
      <c r="C754" s="2">
        <f>COUNTIF(Eingabe[Volle],HäufigsteErgebnisse[[#This Row],[Zahl]])</f>
        <v>0</v>
      </c>
      <c r="D754" s="2">
        <f>COUNTIF(Eingabe[Räumer],HäufigsteErgebnisse[[#This Row],[Zahl]])</f>
        <v>0</v>
      </c>
      <c r="E754" s="2">
        <f>COUNTIF(Eingabe[Fehler],HäufigsteErgebnisse[[#This Row],[Zahl]])</f>
        <v>0</v>
      </c>
      <c r="F754" s="2">
        <f>COUNTIF(Eingabe[S1],HäufigsteErgebnisse[[#This Row],[Zahl]])</f>
        <v>0</v>
      </c>
      <c r="G754" s="2">
        <f>COUNTIF(Eingabe[S2],HäufigsteErgebnisse[[#This Row],[Zahl]])</f>
        <v>0</v>
      </c>
      <c r="H754" s="2">
        <f>COUNTIF(Eingabe[S3],HäufigsteErgebnisse[[#This Row],[Zahl]])</f>
        <v>0</v>
      </c>
      <c r="I754" s="2">
        <f>COUNTIF(Eingabe[S4],HäufigsteErgebnisse[[#This Row],[Zahl]])</f>
        <v>0</v>
      </c>
      <c r="J754" s="2">
        <f>COUNTIF(Eingabe[S1],HäufigsteErgebnisse[[#This Row],[Zahl]])+COUNTIF(Eingabe[S2],HäufigsteErgebnisse[[#This Row],[Zahl]])+COUNTIF(Eingabe[S3],HäufigsteErgebnisse[[#This Row],[Zahl]])+COUNTIF(Eingabe[S4],HäufigsteErgebnisse[[#This Row],[Zahl]])</f>
        <v>0</v>
      </c>
      <c r="K754" s="2">
        <f>COUNTIF(Eingabe[GES],HäufigsteErgebnisse[[#This Row],[Zahl]])</f>
        <v>0</v>
      </c>
      <c r="L754" s="2">
        <f>HäufigsteErgebnisse[[#This Row],[Zahl]]</f>
        <v>696</v>
      </c>
    </row>
    <row r="755" spans="2:12" x14ac:dyDescent="0.3">
      <c r="B755" s="2">
        <v>697</v>
      </c>
      <c r="C755" s="2">
        <f>COUNTIF(Eingabe[Volle],HäufigsteErgebnisse[[#This Row],[Zahl]])</f>
        <v>0</v>
      </c>
      <c r="D755" s="2">
        <f>COUNTIF(Eingabe[Räumer],HäufigsteErgebnisse[[#This Row],[Zahl]])</f>
        <v>0</v>
      </c>
      <c r="E755" s="2">
        <f>COUNTIF(Eingabe[Fehler],HäufigsteErgebnisse[[#This Row],[Zahl]])</f>
        <v>0</v>
      </c>
      <c r="F755" s="2">
        <f>COUNTIF(Eingabe[S1],HäufigsteErgebnisse[[#This Row],[Zahl]])</f>
        <v>0</v>
      </c>
      <c r="G755" s="2">
        <f>COUNTIF(Eingabe[S2],HäufigsteErgebnisse[[#This Row],[Zahl]])</f>
        <v>0</v>
      </c>
      <c r="H755" s="2">
        <f>COUNTIF(Eingabe[S3],HäufigsteErgebnisse[[#This Row],[Zahl]])</f>
        <v>0</v>
      </c>
      <c r="I755" s="2">
        <f>COUNTIF(Eingabe[S4],HäufigsteErgebnisse[[#This Row],[Zahl]])</f>
        <v>0</v>
      </c>
      <c r="J755" s="2">
        <f>COUNTIF(Eingabe[S1],HäufigsteErgebnisse[[#This Row],[Zahl]])+COUNTIF(Eingabe[S2],HäufigsteErgebnisse[[#This Row],[Zahl]])+COUNTIF(Eingabe[S3],HäufigsteErgebnisse[[#This Row],[Zahl]])+COUNTIF(Eingabe[S4],HäufigsteErgebnisse[[#This Row],[Zahl]])</f>
        <v>0</v>
      </c>
      <c r="K755" s="2">
        <f>COUNTIF(Eingabe[GES],HäufigsteErgebnisse[[#This Row],[Zahl]])</f>
        <v>0</v>
      </c>
      <c r="L755" s="2">
        <f>HäufigsteErgebnisse[[#This Row],[Zahl]]</f>
        <v>697</v>
      </c>
    </row>
    <row r="756" spans="2:12" x14ac:dyDescent="0.3">
      <c r="B756" s="2">
        <v>698</v>
      </c>
      <c r="C756" s="2">
        <f>COUNTIF(Eingabe[Volle],HäufigsteErgebnisse[[#This Row],[Zahl]])</f>
        <v>0</v>
      </c>
      <c r="D756" s="2">
        <f>COUNTIF(Eingabe[Räumer],HäufigsteErgebnisse[[#This Row],[Zahl]])</f>
        <v>0</v>
      </c>
      <c r="E756" s="2">
        <f>COUNTIF(Eingabe[Fehler],HäufigsteErgebnisse[[#This Row],[Zahl]])</f>
        <v>0</v>
      </c>
      <c r="F756" s="2">
        <f>COUNTIF(Eingabe[S1],HäufigsteErgebnisse[[#This Row],[Zahl]])</f>
        <v>0</v>
      </c>
      <c r="G756" s="2">
        <f>COUNTIF(Eingabe[S2],HäufigsteErgebnisse[[#This Row],[Zahl]])</f>
        <v>0</v>
      </c>
      <c r="H756" s="2">
        <f>COUNTIF(Eingabe[S3],HäufigsteErgebnisse[[#This Row],[Zahl]])</f>
        <v>0</v>
      </c>
      <c r="I756" s="2">
        <f>COUNTIF(Eingabe[S4],HäufigsteErgebnisse[[#This Row],[Zahl]])</f>
        <v>0</v>
      </c>
      <c r="J756" s="2">
        <f>COUNTIF(Eingabe[S1],HäufigsteErgebnisse[[#This Row],[Zahl]])+COUNTIF(Eingabe[S2],HäufigsteErgebnisse[[#This Row],[Zahl]])+COUNTIF(Eingabe[S3],HäufigsteErgebnisse[[#This Row],[Zahl]])+COUNTIF(Eingabe[S4],HäufigsteErgebnisse[[#This Row],[Zahl]])</f>
        <v>0</v>
      </c>
      <c r="K756" s="2">
        <f>COUNTIF(Eingabe[GES],HäufigsteErgebnisse[[#This Row],[Zahl]])</f>
        <v>0</v>
      </c>
      <c r="L756" s="2">
        <f>HäufigsteErgebnisse[[#This Row],[Zahl]]</f>
        <v>698</v>
      </c>
    </row>
    <row r="757" spans="2:12" x14ac:dyDescent="0.3">
      <c r="B757" s="2">
        <v>699</v>
      </c>
      <c r="C757" s="2">
        <f>COUNTIF(Eingabe[Volle],HäufigsteErgebnisse[[#This Row],[Zahl]])</f>
        <v>0</v>
      </c>
      <c r="D757" s="2">
        <f>COUNTIF(Eingabe[Räumer],HäufigsteErgebnisse[[#This Row],[Zahl]])</f>
        <v>0</v>
      </c>
      <c r="E757" s="2">
        <f>COUNTIF(Eingabe[Fehler],HäufigsteErgebnisse[[#This Row],[Zahl]])</f>
        <v>0</v>
      </c>
      <c r="F757" s="2">
        <f>COUNTIF(Eingabe[S1],HäufigsteErgebnisse[[#This Row],[Zahl]])</f>
        <v>0</v>
      </c>
      <c r="G757" s="2">
        <f>COUNTIF(Eingabe[S2],HäufigsteErgebnisse[[#This Row],[Zahl]])</f>
        <v>0</v>
      </c>
      <c r="H757" s="2">
        <f>COUNTIF(Eingabe[S3],HäufigsteErgebnisse[[#This Row],[Zahl]])</f>
        <v>0</v>
      </c>
      <c r="I757" s="2">
        <f>COUNTIF(Eingabe[S4],HäufigsteErgebnisse[[#This Row],[Zahl]])</f>
        <v>0</v>
      </c>
      <c r="J757" s="2">
        <f>COUNTIF(Eingabe[S1],HäufigsteErgebnisse[[#This Row],[Zahl]])+COUNTIF(Eingabe[S2],HäufigsteErgebnisse[[#This Row],[Zahl]])+COUNTIF(Eingabe[S3],HäufigsteErgebnisse[[#This Row],[Zahl]])+COUNTIF(Eingabe[S4],HäufigsteErgebnisse[[#This Row],[Zahl]])</f>
        <v>0</v>
      </c>
      <c r="K757" s="2">
        <f>COUNTIF(Eingabe[GES],HäufigsteErgebnisse[[#This Row],[Zahl]])</f>
        <v>0</v>
      </c>
      <c r="L757" s="2">
        <f>HäufigsteErgebnisse[[#This Row],[Zahl]]</f>
        <v>699</v>
      </c>
    </row>
  </sheetData>
  <mergeCells count="3">
    <mergeCell ref="AK3:AN3"/>
    <mergeCell ref="AO3:AR3"/>
    <mergeCell ref="AS3:AV3"/>
  </mergeCells>
  <phoneticPr fontId="1" type="noConversion"/>
  <conditionalFormatting sqref="C3:AH51">
    <cfRule type="containsBlanks" dxfId="235" priority="99">
      <formula>LEN(TRIM(C3))=0</formula>
    </cfRule>
  </conditionalFormatting>
  <conditionalFormatting sqref="E3:E51">
    <cfRule type="top10" dxfId="234" priority="1660" rank="3"/>
    <cfRule type="top10" dxfId="233" priority="1659" rank="1"/>
    <cfRule type="colorScale" priority="1661">
      <colorScale>
        <cfvo type="min"/>
        <cfvo type="percentile" val="50"/>
        <cfvo type="max"/>
        <color rgb="FF63BE7B"/>
        <color rgb="FFFFEB84"/>
        <color rgb="FFF8696B"/>
      </colorScale>
    </cfRule>
  </conditionalFormatting>
  <conditionalFormatting sqref="E3:L51 N3:V51 X3:AF51 AH3:AH51">
    <cfRule type="cellIs" dxfId="232" priority="14" operator="equal">
      <formula>0</formula>
    </cfRule>
  </conditionalFormatting>
  <conditionalFormatting sqref="F3:F51">
    <cfRule type="colorScale" priority="1667">
      <colorScale>
        <cfvo type="min"/>
        <cfvo type="percentile" val="50"/>
        <cfvo type="max"/>
        <color rgb="FF63BE7B"/>
        <color rgb="FFFFEB84"/>
        <color rgb="FFF8696B"/>
      </colorScale>
    </cfRule>
    <cfRule type="top10" dxfId="231" priority="1665" rank="1"/>
    <cfRule type="top10" dxfId="230" priority="1666" rank="3"/>
  </conditionalFormatting>
  <conditionalFormatting sqref="G3:G51">
    <cfRule type="top10" dxfId="229" priority="1671" rank="1"/>
    <cfRule type="top10" dxfId="228" priority="1672" rank="3"/>
    <cfRule type="colorScale" priority="1673">
      <colorScale>
        <cfvo type="min"/>
        <cfvo type="percentile" val="50"/>
        <cfvo type="max"/>
        <color rgb="FF63BE7B"/>
        <color rgb="FFFFEB84"/>
        <color rgb="FFF8696B"/>
      </colorScale>
    </cfRule>
  </conditionalFormatting>
  <conditionalFormatting sqref="H3:H51">
    <cfRule type="top10" dxfId="227" priority="1678" rank="3"/>
    <cfRule type="colorScale" priority="1679">
      <colorScale>
        <cfvo type="min"/>
        <cfvo type="percentile" val="50"/>
        <cfvo type="max"/>
        <color rgb="FF63BE7B"/>
        <color rgb="FFFFEB84"/>
        <color rgb="FFF8696B"/>
      </colorScale>
    </cfRule>
    <cfRule type="top10" dxfId="226" priority="1677" rank="1"/>
  </conditionalFormatting>
  <conditionalFormatting sqref="I3:I51">
    <cfRule type="top10" dxfId="225" priority="1683" rank="1"/>
    <cfRule type="top10" dxfId="224" priority="1684" rank="3"/>
    <cfRule type="colorScale" priority="1685">
      <colorScale>
        <cfvo type="min"/>
        <cfvo type="percentile" val="50"/>
        <cfvo type="max"/>
        <color rgb="FF63BE7B"/>
        <color rgb="FFFFEB84"/>
        <color rgb="FFF8696B"/>
      </colorScale>
    </cfRule>
  </conditionalFormatting>
  <conditionalFormatting sqref="J3:J51">
    <cfRule type="colorScale" priority="1691">
      <colorScale>
        <cfvo type="min"/>
        <cfvo type="percentile" val="50"/>
        <cfvo type="max"/>
        <color rgb="FF63BE7B"/>
        <color rgb="FFFFEB84"/>
        <color rgb="FFF8696B"/>
      </colorScale>
    </cfRule>
    <cfRule type="top10" dxfId="223" priority="1689" rank="1"/>
    <cfRule type="top10" dxfId="222" priority="1690" rank="3"/>
  </conditionalFormatting>
  <conditionalFormatting sqref="K3:L51">
    <cfRule type="colorScale" priority="1697">
      <colorScale>
        <cfvo type="min"/>
        <cfvo type="percentile" val="50"/>
        <cfvo type="max"/>
        <color rgb="FF63BE7B"/>
        <color rgb="FFFFEB84"/>
        <color rgb="FFF8696B"/>
      </colorScale>
    </cfRule>
    <cfRule type="top10" dxfId="221" priority="1695" rank="1"/>
    <cfRule type="top10" dxfId="220" priority="1696" rank="3"/>
  </conditionalFormatting>
  <conditionalFormatting sqref="M3:M51">
    <cfRule type="top10" dxfId="219" priority="1701" bottom="1" rank="1"/>
    <cfRule type="top10" dxfId="218" priority="1702" bottom="1" rank="3"/>
    <cfRule type="colorScale" priority="1703">
      <colorScale>
        <cfvo type="min"/>
        <cfvo type="percentile" val="50"/>
        <cfvo type="max"/>
        <color rgb="FF5A8AC6"/>
        <color rgb="FFFCFCFF"/>
        <color rgb="FFF8696B"/>
      </colorScale>
    </cfRule>
  </conditionalFormatting>
  <conditionalFormatting sqref="N3:N51">
    <cfRule type="colorScale" priority="1709">
      <colorScale>
        <cfvo type="min"/>
        <cfvo type="percentile" val="50"/>
        <cfvo type="max"/>
        <color rgb="FF63BE7B"/>
        <color rgb="FFFFEB84"/>
        <color rgb="FFF8696B"/>
      </colorScale>
    </cfRule>
    <cfRule type="top10" dxfId="217" priority="1707" rank="1"/>
    <cfRule type="top10" dxfId="216" priority="1708" rank="3"/>
  </conditionalFormatting>
  <conditionalFormatting sqref="O3:O51">
    <cfRule type="top10" dxfId="215" priority="1713" rank="1"/>
    <cfRule type="top10" dxfId="214" priority="1714" rank="3"/>
    <cfRule type="colorScale" priority="1715">
      <colorScale>
        <cfvo type="min"/>
        <cfvo type="percentile" val="50"/>
        <cfvo type="max"/>
        <color rgb="FF63BE7B"/>
        <color rgb="FFFFEB84"/>
        <color rgb="FFF8696B"/>
      </colorScale>
    </cfRule>
  </conditionalFormatting>
  <conditionalFormatting sqref="P3:P51">
    <cfRule type="colorScale" priority="1721">
      <colorScale>
        <cfvo type="min"/>
        <cfvo type="percentile" val="50"/>
        <cfvo type="max"/>
        <color rgb="FF63BE7B"/>
        <color rgb="FFFFEB84"/>
        <color rgb="FFF8696B"/>
      </colorScale>
    </cfRule>
    <cfRule type="top10" dxfId="213" priority="1719" rank="1"/>
    <cfRule type="top10" dxfId="212" priority="1720" rank="3"/>
  </conditionalFormatting>
  <conditionalFormatting sqref="Q3:Q51">
    <cfRule type="top10" dxfId="211" priority="1725" rank="1"/>
    <cfRule type="colorScale" priority="1727">
      <colorScale>
        <cfvo type="min"/>
        <cfvo type="percentile" val="50"/>
        <cfvo type="max"/>
        <color rgb="FF63BE7B"/>
        <color rgb="FFFFEB84"/>
        <color rgb="FFF8696B"/>
      </colorScale>
    </cfRule>
    <cfRule type="top10" dxfId="210" priority="1726" rank="3"/>
  </conditionalFormatting>
  <conditionalFormatting sqref="R3:R51">
    <cfRule type="top10" dxfId="209" priority="1732" rank="3"/>
    <cfRule type="top10" dxfId="208" priority="1731" rank="1"/>
    <cfRule type="colorScale" priority="1733">
      <colorScale>
        <cfvo type="min"/>
        <cfvo type="percentile" val="50"/>
        <cfvo type="max"/>
        <color rgb="FF63BE7B"/>
        <color rgb="FFFFEB84"/>
        <color rgb="FFF8696B"/>
      </colorScale>
    </cfRule>
  </conditionalFormatting>
  <conditionalFormatting sqref="S3:S51">
    <cfRule type="top10" dxfId="207" priority="1737" rank="1"/>
    <cfRule type="top10" dxfId="206" priority="1738" rank="3"/>
    <cfRule type="colorScale" priority="1739">
      <colorScale>
        <cfvo type="min"/>
        <cfvo type="percentile" val="50"/>
        <cfvo type="max"/>
        <color rgb="FF63BE7B"/>
        <color rgb="FFFFEB84"/>
        <color rgb="FFF8696B"/>
      </colorScale>
    </cfRule>
  </conditionalFormatting>
  <conditionalFormatting sqref="T3:T51">
    <cfRule type="colorScale" priority="1745">
      <colorScale>
        <cfvo type="min"/>
        <cfvo type="percentile" val="50"/>
        <cfvo type="max"/>
        <color rgb="FF63BE7B"/>
        <color rgb="FFFFEB84"/>
        <color rgb="FFF8696B"/>
      </colorScale>
    </cfRule>
    <cfRule type="top10" dxfId="205" priority="1744" rank="3"/>
    <cfRule type="top10" dxfId="204" priority="1743" rank="1"/>
  </conditionalFormatting>
  <conditionalFormatting sqref="U3:V51">
    <cfRule type="top10" dxfId="203" priority="1749" rank="1"/>
    <cfRule type="top10" dxfId="202" priority="1750" rank="3"/>
    <cfRule type="colorScale" priority="1751">
      <colorScale>
        <cfvo type="min"/>
        <cfvo type="percentile" val="50"/>
        <cfvo type="max"/>
        <color rgb="FF63BE7B"/>
        <color rgb="FFFFEB84"/>
        <color rgb="FFF8696B"/>
      </colorScale>
    </cfRule>
  </conditionalFormatting>
  <conditionalFormatting sqref="W3:W51">
    <cfRule type="top10" dxfId="201" priority="1755" bottom="1" rank="1"/>
    <cfRule type="top10" dxfId="200" priority="1756" bottom="1" rank="3"/>
    <cfRule type="colorScale" priority="1757">
      <colorScale>
        <cfvo type="min"/>
        <cfvo type="percentile" val="50"/>
        <cfvo type="max"/>
        <color rgb="FF5A8AC6"/>
        <color rgb="FFFCFCFF"/>
        <color rgb="FFF8696B"/>
      </colorScale>
    </cfRule>
  </conditionalFormatting>
  <conditionalFormatting sqref="X3:X51">
    <cfRule type="top10" dxfId="199" priority="1761" rank="1"/>
    <cfRule type="top10" dxfId="198" priority="1762" rank="3"/>
    <cfRule type="colorScale" priority="1763">
      <colorScale>
        <cfvo type="min"/>
        <cfvo type="percentile" val="50"/>
        <cfvo type="max"/>
        <color rgb="FF63BE7B"/>
        <color rgb="FFFFEB84"/>
        <color rgb="FFF8696B"/>
      </colorScale>
    </cfRule>
  </conditionalFormatting>
  <conditionalFormatting sqref="Y3:Y51">
    <cfRule type="top10" dxfId="197" priority="1767" rank="1"/>
    <cfRule type="top10" dxfId="196" priority="1768" rank="3"/>
    <cfRule type="colorScale" priority="1769">
      <colorScale>
        <cfvo type="min"/>
        <cfvo type="percentile" val="50"/>
        <cfvo type="max"/>
        <color rgb="FF63BE7B"/>
        <color rgb="FFFFEB84"/>
        <color rgb="FFF8696B"/>
      </colorScale>
    </cfRule>
  </conditionalFormatting>
  <conditionalFormatting sqref="Z3:Z51">
    <cfRule type="top10" dxfId="195" priority="1773" rank="1"/>
    <cfRule type="top10" dxfId="194" priority="1774" rank="3"/>
    <cfRule type="colorScale" priority="1775">
      <colorScale>
        <cfvo type="min"/>
        <cfvo type="percentile" val="50"/>
        <cfvo type="max"/>
        <color rgb="FF63BE7B"/>
        <color rgb="FFFFEB84"/>
        <color rgb="FFF8696B"/>
      </colorScale>
    </cfRule>
  </conditionalFormatting>
  <conditionalFormatting sqref="AA3:AA51">
    <cfRule type="top10" dxfId="193" priority="1779" rank="1"/>
    <cfRule type="top10" dxfId="192" priority="1780" rank="3"/>
    <cfRule type="colorScale" priority="1781">
      <colorScale>
        <cfvo type="min"/>
        <cfvo type="percentile" val="50"/>
        <cfvo type="max"/>
        <color rgb="FF63BE7B"/>
        <color rgb="FFFFEB84"/>
        <color rgb="FFF8696B"/>
      </colorScale>
    </cfRule>
  </conditionalFormatting>
  <conditionalFormatting sqref="AB3:AB51">
    <cfRule type="top10" dxfId="191" priority="1785" rank="1"/>
    <cfRule type="top10" dxfId="190" priority="1786" rank="3"/>
    <cfRule type="colorScale" priority="1787">
      <colorScale>
        <cfvo type="min"/>
        <cfvo type="percentile" val="50"/>
        <cfvo type="max"/>
        <color rgb="FF63BE7B"/>
        <color rgb="FFFFEB84"/>
        <color rgb="FFF8696B"/>
      </colorScale>
    </cfRule>
  </conditionalFormatting>
  <conditionalFormatting sqref="AC3:AC51">
    <cfRule type="colorScale" priority="1793">
      <colorScale>
        <cfvo type="min"/>
        <cfvo type="percentile" val="50"/>
        <cfvo type="max"/>
        <color rgb="FF63BE7B"/>
        <color rgb="FFFFEB84"/>
        <color rgb="FFF8696B"/>
      </colorScale>
    </cfRule>
    <cfRule type="top10" dxfId="189" priority="1791" rank="1"/>
    <cfRule type="top10" dxfId="188" priority="1792" rank="3"/>
  </conditionalFormatting>
  <conditionalFormatting sqref="AD3:AD51">
    <cfRule type="top10" dxfId="187" priority="1797" rank="1"/>
    <cfRule type="top10" dxfId="186" priority="1798" rank="3"/>
    <cfRule type="colorScale" priority="1799">
      <colorScale>
        <cfvo type="min"/>
        <cfvo type="percentile" val="50"/>
        <cfvo type="max"/>
        <color rgb="FF63BE7B"/>
        <color rgb="FFFFEB84"/>
        <color rgb="FFF8696B"/>
      </colorScale>
    </cfRule>
  </conditionalFormatting>
  <conditionalFormatting sqref="AE3:AF51">
    <cfRule type="top10" dxfId="185" priority="1803" rank="1"/>
    <cfRule type="top10" dxfId="184" priority="1804" rank="3"/>
    <cfRule type="colorScale" priority="1805">
      <colorScale>
        <cfvo type="min"/>
        <cfvo type="percentile" val="50"/>
        <cfvo type="max"/>
        <color rgb="FF63BE7B"/>
        <color rgb="FFFFEB84"/>
        <color rgb="FFF8696B"/>
      </colorScale>
    </cfRule>
  </conditionalFormatting>
  <conditionalFormatting sqref="AG3:AG51">
    <cfRule type="top10" dxfId="183" priority="1809" bottom="1" rank="1"/>
    <cfRule type="top10" dxfId="182" priority="1810" bottom="1" rank="3"/>
    <cfRule type="colorScale" priority="1811">
      <colorScale>
        <cfvo type="min"/>
        <cfvo type="percentile" val="50"/>
        <cfvo type="max"/>
        <color rgb="FF5A8AC6"/>
        <color rgb="FFFCFCFF"/>
        <color rgb="FFF8696B"/>
      </colorScale>
    </cfRule>
  </conditionalFormatting>
  <conditionalFormatting sqref="AH3:AH51">
    <cfRule type="top10" dxfId="181" priority="1815" rank="1"/>
    <cfRule type="top10" dxfId="180" priority="1816" rank="3"/>
    <cfRule type="colorScale" priority="1817">
      <colorScale>
        <cfvo type="min"/>
        <cfvo type="percentile" val="50"/>
        <cfvo type="max"/>
        <color rgb="FF63BE7B"/>
        <color rgb="FFFFEB84"/>
        <color rgb="FFF8696B"/>
      </colorScale>
    </cfRule>
  </conditionalFormatting>
  <conditionalFormatting sqref="AJ3:AV18">
    <cfRule type="containsBlanks" dxfId="179" priority="13">
      <formula>LEN(TRIM(AJ3))=0</formula>
    </cfRule>
  </conditionalFormatting>
  <conditionalFormatting sqref="AK5:AK18">
    <cfRule type="top10" dxfId="178" priority="12" rank="1"/>
  </conditionalFormatting>
  <conditionalFormatting sqref="AL5:AL18">
    <cfRule type="top10" dxfId="177" priority="11" rank="1"/>
  </conditionalFormatting>
  <conditionalFormatting sqref="AM5:AM18">
    <cfRule type="top10" dxfId="176" priority="10" rank="1"/>
  </conditionalFormatting>
  <conditionalFormatting sqref="AN5:AN18">
    <cfRule type="top10" dxfId="175" priority="9" rank="1"/>
  </conditionalFormatting>
  <conditionalFormatting sqref="AO5:AO18">
    <cfRule type="top10" dxfId="174" priority="8" rank="1"/>
  </conditionalFormatting>
  <conditionalFormatting sqref="AP5:AP18">
    <cfRule type="top10" dxfId="173" priority="7" rank="1"/>
  </conditionalFormatting>
  <conditionalFormatting sqref="AQ5:AQ18">
    <cfRule type="top10" dxfId="172" priority="6" rank="1"/>
  </conditionalFormatting>
  <conditionalFormatting sqref="AR5:AR18">
    <cfRule type="top10" dxfId="171" priority="5" rank="1"/>
  </conditionalFormatting>
  <conditionalFormatting sqref="AS5:AS18">
    <cfRule type="top10" dxfId="170" priority="4" rank="1"/>
  </conditionalFormatting>
  <conditionalFormatting sqref="AT5:AT18">
    <cfRule type="top10" dxfId="169" priority="3" rank="1"/>
  </conditionalFormatting>
  <conditionalFormatting sqref="AU5:AU18">
    <cfRule type="top10" dxfId="168" priority="2" rank="1"/>
  </conditionalFormatting>
  <conditionalFormatting sqref="AV5:AV18">
    <cfRule type="top10" dxfId="167" priority="1" rank="1"/>
  </conditionalFormatting>
  <pageMargins left="0.7" right="0.7" top="0.78740157499999996" bottom="0.78740157499999996" header="0.3" footer="0.3"/>
  <pageSetup paperSize="9" orientation="portrait" horizontalDpi="4294967293" verticalDpi="0" r:id="rId1"/>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6C4FC-D602-4018-8118-9446D466EB97}">
  <dimension ref="B2:Q47"/>
  <sheetViews>
    <sheetView workbookViewId="0">
      <selection activeCell="K22" sqref="K22"/>
    </sheetView>
  </sheetViews>
  <sheetFormatPr baseColWidth="10" defaultRowHeight="15.6" x14ac:dyDescent="0.3"/>
  <cols>
    <col min="1" max="1" width="6.33203125" style="1" customWidth="1"/>
    <col min="2" max="2" width="11.5546875" style="1"/>
    <col min="3" max="3" width="9.21875" style="1" bestFit="1" customWidth="1"/>
    <col min="4" max="4" width="9" style="1" bestFit="1" customWidth="1"/>
    <col min="5" max="6" width="9.5546875" style="1" bestFit="1" customWidth="1"/>
    <col min="7" max="7" width="7.44140625" style="1" bestFit="1" customWidth="1"/>
    <col min="8" max="8" width="8.33203125" style="1" bestFit="1" customWidth="1"/>
    <col min="9" max="9" width="14.44140625" style="1" bestFit="1" customWidth="1"/>
    <col min="10" max="10" width="22.33203125" style="1" bestFit="1" customWidth="1"/>
    <col min="11" max="11" width="19.5546875" style="1" bestFit="1" customWidth="1"/>
    <col min="12" max="12" width="8.44140625" style="1" bestFit="1" customWidth="1"/>
    <col min="13" max="16384" width="11.5546875" style="1"/>
  </cols>
  <sheetData>
    <row r="2" spans="3:17" x14ac:dyDescent="0.3">
      <c r="C2" s="1" t="s">
        <v>27</v>
      </c>
      <c r="D2" s="1" t="s">
        <v>432</v>
      </c>
      <c r="E2" s="1" t="s">
        <v>433</v>
      </c>
      <c r="F2" s="1" t="s">
        <v>437</v>
      </c>
      <c r="G2" s="1" t="s">
        <v>354</v>
      </c>
      <c r="H2" s="1" t="str">
        <f>D2&amp;" Durchschnitt"</f>
        <v>Männer I Durchschnitt</v>
      </c>
      <c r="I2" s="1" t="str">
        <f t="shared" ref="I2:K2" si="0">E2&amp;" Durchschnitt"</f>
        <v>Männer II Durchschnitt</v>
      </c>
      <c r="J2" s="1" t="str">
        <f t="shared" si="0"/>
        <v>Männer III Durchschnitt</v>
      </c>
      <c r="K2" s="1" t="str">
        <f t="shared" si="0"/>
        <v>Frauen Durchschnitt</v>
      </c>
      <c r="L2" s="1" t="s">
        <v>133</v>
      </c>
      <c r="M2" s="1" t="s">
        <v>134</v>
      </c>
      <c r="N2" s="1" t="s">
        <v>135</v>
      </c>
      <c r="O2" s="1" t="s">
        <v>136</v>
      </c>
      <c r="P2" s="1" t="s">
        <v>434</v>
      </c>
      <c r="Q2" s="1" t="s">
        <v>435</v>
      </c>
    </row>
    <row r="3" spans="3:17" x14ac:dyDescent="0.3">
      <c r="C3" s="1">
        <v>1</v>
      </c>
      <c r="D3" s="1">
        <f>IFERROR(SUMIFS(Eingabe[GES],Eingabe[Team],"E",Eingabe[Spieltag],C3,Eingabe[Modus],"L"),"")</f>
        <v>3235</v>
      </c>
      <c r="E3" s="1">
        <f>IF(SUMIFS(Eingabe[GES],Eingabe[Team],"Z",Eingabe[Spieltag],C3,Eingabe[Modus],"L")=0,#N/A,SUMIFS(Eingabe[GES],Eingabe[Team],"Z",Eingabe[Spieltag],C3,Eingabe[Modus],"L"))</f>
        <v>3199</v>
      </c>
      <c r="F3" s="1" t="e">
        <f>IF(SUMIFS(Eingabe[GES],Eingabe[Team],"D",Eingabe[Spieltag],C3,Eingabe[Modus],"L")=0,#N/A,SUMIFS(Eingabe[GES],Eingabe[Team],"D",Eingabe[Spieltag],C3,Eingabe[Modus],"L"))</f>
        <v>#N/A</v>
      </c>
      <c r="G3" s="1">
        <f>IF(SUMIFS(Eingabe[GES],Eingabe[Team],"F",Eingabe[Spieltag],C3,Eingabe[Modus],"L")=0,#N/A,SUMIFS(Eingabe[GES],Eingabe[Team],"F",Eingabe[Spieltag],C3,Eingabe[Modus],"L"))</f>
        <v>2869</v>
      </c>
      <c r="H3" s="20">
        <f>AVERAGEIF(D3:D20,"&gt;0")</f>
        <v>3222.3636363636365</v>
      </c>
      <c r="I3" s="20">
        <f>AVERAGEIF(E3:E20,"&gt;0")</f>
        <v>3133.9</v>
      </c>
      <c r="J3" s="20">
        <f>AVERAGEIF(F3:F20,"&gt;0")</f>
        <v>2993</v>
      </c>
      <c r="K3" s="20">
        <f>AVERAGEIF(G3:G20,"&gt;0")</f>
        <v>2956.75</v>
      </c>
      <c r="L3" s="1">
        <f>IF(SUMIFS(Eingabe[GEGGES],Eingabe[Team],"E",Eingabe[Spieltag],C3,Eingabe[Modus],"L")=0,#N/A,SUMIFS(Eingabe[GEGGES],Eingabe[Team],"E",Eingabe[Spieltag],C3,Eingabe[Modus],"L"))</f>
        <v>3156</v>
      </c>
      <c r="M3" s="1">
        <f>IF(SUMIFS(Eingabe[GEGGES],Eingabe[Team],"Z",Eingabe[Spieltag],C3,Eingabe[Modus],"L")=0,#N/A,SUMIFS(Eingabe[GEGGES],Eingabe[Team],"Z",Eingabe[Spieltag],C3,Eingabe[Modus],"L"))</f>
        <v>3246</v>
      </c>
      <c r="N3" s="1" t="e">
        <f>IF(SUMIFS(Eingabe[GEGGES],Eingabe[Team],"D",Eingabe[Spieltag],C3,Eingabe[Modus],"L")=0,#N/A,SUMIFS(Eingabe[GEGGES],Eingabe[Team],"D",Eingabe[Spieltag],C3,Eingabe[Modus],"L"))</f>
        <v>#N/A</v>
      </c>
      <c r="O3" s="1">
        <f>IF(SUMIFS(Eingabe[GEGGES],Eingabe[Team],"F",Eingabe[Spieltag],C3,Eingabe[Modus],"L")=0,#N/A,SUMIFS(Eingabe[GEGGES],Eingabe[Team],"F",Eingabe[Spieltag],C3,Eingabe[Modus],"L"))</f>
        <v>2991</v>
      </c>
      <c r="P3" s="1">
        <f>SUMIFS(Eingabe[GES],Eingabe[Team],"U14 I",Eingabe[Spieltag],C3)</f>
        <v>0</v>
      </c>
      <c r="Q3" s="1">
        <f>SUMIFS(Eingabe[GES],Eingabe[Team],"U14 II",Eingabe[Spieltag],C3)</f>
        <v>0</v>
      </c>
    </row>
    <row r="4" spans="3:17" ht="15" customHeight="1" x14ac:dyDescent="0.3">
      <c r="C4" s="1">
        <v>2</v>
      </c>
      <c r="D4" s="1">
        <f>IFERROR(SUMIFS(Eingabe[GES],Eingabe[Team],"E",Eingabe[Spieltag],C4,Eingabe[Modus],"L"),"")</f>
        <v>3084</v>
      </c>
      <c r="E4" s="1">
        <f>IF(SUMIFS(Eingabe[GES],Eingabe[Team],"Z",Eingabe[Spieltag],C4,Eingabe[Modus],"L")=0,#N/A,SUMIFS(Eingabe[GES],Eingabe[Team],"Z",Eingabe[Spieltag],C4,Eingabe[Modus],"L"))</f>
        <v>2994</v>
      </c>
      <c r="F4" s="1">
        <f>IF(SUMIFS(Eingabe[GES],Eingabe[Team],"D",Eingabe[Spieltag],C4,Eingabe[Modus],"L")=0,#N/A,SUMIFS(Eingabe[GES],Eingabe[Team],"D",Eingabe[Spieltag],C4,Eingabe[Modus],"L"))</f>
        <v>3014</v>
      </c>
      <c r="G4" s="1">
        <f>IF(SUMIFS(Eingabe[GES],Eingabe[Team],"F",Eingabe[Spieltag],C4,Eingabe[Modus],"L")=0,#N/A,SUMIFS(Eingabe[GES],Eingabe[Team],"F",Eingabe[Spieltag],C4,Eingabe[Modus],"L"))</f>
        <v>2976</v>
      </c>
      <c r="H4" s="20">
        <f>H3</f>
        <v>3222.3636363636365</v>
      </c>
      <c r="I4" s="20">
        <f t="shared" ref="I4:K4" si="1">I3</f>
        <v>3133.9</v>
      </c>
      <c r="J4" s="20">
        <f t="shared" si="1"/>
        <v>2993</v>
      </c>
      <c r="K4" s="20">
        <f t="shared" si="1"/>
        <v>2956.75</v>
      </c>
      <c r="L4" s="1">
        <f>IF(SUMIFS(Eingabe[GEGGES],Eingabe[Team],"E",Eingabe[Spieltag],C4,Eingabe[Modus],"L")=0,#N/A,SUMIFS(Eingabe[GEGGES],Eingabe[Team],"E",Eingabe[Spieltag],C4,Eingabe[Modus],"L"))</f>
        <v>3220</v>
      </c>
      <c r="M4" s="1">
        <f>IF(SUMIFS(Eingabe[GEGGES],Eingabe[Team],"Z",Eingabe[Spieltag],C4,Eingabe[Modus],"L")=0,#N/A,SUMIFS(Eingabe[GEGGES],Eingabe[Team],"Z",Eingabe[Spieltag],C4,Eingabe[Modus],"L"))</f>
        <v>2884</v>
      </c>
      <c r="N4" s="1">
        <f>IF(SUMIFS(Eingabe[GEGGES],Eingabe[Team],"D",Eingabe[Spieltag],C4,Eingabe[Modus],"L")=0,#N/A,SUMIFS(Eingabe[GEGGES],Eingabe[Team],"D",Eingabe[Spieltag],C4,Eingabe[Modus],"L"))</f>
        <v>2791</v>
      </c>
      <c r="O4" s="1">
        <f>IF(SUMIFS(Eingabe[GEGGES],Eingabe[Team],"F",Eingabe[Spieltag],C4,Eingabe[Modus],"L")=0,#N/A,SUMIFS(Eingabe[GEGGES],Eingabe[Team],"F",Eingabe[Spieltag],C4,Eingabe[Modus],"L"))</f>
        <v>2938</v>
      </c>
      <c r="P4" s="1">
        <f>SUMIFS(Eingabe[GES],Eingabe[Team],"U14 I",Eingabe[Spieltag],C4)</f>
        <v>0</v>
      </c>
      <c r="Q4" s="1">
        <f>SUMIFS(Eingabe[GES],Eingabe[Team],"U14 II",Eingabe[Spieltag],C4)</f>
        <v>0</v>
      </c>
    </row>
    <row r="5" spans="3:17" x14ac:dyDescent="0.3">
      <c r="C5" s="1">
        <v>3</v>
      </c>
      <c r="D5" s="1">
        <f>IFERROR(SUMIFS(Eingabe[GES],Eingabe[Team],"E",Eingabe[Spieltag],C5,Eingabe[Modus],"L"),"")</f>
        <v>3298</v>
      </c>
      <c r="E5" s="1">
        <f>IF(SUMIFS(Eingabe[GES],Eingabe[Team],"Z",Eingabe[Spieltag],C5,Eingabe[Modus],"L")=0,#N/A,SUMIFS(Eingabe[GES],Eingabe[Team],"Z",Eingabe[Spieltag],C5,Eingabe[Modus],"L"))</f>
        <v>3239</v>
      </c>
      <c r="F5" s="1" t="e">
        <f>IF(SUMIFS(Eingabe[GES],Eingabe[Team],"D",Eingabe[Spieltag],C5,Eingabe[Modus],"L")=0,#N/A,SUMIFS(Eingabe[GES],Eingabe[Team],"D",Eingabe[Spieltag],C5,Eingabe[Modus],"L"))</f>
        <v>#N/A</v>
      </c>
      <c r="G5" s="1">
        <f>IF(SUMIFS(Eingabe[GES],Eingabe[Team],"F",Eingabe[Spieltag],C5,Eingabe[Modus],"L")=0,#N/A,SUMIFS(Eingabe[GES],Eingabe[Team],"F",Eingabe[Spieltag],C5,Eingabe[Modus],"L"))</f>
        <v>3053</v>
      </c>
      <c r="H5" s="20">
        <f t="shared" ref="H5:H20" si="2">H4</f>
        <v>3222.3636363636365</v>
      </c>
      <c r="I5" s="20">
        <f t="shared" ref="I5:I20" si="3">I4</f>
        <v>3133.9</v>
      </c>
      <c r="J5" s="20">
        <f t="shared" ref="J5:J20" si="4">J4</f>
        <v>2993</v>
      </c>
      <c r="K5" s="20">
        <f t="shared" ref="K5:K20" si="5">K4</f>
        <v>2956.75</v>
      </c>
      <c r="L5" s="1">
        <f>IF(SUMIFS(Eingabe[GEGGES],Eingabe[Team],"E",Eingabe[Spieltag],C5,Eingabe[Modus],"L")=0,#N/A,SUMIFS(Eingabe[GEGGES],Eingabe[Team],"E",Eingabe[Spieltag],C5,Eingabe[Modus],"L"))</f>
        <v>3177</v>
      </c>
      <c r="M5" s="1">
        <f>IF(SUMIFS(Eingabe[GEGGES],Eingabe[Team],"Z",Eingabe[Spieltag],C5,Eingabe[Modus],"L")=0,#N/A,SUMIFS(Eingabe[GEGGES],Eingabe[Team],"Z",Eingabe[Spieltag],C5,Eingabe[Modus],"L"))</f>
        <v>3303</v>
      </c>
      <c r="N5" s="1" t="e">
        <f>IF(SUMIFS(Eingabe[GEGGES],Eingabe[Team],"D",Eingabe[Spieltag],C5,Eingabe[Modus],"L")=0,#N/A,SUMIFS(Eingabe[GEGGES],Eingabe[Team],"D",Eingabe[Spieltag],C5,Eingabe[Modus],"L"))</f>
        <v>#N/A</v>
      </c>
      <c r="O5" s="1">
        <f>IF(SUMIFS(Eingabe[GEGGES],Eingabe[Team],"F",Eingabe[Spieltag],C5,Eingabe[Modus],"L")=0,#N/A,SUMIFS(Eingabe[GEGGES],Eingabe[Team],"F",Eingabe[Spieltag],C5,Eingabe[Modus],"L"))</f>
        <v>3265</v>
      </c>
      <c r="P5" s="1">
        <f>SUMIFS(Eingabe[GES],Eingabe[Team],"U14 I",Eingabe[Spieltag],C5)</f>
        <v>0</v>
      </c>
      <c r="Q5" s="1">
        <f>SUMIFS(Eingabe[GES],Eingabe[Team],"U14 II",Eingabe[Spieltag],C5)</f>
        <v>0</v>
      </c>
    </row>
    <row r="6" spans="3:17" x14ac:dyDescent="0.3">
      <c r="C6" s="1">
        <v>4</v>
      </c>
      <c r="D6" s="1">
        <f>IFERROR(SUMIFS(Eingabe[GES],Eingabe[Team],"E",Eingabe[Spieltag],C6,Eingabe[Modus],"L"),"")</f>
        <v>3197</v>
      </c>
      <c r="E6" s="1">
        <f>IF(SUMIFS(Eingabe[GES],Eingabe[Team],"Z",Eingabe[Spieltag],C6,Eingabe[Modus],"L")=0,#N/A,SUMIFS(Eingabe[GES],Eingabe[Team],"Z",Eingabe[Spieltag],C6,Eingabe[Modus],"L"))</f>
        <v>3084</v>
      </c>
      <c r="F6" s="1">
        <f>IF(SUMIFS(Eingabe[GES],Eingabe[Team],"D",Eingabe[Spieltag],C6,Eingabe[Modus],"L")=0,#N/A,SUMIFS(Eingabe[GES],Eingabe[Team],"D",Eingabe[Spieltag],C6,Eingabe[Modus],"L"))</f>
        <v>3041</v>
      </c>
      <c r="G6" s="1">
        <f>IF(SUMIFS(Eingabe[GES],Eingabe[Team],"F",Eingabe[Spieltag],C6,Eingabe[Modus],"L")=0,#N/A,SUMIFS(Eingabe[GES],Eingabe[Team],"F",Eingabe[Spieltag],C6,Eingabe[Modus],"L"))</f>
        <v>2967</v>
      </c>
      <c r="H6" s="20">
        <f t="shared" si="2"/>
        <v>3222.3636363636365</v>
      </c>
      <c r="I6" s="20">
        <f t="shared" si="3"/>
        <v>3133.9</v>
      </c>
      <c r="J6" s="20">
        <f t="shared" si="4"/>
        <v>2993</v>
      </c>
      <c r="K6" s="20">
        <f t="shared" si="5"/>
        <v>2956.75</v>
      </c>
      <c r="L6" s="1">
        <f>IF(SUMIFS(Eingabe[GEGGES],Eingabe[Team],"E",Eingabe[Spieltag],C6,Eingabe[Modus],"L")=0,#N/A,SUMIFS(Eingabe[GEGGES],Eingabe[Team],"E",Eingabe[Spieltag],C6,Eingabe[Modus],"L"))</f>
        <v>3135</v>
      </c>
      <c r="M6" s="1">
        <f>IF(SUMIFS(Eingabe[GEGGES],Eingabe[Team],"Z",Eingabe[Spieltag],C6,Eingabe[Modus],"L")=0,#N/A,SUMIFS(Eingabe[GEGGES],Eingabe[Team],"Z",Eingabe[Spieltag],C6,Eingabe[Modus],"L"))</f>
        <v>2884</v>
      </c>
      <c r="N6" s="1">
        <f>IF(SUMIFS(Eingabe[GEGGES],Eingabe[Team],"D",Eingabe[Spieltag],C6,Eingabe[Modus],"L")=0,#N/A,SUMIFS(Eingabe[GEGGES],Eingabe[Team],"D",Eingabe[Spieltag],C6,Eingabe[Modus],"L"))</f>
        <v>3019</v>
      </c>
      <c r="O6" s="1">
        <f>IF(SUMIFS(Eingabe[GEGGES],Eingabe[Team],"F",Eingabe[Spieltag],C6,Eingabe[Modus],"L")=0,#N/A,SUMIFS(Eingabe[GEGGES],Eingabe[Team],"F",Eingabe[Spieltag],C6,Eingabe[Modus],"L"))</f>
        <v>2708</v>
      </c>
      <c r="P6" s="1">
        <f>SUMIFS(Eingabe[GES],Eingabe[Team],"U14 I",Eingabe[Spieltag],C6)</f>
        <v>0</v>
      </c>
      <c r="Q6" s="1">
        <f>SUMIFS(Eingabe[GES],Eingabe[Team],"U14 II",Eingabe[Spieltag],C6)</f>
        <v>0</v>
      </c>
    </row>
    <row r="7" spans="3:17" x14ac:dyDescent="0.3">
      <c r="C7" s="1">
        <v>5</v>
      </c>
      <c r="D7" s="1">
        <f>IFERROR(SUMIFS(Eingabe[GES],Eingabe[Team],"E",Eingabe[Spieltag],C7,Eingabe[Modus],"L"),"")</f>
        <v>3141</v>
      </c>
      <c r="E7" s="1">
        <f>IF(SUMIFS(Eingabe[GES],Eingabe[Team],"Z",Eingabe[Spieltag],C7,Eingabe[Modus],"L")=0,#N/A,SUMIFS(Eingabe[GES],Eingabe[Team],"Z",Eingabe[Spieltag],C7,Eingabe[Modus],"L"))</f>
        <v>3435</v>
      </c>
      <c r="F7" s="1">
        <f>IF(SUMIFS(Eingabe[GES],Eingabe[Team],"D",Eingabe[Spieltag],C7,Eingabe[Modus],"L")=0,#N/A,SUMIFS(Eingabe[GES],Eingabe[Team],"D",Eingabe[Spieltag],C7,Eingabe[Modus],"L"))</f>
        <v>2881</v>
      </c>
      <c r="G7" s="1">
        <f>IF(SUMIFS(Eingabe[GES],Eingabe[Team],"F",Eingabe[Spieltag],C7,Eingabe[Modus],"L")=0,#N/A,SUMIFS(Eingabe[GES],Eingabe[Team],"F",Eingabe[Spieltag],C7,Eingabe[Modus],"L"))</f>
        <v>3130</v>
      </c>
      <c r="H7" s="20">
        <f t="shared" si="2"/>
        <v>3222.3636363636365</v>
      </c>
      <c r="I7" s="20">
        <f t="shared" si="3"/>
        <v>3133.9</v>
      </c>
      <c r="J7" s="20">
        <f t="shared" si="4"/>
        <v>2993</v>
      </c>
      <c r="K7" s="20">
        <f t="shared" si="5"/>
        <v>2956.75</v>
      </c>
      <c r="L7" s="1">
        <f>IF(SUMIFS(Eingabe[GEGGES],Eingabe[Team],"E",Eingabe[Spieltag],C7,Eingabe[Modus],"L")=0,#N/A,SUMIFS(Eingabe[GEGGES],Eingabe[Team],"E",Eingabe[Spieltag],C7,Eingabe[Modus],"L"))</f>
        <v>3204</v>
      </c>
      <c r="M7" s="1">
        <f>IF(SUMIFS(Eingabe[GEGGES],Eingabe[Team],"Z",Eingabe[Spieltag],C7,Eingabe[Modus],"L")=0,#N/A,SUMIFS(Eingabe[GEGGES],Eingabe[Team],"Z",Eingabe[Spieltag],C7,Eingabe[Modus],"L"))</f>
        <v>3344</v>
      </c>
      <c r="N7" s="1">
        <f>IF(SUMIFS(Eingabe[GEGGES],Eingabe[Team],"D",Eingabe[Spieltag],C7,Eingabe[Modus],"L")=0,#N/A,SUMIFS(Eingabe[GEGGES],Eingabe[Team],"D",Eingabe[Spieltag],C7,Eingabe[Modus],"L"))</f>
        <v>2978</v>
      </c>
      <c r="O7" s="1">
        <f>IF(SUMIFS(Eingabe[GEGGES],Eingabe[Team],"F",Eingabe[Spieltag],C7,Eingabe[Modus],"L")=0,#N/A,SUMIFS(Eingabe[GEGGES],Eingabe[Team],"F",Eingabe[Spieltag],C7,Eingabe[Modus],"L"))</f>
        <v>3055</v>
      </c>
      <c r="P7" s="1">
        <f>SUMIFS(Eingabe[GES],Eingabe[Team],"U14 I",Eingabe[Spieltag],C7)</f>
        <v>0</v>
      </c>
      <c r="Q7" s="1">
        <f>SUMIFS(Eingabe[GES],Eingabe[Team],"U14 II",Eingabe[Spieltag],C7)</f>
        <v>0</v>
      </c>
    </row>
    <row r="8" spans="3:17" x14ac:dyDescent="0.3">
      <c r="C8" s="1">
        <v>6</v>
      </c>
      <c r="D8" s="1">
        <f>IFERROR(SUMIFS(Eingabe[GES],Eingabe[Team],"E",Eingabe[Spieltag],C8,Eingabe[Modus],"L"),"")</f>
        <v>3223</v>
      </c>
      <c r="E8" s="1">
        <f>IF(SUMIFS(Eingabe[GES],Eingabe[Team],"Z",Eingabe[Spieltag],C8,Eingabe[Modus],"L")=0,#N/A,SUMIFS(Eingabe[GES],Eingabe[Team],"Z",Eingabe[Spieltag],C8,Eingabe[Modus],"L"))</f>
        <v>2899</v>
      </c>
      <c r="F8" s="1" t="e">
        <f>IF(SUMIFS(Eingabe[GES],Eingabe[Team],"D",Eingabe[Spieltag],C8,Eingabe[Modus],"L")=0,#N/A,SUMIFS(Eingabe[GES],Eingabe[Team],"D",Eingabe[Spieltag],C8,Eingabe[Modus],"L"))</f>
        <v>#N/A</v>
      </c>
      <c r="G8" s="1">
        <f>IF(SUMIFS(Eingabe[GES],Eingabe[Team],"F",Eingabe[Spieltag],C8,Eingabe[Modus],"L")=0,#N/A,SUMIFS(Eingabe[GES],Eingabe[Team],"F",Eingabe[Spieltag],C8,Eingabe[Modus],"L"))</f>
        <v>2914</v>
      </c>
      <c r="H8" s="20">
        <f t="shared" si="2"/>
        <v>3222.3636363636365</v>
      </c>
      <c r="I8" s="20">
        <f t="shared" si="3"/>
        <v>3133.9</v>
      </c>
      <c r="J8" s="20">
        <f t="shared" si="4"/>
        <v>2993</v>
      </c>
      <c r="K8" s="20">
        <f t="shared" si="5"/>
        <v>2956.75</v>
      </c>
      <c r="L8" s="1">
        <f>IF(SUMIFS(Eingabe[GEGGES],Eingabe[Team],"E",Eingabe[Spieltag],C8,Eingabe[Modus],"L")=0,#N/A,SUMIFS(Eingabe[GEGGES],Eingabe[Team],"E",Eingabe[Spieltag],C8,Eingabe[Modus],"L"))</f>
        <v>3033</v>
      </c>
      <c r="M8" s="1">
        <f>IF(SUMIFS(Eingabe[GEGGES],Eingabe[Team],"Z",Eingabe[Spieltag],C8,Eingabe[Modus],"L")=0,#N/A,SUMIFS(Eingabe[GEGGES],Eingabe[Team],"Z",Eingabe[Spieltag],C8,Eingabe[Modus],"L"))</f>
        <v>3077</v>
      </c>
      <c r="N8" s="1" t="e">
        <f>IF(SUMIFS(Eingabe[GEGGES],Eingabe[Team],"D",Eingabe[Spieltag],C8,Eingabe[Modus],"L")=0,#N/A,SUMIFS(Eingabe[GEGGES],Eingabe[Team],"D",Eingabe[Spieltag],C8,Eingabe[Modus],"L"))</f>
        <v>#N/A</v>
      </c>
      <c r="O8" s="1">
        <f>IF(SUMIFS(Eingabe[GEGGES],Eingabe[Team],"F",Eingabe[Spieltag],C8,Eingabe[Modus],"L")=0,#N/A,SUMIFS(Eingabe[GEGGES],Eingabe[Team],"F",Eingabe[Spieltag],C8,Eingabe[Modus],"L"))</f>
        <v>3042</v>
      </c>
      <c r="P8" s="1">
        <f>SUMIFS(Eingabe[GES],Eingabe[Team],"U14 I",Eingabe[Spieltag],C8)</f>
        <v>0</v>
      </c>
      <c r="Q8" s="1">
        <f>SUMIFS(Eingabe[GES],Eingabe[Team],"U14 II",Eingabe[Spieltag],C8)</f>
        <v>0</v>
      </c>
    </row>
    <row r="9" spans="3:17" x14ac:dyDescent="0.3">
      <c r="C9" s="1">
        <v>7</v>
      </c>
      <c r="D9" s="1">
        <f>IFERROR(SUMIFS(Eingabe[GES],Eingabe[Team],"E",Eingabe[Spieltag],C9,Eingabe[Modus],"L"),"")</f>
        <v>3176</v>
      </c>
      <c r="E9" s="1">
        <f>IF(SUMIFS(Eingabe[GES],Eingabe[Team],"Z",Eingabe[Spieltag],C9,Eingabe[Modus],"L")=0,#N/A,SUMIFS(Eingabe[GES],Eingabe[Team],"Z",Eingabe[Spieltag],C9,Eingabe[Modus],"L"))</f>
        <v>3144</v>
      </c>
      <c r="F9" s="1">
        <f>IF(SUMIFS(Eingabe[GES],Eingabe[Team],"D",Eingabe[Spieltag],C9,Eingabe[Modus],"L")=0,#N/A,SUMIFS(Eingabe[GES],Eingabe[Team],"D",Eingabe[Spieltag],C9,Eingabe[Modus],"L"))</f>
        <v>3036</v>
      </c>
      <c r="G9" s="1" t="e">
        <f>IF(SUMIFS(Eingabe[GES],Eingabe[Team],"F",Eingabe[Spieltag],C9,Eingabe[Modus],"L")=0,#N/A,SUMIFS(Eingabe[GES],Eingabe[Team],"F",Eingabe[Spieltag],C9,Eingabe[Modus],"L"))</f>
        <v>#N/A</v>
      </c>
      <c r="H9" s="20">
        <f t="shared" si="2"/>
        <v>3222.3636363636365</v>
      </c>
      <c r="I9" s="20">
        <f t="shared" si="3"/>
        <v>3133.9</v>
      </c>
      <c r="J9" s="20">
        <f t="shared" si="4"/>
        <v>2993</v>
      </c>
      <c r="K9" s="20">
        <f t="shared" si="5"/>
        <v>2956.75</v>
      </c>
      <c r="L9" s="1">
        <f>IF(SUMIFS(Eingabe[GEGGES],Eingabe[Team],"E",Eingabe[Spieltag],C9,Eingabe[Modus],"L")=0,#N/A,SUMIFS(Eingabe[GEGGES],Eingabe[Team],"E",Eingabe[Spieltag],C9,Eingabe[Modus],"L"))</f>
        <v>3124</v>
      </c>
      <c r="M9" s="1">
        <f>IF(SUMIFS(Eingabe[GEGGES],Eingabe[Team],"Z",Eingabe[Spieltag],C9,Eingabe[Modus],"L")=0,#N/A,SUMIFS(Eingabe[GEGGES],Eingabe[Team],"Z",Eingabe[Spieltag],C9,Eingabe[Modus],"L"))</f>
        <v>3050</v>
      </c>
      <c r="N9" s="1">
        <f>IF(SUMIFS(Eingabe[GEGGES],Eingabe[Team],"D",Eingabe[Spieltag],C9,Eingabe[Modus],"L")=0,#N/A,SUMIFS(Eingabe[GEGGES],Eingabe[Team],"D",Eingabe[Spieltag],C9,Eingabe[Modus],"L"))</f>
        <v>3065</v>
      </c>
      <c r="O9" s="1" t="e">
        <f>IF(SUMIFS(Eingabe[GEGGES],Eingabe[Team],"F",Eingabe[Spieltag],C9,Eingabe[Modus],"L")=0,#N/A,SUMIFS(Eingabe[GEGGES],Eingabe[Team],"F",Eingabe[Spieltag],C9,Eingabe[Modus],"L"))</f>
        <v>#N/A</v>
      </c>
    </row>
    <row r="10" spans="3:17" x14ac:dyDescent="0.3">
      <c r="C10" s="1">
        <v>8</v>
      </c>
      <c r="D10" s="1">
        <f>IFERROR(SUMIFS(Eingabe[GES],Eingabe[Team],"E",Eingabe[Spieltag],C10,Eingabe[Modus],"L"),"")</f>
        <v>3160</v>
      </c>
      <c r="E10" s="1">
        <f>IF(SUMIFS(Eingabe[GES],Eingabe[Team],"Z",Eingabe[Spieltag],C10,Eingabe[Modus],"L")=0,#N/A,SUMIFS(Eingabe[GES],Eingabe[Team],"Z",Eingabe[Spieltag],C10,Eingabe[Modus],"L"))</f>
        <v>3128</v>
      </c>
      <c r="F10" s="1" t="e">
        <f>IF(SUMIFS(Eingabe[GES],Eingabe[Team],"D",Eingabe[Spieltag],C10,Eingabe[Modus],"L")=0,#N/A,SUMIFS(Eingabe[GES],Eingabe[Team],"D",Eingabe[Spieltag],C10,Eingabe[Modus],"L"))</f>
        <v>#N/A</v>
      </c>
      <c r="G10" s="1">
        <f>IF(SUMIFS(Eingabe[GES],Eingabe[Team],"F",Eingabe[Spieltag],C10,Eingabe[Modus],"L")=0,#N/A,SUMIFS(Eingabe[GES],Eingabe[Team],"F",Eingabe[Spieltag],C10,Eingabe[Modus],"L"))</f>
        <v>3144</v>
      </c>
      <c r="H10" s="20">
        <f t="shared" si="2"/>
        <v>3222.3636363636365</v>
      </c>
      <c r="I10" s="20">
        <f t="shared" si="3"/>
        <v>3133.9</v>
      </c>
      <c r="J10" s="20">
        <f t="shared" si="4"/>
        <v>2993</v>
      </c>
      <c r="K10" s="20">
        <f t="shared" si="5"/>
        <v>2956.75</v>
      </c>
      <c r="L10" s="1">
        <f>IF(SUMIFS(Eingabe[GEGGES],Eingabe[Team],"E",Eingabe[Spieltag],C10,Eingabe[Modus],"L")=0,#N/A,SUMIFS(Eingabe[GEGGES],Eingabe[Team],"E",Eingabe[Spieltag],C10,Eingabe[Modus],"L"))</f>
        <v>2741</v>
      </c>
      <c r="M10" s="1">
        <f>IF(SUMIFS(Eingabe[GEGGES],Eingabe[Team],"Z",Eingabe[Spieltag],C10,Eingabe[Modus],"L")=0,#N/A,SUMIFS(Eingabe[GEGGES],Eingabe[Team],"Z",Eingabe[Spieltag],C10,Eingabe[Modus],"L"))</f>
        <v>3111</v>
      </c>
      <c r="N10" s="1" t="e">
        <f>IF(SUMIFS(Eingabe[GEGGES],Eingabe[Team],"D",Eingabe[Spieltag],C10,Eingabe[Modus],"L")=0,#N/A,SUMIFS(Eingabe[GEGGES],Eingabe[Team],"D",Eingabe[Spieltag],C10,Eingabe[Modus],"L"))</f>
        <v>#N/A</v>
      </c>
      <c r="O10" s="1">
        <f>IF(SUMIFS(Eingabe[GEGGES],Eingabe[Team],"F",Eingabe[Spieltag],C10,Eingabe[Modus],"L")=0,#N/A,SUMIFS(Eingabe[GEGGES],Eingabe[Team],"F",Eingabe[Spieltag],C10,Eingabe[Modus],"L"))</f>
        <v>2761</v>
      </c>
    </row>
    <row r="11" spans="3:17" x14ac:dyDescent="0.3">
      <c r="C11" s="1">
        <v>9</v>
      </c>
      <c r="D11" s="1">
        <f>IFERROR(SUMIFS(Eingabe[GES],Eingabe[Team],"E",Eingabe[Spieltag],C11,Eingabe[Modus],"L"),"")</f>
        <v>3404</v>
      </c>
      <c r="E11" s="1">
        <f>IF(SUMIFS(Eingabe[GES],Eingabe[Team],"Z",Eingabe[Spieltag],C11,Eingabe[Modus],"L")=0,#N/A,SUMIFS(Eingabe[GES],Eingabe[Team],"Z",Eingabe[Spieltag],C11,Eingabe[Modus],"L"))</f>
        <v>3039</v>
      </c>
      <c r="F11" s="1" t="e">
        <f>IF(SUMIFS(Eingabe[GES],Eingabe[Team],"D",Eingabe[Spieltag],C11,Eingabe[Modus],"L")=0,#N/A,SUMIFS(Eingabe[GES],Eingabe[Team],"D",Eingabe[Spieltag],C11,Eingabe[Modus],"L"))</f>
        <v>#N/A</v>
      </c>
      <c r="G11" s="1">
        <f>IF(SUMIFS(Eingabe[GES],Eingabe[Team],"F",Eingabe[Spieltag],C11,Eingabe[Modus],"L")=0,#N/A,SUMIFS(Eingabe[GES],Eingabe[Team],"F",Eingabe[Spieltag],C11,Eingabe[Modus],"L"))</f>
        <v>2601</v>
      </c>
      <c r="H11" s="20">
        <f t="shared" si="2"/>
        <v>3222.3636363636365</v>
      </c>
      <c r="I11" s="20">
        <f t="shared" si="3"/>
        <v>3133.9</v>
      </c>
      <c r="J11" s="20">
        <f t="shared" si="4"/>
        <v>2993</v>
      </c>
      <c r="K11" s="20">
        <f t="shared" si="5"/>
        <v>2956.75</v>
      </c>
      <c r="L11" s="1">
        <f>IF(SUMIFS(Eingabe[GEGGES],Eingabe[Team],"E",Eingabe[Spieltag],C11,Eingabe[Modus],"L")=0,#N/A,SUMIFS(Eingabe[GEGGES],Eingabe[Team],"E",Eingabe[Spieltag],C11,Eingabe[Modus],"L"))</f>
        <v>3405</v>
      </c>
      <c r="M11" s="1">
        <f>IF(SUMIFS(Eingabe[GEGGES],Eingabe[Team],"Z",Eingabe[Spieltag],C11,Eingabe[Modus],"L")=0,#N/A,SUMIFS(Eingabe[GEGGES],Eingabe[Team],"Z",Eingabe[Spieltag],C11,Eingabe[Modus],"L"))</f>
        <v>2970</v>
      </c>
      <c r="N11" s="1" t="e">
        <f>IF(SUMIFS(Eingabe[GEGGES],Eingabe[Team],"D",Eingabe[Spieltag],C11,Eingabe[Modus],"L")=0,#N/A,SUMIFS(Eingabe[GEGGES],Eingabe[Team],"D",Eingabe[Spieltag],C11,Eingabe[Modus],"L"))</f>
        <v>#N/A</v>
      </c>
      <c r="O11" s="1">
        <f>IF(SUMIFS(Eingabe[GEGGES],Eingabe[Team],"F",Eingabe[Spieltag],C11,Eingabe[Modus],"L")=0,#N/A,SUMIFS(Eingabe[GEGGES],Eingabe[Team],"F",Eingabe[Spieltag],C11,Eingabe[Modus],"L"))</f>
        <v>2605</v>
      </c>
    </row>
    <row r="12" spans="3:17" x14ac:dyDescent="0.3">
      <c r="C12" s="1">
        <v>10</v>
      </c>
      <c r="D12" s="1">
        <f>IFERROR(SUMIFS(Eingabe[GES],Eingabe[Team],"E",Eingabe[Spieltag],C12,Eingabe[Modus],"L"),"")</f>
        <v>3394</v>
      </c>
      <c r="E12" s="1">
        <f>IF(SUMIFS(Eingabe[GES],Eingabe[Team],"Z",Eingabe[Spieltag],C12,Eingabe[Modus],"L")=0,#N/A,SUMIFS(Eingabe[GES],Eingabe[Team],"Z",Eingabe[Spieltag],C12,Eingabe[Modus],"L"))</f>
        <v>3178</v>
      </c>
      <c r="F12" s="1" t="e">
        <f>IF(SUMIFS(Eingabe[GES],Eingabe[Team],"D",Eingabe[Spieltag],C12,Eingabe[Modus],"L")=0,#N/A,SUMIFS(Eingabe[GES],Eingabe[Team],"D",Eingabe[Spieltag],C12,Eingabe[Modus],"L"))</f>
        <v>#N/A</v>
      </c>
      <c r="G12" s="1" t="e">
        <f>IF(SUMIFS(Eingabe[GES],Eingabe[Team],"F",Eingabe[Spieltag],C12,Eingabe[Modus],"L")=0,#N/A,SUMIFS(Eingabe[GES],Eingabe[Team],"F",Eingabe[Spieltag],C12,Eingabe[Modus],"L"))</f>
        <v>#N/A</v>
      </c>
      <c r="H12" s="20">
        <f t="shared" si="2"/>
        <v>3222.3636363636365</v>
      </c>
      <c r="I12" s="20">
        <f t="shared" si="3"/>
        <v>3133.9</v>
      </c>
      <c r="J12" s="20">
        <f t="shared" si="4"/>
        <v>2993</v>
      </c>
      <c r="K12" s="20">
        <f t="shared" si="5"/>
        <v>2956.75</v>
      </c>
      <c r="L12" s="1">
        <f>IF(SUMIFS(Eingabe[GEGGES],Eingabe[Team],"E",Eingabe[Spieltag],C12,Eingabe[Modus],"L")=0,#N/A,SUMIFS(Eingabe[GEGGES],Eingabe[Team],"E",Eingabe[Spieltag],C12,Eingabe[Modus],"L"))</f>
        <v>3391</v>
      </c>
      <c r="M12" s="1">
        <f>IF(SUMIFS(Eingabe[GEGGES],Eingabe[Team],"Z",Eingabe[Spieltag],C12,Eingabe[Modus],"L")=0,#N/A,SUMIFS(Eingabe[GEGGES],Eingabe[Team],"Z",Eingabe[Spieltag],C12,Eingabe[Modus],"L"))</f>
        <v>2989</v>
      </c>
      <c r="N12" s="1" t="e">
        <f>IF(SUMIFS(Eingabe[GEGGES],Eingabe[Team],"D",Eingabe[Spieltag],C12,Eingabe[Modus],"L")=0,#N/A,SUMIFS(Eingabe[GEGGES],Eingabe[Team],"D",Eingabe[Spieltag],C12,Eingabe[Modus],"L"))</f>
        <v>#N/A</v>
      </c>
      <c r="O12" s="1" t="e">
        <f>IF(SUMIFS(Eingabe[GEGGES],Eingabe[Team],"F",Eingabe[Spieltag],C12,Eingabe[Modus],"L")=0,#N/A,SUMIFS(Eingabe[GEGGES],Eingabe[Team],"F",Eingabe[Spieltag],C12,Eingabe[Modus],"L"))</f>
        <v>#N/A</v>
      </c>
    </row>
    <row r="13" spans="3:17" x14ac:dyDescent="0.3">
      <c r="C13" s="1">
        <v>11</v>
      </c>
      <c r="D13" s="1">
        <f>IFERROR(SUMIFS(Eingabe[GES],Eingabe[Team],"E",Eingabe[Spieltag],C13,Eingabe[Modus],"L"),"")</f>
        <v>3134</v>
      </c>
      <c r="E13" s="1" t="e">
        <f>IF(SUMIFS(Eingabe[GES],Eingabe[Team],"Z",Eingabe[Spieltag],C13,Eingabe[Modus],"L")=0,#N/A,SUMIFS(Eingabe[GES],Eingabe[Team],"Z",Eingabe[Spieltag],C13,Eingabe[Modus],"L"))</f>
        <v>#N/A</v>
      </c>
      <c r="F13" s="1" t="e">
        <f>IF(SUMIFS(Eingabe[GES],Eingabe[Team],"D",Eingabe[Spieltag],C13,Eingabe[Modus],"L")=0,#N/A,SUMIFS(Eingabe[GES],Eingabe[Team],"D",Eingabe[Spieltag],C13,Eingabe[Modus],"L"))</f>
        <v>#N/A</v>
      </c>
      <c r="G13" s="1" t="e">
        <f>IF(SUMIFS(Eingabe[GES],Eingabe[Team],"F",Eingabe[Spieltag],C13,Eingabe[Modus],"L")=0,#N/A,SUMIFS(Eingabe[GES],Eingabe[Team],"F",Eingabe[Spieltag],C13,Eingabe[Modus],"L"))</f>
        <v>#N/A</v>
      </c>
      <c r="H13" s="20">
        <f t="shared" si="2"/>
        <v>3222.3636363636365</v>
      </c>
      <c r="I13" s="20">
        <f t="shared" si="3"/>
        <v>3133.9</v>
      </c>
      <c r="J13" s="20">
        <f t="shared" si="4"/>
        <v>2993</v>
      </c>
      <c r="K13" s="20">
        <f t="shared" si="5"/>
        <v>2956.75</v>
      </c>
      <c r="L13" s="1">
        <f>IF(SUMIFS(Eingabe[GEGGES],Eingabe[Team],"E",Eingabe[Spieltag],C13,Eingabe[Modus],"L")=0,#N/A,SUMIFS(Eingabe[GEGGES],Eingabe[Team],"E",Eingabe[Spieltag],C13,Eingabe[Modus],"L"))</f>
        <v>3086</v>
      </c>
      <c r="M13" s="1" t="e">
        <f>IF(SUMIFS(Eingabe[GEGGES],Eingabe[Team],"Z",Eingabe[Spieltag],C13,Eingabe[Modus],"L")=0,#N/A,SUMIFS(Eingabe[GEGGES],Eingabe[Team],"Z",Eingabe[Spieltag],C13,Eingabe[Modus],"L"))</f>
        <v>#N/A</v>
      </c>
      <c r="N13" s="1" t="e">
        <f>IF(SUMIFS(Eingabe[GEGGES],Eingabe[Team],"D",Eingabe[Spieltag],C13,Eingabe[Modus],"L")=0,#N/A,SUMIFS(Eingabe[GEGGES],Eingabe[Team],"D",Eingabe[Spieltag],C13,Eingabe[Modus],"L"))</f>
        <v>#N/A</v>
      </c>
      <c r="O13" s="1" t="e">
        <f>IF(SUMIFS(Eingabe[GEGGES],Eingabe[Team],"F",Eingabe[Spieltag],C13,Eingabe[Modus],"L")=0,#N/A,SUMIFS(Eingabe[GEGGES],Eingabe[Team],"F",Eingabe[Spieltag],C13,Eingabe[Modus],"L"))</f>
        <v>#N/A</v>
      </c>
    </row>
    <row r="14" spans="3:17" x14ac:dyDescent="0.3">
      <c r="C14" s="1">
        <v>12</v>
      </c>
      <c r="D14" s="1">
        <f>IFERROR(SUMIFS(Eingabe[GES],Eingabe[Team],"E",Eingabe[Spieltag],C14,Eingabe[Modus],"L"),"")</f>
        <v>0</v>
      </c>
      <c r="E14" s="1" t="e">
        <f>IF(SUMIFS(Eingabe[GES],Eingabe[Team],"Z",Eingabe[Spieltag],C14,Eingabe[Modus],"L")=0,#N/A,SUMIFS(Eingabe[GES],Eingabe[Team],"Z",Eingabe[Spieltag],C14,Eingabe[Modus],"L"))</f>
        <v>#N/A</v>
      </c>
      <c r="F14" s="1" t="e">
        <f>IF(SUMIFS(Eingabe[GES],Eingabe[Team],"D",Eingabe[Spieltag],C14,Eingabe[Modus],"L")=0,#N/A,SUMIFS(Eingabe[GES],Eingabe[Team],"D",Eingabe[Spieltag],C14,Eingabe[Modus],"L"))</f>
        <v>#N/A</v>
      </c>
      <c r="G14" s="1" t="e">
        <f>IF(SUMIFS(Eingabe[GES],Eingabe[Team],"F",Eingabe[Spieltag],C14,Eingabe[Modus],"L")=0,#N/A,SUMIFS(Eingabe[GES],Eingabe[Team],"F",Eingabe[Spieltag],C14,Eingabe[Modus],"L"))</f>
        <v>#N/A</v>
      </c>
      <c r="H14" s="20">
        <f t="shared" si="2"/>
        <v>3222.3636363636365</v>
      </c>
      <c r="I14" s="20">
        <f t="shared" si="3"/>
        <v>3133.9</v>
      </c>
      <c r="J14" s="20">
        <f t="shared" si="4"/>
        <v>2993</v>
      </c>
      <c r="K14" s="20">
        <f t="shared" si="5"/>
        <v>2956.75</v>
      </c>
      <c r="L14" s="1" t="e">
        <f>IF(SUMIFS(Eingabe[GEGGES],Eingabe[Team],"E",Eingabe[Spieltag],C14,Eingabe[Modus],"L")=0,#N/A,SUMIFS(Eingabe[GEGGES],Eingabe[Team],"E",Eingabe[Spieltag],C14,Eingabe[Modus],"L"))</f>
        <v>#N/A</v>
      </c>
      <c r="M14" s="1" t="e">
        <f>IF(SUMIFS(Eingabe[GEGGES],Eingabe[Team],"Z",Eingabe[Spieltag],C14,Eingabe[Modus],"L")=0,#N/A,SUMIFS(Eingabe[GEGGES],Eingabe[Team],"Z",Eingabe[Spieltag],C14,Eingabe[Modus],"L"))</f>
        <v>#N/A</v>
      </c>
      <c r="N14" s="1" t="e">
        <f>IF(SUMIFS(Eingabe[GEGGES],Eingabe[Team],"D",Eingabe[Spieltag],C14,Eingabe[Modus],"L")=0,#N/A,SUMIFS(Eingabe[GEGGES],Eingabe[Team],"D",Eingabe[Spieltag],C14,Eingabe[Modus],"L"))</f>
        <v>#N/A</v>
      </c>
      <c r="O14" s="1" t="e">
        <f>IF(SUMIFS(Eingabe[GEGGES],Eingabe[Team],"F",Eingabe[Spieltag],C14,Eingabe[Modus],"L")=0,#N/A,SUMIFS(Eingabe[GEGGES],Eingabe[Team],"F",Eingabe[Spieltag],C14,Eingabe[Modus],"L"))</f>
        <v>#N/A</v>
      </c>
    </row>
    <row r="15" spans="3:17" x14ac:dyDescent="0.3">
      <c r="C15" s="1">
        <v>13</v>
      </c>
      <c r="D15" s="1">
        <f>IFERROR(SUMIFS(Eingabe[GES],Eingabe[Team],"E",Eingabe[Spieltag],C15,Eingabe[Modus],"L"),"")</f>
        <v>0</v>
      </c>
      <c r="E15" s="1" t="e">
        <f>IF(SUMIFS(Eingabe[GES],Eingabe[Team],"Z",Eingabe[Spieltag],C15,Eingabe[Modus],"L")=0,#N/A,SUMIFS(Eingabe[GES],Eingabe[Team],"Z",Eingabe[Spieltag],C15,Eingabe[Modus],"L"))</f>
        <v>#N/A</v>
      </c>
      <c r="F15" s="1" t="e">
        <f>IF(SUMIFS(Eingabe[GES],Eingabe[Team],"D",Eingabe[Spieltag],C15,Eingabe[Modus],"L")=0,#N/A,SUMIFS(Eingabe[GES],Eingabe[Team],"D",Eingabe[Spieltag],C15,Eingabe[Modus],"L"))</f>
        <v>#N/A</v>
      </c>
      <c r="G15" s="1" t="e">
        <f>IF(SUMIFS(Eingabe[GES],Eingabe[Team],"F",Eingabe[Spieltag],C15,Eingabe[Modus],"L")=0,#N/A,SUMIFS(Eingabe[GES],Eingabe[Team],"F",Eingabe[Spieltag],C15,Eingabe[Modus],"L"))</f>
        <v>#N/A</v>
      </c>
      <c r="H15" s="20">
        <f t="shared" si="2"/>
        <v>3222.3636363636365</v>
      </c>
      <c r="I15" s="20">
        <f t="shared" si="3"/>
        <v>3133.9</v>
      </c>
      <c r="J15" s="20">
        <f t="shared" si="4"/>
        <v>2993</v>
      </c>
      <c r="K15" s="20">
        <f t="shared" si="5"/>
        <v>2956.75</v>
      </c>
      <c r="L15" s="1" t="e">
        <f>IF(SUMIFS(Eingabe[GEGGES],Eingabe[Team],"E",Eingabe[Spieltag],C15,Eingabe[Modus],"L")=0,#N/A,SUMIFS(Eingabe[GEGGES],Eingabe[Team],"E",Eingabe[Spieltag],C15,Eingabe[Modus],"L"))</f>
        <v>#N/A</v>
      </c>
      <c r="M15" s="1" t="e">
        <f>IF(SUMIFS(Eingabe[GEGGES],Eingabe[Team],"Z",Eingabe[Spieltag],C15,Eingabe[Modus],"L")=0,#N/A,SUMIFS(Eingabe[GEGGES],Eingabe[Team],"Z",Eingabe[Spieltag],C15,Eingabe[Modus],"L"))</f>
        <v>#N/A</v>
      </c>
      <c r="N15" s="1" t="e">
        <f>IF(SUMIFS(Eingabe[GEGGES],Eingabe[Team],"D",Eingabe[Spieltag],C15,Eingabe[Modus],"L")=0,#N/A,SUMIFS(Eingabe[GEGGES],Eingabe[Team],"D",Eingabe[Spieltag],C15,Eingabe[Modus],"L"))</f>
        <v>#N/A</v>
      </c>
      <c r="O15" s="1" t="e">
        <f>IF(SUMIFS(Eingabe[GEGGES],Eingabe[Team],"F",Eingabe[Spieltag],C15,Eingabe[Modus],"L")=0,#N/A,SUMIFS(Eingabe[GEGGES],Eingabe[Team],"F",Eingabe[Spieltag],C15,Eingabe[Modus],"L"))</f>
        <v>#N/A</v>
      </c>
    </row>
    <row r="16" spans="3:17" x14ac:dyDescent="0.3">
      <c r="C16" s="1">
        <v>14</v>
      </c>
      <c r="D16" s="1">
        <f>IFERROR(SUMIFS(Eingabe[GES],Eingabe[Team],"E",Eingabe[Spieltag],C16,Eingabe[Modus],"L"),"")</f>
        <v>0</v>
      </c>
      <c r="E16" s="1" t="e">
        <f>IF(SUMIFS(Eingabe[GES],Eingabe[Team],"Z",Eingabe[Spieltag],C16,Eingabe[Modus],"L")=0,#N/A,SUMIFS(Eingabe[GES],Eingabe[Team],"Z",Eingabe[Spieltag],C16,Eingabe[Modus],"L"))</f>
        <v>#N/A</v>
      </c>
      <c r="F16" s="1" t="e">
        <f>IF(SUMIFS(Eingabe[GES],Eingabe[Team],"D",Eingabe[Spieltag],C16,Eingabe[Modus],"L")=0,#N/A,SUMIFS(Eingabe[GES],Eingabe[Team],"D",Eingabe[Spieltag],C16,Eingabe[Modus],"L"))</f>
        <v>#N/A</v>
      </c>
      <c r="G16" s="1" t="e">
        <f>IF(SUMIFS(Eingabe[GES],Eingabe[Team],"F",Eingabe[Spieltag],C16,Eingabe[Modus],"L")=0,#N/A,SUMIFS(Eingabe[GES],Eingabe[Team],"F",Eingabe[Spieltag],C16,Eingabe[Modus],"L"))</f>
        <v>#N/A</v>
      </c>
      <c r="H16" s="20">
        <f t="shared" si="2"/>
        <v>3222.3636363636365</v>
      </c>
      <c r="I16" s="20">
        <f t="shared" si="3"/>
        <v>3133.9</v>
      </c>
      <c r="J16" s="20">
        <f t="shared" si="4"/>
        <v>2993</v>
      </c>
      <c r="K16" s="20">
        <f t="shared" si="5"/>
        <v>2956.75</v>
      </c>
      <c r="L16" s="1" t="e">
        <f>IF(SUMIFS(Eingabe[GEGGES],Eingabe[Team],"E",Eingabe[Spieltag],C16,Eingabe[Modus],"L")=0,#N/A,SUMIFS(Eingabe[GEGGES],Eingabe[Team],"E",Eingabe[Spieltag],C16,Eingabe[Modus],"L"))</f>
        <v>#N/A</v>
      </c>
      <c r="M16" s="1" t="e">
        <f>IF(SUMIFS(Eingabe[GEGGES],Eingabe[Team],"Z",Eingabe[Spieltag],C16,Eingabe[Modus],"L")=0,#N/A,SUMIFS(Eingabe[GEGGES],Eingabe[Team],"Z",Eingabe[Spieltag],C16,Eingabe[Modus],"L"))</f>
        <v>#N/A</v>
      </c>
      <c r="N16" s="1" t="e">
        <f>IF(SUMIFS(Eingabe[GEGGES],Eingabe[Team],"D",Eingabe[Spieltag],C16,Eingabe[Modus],"L")=0,#N/A,SUMIFS(Eingabe[GEGGES],Eingabe[Team],"D",Eingabe[Spieltag],C16,Eingabe[Modus],"L"))</f>
        <v>#N/A</v>
      </c>
      <c r="O16" s="1" t="e">
        <f>IF(SUMIFS(Eingabe[GEGGES],Eingabe[Team],"F",Eingabe[Spieltag],C16,Eingabe[Modus],"L")=0,#N/A,SUMIFS(Eingabe[GEGGES],Eingabe[Team],"F",Eingabe[Spieltag],C16,Eingabe[Modus],"L"))</f>
        <v>#N/A</v>
      </c>
    </row>
    <row r="17" spans="2:17" x14ac:dyDescent="0.3">
      <c r="C17" s="1">
        <v>15</v>
      </c>
      <c r="D17" s="1">
        <f>IFERROR(SUMIFS(Eingabe[GES],Eingabe[Team],"E",Eingabe[Spieltag],C17,Eingabe[Modus],"L"),"")</f>
        <v>0</v>
      </c>
      <c r="H17" s="20">
        <f t="shared" si="2"/>
        <v>3222.3636363636365</v>
      </c>
      <c r="I17" s="20">
        <f t="shared" si="3"/>
        <v>3133.9</v>
      </c>
      <c r="J17" s="20">
        <f t="shared" si="4"/>
        <v>2993</v>
      </c>
      <c r="K17" s="20">
        <f t="shared" si="5"/>
        <v>2956.75</v>
      </c>
      <c r="L17" s="1" t="e">
        <f>IF(SUMIFS(Eingabe[GEGGES],Eingabe[Team],"E",Eingabe[Spieltag],C17,Eingabe[Modus],"L")=0,#N/A,SUMIFS(Eingabe[GEGGES],Eingabe[Team],"E",Eingabe[Spieltag],C17,Eingabe[Modus],"L"))</f>
        <v>#N/A</v>
      </c>
    </row>
    <row r="18" spans="2:17" x14ac:dyDescent="0.3">
      <c r="C18" s="1">
        <v>16</v>
      </c>
      <c r="D18" s="1">
        <f>IFERROR(SUMIFS(Eingabe[GES],Eingabe[Team],"E",Eingabe[Spieltag],C18,Eingabe[Modus],"L"),"")</f>
        <v>0</v>
      </c>
      <c r="H18" s="20">
        <f t="shared" si="2"/>
        <v>3222.3636363636365</v>
      </c>
      <c r="I18" s="20">
        <f t="shared" si="3"/>
        <v>3133.9</v>
      </c>
      <c r="J18" s="20">
        <f t="shared" si="4"/>
        <v>2993</v>
      </c>
      <c r="K18" s="20">
        <f t="shared" si="5"/>
        <v>2956.75</v>
      </c>
      <c r="L18" s="1" t="e">
        <f>IF(SUMIFS(Eingabe[GEGGES],Eingabe[Team],"E",Eingabe[Spieltag],C18,Eingabe[Modus],"L")=0,#N/A,SUMIFS(Eingabe[GEGGES],Eingabe[Team],"E",Eingabe[Spieltag],C18,Eingabe[Modus],"L"))</f>
        <v>#N/A</v>
      </c>
    </row>
    <row r="19" spans="2:17" x14ac:dyDescent="0.3">
      <c r="C19" s="1">
        <v>17</v>
      </c>
      <c r="D19" s="1">
        <f>IFERROR(SUMIFS(Eingabe[GES],Eingabe[Team],"E",Eingabe[Spieltag],C19,Eingabe[Modus],"L"),"")</f>
        <v>0</v>
      </c>
      <c r="H19" s="20">
        <f t="shared" si="2"/>
        <v>3222.3636363636365</v>
      </c>
      <c r="I19" s="20">
        <f t="shared" si="3"/>
        <v>3133.9</v>
      </c>
      <c r="J19" s="20">
        <f t="shared" si="4"/>
        <v>2993</v>
      </c>
      <c r="K19" s="20">
        <f t="shared" si="5"/>
        <v>2956.75</v>
      </c>
      <c r="L19" s="1" t="e">
        <f>IF(SUMIFS(Eingabe[GEGGES],Eingabe[Team],"E",Eingabe[Spieltag],C19,Eingabe[Modus],"L")=0,#N/A,SUMIFS(Eingabe[GEGGES],Eingabe[Team],"E",Eingabe[Spieltag],C19,Eingabe[Modus],"L"))</f>
        <v>#N/A</v>
      </c>
    </row>
    <row r="20" spans="2:17" x14ac:dyDescent="0.3">
      <c r="C20" s="1">
        <v>18</v>
      </c>
      <c r="D20" s="1">
        <f>IFERROR(SUMIFS(Eingabe[GES],Eingabe[Team],"E",Eingabe[Spieltag],C20,Eingabe[Modus],"L"),"")</f>
        <v>0</v>
      </c>
      <c r="H20" s="20">
        <f t="shared" si="2"/>
        <v>3222.3636363636365</v>
      </c>
      <c r="I20" s="20">
        <f t="shared" si="3"/>
        <v>3133.9</v>
      </c>
      <c r="J20" s="20">
        <f t="shared" si="4"/>
        <v>2993</v>
      </c>
      <c r="K20" s="20">
        <f t="shared" si="5"/>
        <v>2956.75</v>
      </c>
      <c r="L20" s="1" t="e">
        <f>IF(SUMIFS(Eingabe[GEGGES],Eingabe[Team],"E",Eingabe[Spieltag],C20,Eingabe[Modus],"L")=0,#N/A,SUMIFS(Eingabe[GEGGES],Eingabe[Team],"E",Eingabe[Spieltag],C20,Eingabe[Modus],"L"))</f>
        <v>#N/A</v>
      </c>
    </row>
    <row r="21" spans="2:17" x14ac:dyDescent="0.3">
      <c r="P21" s="209">
        <f>AVERAGE(P3:P8)</f>
        <v>0</v>
      </c>
      <c r="Q21" s="209">
        <f>AVERAGE(Q3:Q8)</f>
        <v>0</v>
      </c>
    </row>
    <row r="27" spans="2:17" x14ac:dyDescent="0.3">
      <c r="C27" s="6"/>
      <c r="D27" s="6"/>
      <c r="E27" s="6"/>
      <c r="F27" s="6"/>
      <c r="G27" s="6"/>
      <c r="H27" s="6"/>
      <c r="I27" s="6"/>
      <c r="J27" s="6"/>
      <c r="K27" s="6"/>
      <c r="L27" s="6"/>
      <c r="M27" s="6"/>
      <c r="N27" s="6"/>
    </row>
    <row r="28" spans="2:17" x14ac:dyDescent="0.3">
      <c r="C28" s="6"/>
      <c r="D28" s="6"/>
      <c r="E28" s="6"/>
      <c r="F28" s="6"/>
      <c r="G28" s="6"/>
      <c r="H28" s="6"/>
      <c r="I28" s="6"/>
      <c r="J28" s="6"/>
      <c r="K28" s="6"/>
      <c r="L28" s="6"/>
      <c r="M28" s="6"/>
      <c r="N28" s="6"/>
    </row>
    <row r="29" spans="2:17" x14ac:dyDescent="0.3">
      <c r="B29" s="6"/>
    </row>
    <row r="30" spans="2:17" x14ac:dyDescent="0.3">
      <c r="B30" s="6"/>
    </row>
    <row r="31" spans="2:17" x14ac:dyDescent="0.3">
      <c r="B31" s="6"/>
    </row>
    <row r="32" spans="2:17" x14ac:dyDescent="0.3">
      <c r="B32" s="6"/>
    </row>
    <row r="33" spans="2:14" x14ac:dyDescent="0.3">
      <c r="B33" s="6"/>
    </row>
    <row r="34" spans="2:14" x14ac:dyDescent="0.3">
      <c r="B34" s="6"/>
    </row>
    <row r="35" spans="2:14" x14ac:dyDescent="0.3">
      <c r="B35" s="6"/>
    </row>
    <row r="36" spans="2:14" x14ac:dyDescent="0.3">
      <c r="B36" s="6"/>
    </row>
    <row r="37" spans="2:14" x14ac:dyDescent="0.3">
      <c r="B37" s="6"/>
    </row>
    <row r="38" spans="2:14" x14ac:dyDescent="0.3">
      <c r="B38" s="6"/>
    </row>
    <row r="39" spans="2:14" x14ac:dyDescent="0.3">
      <c r="B39" s="6"/>
    </row>
    <row r="40" spans="2:14" x14ac:dyDescent="0.3">
      <c r="B40" s="6"/>
    </row>
    <row r="41" spans="2:14" x14ac:dyDescent="0.3">
      <c r="B41" s="6"/>
    </row>
    <row r="42" spans="2:14" x14ac:dyDescent="0.3">
      <c r="B42" s="6"/>
    </row>
    <row r="43" spans="2:14" x14ac:dyDescent="0.3">
      <c r="B43" s="6"/>
    </row>
    <row r="44" spans="2:14" x14ac:dyDescent="0.3">
      <c r="B44" s="6"/>
    </row>
    <row r="45" spans="2:14" x14ac:dyDescent="0.3">
      <c r="B45" s="6"/>
    </row>
    <row r="46" spans="2:14" x14ac:dyDescent="0.3">
      <c r="B46" s="6"/>
    </row>
    <row r="47" spans="2:14" x14ac:dyDescent="0.3">
      <c r="C47" s="95"/>
      <c r="D47" s="95"/>
      <c r="E47" s="95"/>
      <c r="F47" s="95"/>
      <c r="G47" s="95"/>
      <c r="H47" s="95"/>
      <c r="I47" s="95"/>
      <c r="J47" s="95"/>
      <c r="K47" s="95"/>
      <c r="L47" s="95"/>
      <c r="M47" s="95"/>
      <c r="N47" s="95"/>
    </row>
  </sheetData>
  <conditionalFormatting sqref="D3:D20">
    <cfRule type="top10" dxfId="166" priority="11" bottom="1" rank="1"/>
    <cfRule type="top10" dxfId="165" priority="12" rank="1"/>
  </conditionalFormatting>
  <conditionalFormatting sqref="E3:E20">
    <cfRule type="top10" dxfId="164" priority="9" bottom="1" rank="1"/>
    <cfRule type="top10" dxfId="163" priority="10" rank="1"/>
  </conditionalFormatting>
  <conditionalFormatting sqref="F3:F20">
    <cfRule type="top10" dxfId="162" priority="7" bottom="1" rank="1"/>
    <cfRule type="top10" dxfId="161" priority="8" rank="1"/>
  </conditionalFormatting>
  <conditionalFormatting sqref="G3:G20">
    <cfRule type="top10" dxfId="160" priority="5" bottom="1" rank="1"/>
    <cfRule type="top10" dxfId="159" priority="6" rank="1"/>
  </conditionalFormatting>
  <conditionalFormatting sqref="P3:P20">
    <cfRule type="top10" dxfId="158" priority="3" bottom="1" rank="1"/>
    <cfRule type="top10" dxfId="157" priority="4" rank="1"/>
  </conditionalFormatting>
  <conditionalFormatting sqref="Q3:Q20">
    <cfRule type="top10" dxfId="156" priority="1" bottom="1" rank="1"/>
    <cfRule type="top10" dxfId="155" priority="2" rank="1"/>
  </conditionalFormatting>
  <pageMargins left="0.7" right="0.7" top="0.78740157499999996" bottom="0.78740157499999996"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46352-3043-42BD-88FE-82B8490E428F}">
  <dimension ref="A1:P78"/>
  <sheetViews>
    <sheetView topLeftCell="A9" workbookViewId="0">
      <selection activeCell="D18" sqref="D18"/>
    </sheetView>
  </sheetViews>
  <sheetFormatPr baseColWidth="10" defaultRowHeight="15.6" x14ac:dyDescent="0.3"/>
  <cols>
    <col min="1" max="1" width="5" style="98" bestFit="1" customWidth="1"/>
    <col min="2" max="2" width="12.5546875" style="98" customWidth="1"/>
    <col min="3" max="3" width="15.21875" style="98" bestFit="1" customWidth="1"/>
    <col min="4" max="4" width="10.6640625" style="98" bestFit="1" customWidth="1"/>
    <col min="5" max="5" width="17.21875" style="98" bestFit="1" customWidth="1"/>
    <col min="6" max="6" width="9.6640625" style="98" customWidth="1"/>
    <col min="7" max="7" width="9.5546875" style="98" bestFit="1" customWidth="1"/>
    <col min="8" max="8" width="7.88671875" style="98" bestFit="1" customWidth="1"/>
    <col min="9" max="9" width="12.109375" style="98" bestFit="1" customWidth="1"/>
    <col min="10" max="10" width="10.6640625" style="98" bestFit="1" customWidth="1"/>
    <col min="11" max="11" width="17.5546875" style="98" bestFit="1" customWidth="1"/>
    <col min="12" max="12" width="7.88671875" style="98" bestFit="1" customWidth="1"/>
    <col min="13" max="16" width="4.6640625" style="98" bestFit="1" customWidth="1"/>
    <col min="17" max="16384" width="11.5546875" style="98"/>
  </cols>
  <sheetData>
    <row r="1" spans="1:6" ht="16.2" thickBot="1" x14ac:dyDescent="0.35"/>
    <row r="2" spans="1:6" ht="16.2" thickBot="1" x14ac:dyDescent="0.35">
      <c r="A2" s="101" t="s">
        <v>72</v>
      </c>
      <c r="B2" s="456"/>
      <c r="C2" s="110" t="s">
        <v>0</v>
      </c>
      <c r="D2" s="106" t="s">
        <v>250</v>
      </c>
      <c r="E2" s="111" t="s">
        <v>0</v>
      </c>
      <c r="F2" s="454"/>
    </row>
    <row r="3" spans="1:6" ht="16.2" thickBot="1" x14ac:dyDescent="0.35">
      <c r="A3" s="101" t="s">
        <v>74</v>
      </c>
      <c r="B3" s="457"/>
      <c r="C3" s="107" t="str">
        <f>VLOOKUP(C4,Teamzuordnung[[Name]:[Team]],2,FALSE)</f>
        <v>E</v>
      </c>
      <c r="D3" s="103" t="s">
        <v>39</v>
      </c>
      <c r="E3" s="108" t="str">
        <f>VLOOKUP(E4,Teamzuordnung[[Name]:[Team]],2,FALSE)</f>
        <v>E</v>
      </c>
      <c r="F3" s="455"/>
    </row>
    <row r="4" spans="1:6" ht="16.2" thickBot="1" x14ac:dyDescent="0.35">
      <c r="A4" s="101" t="s">
        <v>39</v>
      </c>
      <c r="B4" s="112" t="s">
        <v>251</v>
      </c>
      <c r="C4" s="103" t="s">
        <v>658</v>
      </c>
      <c r="D4" s="109" t="s">
        <v>249</v>
      </c>
      <c r="E4" s="103" t="s">
        <v>455</v>
      </c>
      <c r="F4" s="113" t="s">
        <v>251</v>
      </c>
    </row>
    <row r="5" spans="1:6" x14ac:dyDescent="0.3">
      <c r="B5" s="177">
        <f>C5-E5</f>
        <v>2</v>
      </c>
      <c r="C5" s="178">
        <f>ROUND(IF($D$3="GES",VLOOKUP($C$4,AuswertungG[],3,FALSE),IF($D$3="H",VLOOKUP($C$4,AuswertungH[],3,FALSE),IF($D$3="A",VLOOKUP($C$4,AuswertungA[],3,FALSE),""))),0)</f>
        <v>15</v>
      </c>
      <c r="D5" s="179" t="s">
        <v>100</v>
      </c>
      <c r="E5" s="180">
        <f>ROUND(IF($D$3="GES",VLOOKUP($E$4,AuswertungG[],3,FALSE),IF($D$3="H",VLOOKUP($E$4,AuswertungH[],3,FALSE),IF($D$3="A",VLOOKUP($E$4,AuswertungA[],3,FALSE),""))),0)</f>
        <v>13</v>
      </c>
      <c r="F5" s="181">
        <f>E5-C5</f>
        <v>-2</v>
      </c>
    </row>
    <row r="6" spans="1:6" x14ac:dyDescent="0.3">
      <c r="B6" s="104">
        <f t="shared" ref="B6:B15" si="0">C6-E6</f>
        <v>-5</v>
      </c>
      <c r="C6" s="142">
        <f>ROUND(IF($D$3="GES",VLOOKUP($C$4,AuswertungG[],ROW(C6)-1,FALSE),IF($D$3="H",VLOOKUP($C$4,AuswertungH[],ROW(C6)-1,FALSE),IF($D$3="A",VLOOKUP($C$4,AuswertungA[],ROW(C6)-1,FALSE),""))),0)</f>
        <v>364</v>
      </c>
      <c r="D6" s="102" t="s">
        <v>21</v>
      </c>
      <c r="E6" s="144">
        <f>ROUND(IF($D$3="GES",VLOOKUP($E$4,AuswertungG[],ROW(E6)-1,FALSE),IF($D$3="H",VLOOKUP($E$4,AuswertungH[],ROW(E6)-1,FALSE),IF($D$3="A",VLOOKUP($E$4,AuswertungA[],ROW(E6)-1,FALSE),""))),0)</f>
        <v>369</v>
      </c>
      <c r="F6" s="105">
        <f t="shared" ref="F6:F15" si="1">E6-C6</f>
        <v>5</v>
      </c>
    </row>
    <row r="7" spans="1:6" x14ac:dyDescent="0.3">
      <c r="B7" s="104">
        <f t="shared" si="0"/>
        <v>-13</v>
      </c>
      <c r="C7" s="142">
        <f>ROUND(IF($D$3="GES",VLOOKUP($C$4,AuswertungG[],ROW(C7)-1,FALSE),IF($D$3="H",VLOOKUP($C$4,AuswertungH[],ROW(C7)-1,FALSE),IF($D$3="A",VLOOKUP($C$4,AuswertungA[],ROW(C7)-1,FALSE),""))),0)</f>
        <v>186</v>
      </c>
      <c r="D7" s="99" t="s">
        <v>22</v>
      </c>
      <c r="E7" s="144">
        <f>ROUND(IF($D$3="GES",VLOOKUP($E$4,AuswertungG[],ROW(E7)-1,FALSE),IF($D$3="H",VLOOKUP($E$4,AuswertungH[],ROW(E7)-1,FALSE),IF($D$3="A",VLOOKUP($E$4,AuswertungA[],ROW(E7)-1,FALSE),""))),0)</f>
        <v>199</v>
      </c>
      <c r="F7" s="105">
        <f t="shared" si="1"/>
        <v>13</v>
      </c>
    </row>
    <row r="8" spans="1:6" x14ac:dyDescent="0.3">
      <c r="B8" s="115">
        <f>C8-E8</f>
        <v>0</v>
      </c>
      <c r="C8" s="142">
        <f>ROUND(IF($D$3="GES",VLOOKUP($C$4,AuswertungG[],ROW(C8)-1,FALSE),IF($D$3="H",VLOOKUP($C$4,AuswertungH[],ROW(C8)-1,FALSE),IF($D$3="A",VLOOKUP($C$4,AuswertungA[],ROW(C8)-1,FALSE),""))),0)</f>
        <v>3</v>
      </c>
      <c r="D8" s="99" t="s">
        <v>23</v>
      </c>
      <c r="E8" s="144">
        <f>ROUND(IF($D$3="GES",VLOOKUP($E$4,AuswertungG[],ROW(E8)-1,FALSE),IF($D$3="H",VLOOKUP($E$4,AuswertungH[],ROW(E8)-1,FALSE),IF($D$3="A",VLOOKUP($E$4,AuswertungA[],ROW(E8)-1,FALSE),""))),0)</f>
        <v>3</v>
      </c>
      <c r="F8" s="114">
        <f t="shared" si="1"/>
        <v>0</v>
      </c>
    </row>
    <row r="9" spans="1:6" x14ac:dyDescent="0.3">
      <c r="B9" s="104">
        <f t="shared" si="0"/>
        <v>-18</v>
      </c>
      <c r="C9" s="142">
        <f>ROUND(IF($D$3="GES",VLOOKUP($C$4,AuswertungG[],ROW(C9)-1,FALSE),IF($D$3="H",VLOOKUP($C$4,AuswertungH[],ROW(C9)-1,FALSE),IF($D$3="A",VLOOKUP($C$4,AuswertungA[],ROW(C9)-1,FALSE),""))),0)</f>
        <v>550</v>
      </c>
      <c r="D9" s="99" t="s">
        <v>26</v>
      </c>
      <c r="E9" s="144">
        <f>ROUND(IF($D$3="GES",VLOOKUP($E$4,AuswertungG[],ROW(E9)-1,FALSE),IF($D$3="H",VLOOKUP($E$4,AuswertungH[],ROW(E9)-1,FALSE),IF($D$3="A",VLOOKUP($E$4,AuswertungA[],ROW(E9)-1,FALSE),""))),0)</f>
        <v>568</v>
      </c>
      <c r="F9" s="105">
        <f t="shared" si="1"/>
        <v>18</v>
      </c>
    </row>
    <row r="10" spans="1:6" x14ac:dyDescent="0.3">
      <c r="B10" s="115">
        <f t="shared" si="0"/>
        <v>0.20000000000000018</v>
      </c>
      <c r="C10" s="143">
        <f>ROUND(IF($D$3="GES",VLOOKUP($C$4,AuswertungG[],ROW(C10)-1,FALSE),IF($D$3="H",VLOOKUP($C$4,AuswertungH[],ROW(C10)-1,FALSE),IF($D$3="A",VLOOKUP($C$4,AuswertungA[],ROW(C10)-1,FALSE),""))),1)</f>
        <v>2.5</v>
      </c>
      <c r="D10" s="99" t="s">
        <v>24</v>
      </c>
      <c r="E10" s="145">
        <f>ROUND(IF($D$3="GES",VLOOKUP($E$4,AuswertungG[],ROW(E10)-1,FALSE),IF($D$3="H",VLOOKUP($E$4,AuswertungH[],ROW(E10)-1,FALSE),IF($D$3="A",VLOOKUP($E$4,AuswertungA[],ROW(E10)-1,FALSE),""))),1)</f>
        <v>2.2999999999999998</v>
      </c>
      <c r="F10" s="114">
        <f t="shared" si="1"/>
        <v>-0.20000000000000018</v>
      </c>
    </row>
    <row r="11" spans="1:6" x14ac:dyDescent="0.3">
      <c r="B11" s="115">
        <f t="shared" si="0"/>
        <v>0.20000000000000007</v>
      </c>
      <c r="C11" s="143">
        <f>ROUND(IF($D$3="GES",VLOOKUP($C$4,AuswertungG[],ROW(C11)-1,FALSE),IF($D$3="H",VLOOKUP($C$4,AuswertungH[],ROW(C11)-1,FALSE),IF($D$3="A",VLOOKUP($C$4,AuswertungA[],ROW(C11)-1,FALSE),""))),1)</f>
        <v>0.8</v>
      </c>
      <c r="D11" s="99" t="s">
        <v>25</v>
      </c>
      <c r="E11" s="145">
        <f>ROUND(IF($D$3="GES",VLOOKUP($E$4,AuswertungG[],ROW(E11)-1,FALSE),IF($D$3="H",VLOOKUP($E$4,AuswertungH[],ROW(E11)-1,FALSE),IF($D$3="A",VLOOKUP($E$4,AuswertungA[],ROW(E11)-1,FALSE),""))),1)</f>
        <v>0.6</v>
      </c>
      <c r="F11" s="114">
        <f t="shared" si="1"/>
        <v>-0.20000000000000007</v>
      </c>
    </row>
    <row r="12" spans="1:6" x14ac:dyDescent="0.3">
      <c r="B12" s="104">
        <f t="shared" si="0"/>
        <v>3.1</v>
      </c>
      <c r="C12" s="143">
        <f>ROUND(IF($D$3="GES",VLOOKUP($C$4,AuswertungG[],ROW(C12)+7,FALSE),IF($D$3="H",VLOOKUP($C$4,AuswertungH[],ROW(C12)+7,FALSE),IF($D$3="A",VLOOKUP($C$4,AuswertungA[],ROW(C12)+7,FALSE),""))),1)</f>
        <v>-0.1</v>
      </c>
      <c r="D12" s="99" t="s">
        <v>218</v>
      </c>
      <c r="E12" s="145">
        <f>ROUND(IF($D$3="GES",VLOOKUP($E$4,AuswertungG[],ROW(E12)+7,FALSE),IF($D$3="H",VLOOKUP($E$4,AuswertungH[],ROW(E12)+7,FALSE),IF($D$3="A",VLOOKUP($E$4,AuswertungA[],ROW(E12)+7,FALSE),""))),1)</f>
        <v>-3.2</v>
      </c>
      <c r="F12" s="105">
        <f t="shared" si="1"/>
        <v>-3.1</v>
      </c>
    </row>
    <row r="13" spans="1:6" x14ac:dyDescent="0.3">
      <c r="B13" s="115">
        <f t="shared" si="0"/>
        <v>6.8</v>
      </c>
      <c r="C13" s="143">
        <f>ROUND(IF($D$3="GES",VLOOKUP($C$4,AuswertungG[],ROW(C13)+7,FALSE),IF($D$3="H",VLOOKUP($C$4,AuswertungH[],ROW(C13)+7,FALSE),IF($D$3="A",VLOOKUP($C$4,AuswertungA[],ROW(C13)+7,FALSE),""))),1)</f>
        <v>0</v>
      </c>
      <c r="D13" s="99" t="s">
        <v>253</v>
      </c>
      <c r="E13" s="145">
        <f>ROUND(IF($D$3="GES",VLOOKUP($E$4,AuswertungG[],ROW(E13)+7,FALSE),IF($D$3="H",VLOOKUP($E$4,AuswertungH[],ROW(E13)+7,FALSE),IF($D$3="A",VLOOKUP($E$4,AuswertungA[],ROW(E13)+7,FALSE),""))),1)</f>
        <v>-6.8</v>
      </c>
      <c r="F13" s="114">
        <f t="shared" si="1"/>
        <v>-6.8</v>
      </c>
    </row>
    <row r="14" spans="1:6" x14ac:dyDescent="0.3">
      <c r="B14" s="115">
        <f t="shared" si="0"/>
        <v>-4</v>
      </c>
      <c r="C14" s="142">
        <f>ROUND(IF($D$3="GES",VLOOKUP($C$4,AuswertungG[],ROW(C14)+7,FALSE),IF($D$3="H",VLOOKUP($C$4,AuswertungH[],ROW(C14)+7,FALSE),IF($D$3="A",VLOOKUP($C$4,AuswertungA[],ROW(C14)+7,FALSE),""))),0)</f>
        <v>35</v>
      </c>
      <c r="D14" s="99" t="s">
        <v>196</v>
      </c>
      <c r="E14" s="144">
        <f>ROUND(IF($D$3="GES",VLOOKUP($E$4,AuswertungG[],ROW(E14)+7,FALSE),IF($D$3="H",VLOOKUP($E$4,AuswertungH[],ROW(E14)+7,FALSE),IF($D$3="A",VLOOKUP($E$4,AuswertungA[],ROW(E14)+7,FALSE),""))),0)</f>
        <v>39</v>
      </c>
      <c r="F14" s="114">
        <f t="shared" si="1"/>
        <v>4</v>
      </c>
    </row>
    <row r="15" spans="1:6" ht="16.2" thickBot="1" x14ac:dyDescent="0.35">
      <c r="B15" s="137">
        <f t="shared" si="0"/>
        <v>-23</v>
      </c>
      <c r="C15" s="146">
        <f>ROUND(IF($D$3="GES",VLOOKUP($C$4,AuswertungG[],ROW(C15)+7,FALSE),IF($D$3="H",VLOOKUP($C$4,AuswertungH[],ROW(C15)+7,FALSE),IF($D$3="A",VLOOKUP($C$4,AuswertungA[],ROW(C15)+7,FALSE),""))),0)</f>
        <v>523</v>
      </c>
      <c r="D15" s="100" t="s">
        <v>40</v>
      </c>
      <c r="E15" s="147">
        <f>ROUND(IF($D$3="GES",VLOOKUP($E$4,AuswertungG[],ROW(E15)+7,FALSE),IF($D$3="H",VLOOKUP($E$4,AuswertungH[],ROW(E15)+7,FALSE),IF($D$3="A",VLOOKUP($E$4,AuswertungA[],ROW(E15)+7,FALSE),""))),0)</f>
        <v>546</v>
      </c>
      <c r="F15" s="136">
        <f t="shared" si="1"/>
        <v>23</v>
      </c>
    </row>
    <row r="16" spans="1:6" ht="16.2" thickBot="1" x14ac:dyDescent="0.35"/>
    <row r="17" spans="1:16" ht="16.2" thickBot="1" x14ac:dyDescent="0.35">
      <c r="A17" s="101" t="s">
        <v>72</v>
      </c>
      <c r="B17" s="456"/>
      <c r="C17" s="110" t="s">
        <v>0</v>
      </c>
      <c r="D17" s="106" t="s">
        <v>250</v>
      </c>
      <c r="E17" s="111" t="s">
        <v>0</v>
      </c>
      <c r="F17" s="454"/>
      <c r="G17" s="138" t="s">
        <v>72</v>
      </c>
      <c r="H17" s="456"/>
      <c r="I17" s="110" t="s">
        <v>0</v>
      </c>
      <c r="J17" s="106" t="s">
        <v>250</v>
      </c>
      <c r="K17" s="111" t="s">
        <v>0</v>
      </c>
      <c r="L17" s="454"/>
    </row>
    <row r="18" spans="1:16" ht="16.2" thickBot="1" x14ac:dyDescent="0.35">
      <c r="A18" s="101" t="s">
        <v>74</v>
      </c>
      <c r="B18" s="457"/>
      <c r="C18" s="107" t="str">
        <f>VLOOKUP(C19,Teamzuordnung[[Name]:[Team]],2,FALSE)</f>
        <v>E</v>
      </c>
      <c r="D18" s="103" t="s">
        <v>72</v>
      </c>
      <c r="E18" s="108" t="str">
        <f>VLOOKUP(E19,Teamzuordnung[[Name]:[Team]],2,FALSE)</f>
        <v>E</v>
      </c>
      <c r="F18" s="455"/>
      <c r="G18" s="139" t="s">
        <v>74</v>
      </c>
      <c r="H18" s="457"/>
      <c r="I18" s="107" t="str">
        <f>VLOOKUP(I19,Teamzuordnung[[Name]:[Team]],2,FALSE)</f>
        <v>E</v>
      </c>
      <c r="J18" s="103" t="str">
        <f>D18</f>
        <v>H</v>
      </c>
      <c r="K18" s="108" t="str">
        <f>VLOOKUP(K19,Teamzuordnung[[Name]:[Team]],2,FALSE)</f>
        <v>E</v>
      </c>
      <c r="L18" s="455"/>
    </row>
    <row r="19" spans="1:16" ht="16.2" thickBot="1" x14ac:dyDescent="0.35">
      <c r="A19" s="101" t="s">
        <v>39</v>
      </c>
      <c r="B19" s="112" t="s">
        <v>251</v>
      </c>
      <c r="C19" s="103" t="s">
        <v>489</v>
      </c>
      <c r="D19" s="109" t="s">
        <v>249</v>
      </c>
      <c r="E19" s="103" t="s">
        <v>659</v>
      </c>
      <c r="F19" s="113" t="s">
        <v>251</v>
      </c>
      <c r="G19" s="140" t="s">
        <v>39</v>
      </c>
      <c r="H19" s="112" t="s">
        <v>251</v>
      </c>
      <c r="I19" s="103" t="s">
        <v>6</v>
      </c>
      <c r="J19" s="109" t="s">
        <v>249</v>
      </c>
      <c r="K19" s="103" t="s">
        <v>469</v>
      </c>
      <c r="L19" s="113" t="s">
        <v>251</v>
      </c>
    </row>
    <row r="20" spans="1:16" x14ac:dyDescent="0.3">
      <c r="B20" s="154" t="str">
        <f>IF(C20=MAX($M20:$P20)," -x- [1]",C20-MAX($M20:$P20)&amp;" ["&amp;_xlfn.RANK.EQ(C20,$M20:$P20,0)&amp;"]")</f>
        <v xml:space="preserve"> -x- [1]</v>
      </c>
      <c r="C20" s="142">
        <f>ROUND(IF($D$18="GES",VLOOKUP($C$19,AuswertungG[],3,FALSE),IF($D$18="H",VLOOKUP($C$19,AuswertungH[],3,FALSE),IF($D$18="A",VLOOKUP($C$19,AuswertungA[],3,FALSE),""))),0)</f>
        <v>9</v>
      </c>
      <c r="D20" s="99" t="s">
        <v>100</v>
      </c>
      <c r="E20" s="144">
        <f>ROUND(IF($D$18="GES",VLOOKUP($E$19,AuswertungG[],3,FALSE),IF($D$18="H",VLOOKUP($E$19,AuswertungH[],3,FALSE),IF($D$18="A",VLOOKUP($E$19,AuswertungA[],3,FALSE),""))),0)</f>
        <v>8</v>
      </c>
      <c r="F20" s="155" t="str">
        <f>IF(E20=MAX($M20:$P20)," -x- [1]",E20-MAX($M20:$P20)&amp;" ["&amp;_xlfn.RANK.EQ(E20,$M20:$P20,0)&amp;"]")</f>
        <v>-1 [4]</v>
      </c>
      <c r="G20" s="99" t="s">
        <v>100</v>
      </c>
      <c r="H20" s="156" t="str">
        <f>IF(I20=MAX($M20:$P20)," -x- [1]",I20-MAX($M20:$P20)&amp;" ["&amp;_xlfn.RANK.EQ(I20,$M20:$P20,0)&amp;"]")</f>
        <v xml:space="preserve"> -x- [1]</v>
      </c>
      <c r="I20" s="150">
        <f>ROUND(IF($J$18="GES",VLOOKUP($I$19,AuswertungG[],3,FALSE),IF($J$18="H",VLOOKUP($I$19,AuswertungH[],3,FALSE),IF($J$18="A",VLOOKUP($I$19,AuswertungA[],3,FALSE),""))),0)</f>
        <v>9</v>
      </c>
      <c r="J20" s="99" t="s">
        <v>100</v>
      </c>
      <c r="K20" s="148">
        <f>ROUND(IF($J$18="GES",VLOOKUP($K$19,AuswertungG[],3,FALSE),IF($J$18="H",VLOOKUP($K$19,AuswertungH[],3,FALSE),IF($J$18="A",VLOOKUP($K$19,AuswertungA[],3,FALSE),""))),0)</f>
        <v>9</v>
      </c>
      <c r="L20" s="158" t="str">
        <f>IF(K20=MAX($M20:$P20)," -x- [1]",K20-MAX($M20:$P20)&amp;" ["&amp;_xlfn.RANK.EQ(K20,$M20:$P20,0)&amp;"]")</f>
        <v xml:space="preserve"> -x- [1]</v>
      </c>
      <c r="M20" s="141">
        <f>C20</f>
        <v>9</v>
      </c>
      <c r="N20" s="141">
        <f>E20</f>
        <v>8</v>
      </c>
      <c r="O20" s="141">
        <f>I20</f>
        <v>9</v>
      </c>
      <c r="P20" s="141">
        <f>K20</f>
        <v>9</v>
      </c>
    </row>
    <row r="21" spans="1:16" x14ac:dyDescent="0.3">
      <c r="B21" s="154" t="str">
        <f t="shared" ref="B21:B30" si="2">IF(C21=MAX($M21:$P21)," -x- [1]",C21-MAX($M21:$P21)&amp;" ["&amp;_xlfn.RANK.EQ(C21,$M21:$P21,0)&amp;"]")</f>
        <v>-16 [4]</v>
      </c>
      <c r="C21" s="142">
        <f>ROUND(IF($D$18="GES",VLOOKUP($C$19,AuswertungG[],ROW(C21)-16,FALSE),IF($D$18="H",VLOOKUP($C$19,AuswertungH[],ROW(C21)-16,FALSE),IF($D$18="A",VLOOKUP($C$19,AuswertungA[],ROW(C21)-16,FALSE),""))),0)</f>
        <v>348</v>
      </c>
      <c r="D21" s="102" t="s">
        <v>21</v>
      </c>
      <c r="E21" s="144">
        <f>ROUND(IF($D$18="GES",VLOOKUP($E$19,AuswertungG[],ROW(E21)-16,FALSE),IF($D$18="H",VLOOKUP($E$19,AuswertungH[],ROW(E21)-16,FALSE),IF($D$18="A",VLOOKUP($E$19,AuswertungA[],ROW(E21)-16,FALSE),""))),0)</f>
        <v>357</v>
      </c>
      <c r="F21" s="155" t="str">
        <f t="shared" ref="F21:F30" si="3">IF(E21=MAX($M21:$P21)," -x- [1]",E21-MAX($M21:$P21)&amp;" ["&amp;_xlfn.RANK.EQ(E21,$M21:$P21,0)&amp;"]")</f>
        <v>-7 [3]</v>
      </c>
      <c r="G21" s="102" t="s">
        <v>21</v>
      </c>
      <c r="H21" s="156" t="str">
        <f t="shared" ref="H21:H30" si="4">IF(I21=MAX($M21:$P21)," -x- [1]",I21-MAX($M21:$P21)&amp;" ["&amp;_xlfn.RANK.EQ(I21,$M21:$P21,0)&amp;"]")</f>
        <v>-5 [2]</v>
      </c>
      <c r="I21" s="150">
        <f>ROUND(IF($J$18="GES",VLOOKUP($I$19,AuswertungG[],ROW(I21)-16,FALSE),IF($J$18="H",VLOOKUP($I$19,AuswertungH[],ROW(I21)-16,FALSE),IF($J$18="A",VLOOKUP($I$19,AuswertungA[],ROW(I21)-16,FALSE),""))),0)</f>
        <v>359</v>
      </c>
      <c r="J21" s="102" t="s">
        <v>21</v>
      </c>
      <c r="K21" s="148">
        <f>ROUND(IF($J$18="GES",VLOOKUP($K$19,AuswertungG[],ROW(K21)-16,FALSE),IF($J$18="H",VLOOKUP($K$19,AuswertungH[],ROW(K21)-16,FALSE),IF($J$18="A",VLOOKUP($K$19,AuswertungA[],ROW(K21)-16,FALSE),""))),0)</f>
        <v>364</v>
      </c>
      <c r="L21" s="158" t="str">
        <f t="shared" ref="L21:L30" si="5">IF(K21=MAX($M21:$P21)," -x- [1]",K21-MAX($M21:$P21)&amp;" ["&amp;_xlfn.RANK.EQ(K21,$M21:$P21,0)&amp;"]")</f>
        <v xml:space="preserve"> -x- [1]</v>
      </c>
      <c r="M21" s="141">
        <f t="shared" ref="M21:M30" si="6">C21</f>
        <v>348</v>
      </c>
      <c r="N21" s="141">
        <f t="shared" ref="N21:N30" si="7">E21</f>
        <v>357</v>
      </c>
      <c r="O21" s="141">
        <f t="shared" ref="O21:O30" si="8">I21</f>
        <v>359</v>
      </c>
      <c r="P21" s="141">
        <f t="shared" ref="P21:P30" si="9">K21</f>
        <v>364</v>
      </c>
    </row>
    <row r="22" spans="1:16" x14ac:dyDescent="0.3">
      <c r="B22" s="154" t="str">
        <f t="shared" si="2"/>
        <v>-2 [3]</v>
      </c>
      <c r="C22" s="142">
        <f>ROUND(IF($D$18="GES",VLOOKUP($C$19,AuswertungG[],ROW(C22)-16,FALSE),IF($D$18="H",VLOOKUP($C$19,AuswertungH[],ROW(C22)-16,FALSE),IF($D$18="A",VLOOKUP($C$19,AuswertungA[],ROW(C22)-16,FALSE),""))),0)</f>
        <v>168</v>
      </c>
      <c r="D22" s="99" t="s">
        <v>22</v>
      </c>
      <c r="E22" s="144">
        <f>ROUND(IF($D$18="GES",VLOOKUP($E$19,AuswertungG[],ROW(E22)-16,FALSE),IF($D$18="H",VLOOKUP($E$19,AuswertungH[],ROW(E22)-16,FALSE),IF($D$18="A",VLOOKUP($E$19,AuswertungA[],ROW(E22)-16,FALSE),""))),0)</f>
        <v>163</v>
      </c>
      <c r="F22" s="155" t="str">
        <f t="shared" si="3"/>
        <v>-7 [4]</v>
      </c>
      <c r="G22" s="99" t="s">
        <v>22</v>
      </c>
      <c r="H22" s="156" t="str">
        <f t="shared" si="4"/>
        <v xml:space="preserve"> -x- [1]</v>
      </c>
      <c r="I22" s="150">
        <f>ROUND(IF($J$18="GES",VLOOKUP($I$19,AuswertungG[],ROW(I22)-16,FALSE),IF($J$18="H",VLOOKUP($I$19,AuswertungH[],ROW(I22)-16,FALSE),IF($J$18="A",VLOOKUP($I$19,AuswertungA[],ROW(I22)-16,FALSE),""))),0)</f>
        <v>170</v>
      </c>
      <c r="J22" s="99" t="s">
        <v>22</v>
      </c>
      <c r="K22" s="148">
        <f>ROUND(IF($J$18="GES",VLOOKUP($K$19,AuswertungG[],ROW(K22)-16,FALSE),IF($J$18="H",VLOOKUP($K$19,AuswertungH[],ROW(K22)-16,FALSE),IF($J$18="A",VLOOKUP($K$19,AuswertungA[],ROW(K22)-16,FALSE),""))),0)</f>
        <v>169</v>
      </c>
      <c r="L22" s="158" t="str">
        <f t="shared" si="5"/>
        <v>-1 [2]</v>
      </c>
      <c r="M22" s="141">
        <f t="shared" si="6"/>
        <v>168</v>
      </c>
      <c r="N22" s="141">
        <f t="shared" si="7"/>
        <v>163</v>
      </c>
      <c r="O22" s="141">
        <f t="shared" si="8"/>
        <v>170</v>
      </c>
      <c r="P22" s="141">
        <f t="shared" si="9"/>
        <v>169</v>
      </c>
    </row>
    <row r="23" spans="1:16" x14ac:dyDescent="0.3">
      <c r="B23" s="154" t="str">
        <f>IF(C23=MIN($M23:$P23)," -x- [1]",C23-MIN($M23:$P23)&amp;" ["&amp;_xlfn.RANK.EQ(C23,$M23:$P23,1)&amp;"]")</f>
        <v>2 [4]</v>
      </c>
      <c r="C23" s="142">
        <f>ROUND(IF($D$18="GES",VLOOKUP($C$19,AuswertungG[],ROW(C23)-16,FALSE),IF($D$18="H",VLOOKUP($C$19,AuswertungH[],ROW(C23)-16,FALSE),IF($D$18="A",VLOOKUP($C$19,AuswertungA[],ROW(C23)-16,FALSE),""))),0)</f>
        <v>6</v>
      </c>
      <c r="D23" s="99" t="s">
        <v>23</v>
      </c>
      <c r="E23" s="144">
        <f>ROUND(IF($D$18="GES",VLOOKUP($E$19,AuswertungG[],ROW(E23)-16,FALSE),IF($D$18="H",VLOOKUP($E$19,AuswertungH[],ROW(E23)-16,FALSE),IF($D$18="A",VLOOKUP($E$19,AuswertungA[],ROW(E23)-16,FALSE),""))),0)</f>
        <v>4</v>
      </c>
      <c r="F23" s="155" t="str">
        <f>IF(E23=MIN($M23:$P23)," -x- [1]",E23-MIN($M23:$P23)&amp;" ["&amp;_xlfn.RANK.EQ(E23,$M23:$P23,1)&amp;"]")</f>
        <v xml:space="preserve"> -x- [1]</v>
      </c>
      <c r="G23" s="99" t="s">
        <v>23</v>
      </c>
      <c r="H23" s="156" t="str">
        <f>IF(I23=MIN($M23:$P23)," -x- [1]",I23-MIN($M23:$P23)&amp;" ["&amp;_xlfn.RANK.EQ(I23,$M23:$P23,1)&amp;"]")</f>
        <v xml:space="preserve"> -x- [1]</v>
      </c>
      <c r="I23" s="150">
        <f>ROUND(IF($J$18="GES",VLOOKUP($I$19,AuswertungG[],ROW(I23)-16,FALSE),IF($J$18="H",VLOOKUP($I$19,AuswertungH[],ROW(I23)-16,FALSE),IF($J$18="A",VLOOKUP($I$19,AuswertungA[],ROW(I23)-16,FALSE),""))),0)</f>
        <v>4</v>
      </c>
      <c r="J23" s="99" t="s">
        <v>23</v>
      </c>
      <c r="K23" s="148">
        <f>ROUND(IF($J$18="GES",VLOOKUP($K$19,AuswertungG[],ROW(K23)-16,FALSE),IF($J$18="H",VLOOKUP($K$19,AuswertungH[],ROW(K23)-16,FALSE),IF($J$18="A",VLOOKUP($K$19,AuswertungA[],ROW(K23)-16,FALSE),""))),0)</f>
        <v>5</v>
      </c>
      <c r="L23" s="158" t="str">
        <f>IF(K23=MIN($M23:$P23)," -x- [1]",K23-MIN($M23:$P23)&amp;" ["&amp;_xlfn.RANK.EQ(K23,$M23:$P23,1)&amp;"]")</f>
        <v>1 [3]</v>
      </c>
      <c r="M23" s="141">
        <f t="shared" si="6"/>
        <v>6</v>
      </c>
      <c r="N23" s="141">
        <f t="shared" si="7"/>
        <v>4</v>
      </c>
      <c r="O23" s="141">
        <f t="shared" si="8"/>
        <v>4</v>
      </c>
      <c r="P23" s="141">
        <f t="shared" si="9"/>
        <v>5</v>
      </c>
    </row>
    <row r="24" spans="1:16" x14ac:dyDescent="0.3">
      <c r="B24" s="154" t="str">
        <f t="shared" si="2"/>
        <v>-17 [4]</v>
      </c>
      <c r="C24" s="142">
        <f>ROUND(IF($D$18="GES",VLOOKUP($C$19,AuswertungG[],ROW(C24)-16,FALSE),IF($D$18="H",VLOOKUP($C$19,AuswertungH[],ROW(C24)-16,FALSE),IF($D$18="A",VLOOKUP($C$19,AuswertungA[],ROW(C24)-16,FALSE),""))),0)</f>
        <v>516</v>
      </c>
      <c r="D24" s="99" t="s">
        <v>26</v>
      </c>
      <c r="E24" s="144">
        <f>ROUND(IF($D$18="GES",VLOOKUP($E$19,AuswertungG[],ROW(E24)-16,FALSE),IF($D$18="H",VLOOKUP($E$19,AuswertungH[],ROW(E24)-16,FALSE),IF($D$18="A",VLOOKUP($E$19,AuswertungA[],ROW(E24)-16,FALSE),""))),0)</f>
        <v>520</v>
      </c>
      <c r="F24" s="155" t="str">
        <f t="shared" si="3"/>
        <v>-13 [3]</v>
      </c>
      <c r="G24" s="99" t="s">
        <v>26</v>
      </c>
      <c r="H24" s="156" t="str">
        <f t="shared" si="4"/>
        <v>-4 [2]</v>
      </c>
      <c r="I24" s="150">
        <f>ROUND(IF($J$18="GES",VLOOKUP($I$19,AuswertungG[],ROW(I24)-16,FALSE),IF($J$18="H",VLOOKUP($I$19,AuswertungH[],ROW(I24)-16,FALSE),IF($J$18="A",VLOOKUP($I$19,AuswertungA[],ROW(I24)-16,FALSE),""))),0)</f>
        <v>529</v>
      </c>
      <c r="J24" s="99" t="s">
        <v>26</v>
      </c>
      <c r="K24" s="148">
        <f>ROUND(IF($J$18="GES",VLOOKUP($K$19,AuswertungG[],ROW(K24)-16,FALSE),IF($J$18="H",VLOOKUP($K$19,AuswertungH[],ROW(K24)-16,FALSE),IF($J$18="A",VLOOKUP($K$19,AuswertungA[],ROW(K24)-16,FALSE),""))),0)</f>
        <v>533</v>
      </c>
      <c r="L24" s="158" t="str">
        <f t="shared" si="5"/>
        <v xml:space="preserve"> -x- [1]</v>
      </c>
      <c r="M24" s="141">
        <f t="shared" si="6"/>
        <v>516</v>
      </c>
      <c r="N24" s="141">
        <f t="shared" si="7"/>
        <v>520</v>
      </c>
      <c r="O24" s="141">
        <f t="shared" si="8"/>
        <v>529</v>
      </c>
      <c r="P24" s="141">
        <f t="shared" si="9"/>
        <v>533</v>
      </c>
    </row>
    <row r="25" spans="1:16" x14ac:dyDescent="0.3">
      <c r="B25" s="154" t="str">
        <f t="shared" si="2"/>
        <v>-1,6 [4]</v>
      </c>
      <c r="C25" s="143">
        <f>ROUND(IF($D$18="GES",VLOOKUP($C$19,AuswertungG[],ROW(C25)-16,FALSE),IF($D$18="H",VLOOKUP($C$19,AuswertungH[],ROW(C25)-16,FALSE),IF($D$18="A",VLOOKUP($C$19,AuswertungA[],ROW(C25)-16,FALSE),""))),1)</f>
        <v>1.4</v>
      </c>
      <c r="D25" s="99" t="s">
        <v>24</v>
      </c>
      <c r="E25" s="145">
        <f>ROUND(IF($D$18="GES",VLOOKUP($E$19,AuswertungG[],ROW(E25)-16,FALSE),IF($D$18="H",VLOOKUP($E$19,AuswertungH[],ROW(E25)-16,FALSE),IF($D$18="A",VLOOKUP($E$19,AuswertungA[],ROW(E25)-16,FALSE),""))),1)</f>
        <v>1.8</v>
      </c>
      <c r="F25" s="155" t="str">
        <f t="shared" si="3"/>
        <v>-1,2 [3]</v>
      </c>
      <c r="G25" s="99" t="s">
        <v>24</v>
      </c>
      <c r="H25" s="157" t="str">
        <f>IF(I25=MAX($M25:$P25)," -x- [1]",I25-MAX($M25:$P25)&amp;" ["&amp;_xlfn.RANK.EQ(I25,$M25:$P25,0)&amp;"]")</f>
        <v xml:space="preserve"> -x- [1]</v>
      </c>
      <c r="I25" s="151">
        <f>ROUND(IF($J$18="GES",VLOOKUP($I$19,AuswertungG[],ROW(I25)-16,FALSE),IF($J$18="H",VLOOKUP($I$19,AuswertungH[],ROW(I25)-16,FALSE),IF($J$18="A",VLOOKUP($I$19,AuswertungA[],ROW(I25)-16,FALSE),""))),1)</f>
        <v>3</v>
      </c>
      <c r="J25" s="99" t="s">
        <v>24</v>
      </c>
      <c r="K25" s="149">
        <f>ROUND(IF($J$18="GES",VLOOKUP($K$19,AuswertungG[],ROW(K25)-16,FALSE),IF($J$18="H",VLOOKUP($K$19,AuswertungH[],ROW(K25)-16,FALSE),IF($J$18="A",VLOOKUP($K$19,AuswertungA[],ROW(K25)-16,FALSE),""))),1)</f>
        <v>2.2000000000000002</v>
      </c>
      <c r="L25" s="163" t="str">
        <f>IF(K25=MAX($M25:$P25)," -x- [1]",ROUND(K25-MAX($M25:$P25),1)&amp;" ["&amp;_xlfn.RANK.EQ(K25,$M25:$P25,0)&amp;"]")</f>
        <v>-0,8 [2]</v>
      </c>
      <c r="M25" s="141">
        <f t="shared" si="6"/>
        <v>1.4</v>
      </c>
      <c r="N25" s="141">
        <f t="shared" si="7"/>
        <v>1.8</v>
      </c>
      <c r="O25" s="141">
        <f t="shared" si="8"/>
        <v>3</v>
      </c>
      <c r="P25" s="141">
        <f t="shared" si="9"/>
        <v>2.2000000000000002</v>
      </c>
    </row>
    <row r="26" spans="1:16" x14ac:dyDescent="0.3">
      <c r="B26" s="154" t="str">
        <f t="shared" si="2"/>
        <v>-0,8 [4]</v>
      </c>
      <c r="C26" s="143">
        <f>ROUND(IF($D$18="GES",VLOOKUP($C$19,AuswertungG[],ROW(C26)-16,FALSE),IF($D$18="H",VLOOKUP($C$19,AuswertungH[],ROW(C26)-16,FALSE),IF($D$18="A",VLOOKUP($C$19,AuswertungA[],ROW(C26)-16,FALSE),""))),1)</f>
        <v>0.2</v>
      </c>
      <c r="D26" s="99" t="s">
        <v>25</v>
      </c>
      <c r="E26" s="145">
        <f>ROUND(IF($D$18="GES",VLOOKUP($E$19,AuswertungG[],ROW(E26)-16,FALSE),IF($D$18="H",VLOOKUP($E$19,AuswertungH[],ROW(E26)-16,FALSE),IF($D$18="A",VLOOKUP($E$19,AuswertungA[],ROW(E26)-16,FALSE),""))),1)</f>
        <v>0.4</v>
      </c>
      <c r="F26" s="155" t="str">
        <f t="shared" si="3"/>
        <v>-0,6 [3]</v>
      </c>
      <c r="G26" s="99" t="s">
        <v>25</v>
      </c>
      <c r="H26" s="156" t="str">
        <f t="shared" si="4"/>
        <v xml:space="preserve"> -x- [1]</v>
      </c>
      <c r="I26" s="151">
        <f>ROUND(IF($J$18="GES",VLOOKUP($I$19,AuswertungG[],ROW(I26)-16,FALSE),IF($J$18="H",VLOOKUP($I$19,AuswertungH[],ROW(I26)-16,FALSE),IF($J$18="A",VLOOKUP($I$19,AuswertungA[],ROW(I26)-16,FALSE),""))),1)</f>
        <v>1</v>
      </c>
      <c r="J26" s="99" t="s">
        <v>25</v>
      </c>
      <c r="K26" s="149">
        <f>ROUND(IF($J$18="GES",VLOOKUP($K$19,AuswertungG[],ROW(K26)-16,FALSE),IF($J$18="H",VLOOKUP($K$19,AuswertungH[],ROW(K26)-16,FALSE),IF($J$18="A",VLOOKUP($K$19,AuswertungA[],ROW(K26)-16,FALSE),""))),1)</f>
        <v>0.7</v>
      </c>
      <c r="L26" s="158" t="str">
        <f t="shared" si="5"/>
        <v>-0,3 [2]</v>
      </c>
      <c r="M26" s="141">
        <f t="shared" si="6"/>
        <v>0.2</v>
      </c>
      <c r="N26" s="141">
        <f t="shared" si="7"/>
        <v>0.4</v>
      </c>
      <c r="O26" s="141">
        <f t="shared" si="8"/>
        <v>1</v>
      </c>
      <c r="P26" s="141">
        <f t="shared" si="9"/>
        <v>0.7</v>
      </c>
    </row>
    <row r="27" spans="1:16" x14ac:dyDescent="0.3">
      <c r="B27" s="154" t="str">
        <f t="shared" si="2"/>
        <v>-0,1 [2]</v>
      </c>
      <c r="C27" s="143">
        <f>ROUND(IF($D$18="GES",VLOOKUP($C$19,AuswertungG[],ROW(C27)-8,FALSE),IF($D$18="H",VLOOKUP($C$19,AuswertungH[],ROW(C27)-8,FALSE),IF($D$18="A",VLOOKUP($C$19,AuswertungA[],ROW(C27)-8,FALSE),""))),1)</f>
        <v>-0.3</v>
      </c>
      <c r="D27" s="99" t="s">
        <v>218</v>
      </c>
      <c r="E27" s="145">
        <f>ROUND(IF($D$18="GES",VLOOKUP($E$19,AuswertungG[],ROW(E27)-8,FALSE),IF($D$18="H",VLOOKUP($E$19,AuswertungH[],ROW(E27)-8,FALSE),IF($D$18="A",VLOOKUP($E$19,AuswertungA[],ROW(E27)-8,FALSE),""))),1)</f>
        <v>-0.2</v>
      </c>
      <c r="F27" s="155" t="str">
        <f t="shared" si="3"/>
        <v xml:space="preserve"> -x- [1]</v>
      </c>
      <c r="G27" s="99" t="s">
        <v>218</v>
      </c>
      <c r="H27" s="156" t="str">
        <f t="shared" si="4"/>
        <v>-0,9 [4]</v>
      </c>
      <c r="I27" s="151">
        <f>ROUND(IF($J$18="GES",VLOOKUP($I$19,AuswertungG[],ROW(I27)-8,FALSE),IF($J$18="H",VLOOKUP($I$19,AuswertungH[],ROW(I27)-8,FALSE),IF($J$18="A",VLOOKUP($I$19,AuswertungA[],ROW(I27)-8,FALSE),""))),1)</f>
        <v>-1.1000000000000001</v>
      </c>
      <c r="J27" s="99" t="s">
        <v>218</v>
      </c>
      <c r="K27" s="149">
        <f>ROUND(IF($J$18="GES",VLOOKUP($K$19,AuswertungG[],ROW(K27)-8,FALSE),IF($J$18="H",VLOOKUP($K$19,AuswertungH[],ROW(K27)-8,FALSE),IF($J$18="A",VLOOKUP($K$19,AuswertungA[],ROW(K27)-8,FALSE),""))),1)</f>
        <v>-0.9</v>
      </c>
      <c r="L27" s="158" t="str">
        <f t="shared" si="5"/>
        <v>-0,7 [3]</v>
      </c>
      <c r="M27" s="141">
        <f t="shared" si="6"/>
        <v>-0.3</v>
      </c>
      <c r="N27" s="141">
        <f t="shared" si="7"/>
        <v>-0.2</v>
      </c>
      <c r="O27" s="141">
        <f t="shared" si="8"/>
        <v>-1.1000000000000001</v>
      </c>
      <c r="P27" s="141">
        <f t="shared" si="9"/>
        <v>-0.9</v>
      </c>
    </row>
    <row r="28" spans="1:16" x14ac:dyDescent="0.3">
      <c r="B28" s="154" t="str">
        <f t="shared" si="2"/>
        <v xml:space="preserve"> -x- [1]</v>
      </c>
      <c r="C28" s="143">
        <f>ROUND(IF($D$18="GES",VLOOKUP($C$19,AuswertungG[],ROW(C28)-8,FALSE),IF($D$18="H",VLOOKUP($C$19,AuswertungH[],ROW(C28)-8,FALSE),IF($D$18="A",VLOOKUP($C$19,AuswertungA[],ROW(C28)-8,FALSE),""))),1)</f>
        <v>0.3</v>
      </c>
      <c r="D28" s="99" t="s">
        <v>253</v>
      </c>
      <c r="E28" s="145">
        <f>ROUND(IF($D$18="GES",VLOOKUP($E$19,AuswertungG[],ROW(E28)-8,FALSE),IF($D$18="H",VLOOKUP($E$19,AuswertungH[],ROW(E28)-8,FALSE),IF($D$18="A",VLOOKUP($E$19,AuswertungA[],ROW(E28)-8,FALSE),""))),1)</f>
        <v>-1.5</v>
      </c>
      <c r="F28" s="176" t="str">
        <f>IF(E28=MAX($M28:$P28)," -x- [1]",E28-MAX($M28:$P28)&amp;" ["&amp;_xlfn.RANK.EQ(E28,$M28:$P28,0)&amp;"]")</f>
        <v>-1,8 [3]</v>
      </c>
      <c r="G28" s="99" t="s">
        <v>253</v>
      </c>
      <c r="H28" s="156" t="str">
        <f t="shared" si="4"/>
        <v>-1,1 [2]</v>
      </c>
      <c r="I28" s="151">
        <f>ROUND(IF($J$18="GES",VLOOKUP($I$19,AuswertungG[],ROW(I28)-8,FALSE),IF($J$18="H",VLOOKUP($I$19,AuswertungH[],ROW(I28)-8,FALSE),IF($J$18="A",VLOOKUP($I$19,AuswertungA[],ROW(I28)-8,FALSE),""))),1)</f>
        <v>-0.8</v>
      </c>
      <c r="J28" s="99" t="s">
        <v>253</v>
      </c>
      <c r="K28" s="149">
        <f>ROUND(IF($J$18="GES",VLOOKUP($K$19,AuswertungG[],ROW(K28)-8,FALSE),IF($J$18="H",VLOOKUP($K$19,AuswertungH[],ROW(K28)-8,FALSE),IF($J$18="A",VLOOKUP($K$19,AuswertungA[],ROW(K28)-8,FALSE),""))),1)</f>
        <v>-2.2000000000000002</v>
      </c>
      <c r="L28" s="158" t="str">
        <f t="shared" si="5"/>
        <v>-2,5 [4]</v>
      </c>
      <c r="M28" s="141">
        <f t="shared" si="6"/>
        <v>0.3</v>
      </c>
      <c r="N28" s="141">
        <f t="shared" si="7"/>
        <v>-1.5</v>
      </c>
      <c r="O28" s="141">
        <f t="shared" si="8"/>
        <v>-0.8</v>
      </c>
      <c r="P28" s="141">
        <f>K28</f>
        <v>-2.2000000000000002</v>
      </c>
    </row>
    <row r="29" spans="1:16" x14ac:dyDescent="0.3">
      <c r="B29" s="154" t="str">
        <f>IF(C29=MIN($M29:$P29)," -x- [1]",C29-MIN($M29:$P29)&amp;" ["&amp;_xlfn.RANK.EQ(C29,$M29:$P29,1)&amp;"]")</f>
        <v>3 [3]</v>
      </c>
      <c r="C29" s="142">
        <f>ROUND(IF($D$18="GES",VLOOKUP($C$19,AuswertungG[],ROW(C29)-8,FALSE),IF($D$18="H",VLOOKUP($C$19,AuswertungH[],ROW(C29)-8,FALSE),IF($D$18="A",VLOOKUP($C$19,AuswertungA[],ROW(C29)-8,FALSE),""))),0)</f>
        <v>19</v>
      </c>
      <c r="D29" s="99" t="s">
        <v>196</v>
      </c>
      <c r="E29" s="144">
        <f>ROUND(IF($D$18="GES",VLOOKUP($E$19,AuswertungG[],ROW(E29)-8,FALSE),IF($D$18="H",VLOOKUP($E$19,AuswertungH[],ROW(E29)-8,FALSE),IF($D$18="A",VLOOKUP($E$19,AuswertungA[],ROW(E29)-8,FALSE),""))),0)</f>
        <v>16</v>
      </c>
      <c r="F29" s="155" t="str">
        <f>IF(E29=MIN($M29:$P29)," -x- [1]",E29-MIN($M29:$P29)&amp;" ["&amp;_xlfn.RANK.EQ(E29,$M29:$P29,1)&amp;"]")</f>
        <v xml:space="preserve"> -x- [1]</v>
      </c>
      <c r="G29" s="99" t="s">
        <v>196</v>
      </c>
      <c r="H29" s="156" t="str">
        <f>IF(I29=MIN($M29:$P29)," -x- [1]",I29-MIN($M29:$P29)&amp;" ["&amp;_xlfn.RANK.EQ(I29,$M29:$P29,1)&amp;"]")</f>
        <v xml:space="preserve"> -x- [1]</v>
      </c>
      <c r="I29" s="150">
        <f>ROUND(IF($J$18="GES",VLOOKUP($I$19,AuswertungG[],ROW(I29)-8,FALSE),IF($J$18="H",VLOOKUP($I$19,AuswertungH[],ROW(I29)-8,FALSE),IF($J$18="A",VLOOKUP($I$19,AuswertungA[],ROW(I29)-8,FALSE),""))),0)</f>
        <v>16</v>
      </c>
      <c r="J29" s="99" t="s">
        <v>196</v>
      </c>
      <c r="K29" s="148">
        <f>ROUND(IF($J$18="GES",VLOOKUP($K$19,AuswertungG[],ROW(K29)-8,FALSE),IF($J$18="H",VLOOKUP($K$19,AuswertungH[],ROW(K29)-8,FALSE),IF($J$18="A",VLOOKUP($K$19,AuswertungA[],ROW(K29)-8,FALSE),""))),0)</f>
        <v>22</v>
      </c>
      <c r="L29" s="158" t="str">
        <f>IF(K29=MIN($M29:$P29)," -x- [1]",K29-MIN($M29:$P29)&amp;" ["&amp;_xlfn.RANK.EQ(K29,$M29:$P29,1)&amp;"]")</f>
        <v>6 [4]</v>
      </c>
      <c r="M29" s="141">
        <f t="shared" si="6"/>
        <v>19</v>
      </c>
      <c r="N29" s="141">
        <f t="shared" si="7"/>
        <v>16</v>
      </c>
      <c r="O29" s="141">
        <f t="shared" si="8"/>
        <v>16</v>
      </c>
      <c r="P29" s="141">
        <f t="shared" si="9"/>
        <v>22</v>
      </c>
    </row>
    <row r="30" spans="1:16" ht="16.2" thickBot="1" x14ac:dyDescent="0.35">
      <c r="B30" s="159" t="str">
        <f t="shared" si="2"/>
        <v xml:space="preserve"> -x- [1]</v>
      </c>
      <c r="C30" s="146">
        <f>ROUND(IF($D$18="GES",VLOOKUP($C$19,AuswertungG[],ROW(C30)-8,FALSE),IF($D$18="H",VLOOKUP($C$19,AuswertungH[],ROW(C30)-8,FALSE),IF($D$18="A",VLOOKUP($C$19,AuswertungA[],ROW(C30)-8,FALSE),""))),0)</f>
        <v>527</v>
      </c>
      <c r="D30" s="100" t="s">
        <v>40</v>
      </c>
      <c r="E30" s="147">
        <f>ROUND(IF($D$18="GES",VLOOKUP($E$19,AuswertungG[],ROW(E30)-8,FALSE),IF($D$18="H",VLOOKUP($E$19,AuswertungH[],ROW(E30)-8,FALSE),IF($D$18="A",VLOOKUP($E$19,AuswertungA[],ROW(E30)-8,FALSE),""))),0)</f>
        <v>475</v>
      </c>
      <c r="F30" s="160" t="str">
        <f t="shared" si="3"/>
        <v>-52 [4]</v>
      </c>
      <c r="G30" s="100" t="s">
        <v>40</v>
      </c>
      <c r="H30" s="161" t="str">
        <f t="shared" si="4"/>
        <v>-18 [3]</v>
      </c>
      <c r="I30" s="152">
        <f>ROUND(IF($J$18="GES",VLOOKUP($I$19,AuswertungG[],ROW(I30)-8,FALSE),IF($J$18="H",VLOOKUP($I$19,AuswertungH[],ROW(I30)-8,FALSE),IF($J$18="A",VLOOKUP($I$19,AuswertungA[],ROW(I30)-8,FALSE),""))),0)</f>
        <v>509</v>
      </c>
      <c r="J30" s="100" t="s">
        <v>40</v>
      </c>
      <c r="K30" s="153">
        <f>ROUND(IF($J$18="GES",VLOOKUP($K$19,AuswertungG[],ROW(K30)-8,FALSE),IF($J$18="H",VLOOKUP($K$19,AuswertungH[],ROW(K30)-8,FALSE),IF($J$18="A",VLOOKUP($K$19,AuswertungA[],ROW(K30)-8,FALSE),""))),0)</f>
        <v>522</v>
      </c>
      <c r="L30" s="162" t="str">
        <f t="shared" si="5"/>
        <v>-5 [2]</v>
      </c>
      <c r="M30" s="141">
        <f t="shared" si="6"/>
        <v>527</v>
      </c>
      <c r="N30" s="141">
        <f t="shared" si="7"/>
        <v>475</v>
      </c>
      <c r="O30" s="141">
        <f t="shared" si="8"/>
        <v>509</v>
      </c>
      <c r="P30" s="141">
        <f t="shared" si="9"/>
        <v>522</v>
      </c>
    </row>
    <row r="35" spans="2:6" x14ac:dyDescent="0.3">
      <c r="B35" s="98" t="s">
        <v>13</v>
      </c>
      <c r="C35" s="98" t="s">
        <v>63</v>
      </c>
      <c r="D35" s="98" t="s">
        <v>621</v>
      </c>
      <c r="E35" s="98" t="s">
        <v>428</v>
      </c>
      <c r="F35" s="98" t="s">
        <v>430</v>
      </c>
    </row>
    <row r="36" spans="2:6" x14ac:dyDescent="0.3">
      <c r="B36" s="98" t="str" cm="1">
        <f t="array" ref="B36:B76">_xlfn.UNIQUE(Eingabe[Name])</f>
        <v>Maik Fuhrmann</v>
      </c>
      <c r="C36" s="98">
        <f>VLOOKUP(B36,AuswertungG[],8,FALSE)</f>
        <v>550</v>
      </c>
      <c r="D36" s="98" t="e">
        <f>VLOOKUP(B36,Vorjahr[],2,FALSE)</f>
        <v>#N/A</v>
      </c>
      <c r="E36" s="98">
        <f>IFERROR(C36-D36,0)</f>
        <v>0</v>
      </c>
      <c r="F36" s="98">
        <f>_xlfn.RANK.EQ(E36,$E$36:$E$78,0)</f>
        <v>27</v>
      </c>
    </row>
    <row r="37" spans="2:6" x14ac:dyDescent="0.3">
      <c r="B37" s="98" t="str">
        <v>Stefan Teuber</v>
      </c>
      <c r="C37" s="98">
        <f>VLOOKUP(B37,AuswertungG[],8,FALSE)</f>
        <v>526</v>
      </c>
      <c r="D37" s="98">
        <f>VLOOKUP(B37,Vorjahr[],2,FALSE)</f>
        <v>529</v>
      </c>
      <c r="E37" s="98">
        <f t="shared" ref="E37:E78" si="10">IFERROR(C37-D37,0)</f>
        <v>-3</v>
      </c>
      <c r="F37" s="98">
        <f t="shared" ref="F37:F78" si="11">_xlfn.RANK.EQ(E37,$E$36:$E$78,0)</f>
        <v>37</v>
      </c>
    </row>
    <row r="38" spans="2:6" x14ac:dyDescent="0.3">
      <c r="B38" s="98" t="str">
        <v>Patrick Hohmann</v>
      </c>
      <c r="C38" s="98">
        <f>VLOOKUP(B38,AuswertungG[],8,FALSE)</f>
        <v>528</v>
      </c>
      <c r="D38" s="98">
        <f>VLOOKUP(B38,Vorjahr[],2,FALSE)</f>
        <v>525</v>
      </c>
      <c r="E38" s="98">
        <f t="shared" si="10"/>
        <v>3</v>
      </c>
      <c r="F38" s="98">
        <f t="shared" si="11"/>
        <v>26</v>
      </c>
    </row>
    <row r="39" spans="2:6" x14ac:dyDescent="0.3">
      <c r="B39" s="98" t="str">
        <v>Tim Becker</v>
      </c>
      <c r="C39" s="98">
        <f>VLOOKUP(B39,AuswertungG[],8,FALSE)</f>
        <v>529</v>
      </c>
      <c r="D39" s="98">
        <f>VLOOKUP(B39,Vorjahr[],2,FALSE)</f>
        <v>529</v>
      </c>
      <c r="E39" s="98">
        <f t="shared" si="10"/>
        <v>0</v>
      </c>
      <c r="F39" s="98">
        <f t="shared" si="11"/>
        <v>27</v>
      </c>
    </row>
    <row r="40" spans="2:6" x14ac:dyDescent="0.3">
      <c r="B40" s="98" t="str">
        <v>Philipp Paulmann</v>
      </c>
      <c r="C40" s="98">
        <f>VLOOKUP(B40,AuswertungG[],8,FALSE)</f>
        <v>568</v>
      </c>
      <c r="D40" s="98">
        <f>VLOOKUP(B40,Vorjahr[],2,FALSE)</f>
        <v>572</v>
      </c>
      <c r="E40" s="98">
        <f t="shared" si="10"/>
        <v>-4</v>
      </c>
      <c r="F40" s="98">
        <f t="shared" si="11"/>
        <v>39</v>
      </c>
    </row>
    <row r="41" spans="2:6" x14ac:dyDescent="0.3">
      <c r="B41" s="98" t="str">
        <v>Heiko Fuhrmann</v>
      </c>
      <c r="C41" s="98">
        <f>VLOOKUP(B41,AuswertungG[],8,FALSE)</f>
        <v>532</v>
      </c>
      <c r="D41" s="98" t="e">
        <f>VLOOKUP(B41,Vorjahr[],2,FALSE)</f>
        <v>#N/A</v>
      </c>
      <c r="E41" s="98">
        <f t="shared" si="10"/>
        <v>0</v>
      </c>
      <c r="F41" s="98">
        <f t="shared" si="11"/>
        <v>27</v>
      </c>
    </row>
    <row r="42" spans="2:6" x14ac:dyDescent="0.3">
      <c r="B42" s="98" t="str">
        <v>Andreas Rippin</v>
      </c>
      <c r="C42" s="98">
        <f>VLOOKUP(B42,AuswertungG[],8,FALSE)</f>
        <v>508</v>
      </c>
      <c r="D42" s="98" t="e">
        <f>VLOOKUP(B42,Vorjahr[],2,FALSE)</f>
        <v>#N/A</v>
      </c>
      <c r="E42" s="98">
        <f t="shared" si="10"/>
        <v>0</v>
      </c>
      <c r="F42" s="98">
        <f t="shared" si="11"/>
        <v>27</v>
      </c>
    </row>
    <row r="43" spans="2:6" x14ac:dyDescent="0.3">
      <c r="B43" s="98" t="str">
        <v>Uwe Zippack</v>
      </c>
      <c r="C43" s="98">
        <f>VLOOKUP(B43,AuswertungG[],8,FALSE)</f>
        <v>525</v>
      </c>
      <c r="D43" s="98" t="e">
        <f>VLOOKUP(B43,Vorjahr[],2,FALSE)</f>
        <v>#N/A</v>
      </c>
      <c r="E43" s="98">
        <f t="shared" si="10"/>
        <v>0</v>
      </c>
      <c r="F43" s="98">
        <f t="shared" si="11"/>
        <v>27</v>
      </c>
    </row>
    <row r="44" spans="2:6" x14ac:dyDescent="0.3">
      <c r="B44" s="98">
        <v>0</v>
      </c>
      <c r="C44" s="98" t="e">
        <f>VLOOKUP(B44,AuswertungG[],8,FALSE)</f>
        <v>#N/A</v>
      </c>
      <c r="D44" s="98" t="e">
        <f>VLOOKUP(B44,Vorjahr[],2,FALSE)</f>
        <v>#N/A</v>
      </c>
      <c r="E44" s="98">
        <f t="shared" si="10"/>
        <v>0</v>
      </c>
      <c r="F44" s="98">
        <f t="shared" si="11"/>
        <v>27</v>
      </c>
    </row>
    <row r="45" spans="2:6" x14ac:dyDescent="0.3">
      <c r="B45" s="98" t="str">
        <v>Lea Meinert</v>
      </c>
      <c r="C45" s="98">
        <f>VLOOKUP(B45,AuswertungG[],8,FALSE)</f>
        <v>495</v>
      </c>
      <c r="D45" s="98">
        <f>VLOOKUP(B45,Vorjahr[],2,FALSE)</f>
        <v>512</v>
      </c>
      <c r="E45" s="98">
        <f t="shared" si="10"/>
        <v>-17</v>
      </c>
      <c r="F45" s="98">
        <f t="shared" si="11"/>
        <v>42</v>
      </c>
    </row>
    <row r="46" spans="2:6" x14ac:dyDescent="0.3">
      <c r="B46" s="98" t="str">
        <v>Cora Keller</v>
      </c>
      <c r="C46" s="98">
        <f>VLOOKUP(B46,AuswertungG[],8,FALSE)</f>
        <v>501</v>
      </c>
      <c r="D46" s="98">
        <f>VLOOKUP(B46,Vorjahr[],2,FALSE)</f>
        <v>467</v>
      </c>
      <c r="E46" s="98">
        <f t="shared" si="10"/>
        <v>34</v>
      </c>
      <c r="F46" s="98">
        <f t="shared" si="11"/>
        <v>6</v>
      </c>
    </row>
    <row r="47" spans="2:6" x14ac:dyDescent="0.3">
      <c r="B47" s="98" t="str">
        <v>Katrin Keller</v>
      </c>
      <c r="C47" s="98">
        <f>VLOOKUP(B47,AuswertungG[],8,FALSE)</f>
        <v>478</v>
      </c>
      <c r="D47" s="98">
        <f>VLOOKUP(B47,Vorjahr[],2,FALSE)</f>
        <v>491</v>
      </c>
      <c r="E47" s="98">
        <f t="shared" si="10"/>
        <v>-13</v>
      </c>
      <c r="F47" s="98">
        <f t="shared" si="11"/>
        <v>40</v>
      </c>
    </row>
    <row r="48" spans="2:6" x14ac:dyDescent="0.3">
      <c r="B48" s="98" t="str">
        <v>Heike Scholz</v>
      </c>
      <c r="C48" s="98">
        <f>VLOOKUP(B48,AuswertungG[],8,FALSE)</f>
        <v>509</v>
      </c>
      <c r="D48" s="98">
        <f>VLOOKUP(B48,Vorjahr[],2,FALSE)</f>
        <v>475</v>
      </c>
      <c r="E48" s="98">
        <f t="shared" si="10"/>
        <v>34</v>
      </c>
      <c r="F48" s="98">
        <f t="shared" si="11"/>
        <v>6</v>
      </c>
    </row>
    <row r="49" spans="2:6" x14ac:dyDescent="0.3">
      <c r="B49" s="98" t="str">
        <v>Madlen Baumgarten</v>
      </c>
      <c r="C49" s="98">
        <f>VLOOKUP(B49,AuswertungG[],8,FALSE)</f>
        <v>511</v>
      </c>
      <c r="D49" s="98">
        <f>VLOOKUP(B49,Vorjahr[],2,FALSE)</f>
        <v>497</v>
      </c>
      <c r="E49" s="98">
        <f t="shared" si="10"/>
        <v>14</v>
      </c>
      <c r="F49" s="98">
        <f t="shared" si="11"/>
        <v>18</v>
      </c>
    </row>
    <row r="50" spans="2:6" x14ac:dyDescent="0.3">
      <c r="B50" s="98" t="str">
        <v>Katrin Fiedler</v>
      </c>
      <c r="C50" s="98">
        <f>VLOOKUP(B50,AuswertungG[],8,FALSE)</f>
        <v>510</v>
      </c>
      <c r="D50" s="98">
        <f>VLOOKUP(B50,Vorjahr[],2,FALSE)</f>
        <v>487</v>
      </c>
      <c r="E50" s="98">
        <f t="shared" si="10"/>
        <v>23</v>
      </c>
      <c r="F50" s="98">
        <f t="shared" si="11"/>
        <v>10</v>
      </c>
    </row>
    <row r="51" spans="2:6" x14ac:dyDescent="0.3">
      <c r="B51" s="98" t="str">
        <v>Anna Müller</v>
      </c>
      <c r="C51" s="98">
        <f>VLOOKUP(B51,AuswertungG[],8,FALSE)</f>
        <v>508</v>
      </c>
      <c r="D51" s="98">
        <f>VLOOKUP(B51,Vorjahr[],2,FALSE)</f>
        <v>499</v>
      </c>
      <c r="E51" s="98">
        <f t="shared" si="10"/>
        <v>9</v>
      </c>
      <c r="F51" s="98">
        <f t="shared" si="11"/>
        <v>21</v>
      </c>
    </row>
    <row r="52" spans="2:6" x14ac:dyDescent="0.3">
      <c r="B52" s="98" t="str">
        <v>Petra Kubon</v>
      </c>
      <c r="C52" s="98">
        <f>VLOOKUP(B52,AuswertungG[],8,FALSE)</f>
        <v>477</v>
      </c>
      <c r="D52" s="98">
        <f>VLOOKUP(B52,Vorjahr[],2,FALSE)</f>
        <v>459</v>
      </c>
      <c r="E52" s="98">
        <f t="shared" si="10"/>
        <v>18</v>
      </c>
      <c r="F52" s="98">
        <f t="shared" si="11"/>
        <v>14</v>
      </c>
    </row>
    <row r="53" spans="2:6" x14ac:dyDescent="0.3">
      <c r="B53" s="98" t="str">
        <v>Sylke Schmidt</v>
      </c>
      <c r="C53" s="98">
        <f>VLOOKUP(B53,AuswertungG[],8,FALSE)</f>
        <v>520</v>
      </c>
      <c r="D53" s="98">
        <f>VLOOKUP(B53,Vorjahr[],2,FALSE)</f>
        <v>516</v>
      </c>
      <c r="E53" s="98">
        <f t="shared" si="10"/>
        <v>4</v>
      </c>
      <c r="F53" s="98">
        <f t="shared" si="11"/>
        <v>25</v>
      </c>
    </row>
    <row r="54" spans="2:6" x14ac:dyDescent="0.3">
      <c r="B54" s="98" t="str">
        <v>Pia Wätzig</v>
      </c>
      <c r="C54" s="98">
        <f>VLOOKUP(B54,AuswertungG[],8,FALSE)</f>
        <v>461</v>
      </c>
      <c r="D54" s="98">
        <f>VLOOKUP(B54,Vorjahr[],2,FALSE)</f>
        <v>418</v>
      </c>
      <c r="E54" s="98">
        <f t="shared" si="10"/>
        <v>43</v>
      </c>
      <c r="F54" s="98">
        <f t="shared" si="11"/>
        <v>3</v>
      </c>
    </row>
    <row r="55" spans="2:6" x14ac:dyDescent="0.3">
      <c r="B55" s="98" t="str">
        <v>Emma Hettmann</v>
      </c>
      <c r="C55" s="98">
        <f>VLOOKUP(B55,AuswertungG[],8,FALSE)</f>
        <v>532</v>
      </c>
      <c r="D55" s="98">
        <f>VLOOKUP(B55,Vorjahr[],2,FALSE)</f>
        <v>515</v>
      </c>
      <c r="E55" s="98">
        <f t="shared" si="10"/>
        <v>17</v>
      </c>
      <c r="F55" s="98">
        <f t="shared" si="11"/>
        <v>15</v>
      </c>
    </row>
    <row r="56" spans="2:6" x14ac:dyDescent="0.3">
      <c r="B56" s="98" t="str">
        <v>Mario Hägemann</v>
      </c>
      <c r="C56" s="98">
        <f>VLOOKUP(B56,AuswertungG[],8,FALSE)</f>
        <v>522</v>
      </c>
      <c r="D56" s="98" t="e">
        <f>VLOOKUP(B56,Vorjahr[],2,FALSE)</f>
        <v>#N/A</v>
      </c>
      <c r="E56" s="98">
        <f t="shared" si="10"/>
        <v>0</v>
      </c>
      <c r="F56" s="98">
        <f t="shared" si="11"/>
        <v>27</v>
      </c>
    </row>
    <row r="57" spans="2:6" x14ac:dyDescent="0.3">
      <c r="B57" s="98" t="str">
        <v>Olaf Kurtze</v>
      </c>
      <c r="C57" s="98">
        <f>VLOOKUP(B57,AuswertungG[],8,FALSE)</f>
        <v>526</v>
      </c>
      <c r="D57" s="98">
        <f>VLOOKUP(B57,Vorjahr[],2,FALSE)</f>
        <v>511</v>
      </c>
      <c r="E57" s="98">
        <f t="shared" si="10"/>
        <v>15</v>
      </c>
      <c r="F57" s="98">
        <f t="shared" si="11"/>
        <v>17</v>
      </c>
    </row>
    <row r="58" spans="2:6" x14ac:dyDescent="0.3">
      <c r="B58" s="98" t="str">
        <v>Jörg Nötzel</v>
      </c>
      <c r="C58" s="98">
        <f>VLOOKUP(B58,AuswertungG[],8,FALSE)</f>
        <v>498</v>
      </c>
      <c r="D58" s="98">
        <f>VLOOKUP(B58,Vorjahr[],2,FALSE)</f>
        <v>492</v>
      </c>
      <c r="E58" s="98">
        <f t="shared" si="10"/>
        <v>6</v>
      </c>
      <c r="F58" s="98">
        <f t="shared" si="11"/>
        <v>24</v>
      </c>
    </row>
    <row r="59" spans="2:6" x14ac:dyDescent="0.3">
      <c r="B59" s="98" t="str">
        <v>Erik Krutak</v>
      </c>
      <c r="C59" s="98">
        <f>VLOOKUP(B59,AuswertungG[],8,FALSE)</f>
        <v>528</v>
      </c>
      <c r="D59" s="98">
        <f>VLOOKUP(B59,Vorjahr[],2,FALSE)</f>
        <v>520</v>
      </c>
      <c r="E59" s="98">
        <f t="shared" si="10"/>
        <v>8</v>
      </c>
      <c r="F59" s="98">
        <f t="shared" si="11"/>
        <v>23</v>
      </c>
    </row>
    <row r="60" spans="2:6" x14ac:dyDescent="0.3">
      <c r="B60" s="98" t="str">
        <v>Tim Beger</v>
      </c>
      <c r="C60" s="98">
        <f>VLOOKUP(B60,AuswertungG[],8,FALSE)</f>
        <v>532</v>
      </c>
      <c r="D60" s="98">
        <f>VLOOKUP(B60,Vorjahr[],2,FALSE)</f>
        <v>513</v>
      </c>
      <c r="E60" s="98">
        <f t="shared" si="10"/>
        <v>19</v>
      </c>
      <c r="F60" s="98">
        <f t="shared" si="11"/>
        <v>13</v>
      </c>
    </row>
    <row r="61" spans="2:6" x14ac:dyDescent="0.3">
      <c r="B61" s="98" t="str">
        <v>Peter Paulmann</v>
      </c>
      <c r="C61" s="98">
        <f>VLOOKUP(B61,AuswertungG[],8,FALSE)</f>
        <v>515</v>
      </c>
      <c r="D61" s="98">
        <f>VLOOKUP(B61,Vorjahr[],2,FALSE)</f>
        <v>506</v>
      </c>
      <c r="E61" s="98">
        <f t="shared" si="10"/>
        <v>9</v>
      </c>
      <c r="F61" s="98">
        <f t="shared" si="11"/>
        <v>21</v>
      </c>
    </row>
    <row r="62" spans="2:6" x14ac:dyDescent="0.3">
      <c r="B62" s="98" t="str">
        <v>Stefan Ulbricht</v>
      </c>
      <c r="C62" s="98">
        <f>VLOOKUP(B62,AuswertungG[],8,FALSE)</f>
        <v>515</v>
      </c>
      <c r="D62" s="98">
        <f>VLOOKUP(B62,Vorjahr[],2,FALSE)</f>
        <v>502</v>
      </c>
      <c r="E62" s="98">
        <f t="shared" si="10"/>
        <v>13</v>
      </c>
      <c r="F62" s="98">
        <f t="shared" si="11"/>
        <v>19</v>
      </c>
    </row>
    <row r="63" spans="2:6" x14ac:dyDescent="0.3">
      <c r="B63" s="98" t="str">
        <v>Jens Starke</v>
      </c>
      <c r="C63" s="98">
        <f>VLOOKUP(B63,AuswertungG[],8,FALSE)</f>
        <v>516</v>
      </c>
      <c r="D63" s="98" t="e">
        <f>VLOOKUP(B63,Vorjahr[],2,FALSE)</f>
        <v>#N/A</v>
      </c>
      <c r="E63" s="98">
        <f t="shared" si="10"/>
        <v>0</v>
      </c>
      <c r="F63" s="98">
        <f t="shared" si="11"/>
        <v>27</v>
      </c>
    </row>
    <row r="64" spans="2:6" x14ac:dyDescent="0.3">
      <c r="B64" s="98" t="str">
        <v>Mick Becker</v>
      </c>
      <c r="C64" s="98">
        <f>VLOOKUP(B64,AuswertungG[],8,FALSE)</f>
        <v>545</v>
      </c>
      <c r="D64" s="98">
        <f>VLOOKUP(B64,Vorjahr[],2,FALSE)</f>
        <v>522</v>
      </c>
      <c r="E64" s="98">
        <f t="shared" si="10"/>
        <v>23</v>
      </c>
      <c r="F64" s="98">
        <f t="shared" si="11"/>
        <v>10</v>
      </c>
    </row>
    <row r="65" spans="2:6" x14ac:dyDescent="0.3">
      <c r="B65" s="98" t="str">
        <v>Patrick Frenzel</v>
      </c>
      <c r="C65" s="98">
        <f>VLOOKUP(B65,AuswertungG[],8,FALSE)</f>
        <v>510</v>
      </c>
      <c r="D65" s="98">
        <f>VLOOKUP(B65,Vorjahr[],2,FALSE)</f>
        <v>493</v>
      </c>
      <c r="E65" s="98">
        <f t="shared" si="10"/>
        <v>17</v>
      </c>
      <c r="F65" s="98">
        <f t="shared" si="11"/>
        <v>15</v>
      </c>
    </row>
    <row r="66" spans="2:6" x14ac:dyDescent="0.3">
      <c r="B66" s="98" t="str">
        <v>Andreas Ehrlich</v>
      </c>
      <c r="C66" s="98">
        <f>VLOOKUP(B66,AuswertungG[],8,FALSE)</f>
        <v>529</v>
      </c>
      <c r="D66" s="98">
        <f>VLOOKUP(B66,Vorjahr[],2,FALSE)</f>
        <v>506</v>
      </c>
      <c r="E66" s="98">
        <f t="shared" si="10"/>
        <v>23</v>
      </c>
      <c r="F66" s="98">
        <f t="shared" si="11"/>
        <v>10</v>
      </c>
    </row>
    <row r="67" spans="2:6" x14ac:dyDescent="0.3">
      <c r="B67" s="98" t="str">
        <v>Michael Becker</v>
      </c>
      <c r="C67" s="98">
        <f>VLOOKUP(B67,AuswertungG[],8,FALSE)</f>
        <v>494</v>
      </c>
      <c r="D67" s="98">
        <f>VLOOKUP(B67,Vorjahr[],2,FALSE)</f>
        <v>509</v>
      </c>
      <c r="E67" s="98">
        <f t="shared" si="10"/>
        <v>-15</v>
      </c>
      <c r="F67" s="98">
        <f t="shared" si="11"/>
        <v>41</v>
      </c>
    </row>
    <row r="68" spans="2:6" x14ac:dyDescent="0.3">
      <c r="B68" s="98" t="str">
        <v>Ulli Baumgarten</v>
      </c>
      <c r="C68" s="98">
        <f>VLOOKUP(B68,AuswertungG[],8,FALSE)</f>
        <v>499</v>
      </c>
      <c r="D68" s="98">
        <f>VLOOKUP(B68,Vorjahr[],2,FALSE)</f>
        <v>469</v>
      </c>
      <c r="E68" s="98">
        <f t="shared" si="10"/>
        <v>30</v>
      </c>
      <c r="F68" s="98">
        <f t="shared" si="11"/>
        <v>8</v>
      </c>
    </row>
    <row r="69" spans="2:6" x14ac:dyDescent="0.3">
      <c r="B69" s="98" t="str">
        <v>Peter Weißling</v>
      </c>
      <c r="C69" s="98">
        <f>VLOOKUP(B69,AuswertungG[],8,FALSE)</f>
        <v>487</v>
      </c>
      <c r="D69" s="98">
        <f>VLOOKUP(B69,Vorjahr[],2,FALSE)</f>
        <v>511</v>
      </c>
      <c r="E69" s="98">
        <f t="shared" si="10"/>
        <v>-24</v>
      </c>
      <c r="F69" s="98">
        <f t="shared" si="11"/>
        <v>43</v>
      </c>
    </row>
    <row r="70" spans="2:6" x14ac:dyDescent="0.3">
      <c r="B70" s="98" t="str">
        <v>Florian Jäger</v>
      </c>
      <c r="C70" s="98">
        <f>VLOOKUP(B70,AuswertungG[],8,FALSE)</f>
        <v>492</v>
      </c>
      <c r="D70" s="98">
        <f>VLOOKUP(B70,Vorjahr[],2,FALSE)</f>
        <v>479</v>
      </c>
      <c r="E70" s="98">
        <f t="shared" si="10"/>
        <v>13</v>
      </c>
      <c r="F70" s="98">
        <f t="shared" si="11"/>
        <v>19</v>
      </c>
    </row>
    <row r="71" spans="2:6" x14ac:dyDescent="0.3">
      <c r="B71" s="98" t="str">
        <v>Marcel Giese</v>
      </c>
      <c r="C71" s="98">
        <f>VLOOKUP(B71,AuswertungG[],8,FALSE)</f>
        <v>471</v>
      </c>
      <c r="D71" s="98">
        <f>VLOOKUP(B71,Vorjahr[],2,FALSE)</f>
        <v>474</v>
      </c>
      <c r="E71" s="98">
        <f t="shared" si="10"/>
        <v>-3</v>
      </c>
      <c r="F71" s="98">
        <f t="shared" si="11"/>
        <v>37</v>
      </c>
    </row>
    <row r="72" spans="2:6" x14ac:dyDescent="0.3">
      <c r="B72" s="98" t="str">
        <v>Emelie Schiffel</v>
      </c>
      <c r="C72" s="98">
        <f>VLOOKUP(B72,AuswertungG[],8,FALSE)</f>
        <v>410</v>
      </c>
      <c r="D72" s="98">
        <f>VLOOKUP(B72,Vorjahr[],2,FALSE)</f>
        <v>357</v>
      </c>
      <c r="E72" s="98">
        <f t="shared" si="10"/>
        <v>53</v>
      </c>
      <c r="F72" s="98">
        <f t="shared" si="11"/>
        <v>2</v>
      </c>
    </row>
    <row r="73" spans="2:6" x14ac:dyDescent="0.3">
      <c r="B73" s="98" t="str">
        <v>Ben Böhmer</v>
      </c>
      <c r="C73" s="98">
        <f>VLOOKUP(B73,AuswertungG[],8,FALSE)</f>
        <v>330</v>
      </c>
      <c r="D73" s="98">
        <f>VLOOKUP(B73,Vorjahr[],2,FALSE)</f>
        <v>290</v>
      </c>
      <c r="E73" s="98">
        <f t="shared" si="10"/>
        <v>40</v>
      </c>
      <c r="F73" s="98">
        <f t="shared" si="11"/>
        <v>5</v>
      </c>
    </row>
    <row r="74" spans="2:6" x14ac:dyDescent="0.3">
      <c r="B74" s="98" t="str">
        <v>Sophia Stirl</v>
      </c>
      <c r="C74" s="98">
        <f>VLOOKUP(B74,AuswertungG[],8,FALSE)</f>
        <v>386</v>
      </c>
      <c r="D74" s="98">
        <f>VLOOKUP(B74,Vorjahr[],2,FALSE)</f>
        <v>343</v>
      </c>
      <c r="E74" s="98">
        <f t="shared" si="10"/>
        <v>43</v>
      </c>
      <c r="F74" s="98">
        <f t="shared" si="11"/>
        <v>3</v>
      </c>
    </row>
    <row r="75" spans="2:6" x14ac:dyDescent="0.3">
      <c r="B75" s="98" t="str">
        <v>Lisa Marutschke</v>
      </c>
      <c r="C75" s="98">
        <f>VLOOKUP(B75,AuswertungG[],8,FALSE)</f>
        <v>363</v>
      </c>
      <c r="D75" s="98">
        <f>VLOOKUP(B75,Vorjahr[],2,FALSE)</f>
        <v>301</v>
      </c>
      <c r="E75" s="98">
        <f t="shared" si="10"/>
        <v>62</v>
      </c>
      <c r="F75" s="98">
        <f t="shared" si="11"/>
        <v>1</v>
      </c>
    </row>
    <row r="76" spans="2:6" x14ac:dyDescent="0.3">
      <c r="B76" s="98" t="str">
        <v>Bruno Bergelt</v>
      </c>
      <c r="C76" s="98">
        <f>VLOOKUP(B76,AuswertungG[],8,FALSE)</f>
        <v>386</v>
      </c>
      <c r="D76" s="98">
        <f>VLOOKUP(B76,Vorjahr[],2,FALSE)</f>
        <v>362</v>
      </c>
      <c r="E76" s="98">
        <f t="shared" si="10"/>
        <v>24</v>
      </c>
      <c r="F76" s="98">
        <f t="shared" si="11"/>
        <v>9</v>
      </c>
    </row>
    <row r="77" spans="2:6" x14ac:dyDescent="0.3">
      <c r="C77" s="98" t="e">
        <f>VLOOKUP(B77,AuswertungG[],8,FALSE)</f>
        <v>#N/A</v>
      </c>
      <c r="D77" s="98" t="e">
        <f>VLOOKUP(B77,Vorjahr[],2,FALSE)</f>
        <v>#N/A</v>
      </c>
      <c r="E77" s="98">
        <f t="shared" si="10"/>
        <v>0</v>
      </c>
      <c r="F77" s="98">
        <f t="shared" si="11"/>
        <v>27</v>
      </c>
    </row>
    <row r="78" spans="2:6" x14ac:dyDescent="0.3">
      <c r="C78" s="98" t="e">
        <f>VLOOKUP(B78,AuswertungG[],8,FALSE)</f>
        <v>#N/A</v>
      </c>
      <c r="D78" s="98" t="e">
        <f>VLOOKUP(B78,Vorjahr[],2,FALSE)</f>
        <v>#N/A</v>
      </c>
      <c r="E78" s="98">
        <f t="shared" si="10"/>
        <v>0</v>
      </c>
      <c r="F78" s="98">
        <f t="shared" si="11"/>
        <v>27</v>
      </c>
    </row>
  </sheetData>
  <mergeCells count="6">
    <mergeCell ref="L17:L18"/>
    <mergeCell ref="B2:B3"/>
    <mergeCell ref="F2:F3"/>
    <mergeCell ref="B17:B18"/>
    <mergeCell ref="F17:F18"/>
    <mergeCell ref="H17:H18"/>
  </mergeCells>
  <conditionalFormatting sqref="B20:B30 F20:F30 H20:H30 L20:L30">
    <cfRule type="containsText" dxfId="154" priority="2" operator="containsText" text="x">
      <formula>NOT(ISERROR(SEARCH("x",B20)))</formula>
    </cfRule>
  </conditionalFormatting>
  <conditionalFormatting sqref="E36:E78">
    <cfRule type="dataBar" priority="1">
      <dataBar>
        <cfvo type="min"/>
        <cfvo type="max"/>
        <color rgb="FF63C384"/>
      </dataBar>
      <extLst>
        <ext xmlns:x14="http://schemas.microsoft.com/office/spreadsheetml/2009/9/main" uri="{B025F937-C7B1-47D3-B67F-A62EFF666E3E}">
          <x14:id>{AB64CC5A-1D51-434B-935F-68791C8E58F5}</x14:id>
        </ext>
      </extLst>
    </cfRule>
  </conditionalFormatting>
  <dataValidations count="1">
    <dataValidation type="list" allowBlank="1" showInputMessage="1" showErrorMessage="1" sqref="D3 J3 D18 J18" xr:uid="{778A8E65-9410-4ECA-A537-F8E7269C0D5A}">
      <formula1>$A$2:$A$4</formula1>
    </dataValidation>
  </dataValidations>
  <pageMargins left="0.7" right="0.7" top="0.78740157499999996" bottom="0.78740157499999996" header="0.3" footer="0.3"/>
  <ignoredErrors>
    <ignoredError sqref="J18 B23:F23 H23:L23 B29 L25 D29:L29" formula="1"/>
  </ignoredErrors>
  <extLst>
    <ext xmlns:x14="http://schemas.microsoft.com/office/spreadsheetml/2009/9/main" uri="{78C0D931-6437-407d-A8EE-F0AAD7539E65}">
      <x14:conditionalFormattings>
        <x14:conditionalFormatting xmlns:xm="http://schemas.microsoft.com/office/excel/2006/main">
          <x14:cfRule type="iconSet" priority="14" id="{52BAF2AE-4EC9-4C35-84B3-1A8E73CE06E0}">
            <x14:iconSet iconSet="3Triangles">
              <x14:cfvo type="percent">
                <xm:f>0</xm:f>
              </x14:cfvo>
              <x14:cfvo type="num">
                <xm:f>0</xm:f>
              </x14:cfvo>
              <x14:cfvo type="num" gte="0">
                <xm:f>0</xm:f>
              </x14:cfvo>
            </x14:iconSet>
          </x14:cfRule>
          <xm:sqref>B5:B15 F5:F15</xm:sqref>
        </x14:conditionalFormatting>
        <x14:conditionalFormatting xmlns:xm="http://schemas.microsoft.com/office/excel/2006/main">
          <x14:cfRule type="dataBar" id="{AB64CC5A-1D51-434B-935F-68791C8E58F5}">
            <x14:dataBar minLength="0" maxLength="100" border="1" negativeBarBorderColorSameAsPositive="0">
              <x14:cfvo type="autoMin"/>
              <x14:cfvo type="autoMax"/>
              <x14:borderColor rgb="FF63C384"/>
              <x14:negativeFillColor rgb="FFFF0000"/>
              <x14:negativeBorderColor rgb="FFFF0000"/>
              <x14:axisColor rgb="FF000000"/>
            </x14:dataBar>
          </x14:cfRule>
          <xm:sqref>E36:E78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3FF8A6C-CF75-429C-B064-A5EFC877C9D2}">
          <x14:formula1>
            <xm:f>Übersicht!$B$3:$B$47</xm:f>
          </x14:formula1>
          <xm:sqref>C4 E4 I4 K4 C19 E19 I19 K19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65316-2AA3-4455-9DA5-301D50085280}">
  <dimension ref="C1:AD66"/>
  <sheetViews>
    <sheetView topLeftCell="K1" workbookViewId="0">
      <selection activeCell="P11" sqref="P11"/>
    </sheetView>
  </sheetViews>
  <sheetFormatPr baseColWidth="10" defaultRowHeight="15.6" x14ac:dyDescent="0.3"/>
  <cols>
    <col min="1" max="1" width="5.33203125" style="1" customWidth="1"/>
    <col min="2" max="2" width="5" style="1" customWidth="1"/>
    <col min="3" max="3" width="11" style="1" customWidth="1"/>
    <col min="4" max="4" width="7.5546875" style="1" customWidth="1"/>
    <col min="5" max="5" width="28.33203125" style="1" bestFit="1" customWidth="1"/>
    <col min="6" max="6" width="7.109375" style="1" customWidth="1"/>
    <col min="7" max="7" width="9.21875" style="1" customWidth="1"/>
    <col min="8" max="8" width="14.44140625" style="1" customWidth="1"/>
    <col min="9" max="9" width="8.6640625" style="1" customWidth="1"/>
    <col min="10" max="10" width="10.5546875" style="1" customWidth="1"/>
    <col min="11" max="11" width="18.109375" style="1" customWidth="1"/>
    <col min="12" max="12" width="21.88671875" style="1" bestFit="1" customWidth="1"/>
    <col min="13" max="13" width="8.77734375" style="1" customWidth="1"/>
    <col min="14" max="14" width="8.44140625" style="1" customWidth="1"/>
    <col min="15" max="15" width="10.33203125" style="1" customWidth="1"/>
    <col min="16" max="16" width="7.44140625" style="1" customWidth="1"/>
    <col min="17" max="17" width="32" style="1" customWidth="1"/>
    <col min="18" max="18" width="5.21875" style="1" bestFit="1" customWidth="1"/>
    <col min="19" max="19" width="8.109375" style="1" hidden="1" customWidth="1"/>
    <col min="20" max="20" width="14" style="1" hidden="1" customWidth="1"/>
    <col min="21" max="21" width="4.33203125" style="1" hidden="1" customWidth="1"/>
    <col min="22" max="22" width="9.33203125" style="1" hidden="1" customWidth="1"/>
    <col min="23" max="23" width="18.109375" style="1" hidden="1" customWidth="1"/>
    <col min="24" max="24" width="17.6640625" style="1" bestFit="1" customWidth="1"/>
    <col min="25" max="25" width="7.6640625" style="1" bestFit="1" customWidth="1"/>
    <col min="26" max="26" width="29.44140625" style="1" bestFit="1" customWidth="1"/>
    <col min="27" max="27" width="9.6640625" style="1" bestFit="1" customWidth="1"/>
    <col min="28" max="16384" width="11.5546875" style="1"/>
  </cols>
  <sheetData>
    <row r="1" spans="3:30" ht="16.2" thickBot="1" x14ac:dyDescent="0.35"/>
    <row r="2" spans="3:30" ht="16.2" thickBot="1" x14ac:dyDescent="0.35">
      <c r="C2" s="468" t="s">
        <v>7</v>
      </c>
      <c r="D2" s="469"/>
      <c r="E2" s="469"/>
      <c r="F2" s="469"/>
      <c r="G2" s="469"/>
      <c r="H2" s="469"/>
      <c r="I2" s="469"/>
      <c r="J2" s="469"/>
      <c r="K2" s="469"/>
      <c r="L2" s="469"/>
      <c r="M2" s="470"/>
      <c r="O2" s="471" t="s">
        <v>8</v>
      </c>
      <c r="P2" s="472"/>
      <c r="Q2" s="472"/>
      <c r="R2" s="472"/>
      <c r="S2" s="472"/>
      <c r="T2" s="472"/>
      <c r="U2" s="472"/>
      <c r="V2" s="472"/>
      <c r="W2" s="472"/>
      <c r="X2" s="472"/>
      <c r="Y2" s="473"/>
      <c r="AA2" s="458" t="s">
        <v>497</v>
      </c>
      <c r="AB2" s="458"/>
      <c r="AC2" s="458"/>
      <c r="AD2" s="458"/>
    </row>
    <row r="3" spans="3:30" x14ac:dyDescent="0.3">
      <c r="C3" s="205" t="s">
        <v>27</v>
      </c>
      <c r="D3" s="205" t="s">
        <v>1</v>
      </c>
      <c r="E3" s="205" t="s">
        <v>2</v>
      </c>
      <c r="F3" s="205" t="s">
        <v>37</v>
      </c>
      <c r="G3" s="205" t="s">
        <v>127</v>
      </c>
      <c r="H3" s="205" t="s">
        <v>64</v>
      </c>
      <c r="I3" s="205" t="s">
        <v>25</v>
      </c>
      <c r="J3" s="205" t="s">
        <v>26</v>
      </c>
      <c r="K3" s="205" t="s">
        <v>128</v>
      </c>
      <c r="L3" s="205" t="s">
        <v>126</v>
      </c>
      <c r="M3" s="205" t="s">
        <v>65</v>
      </c>
      <c r="O3" s="206" t="s">
        <v>27</v>
      </c>
      <c r="P3" s="206" t="s">
        <v>1</v>
      </c>
      <c r="Q3" s="206" t="s">
        <v>2</v>
      </c>
      <c r="R3" s="206" t="s">
        <v>37</v>
      </c>
      <c r="S3" s="206" t="s">
        <v>127</v>
      </c>
      <c r="T3" s="206" t="s">
        <v>64</v>
      </c>
      <c r="U3" s="206" t="s">
        <v>25</v>
      </c>
      <c r="V3" s="206" t="s">
        <v>26</v>
      </c>
      <c r="W3" s="206" t="s">
        <v>128</v>
      </c>
      <c r="X3" s="206" t="s">
        <v>126</v>
      </c>
      <c r="Y3" s="206" t="s">
        <v>65</v>
      </c>
      <c r="AA3" s="282"/>
      <c r="AB3" s="282" t="s">
        <v>26</v>
      </c>
      <c r="AC3" s="282" t="s">
        <v>118</v>
      </c>
      <c r="AD3" s="282" t="s">
        <v>119</v>
      </c>
    </row>
    <row r="4" spans="3:30" x14ac:dyDescent="0.3">
      <c r="C4" s="130">
        <v>1</v>
      </c>
      <c r="D4" s="130" t="s">
        <v>690</v>
      </c>
      <c r="E4" s="130" t="str">
        <f>VLOOKUP(SaisonE[[#This Row],[ID]],Chronologie[[ID]:[H/A]],6,FALSE)</f>
        <v>TSV 90 Zwickau II</v>
      </c>
      <c r="F4" s="130" t="str">
        <f>VLOOKUP(SaisonE[[#This Row],[ID]],Chronologie[[ID]:[H/A]],8,FALSE)</f>
        <v>H</v>
      </c>
      <c r="G4" s="130">
        <f>IF(SUMIF(Eingabe[ID],SaisonE[[#This Row],[ID]],Eingabe[MP])="","",SUMIF(Eingabe[ID],SaisonE[[#This Row],[ID]],Eingabe[MP]))</f>
        <v>4</v>
      </c>
      <c r="H4" s="130">
        <f>IF(SaisonE[[#This Row],[Duelle]]="","",IF(SaisonE[[#This Row],[Gesamt]]&gt;SaisonE[[#This Row],[Gegner Gesamt]],2,IF(SaisonE[[#This Row],[Gesamt]]=SaisonE[[#This Row],[Gegner Gesamt]],1,0)))</f>
        <v>2</v>
      </c>
      <c r="I4" s="130">
        <f>IF(SaisonE[[#This Row],[Duelle]]="","",SaisonE[[#This Row],[Duelle]]+SaisonE[[#This Row],[Gesamtholz]])</f>
        <v>6</v>
      </c>
      <c r="J4" s="130">
        <f>IF(SaisonE[[#This Row],[Duelle]]="","",SUMIF(Eingabe[ID],SaisonE[[#This Row],[ID]],Eingabe[GES]))</f>
        <v>3235</v>
      </c>
      <c r="K4" s="130">
        <f>IF(SaisonE[[#This Row],[Duelle]]="","",SUMIF(Eingabe[ID],SaisonE[[#This Row],[ID]],Eingabe[GEGGES]))</f>
        <v>3156</v>
      </c>
      <c r="L4" s="130"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(3235) 6:2 (3156)</v>
      </c>
      <c r="M4" s="130" t="str">
        <f>IF(SaisonE[[#This Row],[Gesamt]]=0,"",IF(SaisonE[[#This Row],[MP]]&gt;4,"S",IF(SaisonE[[#This Row],[MP]]&lt;4,"N","U")))</f>
        <v>S</v>
      </c>
      <c r="O4" s="130">
        <v>1</v>
      </c>
      <c r="P4" s="130" t="s">
        <v>722</v>
      </c>
      <c r="Q4" s="130" t="str">
        <f>VLOOKUP(SaisonZ[[#This Row],[ID]],Chronologie[[ID]:[H/A]],6,FALSE)</f>
        <v>ESV Zschorlau</v>
      </c>
      <c r="R4" s="130" t="str">
        <f>VLOOKUP(SaisonZ[[#This Row],[ID]],Chronologie[[ID]:[H/A]],8,FALSE)</f>
        <v>A</v>
      </c>
      <c r="S4" s="130">
        <f>IF(SUMIF(Eingabe[ID],SaisonZ[[#This Row],[ID]],Eingabe[MP])="","",SUMIF(Eingabe[ID],SaisonZ[[#This Row],[ID]],Eingabe[MP]))</f>
        <v>2</v>
      </c>
      <c r="T4" s="130">
        <f>IF(SaisonZ[[#This Row],[Duelle]]="","",IF(SaisonZ[[#This Row],[Gesamt]]&gt;SaisonZ[[#This Row],[Gegner Gesamt]],2,IF(SaisonZ[[#This Row],[Gesamt]]=SaisonZ[[#This Row],[Gegner Gesamt]],1,0)))</f>
        <v>0</v>
      </c>
      <c r="U4" s="130">
        <f>IF(SaisonZ[[#This Row],[Duelle]]="","",SaisonZ[[#This Row],[Duelle]]+SaisonZ[[#This Row],[Gesamtholz]])</f>
        <v>2</v>
      </c>
      <c r="V4" s="130">
        <f>IF(SaisonZ[[#This Row],[Duelle]]="","",SUMIF(Eingabe[ID],SaisonZ[[#This Row],[ID]],Eingabe[GES]))</f>
        <v>3199</v>
      </c>
      <c r="W4" s="130">
        <f>IF(SaisonZ[[#This Row],[Duelle]]="","",SUMIF(Eingabe[ID],SaisonZ[[#This Row],[ID]],Eingabe[GEGGES]))</f>
        <v>3246</v>
      </c>
      <c r="X4" s="130"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(3246) 6:2 (3199)</v>
      </c>
      <c r="Y4" s="130" t="str">
        <f>IF(SaisonZ[[#This Row],[Gesamt]]=0,"",IF(SaisonZ[[#This Row],[MP]]&gt;4,"S",IF(SaisonZ[[#This Row],[MP]]&lt;4,"N","U")))</f>
        <v>N</v>
      </c>
      <c r="AA4" s="281" t="s">
        <v>4</v>
      </c>
      <c r="AB4" s="284">
        <f>AVERAGEIFS(Eingabe[GES],Eingabe[Team],$AA4,Eingabe[Modus],"L")*6</f>
        <v>3222.363636363636</v>
      </c>
      <c r="AC4" s="284">
        <f>AVERAGEIFS(Eingabe[GES],Eingabe[Team],$AA4,Eingabe[Modus],"L",Eingabe[Wo],"H")*6</f>
        <v>3203.2857142857147</v>
      </c>
      <c r="AD4" s="284">
        <f>AVERAGEIFS(Eingabe[GES],Eingabe[Team],$AA4,Eingabe[Modus],"L",Eingabe[Wo],"A")*6</f>
        <v>3255.75</v>
      </c>
    </row>
    <row r="5" spans="3:30" x14ac:dyDescent="0.3">
      <c r="C5" s="131">
        <v>2</v>
      </c>
      <c r="D5" s="130" t="s">
        <v>691</v>
      </c>
      <c r="E5" s="131" t="str">
        <f>VLOOKUP(SaisonE[[#This Row],[ID]],Chronologie[[ID]:[H/A]],6,FALSE)</f>
        <v>SpG Großschirma/Brand-Erbisdorf</v>
      </c>
      <c r="F5" s="131" t="str">
        <f>VLOOKUP(SaisonE[[#This Row],[ID]],Chronologie[[ID]:[H/A]],8,FALSE)</f>
        <v>A</v>
      </c>
      <c r="G5" s="131">
        <f>IF(SUMIF(Eingabe[ID],SaisonE[[#This Row],[ID]],Eingabe[MP])="","",SUMIF(Eingabe[ID],SaisonE[[#This Row],[ID]],Eingabe[MP]))</f>
        <v>1.5</v>
      </c>
      <c r="H5" s="131">
        <f>IF(SaisonE[[#This Row],[Duelle]]="","",IF(SaisonE[[#This Row],[Gesamt]]&gt;SaisonE[[#This Row],[Gegner Gesamt]],2,IF(SaisonE[[#This Row],[Gesamt]]=SaisonE[[#This Row],[Gegner Gesamt]],1,0)))</f>
        <v>0</v>
      </c>
      <c r="I5" s="131">
        <f>IF(SaisonE[[#This Row],[Duelle]]="","",SaisonE[[#This Row],[Duelle]]+SaisonE[[#This Row],[Gesamtholz]])</f>
        <v>1.5</v>
      </c>
      <c r="J5" s="131">
        <f>IF(SaisonE[[#This Row],[Duelle]]="","",SUMIF(Eingabe[ID],SaisonE[[#This Row],[ID]],Eingabe[GES]))</f>
        <v>3084</v>
      </c>
      <c r="K5" s="131">
        <f>IF(SaisonE[[#This Row],[Duelle]]="","",SUMIF(Eingabe[ID],SaisonE[[#This Row],[ID]],Eingabe[GEGGES]))</f>
        <v>3220</v>
      </c>
      <c r="L5"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(3220) 6,5:1,5 (3084)</v>
      </c>
      <c r="M5" s="131" t="str">
        <f>IF(SaisonE[[#This Row],[Gesamt]]=0,"",IF(SaisonE[[#This Row],[MP]]&gt;4,"S",IF(SaisonE[[#This Row],[MP]]&lt;4,"N","U")))</f>
        <v>N</v>
      </c>
      <c r="O5" s="131">
        <v>2</v>
      </c>
      <c r="P5" s="130" t="s">
        <v>723</v>
      </c>
      <c r="Q5" s="131" t="str">
        <f>VLOOKUP(SaisonZ[[#This Row],[ID]],Chronologie[[ID]:[H/A]],6,FALSE)</f>
        <v>SG Motor Thurm</v>
      </c>
      <c r="R5" s="131" t="str">
        <f>VLOOKUP(SaisonZ[[#This Row],[ID]],Chronologie[[ID]:[H/A]],8,FALSE)</f>
        <v>H</v>
      </c>
      <c r="S5" s="131">
        <f>IF(SUMIF(Eingabe[ID],SaisonZ[[#This Row],[ID]],Eingabe[MP])="","",SUMIF(Eingabe[ID],SaisonZ[[#This Row],[ID]],Eingabe[MP]))</f>
        <v>4</v>
      </c>
      <c r="T5" s="131">
        <f>IF(SaisonZ[[#This Row],[Duelle]]="","",IF(SaisonZ[[#This Row],[Gesamt]]&gt;SaisonZ[[#This Row],[Gegner Gesamt]],2,IF(SaisonZ[[#This Row],[Gesamt]]=SaisonZ[[#This Row],[Gegner Gesamt]],1,0)))</f>
        <v>2</v>
      </c>
      <c r="U5" s="131">
        <f>IF(SaisonZ[[#This Row],[Duelle]]="","",SaisonZ[[#This Row],[Duelle]]+SaisonZ[[#This Row],[Gesamtholz]])</f>
        <v>6</v>
      </c>
      <c r="V5" s="131">
        <f>IF(SaisonZ[[#This Row],[Duelle]]="","",SUMIF(Eingabe[ID],SaisonZ[[#This Row],[ID]],Eingabe[GES]))</f>
        <v>2994</v>
      </c>
      <c r="W5" s="131">
        <f>IF(SaisonZ[[#This Row],[Duelle]]="","",SUMIF(Eingabe[ID],SaisonZ[[#This Row],[ID]],Eingabe[GEGGES]))</f>
        <v>2884</v>
      </c>
      <c r="X5"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(2994) 6:2 (2884)</v>
      </c>
      <c r="Y5" s="131" t="str">
        <f>IF(SaisonZ[[#This Row],[Gesamt]]=0,"",IF(SaisonZ[[#This Row],[MP]]&gt;4,"S",IF(SaisonZ[[#This Row],[MP]]&lt;4,"N","U")))</f>
        <v>S</v>
      </c>
      <c r="AA5" s="283" t="s">
        <v>9</v>
      </c>
      <c r="AB5" s="284">
        <f>AVERAGEIFS(Eingabe[GES],Eingabe[Team],$AA5,Eingabe[Modus],"L")*6</f>
        <v>3133.9000000000005</v>
      </c>
      <c r="AC5" s="284">
        <f>AVERAGEIFS(Eingabe[GES],Eingabe[Team],$AA5,Eingabe[Modus],"L",Eingabe[Wo],"H")*6</f>
        <v>3056.6</v>
      </c>
      <c r="AD5" s="284">
        <f>AVERAGEIFS(Eingabe[GES],Eingabe[Team],$AA5,Eingabe[Modus],"L",Eingabe[Wo],"A")*6</f>
        <v>3211.2000000000003</v>
      </c>
    </row>
    <row r="6" spans="3:30" x14ac:dyDescent="0.3">
      <c r="C6" s="131">
        <v>3</v>
      </c>
      <c r="D6" s="130" t="s">
        <v>692</v>
      </c>
      <c r="E6" s="131" t="str">
        <f>VLOOKUP(SaisonE[[#This Row],[ID]],Chronologie[[ID]:[H/A]],6,FALSE)</f>
        <v>SG Grün-Weiß Mehltheuer II</v>
      </c>
      <c r="F6" s="131" t="str">
        <f>VLOOKUP(SaisonE[[#This Row],[ID]],Chronologie[[ID]:[H/A]],8,FALSE)</f>
        <v>H</v>
      </c>
      <c r="G6" s="131">
        <f>IF(SUMIF(Eingabe[ID],SaisonE[[#This Row],[ID]],Eingabe[MP])="","",SUMIF(Eingabe[ID],SaisonE[[#This Row],[ID]],Eingabe[MP]))</f>
        <v>4</v>
      </c>
      <c r="H6" s="131">
        <f>IF(SaisonE[[#This Row],[Duelle]]="","",IF(SaisonE[[#This Row],[Gesamt]]&gt;SaisonE[[#This Row],[Gegner Gesamt]],2,IF(SaisonE[[#This Row],[Gesamt]]=SaisonE[[#This Row],[Gegner Gesamt]],1,0)))</f>
        <v>2</v>
      </c>
      <c r="I6" s="131">
        <f>IF(SaisonE[[#This Row],[Duelle]]="","",SaisonE[[#This Row],[Duelle]]+SaisonE[[#This Row],[Gesamtholz]])</f>
        <v>6</v>
      </c>
      <c r="J6" s="131">
        <f>IF(SaisonE[[#This Row],[Duelle]]="","",SUMIF(Eingabe[ID],SaisonE[[#This Row],[ID]],Eingabe[GES]))</f>
        <v>3298</v>
      </c>
      <c r="K6" s="131">
        <f>IF(SaisonE[[#This Row],[Duelle]]="","",SUMIF(Eingabe[ID],SaisonE[[#This Row],[ID]],Eingabe[GEGGES]))</f>
        <v>3177</v>
      </c>
      <c r="L6"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(3298) 6:2 (3177)</v>
      </c>
      <c r="M6" s="131" t="str">
        <f>IF(SaisonE[[#This Row],[Gesamt]]=0,"",IF(SaisonE[[#This Row],[MP]]&gt;4,"S",IF(SaisonE[[#This Row],[MP]]&lt;4,"N","U")))</f>
        <v>S</v>
      </c>
      <c r="O6" s="131">
        <v>3</v>
      </c>
      <c r="P6" s="130" t="s">
        <v>724</v>
      </c>
      <c r="Q6" s="131" t="str">
        <f>VLOOKUP(SaisonZ[[#This Row],[ID]],Chronologie[[ID]:[H/A]],6,FALSE)</f>
        <v>SKV 9-Pins Stollberg III</v>
      </c>
      <c r="R6" s="131" t="str">
        <f>VLOOKUP(SaisonZ[[#This Row],[ID]],Chronologie[[ID]:[H/A]],8,FALSE)</f>
        <v>A</v>
      </c>
      <c r="S6" s="131">
        <f>IF(SUMIF(Eingabe[ID],SaisonZ[[#This Row],[ID]],Eingabe[MP])="","",SUMIF(Eingabe[ID],SaisonZ[[#This Row],[ID]],Eingabe[MP]))</f>
        <v>2</v>
      </c>
      <c r="T6" s="131">
        <f>IF(SaisonZ[[#This Row],[Duelle]]="","",IF(SaisonZ[[#This Row],[Gesamt]]&gt;SaisonZ[[#This Row],[Gegner Gesamt]],2,IF(SaisonZ[[#This Row],[Gesamt]]=SaisonZ[[#This Row],[Gegner Gesamt]],1,0)))</f>
        <v>0</v>
      </c>
      <c r="U6" s="131">
        <f>IF(SaisonZ[[#This Row],[Duelle]]="","",SaisonZ[[#This Row],[Duelle]]+SaisonZ[[#This Row],[Gesamtholz]])</f>
        <v>2</v>
      </c>
      <c r="V6" s="131">
        <f>IF(SaisonZ[[#This Row],[Duelle]]="","",SUMIF(Eingabe[ID],SaisonZ[[#This Row],[ID]],Eingabe[GES]))</f>
        <v>3239</v>
      </c>
      <c r="W6" s="131">
        <f>IF(SaisonZ[[#This Row],[Duelle]]="","",SUMIF(Eingabe[ID],SaisonZ[[#This Row],[ID]],Eingabe[GEGGES]))</f>
        <v>3303</v>
      </c>
      <c r="X6"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(3303) 6:2 (3239)</v>
      </c>
      <c r="Y6" s="131" t="str">
        <f>IF(SaisonZ[[#This Row],[Gesamt]]=0,"",IF(SaisonZ[[#This Row],[MP]]&gt;4,"S",IF(SaisonZ[[#This Row],[MP]]&lt;4,"N","U")))</f>
        <v>N</v>
      </c>
      <c r="AA6" s="283" t="s">
        <v>10</v>
      </c>
      <c r="AB6" s="284">
        <f>AVERAGEIFS(Eingabe[GES],Eingabe[Team],$AA6,Eingabe[Modus],"L")*6</f>
        <v>2993</v>
      </c>
      <c r="AC6" s="284">
        <f>AVERAGEIFS(Eingabe[GES],Eingabe[Team],$AA6,Eingabe[Modus],"L",Eingabe[Wo],"H")*6</f>
        <v>2947.5</v>
      </c>
      <c r="AD6" s="284">
        <f>AVERAGEIFS(Eingabe[GES],Eingabe[Team],$AA6,Eingabe[Modus],"L",Eingabe[Wo],"A")*6</f>
        <v>3038.5</v>
      </c>
    </row>
    <row r="7" spans="3:30" x14ac:dyDescent="0.3">
      <c r="C7" s="131">
        <v>4</v>
      </c>
      <c r="D7" s="130" t="s">
        <v>693</v>
      </c>
      <c r="E7" s="131" t="str">
        <f>VLOOKUP(SaisonE[[#This Row],[ID]],Chronologie[[ID]:[H/A]],6,FALSE)</f>
        <v>VfB Lengenfeld</v>
      </c>
      <c r="F7" s="131" t="str">
        <f>VLOOKUP(SaisonE[[#This Row],[ID]],Chronologie[[ID]:[H/A]],8,FALSE)</f>
        <v>H</v>
      </c>
      <c r="G7" s="131">
        <f>IF(SUMIF(Eingabe[ID],SaisonE[[#This Row],[ID]],Eingabe[MP])="","",SUMIF(Eingabe[ID],SaisonE[[#This Row],[ID]],Eingabe[MP]))</f>
        <v>4</v>
      </c>
      <c r="H7" s="131">
        <f>IF(SaisonE[[#This Row],[Duelle]]="","",IF(SaisonE[[#This Row],[Gesamt]]&gt;SaisonE[[#This Row],[Gegner Gesamt]],2,IF(SaisonE[[#This Row],[Gesamt]]=SaisonE[[#This Row],[Gegner Gesamt]],1,0)))</f>
        <v>2</v>
      </c>
      <c r="I7" s="131">
        <f>IF(SaisonE[[#This Row],[Duelle]]="","",SaisonE[[#This Row],[Duelle]]+SaisonE[[#This Row],[Gesamtholz]])</f>
        <v>6</v>
      </c>
      <c r="J7" s="131">
        <f>IF(SaisonE[[#This Row],[Duelle]]="","",SUMIF(Eingabe[ID],SaisonE[[#This Row],[ID]],Eingabe[GES]))</f>
        <v>3197</v>
      </c>
      <c r="K7" s="131">
        <f>IF(SaisonE[[#This Row],[Duelle]]="","",SUMIF(Eingabe[ID],SaisonE[[#This Row],[ID]],Eingabe[GEGGES]))</f>
        <v>3135</v>
      </c>
      <c r="L7"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(3197) 6:2 (3135)</v>
      </c>
      <c r="M7" s="131" t="str">
        <f>IF(SaisonE[[#This Row],[Gesamt]]=0,"",IF(SaisonE[[#This Row],[MP]]&gt;4,"S",IF(SaisonE[[#This Row],[MP]]&lt;4,"N","U")))</f>
        <v>S</v>
      </c>
      <c r="O7" s="131">
        <v>4</v>
      </c>
      <c r="P7" s="130" t="s">
        <v>725</v>
      </c>
      <c r="Q7" s="131" t="str">
        <f>VLOOKUP(SaisonZ[[#This Row],[ID]],Chronologie[[ID]:[H/A]],6,FALSE)</f>
        <v>KC "Gut Holz" Drebach</v>
      </c>
      <c r="R7" s="131" t="str">
        <f>VLOOKUP(SaisonZ[[#This Row],[ID]],Chronologie[[ID]:[H/A]],8,FALSE)</f>
        <v>H</v>
      </c>
      <c r="S7" s="131">
        <f>IF(SUMIF(Eingabe[ID],SaisonZ[[#This Row],[ID]],Eingabe[MP])="","",SUMIF(Eingabe[ID],SaisonZ[[#This Row],[ID]],Eingabe[MP]))</f>
        <v>3</v>
      </c>
      <c r="T7" s="131">
        <f>IF(SaisonZ[[#This Row],[Duelle]]="","",IF(SaisonZ[[#This Row],[Gesamt]]&gt;SaisonZ[[#This Row],[Gegner Gesamt]],2,IF(SaisonZ[[#This Row],[Gesamt]]=SaisonZ[[#This Row],[Gegner Gesamt]],1,0)))</f>
        <v>2</v>
      </c>
      <c r="U7" s="131">
        <f>IF(SaisonZ[[#This Row],[Duelle]]="","",SaisonZ[[#This Row],[Duelle]]+SaisonZ[[#This Row],[Gesamtholz]])</f>
        <v>5</v>
      </c>
      <c r="V7" s="131">
        <f>IF(SaisonZ[[#This Row],[Duelle]]="","",SUMIF(Eingabe[ID],SaisonZ[[#This Row],[ID]],Eingabe[GES]))</f>
        <v>3084</v>
      </c>
      <c r="W7" s="131">
        <f>IF(SaisonZ[[#This Row],[Duelle]]="","",SUMIF(Eingabe[ID],SaisonZ[[#This Row],[ID]],Eingabe[GEGGES]))</f>
        <v>2884</v>
      </c>
      <c r="X7"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(3084) 5:3 (2884)</v>
      </c>
      <c r="Y7" s="131" t="str">
        <f>IF(SaisonZ[[#This Row],[Gesamt]]=0,"",IF(SaisonZ[[#This Row],[MP]]&gt;4,"S",IF(SaisonZ[[#This Row],[MP]]&lt;4,"N","U")))</f>
        <v>S</v>
      </c>
      <c r="AA7" s="283" t="s">
        <v>16</v>
      </c>
      <c r="AB7" s="284">
        <f>AVERAGEIFS(Eingabe[GES],Eingabe[Team],$AA7,Eingabe[Modus],"L")*6</f>
        <v>3019.6595744680849</v>
      </c>
      <c r="AC7" s="284">
        <f>AVERAGEIFS(Eingabe[GES],Eingabe[Team],$AA7,Eingabe[Modus],"L",Eingabe[Wo],"H")*6</f>
        <v>3029</v>
      </c>
      <c r="AD7" s="284">
        <f>AVERAGEIFS(Eingabe[GES],Eingabe[Team],$AA7,Eingabe[Modus],"L",Eingabe[Wo],"A")*6</f>
        <v>3013.8620689655172</v>
      </c>
    </row>
    <row r="8" spans="3:30" x14ac:dyDescent="0.3">
      <c r="C8" s="131">
        <v>5</v>
      </c>
      <c r="D8" s="130" t="s">
        <v>694</v>
      </c>
      <c r="E8" s="131" t="str">
        <f>VLOOKUP(SaisonE[[#This Row],[ID]],Chronologie[[ID]:[H/A]],6,FALSE)</f>
        <v>SV Schönberg</v>
      </c>
      <c r="F8" s="131" t="str">
        <f>VLOOKUP(SaisonE[[#This Row],[ID]],Chronologie[[ID]:[H/A]],8,FALSE)</f>
        <v>A</v>
      </c>
      <c r="G8" s="131">
        <f>IF(SUMIF(Eingabe[ID],SaisonE[[#This Row],[ID]],Eingabe[MP])="","",SUMIF(Eingabe[ID],SaisonE[[#This Row],[ID]],Eingabe[MP]))</f>
        <v>2</v>
      </c>
      <c r="H8" s="131">
        <f>IF(SaisonE[[#This Row],[Duelle]]="","",IF(SaisonE[[#This Row],[Gesamt]]&gt;SaisonE[[#This Row],[Gegner Gesamt]],2,IF(SaisonE[[#This Row],[Gesamt]]=SaisonE[[#This Row],[Gegner Gesamt]],1,0)))</f>
        <v>0</v>
      </c>
      <c r="I8" s="131">
        <f>IF(SaisonE[[#This Row],[Duelle]]="","",SaisonE[[#This Row],[Duelle]]+SaisonE[[#This Row],[Gesamtholz]])</f>
        <v>2</v>
      </c>
      <c r="J8" s="131">
        <f>IF(SaisonE[[#This Row],[Duelle]]="","",SUMIF(Eingabe[ID],SaisonE[[#This Row],[ID]],Eingabe[GES]))</f>
        <v>3141</v>
      </c>
      <c r="K8" s="131">
        <f>IF(SaisonE[[#This Row],[Duelle]]="","",SUMIF(Eingabe[ID],SaisonE[[#This Row],[ID]],Eingabe[GEGGES]))</f>
        <v>3204</v>
      </c>
      <c r="L8"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(3204) 6:2 (3141)</v>
      </c>
      <c r="M8" s="131" t="str">
        <f>IF(SaisonE[[#This Row],[Gesamt]]=0,"",IF(SaisonE[[#This Row],[MP]]&gt;4,"S",IF(SaisonE[[#This Row],[MP]]&lt;4,"N","U")))</f>
        <v>N</v>
      </c>
      <c r="O8" s="131">
        <v>5</v>
      </c>
      <c r="P8" s="130" t="s">
        <v>726</v>
      </c>
      <c r="Q8" s="131" t="str">
        <f>VLOOKUP(SaisonZ[[#This Row],[ID]],Chronologie[[ID]:[H/A]],6,FALSE)</f>
        <v>TSV Geyer</v>
      </c>
      <c r="R8" s="131" t="str">
        <f>VLOOKUP(SaisonZ[[#This Row],[ID]],Chronologie[[ID]:[H/A]],8,FALSE)</f>
        <v>A</v>
      </c>
      <c r="S8" s="131">
        <f>IF(SUMIF(Eingabe[ID],SaisonZ[[#This Row],[ID]],Eingabe[MP])="","",SUMIF(Eingabe[ID],SaisonZ[[#This Row],[ID]],Eingabe[MP]))</f>
        <v>3</v>
      </c>
      <c r="T8" s="131">
        <f>IF(SaisonZ[[#This Row],[Duelle]]="","",IF(SaisonZ[[#This Row],[Gesamt]]&gt;SaisonZ[[#This Row],[Gegner Gesamt]],2,IF(SaisonZ[[#This Row],[Gesamt]]=SaisonZ[[#This Row],[Gegner Gesamt]],1,0)))</f>
        <v>2</v>
      </c>
      <c r="U8" s="131">
        <f>IF(SaisonZ[[#This Row],[Duelle]]="","",SaisonZ[[#This Row],[Duelle]]+SaisonZ[[#This Row],[Gesamtholz]])</f>
        <v>5</v>
      </c>
      <c r="V8" s="131">
        <f>IF(SaisonZ[[#This Row],[Duelle]]="","",SUMIF(Eingabe[ID],SaisonZ[[#This Row],[ID]],Eingabe[GES]))</f>
        <v>3435</v>
      </c>
      <c r="W8" s="131">
        <f>IF(SaisonZ[[#This Row],[Duelle]]="","",SUMIF(Eingabe[ID],SaisonZ[[#This Row],[ID]],Eingabe[GEGGES]))</f>
        <v>3344</v>
      </c>
      <c r="X8"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(3344) 3:5 (3435)</v>
      </c>
      <c r="Y8" s="131" t="str">
        <f>IF(SaisonZ[[#This Row],[Gesamt]]=0,"",IF(SaisonZ[[#This Row],[MP]]&gt;4,"S",IF(SaisonZ[[#This Row],[MP]]&lt;4,"N","U")))</f>
        <v>S</v>
      </c>
      <c r="AA8" s="283" t="s">
        <v>434</v>
      </c>
      <c r="AB8" s="284" t="e">
        <f>AVERAGEIFS(Eingabe[GES],Eingabe[Team],$AA8,Eingabe[Modus],"L")*4</f>
        <v>#DIV/0!</v>
      </c>
      <c r="AC8" s="284" t="e">
        <f>AVERAGEIFS(Eingabe[GES],Eingabe[Team],$AA8,Eingabe[Modus],"L",Eingabe[Wo],"H")*4</f>
        <v>#DIV/0!</v>
      </c>
      <c r="AD8" s="284" t="e">
        <f>AVERAGEIFS(Eingabe[GES],Eingabe[Team],$AA8,Eingabe[Modus],"L",Eingabe[Wo],"A")*4</f>
        <v>#DIV/0!</v>
      </c>
    </row>
    <row r="9" spans="3:30" x14ac:dyDescent="0.3">
      <c r="C9" s="131">
        <v>6</v>
      </c>
      <c r="D9" s="130" t="s">
        <v>695</v>
      </c>
      <c r="E9" s="131" t="str">
        <f>VLOOKUP(SaisonE[[#This Row],[ID]],Chronologie[[ID]:[H/A]],6,FALSE)</f>
        <v>KSV Blau-Gelb Taucha II</v>
      </c>
      <c r="F9" s="131" t="str">
        <f>VLOOKUP(SaisonE[[#This Row],[ID]],Chronologie[[ID]:[H/A]],8,FALSE)</f>
        <v>H</v>
      </c>
      <c r="G9" s="131">
        <f>IF(SUMIF(Eingabe[ID],SaisonE[[#This Row],[ID]],Eingabe[MP])="","",SUMIF(Eingabe[ID],SaisonE[[#This Row],[ID]],Eingabe[MP]))</f>
        <v>5</v>
      </c>
      <c r="H9" s="131">
        <f>IF(SaisonE[[#This Row],[Duelle]]="","",IF(SaisonE[[#This Row],[Gesamt]]&gt;SaisonE[[#This Row],[Gegner Gesamt]],2,IF(SaisonE[[#This Row],[Gesamt]]=SaisonE[[#This Row],[Gegner Gesamt]],1,0)))</f>
        <v>2</v>
      </c>
      <c r="I9" s="131">
        <f>IF(SaisonE[[#This Row],[Duelle]]="","",SaisonE[[#This Row],[Duelle]]+SaisonE[[#This Row],[Gesamtholz]])</f>
        <v>7</v>
      </c>
      <c r="J9" s="131">
        <f>IF(SaisonE[[#This Row],[Duelle]]="","",SUMIF(Eingabe[ID],SaisonE[[#This Row],[ID]],Eingabe[GES]))</f>
        <v>3223</v>
      </c>
      <c r="K9" s="131">
        <f>IF(SaisonE[[#This Row],[Duelle]]="","",SUMIF(Eingabe[ID],SaisonE[[#This Row],[ID]],Eingabe[GEGGES]))</f>
        <v>3033</v>
      </c>
      <c r="L9"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(3223) 7:1 (3033)</v>
      </c>
      <c r="M9" s="131" t="str">
        <f>IF(SaisonE[[#This Row],[Gesamt]]=0,"",IF(SaisonE[[#This Row],[MP]]&gt;4,"S",IF(SaisonE[[#This Row],[MP]]&lt;4,"N","U")))</f>
        <v>S</v>
      </c>
      <c r="O9" s="131">
        <v>6</v>
      </c>
      <c r="P9" s="130" t="s">
        <v>727</v>
      </c>
      <c r="Q9" s="131" t="str">
        <f>VLOOKUP(SaisonZ[[#This Row],[ID]],Chronologie[[ID]:[H/A]],6,FALSE)</f>
        <v>KSV Grün-Weiß Leubsdorf</v>
      </c>
      <c r="R9" s="131" t="str">
        <f>VLOOKUP(SaisonZ[[#This Row],[ID]],Chronologie[[ID]:[H/A]],8,FALSE)</f>
        <v>H</v>
      </c>
      <c r="S9" s="131">
        <f>IF(SUMIF(Eingabe[ID],SaisonZ[[#This Row],[ID]],Eingabe[MP])="","",SUMIF(Eingabe[ID],SaisonZ[[#This Row],[ID]],Eingabe[MP]))</f>
        <v>1</v>
      </c>
      <c r="T9" s="131">
        <f>IF(SaisonZ[[#This Row],[Duelle]]="","",IF(SaisonZ[[#This Row],[Gesamt]]&gt;SaisonZ[[#This Row],[Gegner Gesamt]],2,IF(SaisonZ[[#This Row],[Gesamt]]=SaisonZ[[#This Row],[Gegner Gesamt]],1,0)))</f>
        <v>0</v>
      </c>
      <c r="U9" s="131">
        <f>IF(SaisonZ[[#This Row],[Duelle]]="","",SaisonZ[[#This Row],[Duelle]]+SaisonZ[[#This Row],[Gesamtholz]])</f>
        <v>1</v>
      </c>
      <c r="V9" s="131">
        <f>IF(SaisonZ[[#This Row],[Duelle]]="","",SUMIF(Eingabe[ID],SaisonZ[[#This Row],[ID]],Eingabe[GES]))</f>
        <v>2899</v>
      </c>
      <c r="W9" s="131">
        <f>IF(SaisonZ[[#This Row],[Duelle]]="","",SUMIF(Eingabe[ID],SaisonZ[[#This Row],[ID]],Eingabe[GEGGES]))</f>
        <v>3077</v>
      </c>
      <c r="X9"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(2899) 1:7 (3077)</v>
      </c>
      <c r="Y9" s="131" t="str">
        <f>IF(SaisonZ[[#This Row],[Gesamt]]=0,"",IF(SaisonZ[[#This Row],[MP]]&gt;4,"S",IF(SaisonZ[[#This Row],[MP]]&lt;4,"N","U")))</f>
        <v>N</v>
      </c>
      <c r="AA9" s="283" t="s">
        <v>436</v>
      </c>
      <c r="AB9" s="284" t="e">
        <f>AVERAGEIFS(Eingabe[GES],Eingabe[Team],$AA9,Eingabe[Modus],"L")*4</f>
        <v>#DIV/0!</v>
      </c>
      <c r="AC9" s="284" t="e">
        <f>AVERAGEIFS(Eingabe[GES],Eingabe[Team],$AA9,Eingabe[Modus],"L",Eingabe[Wo],"H")*4</f>
        <v>#DIV/0!</v>
      </c>
      <c r="AD9" s="284" t="e">
        <f>AVERAGEIFS(Eingabe[GES],Eingabe[Team],$AA9,Eingabe[Modus],"L",Eingabe[Wo],"A")*4</f>
        <v>#DIV/0!</v>
      </c>
    </row>
    <row r="10" spans="3:30" x14ac:dyDescent="0.3">
      <c r="C10" s="131">
        <v>7</v>
      </c>
      <c r="D10" s="130" t="s">
        <v>696</v>
      </c>
      <c r="E10" s="131" t="str">
        <f>VLOOKUP(SaisonE[[#This Row],[ID]],Chronologie[[ID]:[H/A]],6,FALSE)</f>
        <v>SG Hohentanne</v>
      </c>
      <c r="F10" s="131" t="str">
        <f>VLOOKUP(SaisonE[[#This Row],[ID]],Chronologie[[ID]:[H/A]],8,FALSE)</f>
        <v>H</v>
      </c>
      <c r="G10" s="131">
        <f>IF(SUMIF(Eingabe[ID],SaisonE[[#This Row],[ID]],Eingabe[MP])="","",SUMIF(Eingabe[ID],SaisonE[[#This Row],[ID]],Eingabe[MP]))</f>
        <v>4</v>
      </c>
      <c r="H10" s="131">
        <f>IF(SaisonE[[#This Row],[Duelle]]="","",IF(SaisonE[[#This Row],[Gesamt]]&gt;SaisonE[[#This Row],[Gegner Gesamt]],2,IF(SaisonE[[#This Row],[Gesamt]]=SaisonE[[#This Row],[Gegner Gesamt]],1,0)))</f>
        <v>2</v>
      </c>
      <c r="I10" s="131">
        <f>IF(SaisonE[[#This Row],[Duelle]]="","",SaisonE[[#This Row],[Duelle]]+SaisonE[[#This Row],[Gesamtholz]])</f>
        <v>6</v>
      </c>
      <c r="J10" s="131">
        <f>IF(SaisonE[[#This Row],[Duelle]]="","",SUMIF(Eingabe[ID],SaisonE[[#This Row],[ID]],Eingabe[GES]))</f>
        <v>3176</v>
      </c>
      <c r="K10" s="131">
        <f>IF(SaisonE[[#This Row],[Duelle]]="","",SUMIF(Eingabe[ID],SaisonE[[#This Row],[ID]],Eingabe[GEGGES]))</f>
        <v>3124</v>
      </c>
      <c r="L10"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(3176) 6:2 (3124)</v>
      </c>
      <c r="M10" s="131" t="str">
        <f>IF(SaisonE[[#This Row],[Gesamt]]=0,"",IF(SaisonE[[#This Row],[MP]]&gt;4,"S",IF(SaisonE[[#This Row],[MP]]&lt;4,"N","U")))</f>
        <v>S</v>
      </c>
      <c r="O10" s="131">
        <v>7</v>
      </c>
      <c r="P10" s="130" t="s">
        <v>728</v>
      </c>
      <c r="Q10" s="131" t="str">
        <f>VLOOKUP(SaisonZ[[#This Row],[ID]],Chronologie[[ID]:[H/A]],6,FALSE)</f>
        <v>KSV Hainichen 92</v>
      </c>
      <c r="R10" s="131" t="str">
        <f>VLOOKUP(SaisonZ[[#This Row],[ID]],Chronologie[[ID]:[H/A]],8,FALSE)</f>
        <v>A</v>
      </c>
      <c r="S10" s="131">
        <f>IF(SUMIF(Eingabe[ID],SaisonZ[[#This Row],[ID]],Eingabe[MP])="","",SUMIF(Eingabe[ID],SaisonZ[[#This Row],[ID]],Eingabe[MP]))</f>
        <v>4</v>
      </c>
      <c r="T10" s="131">
        <f>IF(SaisonZ[[#This Row],[Duelle]]="","",IF(SaisonZ[[#This Row],[Gesamt]]&gt;SaisonZ[[#This Row],[Gegner Gesamt]],2,IF(SaisonZ[[#This Row],[Gesamt]]=SaisonZ[[#This Row],[Gegner Gesamt]],1,0)))</f>
        <v>2</v>
      </c>
      <c r="U10" s="131">
        <f>IF(SaisonZ[[#This Row],[Duelle]]="","",SaisonZ[[#This Row],[Duelle]]+SaisonZ[[#This Row],[Gesamtholz]])</f>
        <v>6</v>
      </c>
      <c r="V10" s="131">
        <f>IF(SaisonZ[[#This Row],[Duelle]]="","",SUMIF(Eingabe[ID],SaisonZ[[#This Row],[ID]],Eingabe[GES]))</f>
        <v>3144</v>
      </c>
      <c r="W10" s="131">
        <f>IF(SaisonZ[[#This Row],[Duelle]]="","",SUMIF(Eingabe[ID],SaisonZ[[#This Row],[ID]],Eingabe[GEGGES]))</f>
        <v>3050</v>
      </c>
      <c r="X10"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(3050) 2:6 (3144)</v>
      </c>
      <c r="Y10" s="131" t="str">
        <f>IF(SaisonZ[[#This Row],[Gesamt]]=0,"",IF(SaisonZ[[#This Row],[MP]]&gt;4,"S",IF(SaisonZ[[#This Row],[MP]]&lt;4,"N","U")))</f>
        <v>S</v>
      </c>
      <c r="AA10" s="6"/>
    </row>
    <row r="11" spans="3:30" x14ac:dyDescent="0.3">
      <c r="C11" s="131">
        <v>8</v>
      </c>
      <c r="D11" s="130" t="s">
        <v>697</v>
      </c>
      <c r="E11" s="131" t="str">
        <f>VLOOKUP(SaisonE[[#This Row],[ID]],Chronologie[[ID]:[H/A]],6,FALSE)</f>
        <v>SKV 9-Pins Stollberg II</v>
      </c>
      <c r="F11" s="131" t="str">
        <f>VLOOKUP(SaisonE[[#This Row],[ID]],Chronologie[[ID]:[H/A]],8,FALSE)</f>
        <v>H</v>
      </c>
      <c r="G11" s="131">
        <f>IF(SUMIF(Eingabe[ID],SaisonE[[#This Row],[ID]],Eingabe[MP])="","",SUMIF(Eingabe[ID],SaisonE[[#This Row],[ID]],Eingabe[MP]))</f>
        <v>3</v>
      </c>
      <c r="H11" s="131">
        <f>IF(SaisonE[[#This Row],[Duelle]]="","",IF(SaisonE[[#This Row],[Gesamt]]&gt;SaisonE[[#This Row],[Gegner Gesamt]],2,IF(SaisonE[[#This Row],[Gesamt]]=SaisonE[[#This Row],[Gegner Gesamt]],1,0)))</f>
        <v>2</v>
      </c>
      <c r="I11" s="131">
        <f>IF(SaisonE[[#This Row],[Duelle]]="","",SaisonE[[#This Row],[Duelle]]+SaisonE[[#This Row],[Gesamtholz]])</f>
        <v>5</v>
      </c>
      <c r="J11" s="131">
        <f>IF(SaisonE[[#This Row],[Duelle]]="","",SUMIF(Eingabe[ID],SaisonE[[#This Row],[ID]],Eingabe[GES]))</f>
        <v>3160</v>
      </c>
      <c r="K11" s="131">
        <f>IF(SaisonE[[#This Row],[Duelle]]="","",SUMIF(Eingabe[ID],SaisonE[[#This Row],[ID]],Eingabe[GEGGES]))</f>
        <v>2741</v>
      </c>
      <c r="L11"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(3160) 5:3 (2741)</v>
      </c>
      <c r="M11" s="131" t="str">
        <f>IF(SaisonE[[#This Row],[Gesamt]]=0,"",IF(SaisonE[[#This Row],[MP]]&gt;4,"S",IF(SaisonE[[#This Row],[MP]]&lt;4,"N","U")))</f>
        <v>S</v>
      </c>
      <c r="O11" s="131">
        <v>8</v>
      </c>
      <c r="P11" s="130" t="s">
        <v>729</v>
      </c>
      <c r="Q11" s="131" t="str">
        <f>VLOOKUP(SaisonZ[[#This Row],[ID]],Chronologie[[ID]:[H/A]],6,FALSE)</f>
        <v>ESV Zschorlau</v>
      </c>
      <c r="R11" s="131" t="str">
        <f>VLOOKUP(SaisonZ[[#This Row],[ID]],Chronologie[[ID]:[H/A]],8,FALSE)</f>
        <v>H</v>
      </c>
      <c r="S11" s="131">
        <f>IF(SUMIF(Eingabe[ID],SaisonZ[[#This Row],[ID]],Eingabe[MP])="","",SUMIF(Eingabe[ID],SaisonZ[[#This Row],[ID]],Eingabe[MP]))</f>
        <v>4</v>
      </c>
      <c r="T11" s="131">
        <f>IF(SaisonZ[[#This Row],[Duelle]]="","",IF(SaisonZ[[#This Row],[Gesamt]]&gt;SaisonZ[[#This Row],[Gegner Gesamt]],2,IF(SaisonZ[[#This Row],[Gesamt]]=SaisonZ[[#This Row],[Gegner Gesamt]],1,0)))</f>
        <v>2</v>
      </c>
      <c r="U11" s="131">
        <f>IF(SaisonZ[[#This Row],[Duelle]]="","",SaisonZ[[#This Row],[Duelle]]+SaisonZ[[#This Row],[Gesamtholz]])</f>
        <v>6</v>
      </c>
      <c r="V11" s="131">
        <f>IF(SaisonZ[[#This Row],[Duelle]]="","",SUMIF(Eingabe[ID],SaisonZ[[#This Row],[ID]],Eingabe[GES]))</f>
        <v>3128</v>
      </c>
      <c r="W11" s="131">
        <f>IF(SaisonZ[[#This Row],[Duelle]]="","",SUMIF(Eingabe[ID],SaisonZ[[#This Row],[ID]],Eingabe[GEGGES]))</f>
        <v>3111</v>
      </c>
      <c r="X11"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(3128) 6:2 (3111)</v>
      </c>
      <c r="Y11" s="131" t="str">
        <f>IF(SaisonZ[[#This Row],[Gesamt]]=0,"",IF(SaisonZ[[#This Row],[MP]]&gt;4,"S",IF(SaisonZ[[#This Row],[MP]]&lt;4,"N","U")))</f>
        <v>S</v>
      </c>
      <c r="AA11" s="6"/>
    </row>
    <row r="12" spans="3:30" x14ac:dyDescent="0.3">
      <c r="C12" s="131">
        <v>9</v>
      </c>
      <c r="D12" s="130" t="s">
        <v>698</v>
      </c>
      <c r="E12" s="131" t="str">
        <f>VLOOKUP(SaisonE[[#This Row],[ID]],Chronologie[[ID]:[H/A]],6,FALSE)</f>
        <v>SV Rot-Weiß Treuen</v>
      </c>
      <c r="F12" s="131" t="str">
        <f>VLOOKUP(SaisonE[[#This Row],[ID]],Chronologie[[ID]:[H/A]],8,FALSE)</f>
        <v>A</v>
      </c>
      <c r="G12" s="131">
        <f>IF(SUMIF(Eingabe[ID],SaisonE[[#This Row],[ID]],Eingabe[MP])="","",SUMIF(Eingabe[ID],SaisonE[[#This Row],[ID]],Eingabe[MP]))</f>
        <v>3</v>
      </c>
      <c r="H12" s="131">
        <f>IF(SaisonE[[#This Row],[Duelle]]="","",IF(SaisonE[[#This Row],[Gesamt]]&gt;SaisonE[[#This Row],[Gegner Gesamt]],2,IF(SaisonE[[#This Row],[Gesamt]]=SaisonE[[#This Row],[Gegner Gesamt]],1,0)))</f>
        <v>0</v>
      </c>
      <c r="I12" s="131">
        <f>IF(SaisonE[[#This Row],[Duelle]]="","",SaisonE[[#This Row],[Duelle]]+SaisonE[[#This Row],[Gesamtholz]])</f>
        <v>3</v>
      </c>
      <c r="J12" s="131">
        <f>IF(SaisonE[[#This Row],[Duelle]]="","",SUMIF(Eingabe[ID],SaisonE[[#This Row],[ID]],Eingabe[GES]))</f>
        <v>3404</v>
      </c>
      <c r="K12" s="131">
        <f>IF(SaisonE[[#This Row],[Duelle]]="","",SUMIF(Eingabe[ID],SaisonE[[#This Row],[ID]],Eingabe[GEGGES]))</f>
        <v>3405</v>
      </c>
      <c r="L12"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(3405) 5:3 (3404)</v>
      </c>
      <c r="M12" s="131" t="str">
        <f>IF(SaisonE[[#This Row],[Gesamt]]=0,"",IF(SaisonE[[#This Row],[MP]]&gt;4,"S",IF(SaisonE[[#This Row],[MP]]&lt;4,"N","U")))</f>
        <v>N</v>
      </c>
      <c r="O12" s="131">
        <v>9</v>
      </c>
      <c r="P12" s="130" t="s">
        <v>730</v>
      </c>
      <c r="Q12" s="131" t="str">
        <f>VLOOKUP(SaisonZ[[#This Row],[ID]],Chronologie[[ID]:[H/A]],6,FALSE)</f>
        <v>SG Motor Thurm</v>
      </c>
      <c r="R12" s="131" t="str">
        <f>VLOOKUP(SaisonZ[[#This Row],[ID]],Chronologie[[ID]:[H/A]],8,FALSE)</f>
        <v>A</v>
      </c>
      <c r="S12" s="131">
        <f>IF(SUMIF(Eingabe[ID],SaisonZ[[#This Row],[ID]],Eingabe[MP])="","",SUMIF(Eingabe[ID],SaisonZ[[#This Row],[ID]],Eingabe[MP]))</f>
        <v>4</v>
      </c>
      <c r="T12" s="131">
        <f>IF(SaisonZ[[#This Row],[Duelle]]="","",IF(SaisonZ[[#This Row],[Gesamt]]&gt;SaisonZ[[#This Row],[Gegner Gesamt]],2,IF(SaisonZ[[#This Row],[Gesamt]]=SaisonZ[[#This Row],[Gegner Gesamt]],1,0)))</f>
        <v>2</v>
      </c>
      <c r="U12" s="131">
        <f>IF(SaisonZ[[#This Row],[Duelle]]="","",SaisonZ[[#This Row],[Duelle]]+SaisonZ[[#This Row],[Gesamtholz]])</f>
        <v>6</v>
      </c>
      <c r="V12" s="131">
        <f>IF(SaisonZ[[#This Row],[Duelle]]="","",SUMIF(Eingabe[ID],SaisonZ[[#This Row],[ID]],Eingabe[GES]))</f>
        <v>3039</v>
      </c>
      <c r="W12" s="131">
        <f>IF(SaisonZ[[#This Row],[Duelle]]="","",SUMIF(Eingabe[ID],SaisonZ[[#This Row],[ID]],Eingabe[GEGGES]))</f>
        <v>2970</v>
      </c>
      <c r="X12"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(2970) 2:6 (3039)</v>
      </c>
      <c r="Y12" s="131" t="str">
        <f>IF(SaisonZ[[#This Row],[Gesamt]]=0,"",IF(SaisonZ[[#This Row],[MP]]&gt;4,"S",IF(SaisonZ[[#This Row],[MP]]&lt;4,"N","U")))</f>
        <v>S</v>
      </c>
      <c r="AA12" s="6"/>
    </row>
    <row r="13" spans="3:30" x14ac:dyDescent="0.3">
      <c r="C13" s="131">
        <v>10</v>
      </c>
      <c r="D13" s="130" t="s">
        <v>699</v>
      </c>
      <c r="E13" s="131" t="str">
        <f>VLOOKUP(SaisonE[[#This Row],[ID]],Chronologie[[ID]:[H/A]],6,FALSE)</f>
        <v>TSV 90 Zwickau II</v>
      </c>
      <c r="F13" s="131" t="str">
        <f>VLOOKUP(SaisonE[[#This Row],[ID]],Chronologie[[ID]:[H/A]],8,FALSE)</f>
        <v>A</v>
      </c>
      <c r="G13" s="131">
        <f>IF(SUMIF(Eingabe[ID],SaisonE[[#This Row],[ID]],Eingabe[MP])="","",SUMIF(Eingabe[ID],SaisonE[[#This Row],[ID]],Eingabe[MP]))</f>
        <v>2</v>
      </c>
      <c r="H13" s="131">
        <f>IF(SaisonE[[#This Row],[Duelle]]="","",IF(SaisonE[[#This Row],[Gesamt]]&gt;SaisonE[[#This Row],[Gegner Gesamt]],2,IF(SaisonE[[#This Row],[Gesamt]]=SaisonE[[#This Row],[Gegner Gesamt]],1,0)))</f>
        <v>2</v>
      </c>
      <c r="I13" s="131">
        <f>IF(SaisonE[[#This Row],[Duelle]]="","",SaisonE[[#This Row],[Duelle]]+SaisonE[[#This Row],[Gesamtholz]])</f>
        <v>4</v>
      </c>
      <c r="J13" s="131">
        <f>IF(SaisonE[[#This Row],[Duelle]]="","",SUMIF(Eingabe[ID],SaisonE[[#This Row],[ID]],Eingabe[GES]))</f>
        <v>3394</v>
      </c>
      <c r="K13" s="131">
        <f>IF(SaisonE[[#This Row],[Duelle]]="","",SUMIF(Eingabe[ID],SaisonE[[#This Row],[ID]],Eingabe[GEGGES]))</f>
        <v>3391</v>
      </c>
      <c r="L13"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(3391) 4:4 (3394)</v>
      </c>
      <c r="M13" s="131" t="str">
        <f>IF(SaisonE[[#This Row],[Gesamt]]=0,"",IF(SaisonE[[#This Row],[MP]]&gt;4,"S",IF(SaisonE[[#This Row],[MP]]&lt;4,"N","U")))</f>
        <v>U</v>
      </c>
      <c r="O13" s="131">
        <v>10</v>
      </c>
      <c r="P13" s="130" t="s">
        <v>731</v>
      </c>
      <c r="Q13" s="131" t="str">
        <f>VLOOKUP(SaisonZ[[#This Row],[ID]],Chronologie[[ID]:[H/A]],6,FALSE)</f>
        <v>SKV 9-Pins Stollberg III</v>
      </c>
      <c r="R13" s="131" t="str">
        <f>VLOOKUP(SaisonZ[[#This Row],[ID]],Chronologie[[ID]:[H/A]],8,FALSE)</f>
        <v>H</v>
      </c>
      <c r="S13" s="131">
        <f>IF(SUMIF(Eingabe[ID],SaisonZ[[#This Row],[ID]],Eingabe[MP])="","",SUMIF(Eingabe[ID],SaisonZ[[#This Row],[ID]],Eingabe[MP]))</f>
        <v>5</v>
      </c>
      <c r="T13" s="131">
        <f>IF(SaisonZ[[#This Row],[Duelle]]="","",IF(SaisonZ[[#This Row],[Gesamt]]&gt;SaisonZ[[#This Row],[Gegner Gesamt]],2,IF(SaisonZ[[#This Row],[Gesamt]]=SaisonZ[[#This Row],[Gegner Gesamt]],1,0)))</f>
        <v>2</v>
      </c>
      <c r="U13" s="131">
        <f>IF(SaisonZ[[#This Row],[Duelle]]="","",SaisonZ[[#This Row],[Duelle]]+SaisonZ[[#This Row],[Gesamtholz]])</f>
        <v>7</v>
      </c>
      <c r="V13" s="131">
        <f>IF(SaisonZ[[#This Row],[Duelle]]="","",SUMIF(Eingabe[ID],SaisonZ[[#This Row],[ID]],Eingabe[GES]))</f>
        <v>3178</v>
      </c>
      <c r="W13" s="131">
        <f>IF(SaisonZ[[#This Row],[Duelle]]="","",SUMIF(Eingabe[ID],SaisonZ[[#This Row],[ID]],Eingabe[GEGGES]))</f>
        <v>2989</v>
      </c>
      <c r="X13"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(3178) 7:1 (2989)</v>
      </c>
      <c r="Y13" s="131" t="str">
        <f>IF(SaisonZ[[#This Row],[Gesamt]]=0,"",IF(SaisonZ[[#This Row],[MP]]&gt;4,"S",IF(SaisonZ[[#This Row],[MP]]&lt;4,"N","U")))</f>
        <v>S</v>
      </c>
      <c r="AA13" s="6"/>
    </row>
    <row r="14" spans="3:30" x14ac:dyDescent="0.3">
      <c r="C14" s="131">
        <v>11</v>
      </c>
      <c r="D14" s="130" t="s">
        <v>700</v>
      </c>
      <c r="E14" s="131" t="str">
        <f>VLOOKUP(SaisonE[[#This Row],[ID]],Chronologie[[ID]:[H/A]],6,FALSE)</f>
        <v>SpG Großschirma/Brand-Erbisdorf</v>
      </c>
      <c r="F14" s="131" t="str">
        <f>VLOOKUP(SaisonE[[#This Row],[ID]],Chronologie[[ID]:[H/A]],8,FALSE)</f>
        <v>H</v>
      </c>
      <c r="G14" s="131">
        <f>IF(SUMIF(Eingabe[ID],SaisonE[[#This Row],[ID]],Eingabe[MP])="","",SUMIF(Eingabe[ID],SaisonE[[#This Row],[ID]],Eingabe[MP]))</f>
        <v>4</v>
      </c>
      <c r="H14" s="131">
        <f>IF(SaisonE[[#This Row],[Duelle]]="","",IF(SaisonE[[#This Row],[Gesamt]]&gt;SaisonE[[#This Row],[Gegner Gesamt]],2,IF(SaisonE[[#This Row],[Gesamt]]=SaisonE[[#This Row],[Gegner Gesamt]],1,0)))</f>
        <v>2</v>
      </c>
      <c r="I14" s="131">
        <f>IF(SaisonE[[#This Row],[Duelle]]="","",SaisonE[[#This Row],[Duelle]]+SaisonE[[#This Row],[Gesamtholz]])</f>
        <v>6</v>
      </c>
      <c r="J14" s="131">
        <f>IF(SaisonE[[#This Row],[Duelle]]="","",SUMIF(Eingabe[ID],SaisonE[[#This Row],[ID]],Eingabe[GES]))</f>
        <v>3134</v>
      </c>
      <c r="K14" s="131">
        <f>IF(SaisonE[[#This Row],[Duelle]]="","",SUMIF(Eingabe[ID],SaisonE[[#This Row],[ID]],Eingabe[GEGGES]))</f>
        <v>3086</v>
      </c>
      <c r="L14"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(3134) 6:2 (3086)</v>
      </c>
      <c r="M14" s="131" t="str">
        <f>IF(SaisonE[[#This Row],[Gesamt]]=0,"",IF(SaisonE[[#This Row],[MP]]&gt;4,"S",IF(SaisonE[[#This Row],[MP]]&lt;4,"N","U")))</f>
        <v>S</v>
      </c>
      <c r="O14" s="131">
        <v>11</v>
      </c>
      <c r="P14" s="130" t="s">
        <v>732</v>
      </c>
      <c r="Q14" s="131" t="str">
        <f>VLOOKUP(SaisonZ[[#This Row],[ID]],Chronologie[[ID]:[H/A]],6,FALSE)</f>
        <v>KC "Gut Holz" Drebach</v>
      </c>
      <c r="R14" s="131" t="str">
        <f>VLOOKUP(SaisonZ[[#This Row],[ID]],Chronologie[[ID]:[H/A]],8,FALSE)</f>
        <v>A</v>
      </c>
      <c r="S14" s="131">
        <f>IF(SUMIF(Eingabe[ID],SaisonZ[[#This Row],[ID]],Eingabe[MP])="","",SUMIF(Eingabe[ID],SaisonZ[[#This Row],[ID]],Eingabe[MP]))</f>
        <v>0</v>
      </c>
      <c r="T14" s="131">
        <f>IF(SaisonZ[[#This Row],[Duelle]]="","",IF(SaisonZ[[#This Row],[Gesamt]]&gt;SaisonZ[[#This Row],[Gegner Gesamt]],2,IF(SaisonZ[[#This Row],[Gesamt]]=SaisonZ[[#This Row],[Gegner Gesamt]],1,0)))</f>
        <v>1</v>
      </c>
      <c r="U14" s="131">
        <f>IF(SaisonZ[[#This Row],[Duelle]]="","",SaisonZ[[#This Row],[Duelle]]+SaisonZ[[#This Row],[Gesamtholz]])</f>
        <v>1</v>
      </c>
      <c r="V14" s="131">
        <f>IF(SaisonZ[[#This Row],[Duelle]]="","",SUMIF(Eingabe[ID],SaisonZ[[#This Row],[ID]],Eingabe[GES]))</f>
        <v>0</v>
      </c>
      <c r="W14" s="131">
        <f>IF(SaisonZ[[#This Row],[Duelle]]="","",SUMIF(Eingabe[ID],SaisonZ[[#This Row],[ID]],Eingabe[GEGGES]))</f>
        <v>0</v>
      </c>
      <c r="X14"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
      </c>
      <c r="Y14" s="131" t="str">
        <f>IF(SaisonZ[[#This Row],[Gesamt]]=0,"",IF(SaisonZ[[#This Row],[MP]]&gt;4,"S",IF(SaisonZ[[#This Row],[MP]]&lt;4,"N","U")))</f>
        <v/>
      </c>
      <c r="AA14" s="6"/>
    </row>
    <row r="15" spans="3:30" x14ac:dyDescent="0.3">
      <c r="C15" s="131">
        <v>12</v>
      </c>
      <c r="D15" s="130" t="s">
        <v>701</v>
      </c>
      <c r="E15" s="131" t="str">
        <f>VLOOKUP(SaisonE[[#This Row],[ID]],Chronologie[[ID]:[H/A]],6,FALSE)</f>
        <v>SG Grün-Weiß Mehltheuer II</v>
      </c>
      <c r="F15" s="131" t="str">
        <f>VLOOKUP(SaisonE[[#This Row],[ID]],Chronologie[[ID]:[H/A]],8,FALSE)</f>
        <v>A</v>
      </c>
      <c r="G15" s="131">
        <f>IF(SUMIF(Eingabe[ID],SaisonE[[#This Row],[ID]],Eingabe[MP])="","",SUMIF(Eingabe[ID],SaisonE[[#This Row],[ID]],Eingabe[MP]))</f>
        <v>0</v>
      </c>
      <c r="H15" s="131">
        <f>IF(SaisonE[[#This Row],[Duelle]]="","",IF(SaisonE[[#This Row],[Gesamt]]&gt;SaisonE[[#This Row],[Gegner Gesamt]],2,IF(SaisonE[[#This Row],[Gesamt]]=SaisonE[[#This Row],[Gegner Gesamt]],1,0)))</f>
        <v>1</v>
      </c>
      <c r="I15" s="131">
        <f>IF(SaisonE[[#This Row],[Duelle]]="","",SaisonE[[#This Row],[Duelle]]+SaisonE[[#This Row],[Gesamtholz]])</f>
        <v>1</v>
      </c>
      <c r="J15" s="131">
        <f>IF(SaisonE[[#This Row],[Duelle]]="","",SUMIF(Eingabe[ID],SaisonE[[#This Row],[ID]],Eingabe[GES]))</f>
        <v>0</v>
      </c>
      <c r="K15" s="131">
        <f>IF(SaisonE[[#This Row],[Duelle]]="","",SUMIF(Eingabe[ID],SaisonE[[#This Row],[ID]],Eingabe[GEGGES]))</f>
        <v>0</v>
      </c>
      <c r="L15"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
      </c>
      <c r="M15" s="131" t="str">
        <f>IF(SaisonE[[#This Row],[Gesamt]]=0,"",IF(SaisonE[[#This Row],[MP]]&gt;4,"S",IF(SaisonE[[#This Row],[MP]]&lt;4,"N","U")))</f>
        <v/>
      </c>
      <c r="O15" s="131">
        <v>12</v>
      </c>
      <c r="P15" s="130" t="s">
        <v>733</v>
      </c>
      <c r="Q15" s="131" t="str">
        <f>VLOOKUP(SaisonZ[[#This Row],[ID]],Chronologie[[ID]:[H/A]],6,FALSE)</f>
        <v>TSV Geyer</v>
      </c>
      <c r="R15" s="131" t="str">
        <f>VLOOKUP(SaisonZ[[#This Row],[ID]],Chronologie[[ID]:[H/A]],8,FALSE)</f>
        <v>H</v>
      </c>
      <c r="S15" s="131">
        <f>IF(SUMIF(Eingabe[ID],SaisonZ[[#This Row],[ID]],Eingabe[MP])="","",SUMIF(Eingabe[ID],SaisonZ[[#This Row],[ID]],Eingabe[MP]))</f>
        <v>0</v>
      </c>
      <c r="T15" s="131">
        <f>IF(SaisonZ[[#This Row],[Duelle]]="","",IF(SaisonZ[[#This Row],[Gesamt]]&gt;SaisonZ[[#This Row],[Gegner Gesamt]],2,IF(SaisonZ[[#This Row],[Gesamt]]=SaisonZ[[#This Row],[Gegner Gesamt]],1,0)))</f>
        <v>1</v>
      </c>
      <c r="U15" s="131">
        <f>IF(SaisonZ[[#This Row],[Duelle]]="","",SaisonZ[[#This Row],[Duelle]]+SaisonZ[[#This Row],[Gesamtholz]])</f>
        <v>1</v>
      </c>
      <c r="V15" s="131">
        <f>IF(SaisonZ[[#This Row],[Duelle]]="","",SUMIF(Eingabe[ID],SaisonZ[[#This Row],[ID]],Eingabe[GES]))</f>
        <v>0</v>
      </c>
      <c r="W15" s="131">
        <f>IF(SaisonZ[[#This Row],[Duelle]]="","",SUMIF(Eingabe[ID],SaisonZ[[#This Row],[ID]],Eingabe[GEGGES]))</f>
        <v>0</v>
      </c>
      <c r="X15"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
      </c>
      <c r="Y15" s="131" t="str">
        <f>IF(SaisonZ[[#This Row],[Gesamt]]=0,"",IF(SaisonZ[[#This Row],[MP]]&gt;4,"S",IF(SaisonZ[[#This Row],[MP]]&lt;4,"N","U")))</f>
        <v/>
      </c>
      <c r="AA15" s="6"/>
    </row>
    <row r="16" spans="3:30" x14ac:dyDescent="0.3">
      <c r="C16" s="131">
        <v>13</v>
      </c>
      <c r="D16" s="130" t="s">
        <v>702</v>
      </c>
      <c r="E16" s="131" t="str">
        <f>VLOOKUP(SaisonE[[#This Row],[ID]],Chronologie[[ID]:[H/A]],6,FALSE)</f>
        <v>VfB Lengenfeld</v>
      </c>
      <c r="F16" s="131" t="str">
        <f>VLOOKUP(SaisonE[[#This Row],[ID]],Chronologie[[ID]:[H/A]],8,FALSE)</f>
        <v>A</v>
      </c>
      <c r="G16" s="131">
        <f>IF(SUMIF(Eingabe[ID],SaisonE[[#This Row],[ID]],Eingabe[MP])="","",SUMIF(Eingabe[ID],SaisonE[[#This Row],[ID]],Eingabe[MP]))</f>
        <v>0</v>
      </c>
      <c r="H16" s="131">
        <f>IF(SaisonE[[#This Row],[Duelle]]="","",IF(SaisonE[[#This Row],[Gesamt]]&gt;SaisonE[[#This Row],[Gegner Gesamt]],2,IF(SaisonE[[#This Row],[Gesamt]]=SaisonE[[#This Row],[Gegner Gesamt]],1,0)))</f>
        <v>1</v>
      </c>
      <c r="I16" s="131">
        <f>IF(SaisonE[[#This Row],[Duelle]]="","",SaisonE[[#This Row],[Duelle]]+SaisonE[[#This Row],[Gesamtholz]])</f>
        <v>1</v>
      </c>
      <c r="J16" s="131">
        <f>IF(SaisonE[[#This Row],[Duelle]]="","",SUMIF(Eingabe[ID],SaisonE[[#This Row],[ID]],Eingabe[GES]))</f>
        <v>0</v>
      </c>
      <c r="K16" s="131">
        <f>IF(SaisonE[[#This Row],[Duelle]]="","",SUMIF(Eingabe[ID],SaisonE[[#This Row],[ID]],Eingabe[GEGGES]))</f>
        <v>0</v>
      </c>
      <c r="L16"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
      </c>
      <c r="M16" s="131" t="str">
        <f>IF(SaisonE[[#This Row],[Gesamt]]=0,"",IF(SaisonE[[#This Row],[MP]]&gt;4,"S",IF(SaisonE[[#This Row],[MP]]&lt;4,"N","U")))</f>
        <v/>
      </c>
      <c r="O16" s="131">
        <v>13</v>
      </c>
      <c r="P16" s="130" t="s">
        <v>734</v>
      </c>
      <c r="Q16" s="131" t="str">
        <f>VLOOKUP(SaisonZ[[#This Row],[ID]],Chronologie[[ID]:[H/A]],6,FALSE)</f>
        <v>KSV Grün-Weiß Leubsdorf</v>
      </c>
      <c r="R16" s="131" t="str">
        <f>VLOOKUP(SaisonZ[[#This Row],[ID]],Chronologie[[ID]:[H/A]],8,FALSE)</f>
        <v>A</v>
      </c>
      <c r="S16" s="131">
        <f>IF(SUMIF(Eingabe[ID],SaisonZ[[#This Row],[ID]],Eingabe[MP])="","",SUMIF(Eingabe[ID],SaisonZ[[#This Row],[ID]],Eingabe[MP]))</f>
        <v>0</v>
      </c>
      <c r="T16" s="131">
        <f>IF(SaisonZ[[#This Row],[Duelle]]="","",IF(SaisonZ[[#This Row],[Gesamt]]&gt;SaisonZ[[#This Row],[Gegner Gesamt]],2,IF(SaisonZ[[#This Row],[Gesamt]]=SaisonZ[[#This Row],[Gegner Gesamt]],1,0)))</f>
        <v>1</v>
      </c>
      <c r="U16" s="131">
        <f>IF(SaisonZ[[#This Row],[Duelle]]="","",SaisonZ[[#This Row],[Duelle]]+SaisonZ[[#This Row],[Gesamtholz]])</f>
        <v>1</v>
      </c>
      <c r="V16" s="131">
        <f>IF(SaisonZ[[#This Row],[Duelle]]="","",SUMIF(Eingabe[ID],SaisonZ[[#This Row],[ID]],Eingabe[GES]))</f>
        <v>0</v>
      </c>
      <c r="W16" s="131">
        <f>IF(SaisonZ[[#This Row],[Duelle]]="","",SUMIF(Eingabe[ID],SaisonZ[[#This Row],[ID]],Eingabe[GEGGES]))</f>
        <v>0</v>
      </c>
      <c r="X16"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
      </c>
      <c r="Y16" s="131" t="str">
        <f>IF(SaisonZ[[#This Row],[Gesamt]]=0,"",IF(SaisonZ[[#This Row],[MP]]&gt;4,"S",IF(SaisonZ[[#This Row],[MP]]&lt;4,"N","U")))</f>
        <v/>
      </c>
      <c r="AA16" s="6"/>
    </row>
    <row r="17" spans="3:30" x14ac:dyDescent="0.3">
      <c r="C17" s="131">
        <v>14</v>
      </c>
      <c r="D17" s="130" t="s">
        <v>703</v>
      </c>
      <c r="E17" s="131" t="str">
        <f>VLOOKUP(SaisonE[[#This Row],[ID]],Chronologie[[ID]:[H/A]],6,FALSE)</f>
        <v>SV Schönberg</v>
      </c>
      <c r="F17" s="131" t="str">
        <f>VLOOKUP(SaisonE[[#This Row],[ID]],Chronologie[[ID]:[H/A]],8,FALSE)</f>
        <v>H</v>
      </c>
      <c r="G17" s="131">
        <f>IF(SUMIF(Eingabe[ID],SaisonE[[#This Row],[ID]],Eingabe[MP])="","",SUMIF(Eingabe[ID],SaisonE[[#This Row],[ID]],Eingabe[MP]))</f>
        <v>0</v>
      </c>
      <c r="H17" s="131">
        <f>IF(SaisonE[[#This Row],[Duelle]]="","",IF(SaisonE[[#This Row],[Gesamt]]&gt;SaisonE[[#This Row],[Gegner Gesamt]],2,IF(SaisonE[[#This Row],[Gesamt]]=SaisonE[[#This Row],[Gegner Gesamt]],1,0)))</f>
        <v>1</v>
      </c>
      <c r="I17" s="131">
        <f>IF(SaisonE[[#This Row],[Duelle]]="","",SaisonE[[#This Row],[Duelle]]+SaisonE[[#This Row],[Gesamtholz]])</f>
        <v>1</v>
      </c>
      <c r="J17" s="131">
        <f>IF(SaisonE[[#This Row],[Duelle]]="","",SUMIF(Eingabe[ID],SaisonE[[#This Row],[ID]],Eingabe[GES]))</f>
        <v>0</v>
      </c>
      <c r="K17" s="131">
        <f>IF(SaisonE[[#This Row],[Duelle]]="","",SUMIF(Eingabe[ID],SaisonE[[#This Row],[ID]],Eingabe[GEGGES]))</f>
        <v>0</v>
      </c>
      <c r="L17"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
      </c>
      <c r="M17" s="131" t="str">
        <f>IF(SaisonE[[#This Row],[Gesamt]]=0,"",IF(SaisonE[[#This Row],[MP]]&gt;4,"S",IF(SaisonE[[#This Row],[MP]]&lt;4,"N","U")))</f>
        <v/>
      </c>
      <c r="O17" s="131">
        <v>14</v>
      </c>
      <c r="P17" s="130" t="s">
        <v>735</v>
      </c>
      <c r="Q17" s="131" t="str">
        <f>VLOOKUP(SaisonZ[[#This Row],[ID]],Chronologie[[ID]:[H/A]],6,FALSE)</f>
        <v>KSV Hainichen 92</v>
      </c>
      <c r="R17" s="131" t="str">
        <f>VLOOKUP(SaisonZ[[#This Row],[ID]],Chronologie[[ID]:[H/A]],8,FALSE)</f>
        <v>H</v>
      </c>
      <c r="S17" s="131">
        <f>IF(SUMIF(Eingabe[ID],SaisonZ[[#This Row],[ID]],Eingabe[MP])="","",SUMIF(Eingabe[ID],SaisonZ[[#This Row],[ID]],Eingabe[MP]))</f>
        <v>0</v>
      </c>
      <c r="T17" s="131">
        <f>IF(SaisonZ[[#This Row],[Duelle]]="","",IF(SaisonZ[[#This Row],[Gesamt]]&gt;SaisonZ[[#This Row],[Gegner Gesamt]],2,IF(SaisonZ[[#This Row],[Gesamt]]=SaisonZ[[#This Row],[Gegner Gesamt]],1,0)))</f>
        <v>1</v>
      </c>
      <c r="U17" s="131">
        <f>IF(SaisonZ[[#This Row],[Duelle]]="","",SaisonZ[[#This Row],[Duelle]]+SaisonZ[[#This Row],[Gesamtholz]])</f>
        <v>1</v>
      </c>
      <c r="V17" s="131">
        <f>IF(SaisonZ[[#This Row],[Duelle]]="","",SUMIF(Eingabe[ID],SaisonZ[[#This Row],[ID]],Eingabe[GES]))</f>
        <v>0</v>
      </c>
      <c r="W17" s="131">
        <f>IF(SaisonZ[[#This Row],[Duelle]]="","",SUMIF(Eingabe[ID],SaisonZ[[#This Row],[ID]],Eingabe[GEGGES]))</f>
        <v>0</v>
      </c>
      <c r="X17"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
      </c>
      <c r="Y17" s="131" t="str">
        <f>IF(SaisonZ[[#This Row],[Gesamt]]=0,"",IF(SaisonZ[[#This Row],[MP]]&gt;4,"S",IF(SaisonZ[[#This Row],[MP]]&lt;4,"N","U")))</f>
        <v/>
      </c>
      <c r="AB17" s="1" t="s">
        <v>26</v>
      </c>
      <c r="AC17" s="1" t="s">
        <v>118</v>
      </c>
      <c r="AD17" s="1" t="s">
        <v>119</v>
      </c>
    </row>
    <row r="18" spans="3:30" x14ac:dyDescent="0.3">
      <c r="C18" s="131">
        <v>15</v>
      </c>
      <c r="D18" s="130" t="s">
        <v>704</v>
      </c>
      <c r="E18" s="131" t="str">
        <f>VLOOKUP(SaisonE[[#This Row],[ID]],Chronologie[[ID]:[H/A]],6,FALSE)</f>
        <v>KSV Blau-Gelb Taucha II</v>
      </c>
      <c r="F18" s="131" t="str">
        <f>VLOOKUP(SaisonE[[#This Row],[ID]],Chronologie[[ID]:[H/A]],8,FALSE)</f>
        <v>A</v>
      </c>
      <c r="G18" s="131">
        <f>IF(SUMIF(Eingabe[ID],SaisonE[[#This Row],[ID]],Eingabe[MP])="","",SUMIF(Eingabe[ID],SaisonE[[#This Row],[ID]],Eingabe[MP]))</f>
        <v>0</v>
      </c>
      <c r="H18" s="131">
        <f>IF(SaisonE[[#This Row],[Duelle]]="","",IF(SaisonE[[#This Row],[Gesamt]]&gt;SaisonE[[#This Row],[Gegner Gesamt]],2,IF(SaisonE[[#This Row],[Gesamt]]=SaisonE[[#This Row],[Gegner Gesamt]],1,0)))</f>
        <v>1</v>
      </c>
      <c r="I18" s="131">
        <f>IF(SaisonE[[#This Row],[Duelle]]="","",SaisonE[[#This Row],[Duelle]]+SaisonE[[#This Row],[Gesamtholz]])</f>
        <v>1</v>
      </c>
      <c r="J18" s="131">
        <f>IF(SaisonE[[#This Row],[Duelle]]="","",SUMIF(Eingabe[ID],SaisonE[[#This Row],[ID]],Eingabe[GES]))</f>
        <v>0</v>
      </c>
      <c r="K18" s="131">
        <f>IF(SaisonE[[#This Row],[Duelle]]="","",SUMIF(Eingabe[ID],SaisonE[[#This Row],[ID]],Eingabe[GEGGES]))</f>
        <v>0</v>
      </c>
      <c r="L18"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
      </c>
      <c r="M18" s="131" t="str">
        <f>IF(SaisonE[[#This Row],[Gesamt]]=0,"",IF(SaisonE[[#This Row],[MP]]&gt;4,"S",IF(SaisonE[[#This Row],[MP]]&lt;4,"N","U")))</f>
        <v/>
      </c>
      <c r="AA18" s="1" t="s">
        <v>657</v>
      </c>
      <c r="AB18" s="1">
        <f>COUNTIFS(Chronologie[L/P/E],"Liga")+COUNTIFS(Chronologie[L/P/E],"Pokal")</f>
        <v>0</v>
      </c>
      <c r="AC18" s="1">
        <f>COUNTIFS(Chronologie[L/P/E],"Liga",Chronologie[H/A],"H")+COUNTIFS(Chronologie[L/P/E],"Pokal",Chronologie[H/A],"H")</f>
        <v>0</v>
      </c>
      <c r="AD18" s="1">
        <f>COUNTIFS(Chronologie[L/P/E],"Liga",Chronologie[H/A],"A")+COUNTIFS(Chronologie[L/P/E],"Pokal",Chronologie[H/A],"A")</f>
        <v>0</v>
      </c>
    </row>
    <row r="19" spans="3:30" x14ac:dyDescent="0.3">
      <c r="C19" s="131">
        <v>16</v>
      </c>
      <c r="D19" s="130" t="s">
        <v>705</v>
      </c>
      <c r="E19" s="131" t="str">
        <f>VLOOKUP(SaisonE[[#This Row],[ID]],Chronologie[[ID]:[H/A]],6,FALSE)</f>
        <v>SG Hohentanne</v>
      </c>
      <c r="F19" s="131" t="str">
        <f>VLOOKUP(SaisonE[[#This Row],[ID]],Chronologie[[ID]:[H/A]],8,FALSE)</f>
        <v>A</v>
      </c>
      <c r="G19" s="131">
        <f>IF(SUMIF(Eingabe[ID],SaisonE[[#This Row],[ID]],Eingabe[MP])="","",SUMIF(Eingabe[ID],SaisonE[[#This Row],[ID]],Eingabe[MP]))</f>
        <v>0</v>
      </c>
      <c r="H19" s="131">
        <f>IF(SaisonE[[#This Row],[Duelle]]="","",IF(SaisonE[[#This Row],[Gesamt]]&gt;SaisonE[[#This Row],[Gegner Gesamt]],2,IF(SaisonE[[#This Row],[Gesamt]]=SaisonE[[#This Row],[Gegner Gesamt]],1,0)))</f>
        <v>1</v>
      </c>
      <c r="I19" s="131">
        <f>IF(SaisonE[[#This Row],[Duelle]]="","",SaisonE[[#This Row],[Duelle]]+SaisonE[[#This Row],[Gesamtholz]])</f>
        <v>1</v>
      </c>
      <c r="J19" s="131">
        <f>IF(SaisonE[[#This Row],[Duelle]]="","",SUMIF(Eingabe[ID],SaisonE[[#This Row],[ID]],Eingabe[GES]))</f>
        <v>0</v>
      </c>
      <c r="K19" s="131">
        <f>IF(SaisonE[[#This Row],[Duelle]]="","",SUMIF(Eingabe[ID],SaisonE[[#This Row],[ID]],Eingabe[GEGGES]))</f>
        <v>0</v>
      </c>
      <c r="L19"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
      </c>
      <c r="M19" s="131" t="str">
        <f>IF(SaisonE[[#This Row],[Gesamt]]=0,"",IF(SaisonE[[#This Row],[MP]]&gt;4,"S",IF(SaisonE[[#This Row],[MP]]&lt;4,"N","U")))</f>
        <v/>
      </c>
      <c r="O19" s="18"/>
      <c r="AA19" s="1" t="s">
        <v>654</v>
      </c>
      <c r="AB19" s="1">
        <f>COUNTIFS(Eingabe[GES],"&gt;0")</f>
        <v>324</v>
      </c>
      <c r="AC19" s="1">
        <f>COUNTIFS(Eingabe[GES],"&gt;0",Eingabe[Wo],"H")</f>
        <v>138</v>
      </c>
      <c r="AD19" s="1">
        <f>COUNTIFS(Eingabe[GES],"&gt;0",Eingabe[Wo],"A")</f>
        <v>186</v>
      </c>
    </row>
    <row r="20" spans="3:30" x14ac:dyDescent="0.3">
      <c r="C20" s="131">
        <v>17</v>
      </c>
      <c r="D20" s="130" t="s">
        <v>706</v>
      </c>
      <c r="E20" s="131" t="str">
        <f>VLOOKUP(SaisonE[[#This Row],[ID]],Chronologie[[ID]:[H/A]],6,FALSE)</f>
        <v>SKV 9-Pins Stollberg II</v>
      </c>
      <c r="F20" s="131" t="str">
        <f>VLOOKUP(SaisonE[[#This Row],[ID]],Chronologie[[ID]:[H/A]],8,FALSE)</f>
        <v>A</v>
      </c>
      <c r="G20" s="131">
        <f>IF(SUMIF(Eingabe[ID],SaisonE[[#This Row],[ID]],Eingabe[MP])="","",SUMIF(Eingabe[ID],SaisonE[[#This Row],[ID]],Eingabe[MP]))</f>
        <v>0</v>
      </c>
      <c r="H20" s="131">
        <f>IF(SaisonE[[#This Row],[Duelle]]="","",IF(SaisonE[[#This Row],[Gesamt]]&gt;SaisonE[[#This Row],[Gegner Gesamt]],2,IF(SaisonE[[#This Row],[Gesamt]]=SaisonE[[#This Row],[Gegner Gesamt]],1,0)))</f>
        <v>1</v>
      </c>
      <c r="I20" s="131">
        <f>IF(SaisonE[[#This Row],[Duelle]]="","",SaisonE[[#This Row],[Duelle]]+SaisonE[[#This Row],[Gesamtholz]])</f>
        <v>1</v>
      </c>
      <c r="J20" s="131">
        <f>IF(SaisonE[[#This Row],[Duelle]]="","",SUMIF(Eingabe[ID],SaisonE[[#This Row],[ID]],Eingabe[GES]))</f>
        <v>0</v>
      </c>
      <c r="K20" s="131">
        <f>IF(SaisonE[[#This Row],[Duelle]]="","",SUMIF(Eingabe[ID],SaisonE[[#This Row],[ID]],Eingabe[GEGGES]))</f>
        <v>0</v>
      </c>
      <c r="L20"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
      </c>
      <c r="M20" s="131" t="str">
        <f>IF(SaisonE[[#This Row],[Gesamt]]=0,"",IF(SaisonE[[#This Row],[MP]]&gt;4,"S",IF(SaisonE[[#This Row],[MP]]&lt;4,"N","U")))</f>
        <v/>
      </c>
      <c r="O20" s="6"/>
      <c r="P20" s="6"/>
      <c r="Q20" s="6"/>
      <c r="R20" s="6"/>
      <c r="S20" s="6"/>
      <c r="T20" s="6"/>
      <c r="U20" s="6"/>
      <c r="V20" s="6"/>
      <c r="W20" s="6"/>
      <c r="X20" s="6"/>
      <c r="Y20" s="6"/>
      <c r="AA20" s="1" t="s">
        <v>655</v>
      </c>
      <c r="AB20" s="1">
        <f>AB19*120</f>
        <v>38880</v>
      </c>
      <c r="AC20" s="1">
        <f t="shared" ref="AC20:AD20" si="0">AC19*120</f>
        <v>16560</v>
      </c>
      <c r="AD20" s="1">
        <f t="shared" si="0"/>
        <v>22320</v>
      </c>
    </row>
    <row r="21" spans="3:30" x14ac:dyDescent="0.3">
      <c r="C21" s="19">
        <v>18</v>
      </c>
      <c r="D21" s="130" t="s">
        <v>707</v>
      </c>
      <c r="E21" s="19" t="str">
        <f>VLOOKUP(SaisonE[[#This Row],[ID]],Chronologie[[ID]:[H/A]],6,FALSE)</f>
        <v>SV Rot-Weiß Treuen</v>
      </c>
      <c r="F21" s="19" t="str">
        <f>VLOOKUP(SaisonE[[#This Row],[ID]],Chronologie[[ID]:[H/A]],8,FALSE)</f>
        <v>H</v>
      </c>
      <c r="G21" s="19">
        <f>IF(SUMIF(Eingabe[ID],SaisonE[[#This Row],[ID]],Eingabe[MP])="","",SUMIF(Eingabe[ID],SaisonE[[#This Row],[ID]],Eingabe[MP]))</f>
        <v>0</v>
      </c>
      <c r="H21" s="19">
        <f>IF(SaisonE[[#This Row],[Duelle]]="","",IF(SaisonE[[#This Row],[Gesamt]]&gt;SaisonE[[#This Row],[Gegner Gesamt]],2,IF(SaisonE[[#This Row],[Gesamt]]=SaisonE[[#This Row],[Gegner Gesamt]],1,0)))</f>
        <v>1</v>
      </c>
      <c r="I21" s="19">
        <f>IF(SaisonE[[#This Row],[Duelle]]="","",SaisonE[[#This Row],[Duelle]]+SaisonE[[#This Row],[Gesamtholz]])</f>
        <v>1</v>
      </c>
      <c r="J21" s="19">
        <f>IF(SaisonE[[#This Row],[Duelle]]="","",SUMIF(Eingabe[ID],SaisonE[[#This Row],[ID]],Eingabe[GES]))</f>
        <v>0</v>
      </c>
      <c r="K21" s="19">
        <f>IF(SaisonE[[#This Row],[Duelle]]="","",SUMIF(Eingabe[ID],SaisonE[[#This Row],[ID]],Eingabe[GEGGES]))</f>
        <v>0</v>
      </c>
      <c r="L21" s="19"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
      </c>
      <c r="M21" s="19" t="str">
        <f>IF(SaisonE[[#This Row],[Gesamt]]=0,"",IF(SaisonE[[#This Row],[MP]]&gt;4,"S",IF(SaisonE[[#This Row],[MP]]&lt;4,"N","U")))</f>
        <v/>
      </c>
      <c r="O21" s="6"/>
      <c r="P21" s="6"/>
      <c r="Q21" s="6"/>
      <c r="R21" s="6"/>
      <c r="S21" s="6"/>
      <c r="T21" s="6"/>
      <c r="U21" s="6"/>
      <c r="V21" s="6"/>
      <c r="W21" s="6"/>
      <c r="X21" s="6"/>
      <c r="Y21" s="6"/>
      <c r="AA21" s="1" t="s">
        <v>656</v>
      </c>
      <c r="AB21" s="1">
        <f>SUM(Eingabe[GES])</f>
        <v>161390</v>
      </c>
      <c r="AC21" s="1">
        <f>SUMIF(Eingabe[Wo],"H",Eingabe[GES])</f>
        <v>69387</v>
      </c>
      <c r="AD21" s="1">
        <f>SUMIF(Eingabe[Wo],"A",Eingabe[GES])</f>
        <v>92003</v>
      </c>
    </row>
    <row r="22" spans="3:30" ht="16.2" thickBot="1" x14ac:dyDescent="0.35">
      <c r="O22" s="6"/>
      <c r="P22" s="6"/>
      <c r="Q22" s="6"/>
      <c r="R22" s="6"/>
      <c r="S22" s="6"/>
      <c r="T22" s="6"/>
      <c r="U22" s="6"/>
      <c r="V22" s="6"/>
      <c r="W22" s="6"/>
      <c r="X22" s="6"/>
      <c r="Y22" s="6"/>
      <c r="AA22" s="1" t="s">
        <v>23</v>
      </c>
      <c r="AB22" s="1">
        <f>SUM(Eingabe[Fehler])</f>
        <v>3314</v>
      </c>
      <c r="AC22" s="1">
        <f>SUMIF(Eingabe[Wo],"H",Eingabe[Fehler])</f>
        <v>1184</v>
      </c>
      <c r="AD22" s="1">
        <f>SUMIF(Eingabe[Wo],"A",Eingabe[Fehler])</f>
        <v>2130</v>
      </c>
    </row>
    <row r="23" spans="3:30" ht="16.2" thickBot="1" x14ac:dyDescent="0.35">
      <c r="C23" s="462" t="s">
        <v>129</v>
      </c>
      <c r="D23" s="463"/>
      <c r="E23" s="463"/>
      <c r="F23" s="463"/>
      <c r="G23" s="463"/>
      <c r="H23" s="463"/>
      <c r="I23" s="463"/>
      <c r="J23" s="463"/>
      <c r="K23" s="463"/>
      <c r="L23" s="463"/>
      <c r="M23" s="464"/>
      <c r="AA23" s="1" t="s">
        <v>63</v>
      </c>
      <c r="AB23" s="1">
        <f>AVERAGE(Eingabe[GES])</f>
        <v>498.11728395061726</v>
      </c>
      <c r="AC23" s="1">
        <f>AVERAGEIF(Eingabe[Wo],"H",Eingabe[GES])</f>
        <v>502.80434782608694</v>
      </c>
      <c r="AD23" s="1">
        <f>AVERAGEIF(Eingabe[Wo],"A",Eingabe[GES])</f>
        <v>494.63978494623655</v>
      </c>
    </row>
    <row r="24" spans="3:30" ht="16.2" thickBot="1" x14ac:dyDescent="0.35">
      <c r="C24" s="207" t="s">
        <v>27</v>
      </c>
      <c r="D24" s="207" t="s">
        <v>1</v>
      </c>
      <c r="E24" s="207" t="s">
        <v>2</v>
      </c>
      <c r="F24" s="207" t="s">
        <v>37</v>
      </c>
      <c r="G24" s="207" t="s">
        <v>127</v>
      </c>
      <c r="H24" s="207" t="s">
        <v>64</v>
      </c>
      <c r="I24" s="207" t="s">
        <v>25</v>
      </c>
      <c r="J24" s="207" t="s">
        <v>26</v>
      </c>
      <c r="K24" s="207" t="s">
        <v>128</v>
      </c>
      <c r="L24" s="207" t="s">
        <v>126</v>
      </c>
      <c r="M24" s="207" t="s">
        <v>65</v>
      </c>
      <c r="O24" s="465" t="s">
        <v>11</v>
      </c>
      <c r="P24" s="466"/>
      <c r="Q24" s="466"/>
      <c r="R24" s="466"/>
      <c r="S24" s="466"/>
      <c r="T24" s="466"/>
      <c r="U24" s="466"/>
      <c r="V24" s="466"/>
      <c r="W24" s="466"/>
      <c r="X24" s="466"/>
      <c r="Y24" s="467"/>
    </row>
    <row r="25" spans="3:30" x14ac:dyDescent="0.3">
      <c r="C25" s="130">
        <v>1</v>
      </c>
      <c r="D25" s="130" t="s">
        <v>708</v>
      </c>
      <c r="E25" s="130" t="str">
        <f>VLOOKUP(SaisonF[[#This Row],[ID]],Chronologie[[ID]:[H/A]],6,FALSE)</f>
        <v>Dresdner SV II</v>
      </c>
      <c r="F25" s="130" t="str">
        <f>VLOOKUP(SaisonF[[#This Row],[ID]],Chronologie[[ID]:[H/A]],8,FALSE)</f>
        <v>A</v>
      </c>
      <c r="G25" s="130">
        <f>IF(SUMIF(Eingabe[ID],SaisonF[[#This Row],[ID]],Eingabe[MP])="","",SUMIF(Eingabe[ID],SaisonF[[#This Row],[ID]],Eingabe[MP]))</f>
        <v>4</v>
      </c>
      <c r="H25" s="130">
        <f>IF(SaisonF[[#This Row],[Duelle]]="","",IF(SaisonF[[#This Row],[Gesamt]]&gt;SaisonF[[#This Row],[Gegner Gesamt]],2,IF(SaisonF[[#This Row],[Gesamt]]=SaisonF[[#This Row],[Gegner Gesamt]],1,0)))</f>
        <v>0</v>
      </c>
      <c r="I25" s="130">
        <f>IF(SaisonF[[#This Row],[Duelle]]="","",SaisonF[[#This Row],[Duelle]]+SaisonF[[#This Row],[Gesamtholz]])</f>
        <v>4</v>
      </c>
      <c r="J25" s="130">
        <f>IF(SaisonF[[#This Row],[Duelle]]="","",SUMIF(Eingabe[ID],SaisonF[[#This Row],[ID]],Eingabe[GES]))</f>
        <v>2869</v>
      </c>
      <c r="K25" s="130">
        <f>IF(SaisonF[[#This Row],[Duelle]]="","",SUMIF(Eingabe[ID],SaisonF[[#This Row],[ID]],Eingabe[GEGGES]))</f>
        <v>2991</v>
      </c>
      <c r="L25" s="130"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(2991) 4:4 (2869)</v>
      </c>
      <c r="M25" s="130" t="str">
        <f>IF(SaisonF[[#This Row],[Gesamt]]=0,"",IF(SaisonF[[#This Row],[MP]]&gt;4,"S",IF(SaisonF[[#This Row],[MP]]&lt;4,"N","U")))</f>
        <v>U</v>
      </c>
      <c r="O25" s="208" t="s">
        <v>27</v>
      </c>
      <c r="P25" s="208" t="s">
        <v>1</v>
      </c>
      <c r="Q25" s="208" t="s">
        <v>2</v>
      </c>
      <c r="R25" s="208" t="s">
        <v>37</v>
      </c>
      <c r="S25" s="208" t="s">
        <v>127</v>
      </c>
      <c r="T25" s="208" t="s">
        <v>64</v>
      </c>
      <c r="U25" s="208" t="s">
        <v>25</v>
      </c>
      <c r="V25" s="208" t="s">
        <v>26</v>
      </c>
      <c r="W25" s="208" t="s">
        <v>128</v>
      </c>
      <c r="X25" s="208" t="s">
        <v>126</v>
      </c>
      <c r="Y25" s="208" t="s">
        <v>65</v>
      </c>
    </row>
    <row r="26" spans="3:30" x14ac:dyDescent="0.3">
      <c r="C26" s="131">
        <v>2</v>
      </c>
      <c r="D26" s="130" t="s">
        <v>709</v>
      </c>
      <c r="E26" s="131" t="str">
        <f>VLOOKUP(SaisonF[[#This Row],[ID]],Chronologie[[ID]:[H/A]],6,FALSE)</f>
        <v>Thonberger SC 1931</v>
      </c>
      <c r="F26" s="131" t="str">
        <f>VLOOKUP(SaisonF[[#This Row],[ID]],Chronologie[[ID]:[H/A]],8,FALSE)</f>
        <v>H</v>
      </c>
      <c r="G26" s="131">
        <f>IF(SUMIF(Eingabe[ID],SaisonF[[#This Row],[ID]],Eingabe[MP])="","",SUMIF(Eingabe[ID],SaisonF[[#This Row],[ID]],Eingabe[MP]))</f>
        <v>3</v>
      </c>
      <c r="H26" s="131">
        <f>IF(SaisonF[[#This Row],[Duelle]]="","",IF(SaisonF[[#This Row],[Gesamt]]&gt;SaisonF[[#This Row],[Gegner Gesamt]],2,IF(SaisonF[[#This Row],[Gesamt]]=SaisonF[[#This Row],[Gegner Gesamt]],1,0)))</f>
        <v>2</v>
      </c>
      <c r="I26" s="131">
        <f>IF(SaisonF[[#This Row],[Duelle]]="","",SaisonF[[#This Row],[Duelle]]+SaisonF[[#This Row],[Gesamtholz]])</f>
        <v>5</v>
      </c>
      <c r="J26" s="131">
        <f>IF(SaisonF[[#This Row],[Duelle]]="","",SUMIF(Eingabe[ID],SaisonF[[#This Row],[ID]],Eingabe[GES]))</f>
        <v>2976</v>
      </c>
      <c r="K26" s="131">
        <f>IF(SaisonF[[#This Row],[Duelle]]="","",SUMIF(Eingabe[ID],SaisonF[[#This Row],[ID]],Eingabe[GEGGES]))</f>
        <v>2938</v>
      </c>
      <c r="L26"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(2976) 5:3 (2938)</v>
      </c>
      <c r="M26" s="131" t="str">
        <f>IF(SaisonF[[#This Row],[Gesamt]]=0,"",IF(SaisonF[[#This Row],[MP]]&gt;4,"S",IF(SaisonF[[#This Row],[MP]]&lt;4,"N","U")))</f>
        <v>S</v>
      </c>
      <c r="O26" s="130">
        <v>1</v>
      </c>
      <c r="P26" s="130" t="s">
        <v>624</v>
      </c>
      <c r="Q26" s="130" t="e">
        <f>VLOOKUP(SaisonD[[#This Row],[ID]],Chronologie[[ID]:[H/A]],6,FALSE)</f>
        <v>#N/A</v>
      </c>
      <c r="R26" s="130" t="e">
        <f>VLOOKUP(SaisonD[[#This Row],[ID]],Chronologie[[ID]:[H/A]],8,FALSE)</f>
        <v>#N/A</v>
      </c>
      <c r="S26" s="130">
        <f>IF(SUMIF(Eingabe[ID],SaisonD[[#This Row],[ID]],Eingabe[MP])="","",SUMIF(Eingabe[ID],SaisonD[[#This Row],[ID]],Eingabe[MP]))</f>
        <v>0</v>
      </c>
      <c r="T26" s="130">
        <f>IF(SaisonD[[#This Row],[Duelle]]="","",IF(SaisonD[[#This Row],[Gesamt]]&gt;SaisonD[[#This Row],[Gegner Gesamt]],2,IF(SaisonD[[#This Row],[Gesamt]]=SaisonD[[#This Row],[Gegner Gesamt]],1,0)))</f>
        <v>1</v>
      </c>
      <c r="U26" s="130">
        <f>IF(SaisonD[[#This Row],[Duelle]]="","",SaisonD[[#This Row],[Duelle]]+SaisonD[[#This Row],[Gesamtholz]])</f>
        <v>1</v>
      </c>
      <c r="V26" s="130">
        <f>IF(SaisonD[[#This Row],[Duelle]]="","",SUMIF(Eingabe[ID],SaisonD[[#This Row],[ID]],Eingabe[GES]))</f>
        <v>0</v>
      </c>
      <c r="W26" s="130">
        <f>IF(SaisonD[[#This Row],[Duelle]]="","",SUMIF(Eingabe[ID],SaisonD[[#This Row],[ID]],Eingabe[GEGGES]))</f>
        <v>0</v>
      </c>
      <c r="X26" s="130"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
      </c>
      <c r="Y26" s="130" t="str">
        <f>IF(SaisonD[[#This Row],[Gesamt]]=0,"",IF(SaisonD[[#This Row],[MP]]&gt;4,"S",IF(SaisonD[[#This Row],[MP]]&lt;4,"N","U")))</f>
        <v/>
      </c>
    </row>
    <row r="27" spans="3:30" x14ac:dyDescent="0.3">
      <c r="C27" s="131">
        <v>3</v>
      </c>
      <c r="D27" s="130" t="s">
        <v>710</v>
      </c>
      <c r="E27" s="131" t="str">
        <f>VLOOKUP(SaisonF[[#This Row],[ID]],Chronologie[[ID]:[H/A]],6,FALSE)</f>
        <v>KSV Dresden-Leuben</v>
      </c>
      <c r="F27" s="131" t="str">
        <f>VLOOKUP(SaisonF[[#This Row],[ID]],Chronologie[[ID]:[H/A]],8,FALSE)</f>
        <v>A</v>
      </c>
      <c r="G27" s="131">
        <f>IF(SUMIF(Eingabe[ID],SaisonF[[#This Row],[ID]],Eingabe[MP])="","",SUMIF(Eingabe[ID],SaisonF[[#This Row],[ID]],Eingabe[MP]))</f>
        <v>2</v>
      </c>
      <c r="H27" s="131">
        <f>IF(SaisonF[[#This Row],[Duelle]]="","",IF(SaisonF[[#This Row],[Gesamt]]&gt;SaisonF[[#This Row],[Gegner Gesamt]],2,IF(SaisonF[[#This Row],[Gesamt]]=SaisonF[[#This Row],[Gegner Gesamt]],1,0)))</f>
        <v>0</v>
      </c>
      <c r="I27" s="131">
        <f>IF(SaisonF[[#This Row],[Duelle]]="","",SaisonF[[#This Row],[Duelle]]+SaisonF[[#This Row],[Gesamtholz]])</f>
        <v>2</v>
      </c>
      <c r="J27" s="131">
        <f>IF(SaisonF[[#This Row],[Duelle]]="","",SUMIF(Eingabe[ID],SaisonF[[#This Row],[ID]],Eingabe[GES]))</f>
        <v>3053</v>
      </c>
      <c r="K27" s="131">
        <f>IF(SaisonF[[#This Row],[Duelle]]="","",SUMIF(Eingabe[ID],SaisonF[[#This Row],[ID]],Eingabe[GEGGES]))</f>
        <v>3265</v>
      </c>
      <c r="L27"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(3265) 6:2 (3053)</v>
      </c>
      <c r="M27" s="131" t="str">
        <f>IF(SaisonF[[#This Row],[Gesamt]]=0,"",IF(SaisonF[[#This Row],[MP]]&gt;4,"S",IF(SaisonF[[#This Row],[MP]]&lt;4,"N","U")))</f>
        <v>N</v>
      </c>
      <c r="O27" s="131">
        <v>2</v>
      </c>
      <c r="P27" s="130" t="s">
        <v>625</v>
      </c>
      <c r="Q27" s="131" t="e">
        <f>VLOOKUP(SaisonD[[#This Row],[ID]],Chronologie[[ID]:[H/A]],6,FALSE)</f>
        <v>#N/A</v>
      </c>
      <c r="R27" s="131" t="e">
        <f>VLOOKUP(SaisonD[[#This Row],[ID]],Chronologie[[ID]:[H/A]],8,FALSE)</f>
        <v>#N/A</v>
      </c>
      <c r="S27" s="131">
        <f>IF(SUMIF(Eingabe[ID],SaisonD[[#This Row],[ID]],Eingabe[MP])="","",SUMIF(Eingabe[ID],SaisonD[[#This Row],[ID]],Eingabe[MP]))</f>
        <v>0</v>
      </c>
      <c r="T27" s="131">
        <f>IF(SaisonD[[#This Row],[Duelle]]="","",IF(SaisonD[[#This Row],[Gesamt]]&gt;SaisonD[[#This Row],[Gegner Gesamt]],2,IF(SaisonD[[#This Row],[Gesamt]]=SaisonD[[#This Row],[Gegner Gesamt]],1,0)))</f>
        <v>1</v>
      </c>
      <c r="U27" s="131">
        <f>IF(SaisonD[[#This Row],[Duelle]]="","",SaisonD[[#This Row],[Duelle]]+SaisonD[[#This Row],[Gesamtholz]])</f>
        <v>1</v>
      </c>
      <c r="V27" s="131">
        <f>IF(SaisonD[[#This Row],[Duelle]]="","",SUMIF(Eingabe[ID],SaisonD[[#This Row],[ID]],Eingabe[GES]))</f>
        <v>0</v>
      </c>
      <c r="W27" s="131">
        <f>IF(SaisonD[[#This Row],[Duelle]]="","",SUMIF(Eingabe[ID],SaisonD[[#This Row],[ID]],Eingabe[GEGGES]))</f>
        <v>0</v>
      </c>
      <c r="X27"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
      </c>
      <c r="Y27" s="131" t="str">
        <f>IF(SaisonD[[#This Row],[Gesamt]]=0,"",IF(SaisonD[[#This Row],[MP]]&gt;4,"S",IF(SaisonD[[#This Row],[MP]]&lt;4,"N","U")))</f>
        <v/>
      </c>
    </row>
    <row r="28" spans="3:30" x14ac:dyDescent="0.3">
      <c r="C28" s="131">
        <v>4</v>
      </c>
      <c r="D28" s="130" t="s">
        <v>711</v>
      </c>
      <c r="E28" s="131" t="str">
        <f>VLOOKUP(SaisonF[[#This Row],[ID]],Chronologie[[ID]:[H/A]],6,FALSE)</f>
        <v>KSV 66 Steinitz</v>
      </c>
      <c r="F28" s="131" t="str">
        <f>VLOOKUP(SaisonF[[#This Row],[ID]],Chronologie[[ID]:[H/A]],8,FALSE)</f>
        <v>H</v>
      </c>
      <c r="G28" s="131">
        <f>IF(SUMIF(Eingabe[ID],SaisonF[[#This Row],[ID]],Eingabe[MP])="","",SUMIF(Eingabe[ID],SaisonF[[#This Row],[ID]],Eingabe[MP]))</f>
        <v>6</v>
      </c>
      <c r="H28" s="131">
        <f>IF(SaisonF[[#This Row],[Duelle]]="","",IF(SaisonF[[#This Row],[Gesamt]]&gt;SaisonF[[#This Row],[Gegner Gesamt]],2,IF(SaisonF[[#This Row],[Gesamt]]=SaisonF[[#This Row],[Gegner Gesamt]],1,0)))</f>
        <v>2</v>
      </c>
      <c r="I28" s="131">
        <f>IF(SaisonF[[#This Row],[Duelle]]="","",SaisonF[[#This Row],[Duelle]]+SaisonF[[#This Row],[Gesamtholz]])</f>
        <v>8</v>
      </c>
      <c r="J28" s="131">
        <f>IF(SaisonF[[#This Row],[Duelle]]="","",SUMIF(Eingabe[ID],SaisonF[[#This Row],[ID]],Eingabe[GES]))</f>
        <v>2967</v>
      </c>
      <c r="K28" s="131">
        <f>IF(SaisonF[[#This Row],[Duelle]]="","",SUMIF(Eingabe[ID],SaisonF[[#This Row],[ID]],Eingabe[GEGGES]))</f>
        <v>2708</v>
      </c>
      <c r="L28"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(2967) 8:0 (2708)</v>
      </c>
      <c r="M28" s="131" t="str">
        <f>IF(SaisonF[[#This Row],[Gesamt]]=0,"",IF(SaisonF[[#This Row],[MP]]&gt;4,"S",IF(SaisonF[[#This Row],[MP]]&lt;4,"N","U")))</f>
        <v>S</v>
      </c>
      <c r="O28" s="131">
        <v>3</v>
      </c>
      <c r="P28" s="130" t="s">
        <v>626</v>
      </c>
      <c r="Q28" s="131" t="e">
        <f>VLOOKUP(SaisonD[[#This Row],[ID]],Chronologie[[ID]:[H/A]],6,FALSE)</f>
        <v>#N/A</v>
      </c>
      <c r="R28" s="131" t="e">
        <f>VLOOKUP(SaisonD[[#This Row],[ID]],Chronologie[[ID]:[H/A]],8,FALSE)</f>
        <v>#N/A</v>
      </c>
      <c r="S28" s="131">
        <f>IF(SUMIF(Eingabe[ID],SaisonD[[#This Row],[ID]],Eingabe[MP])="","",SUMIF(Eingabe[ID],SaisonD[[#This Row],[ID]],Eingabe[MP]))</f>
        <v>0</v>
      </c>
      <c r="T28" s="131">
        <f>IF(SaisonD[[#This Row],[Duelle]]="","",IF(SaisonD[[#This Row],[Gesamt]]&gt;SaisonD[[#This Row],[Gegner Gesamt]],2,IF(SaisonD[[#This Row],[Gesamt]]=SaisonD[[#This Row],[Gegner Gesamt]],1,0)))</f>
        <v>1</v>
      </c>
      <c r="U28" s="131">
        <f>IF(SaisonD[[#This Row],[Duelle]]="","",SaisonD[[#This Row],[Duelle]]+SaisonD[[#This Row],[Gesamtholz]])</f>
        <v>1</v>
      </c>
      <c r="V28" s="131">
        <f>IF(SaisonD[[#This Row],[Duelle]]="","",SUMIF(Eingabe[ID],SaisonD[[#This Row],[ID]],Eingabe[GES]))</f>
        <v>0</v>
      </c>
      <c r="W28" s="131">
        <f>IF(SaisonD[[#This Row],[Duelle]]="","",SUMIF(Eingabe[ID],SaisonD[[#This Row],[ID]],Eingabe[GEGGES]))</f>
        <v>0</v>
      </c>
      <c r="X28"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
      </c>
      <c r="Y28" s="131" t="str">
        <f>IF(SaisonD[[#This Row],[Gesamt]]=0,"",IF(SaisonD[[#This Row],[MP]]&gt;4,"S",IF(SaisonD[[#This Row],[MP]]&lt;4,"N","U")))</f>
        <v/>
      </c>
    </row>
    <row r="29" spans="3:30" x14ac:dyDescent="0.3">
      <c r="C29" s="131">
        <v>5</v>
      </c>
      <c r="D29" s="130" t="s">
        <v>712</v>
      </c>
      <c r="E29" s="131" t="str">
        <f>VLOOKUP(SaisonF[[#This Row],[ID]],Chronologie[[ID]:[H/A]],6,FALSE)</f>
        <v>KSC Stahl Rietschen</v>
      </c>
      <c r="F29" s="131" t="str">
        <f>VLOOKUP(SaisonF[[#This Row],[ID]],Chronologie[[ID]:[H/A]],8,FALSE)</f>
        <v>A</v>
      </c>
      <c r="G29" s="131">
        <f>IF(SUMIF(Eingabe[ID],SaisonF[[#This Row],[ID]],Eingabe[MP])="","",SUMIF(Eingabe[ID],SaisonF[[#This Row],[ID]],Eingabe[MP]))</f>
        <v>5</v>
      </c>
      <c r="H29" s="131">
        <f>IF(SaisonF[[#This Row],[Duelle]]="","",IF(SaisonF[[#This Row],[Gesamt]]&gt;SaisonF[[#This Row],[Gegner Gesamt]],2,IF(SaisonF[[#This Row],[Gesamt]]=SaisonF[[#This Row],[Gegner Gesamt]],1,0)))</f>
        <v>2</v>
      </c>
      <c r="I29" s="131">
        <f>IF(SaisonF[[#This Row],[Duelle]]="","",SaisonF[[#This Row],[Duelle]]+SaisonF[[#This Row],[Gesamtholz]])</f>
        <v>7</v>
      </c>
      <c r="J29" s="131">
        <f>IF(SaisonF[[#This Row],[Duelle]]="","",SUMIF(Eingabe[ID],SaisonF[[#This Row],[ID]],Eingabe[GES]))</f>
        <v>3130</v>
      </c>
      <c r="K29" s="131">
        <f>IF(SaisonF[[#This Row],[Duelle]]="","",SUMIF(Eingabe[ID],SaisonF[[#This Row],[ID]],Eingabe[GEGGES]))</f>
        <v>3055</v>
      </c>
      <c r="L29"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(3055) 1:7 (3130)</v>
      </c>
      <c r="M29" s="131" t="str">
        <f>IF(SaisonF[[#This Row],[Gesamt]]=0,"",IF(SaisonF[[#This Row],[MP]]&gt;4,"S",IF(SaisonF[[#This Row],[MP]]&lt;4,"N","U")))</f>
        <v>S</v>
      </c>
      <c r="O29" s="131">
        <v>4</v>
      </c>
      <c r="P29" s="130" t="s">
        <v>627</v>
      </c>
      <c r="Q29" s="131" t="e">
        <f>VLOOKUP(SaisonD[[#This Row],[ID]],Chronologie[[ID]:[H/A]],6,FALSE)</f>
        <v>#N/A</v>
      </c>
      <c r="R29" s="131" t="e">
        <f>VLOOKUP(SaisonD[[#This Row],[ID]],Chronologie[[ID]:[H/A]],8,FALSE)</f>
        <v>#N/A</v>
      </c>
      <c r="S29" s="131">
        <f>IF(SUMIF(Eingabe[ID],SaisonD[[#This Row],[ID]],Eingabe[MP])="","",SUMIF(Eingabe[ID],SaisonD[[#This Row],[ID]],Eingabe[MP]))</f>
        <v>0</v>
      </c>
      <c r="T29" s="131">
        <f>IF(SaisonD[[#This Row],[Duelle]]="","",IF(SaisonD[[#This Row],[Gesamt]]&gt;SaisonD[[#This Row],[Gegner Gesamt]],2,IF(SaisonD[[#This Row],[Gesamt]]=SaisonD[[#This Row],[Gegner Gesamt]],1,0)))</f>
        <v>1</v>
      </c>
      <c r="U29" s="131">
        <f>IF(SaisonD[[#This Row],[Duelle]]="","",SaisonD[[#This Row],[Duelle]]+SaisonD[[#This Row],[Gesamtholz]])</f>
        <v>1</v>
      </c>
      <c r="V29" s="131">
        <f>IF(SaisonD[[#This Row],[Duelle]]="","",SUMIF(Eingabe[ID],SaisonD[[#This Row],[ID]],Eingabe[GES]))</f>
        <v>0</v>
      </c>
      <c r="W29" s="131">
        <f>IF(SaisonD[[#This Row],[Duelle]]="","",SUMIF(Eingabe[ID],SaisonD[[#This Row],[ID]],Eingabe[GEGGES]))</f>
        <v>0</v>
      </c>
      <c r="X29"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
      </c>
      <c r="Y29" s="131" t="str">
        <f>IF(SaisonD[[#This Row],[Gesamt]]=0,"",IF(SaisonD[[#This Row],[MP]]&gt;4,"S",IF(SaisonD[[#This Row],[MP]]&lt;4,"N","U")))</f>
        <v/>
      </c>
    </row>
    <row r="30" spans="3:30" x14ac:dyDescent="0.3">
      <c r="C30" s="131">
        <v>6</v>
      </c>
      <c r="D30" s="130" t="s">
        <v>713</v>
      </c>
      <c r="E30" s="131" t="str">
        <f>VLOOKUP(SaisonF[[#This Row],[ID]],Chronologie[[ID]:[H/A]],6,FALSE)</f>
        <v>ISG Hagenwerder</v>
      </c>
      <c r="F30" s="131" t="str">
        <f>VLOOKUP(SaisonF[[#This Row],[ID]],Chronologie[[ID]:[H/A]],8,FALSE)</f>
        <v>A</v>
      </c>
      <c r="G30" s="131">
        <f>IF(SUMIF(Eingabe[ID],SaisonF[[#This Row],[ID]],Eingabe[MP])="","",SUMIF(Eingabe[ID],SaisonF[[#This Row],[ID]],Eingabe[MP]))</f>
        <v>1</v>
      </c>
      <c r="H30" s="131">
        <f>IF(SaisonF[[#This Row],[Duelle]]="","",IF(SaisonF[[#This Row],[Gesamt]]&gt;SaisonF[[#This Row],[Gegner Gesamt]],2,IF(SaisonF[[#This Row],[Gesamt]]=SaisonF[[#This Row],[Gegner Gesamt]],1,0)))</f>
        <v>0</v>
      </c>
      <c r="I30" s="131">
        <f>IF(SaisonF[[#This Row],[Duelle]]="","",SaisonF[[#This Row],[Duelle]]+SaisonF[[#This Row],[Gesamtholz]])</f>
        <v>1</v>
      </c>
      <c r="J30" s="131">
        <f>IF(SaisonF[[#This Row],[Duelle]]="","",SUMIF(Eingabe[ID],SaisonF[[#This Row],[ID]],Eingabe[GES]))</f>
        <v>2914</v>
      </c>
      <c r="K30" s="131">
        <f>IF(SaisonF[[#This Row],[Duelle]]="","",SUMIF(Eingabe[ID],SaisonF[[#This Row],[ID]],Eingabe[GEGGES]))</f>
        <v>3042</v>
      </c>
      <c r="L30"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(3042) 7:1 (2914)</v>
      </c>
      <c r="M30" s="131" t="str">
        <f>IF(SaisonF[[#This Row],[Gesamt]]=0,"",IF(SaisonF[[#This Row],[MP]]&gt;4,"S",IF(SaisonF[[#This Row],[MP]]&lt;4,"N","U")))</f>
        <v>N</v>
      </c>
      <c r="O30" s="131">
        <v>5</v>
      </c>
      <c r="P30" s="130" t="s">
        <v>628</v>
      </c>
      <c r="Q30" s="131" t="e">
        <f>VLOOKUP(SaisonD[[#This Row],[ID]],Chronologie[[ID]:[H/A]],6,FALSE)</f>
        <v>#N/A</v>
      </c>
      <c r="R30" s="131" t="e">
        <f>VLOOKUP(SaisonD[[#This Row],[ID]],Chronologie[[ID]:[H/A]],8,FALSE)</f>
        <v>#N/A</v>
      </c>
      <c r="S30" s="131">
        <f>IF(SUMIF(Eingabe[ID],SaisonD[[#This Row],[ID]],Eingabe[MP])="","",SUMIF(Eingabe[ID],SaisonD[[#This Row],[ID]],Eingabe[MP]))</f>
        <v>0</v>
      </c>
      <c r="T30" s="131">
        <f>IF(SaisonD[[#This Row],[Duelle]]="","",IF(SaisonD[[#This Row],[Gesamt]]&gt;SaisonD[[#This Row],[Gegner Gesamt]],2,IF(SaisonD[[#This Row],[Gesamt]]=SaisonD[[#This Row],[Gegner Gesamt]],1,0)))</f>
        <v>1</v>
      </c>
      <c r="U30" s="131">
        <f>IF(SaisonD[[#This Row],[Duelle]]="","",SaisonD[[#This Row],[Duelle]]+SaisonD[[#This Row],[Gesamtholz]])</f>
        <v>1</v>
      </c>
      <c r="V30" s="131">
        <f>IF(SaisonD[[#This Row],[Duelle]]="","",SUMIF(Eingabe[ID],SaisonD[[#This Row],[ID]],Eingabe[GES]))</f>
        <v>0</v>
      </c>
      <c r="W30" s="131">
        <f>IF(SaisonD[[#This Row],[Duelle]]="","",SUMIF(Eingabe[ID],SaisonD[[#This Row],[ID]],Eingabe[GEGGES]))</f>
        <v>0</v>
      </c>
      <c r="X30"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
      </c>
      <c r="Y30" s="131" t="str">
        <f>IF(SaisonD[[#This Row],[Gesamt]]=0,"",IF(SaisonD[[#This Row],[MP]]&gt;4,"S",IF(SaisonD[[#This Row],[MP]]&lt;4,"N","U")))</f>
        <v/>
      </c>
    </row>
    <row r="31" spans="3:30" x14ac:dyDescent="0.3">
      <c r="C31" s="131">
        <v>7</v>
      </c>
      <c r="D31" s="130" t="s">
        <v>714</v>
      </c>
      <c r="E31" s="131">
        <f>VLOOKUP(SaisonF[[#This Row],[ID]],Chronologie[[ID]:[H/A]],6,FALSE)</f>
        <v>0</v>
      </c>
      <c r="F31" s="131">
        <f>VLOOKUP(SaisonF[[#This Row],[ID]],Chronologie[[ID]:[H/A]],8,FALSE)</f>
        <v>0</v>
      </c>
      <c r="G31" s="131">
        <f>IF(SUMIF(Eingabe[ID],SaisonF[[#This Row],[ID]],Eingabe[MP])="","",SUMIF(Eingabe[ID],SaisonF[[#This Row],[ID]],Eingabe[MP]))</f>
        <v>0</v>
      </c>
      <c r="H31" s="131">
        <f>IF(SaisonF[[#This Row],[Duelle]]="","",IF(SaisonF[[#This Row],[Gesamt]]&gt;SaisonF[[#This Row],[Gegner Gesamt]],2,IF(SaisonF[[#This Row],[Gesamt]]=SaisonF[[#This Row],[Gegner Gesamt]],1,0)))</f>
        <v>1</v>
      </c>
      <c r="I31" s="131">
        <f>IF(SaisonF[[#This Row],[Duelle]]="","",SaisonF[[#This Row],[Duelle]]+SaisonF[[#This Row],[Gesamtholz]])</f>
        <v>1</v>
      </c>
      <c r="J31" s="131">
        <f>IF(SaisonF[[#This Row],[Duelle]]="","",SUMIF(Eingabe[ID],SaisonF[[#This Row],[ID]],Eingabe[GES]))</f>
        <v>0</v>
      </c>
      <c r="K31" s="131">
        <f>IF(SaisonF[[#This Row],[Duelle]]="","",SUMIF(Eingabe[ID],SaisonF[[#This Row],[ID]],Eingabe[GEGGES]))</f>
        <v>0</v>
      </c>
      <c r="L31"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
      </c>
      <c r="M31" s="131" t="str">
        <f>IF(SaisonF[[#This Row],[Gesamt]]=0,"",IF(SaisonF[[#This Row],[MP]]&gt;4,"S",IF(SaisonF[[#This Row],[MP]]&lt;4,"N","U")))</f>
        <v/>
      </c>
      <c r="O31" s="131">
        <v>6</v>
      </c>
      <c r="P31" s="130" t="s">
        <v>629</v>
      </c>
      <c r="Q31" s="131" t="e">
        <f>VLOOKUP(SaisonD[[#This Row],[ID]],Chronologie[[ID]:[H/A]],6,FALSE)</f>
        <v>#N/A</v>
      </c>
      <c r="R31" s="131" t="e">
        <f>VLOOKUP(SaisonD[[#This Row],[ID]],Chronologie[[ID]:[H/A]],8,FALSE)</f>
        <v>#N/A</v>
      </c>
      <c r="S31" s="131">
        <f>IF(SUMIF(Eingabe[ID],SaisonD[[#This Row],[ID]],Eingabe[MP])="","",SUMIF(Eingabe[ID],SaisonD[[#This Row],[ID]],Eingabe[MP]))</f>
        <v>0</v>
      </c>
      <c r="T31" s="131">
        <f>IF(SaisonD[[#This Row],[Duelle]]="","",IF(SaisonD[[#This Row],[Gesamt]]&gt;SaisonD[[#This Row],[Gegner Gesamt]],2,IF(SaisonD[[#This Row],[Gesamt]]=SaisonD[[#This Row],[Gegner Gesamt]],1,0)))</f>
        <v>1</v>
      </c>
      <c r="U31" s="131">
        <f>IF(SaisonD[[#This Row],[Duelle]]="","",SaisonD[[#This Row],[Duelle]]+SaisonD[[#This Row],[Gesamtholz]])</f>
        <v>1</v>
      </c>
      <c r="V31" s="131">
        <f>IF(SaisonD[[#This Row],[Duelle]]="","",SUMIF(Eingabe[ID],SaisonD[[#This Row],[ID]],Eingabe[GES]))</f>
        <v>0</v>
      </c>
      <c r="W31" s="131">
        <f>IF(SaisonD[[#This Row],[Duelle]]="","",SUMIF(Eingabe[ID],SaisonD[[#This Row],[ID]],Eingabe[GEGGES]))</f>
        <v>0</v>
      </c>
      <c r="X31"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
      </c>
      <c r="Y31" s="131" t="str">
        <f>IF(SaisonD[[#This Row],[Gesamt]]=0,"",IF(SaisonD[[#This Row],[MP]]&gt;4,"S",IF(SaisonD[[#This Row],[MP]]&lt;4,"N","U")))</f>
        <v/>
      </c>
    </row>
    <row r="32" spans="3:30" x14ac:dyDescent="0.3">
      <c r="C32" s="131">
        <v>8</v>
      </c>
      <c r="D32" s="130" t="s">
        <v>715</v>
      </c>
      <c r="E32" s="131" t="str">
        <f>VLOOKUP(SaisonF[[#This Row],[ID]],Chronologie[[ID]:[H/A]],6,FALSE)</f>
        <v>Dresdner SV II</v>
      </c>
      <c r="F32" s="131" t="str">
        <f>VLOOKUP(SaisonF[[#This Row],[ID]],Chronologie[[ID]:[H/A]],8,FALSE)</f>
        <v>H</v>
      </c>
      <c r="G32" s="131">
        <f>IF(SUMIF(Eingabe[ID],SaisonF[[#This Row],[ID]],Eingabe[MP])="","",SUMIF(Eingabe[ID],SaisonF[[#This Row],[ID]],Eingabe[MP]))</f>
        <v>5</v>
      </c>
      <c r="H32" s="131">
        <f>IF(SaisonF[[#This Row],[Duelle]]="","",IF(SaisonF[[#This Row],[Gesamt]]&gt;SaisonF[[#This Row],[Gegner Gesamt]],2,IF(SaisonF[[#This Row],[Gesamt]]=SaisonF[[#This Row],[Gegner Gesamt]],1,0)))</f>
        <v>2</v>
      </c>
      <c r="I32" s="131">
        <f>IF(SaisonF[[#This Row],[Duelle]]="","",SaisonF[[#This Row],[Duelle]]+SaisonF[[#This Row],[Gesamtholz]])</f>
        <v>7</v>
      </c>
      <c r="J32" s="131">
        <f>IF(SaisonF[[#This Row],[Duelle]]="","",SUMIF(Eingabe[ID],SaisonF[[#This Row],[ID]],Eingabe[GES]))</f>
        <v>3144</v>
      </c>
      <c r="K32" s="131">
        <f>IF(SaisonF[[#This Row],[Duelle]]="","",SUMIF(Eingabe[ID],SaisonF[[#This Row],[ID]],Eingabe[GEGGES]))</f>
        <v>2761</v>
      </c>
      <c r="L32"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(3144) 7:1 (2761)</v>
      </c>
      <c r="M32" s="131" t="str">
        <f>IF(SaisonF[[#This Row],[Gesamt]]=0,"",IF(SaisonF[[#This Row],[MP]]&gt;4,"S",IF(SaisonF[[#This Row],[MP]]&lt;4,"N","U")))</f>
        <v>S</v>
      </c>
      <c r="O32" s="131">
        <v>7</v>
      </c>
      <c r="P32" s="130" t="s">
        <v>630</v>
      </c>
      <c r="Q32" s="131" t="e">
        <f>VLOOKUP(SaisonD[[#This Row],[ID]],Chronologie[[ID]:[H/A]],6,FALSE)</f>
        <v>#N/A</v>
      </c>
      <c r="R32" s="131" t="e">
        <f>VLOOKUP(SaisonD[[#This Row],[ID]],Chronologie[[ID]:[H/A]],8,FALSE)</f>
        <v>#N/A</v>
      </c>
      <c r="S32" s="131">
        <f>IF(SUMIF(Eingabe[ID],SaisonD[[#This Row],[ID]],Eingabe[MP])="","",SUMIF(Eingabe[ID],SaisonD[[#This Row],[ID]],Eingabe[MP]))</f>
        <v>0</v>
      </c>
      <c r="T32" s="131">
        <f>IF(SaisonD[[#This Row],[Duelle]]="","",IF(SaisonD[[#This Row],[Gesamt]]&gt;SaisonD[[#This Row],[Gegner Gesamt]],2,IF(SaisonD[[#This Row],[Gesamt]]=SaisonD[[#This Row],[Gegner Gesamt]],1,0)))</f>
        <v>1</v>
      </c>
      <c r="U32" s="131">
        <f>IF(SaisonD[[#This Row],[Duelle]]="","",SaisonD[[#This Row],[Duelle]]+SaisonD[[#This Row],[Gesamtholz]])</f>
        <v>1</v>
      </c>
      <c r="V32" s="131">
        <f>IF(SaisonD[[#This Row],[Duelle]]="","",SUMIF(Eingabe[ID],SaisonD[[#This Row],[ID]],Eingabe[GES]))</f>
        <v>0</v>
      </c>
      <c r="W32" s="131">
        <f>IF(SaisonD[[#This Row],[Duelle]]="","",SUMIF(Eingabe[ID],SaisonD[[#This Row],[ID]],Eingabe[GEGGES]))</f>
        <v>0</v>
      </c>
      <c r="X32"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
      </c>
      <c r="Y32" s="131" t="str">
        <f>IF(SaisonD[[#This Row],[Gesamt]]=0,"",IF(SaisonD[[#This Row],[MP]]&gt;4,"S",IF(SaisonD[[#This Row],[MP]]&lt;4,"N","U")))</f>
        <v/>
      </c>
    </row>
    <row r="33" spans="3:25" x14ac:dyDescent="0.3">
      <c r="C33" s="131">
        <v>9</v>
      </c>
      <c r="D33" s="130" t="s">
        <v>716</v>
      </c>
      <c r="E33" s="131" t="str">
        <f>VLOOKUP(SaisonF[[#This Row],[ID]],Chronologie[[ID]:[H/A]],6,FALSE)</f>
        <v>Thonberger SC 1931</v>
      </c>
      <c r="F33" s="131" t="str">
        <f>VLOOKUP(SaisonF[[#This Row],[ID]],Chronologie[[ID]:[H/A]],8,FALSE)</f>
        <v>A</v>
      </c>
      <c r="G33" s="131">
        <f>IF(SUMIF(Eingabe[ID],SaisonF[[#This Row],[ID]],Eingabe[MP])="","",SUMIF(Eingabe[ID],SaisonF[[#This Row],[ID]],Eingabe[MP]))</f>
        <v>2</v>
      </c>
      <c r="H33" s="131">
        <f>IF(SaisonF[[#This Row],[Duelle]]="","",IF(SaisonF[[#This Row],[Gesamt]]&gt;SaisonF[[#This Row],[Gegner Gesamt]],2,IF(SaisonF[[#This Row],[Gesamt]]=SaisonF[[#This Row],[Gegner Gesamt]],1,0)))</f>
        <v>0</v>
      </c>
      <c r="I33" s="131">
        <f>IF(SaisonF[[#This Row],[Duelle]]="","",SaisonF[[#This Row],[Duelle]]+SaisonF[[#This Row],[Gesamtholz]])</f>
        <v>2</v>
      </c>
      <c r="J33" s="131">
        <f>IF(SaisonF[[#This Row],[Duelle]]="","",SUMIF(Eingabe[ID],SaisonF[[#This Row],[ID]],Eingabe[GES]))</f>
        <v>2601</v>
      </c>
      <c r="K33" s="131">
        <f>IF(SaisonF[[#This Row],[Duelle]]="","",SUMIF(Eingabe[ID],SaisonF[[#This Row],[ID]],Eingabe[GEGGES]))</f>
        <v>2605</v>
      </c>
      <c r="L33"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(2605) 6:2 (2601)</v>
      </c>
      <c r="M33" s="131" t="str">
        <f>IF(SaisonF[[#This Row],[Gesamt]]=0,"",IF(SaisonF[[#This Row],[MP]]&gt;4,"S",IF(SaisonF[[#This Row],[MP]]&lt;4,"N","U")))</f>
        <v>N</v>
      </c>
      <c r="O33" s="131">
        <v>8</v>
      </c>
      <c r="P33" s="130" t="s">
        <v>631</v>
      </c>
      <c r="Q33" s="131" t="e">
        <f>VLOOKUP(SaisonD[[#This Row],[ID]],Chronologie[[ID]:[H/A]],6,FALSE)</f>
        <v>#N/A</v>
      </c>
      <c r="R33" s="131" t="e">
        <f>VLOOKUP(SaisonD[[#This Row],[ID]],Chronologie[[ID]:[H/A]],8,FALSE)</f>
        <v>#N/A</v>
      </c>
      <c r="S33" s="131">
        <f>IF(SUMIF(Eingabe[ID],SaisonD[[#This Row],[ID]],Eingabe[MP])="","",SUMIF(Eingabe[ID],SaisonD[[#This Row],[ID]],Eingabe[MP]))</f>
        <v>0</v>
      </c>
      <c r="T33" s="131">
        <f>IF(SaisonD[[#This Row],[Duelle]]="","",IF(SaisonD[[#This Row],[Gesamt]]&gt;SaisonD[[#This Row],[Gegner Gesamt]],2,IF(SaisonD[[#This Row],[Gesamt]]=SaisonD[[#This Row],[Gegner Gesamt]],1,0)))</f>
        <v>1</v>
      </c>
      <c r="U33" s="131">
        <f>IF(SaisonD[[#This Row],[Duelle]]="","",SaisonD[[#This Row],[Duelle]]+SaisonD[[#This Row],[Gesamtholz]])</f>
        <v>1</v>
      </c>
      <c r="V33" s="131">
        <f>IF(SaisonD[[#This Row],[Duelle]]="","",SUMIF(Eingabe[ID],SaisonD[[#This Row],[ID]],Eingabe[GES]))</f>
        <v>0</v>
      </c>
      <c r="W33" s="131">
        <f>IF(SaisonD[[#This Row],[Duelle]]="","",SUMIF(Eingabe[ID],SaisonD[[#This Row],[ID]],Eingabe[GEGGES]))</f>
        <v>0</v>
      </c>
      <c r="X33"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
      </c>
      <c r="Y33" s="131" t="str">
        <f>IF(SaisonD[[#This Row],[Gesamt]]=0,"",IF(SaisonD[[#This Row],[MP]]&gt;4,"S",IF(SaisonD[[#This Row],[MP]]&lt;4,"N","U")))</f>
        <v/>
      </c>
    </row>
    <row r="34" spans="3:25" x14ac:dyDescent="0.3">
      <c r="C34" s="131">
        <v>10</v>
      </c>
      <c r="D34" s="130" t="s">
        <v>717</v>
      </c>
      <c r="E34" s="131" t="str">
        <f>VLOOKUP(SaisonF[[#This Row],[ID]],Chronologie[[ID]:[H/A]],6,FALSE)</f>
        <v>KSV Dresden-Leuben</v>
      </c>
      <c r="F34" s="131" t="str">
        <f>VLOOKUP(SaisonF[[#This Row],[ID]],Chronologie[[ID]:[H/A]],8,FALSE)</f>
        <v>H</v>
      </c>
      <c r="G34" s="131">
        <f>IF(SUMIF(Eingabe[ID],SaisonF[[#This Row],[ID]],Eingabe[MP])="","",SUMIF(Eingabe[ID],SaisonF[[#This Row],[ID]],Eingabe[MP]))</f>
        <v>0</v>
      </c>
      <c r="H34" s="131">
        <f>IF(SaisonF[[#This Row],[Duelle]]="","",IF(SaisonF[[#This Row],[Gesamt]]&gt;SaisonF[[#This Row],[Gegner Gesamt]],2,IF(SaisonF[[#This Row],[Gesamt]]=SaisonF[[#This Row],[Gegner Gesamt]],1,0)))</f>
        <v>1</v>
      </c>
      <c r="I34" s="131">
        <f>IF(SaisonF[[#This Row],[Duelle]]="","",SaisonF[[#This Row],[Duelle]]+SaisonF[[#This Row],[Gesamtholz]])</f>
        <v>1</v>
      </c>
      <c r="J34" s="131">
        <f>IF(SaisonF[[#This Row],[Duelle]]="","",SUMIF(Eingabe[ID],SaisonF[[#This Row],[ID]],Eingabe[GES]))</f>
        <v>0</v>
      </c>
      <c r="K34" s="131">
        <f>IF(SaisonF[[#This Row],[Duelle]]="","",SUMIF(Eingabe[ID],SaisonF[[#This Row],[ID]],Eingabe[GEGGES]))</f>
        <v>0</v>
      </c>
      <c r="L34"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
      </c>
      <c r="M34" s="131" t="str">
        <f>IF(SaisonF[[#This Row],[Gesamt]]=0,"",IF(SaisonF[[#This Row],[MP]]&gt;4,"S",IF(SaisonF[[#This Row],[MP]]&lt;4,"N","U")))</f>
        <v/>
      </c>
      <c r="O34" s="131">
        <v>9</v>
      </c>
      <c r="P34" s="130" t="s">
        <v>632</v>
      </c>
      <c r="Q34" s="131" t="e">
        <f>VLOOKUP(SaisonD[[#This Row],[ID]],Chronologie[[ID]:[H/A]],6,FALSE)</f>
        <v>#N/A</v>
      </c>
      <c r="R34" s="131" t="e">
        <f>VLOOKUP(SaisonD[[#This Row],[ID]],Chronologie[[ID]:[H/A]],8,FALSE)</f>
        <v>#N/A</v>
      </c>
      <c r="S34" s="131">
        <f>IF(SUMIF(Eingabe[ID],SaisonD[[#This Row],[ID]],Eingabe[MP])="","",SUMIF(Eingabe[ID],SaisonD[[#This Row],[ID]],Eingabe[MP]))</f>
        <v>0</v>
      </c>
      <c r="T34" s="131">
        <f>IF(SaisonD[[#This Row],[Duelle]]="","",IF(SaisonD[[#This Row],[Gesamt]]&gt;SaisonD[[#This Row],[Gegner Gesamt]],2,IF(SaisonD[[#This Row],[Gesamt]]=SaisonD[[#This Row],[Gegner Gesamt]],1,0)))</f>
        <v>1</v>
      </c>
      <c r="U34" s="131">
        <f>IF(SaisonD[[#This Row],[Duelle]]="","",SaisonD[[#This Row],[Duelle]]+SaisonD[[#This Row],[Gesamtholz]])</f>
        <v>1</v>
      </c>
      <c r="V34" s="131">
        <f>IF(SaisonD[[#This Row],[Duelle]]="","",SUMIF(Eingabe[ID],SaisonD[[#This Row],[ID]],Eingabe[GES]))</f>
        <v>0</v>
      </c>
      <c r="W34" s="131">
        <f>IF(SaisonD[[#This Row],[Duelle]]="","",SUMIF(Eingabe[ID],SaisonD[[#This Row],[ID]],Eingabe[GEGGES]))</f>
        <v>0</v>
      </c>
      <c r="X34"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
      </c>
      <c r="Y34" s="131" t="str">
        <f>IF(SaisonD[[#This Row],[Gesamt]]=0,"",IF(SaisonD[[#This Row],[MP]]&gt;4,"S",IF(SaisonD[[#This Row],[MP]]&lt;4,"N","U")))</f>
        <v/>
      </c>
    </row>
    <row r="35" spans="3:25" x14ac:dyDescent="0.3">
      <c r="C35" s="131">
        <v>11</v>
      </c>
      <c r="D35" s="130" t="s">
        <v>718</v>
      </c>
      <c r="E35" s="131" t="str">
        <f>VLOOKUP(SaisonF[[#This Row],[ID]],Chronologie[[ID]:[H/A]],6,FALSE)</f>
        <v>KSV 66 Steinitz</v>
      </c>
      <c r="F35" s="131" t="str">
        <f>VLOOKUP(SaisonF[[#This Row],[ID]],Chronologie[[ID]:[H/A]],8,FALSE)</f>
        <v>A</v>
      </c>
      <c r="G35" s="131">
        <f>IF(SUMIF(Eingabe[ID],SaisonF[[#This Row],[ID]],Eingabe[MP])="","",SUMIF(Eingabe[ID],SaisonF[[#This Row],[ID]],Eingabe[MP]))</f>
        <v>0</v>
      </c>
      <c r="H35" s="131">
        <f>IF(SaisonF[[#This Row],[Duelle]]="","",IF(SaisonF[[#This Row],[Gesamt]]&gt;SaisonF[[#This Row],[Gegner Gesamt]],2,IF(SaisonF[[#This Row],[Gesamt]]=SaisonF[[#This Row],[Gegner Gesamt]],1,0)))</f>
        <v>1</v>
      </c>
      <c r="I35" s="131">
        <f>IF(SaisonF[[#This Row],[Duelle]]="","",SaisonF[[#This Row],[Duelle]]+SaisonF[[#This Row],[Gesamtholz]])</f>
        <v>1</v>
      </c>
      <c r="J35" s="131">
        <f>IF(SaisonF[[#This Row],[Duelle]]="","",SUMIF(Eingabe[ID],SaisonF[[#This Row],[ID]],Eingabe[GES]))</f>
        <v>0</v>
      </c>
      <c r="K35" s="131">
        <f>IF(SaisonF[[#This Row],[Duelle]]="","",SUMIF(Eingabe[ID],SaisonF[[#This Row],[ID]],Eingabe[GEGGES]))</f>
        <v>0</v>
      </c>
      <c r="L35"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
      </c>
      <c r="M35" s="131" t="str">
        <f>IF(SaisonF[[#This Row],[Gesamt]]=0,"",IF(SaisonF[[#This Row],[MP]]&gt;4,"S",IF(SaisonF[[#This Row],[MP]]&lt;4,"N","U")))</f>
        <v/>
      </c>
      <c r="O35" s="131">
        <v>10</v>
      </c>
      <c r="P35" s="130" t="s">
        <v>633</v>
      </c>
      <c r="Q35" s="131" t="e">
        <f>VLOOKUP(SaisonD[[#This Row],[ID]],Chronologie[[ID]:[H/A]],6,FALSE)</f>
        <v>#N/A</v>
      </c>
      <c r="R35" s="131" t="e">
        <f>VLOOKUP(SaisonD[[#This Row],[ID]],Chronologie[[ID]:[H/A]],8,FALSE)</f>
        <v>#N/A</v>
      </c>
      <c r="S35" s="131">
        <f>IF(SUMIF(Eingabe[ID],SaisonD[[#This Row],[ID]],Eingabe[MP])="","",SUMIF(Eingabe[ID],SaisonD[[#This Row],[ID]],Eingabe[MP]))</f>
        <v>0</v>
      </c>
      <c r="T35" s="131">
        <f>IF(SaisonD[[#This Row],[Duelle]]="","",IF(SaisonD[[#This Row],[Gesamt]]&gt;SaisonD[[#This Row],[Gegner Gesamt]],2,IF(SaisonD[[#This Row],[Gesamt]]=SaisonD[[#This Row],[Gegner Gesamt]],1,0)))</f>
        <v>1</v>
      </c>
      <c r="U35" s="131">
        <f>IF(SaisonD[[#This Row],[Duelle]]="","",SaisonD[[#This Row],[Duelle]]+SaisonD[[#This Row],[Gesamtholz]])</f>
        <v>1</v>
      </c>
      <c r="V35" s="131">
        <f>IF(SaisonD[[#This Row],[Duelle]]="","",SUMIF(Eingabe[ID],SaisonD[[#This Row],[ID]],Eingabe[GES]))</f>
        <v>0</v>
      </c>
      <c r="W35" s="131">
        <f>IF(SaisonD[[#This Row],[Duelle]]="","",SUMIF(Eingabe[ID],SaisonD[[#This Row],[ID]],Eingabe[GEGGES]))</f>
        <v>0</v>
      </c>
      <c r="X35"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
      </c>
      <c r="Y35" s="131" t="str">
        <f>IF(SaisonD[[#This Row],[Gesamt]]=0,"",IF(SaisonD[[#This Row],[MP]]&gt;4,"S",IF(SaisonD[[#This Row],[MP]]&lt;4,"N","U")))</f>
        <v/>
      </c>
    </row>
    <row r="36" spans="3:25" x14ac:dyDescent="0.3">
      <c r="C36" s="131">
        <v>12</v>
      </c>
      <c r="D36" s="130" t="s">
        <v>719</v>
      </c>
      <c r="E36" s="131" t="str">
        <f>VLOOKUP(SaisonF[[#This Row],[ID]],Chronologie[[ID]:[H/A]],6,FALSE)</f>
        <v>KSC Stahl Rietschen</v>
      </c>
      <c r="F36" s="131" t="str">
        <f>VLOOKUP(SaisonF[[#This Row],[ID]],Chronologie[[ID]:[H/A]],8,FALSE)</f>
        <v>H</v>
      </c>
      <c r="G36" s="131">
        <f>IF(SUMIF(Eingabe[ID],SaisonF[[#This Row],[ID]],Eingabe[MP])="","",SUMIF(Eingabe[ID],SaisonF[[#This Row],[ID]],Eingabe[MP]))</f>
        <v>0</v>
      </c>
      <c r="H36" s="131">
        <f>IF(SaisonF[[#This Row],[Duelle]]="","",IF(SaisonF[[#This Row],[Gesamt]]&gt;SaisonF[[#This Row],[Gegner Gesamt]],2,IF(SaisonF[[#This Row],[Gesamt]]=SaisonF[[#This Row],[Gegner Gesamt]],1,0)))</f>
        <v>1</v>
      </c>
      <c r="I36" s="131">
        <f>IF(SaisonF[[#This Row],[Duelle]]="","",SaisonF[[#This Row],[Duelle]]+SaisonF[[#This Row],[Gesamtholz]])</f>
        <v>1</v>
      </c>
      <c r="J36" s="131">
        <f>IF(SaisonF[[#This Row],[Duelle]]="","",SUMIF(Eingabe[ID],SaisonF[[#This Row],[ID]],Eingabe[GES]))</f>
        <v>0</v>
      </c>
      <c r="K36" s="131">
        <f>IF(SaisonF[[#This Row],[Duelle]]="","",SUMIF(Eingabe[ID],SaisonF[[#This Row],[ID]],Eingabe[GEGGES]))</f>
        <v>0</v>
      </c>
      <c r="L36"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
      </c>
      <c r="M36" s="131" t="str">
        <f>IF(SaisonF[[#This Row],[Gesamt]]=0,"",IF(SaisonF[[#This Row],[MP]]&gt;4,"S",IF(SaisonF[[#This Row],[MP]]&lt;4,"N","U")))</f>
        <v/>
      </c>
      <c r="O36" s="131">
        <v>11</v>
      </c>
      <c r="P36" s="130" t="s">
        <v>634</v>
      </c>
      <c r="Q36" s="131" t="e">
        <f>VLOOKUP(SaisonD[[#This Row],[ID]],Chronologie[[ID]:[H/A]],6,FALSE)</f>
        <v>#N/A</v>
      </c>
      <c r="R36" s="131" t="e">
        <f>VLOOKUP(SaisonD[[#This Row],[ID]],Chronologie[[ID]:[H/A]],8,FALSE)</f>
        <v>#N/A</v>
      </c>
      <c r="S36" s="131">
        <f>IF(SUMIF(Eingabe[ID],SaisonD[[#This Row],[ID]],Eingabe[MP])="","",SUMIF(Eingabe[ID],SaisonD[[#This Row],[ID]],Eingabe[MP]))</f>
        <v>0</v>
      </c>
      <c r="T36" s="131">
        <f>IF(SaisonD[[#This Row],[Duelle]]="","",IF(SaisonD[[#This Row],[Gesamt]]&gt;SaisonD[[#This Row],[Gegner Gesamt]],2,IF(SaisonD[[#This Row],[Gesamt]]=SaisonD[[#This Row],[Gegner Gesamt]],1,0)))</f>
        <v>1</v>
      </c>
      <c r="U36" s="131">
        <f>IF(SaisonD[[#This Row],[Duelle]]="","",SaisonD[[#This Row],[Duelle]]+SaisonD[[#This Row],[Gesamtholz]])</f>
        <v>1</v>
      </c>
      <c r="V36" s="131">
        <f>IF(SaisonD[[#This Row],[Duelle]]="","",SUMIF(Eingabe[ID],SaisonD[[#This Row],[ID]],Eingabe[GES]))</f>
        <v>0</v>
      </c>
      <c r="W36" s="131">
        <f>IF(SaisonD[[#This Row],[Duelle]]="","",SUMIF(Eingabe[ID],SaisonD[[#This Row],[ID]],Eingabe[GEGGES]))</f>
        <v>0</v>
      </c>
      <c r="X36"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
      </c>
      <c r="Y36" s="131" t="str">
        <f>IF(SaisonD[[#This Row],[Gesamt]]=0,"",IF(SaisonD[[#This Row],[MP]]&gt;4,"S",IF(SaisonD[[#This Row],[MP]]&lt;4,"N","U")))</f>
        <v/>
      </c>
    </row>
    <row r="37" spans="3:25" x14ac:dyDescent="0.3">
      <c r="C37" s="131">
        <v>13</v>
      </c>
      <c r="D37" s="130" t="s">
        <v>720</v>
      </c>
      <c r="E37" s="131" t="str">
        <f>VLOOKUP(SaisonF[[#This Row],[ID]],Chronologie[[ID]:[H/A]],6,FALSE)</f>
        <v>ISG Hagenwerder</v>
      </c>
      <c r="F37" s="131" t="str">
        <f>VLOOKUP(SaisonF[[#This Row],[ID]],Chronologie[[ID]:[H/A]],8,FALSE)</f>
        <v>H</v>
      </c>
      <c r="G37" s="131">
        <f>IF(SUMIF(Eingabe[ID],SaisonF[[#This Row],[ID]],Eingabe[MP])="","",SUMIF(Eingabe[ID],SaisonF[[#This Row],[ID]],Eingabe[MP]))</f>
        <v>0</v>
      </c>
      <c r="H37" s="131">
        <f>IF(SaisonF[[#This Row],[Duelle]]="","",IF(SaisonF[[#This Row],[Gesamt]]&gt;SaisonF[[#This Row],[Gegner Gesamt]],2,IF(SaisonF[[#This Row],[Gesamt]]=SaisonF[[#This Row],[Gegner Gesamt]],1,0)))</f>
        <v>1</v>
      </c>
      <c r="I37" s="131">
        <f>IF(SaisonF[[#This Row],[Duelle]]="","",SaisonF[[#This Row],[Duelle]]+SaisonF[[#This Row],[Gesamtholz]])</f>
        <v>1</v>
      </c>
      <c r="J37" s="131">
        <f>IF(SaisonF[[#This Row],[Duelle]]="","",SUMIF(Eingabe[ID],SaisonF[[#This Row],[ID]],Eingabe[GES]))</f>
        <v>0</v>
      </c>
      <c r="K37" s="131">
        <f>IF(SaisonF[[#This Row],[Duelle]]="","",SUMIF(Eingabe[ID],SaisonF[[#This Row],[ID]],Eingabe[GEGGES]))</f>
        <v>0</v>
      </c>
      <c r="L37"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
      </c>
      <c r="M37" s="131" t="str">
        <f>IF(SaisonF[[#This Row],[Gesamt]]=0,"",IF(SaisonF[[#This Row],[MP]]&gt;4,"S",IF(SaisonF[[#This Row],[MP]]&lt;4,"N","U")))</f>
        <v/>
      </c>
      <c r="O37" s="131">
        <v>12</v>
      </c>
      <c r="P37" s="130" t="s">
        <v>635</v>
      </c>
      <c r="Q37" s="131" t="e">
        <f>VLOOKUP(SaisonD[[#This Row],[ID]],Chronologie[[ID]:[H/A]],6,FALSE)</f>
        <v>#N/A</v>
      </c>
      <c r="R37" s="131" t="e">
        <f>VLOOKUP(SaisonD[[#This Row],[ID]],Chronologie[[ID]:[H/A]],8,FALSE)</f>
        <v>#N/A</v>
      </c>
      <c r="S37" s="131">
        <f>IF(SUMIF(Eingabe[ID],SaisonD[[#This Row],[ID]],Eingabe[MP])="","",SUMIF(Eingabe[ID],SaisonD[[#This Row],[ID]],Eingabe[MP]))</f>
        <v>0</v>
      </c>
      <c r="T37" s="131">
        <f>IF(SaisonD[[#This Row],[Duelle]]="","",IF(SaisonD[[#This Row],[Gesamt]]&gt;SaisonD[[#This Row],[Gegner Gesamt]],2,IF(SaisonD[[#This Row],[Gesamt]]=SaisonD[[#This Row],[Gegner Gesamt]],1,0)))</f>
        <v>1</v>
      </c>
      <c r="U37" s="131">
        <f>IF(SaisonD[[#This Row],[Duelle]]="","",SaisonD[[#This Row],[Duelle]]+SaisonD[[#This Row],[Gesamtholz]])</f>
        <v>1</v>
      </c>
      <c r="V37" s="131">
        <f>IF(SaisonD[[#This Row],[Duelle]]="","",SUMIF(Eingabe[ID],SaisonD[[#This Row],[ID]],Eingabe[GES]))</f>
        <v>0</v>
      </c>
      <c r="W37" s="131">
        <f>IF(SaisonD[[#This Row],[Duelle]]="","",SUMIF(Eingabe[ID],SaisonD[[#This Row],[ID]],Eingabe[GEGGES]))</f>
        <v>0</v>
      </c>
      <c r="X37"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
      </c>
      <c r="Y37" s="131" t="str">
        <f>IF(SaisonD[[#This Row],[Gesamt]]=0,"",IF(SaisonD[[#This Row],[MP]]&gt;4,"S",IF(SaisonD[[#This Row],[MP]]&lt;4,"N","U")))</f>
        <v/>
      </c>
    </row>
    <row r="38" spans="3:25" x14ac:dyDescent="0.3">
      <c r="C38" s="131">
        <v>14</v>
      </c>
      <c r="D38" s="130" t="s">
        <v>721</v>
      </c>
      <c r="E38" s="131">
        <f>VLOOKUP(SaisonF[[#This Row],[ID]],Chronologie[[ID]:[H/A]],6,FALSE)</f>
        <v>0</v>
      </c>
      <c r="F38" s="131">
        <f>VLOOKUP(SaisonF[[#This Row],[ID]],Chronologie[[ID]:[H/A]],8,FALSE)</f>
        <v>0</v>
      </c>
      <c r="G38" s="131">
        <f>IF(SUMIF(Eingabe[ID],SaisonF[[#This Row],[ID]],Eingabe[MP])="","",SUMIF(Eingabe[ID],SaisonF[[#This Row],[ID]],Eingabe[MP]))</f>
        <v>0</v>
      </c>
      <c r="H38" s="131">
        <f>IF(SaisonF[[#This Row],[Duelle]]="","",IF(SaisonF[[#This Row],[Gesamt]]&gt;SaisonF[[#This Row],[Gegner Gesamt]],2,IF(SaisonF[[#This Row],[Gesamt]]=SaisonF[[#This Row],[Gegner Gesamt]],1,0)))</f>
        <v>1</v>
      </c>
      <c r="I38" s="131">
        <f>IF(SaisonF[[#This Row],[Duelle]]="","",SaisonF[[#This Row],[Duelle]]+SaisonF[[#This Row],[Gesamtholz]])</f>
        <v>1</v>
      </c>
      <c r="J38" s="131">
        <f>IF(SaisonF[[#This Row],[Duelle]]="","",SUMIF(Eingabe[ID],SaisonF[[#This Row],[ID]],Eingabe[GES]))</f>
        <v>0</v>
      </c>
      <c r="K38" s="131">
        <f>IF(SaisonF[[#This Row],[Duelle]]="","",SUMIF(Eingabe[ID],SaisonF[[#This Row],[ID]],Eingabe[GEGGES]))</f>
        <v>0</v>
      </c>
      <c r="L38"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
      </c>
      <c r="M38" s="131" t="str">
        <f>IF(SaisonF[[#This Row],[Gesamt]]=0,"",IF(SaisonF[[#This Row],[MP]]&gt;4,"S",IF(SaisonF[[#This Row],[MP]]&lt;4,"N","U")))</f>
        <v/>
      </c>
      <c r="O38" s="131">
        <v>13</v>
      </c>
      <c r="P38" s="130" t="s">
        <v>636</v>
      </c>
      <c r="Q38" s="131" t="e">
        <f>VLOOKUP(SaisonD[[#This Row],[ID]],Chronologie[[ID]:[H/A]],6,FALSE)</f>
        <v>#N/A</v>
      </c>
      <c r="R38" s="131" t="e">
        <f>VLOOKUP(SaisonD[[#This Row],[ID]],Chronologie[[ID]:[H/A]],8,FALSE)</f>
        <v>#N/A</v>
      </c>
      <c r="S38" s="131">
        <f>IF(SUMIF(Eingabe[ID],SaisonD[[#This Row],[ID]],Eingabe[MP])="","",SUMIF(Eingabe[ID],SaisonD[[#This Row],[ID]],Eingabe[MP]))</f>
        <v>0</v>
      </c>
      <c r="T38" s="131">
        <f>IF(SaisonD[[#This Row],[Duelle]]="","",IF(SaisonD[[#This Row],[Gesamt]]&gt;SaisonD[[#This Row],[Gegner Gesamt]],2,IF(SaisonD[[#This Row],[Gesamt]]=SaisonD[[#This Row],[Gegner Gesamt]],1,0)))</f>
        <v>1</v>
      </c>
      <c r="U38" s="131">
        <f>IF(SaisonD[[#This Row],[Duelle]]="","",SaisonD[[#This Row],[Duelle]]+SaisonD[[#This Row],[Gesamtholz]])</f>
        <v>1</v>
      </c>
      <c r="V38" s="131">
        <f>IF(SaisonD[[#This Row],[Duelle]]="","",SUMIF(Eingabe[ID],SaisonD[[#This Row],[ID]],Eingabe[GES]))</f>
        <v>0</v>
      </c>
      <c r="W38" s="131">
        <f>IF(SaisonD[[#This Row],[Duelle]]="","",SUMIF(Eingabe[ID],SaisonD[[#This Row],[ID]],Eingabe[GEGGES]))</f>
        <v>0</v>
      </c>
      <c r="X38"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
      </c>
      <c r="Y38" s="131" t="str">
        <f>IF(SaisonD[[#This Row],[Gesamt]]=0,"",IF(SaisonD[[#This Row],[MP]]&gt;4,"S",IF(SaisonD[[#This Row],[MP]]&lt;4,"N","U")))</f>
        <v/>
      </c>
    </row>
    <row r="39" spans="3:25" x14ac:dyDescent="0.3">
      <c r="O39" s="131">
        <v>14</v>
      </c>
      <c r="P39" s="130" t="s">
        <v>637</v>
      </c>
      <c r="Q39" s="131" t="e">
        <f>VLOOKUP(SaisonD[[#This Row],[ID]],Chronologie[[ID]:[H/A]],6,FALSE)</f>
        <v>#N/A</v>
      </c>
      <c r="R39" s="131" t="e">
        <f>VLOOKUP(SaisonD[[#This Row],[ID]],Chronologie[[ID]:[H/A]],8,FALSE)</f>
        <v>#N/A</v>
      </c>
      <c r="S39" s="131">
        <f>IF(SUMIF(Eingabe[ID],SaisonD[[#This Row],[ID]],Eingabe[MP])="","",SUMIF(Eingabe[ID],SaisonD[[#This Row],[ID]],Eingabe[MP]))</f>
        <v>0</v>
      </c>
      <c r="T39" s="131">
        <f>IF(SaisonD[[#This Row],[Duelle]]="","",IF(SaisonD[[#This Row],[Gesamt]]&gt;SaisonD[[#This Row],[Gegner Gesamt]],2,IF(SaisonD[[#This Row],[Gesamt]]=SaisonD[[#This Row],[Gegner Gesamt]],1,0)))</f>
        <v>1</v>
      </c>
      <c r="U39" s="131">
        <f>IF(SaisonD[[#This Row],[Duelle]]="","",SaisonD[[#This Row],[Duelle]]+SaisonD[[#This Row],[Gesamtholz]])</f>
        <v>1</v>
      </c>
      <c r="V39" s="131">
        <f>IF(SaisonD[[#This Row],[Duelle]]="","",SUMIF(Eingabe[ID],SaisonD[[#This Row],[ID]],Eingabe[GES]))</f>
        <v>0</v>
      </c>
      <c r="W39" s="131">
        <f>IF(SaisonD[[#This Row],[Duelle]]="","",SUMIF(Eingabe[ID],SaisonD[[#This Row],[ID]],Eingabe[GEGGES]))</f>
        <v>0</v>
      </c>
      <c r="X39"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
      </c>
      <c r="Y39" s="131" t="str">
        <f>IF(SaisonD[[#This Row],[Gesamt]]=0,"",IF(SaisonD[[#This Row],[MP]]&gt;4,"S",IF(SaisonD[[#This Row],[MP]]&lt;4,"N","U")))</f>
        <v/>
      </c>
    </row>
    <row r="45" spans="3:25" ht="16.2" thickBot="1" x14ac:dyDescent="0.35"/>
    <row r="46" spans="3:25" x14ac:dyDescent="0.3">
      <c r="C46" s="459" t="s">
        <v>795</v>
      </c>
      <c r="D46" s="460"/>
      <c r="E46" s="460"/>
      <c r="F46" s="460"/>
      <c r="G46" s="460"/>
      <c r="H46" s="461"/>
    </row>
    <row r="47" spans="3:25" x14ac:dyDescent="0.3">
      <c r="C47" s="407" t="s">
        <v>27</v>
      </c>
      <c r="D47" s="406" t="s">
        <v>1</v>
      </c>
      <c r="E47" s="406" t="s">
        <v>2</v>
      </c>
      <c r="F47" s="406" t="s">
        <v>37</v>
      </c>
      <c r="G47" s="406" t="s">
        <v>647</v>
      </c>
      <c r="H47" s="408" t="s">
        <v>102</v>
      </c>
    </row>
    <row r="48" spans="3:25" x14ac:dyDescent="0.3">
      <c r="C48" s="400">
        <v>1</v>
      </c>
      <c r="D48" s="130" t="s">
        <v>796</v>
      </c>
      <c r="E48" s="130" t="e">
        <f>VLOOKUP(SaisonU18[[#This Row],[ID]],Chronologie[[ID]:[H/A]],6,FALSE)</f>
        <v>#N/A</v>
      </c>
      <c r="F48" s="130" t="e">
        <f>VLOOKUP(SaisonU18[[#This Row],[ID]],Chronologie[[ID]:[H/A]],8,FALSE)</f>
        <v>#N/A</v>
      </c>
      <c r="G48" s="130" t="str">
        <f>SUMIF(Eingabe[ID],SaisonU18[[#This Row],[ID]],Eingabe[GES])&amp;" ["&amp;SUMIF(Eingabe[ID],SaisonU18[[#This Row],[ID]],Eingabe[GES])-_xlfn.MINIFS(Eingabe[GES],Eingabe[ID],SaisonU18[[#This Row],[ID]])&amp;"]"</f>
        <v>0 [0]</v>
      </c>
      <c r="H48" s="401">
        <v>4</v>
      </c>
    </row>
    <row r="49" spans="3:8" x14ac:dyDescent="0.3">
      <c r="C49" s="402">
        <v>2</v>
      </c>
      <c r="D49" s="130" t="s">
        <v>797</v>
      </c>
      <c r="E49" s="131" t="e">
        <f>VLOOKUP(SaisonU18[[#This Row],[ID]],Chronologie[[ID]:[H/A]],6,FALSE)</f>
        <v>#N/A</v>
      </c>
      <c r="F49" s="131" t="e">
        <f>VLOOKUP(SaisonU18[[#This Row],[ID]],Chronologie[[ID]:[H/A]],8,FALSE)</f>
        <v>#N/A</v>
      </c>
      <c r="G49" s="130" t="str">
        <f>SUMIF(Eingabe[ID],SaisonU18[[#This Row],[ID]],Eingabe[GES])&amp;" ["&amp;SUMIF(Eingabe[ID],SaisonU18[[#This Row],[ID]],Eingabe[GES])-_xlfn.MINIFS(Eingabe[GES],Eingabe[ID],SaisonU18[[#This Row],[ID]])&amp;"]"</f>
        <v>0 [0]</v>
      </c>
      <c r="H49" s="403">
        <v>2</v>
      </c>
    </row>
    <row r="50" spans="3:8" x14ac:dyDescent="0.3">
      <c r="C50" s="402">
        <v>3</v>
      </c>
      <c r="D50" s="130" t="s">
        <v>798</v>
      </c>
      <c r="E50" s="131" t="e">
        <f>VLOOKUP(SaisonU18[[#This Row],[ID]],Chronologie[[ID]:[H/A]],6,FALSE)</f>
        <v>#N/A</v>
      </c>
      <c r="F50" s="131" t="e">
        <f>VLOOKUP(SaisonU18[[#This Row],[ID]],Chronologie[[ID]:[H/A]],8,FALSE)</f>
        <v>#N/A</v>
      </c>
      <c r="G50" s="130" t="str">
        <f>SUMIF(Eingabe[ID],SaisonU18[[#This Row],[ID]],Eingabe[GES])&amp;" ["&amp;SUMIF(Eingabe[ID],SaisonU18[[#This Row],[ID]],Eingabe[GES])-_xlfn.MINIFS(Eingabe[GES],Eingabe[ID],SaisonU18[[#This Row],[ID]])&amp;"]"</f>
        <v>0 [0]</v>
      </c>
      <c r="H50" s="403">
        <v>2</v>
      </c>
    </row>
    <row r="51" spans="3:8" x14ac:dyDescent="0.3">
      <c r="C51" s="402">
        <v>4</v>
      </c>
      <c r="D51" s="130" t="s">
        <v>799</v>
      </c>
      <c r="E51" s="131" t="e">
        <f>VLOOKUP(SaisonU18[[#This Row],[ID]],Chronologie[[ID]:[H/A]],6,FALSE)</f>
        <v>#N/A</v>
      </c>
      <c r="F51" s="131" t="e">
        <f>VLOOKUP(SaisonU18[[#This Row],[ID]],Chronologie[[ID]:[H/A]],8,FALSE)</f>
        <v>#N/A</v>
      </c>
      <c r="G51" s="130" t="str">
        <f>SUMIF(Eingabe[ID],SaisonU18[[#This Row],[ID]],Eingabe[GES])&amp;" ["&amp;SUMIF(Eingabe[ID],SaisonU18[[#This Row],[ID]],Eingabe[GES])-_xlfn.MINIFS(Eingabe[GES],Eingabe[ID],SaisonU18[[#This Row],[ID]])&amp;"]"</f>
        <v>0 [0]</v>
      </c>
      <c r="H51" s="403">
        <v>1</v>
      </c>
    </row>
    <row r="52" spans="3:8" x14ac:dyDescent="0.3">
      <c r="C52" s="402">
        <v>5</v>
      </c>
      <c r="D52" s="130" t="s">
        <v>800</v>
      </c>
      <c r="E52" s="131" t="e">
        <f>VLOOKUP(SaisonU18[[#This Row],[ID]],Chronologie[[ID]:[H/A]],6,FALSE)</f>
        <v>#N/A</v>
      </c>
      <c r="F52" s="131" t="e">
        <f>VLOOKUP(SaisonU18[[#This Row],[ID]],Chronologie[[ID]:[H/A]],8,FALSE)</f>
        <v>#N/A</v>
      </c>
      <c r="G52" s="130" t="str">
        <f>SUMIF(Eingabe[ID],SaisonU18[[#This Row],[ID]],Eingabe[GES])&amp;" ["&amp;SUMIF(Eingabe[ID],SaisonU18[[#This Row],[ID]],Eingabe[GES])-_xlfn.MINIFS(Eingabe[GES],Eingabe[ID],SaisonU18[[#This Row],[ID]])&amp;"]"</f>
        <v>0 [0]</v>
      </c>
      <c r="H52" s="403">
        <v>1</v>
      </c>
    </row>
    <row r="53" spans="3:8" ht="16.2" thickBot="1" x14ac:dyDescent="0.35">
      <c r="C53" s="409">
        <v>6</v>
      </c>
      <c r="D53" s="23" t="s">
        <v>801</v>
      </c>
      <c r="E53" s="410" t="e">
        <f>VLOOKUP(SaisonU18[[#This Row],[ID]],Chronologie[[ID]:[H/A]],6,FALSE)</f>
        <v>#N/A</v>
      </c>
      <c r="F53" s="410" t="e">
        <f>VLOOKUP(SaisonU18[[#This Row],[ID]],Chronologie[[ID]:[H/A]],8,FALSE)</f>
        <v>#N/A</v>
      </c>
      <c r="G53" s="23" t="str">
        <f>SUMIF(Eingabe[ID],SaisonU18[[#This Row],[ID]],Eingabe[GES])&amp;" ["&amp;SUMIF(Eingabe[ID],SaisonU18[[#This Row],[ID]],Eingabe[GES])-_xlfn.MINIFS(Eingabe[GES],Eingabe[ID],SaisonU18[[#This Row],[ID]])&amp;"]"</f>
        <v>0 [0]</v>
      </c>
      <c r="H53" s="411">
        <v>2</v>
      </c>
    </row>
    <row r="58" spans="3:8" ht="16.2" thickBot="1" x14ac:dyDescent="0.35"/>
    <row r="59" spans="3:8" x14ac:dyDescent="0.3">
      <c r="C59" s="459" t="s">
        <v>17</v>
      </c>
      <c r="D59" s="460"/>
      <c r="E59" s="460"/>
      <c r="F59" s="460"/>
      <c r="G59" s="460"/>
      <c r="H59" s="460"/>
    </row>
    <row r="60" spans="3:8" x14ac:dyDescent="0.3">
      <c r="C60" s="406" t="s">
        <v>27</v>
      </c>
      <c r="D60" s="406" t="s">
        <v>1</v>
      </c>
      <c r="E60" s="406" t="s">
        <v>2</v>
      </c>
      <c r="F60" s="406" t="s">
        <v>37</v>
      </c>
      <c r="G60" s="406" t="s">
        <v>647</v>
      </c>
      <c r="H60" s="406" t="s">
        <v>102</v>
      </c>
    </row>
    <row r="61" spans="3:8" x14ac:dyDescent="0.3">
      <c r="C61" s="400">
        <v>1</v>
      </c>
      <c r="D61" s="130" t="s">
        <v>648</v>
      </c>
      <c r="E61" s="130" t="e">
        <f>VLOOKUP(SaisonU14[[#This Row],[ID]],Chronologie[[ID]:[H/A]],6,FALSE)</f>
        <v>#N/A</v>
      </c>
      <c r="F61" s="130" t="e">
        <f>VLOOKUP(SaisonU14[[#This Row],[ID]],Chronologie[[ID]:[H/A]],8,FALSE)</f>
        <v>#N/A</v>
      </c>
      <c r="G61" s="130" t="str">
        <f>SUMIF(Eingabe[ID],SaisonU14[[#This Row],[ID]],Eingabe[GES])&amp;" ["&amp;SUMIF(Eingabe[ID],SaisonU14[[#This Row],[ID]],Eingabe[GES])-_xlfn.MINIFS(Eingabe[GES],Eingabe[ID],SaisonU14[[#This Row],[ID]])&amp;"]"</f>
        <v>0 [0]</v>
      </c>
      <c r="H61" s="401">
        <v>4</v>
      </c>
    </row>
    <row r="62" spans="3:8" x14ac:dyDescent="0.3">
      <c r="C62" s="402">
        <v>2</v>
      </c>
      <c r="D62" s="130" t="s">
        <v>649</v>
      </c>
      <c r="E62" s="131" t="e">
        <f>VLOOKUP(SaisonU14[[#This Row],[ID]],Chronologie[[ID]:[H/A]],6,FALSE)</f>
        <v>#N/A</v>
      </c>
      <c r="F62" s="131" t="e">
        <f>VLOOKUP(SaisonU14[[#This Row],[ID]],Chronologie[[ID]:[H/A]],8,FALSE)</f>
        <v>#N/A</v>
      </c>
      <c r="G62" s="130" t="str">
        <f>SUMIF(Eingabe[ID],SaisonU14[[#This Row],[ID]],Eingabe[GES])&amp;" ["&amp;SUMIF(Eingabe[ID],SaisonU14[[#This Row],[ID]],Eingabe[GES])-_xlfn.MINIFS(Eingabe[GES],Eingabe[ID],SaisonU14[[#This Row],[ID]])&amp;"]"</f>
        <v>0 [0]</v>
      </c>
      <c r="H62" s="403">
        <v>3</v>
      </c>
    </row>
    <row r="63" spans="3:8" x14ac:dyDescent="0.3">
      <c r="C63" s="402">
        <v>3</v>
      </c>
      <c r="D63" s="130" t="s">
        <v>650</v>
      </c>
      <c r="E63" s="131" t="e">
        <f>VLOOKUP(SaisonU14[[#This Row],[ID]],Chronologie[[ID]:[H/A]],6,FALSE)</f>
        <v>#N/A</v>
      </c>
      <c r="F63" s="131" t="e">
        <f>VLOOKUP(SaisonU14[[#This Row],[ID]],Chronologie[[ID]:[H/A]],8,FALSE)</f>
        <v>#N/A</v>
      </c>
      <c r="G63" s="130" t="str">
        <f>SUMIF(Eingabe[ID],SaisonU14[[#This Row],[ID]],Eingabe[GES])&amp;" ["&amp;SUMIF(Eingabe[ID],SaisonU14[[#This Row],[ID]],Eingabe[GES])-_xlfn.MINIFS(Eingabe[GES],Eingabe[ID],SaisonU14[[#This Row],[ID]])&amp;"]"</f>
        <v>0 [0]</v>
      </c>
      <c r="H63" s="403">
        <v>4</v>
      </c>
    </row>
    <row r="64" spans="3:8" x14ac:dyDescent="0.3">
      <c r="C64" s="402">
        <v>4</v>
      </c>
      <c r="D64" s="130" t="s">
        <v>651</v>
      </c>
      <c r="E64" s="131" t="e">
        <f>VLOOKUP(SaisonU14[[#This Row],[ID]],Chronologie[[ID]:[H/A]],6,FALSE)</f>
        <v>#N/A</v>
      </c>
      <c r="F64" s="131" t="e">
        <f>VLOOKUP(SaisonU14[[#This Row],[ID]],Chronologie[[ID]:[H/A]],8,FALSE)</f>
        <v>#N/A</v>
      </c>
      <c r="G64" s="130" t="str">
        <f>SUMIF(Eingabe[ID],SaisonU14[[#This Row],[ID]],Eingabe[GES])&amp;" ["&amp;SUMIF(Eingabe[ID],SaisonU14[[#This Row],[ID]],Eingabe[GES])-_xlfn.MINIFS(Eingabe[GES],Eingabe[ID],SaisonU14[[#This Row],[ID]])&amp;"]"</f>
        <v>0 [0]</v>
      </c>
      <c r="H64" s="403">
        <v>4</v>
      </c>
    </row>
    <row r="65" spans="3:8" x14ac:dyDescent="0.3">
      <c r="C65" s="402">
        <v>5</v>
      </c>
      <c r="D65" s="130" t="s">
        <v>652</v>
      </c>
      <c r="E65" s="131" t="e">
        <f>VLOOKUP(SaisonU14[[#This Row],[ID]],Chronologie[[ID]:[H/A]],6,FALSE)</f>
        <v>#N/A</v>
      </c>
      <c r="F65" s="131" t="e">
        <f>VLOOKUP(SaisonU14[[#This Row],[ID]],Chronologie[[ID]:[H/A]],8,FALSE)</f>
        <v>#N/A</v>
      </c>
      <c r="G65" s="130" t="str">
        <f>SUMIF(Eingabe[ID],SaisonU14[[#This Row],[ID]],Eingabe[GES])&amp;" ["&amp;SUMIF(Eingabe[ID],SaisonU14[[#This Row],[ID]],Eingabe[GES])-_xlfn.MINIFS(Eingabe[GES],Eingabe[ID],SaisonU14[[#This Row],[ID]])&amp;"]"</f>
        <v>0 [0]</v>
      </c>
      <c r="H65" s="403">
        <v>3</v>
      </c>
    </row>
    <row r="66" spans="3:8" x14ac:dyDescent="0.3">
      <c r="C66" s="404">
        <v>6</v>
      </c>
      <c r="D66" s="130" t="s">
        <v>653</v>
      </c>
      <c r="E66" s="19" t="e">
        <f>VLOOKUP(SaisonU14[[#This Row],[ID]],Chronologie[[ID]:[H/A]],6,FALSE)</f>
        <v>#N/A</v>
      </c>
      <c r="F66" s="19" t="e">
        <f>VLOOKUP(SaisonU14[[#This Row],[ID]],Chronologie[[ID]:[H/A]],8,FALSE)</f>
        <v>#N/A</v>
      </c>
      <c r="G66" s="130" t="str">
        <f>SUMIF(Eingabe[ID],SaisonU14[[#This Row],[ID]],Eingabe[GES])&amp;" ["&amp;SUMIF(Eingabe[ID],SaisonU14[[#This Row],[ID]],Eingabe[GES])-_xlfn.MINIFS(Eingabe[GES],Eingabe[ID],SaisonU14[[#This Row],[ID]])&amp;"]"</f>
        <v>0 [0]</v>
      </c>
      <c r="H66" s="405">
        <v>4</v>
      </c>
    </row>
  </sheetData>
  <mergeCells count="7">
    <mergeCell ref="AA2:AD2"/>
    <mergeCell ref="C46:H46"/>
    <mergeCell ref="C59:H59"/>
    <mergeCell ref="C23:M23"/>
    <mergeCell ref="O24:Y24"/>
    <mergeCell ref="C2:M2"/>
    <mergeCell ref="O2:Y2"/>
  </mergeCells>
  <phoneticPr fontId="1" type="noConversion"/>
  <conditionalFormatting sqref="C48:H53">
    <cfRule type="expression" dxfId="153" priority="2956">
      <formula>$H48="S"</formula>
    </cfRule>
    <cfRule type="expression" dxfId="152" priority="2957">
      <formula>$H48="U"</formula>
    </cfRule>
    <cfRule type="expression" dxfId="151" priority="2958">
      <formula>$H48="N"</formula>
    </cfRule>
  </conditionalFormatting>
  <conditionalFormatting sqref="C61:H66">
    <cfRule type="expression" dxfId="150" priority="1">
      <formula>$H61="S"</formula>
    </cfRule>
    <cfRule type="expression" dxfId="149" priority="2">
      <formula>$H61="U"</formula>
    </cfRule>
    <cfRule type="expression" dxfId="148" priority="3">
      <formula>$H61="N"</formula>
    </cfRule>
  </conditionalFormatting>
  <conditionalFormatting sqref="C4:M21 C25:M38">
    <cfRule type="expression" dxfId="147" priority="25">
      <formula>$M4="S"</formula>
    </cfRule>
    <cfRule type="expression" dxfId="146" priority="26">
      <formula>$M4="U"</formula>
    </cfRule>
    <cfRule type="expression" dxfId="145" priority="27">
      <formula>$M4="N"</formula>
    </cfRule>
  </conditionalFormatting>
  <conditionalFormatting sqref="O4:O17 Q4:Y17">
    <cfRule type="expression" dxfId="144" priority="19">
      <formula>$Y4="S"</formula>
    </cfRule>
    <cfRule type="expression" dxfId="143" priority="20">
      <formula>$Y4="U"</formula>
    </cfRule>
    <cfRule type="expression" dxfId="142" priority="21">
      <formula>$Y4="N"</formula>
    </cfRule>
  </conditionalFormatting>
  <conditionalFormatting sqref="O26:Y39">
    <cfRule type="expression" dxfId="141" priority="13">
      <formula>$Y26="S"</formula>
    </cfRule>
    <cfRule type="expression" dxfId="140" priority="14">
      <formula>$Y26="U"</formula>
    </cfRule>
    <cfRule type="expression" dxfId="139" priority="15">
      <formula>$Y26="N"</formula>
    </cfRule>
  </conditionalFormatting>
  <conditionalFormatting sqref="P4:P17">
    <cfRule type="expression" dxfId="138" priority="10">
      <formula>$M4="S"</formula>
    </cfRule>
    <cfRule type="expression" dxfId="137" priority="11">
      <formula>$M4="U"</formula>
    </cfRule>
    <cfRule type="expression" dxfId="136" priority="12">
      <formula>$M4="N"</formula>
    </cfRule>
  </conditionalFormatting>
  <pageMargins left="0.7" right="0.7" top="0.78740157499999996" bottom="0.78740157499999996" header="0.3" footer="0.3"/>
  <tableParts count="6">
    <tablePart r:id="rId1"/>
    <tablePart r:id="rId2"/>
    <tablePart r:id="rId3"/>
    <tablePart r:id="rId4"/>
    <tablePart r:id="rId5"/>
    <tablePart r:id="rId6"/>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AE26F-305F-416D-889B-0031873F72BE}">
  <dimension ref="A1:Y155"/>
  <sheetViews>
    <sheetView topLeftCell="A137" workbookViewId="0">
      <selection activeCell="F158" sqref="F158"/>
    </sheetView>
  </sheetViews>
  <sheetFormatPr baseColWidth="10" defaultRowHeight="15.6" x14ac:dyDescent="0.3"/>
  <cols>
    <col min="1" max="1" width="10.33203125" style="98" bestFit="1" customWidth="1"/>
    <col min="2" max="2" width="20.44140625" style="98" bestFit="1" customWidth="1"/>
    <col min="3" max="3" width="9.5546875" style="98" bestFit="1" customWidth="1"/>
    <col min="4" max="9" width="5.77734375" style="98" bestFit="1" customWidth="1"/>
    <col min="10" max="15" width="7.6640625" style="98" bestFit="1" customWidth="1"/>
    <col min="16" max="21" width="8.21875" style="98" bestFit="1" customWidth="1"/>
    <col min="22" max="22" width="11.21875" style="98" bestFit="1" customWidth="1"/>
    <col min="23" max="23" width="7.44140625" style="98" bestFit="1" customWidth="1"/>
    <col min="24" max="24" width="11.21875" style="98" bestFit="1" customWidth="1"/>
    <col min="25" max="25" width="8.33203125" style="98" bestFit="1" customWidth="1"/>
    <col min="26" max="16384" width="11.5546875" style="98"/>
  </cols>
  <sheetData>
    <row r="1" spans="1:25" x14ac:dyDescent="0.3">
      <c r="A1" s="168" t="s">
        <v>26</v>
      </c>
      <c r="B1" s="164" t="s">
        <v>13</v>
      </c>
      <c r="C1" s="164" t="s">
        <v>100</v>
      </c>
      <c r="D1" s="164" t="s">
        <v>200</v>
      </c>
      <c r="E1" s="164" t="s">
        <v>254</v>
      </c>
      <c r="F1" s="164" t="s">
        <v>255</v>
      </c>
      <c r="G1" s="164" t="s">
        <v>256</v>
      </c>
      <c r="H1" s="164" t="s">
        <v>257</v>
      </c>
      <c r="I1" s="164" t="s">
        <v>258</v>
      </c>
      <c r="J1" s="164" t="s">
        <v>265</v>
      </c>
      <c r="K1" s="164" t="s">
        <v>266</v>
      </c>
      <c r="L1" s="164" t="s">
        <v>267</v>
      </c>
      <c r="M1" s="164" t="s">
        <v>268</v>
      </c>
      <c r="N1" s="164" t="s">
        <v>269</v>
      </c>
      <c r="O1" s="164" t="s">
        <v>270</v>
      </c>
      <c r="P1" s="164" t="s">
        <v>272</v>
      </c>
      <c r="Q1" s="164" t="s">
        <v>273</v>
      </c>
      <c r="R1" s="164" t="s">
        <v>274</v>
      </c>
      <c r="S1" s="164" t="s">
        <v>275</v>
      </c>
      <c r="T1" s="164" t="s">
        <v>276</v>
      </c>
      <c r="U1" s="164" t="s">
        <v>277</v>
      </c>
      <c r="V1" s="164" t="s">
        <v>103</v>
      </c>
      <c r="W1" s="164" t="s">
        <v>271</v>
      </c>
      <c r="X1" s="164" t="s">
        <v>67</v>
      </c>
      <c r="Y1" s="164" t="s">
        <v>278</v>
      </c>
    </row>
    <row r="2" spans="1:25" x14ac:dyDescent="0.3">
      <c r="B2" s="164" t="str">
        <f>VLOOKUP(ROW(PositionG[[#This Row],[Name]])-1,Teamzuordnung[],2,FALSE)</f>
        <v>Anastasia Landau</v>
      </c>
      <c r="C2" s="164" t="str">
        <f>VLOOKUP(PositionG[[#This Row],[Name]],AuswertungG[],4,FALSE)</f>
        <v/>
      </c>
      <c r="D2" s="164" t="str">
        <f>IF(PositionG[[#This Row],[Spiele]]="","",COUNTIFS(Eingabe[Name],PositionG[[#This Row],[Name]],Eingabe[Position],1))</f>
        <v/>
      </c>
      <c r="E2" s="164" t="str">
        <f>IF(PositionG[[#This Row],[Spiele]]="","",COUNTIFS(Eingabe[Name],PositionG[[#This Row],[Name]],Eingabe[Position],2))</f>
        <v/>
      </c>
      <c r="F2" s="164" t="str">
        <f>IF(PositionG[[#This Row],[Spiele]]="","",COUNTIFS(Eingabe[Name],PositionG[[#This Row],[Name]],Eingabe[Position],3))</f>
        <v/>
      </c>
      <c r="G2" s="164" t="str">
        <f>IF(PositionG[[#This Row],[Spiele]]="","",COUNTIFS(Eingabe[Name],PositionG[[#This Row],[Name]],Eingabe[Position],4))</f>
        <v/>
      </c>
      <c r="H2" s="164" t="str">
        <f>IF(PositionG[[#This Row],[Spiele]]="","",COUNTIFS(Eingabe[Name],PositionG[[#This Row],[Name]],Eingabe[Position],5))</f>
        <v/>
      </c>
      <c r="I2" s="164" t="str">
        <f>IF(PositionG[[#This Row],[Spiele]]="","",COUNTIFS(Eingabe[Name],PositionG[[#This Row],[Name]],Eingabe[Position],6))</f>
        <v/>
      </c>
      <c r="J2" s="164" t="str">
        <f>IF(PositionG[[#This Row],[P1]]="","",COUNTIFS(Eingabe[Position],1,Eingabe[MP],1,Eingabe[Name],PositionG[[#This Row],[Name]]))</f>
        <v/>
      </c>
      <c r="K2" s="164" t="str">
        <f>IF(PositionG[[#This Row],[P2]]="","",COUNTIFS(Eingabe[Position],2,Eingabe[MP],1,Eingabe[Name],PositionG[[#This Row],[Name]]))</f>
        <v/>
      </c>
      <c r="L2" s="164" t="str">
        <f>IF(PositionG[[#This Row],[P3]]="","",COUNTIFS(Eingabe[Position],3,Eingabe[MP],1,Eingabe[Name],PositionG[[#This Row],[Name]]))</f>
        <v/>
      </c>
      <c r="M2" s="164" t="str">
        <f>IF(PositionG[[#This Row],[P4]]="","",COUNTIFS(Eingabe[Position],4,Eingabe[MP],1,Eingabe[Name],PositionG[[#This Row],[Name]]))</f>
        <v/>
      </c>
      <c r="N2" s="164" t="str">
        <f>IF(PositionG[[#This Row],[P5]]="","",COUNTIFS(Eingabe[Position],5,Eingabe[MP],1,Eingabe[Name],PositionG[[#This Row],[Name]]))</f>
        <v/>
      </c>
      <c r="O2" s="164" t="str">
        <f>IF(PositionG[[#This Row],[P6]]="","",COUNTIFS(Eingabe[Position],6,Eingabe[MP],1,Eingabe[Name],PositionG[[#This Row],[Name]]))</f>
        <v/>
      </c>
      <c r="P2" s="169" t="str">
        <f>IF(PositionG[[#This Row],[P1]]=0,"",IF(PositionG[[#This Row],[P1]]="","",PositionG[[#This Row],[P1 S]]/PositionG[[#This Row],[P1]]))</f>
        <v/>
      </c>
      <c r="Q2" s="169" t="str">
        <f>IF(PositionG[[#This Row],[P2]]=0,"",IF(PositionG[[#This Row],[P2]]="","",PositionG[[#This Row],[P2 S]]/PositionG[[#This Row],[P2]]))</f>
        <v/>
      </c>
      <c r="R2" s="169" t="str">
        <f>IF(PositionG[[#This Row],[P3]]=0,"",IF(PositionG[[#This Row],[P3]]="","",PositionG[[#This Row],[P3 S]]/PositionG[[#This Row],[P3]]))</f>
        <v/>
      </c>
      <c r="S2" s="169" t="str">
        <f>IF(PositionG[[#This Row],[P4]]=0,"",IF(PositionG[[#This Row],[P4]]="","",PositionG[[#This Row],[P4 S]]/PositionG[[#This Row],[P4]]))</f>
        <v/>
      </c>
      <c r="T2" s="169" t="str">
        <f>IF(PositionG[[#This Row],[P5]]=0,"",IF(PositionG[[#This Row],[P5]]="","",PositionG[[#This Row],[P5 S]]/PositionG[[#This Row],[P5]]))</f>
        <v/>
      </c>
      <c r="U2" s="169" t="str">
        <f>IF(PositionG[[#This Row],[P6]]=0,"",IF(PositionG[[#This Row],[P6]]="","",PositionG[[#This Row],[P6 S]]/PositionG[[#This Row],[P6]]))</f>
        <v/>
      </c>
      <c r="V2"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2" s="170" t="str">
        <f>IF(PositionG[[#This Row],[HP]]="","",MAX(PositionG[[#This Row],[P1]:[P6]]))</f>
        <v/>
      </c>
      <c r="X2"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2" s="169" t="str">
        <f>IF(PositionG[[#This Row],[Spiele]]="","",MAX(PositionG[[#This Row],[P1 %]:[P6 %]]))</f>
        <v/>
      </c>
    </row>
    <row r="3" spans="1:25" x14ac:dyDescent="0.3">
      <c r="B3" s="164" t="str">
        <f>VLOOKUP(ROW(PositionG[[#This Row],[Name]])-1,Teamzuordnung[],2,FALSE)</f>
        <v>Andreas Ehrlich</v>
      </c>
      <c r="C3" s="164">
        <f>VLOOKUP(PositionG[[#This Row],[Name]],AuswertungG[],4,FALSE)</f>
        <v>1</v>
      </c>
      <c r="D3" s="164">
        <f>IF(PositionG[[#This Row],[Spiele]]="","",COUNTIFS(Eingabe[Name],PositionG[[#This Row],[Name]],Eingabe[Position],1))</f>
        <v>0</v>
      </c>
      <c r="E3" s="164">
        <f>IF(PositionG[[#This Row],[Spiele]]="","",COUNTIFS(Eingabe[Name],PositionG[[#This Row],[Name]],Eingabe[Position],2))</f>
        <v>0</v>
      </c>
      <c r="F3" s="164">
        <f>IF(PositionG[[#This Row],[Spiele]]="","",COUNTIFS(Eingabe[Name],PositionG[[#This Row],[Name]],Eingabe[Position],3))</f>
        <v>1</v>
      </c>
      <c r="G3" s="164">
        <f>IF(PositionG[[#This Row],[Spiele]]="","",COUNTIFS(Eingabe[Name],PositionG[[#This Row],[Name]],Eingabe[Position],4))</f>
        <v>0</v>
      </c>
      <c r="H3" s="164">
        <f>IF(PositionG[[#This Row],[Spiele]]="","",COUNTIFS(Eingabe[Name],PositionG[[#This Row],[Name]],Eingabe[Position],5))</f>
        <v>0</v>
      </c>
      <c r="I3" s="164">
        <f>IF(PositionG[[#This Row],[Spiele]]="","",COUNTIFS(Eingabe[Name],PositionG[[#This Row],[Name]],Eingabe[Position],6))</f>
        <v>0</v>
      </c>
      <c r="J3" s="164">
        <f>IF(PositionG[[#This Row],[P1]]="","",COUNTIFS(Eingabe[Position],1,Eingabe[MP],1,Eingabe[Name],PositionG[[#This Row],[Name]]))</f>
        <v>0</v>
      </c>
      <c r="K3" s="164">
        <f>IF(PositionG[[#This Row],[P2]]="","",COUNTIFS(Eingabe[Position],2,Eingabe[MP],1,Eingabe[Name],PositionG[[#This Row],[Name]]))</f>
        <v>0</v>
      </c>
      <c r="L3" s="164">
        <f>IF(PositionG[[#This Row],[P3]]="","",COUNTIFS(Eingabe[Position],3,Eingabe[MP],1,Eingabe[Name],PositionG[[#This Row],[Name]]))</f>
        <v>1</v>
      </c>
      <c r="M3" s="164">
        <f>IF(PositionG[[#This Row],[P4]]="","",COUNTIFS(Eingabe[Position],4,Eingabe[MP],1,Eingabe[Name],PositionG[[#This Row],[Name]]))</f>
        <v>0</v>
      </c>
      <c r="N3" s="164">
        <f>IF(PositionG[[#This Row],[P5]]="","",COUNTIFS(Eingabe[Position],5,Eingabe[MP],1,Eingabe[Name],PositionG[[#This Row],[Name]]))</f>
        <v>0</v>
      </c>
      <c r="O3" s="164">
        <f>IF(PositionG[[#This Row],[P6]]="","",COUNTIFS(Eingabe[Position],6,Eingabe[MP],1,Eingabe[Name],PositionG[[#This Row],[Name]]))</f>
        <v>0</v>
      </c>
      <c r="P3" s="169" t="str">
        <f>IF(PositionG[[#This Row],[P1]]=0,"",IF(PositionG[[#This Row],[P1]]="","",PositionG[[#This Row],[P1 S]]/PositionG[[#This Row],[P1]]))</f>
        <v/>
      </c>
      <c r="Q3" s="169" t="str">
        <f>IF(PositionG[[#This Row],[P2]]=0,"",IF(PositionG[[#This Row],[P2]]="","",PositionG[[#This Row],[P2 S]]/PositionG[[#This Row],[P2]]))</f>
        <v/>
      </c>
      <c r="R3" s="169">
        <f>IF(PositionG[[#This Row],[P3]]=0,"",IF(PositionG[[#This Row],[P3]]="","",PositionG[[#This Row],[P3 S]]/PositionG[[#This Row],[P3]]))</f>
        <v>1</v>
      </c>
      <c r="S3" s="169" t="str">
        <f>IF(PositionG[[#This Row],[P4]]=0,"",IF(PositionG[[#This Row],[P4]]="","",PositionG[[#This Row],[P4 S]]/PositionG[[#This Row],[P4]]))</f>
        <v/>
      </c>
      <c r="T3" s="169" t="str">
        <f>IF(PositionG[[#This Row],[P5]]=0,"",IF(PositionG[[#This Row],[P5]]="","",PositionG[[#This Row],[P5 S]]/PositionG[[#This Row],[P5]]))</f>
        <v/>
      </c>
      <c r="U3" s="169" t="str">
        <f>IF(PositionG[[#This Row],[P6]]=0,"",IF(PositionG[[#This Row],[P6]]="","",PositionG[[#This Row],[P6 S]]/PositionG[[#This Row],[P6]]))</f>
        <v/>
      </c>
      <c r="V3"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[3]</v>
      </c>
      <c r="W3" s="170">
        <f>IF(PositionG[[#This Row],[HP]]="","",MAX(PositionG[[#This Row],[P1]:[P6]]))</f>
        <v>1</v>
      </c>
      <c r="X3"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[3]</v>
      </c>
      <c r="Y3" s="169">
        <f>IF(PositionG[[#This Row],[Spiele]]="","",MAX(PositionG[[#This Row],[P1 %]:[P6 %]]))</f>
        <v>1</v>
      </c>
    </row>
    <row r="4" spans="1:25" x14ac:dyDescent="0.3">
      <c r="B4" s="164" t="str">
        <f>VLOOKUP(ROW(PositionG[[#This Row],[Name]])-1,Teamzuordnung[],2,FALSE)</f>
        <v>Andreas Rippin</v>
      </c>
      <c r="C4" s="164">
        <f>VLOOKUP(PositionG[[#This Row],[Name]],AuswertungG[],4,FALSE)</f>
        <v>7</v>
      </c>
      <c r="D4" s="164">
        <f>IF(PositionG[[#This Row],[Spiele]]="","",COUNTIFS(Eingabe[Name],PositionG[[#This Row],[Name]],Eingabe[Position],1))</f>
        <v>2</v>
      </c>
      <c r="E4" s="164">
        <f>IF(PositionG[[#This Row],[Spiele]]="","",COUNTIFS(Eingabe[Name],PositionG[[#This Row],[Name]],Eingabe[Position],2))</f>
        <v>3</v>
      </c>
      <c r="F4" s="164">
        <f>IF(PositionG[[#This Row],[Spiele]]="","",COUNTIFS(Eingabe[Name],PositionG[[#This Row],[Name]],Eingabe[Position],3))</f>
        <v>1</v>
      </c>
      <c r="G4" s="164">
        <f>IF(PositionG[[#This Row],[Spiele]]="","",COUNTIFS(Eingabe[Name],PositionG[[#This Row],[Name]],Eingabe[Position],4))</f>
        <v>0</v>
      </c>
      <c r="H4" s="164">
        <f>IF(PositionG[[#This Row],[Spiele]]="","",COUNTIFS(Eingabe[Name],PositionG[[#This Row],[Name]],Eingabe[Position],5))</f>
        <v>1</v>
      </c>
      <c r="I4" s="164">
        <f>IF(PositionG[[#This Row],[Spiele]]="","",COUNTIFS(Eingabe[Name],PositionG[[#This Row],[Name]],Eingabe[Position],6))</f>
        <v>0</v>
      </c>
      <c r="J4" s="164">
        <f>IF(PositionG[[#This Row],[P1]]="","",COUNTIFS(Eingabe[Position],1,Eingabe[MP],1,Eingabe[Name],PositionG[[#This Row],[Name]]))</f>
        <v>1</v>
      </c>
      <c r="K4" s="164">
        <f>IF(PositionG[[#This Row],[P2]]="","",COUNTIFS(Eingabe[Position],2,Eingabe[MP],1,Eingabe[Name],PositionG[[#This Row],[Name]]))</f>
        <v>1</v>
      </c>
      <c r="L4" s="164">
        <f>IF(PositionG[[#This Row],[P3]]="","",COUNTIFS(Eingabe[Position],3,Eingabe[MP],1,Eingabe[Name],PositionG[[#This Row],[Name]]))</f>
        <v>0</v>
      </c>
      <c r="M4" s="164">
        <f>IF(PositionG[[#This Row],[P4]]="","",COUNTIFS(Eingabe[Position],4,Eingabe[MP],1,Eingabe[Name],PositionG[[#This Row],[Name]]))</f>
        <v>0</v>
      </c>
      <c r="N4" s="164">
        <f>IF(PositionG[[#This Row],[P5]]="","",COUNTIFS(Eingabe[Position],5,Eingabe[MP],1,Eingabe[Name],PositionG[[#This Row],[Name]]))</f>
        <v>0</v>
      </c>
      <c r="O4" s="164">
        <f>IF(PositionG[[#This Row],[P6]]="","",COUNTIFS(Eingabe[Position],6,Eingabe[MP],1,Eingabe[Name],PositionG[[#This Row],[Name]]))</f>
        <v>0</v>
      </c>
      <c r="P4" s="169">
        <f>IF(PositionG[[#This Row],[P1]]=0,"",IF(PositionG[[#This Row],[P1]]="","",PositionG[[#This Row],[P1 S]]/PositionG[[#This Row],[P1]]))</f>
        <v>0.5</v>
      </c>
      <c r="Q4" s="169">
        <f>IF(PositionG[[#This Row],[P2]]=0,"",IF(PositionG[[#This Row],[P2]]="","",PositionG[[#This Row],[P2 S]]/PositionG[[#This Row],[P2]]))</f>
        <v>0.33333333333333331</v>
      </c>
      <c r="R4" s="169">
        <f>IF(PositionG[[#This Row],[P3]]=0,"",IF(PositionG[[#This Row],[P3]]="","",PositionG[[#This Row],[P3 S]]/PositionG[[#This Row],[P3]]))</f>
        <v>0</v>
      </c>
      <c r="S4" s="169" t="str">
        <f>IF(PositionG[[#This Row],[P4]]=0,"",IF(PositionG[[#This Row],[P4]]="","",PositionG[[#This Row],[P4 S]]/PositionG[[#This Row],[P4]]))</f>
        <v/>
      </c>
      <c r="T4" s="169">
        <f>IF(PositionG[[#This Row],[P5]]=0,"",IF(PositionG[[#This Row],[P5]]="","",PositionG[[#This Row],[P5 S]]/PositionG[[#This Row],[P5]]))</f>
        <v>0</v>
      </c>
      <c r="U4" s="169" t="str">
        <f>IF(PositionG[[#This Row],[P6]]=0,"",IF(PositionG[[#This Row],[P6]]="","",PositionG[[#This Row],[P6 S]]/PositionG[[#This Row],[P6]]))</f>
        <v/>
      </c>
      <c r="V4"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[2]</v>
      </c>
      <c r="W4" s="170">
        <f>IF(PositionG[[#This Row],[HP]]="","",MAX(PositionG[[#This Row],[P1]:[P6]]))</f>
        <v>3</v>
      </c>
      <c r="X4"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v>
      </c>
      <c r="Y4" s="169">
        <f>IF(PositionG[[#This Row],[Spiele]]="","",MAX(PositionG[[#This Row],[P1 %]:[P6 %]]))</f>
        <v>0.5</v>
      </c>
    </row>
    <row r="5" spans="1:25" x14ac:dyDescent="0.3">
      <c r="B5" s="164" t="str">
        <f>VLOOKUP(ROW(PositionG[[#This Row],[Name]])-1,Teamzuordnung[],2,FALSE)</f>
        <v>Anna Müller</v>
      </c>
      <c r="C5" s="164">
        <f>VLOOKUP(PositionG[[#This Row],[Name]],AuswertungG[],4,FALSE)</f>
        <v>2</v>
      </c>
      <c r="D5" s="164">
        <f>IF(PositionG[[#This Row],[Spiele]]="","",COUNTIFS(Eingabe[Name],PositionG[[#This Row],[Name]],Eingabe[Position],1))</f>
        <v>1</v>
      </c>
      <c r="E5" s="164">
        <f>IF(PositionG[[#This Row],[Spiele]]="","",COUNTIFS(Eingabe[Name],PositionG[[#This Row],[Name]],Eingabe[Position],2))</f>
        <v>0</v>
      </c>
      <c r="F5" s="164">
        <f>IF(PositionG[[#This Row],[Spiele]]="","",COUNTIFS(Eingabe[Name],PositionG[[#This Row],[Name]],Eingabe[Position],3))</f>
        <v>1</v>
      </c>
      <c r="G5" s="164">
        <f>IF(PositionG[[#This Row],[Spiele]]="","",COUNTIFS(Eingabe[Name],PositionG[[#This Row],[Name]],Eingabe[Position],4))</f>
        <v>0</v>
      </c>
      <c r="H5" s="164">
        <f>IF(PositionG[[#This Row],[Spiele]]="","",COUNTIFS(Eingabe[Name],PositionG[[#This Row],[Name]],Eingabe[Position],5))</f>
        <v>0</v>
      </c>
      <c r="I5" s="164">
        <f>IF(PositionG[[#This Row],[Spiele]]="","",COUNTIFS(Eingabe[Name],PositionG[[#This Row],[Name]],Eingabe[Position],6))</f>
        <v>0</v>
      </c>
      <c r="J5" s="164">
        <f>IF(PositionG[[#This Row],[P1]]="","",COUNTIFS(Eingabe[Position],1,Eingabe[MP],1,Eingabe[Name],PositionG[[#This Row],[Name]]))</f>
        <v>1</v>
      </c>
      <c r="K5" s="164">
        <f>IF(PositionG[[#This Row],[P2]]="","",COUNTIFS(Eingabe[Position],2,Eingabe[MP],1,Eingabe[Name],PositionG[[#This Row],[Name]]))</f>
        <v>0</v>
      </c>
      <c r="L5" s="164">
        <f>IF(PositionG[[#This Row],[P3]]="","",COUNTIFS(Eingabe[Position],3,Eingabe[MP],1,Eingabe[Name],PositionG[[#This Row],[Name]]))</f>
        <v>1</v>
      </c>
      <c r="M5" s="164">
        <f>IF(PositionG[[#This Row],[P4]]="","",COUNTIFS(Eingabe[Position],4,Eingabe[MP],1,Eingabe[Name],PositionG[[#This Row],[Name]]))</f>
        <v>0</v>
      </c>
      <c r="N5" s="164">
        <f>IF(PositionG[[#This Row],[P5]]="","",COUNTIFS(Eingabe[Position],5,Eingabe[MP],1,Eingabe[Name],PositionG[[#This Row],[Name]]))</f>
        <v>0</v>
      </c>
      <c r="O5" s="164">
        <f>IF(PositionG[[#This Row],[P6]]="","",COUNTIFS(Eingabe[Position],6,Eingabe[MP],1,Eingabe[Name],PositionG[[#This Row],[Name]]))</f>
        <v>0</v>
      </c>
      <c r="P5" s="169">
        <f>IF(PositionG[[#This Row],[P1]]=0,"",IF(PositionG[[#This Row],[P1]]="","",PositionG[[#This Row],[P1 S]]/PositionG[[#This Row],[P1]]))</f>
        <v>1</v>
      </c>
      <c r="Q5" s="169" t="str">
        <f>IF(PositionG[[#This Row],[P2]]=0,"",IF(PositionG[[#This Row],[P2]]="","",PositionG[[#This Row],[P2 S]]/PositionG[[#This Row],[P2]]))</f>
        <v/>
      </c>
      <c r="R5" s="169">
        <f>IF(PositionG[[#This Row],[P3]]=0,"",IF(PositionG[[#This Row],[P3]]="","",PositionG[[#This Row],[P3 S]]/PositionG[[#This Row],[P3]]))</f>
        <v>1</v>
      </c>
      <c r="S5" s="169" t="str">
        <f>IF(PositionG[[#This Row],[P4]]=0,"",IF(PositionG[[#This Row],[P4]]="","",PositionG[[#This Row],[P4 S]]/PositionG[[#This Row],[P4]]))</f>
        <v/>
      </c>
      <c r="T5" s="169" t="str">
        <f>IF(PositionG[[#This Row],[P5]]=0,"",IF(PositionG[[#This Row],[P5]]="","",PositionG[[#This Row],[P5 S]]/PositionG[[#This Row],[P5]]))</f>
        <v/>
      </c>
      <c r="U5" s="169" t="str">
        <f>IF(PositionG[[#This Row],[P6]]=0,"",IF(PositionG[[#This Row],[P6]]="","",PositionG[[#This Row],[P6 S]]/PositionG[[#This Row],[P6]]))</f>
        <v/>
      </c>
      <c r="V5"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[1][3]</v>
      </c>
      <c r="W5" s="170">
        <f>IF(PositionG[[#This Row],[HP]]="","",MAX(PositionG[[#This Row],[P1]:[P6]]))</f>
        <v>1</v>
      </c>
      <c r="X5"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[1][3]</v>
      </c>
      <c r="Y5" s="169">
        <f>IF(PositionG[[#This Row],[Spiele]]="","",MAX(PositionG[[#This Row],[P1 %]:[P6 %]]))</f>
        <v>1</v>
      </c>
    </row>
    <row r="6" spans="1:25" x14ac:dyDescent="0.3">
      <c r="B6" s="164" t="str">
        <f>VLOOKUP(ROW(PositionG[[#This Row],[Name]])-1,Teamzuordnung[],2,FALSE)</f>
        <v>Ben Becker</v>
      </c>
      <c r="C6" s="164" t="str">
        <f>VLOOKUP(PositionG[[#This Row],[Name]],AuswertungG[],4,FALSE)</f>
        <v/>
      </c>
      <c r="D6" s="164" t="str">
        <f>IF(PositionG[[#This Row],[Spiele]]="","",COUNTIFS(Eingabe[Name],PositionG[[#This Row],[Name]],Eingabe[Position],1))</f>
        <v/>
      </c>
      <c r="E6" s="164" t="str">
        <f>IF(PositionG[[#This Row],[Spiele]]="","",COUNTIFS(Eingabe[Name],PositionG[[#This Row],[Name]],Eingabe[Position],2))</f>
        <v/>
      </c>
      <c r="F6" s="164" t="str">
        <f>IF(PositionG[[#This Row],[Spiele]]="","",COUNTIFS(Eingabe[Name],PositionG[[#This Row],[Name]],Eingabe[Position],3))</f>
        <v/>
      </c>
      <c r="G6" s="164" t="str">
        <f>IF(PositionG[[#This Row],[Spiele]]="","",COUNTIFS(Eingabe[Name],PositionG[[#This Row],[Name]],Eingabe[Position],4))</f>
        <v/>
      </c>
      <c r="H6" s="164" t="str">
        <f>IF(PositionG[[#This Row],[Spiele]]="","",COUNTIFS(Eingabe[Name],PositionG[[#This Row],[Name]],Eingabe[Position],5))</f>
        <v/>
      </c>
      <c r="I6" s="164" t="str">
        <f>IF(PositionG[[#This Row],[Spiele]]="","",COUNTIFS(Eingabe[Name],PositionG[[#This Row],[Name]],Eingabe[Position],6))</f>
        <v/>
      </c>
      <c r="J6" s="164" t="str">
        <f>IF(PositionG[[#This Row],[P1]]="","",COUNTIFS(Eingabe[Position],1,Eingabe[MP],1,Eingabe[Name],PositionG[[#This Row],[Name]]))</f>
        <v/>
      </c>
      <c r="K6" s="164" t="str">
        <f>IF(PositionG[[#This Row],[P2]]="","",COUNTIFS(Eingabe[Position],2,Eingabe[MP],1,Eingabe[Name],PositionG[[#This Row],[Name]]))</f>
        <v/>
      </c>
      <c r="L6" s="164" t="str">
        <f>IF(PositionG[[#This Row],[P3]]="","",COUNTIFS(Eingabe[Position],3,Eingabe[MP],1,Eingabe[Name],PositionG[[#This Row],[Name]]))</f>
        <v/>
      </c>
      <c r="M6" s="164" t="str">
        <f>IF(PositionG[[#This Row],[P4]]="","",COUNTIFS(Eingabe[Position],4,Eingabe[MP],1,Eingabe[Name],PositionG[[#This Row],[Name]]))</f>
        <v/>
      </c>
      <c r="N6" s="164" t="str">
        <f>IF(PositionG[[#This Row],[P5]]="","",COUNTIFS(Eingabe[Position],5,Eingabe[MP],1,Eingabe[Name],PositionG[[#This Row],[Name]]))</f>
        <v/>
      </c>
      <c r="O6" s="164" t="str">
        <f>IF(PositionG[[#This Row],[P6]]="","",COUNTIFS(Eingabe[Position],6,Eingabe[MP],1,Eingabe[Name],PositionG[[#This Row],[Name]]))</f>
        <v/>
      </c>
      <c r="P6" s="169" t="str">
        <f>IF(PositionG[[#This Row],[P1]]=0,"",IF(PositionG[[#This Row],[P1]]="","",PositionG[[#This Row],[P1 S]]/PositionG[[#This Row],[P1]]))</f>
        <v/>
      </c>
      <c r="Q6" s="169" t="str">
        <f>IF(PositionG[[#This Row],[P2]]=0,"",IF(PositionG[[#This Row],[P2]]="","",PositionG[[#This Row],[P2 S]]/PositionG[[#This Row],[P2]]))</f>
        <v/>
      </c>
      <c r="R6" s="169" t="str">
        <f>IF(PositionG[[#This Row],[P3]]=0,"",IF(PositionG[[#This Row],[P3]]="","",PositionG[[#This Row],[P3 S]]/PositionG[[#This Row],[P3]]))</f>
        <v/>
      </c>
      <c r="S6" s="169" t="str">
        <f>IF(PositionG[[#This Row],[P4]]=0,"",IF(PositionG[[#This Row],[P4]]="","",PositionG[[#This Row],[P4 S]]/PositionG[[#This Row],[P4]]))</f>
        <v/>
      </c>
      <c r="T6" s="169" t="str">
        <f>IF(PositionG[[#This Row],[P5]]=0,"",IF(PositionG[[#This Row],[P5]]="","",PositionG[[#This Row],[P5 S]]/PositionG[[#This Row],[P5]]))</f>
        <v/>
      </c>
      <c r="U6" s="169" t="str">
        <f>IF(PositionG[[#This Row],[P6]]=0,"",IF(PositionG[[#This Row],[P6]]="","",PositionG[[#This Row],[P6 S]]/PositionG[[#This Row],[P6]]))</f>
        <v/>
      </c>
      <c r="V6"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6" s="170" t="str">
        <f>IF(PositionG[[#This Row],[HP]]="","",MAX(PositionG[[#This Row],[P1]:[P6]]))</f>
        <v/>
      </c>
      <c r="X6"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6" s="169" t="str">
        <f>IF(PositionG[[#This Row],[Spiele]]="","",MAX(PositionG[[#This Row],[P1 %]:[P6 %]]))</f>
        <v/>
      </c>
    </row>
    <row r="7" spans="1:25" x14ac:dyDescent="0.3">
      <c r="B7" s="164" t="str">
        <f>VLOOKUP(ROW(PositionG[[#This Row],[Name]])-1,Teamzuordnung[],2,FALSE)</f>
        <v>Ben Böhmer</v>
      </c>
      <c r="C7" s="164" t="str">
        <f>VLOOKUP(PositionG[[#This Row],[Name]],AuswertungG[],4,FALSE)</f>
        <v/>
      </c>
      <c r="D7" s="164" t="str">
        <f>IF(PositionG[[#This Row],[Spiele]]="","",COUNTIFS(Eingabe[Name],PositionG[[#This Row],[Name]],Eingabe[Position],1))</f>
        <v/>
      </c>
      <c r="E7" s="164" t="str">
        <f>IF(PositionG[[#This Row],[Spiele]]="","",COUNTIFS(Eingabe[Name],PositionG[[#This Row],[Name]],Eingabe[Position],2))</f>
        <v/>
      </c>
      <c r="F7" s="164" t="str">
        <f>IF(PositionG[[#This Row],[Spiele]]="","",COUNTIFS(Eingabe[Name],PositionG[[#This Row],[Name]],Eingabe[Position],3))</f>
        <v/>
      </c>
      <c r="G7" s="164" t="str">
        <f>IF(PositionG[[#This Row],[Spiele]]="","",COUNTIFS(Eingabe[Name],PositionG[[#This Row],[Name]],Eingabe[Position],4))</f>
        <v/>
      </c>
      <c r="H7" s="164" t="str">
        <f>IF(PositionG[[#This Row],[Spiele]]="","",COUNTIFS(Eingabe[Name],PositionG[[#This Row],[Name]],Eingabe[Position],5))</f>
        <v/>
      </c>
      <c r="I7" s="164" t="str">
        <f>IF(PositionG[[#This Row],[Spiele]]="","",COUNTIFS(Eingabe[Name],PositionG[[#This Row],[Name]],Eingabe[Position],6))</f>
        <v/>
      </c>
      <c r="J7" s="164" t="str">
        <f>IF(PositionG[[#This Row],[P1]]="","",COUNTIFS(Eingabe[Position],1,Eingabe[MP],1,Eingabe[Name],PositionG[[#This Row],[Name]]))</f>
        <v/>
      </c>
      <c r="K7" s="164" t="str">
        <f>IF(PositionG[[#This Row],[P2]]="","",COUNTIFS(Eingabe[Position],2,Eingabe[MP],1,Eingabe[Name],PositionG[[#This Row],[Name]]))</f>
        <v/>
      </c>
      <c r="L7" s="164" t="str">
        <f>IF(PositionG[[#This Row],[P3]]="","",COUNTIFS(Eingabe[Position],3,Eingabe[MP],1,Eingabe[Name],PositionG[[#This Row],[Name]]))</f>
        <v/>
      </c>
      <c r="M7" s="164" t="str">
        <f>IF(PositionG[[#This Row],[P4]]="","",COUNTIFS(Eingabe[Position],4,Eingabe[MP],1,Eingabe[Name],PositionG[[#This Row],[Name]]))</f>
        <v/>
      </c>
      <c r="N7" s="164" t="str">
        <f>IF(PositionG[[#This Row],[P5]]="","",COUNTIFS(Eingabe[Position],5,Eingabe[MP],1,Eingabe[Name],PositionG[[#This Row],[Name]]))</f>
        <v/>
      </c>
      <c r="O7" s="164" t="str">
        <f>IF(PositionG[[#This Row],[P6]]="","",COUNTIFS(Eingabe[Position],6,Eingabe[MP],1,Eingabe[Name],PositionG[[#This Row],[Name]]))</f>
        <v/>
      </c>
      <c r="P7" s="169" t="str">
        <f>IF(PositionG[[#This Row],[P1]]=0,"",IF(PositionG[[#This Row],[P1]]="","",PositionG[[#This Row],[P1 S]]/PositionG[[#This Row],[P1]]))</f>
        <v/>
      </c>
      <c r="Q7" s="169" t="str">
        <f>IF(PositionG[[#This Row],[P2]]=0,"",IF(PositionG[[#This Row],[P2]]="","",PositionG[[#This Row],[P2 S]]/PositionG[[#This Row],[P2]]))</f>
        <v/>
      </c>
      <c r="R7" s="169" t="str">
        <f>IF(PositionG[[#This Row],[P3]]=0,"",IF(PositionG[[#This Row],[P3]]="","",PositionG[[#This Row],[P3 S]]/PositionG[[#This Row],[P3]]))</f>
        <v/>
      </c>
      <c r="S7" s="169" t="str">
        <f>IF(PositionG[[#This Row],[P4]]=0,"",IF(PositionG[[#This Row],[P4]]="","",PositionG[[#This Row],[P4 S]]/PositionG[[#This Row],[P4]]))</f>
        <v/>
      </c>
      <c r="T7" s="169" t="str">
        <f>IF(PositionG[[#This Row],[P5]]=0,"",IF(PositionG[[#This Row],[P5]]="","",PositionG[[#This Row],[P5 S]]/PositionG[[#This Row],[P5]]))</f>
        <v/>
      </c>
      <c r="U7" s="169" t="str">
        <f>IF(PositionG[[#This Row],[P6]]=0,"",IF(PositionG[[#This Row],[P6]]="","",PositionG[[#This Row],[P6 S]]/PositionG[[#This Row],[P6]]))</f>
        <v/>
      </c>
      <c r="V7"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7" s="170" t="str">
        <f>IF(PositionG[[#This Row],[HP]]="","",MAX(PositionG[[#This Row],[P1]:[P6]]))</f>
        <v/>
      </c>
      <c r="X7"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7" s="169" t="str">
        <f>IF(PositionG[[#This Row],[Spiele]]="","",MAX(PositionG[[#This Row],[P1 %]:[P6 %]]))</f>
        <v/>
      </c>
    </row>
    <row r="8" spans="1:25" x14ac:dyDescent="0.3">
      <c r="B8" s="164" t="str">
        <f>VLOOKUP(ROW(PositionG[[#This Row],[Name]])-1,Teamzuordnung[],2,FALSE)</f>
        <v>Bruno Bergelt</v>
      </c>
      <c r="C8" s="164" t="str">
        <f>VLOOKUP(PositionG[[#This Row],[Name]],AuswertungG[],4,FALSE)</f>
        <v/>
      </c>
      <c r="D8" s="164" t="str">
        <f>IF(PositionG[[#This Row],[Spiele]]="","",COUNTIFS(Eingabe[Name],PositionG[[#This Row],[Name]],Eingabe[Position],1))</f>
        <v/>
      </c>
      <c r="E8" s="164" t="str">
        <f>IF(PositionG[[#This Row],[Spiele]]="","",COUNTIFS(Eingabe[Name],PositionG[[#This Row],[Name]],Eingabe[Position],2))</f>
        <v/>
      </c>
      <c r="F8" s="164" t="str">
        <f>IF(PositionG[[#This Row],[Spiele]]="","",COUNTIFS(Eingabe[Name],PositionG[[#This Row],[Name]],Eingabe[Position],3))</f>
        <v/>
      </c>
      <c r="G8" s="164" t="str">
        <f>IF(PositionG[[#This Row],[Spiele]]="","",COUNTIFS(Eingabe[Name],PositionG[[#This Row],[Name]],Eingabe[Position],4))</f>
        <v/>
      </c>
      <c r="H8" s="164" t="str">
        <f>IF(PositionG[[#This Row],[Spiele]]="","",COUNTIFS(Eingabe[Name],PositionG[[#This Row],[Name]],Eingabe[Position],5))</f>
        <v/>
      </c>
      <c r="I8" s="164" t="str">
        <f>IF(PositionG[[#This Row],[Spiele]]="","",COUNTIFS(Eingabe[Name],PositionG[[#This Row],[Name]],Eingabe[Position],6))</f>
        <v/>
      </c>
      <c r="J8" s="164" t="str">
        <f>IF(PositionG[[#This Row],[P1]]="","",COUNTIFS(Eingabe[Position],1,Eingabe[MP],1,Eingabe[Name],PositionG[[#This Row],[Name]]))</f>
        <v/>
      </c>
      <c r="K8" s="164" t="str">
        <f>IF(PositionG[[#This Row],[P2]]="","",COUNTIFS(Eingabe[Position],2,Eingabe[MP],1,Eingabe[Name],PositionG[[#This Row],[Name]]))</f>
        <v/>
      </c>
      <c r="L8" s="164" t="str">
        <f>IF(PositionG[[#This Row],[P3]]="","",COUNTIFS(Eingabe[Position],3,Eingabe[MP],1,Eingabe[Name],PositionG[[#This Row],[Name]]))</f>
        <v/>
      </c>
      <c r="M8" s="164" t="str">
        <f>IF(PositionG[[#This Row],[P4]]="","",COUNTIFS(Eingabe[Position],4,Eingabe[MP],1,Eingabe[Name],PositionG[[#This Row],[Name]]))</f>
        <v/>
      </c>
      <c r="N8" s="164" t="str">
        <f>IF(PositionG[[#This Row],[P5]]="","",COUNTIFS(Eingabe[Position],5,Eingabe[MP],1,Eingabe[Name],PositionG[[#This Row],[Name]]))</f>
        <v/>
      </c>
      <c r="O8" s="164" t="str">
        <f>IF(PositionG[[#This Row],[P6]]="","",COUNTIFS(Eingabe[Position],6,Eingabe[MP],1,Eingabe[Name],PositionG[[#This Row],[Name]]))</f>
        <v/>
      </c>
      <c r="P8" s="169" t="str">
        <f>IF(PositionG[[#This Row],[P1]]=0,"",IF(PositionG[[#This Row],[P1]]="","",PositionG[[#This Row],[P1 S]]/PositionG[[#This Row],[P1]]))</f>
        <v/>
      </c>
      <c r="Q8" s="169" t="str">
        <f>IF(PositionG[[#This Row],[P2]]=0,"",IF(PositionG[[#This Row],[P2]]="","",PositionG[[#This Row],[P2 S]]/PositionG[[#This Row],[P2]]))</f>
        <v/>
      </c>
      <c r="R8" s="169" t="str">
        <f>IF(PositionG[[#This Row],[P3]]=0,"",IF(PositionG[[#This Row],[P3]]="","",PositionG[[#This Row],[P3 S]]/PositionG[[#This Row],[P3]]))</f>
        <v/>
      </c>
      <c r="S8" s="169" t="str">
        <f>IF(PositionG[[#This Row],[P4]]=0,"",IF(PositionG[[#This Row],[P4]]="","",PositionG[[#This Row],[P4 S]]/PositionG[[#This Row],[P4]]))</f>
        <v/>
      </c>
      <c r="T8" s="169" t="str">
        <f>IF(PositionG[[#This Row],[P5]]=0,"",IF(PositionG[[#This Row],[P5]]="","",PositionG[[#This Row],[P5 S]]/PositionG[[#This Row],[P5]]))</f>
        <v/>
      </c>
      <c r="U8" s="169" t="str">
        <f>IF(PositionG[[#This Row],[P6]]=0,"",IF(PositionG[[#This Row],[P6]]="","",PositionG[[#This Row],[P6 S]]/PositionG[[#This Row],[P6]]))</f>
        <v/>
      </c>
      <c r="V8"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8" s="170" t="str">
        <f>IF(PositionG[[#This Row],[HP]]="","",MAX(PositionG[[#This Row],[P1]:[P6]]))</f>
        <v/>
      </c>
      <c r="X8"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8" s="169" t="str">
        <f>IF(PositionG[[#This Row],[Spiele]]="","",MAX(PositionG[[#This Row],[P1 %]:[P6 %]]))</f>
        <v/>
      </c>
    </row>
    <row r="9" spans="1:25" x14ac:dyDescent="0.3">
      <c r="B9" s="164" t="str">
        <f>VLOOKUP(ROW(PositionG[[#This Row],[Name]])-1,Teamzuordnung[],2,FALSE)</f>
        <v>Cora Keller</v>
      </c>
      <c r="C9" s="164">
        <f>VLOOKUP(PositionG[[#This Row],[Name]],AuswertungG[],4,FALSE)</f>
        <v>5</v>
      </c>
      <c r="D9" s="164">
        <f>IF(PositionG[[#This Row],[Spiele]]="","",COUNTIFS(Eingabe[Name],PositionG[[#This Row],[Name]],Eingabe[Position],1))</f>
        <v>2</v>
      </c>
      <c r="E9" s="164">
        <f>IF(PositionG[[#This Row],[Spiele]]="","",COUNTIFS(Eingabe[Name],PositionG[[#This Row],[Name]],Eingabe[Position],2))</f>
        <v>2</v>
      </c>
      <c r="F9" s="164">
        <f>IF(PositionG[[#This Row],[Spiele]]="","",COUNTIFS(Eingabe[Name],PositionG[[#This Row],[Name]],Eingabe[Position],3))</f>
        <v>1</v>
      </c>
      <c r="G9" s="164">
        <f>IF(PositionG[[#This Row],[Spiele]]="","",COUNTIFS(Eingabe[Name],PositionG[[#This Row],[Name]],Eingabe[Position],4))</f>
        <v>0</v>
      </c>
      <c r="H9" s="164">
        <f>IF(PositionG[[#This Row],[Spiele]]="","",COUNTIFS(Eingabe[Name],PositionG[[#This Row],[Name]],Eingabe[Position],5))</f>
        <v>0</v>
      </c>
      <c r="I9" s="164">
        <f>IF(PositionG[[#This Row],[Spiele]]="","",COUNTIFS(Eingabe[Name],PositionG[[#This Row],[Name]],Eingabe[Position],6))</f>
        <v>0</v>
      </c>
      <c r="J9" s="164">
        <f>IF(PositionG[[#This Row],[P1]]="","",COUNTIFS(Eingabe[Position],1,Eingabe[MP],1,Eingabe[Name],PositionG[[#This Row],[Name]]))</f>
        <v>1</v>
      </c>
      <c r="K9" s="164">
        <f>IF(PositionG[[#This Row],[P2]]="","",COUNTIFS(Eingabe[Position],2,Eingabe[MP],1,Eingabe[Name],PositionG[[#This Row],[Name]]))</f>
        <v>1</v>
      </c>
      <c r="L9" s="164">
        <f>IF(PositionG[[#This Row],[P3]]="","",COUNTIFS(Eingabe[Position],3,Eingabe[MP],1,Eingabe[Name],PositionG[[#This Row],[Name]]))</f>
        <v>1</v>
      </c>
      <c r="M9" s="164">
        <f>IF(PositionG[[#This Row],[P4]]="","",COUNTIFS(Eingabe[Position],4,Eingabe[MP],1,Eingabe[Name],PositionG[[#This Row],[Name]]))</f>
        <v>0</v>
      </c>
      <c r="N9" s="164">
        <f>IF(PositionG[[#This Row],[P5]]="","",COUNTIFS(Eingabe[Position],5,Eingabe[MP],1,Eingabe[Name],PositionG[[#This Row],[Name]]))</f>
        <v>0</v>
      </c>
      <c r="O9" s="164">
        <f>IF(PositionG[[#This Row],[P6]]="","",COUNTIFS(Eingabe[Position],6,Eingabe[MP],1,Eingabe[Name],PositionG[[#This Row],[Name]]))</f>
        <v>0</v>
      </c>
      <c r="P9" s="169">
        <f>IF(PositionG[[#This Row],[P1]]=0,"",IF(PositionG[[#This Row],[P1]]="","",PositionG[[#This Row],[P1 S]]/PositionG[[#This Row],[P1]]))</f>
        <v>0.5</v>
      </c>
      <c r="Q9" s="169">
        <f>IF(PositionG[[#This Row],[P2]]=0,"",IF(PositionG[[#This Row],[P2]]="","",PositionG[[#This Row],[P2 S]]/PositionG[[#This Row],[P2]]))</f>
        <v>0.5</v>
      </c>
      <c r="R9" s="169">
        <f>IF(PositionG[[#This Row],[P3]]=0,"",IF(PositionG[[#This Row],[P3]]="","",PositionG[[#This Row],[P3 S]]/PositionG[[#This Row],[P3]]))</f>
        <v>1</v>
      </c>
      <c r="S9" s="169" t="str">
        <f>IF(PositionG[[#This Row],[P4]]=0,"",IF(PositionG[[#This Row],[P4]]="","",PositionG[[#This Row],[P4 S]]/PositionG[[#This Row],[P4]]))</f>
        <v/>
      </c>
      <c r="T9" s="169" t="str">
        <f>IF(PositionG[[#This Row],[P5]]=0,"",IF(PositionG[[#This Row],[P5]]="","",PositionG[[#This Row],[P5 S]]/PositionG[[#This Row],[P5]]))</f>
        <v/>
      </c>
      <c r="U9" s="169" t="str">
        <f>IF(PositionG[[#This Row],[P6]]=0,"",IF(PositionG[[#This Row],[P6]]="","",PositionG[[#This Row],[P6 S]]/PositionG[[#This Row],[P6]]))</f>
        <v/>
      </c>
      <c r="V9"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[1][2]</v>
      </c>
      <c r="W9" s="170">
        <f>IF(PositionG[[#This Row],[HP]]="","",MAX(PositionG[[#This Row],[P1]:[P6]]))</f>
        <v>2</v>
      </c>
      <c r="X9"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[3]</v>
      </c>
      <c r="Y9" s="169">
        <f>IF(PositionG[[#This Row],[Spiele]]="","",MAX(PositionG[[#This Row],[P1 %]:[P6 %]]))</f>
        <v>1</v>
      </c>
    </row>
    <row r="10" spans="1:25" x14ac:dyDescent="0.3">
      <c r="B10" s="164" t="str">
        <f>VLOOKUP(ROW(PositionG[[#This Row],[Name]])-1,Teamzuordnung[],2,FALSE)</f>
        <v>Dietmar Klose</v>
      </c>
      <c r="C10" s="164" t="str">
        <f>VLOOKUP(PositionG[[#This Row],[Name]],AuswertungG[],4,FALSE)</f>
        <v/>
      </c>
      <c r="D10" s="164" t="str">
        <f>IF(PositionG[[#This Row],[Spiele]]="","",COUNTIFS(Eingabe[Name],PositionG[[#This Row],[Name]],Eingabe[Position],1))</f>
        <v/>
      </c>
      <c r="E10" s="164" t="str">
        <f>IF(PositionG[[#This Row],[Spiele]]="","",COUNTIFS(Eingabe[Name],PositionG[[#This Row],[Name]],Eingabe[Position],2))</f>
        <v/>
      </c>
      <c r="F10" s="164" t="str">
        <f>IF(PositionG[[#This Row],[Spiele]]="","",COUNTIFS(Eingabe[Name],PositionG[[#This Row],[Name]],Eingabe[Position],3))</f>
        <v/>
      </c>
      <c r="G10" s="164" t="str">
        <f>IF(PositionG[[#This Row],[Spiele]]="","",COUNTIFS(Eingabe[Name],PositionG[[#This Row],[Name]],Eingabe[Position],4))</f>
        <v/>
      </c>
      <c r="H10" s="164" t="str">
        <f>IF(PositionG[[#This Row],[Spiele]]="","",COUNTIFS(Eingabe[Name],PositionG[[#This Row],[Name]],Eingabe[Position],5))</f>
        <v/>
      </c>
      <c r="I10" s="164" t="str">
        <f>IF(PositionG[[#This Row],[Spiele]]="","",COUNTIFS(Eingabe[Name],PositionG[[#This Row],[Name]],Eingabe[Position],6))</f>
        <v/>
      </c>
      <c r="J10" s="164" t="str">
        <f>IF(PositionG[[#This Row],[P1]]="","",COUNTIFS(Eingabe[Position],1,Eingabe[MP],1,Eingabe[Name],PositionG[[#This Row],[Name]]))</f>
        <v/>
      </c>
      <c r="K10" s="164" t="str">
        <f>IF(PositionG[[#This Row],[P2]]="","",COUNTIFS(Eingabe[Position],2,Eingabe[MP],1,Eingabe[Name],PositionG[[#This Row],[Name]]))</f>
        <v/>
      </c>
      <c r="L10" s="164" t="str">
        <f>IF(PositionG[[#This Row],[P3]]="","",COUNTIFS(Eingabe[Position],3,Eingabe[MP],1,Eingabe[Name],PositionG[[#This Row],[Name]]))</f>
        <v/>
      </c>
      <c r="M10" s="164" t="str">
        <f>IF(PositionG[[#This Row],[P4]]="","",COUNTIFS(Eingabe[Position],4,Eingabe[MP],1,Eingabe[Name],PositionG[[#This Row],[Name]]))</f>
        <v/>
      </c>
      <c r="N10" s="164" t="str">
        <f>IF(PositionG[[#This Row],[P5]]="","",COUNTIFS(Eingabe[Position],5,Eingabe[MP],1,Eingabe[Name],PositionG[[#This Row],[Name]]))</f>
        <v/>
      </c>
      <c r="O10" s="164" t="str">
        <f>IF(PositionG[[#This Row],[P6]]="","",COUNTIFS(Eingabe[Position],6,Eingabe[MP],1,Eingabe[Name],PositionG[[#This Row],[Name]]))</f>
        <v/>
      </c>
      <c r="P10" s="169" t="str">
        <f>IF(PositionG[[#This Row],[P1]]=0,"",IF(PositionG[[#This Row],[P1]]="","",PositionG[[#This Row],[P1 S]]/PositionG[[#This Row],[P1]]))</f>
        <v/>
      </c>
      <c r="Q10" s="169" t="str">
        <f>IF(PositionG[[#This Row],[P2]]=0,"",IF(PositionG[[#This Row],[P2]]="","",PositionG[[#This Row],[P2 S]]/PositionG[[#This Row],[P2]]))</f>
        <v/>
      </c>
      <c r="R10" s="169" t="str">
        <f>IF(PositionG[[#This Row],[P3]]=0,"",IF(PositionG[[#This Row],[P3]]="","",PositionG[[#This Row],[P3 S]]/PositionG[[#This Row],[P3]]))</f>
        <v/>
      </c>
      <c r="S10" s="169" t="str">
        <f>IF(PositionG[[#This Row],[P4]]=0,"",IF(PositionG[[#This Row],[P4]]="","",PositionG[[#This Row],[P4 S]]/PositionG[[#This Row],[P4]]))</f>
        <v/>
      </c>
      <c r="T10" s="169" t="str">
        <f>IF(PositionG[[#This Row],[P5]]=0,"",IF(PositionG[[#This Row],[P5]]="","",PositionG[[#This Row],[P5 S]]/PositionG[[#This Row],[P5]]))</f>
        <v/>
      </c>
      <c r="U10" s="169" t="str">
        <f>IF(PositionG[[#This Row],[P6]]=0,"",IF(PositionG[[#This Row],[P6]]="","",PositionG[[#This Row],[P6 S]]/PositionG[[#This Row],[P6]]))</f>
        <v/>
      </c>
      <c r="V10"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10" s="170" t="str">
        <f>IF(PositionG[[#This Row],[HP]]="","",MAX(PositionG[[#This Row],[P1]:[P6]]))</f>
        <v/>
      </c>
      <c r="X10"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10" s="169" t="str">
        <f>IF(PositionG[[#This Row],[Spiele]]="","",MAX(PositionG[[#This Row],[P1 %]:[P6 %]]))</f>
        <v/>
      </c>
    </row>
    <row r="11" spans="1:25" x14ac:dyDescent="0.3">
      <c r="B11" s="164" t="str">
        <f>VLOOKUP(ROW(PositionG[[#This Row],[Name]])-1,Teamzuordnung[],2,FALSE)</f>
        <v>Emelie Schiffel</v>
      </c>
      <c r="C11" s="164" t="str">
        <f>VLOOKUP(PositionG[[#This Row],[Name]],AuswertungG[],4,FALSE)</f>
        <v/>
      </c>
      <c r="D11" s="164" t="str">
        <f>IF(PositionG[[#This Row],[Spiele]]="","",COUNTIFS(Eingabe[Name],PositionG[[#This Row],[Name]],Eingabe[Position],1))</f>
        <v/>
      </c>
      <c r="E11" s="164" t="str">
        <f>IF(PositionG[[#This Row],[Spiele]]="","",COUNTIFS(Eingabe[Name],PositionG[[#This Row],[Name]],Eingabe[Position],2))</f>
        <v/>
      </c>
      <c r="F11" s="164" t="str">
        <f>IF(PositionG[[#This Row],[Spiele]]="","",COUNTIFS(Eingabe[Name],PositionG[[#This Row],[Name]],Eingabe[Position],3))</f>
        <v/>
      </c>
      <c r="G11" s="164" t="str">
        <f>IF(PositionG[[#This Row],[Spiele]]="","",COUNTIFS(Eingabe[Name],PositionG[[#This Row],[Name]],Eingabe[Position],4))</f>
        <v/>
      </c>
      <c r="H11" s="164" t="str">
        <f>IF(PositionG[[#This Row],[Spiele]]="","",COUNTIFS(Eingabe[Name],PositionG[[#This Row],[Name]],Eingabe[Position],5))</f>
        <v/>
      </c>
      <c r="I11" s="164" t="str">
        <f>IF(PositionG[[#This Row],[Spiele]]="","",COUNTIFS(Eingabe[Name],PositionG[[#This Row],[Name]],Eingabe[Position],6))</f>
        <v/>
      </c>
      <c r="J11" s="164" t="str">
        <f>IF(PositionG[[#This Row],[P1]]="","",COUNTIFS(Eingabe[Position],1,Eingabe[MP],1,Eingabe[Name],PositionG[[#This Row],[Name]]))</f>
        <v/>
      </c>
      <c r="K11" s="164" t="str">
        <f>IF(PositionG[[#This Row],[P2]]="","",COUNTIFS(Eingabe[Position],2,Eingabe[MP],1,Eingabe[Name],PositionG[[#This Row],[Name]]))</f>
        <v/>
      </c>
      <c r="L11" s="164" t="str">
        <f>IF(PositionG[[#This Row],[P3]]="","",COUNTIFS(Eingabe[Position],3,Eingabe[MP],1,Eingabe[Name],PositionG[[#This Row],[Name]]))</f>
        <v/>
      </c>
      <c r="M11" s="164" t="str">
        <f>IF(PositionG[[#This Row],[P4]]="","",COUNTIFS(Eingabe[Position],4,Eingabe[MP],1,Eingabe[Name],PositionG[[#This Row],[Name]]))</f>
        <v/>
      </c>
      <c r="N11" s="164" t="str">
        <f>IF(PositionG[[#This Row],[P5]]="","",COUNTIFS(Eingabe[Position],5,Eingabe[MP],1,Eingabe[Name],PositionG[[#This Row],[Name]]))</f>
        <v/>
      </c>
      <c r="O11" s="164" t="str">
        <f>IF(PositionG[[#This Row],[P6]]="","",COUNTIFS(Eingabe[Position],6,Eingabe[MP],1,Eingabe[Name],PositionG[[#This Row],[Name]]))</f>
        <v/>
      </c>
      <c r="P11" s="169" t="str">
        <f>IF(PositionG[[#This Row],[P1]]=0,"",IF(PositionG[[#This Row],[P1]]="","",PositionG[[#This Row],[P1 S]]/PositionG[[#This Row],[P1]]))</f>
        <v/>
      </c>
      <c r="Q11" s="169" t="str">
        <f>IF(PositionG[[#This Row],[P2]]=0,"",IF(PositionG[[#This Row],[P2]]="","",PositionG[[#This Row],[P2 S]]/PositionG[[#This Row],[P2]]))</f>
        <v/>
      </c>
      <c r="R11" s="169" t="str">
        <f>IF(PositionG[[#This Row],[P3]]=0,"",IF(PositionG[[#This Row],[P3]]="","",PositionG[[#This Row],[P3 S]]/PositionG[[#This Row],[P3]]))</f>
        <v/>
      </c>
      <c r="S11" s="169" t="str">
        <f>IF(PositionG[[#This Row],[P4]]=0,"",IF(PositionG[[#This Row],[P4]]="","",PositionG[[#This Row],[P4 S]]/PositionG[[#This Row],[P4]]))</f>
        <v/>
      </c>
      <c r="T11" s="169" t="str">
        <f>IF(PositionG[[#This Row],[P5]]=0,"",IF(PositionG[[#This Row],[P5]]="","",PositionG[[#This Row],[P5 S]]/PositionG[[#This Row],[P5]]))</f>
        <v/>
      </c>
      <c r="U11" s="169" t="str">
        <f>IF(PositionG[[#This Row],[P6]]=0,"",IF(PositionG[[#This Row],[P6]]="","",PositionG[[#This Row],[P6 S]]/PositionG[[#This Row],[P6]]))</f>
        <v/>
      </c>
      <c r="V11"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11" s="170" t="str">
        <f>IF(PositionG[[#This Row],[HP]]="","",MAX(PositionG[[#This Row],[P1]:[P6]]))</f>
        <v/>
      </c>
      <c r="X11"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11" s="169" t="str">
        <f>IF(PositionG[[#This Row],[Spiele]]="","",MAX(PositionG[[#This Row],[P1 %]:[P6 %]]))</f>
        <v/>
      </c>
    </row>
    <row r="12" spans="1:25" x14ac:dyDescent="0.3">
      <c r="B12" s="164" t="str">
        <f>VLOOKUP(ROW(PositionG[[#This Row],[Name]])-1,Teamzuordnung[],2,FALSE)</f>
        <v>Emma Hettmann</v>
      </c>
      <c r="C12" s="164">
        <f>VLOOKUP(PositionG[[#This Row],[Name]],AuswertungG[],4,FALSE)</f>
        <v>1</v>
      </c>
      <c r="D12" s="164">
        <f>IF(PositionG[[#This Row],[Spiele]]="","",COUNTIFS(Eingabe[Name],PositionG[[#This Row],[Name]],Eingabe[Position],1))</f>
        <v>0</v>
      </c>
      <c r="E12" s="164">
        <f>IF(PositionG[[#This Row],[Spiele]]="","",COUNTIFS(Eingabe[Name],PositionG[[#This Row],[Name]],Eingabe[Position],2))</f>
        <v>0</v>
      </c>
      <c r="F12" s="164">
        <f>IF(PositionG[[#This Row],[Spiele]]="","",COUNTIFS(Eingabe[Name],PositionG[[#This Row],[Name]],Eingabe[Position],3))</f>
        <v>1</v>
      </c>
      <c r="G12" s="164">
        <f>IF(PositionG[[#This Row],[Spiele]]="","",COUNTIFS(Eingabe[Name],PositionG[[#This Row],[Name]],Eingabe[Position],4))</f>
        <v>0</v>
      </c>
      <c r="H12" s="164">
        <f>IF(PositionG[[#This Row],[Spiele]]="","",COUNTIFS(Eingabe[Name],PositionG[[#This Row],[Name]],Eingabe[Position],5))</f>
        <v>0</v>
      </c>
      <c r="I12" s="164">
        <f>IF(PositionG[[#This Row],[Spiele]]="","",COUNTIFS(Eingabe[Name],PositionG[[#This Row],[Name]],Eingabe[Position],6))</f>
        <v>0</v>
      </c>
      <c r="J12" s="164">
        <f>IF(PositionG[[#This Row],[P1]]="","",COUNTIFS(Eingabe[Position],1,Eingabe[MP],1,Eingabe[Name],PositionG[[#This Row],[Name]]))</f>
        <v>0</v>
      </c>
      <c r="K12" s="164">
        <f>IF(PositionG[[#This Row],[P2]]="","",COUNTIFS(Eingabe[Position],2,Eingabe[MP],1,Eingabe[Name],PositionG[[#This Row],[Name]]))</f>
        <v>0</v>
      </c>
      <c r="L12" s="164">
        <f>IF(PositionG[[#This Row],[P3]]="","",COUNTIFS(Eingabe[Position],3,Eingabe[MP],1,Eingabe[Name],PositionG[[#This Row],[Name]]))</f>
        <v>1</v>
      </c>
      <c r="M12" s="164">
        <f>IF(PositionG[[#This Row],[P4]]="","",COUNTIFS(Eingabe[Position],4,Eingabe[MP],1,Eingabe[Name],PositionG[[#This Row],[Name]]))</f>
        <v>0</v>
      </c>
      <c r="N12" s="164">
        <f>IF(PositionG[[#This Row],[P5]]="","",COUNTIFS(Eingabe[Position],5,Eingabe[MP],1,Eingabe[Name],PositionG[[#This Row],[Name]]))</f>
        <v>0</v>
      </c>
      <c r="O12" s="164">
        <f>IF(PositionG[[#This Row],[P6]]="","",COUNTIFS(Eingabe[Position],6,Eingabe[MP],1,Eingabe[Name],PositionG[[#This Row],[Name]]))</f>
        <v>0</v>
      </c>
      <c r="P12" s="169" t="str">
        <f>IF(PositionG[[#This Row],[P1]]=0,"",IF(PositionG[[#This Row],[P1]]="","",PositionG[[#This Row],[P1 S]]/PositionG[[#This Row],[P1]]))</f>
        <v/>
      </c>
      <c r="Q12" s="169" t="str">
        <f>IF(PositionG[[#This Row],[P2]]=0,"",IF(PositionG[[#This Row],[P2]]="","",PositionG[[#This Row],[P2 S]]/PositionG[[#This Row],[P2]]))</f>
        <v/>
      </c>
      <c r="R12" s="169">
        <f>IF(PositionG[[#This Row],[P3]]=0,"",IF(PositionG[[#This Row],[P3]]="","",PositionG[[#This Row],[P3 S]]/PositionG[[#This Row],[P3]]))</f>
        <v>1</v>
      </c>
      <c r="S12" s="169" t="str">
        <f>IF(PositionG[[#This Row],[P4]]=0,"",IF(PositionG[[#This Row],[P4]]="","",PositionG[[#This Row],[P4 S]]/PositionG[[#This Row],[P4]]))</f>
        <v/>
      </c>
      <c r="T12" s="169" t="str">
        <f>IF(PositionG[[#This Row],[P5]]=0,"",IF(PositionG[[#This Row],[P5]]="","",PositionG[[#This Row],[P5 S]]/PositionG[[#This Row],[P5]]))</f>
        <v/>
      </c>
      <c r="U12" s="169" t="str">
        <f>IF(PositionG[[#This Row],[P6]]=0,"",IF(PositionG[[#This Row],[P6]]="","",PositionG[[#This Row],[P6 S]]/PositionG[[#This Row],[P6]]))</f>
        <v/>
      </c>
      <c r="V12"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[3]</v>
      </c>
      <c r="W12" s="170">
        <f>IF(PositionG[[#This Row],[HP]]="","",MAX(PositionG[[#This Row],[P1]:[P6]]))</f>
        <v>1</v>
      </c>
      <c r="X12"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[3]</v>
      </c>
      <c r="Y12" s="169">
        <f>IF(PositionG[[#This Row],[Spiele]]="","",MAX(PositionG[[#This Row],[P1 %]:[P6 %]]))</f>
        <v>1</v>
      </c>
    </row>
    <row r="13" spans="1:25" x14ac:dyDescent="0.3">
      <c r="B13" s="164" t="str">
        <f>VLOOKUP(ROW(PositionG[[#This Row],[Name]])-1,Teamzuordnung[],2,FALSE)</f>
        <v>Erik Krutak</v>
      </c>
      <c r="C13" s="164">
        <f>VLOOKUP(PositionG[[#This Row],[Name]],AuswertungG[],4,FALSE)</f>
        <v>10</v>
      </c>
      <c r="D13" s="164">
        <f>IF(PositionG[[#This Row],[Spiele]]="","",COUNTIFS(Eingabe[Name],PositionG[[#This Row],[Name]],Eingabe[Position],1))</f>
        <v>0</v>
      </c>
      <c r="E13" s="164">
        <f>IF(PositionG[[#This Row],[Spiele]]="","",COUNTIFS(Eingabe[Name],PositionG[[#This Row],[Name]],Eingabe[Position],2))</f>
        <v>1</v>
      </c>
      <c r="F13" s="164">
        <f>IF(PositionG[[#This Row],[Spiele]]="","",COUNTIFS(Eingabe[Name],PositionG[[#This Row],[Name]],Eingabe[Position],3))</f>
        <v>2</v>
      </c>
      <c r="G13" s="164">
        <f>IF(PositionG[[#This Row],[Spiele]]="","",COUNTIFS(Eingabe[Name],PositionG[[#This Row],[Name]],Eingabe[Position],4))</f>
        <v>0</v>
      </c>
      <c r="H13" s="164">
        <f>IF(PositionG[[#This Row],[Spiele]]="","",COUNTIFS(Eingabe[Name],PositionG[[#This Row],[Name]],Eingabe[Position],5))</f>
        <v>3</v>
      </c>
      <c r="I13" s="164">
        <f>IF(PositionG[[#This Row],[Spiele]]="","",COUNTIFS(Eingabe[Name],PositionG[[#This Row],[Name]],Eingabe[Position],6))</f>
        <v>4</v>
      </c>
      <c r="J13" s="164">
        <f>IF(PositionG[[#This Row],[P1]]="","",COUNTIFS(Eingabe[Position],1,Eingabe[MP],1,Eingabe[Name],PositionG[[#This Row],[Name]]))</f>
        <v>0</v>
      </c>
      <c r="K13" s="164">
        <f>IF(PositionG[[#This Row],[P2]]="","",COUNTIFS(Eingabe[Position],2,Eingabe[MP],1,Eingabe[Name],PositionG[[#This Row],[Name]]))</f>
        <v>0</v>
      </c>
      <c r="L13" s="164">
        <f>IF(PositionG[[#This Row],[P3]]="","",COUNTIFS(Eingabe[Position],3,Eingabe[MP],1,Eingabe[Name],PositionG[[#This Row],[Name]]))</f>
        <v>1</v>
      </c>
      <c r="M13" s="164">
        <f>IF(PositionG[[#This Row],[P4]]="","",COUNTIFS(Eingabe[Position],4,Eingabe[MP],1,Eingabe[Name],PositionG[[#This Row],[Name]]))</f>
        <v>0</v>
      </c>
      <c r="N13" s="164">
        <f>IF(PositionG[[#This Row],[P5]]="","",COUNTIFS(Eingabe[Position],5,Eingabe[MP],1,Eingabe[Name],PositionG[[#This Row],[Name]]))</f>
        <v>0</v>
      </c>
      <c r="O13" s="164">
        <f>IF(PositionG[[#This Row],[P6]]="","",COUNTIFS(Eingabe[Position],6,Eingabe[MP],1,Eingabe[Name],PositionG[[#This Row],[Name]]))</f>
        <v>2</v>
      </c>
      <c r="P13" s="169" t="str">
        <f>IF(PositionG[[#This Row],[P1]]=0,"",IF(PositionG[[#This Row],[P1]]="","",PositionG[[#This Row],[P1 S]]/PositionG[[#This Row],[P1]]))</f>
        <v/>
      </c>
      <c r="Q13" s="169">
        <f>IF(PositionG[[#This Row],[P2]]=0,"",IF(PositionG[[#This Row],[P2]]="","",PositionG[[#This Row],[P2 S]]/PositionG[[#This Row],[P2]]))</f>
        <v>0</v>
      </c>
      <c r="R13" s="169">
        <f>IF(PositionG[[#This Row],[P3]]=0,"",IF(PositionG[[#This Row],[P3]]="","",PositionG[[#This Row],[P3 S]]/PositionG[[#This Row],[P3]]))</f>
        <v>0.5</v>
      </c>
      <c r="S13" s="169" t="str">
        <f>IF(PositionG[[#This Row],[P4]]=0,"",IF(PositionG[[#This Row],[P4]]="","",PositionG[[#This Row],[P4 S]]/PositionG[[#This Row],[P4]]))</f>
        <v/>
      </c>
      <c r="T13" s="169">
        <f>IF(PositionG[[#This Row],[P5]]=0,"",IF(PositionG[[#This Row],[P5]]="","",PositionG[[#This Row],[P5 S]]/PositionG[[#This Row],[P5]]))</f>
        <v>0</v>
      </c>
      <c r="U13" s="169">
        <f>IF(PositionG[[#This Row],[P6]]=0,"",IF(PositionG[[#This Row],[P6]]="","",PositionG[[#This Row],[P6 S]]/PositionG[[#This Row],[P6]]))</f>
        <v>0.5</v>
      </c>
      <c r="V13"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[6]</v>
      </c>
      <c r="W13" s="170">
        <f>IF(PositionG[[#This Row],[HP]]="","",MAX(PositionG[[#This Row],[P1]:[P6]]))</f>
        <v>4</v>
      </c>
      <c r="X13"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[3][6]</v>
      </c>
      <c r="Y13" s="169">
        <f>IF(PositionG[[#This Row],[Spiele]]="","",MAX(PositionG[[#This Row],[P1 %]:[P6 %]]))</f>
        <v>0.5</v>
      </c>
    </row>
    <row r="14" spans="1:25" x14ac:dyDescent="0.3">
      <c r="B14" s="164" t="str">
        <f>VLOOKUP(ROW(PositionG[[#This Row],[Name]])-1,Teamzuordnung[],2,FALSE)</f>
        <v>Florian Jäger</v>
      </c>
      <c r="C14" s="164">
        <f>VLOOKUP(PositionG[[#This Row],[Name]],AuswertungG[],4,FALSE)</f>
        <v>2</v>
      </c>
      <c r="D14" s="164">
        <f>IF(PositionG[[#This Row],[Spiele]]="","",COUNTIFS(Eingabe[Name],PositionG[[#This Row],[Name]],Eingabe[Position],1))</f>
        <v>0</v>
      </c>
      <c r="E14" s="164">
        <f>IF(PositionG[[#This Row],[Spiele]]="","",COUNTIFS(Eingabe[Name],PositionG[[#This Row],[Name]],Eingabe[Position],2))</f>
        <v>0</v>
      </c>
      <c r="F14" s="164">
        <f>IF(PositionG[[#This Row],[Spiele]]="","",COUNTIFS(Eingabe[Name],PositionG[[#This Row],[Name]],Eingabe[Position],3))</f>
        <v>0</v>
      </c>
      <c r="G14" s="164">
        <f>IF(PositionG[[#This Row],[Spiele]]="","",COUNTIFS(Eingabe[Name],PositionG[[#This Row],[Name]],Eingabe[Position],4))</f>
        <v>0</v>
      </c>
      <c r="H14" s="164">
        <f>IF(PositionG[[#This Row],[Spiele]]="","",COUNTIFS(Eingabe[Name],PositionG[[#This Row],[Name]],Eingabe[Position],5))</f>
        <v>0</v>
      </c>
      <c r="I14" s="164">
        <f>IF(PositionG[[#This Row],[Spiele]]="","",COUNTIFS(Eingabe[Name],PositionG[[#This Row],[Name]],Eingabe[Position],6))</f>
        <v>2</v>
      </c>
      <c r="J14" s="164">
        <f>IF(PositionG[[#This Row],[P1]]="","",COUNTIFS(Eingabe[Position],1,Eingabe[MP],1,Eingabe[Name],PositionG[[#This Row],[Name]]))</f>
        <v>0</v>
      </c>
      <c r="K14" s="164">
        <f>IF(PositionG[[#This Row],[P2]]="","",COUNTIFS(Eingabe[Position],2,Eingabe[MP],1,Eingabe[Name],PositionG[[#This Row],[Name]]))</f>
        <v>0</v>
      </c>
      <c r="L14" s="164">
        <f>IF(PositionG[[#This Row],[P3]]="","",COUNTIFS(Eingabe[Position],3,Eingabe[MP],1,Eingabe[Name],PositionG[[#This Row],[Name]]))</f>
        <v>0</v>
      </c>
      <c r="M14" s="164">
        <f>IF(PositionG[[#This Row],[P4]]="","",COUNTIFS(Eingabe[Position],4,Eingabe[MP],1,Eingabe[Name],PositionG[[#This Row],[Name]]))</f>
        <v>0</v>
      </c>
      <c r="N14" s="164">
        <f>IF(PositionG[[#This Row],[P5]]="","",COUNTIFS(Eingabe[Position],5,Eingabe[MP],1,Eingabe[Name],PositionG[[#This Row],[Name]]))</f>
        <v>0</v>
      </c>
      <c r="O14" s="164">
        <f>IF(PositionG[[#This Row],[P6]]="","",COUNTIFS(Eingabe[Position],6,Eingabe[MP],1,Eingabe[Name],PositionG[[#This Row],[Name]]))</f>
        <v>2</v>
      </c>
      <c r="P14" s="169" t="str">
        <f>IF(PositionG[[#This Row],[P1]]=0,"",IF(PositionG[[#This Row],[P1]]="","",PositionG[[#This Row],[P1 S]]/PositionG[[#This Row],[P1]]))</f>
        <v/>
      </c>
      <c r="Q14" s="169" t="str">
        <f>IF(PositionG[[#This Row],[P2]]=0,"",IF(PositionG[[#This Row],[P2]]="","",PositionG[[#This Row],[P2 S]]/PositionG[[#This Row],[P2]]))</f>
        <v/>
      </c>
      <c r="R14" s="169" t="str">
        <f>IF(PositionG[[#This Row],[P3]]=0,"",IF(PositionG[[#This Row],[P3]]="","",PositionG[[#This Row],[P3 S]]/PositionG[[#This Row],[P3]]))</f>
        <v/>
      </c>
      <c r="S14" s="169" t="str">
        <f>IF(PositionG[[#This Row],[P4]]=0,"",IF(PositionG[[#This Row],[P4]]="","",PositionG[[#This Row],[P4 S]]/PositionG[[#This Row],[P4]]))</f>
        <v/>
      </c>
      <c r="T14" s="169" t="str">
        <f>IF(PositionG[[#This Row],[P5]]=0,"",IF(PositionG[[#This Row],[P5]]="","",PositionG[[#This Row],[P5 S]]/PositionG[[#This Row],[P5]]))</f>
        <v/>
      </c>
      <c r="U14" s="169">
        <f>IF(PositionG[[#This Row],[P6]]=0,"",IF(PositionG[[#This Row],[P6]]="","",PositionG[[#This Row],[P6 S]]/PositionG[[#This Row],[P6]]))</f>
        <v>1</v>
      </c>
      <c r="V14"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[6]</v>
      </c>
      <c r="W14" s="170">
        <f>IF(PositionG[[#This Row],[HP]]="","",MAX(PositionG[[#This Row],[P1]:[P6]]))</f>
        <v>2</v>
      </c>
      <c r="X14"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[6]</v>
      </c>
      <c r="Y14" s="169">
        <f>IF(PositionG[[#This Row],[Spiele]]="","",MAX(PositionG[[#This Row],[P1 %]:[P6 %]]))</f>
        <v>1</v>
      </c>
    </row>
    <row r="15" spans="1:25" x14ac:dyDescent="0.3">
      <c r="B15" s="164" t="str">
        <f>VLOOKUP(ROW(PositionG[[#This Row],[Name]])-1,Teamzuordnung[],2,FALSE)</f>
        <v>Heike Scholz</v>
      </c>
      <c r="C15" s="164">
        <f>VLOOKUP(PositionG[[#This Row],[Name]],AuswertungG[],4,FALSE)</f>
        <v>7</v>
      </c>
      <c r="D15" s="164">
        <f>IF(PositionG[[#This Row],[Spiele]]="","",COUNTIFS(Eingabe[Name],PositionG[[#This Row],[Name]],Eingabe[Position],1))</f>
        <v>0</v>
      </c>
      <c r="E15" s="164">
        <f>IF(PositionG[[#This Row],[Spiele]]="","",COUNTIFS(Eingabe[Name],PositionG[[#This Row],[Name]],Eingabe[Position],2))</f>
        <v>1</v>
      </c>
      <c r="F15" s="164">
        <f>IF(PositionG[[#This Row],[Spiele]]="","",COUNTIFS(Eingabe[Name],PositionG[[#This Row],[Name]],Eingabe[Position],3))</f>
        <v>1</v>
      </c>
      <c r="G15" s="164">
        <f>IF(PositionG[[#This Row],[Spiele]]="","",COUNTIFS(Eingabe[Name],PositionG[[#This Row],[Name]],Eingabe[Position],4))</f>
        <v>4</v>
      </c>
      <c r="H15" s="164">
        <f>IF(PositionG[[#This Row],[Spiele]]="","",COUNTIFS(Eingabe[Name],PositionG[[#This Row],[Name]],Eingabe[Position],5))</f>
        <v>1</v>
      </c>
      <c r="I15" s="164">
        <f>IF(PositionG[[#This Row],[Spiele]]="","",COUNTIFS(Eingabe[Name],PositionG[[#This Row],[Name]],Eingabe[Position],6))</f>
        <v>0</v>
      </c>
      <c r="J15" s="164">
        <f>IF(PositionG[[#This Row],[P1]]="","",COUNTIFS(Eingabe[Position],1,Eingabe[MP],1,Eingabe[Name],PositionG[[#This Row],[Name]]))</f>
        <v>0</v>
      </c>
      <c r="K15" s="164">
        <f>IF(PositionG[[#This Row],[P2]]="","",COUNTIFS(Eingabe[Position],2,Eingabe[MP],1,Eingabe[Name],PositionG[[#This Row],[Name]]))</f>
        <v>1</v>
      </c>
      <c r="L15" s="164">
        <f>IF(PositionG[[#This Row],[P3]]="","",COUNTIFS(Eingabe[Position],3,Eingabe[MP],1,Eingabe[Name],PositionG[[#This Row],[Name]]))</f>
        <v>1</v>
      </c>
      <c r="M15" s="164">
        <f>IF(PositionG[[#This Row],[P4]]="","",COUNTIFS(Eingabe[Position],4,Eingabe[MP],1,Eingabe[Name],PositionG[[#This Row],[Name]]))</f>
        <v>3</v>
      </c>
      <c r="N15" s="164">
        <f>IF(PositionG[[#This Row],[P5]]="","",COUNTIFS(Eingabe[Position],5,Eingabe[MP],1,Eingabe[Name],PositionG[[#This Row],[Name]]))</f>
        <v>0</v>
      </c>
      <c r="O15" s="164">
        <f>IF(PositionG[[#This Row],[P6]]="","",COUNTIFS(Eingabe[Position],6,Eingabe[MP],1,Eingabe[Name],PositionG[[#This Row],[Name]]))</f>
        <v>0</v>
      </c>
      <c r="P15" s="169" t="str">
        <f>IF(PositionG[[#This Row],[P1]]=0,"",IF(PositionG[[#This Row],[P1]]="","",PositionG[[#This Row],[P1 S]]/PositionG[[#This Row],[P1]]))</f>
        <v/>
      </c>
      <c r="Q15" s="169">
        <f>IF(PositionG[[#This Row],[P2]]=0,"",IF(PositionG[[#This Row],[P2]]="","",PositionG[[#This Row],[P2 S]]/PositionG[[#This Row],[P2]]))</f>
        <v>1</v>
      </c>
      <c r="R15" s="169">
        <f>IF(PositionG[[#This Row],[P3]]=0,"",IF(PositionG[[#This Row],[P3]]="","",PositionG[[#This Row],[P3 S]]/PositionG[[#This Row],[P3]]))</f>
        <v>1</v>
      </c>
      <c r="S15" s="169">
        <f>IF(PositionG[[#This Row],[P4]]=0,"",IF(PositionG[[#This Row],[P4]]="","",PositionG[[#This Row],[P4 S]]/PositionG[[#This Row],[P4]]))</f>
        <v>0.75</v>
      </c>
      <c r="T15" s="169">
        <f>IF(PositionG[[#This Row],[P5]]=0,"",IF(PositionG[[#This Row],[P5]]="","",PositionG[[#This Row],[P5 S]]/PositionG[[#This Row],[P5]]))</f>
        <v>0</v>
      </c>
      <c r="U15" s="169" t="str">
        <f>IF(PositionG[[#This Row],[P6]]=0,"",IF(PositionG[[#This Row],[P6]]="","",PositionG[[#This Row],[P6 S]]/PositionG[[#This Row],[P6]]))</f>
        <v/>
      </c>
      <c r="V15"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[4]</v>
      </c>
      <c r="W15" s="170">
        <f>IF(PositionG[[#This Row],[HP]]="","",MAX(PositionG[[#This Row],[P1]:[P6]]))</f>
        <v>4</v>
      </c>
      <c r="X15"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[2][3]</v>
      </c>
      <c r="Y15" s="169">
        <f>IF(PositionG[[#This Row],[Spiele]]="","",MAX(PositionG[[#This Row],[P1 %]:[P6 %]]))</f>
        <v>1</v>
      </c>
    </row>
    <row r="16" spans="1:25" x14ac:dyDescent="0.3">
      <c r="B16" s="164" t="str">
        <f>VLOOKUP(ROW(PositionG[[#This Row],[Name]])-1,Teamzuordnung[],2,FALSE)</f>
        <v>Heiko Fuhrmann</v>
      </c>
      <c r="C16" s="164">
        <f>VLOOKUP(PositionG[[#This Row],[Name]],AuswertungG[],4,FALSE)</f>
        <v>14</v>
      </c>
      <c r="D16" s="164">
        <f>IF(PositionG[[#This Row],[Spiele]]="","",COUNTIFS(Eingabe[Name],PositionG[[#This Row],[Name]],Eingabe[Position],1))</f>
        <v>0</v>
      </c>
      <c r="E16" s="164">
        <f>IF(PositionG[[#This Row],[Spiele]]="","",COUNTIFS(Eingabe[Name],PositionG[[#This Row],[Name]],Eingabe[Position],2))</f>
        <v>1</v>
      </c>
      <c r="F16" s="164">
        <f>IF(PositionG[[#This Row],[Spiele]]="","",COUNTIFS(Eingabe[Name],PositionG[[#This Row],[Name]],Eingabe[Position],3))</f>
        <v>0</v>
      </c>
      <c r="G16" s="164">
        <f>IF(PositionG[[#This Row],[Spiele]]="","",COUNTIFS(Eingabe[Name],PositionG[[#This Row],[Name]],Eingabe[Position],4))</f>
        <v>1</v>
      </c>
      <c r="H16" s="164">
        <f>IF(PositionG[[#This Row],[Spiele]]="","",COUNTIFS(Eingabe[Name],PositionG[[#This Row],[Name]],Eingabe[Position],5))</f>
        <v>3</v>
      </c>
      <c r="I16" s="164">
        <f>IF(PositionG[[#This Row],[Spiele]]="","",COUNTIFS(Eingabe[Name],PositionG[[#This Row],[Name]],Eingabe[Position],6))</f>
        <v>9</v>
      </c>
      <c r="J16" s="164">
        <f>IF(PositionG[[#This Row],[P1]]="","",COUNTIFS(Eingabe[Position],1,Eingabe[MP],1,Eingabe[Name],PositionG[[#This Row],[Name]]))</f>
        <v>0</v>
      </c>
      <c r="K16" s="164">
        <f>IF(PositionG[[#This Row],[P2]]="","",COUNTIFS(Eingabe[Position],2,Eingabe[MP],1,Eingabe[Name],PositionG[[#This Row],[Name]]))</f>
        <v>1</v>
      </c>
      <c r="L16" s="164">
        <f>IF(PositionG[[#This Row],[P3]]="","",COUNTIFS(Eingabe[Position],3,Eingabe[MP],1,Eingabe[Name],PositionG[[#This Row],[Name]]))</f>
        <v>0</v>
      </c>
      <c r="M16" s="164">
        <f>IF(PositionG[[#This Row],[P4]]="","",COUNTIFS(Eingabe[Position],4,Eingabe[MP],1,Eingabe[Name],PositionG[[#This Row],[Name]]))</f>
        <v>0</v>
      </c>
      <c r="N16" s="164">
        <f>IF(PositionG[[#This Row],[P5]]="","",COUNTIFS(Eingabe[Position],5,Eingabe[MP],1,Eingabe[Name],PositionG[[#This Row],[Name]]))</f>
        <v>2</v>
      </c>
      <c r="O16" s="164">
        <f>IF(PositionG[[#This Row],[P6]]="","",COUNTIFS(Eingabe[Position],6,Eingabe[MP],1,Eingabe[Name],PositionG[[#This Row],[Name]]))</f>
        <v>2</v>
      </c>
      <c r="P16" s="169" t="str">
        <f>IF(PositionG[[#This Row],[P1]]=0,"",IF(PositionG[[#This Row],[P1]]="","",PositionG[[#This Row],[P1 S]]/PositionG[[#This Row],[P1]]))</f>
        <v/>
      </c>
      <c r="Q16" s="169">
        <f>IF(PositionG[[#This Row],[P2]]=0,"",IF(PositionG[[#This Row],[P2]]="","",PositionG[[#This Row],[P2 S]]/PositionG[[#This Row],[P2]]))</f>
        <v>1</v>
      </c>
      <c r="R16" s="169" t="str">
        <f>IF(PositionG[[#This Row],[P3]]=0,"",IF(PositionG[[#This Row],[P3]]="","",PositionG[[#This Row],[P3 S]]/PositionG[[#This Row],[P3]]))</f>
        <v/>
      </c>
      <c r="S16" s="169">
        <f>IF(PositionG[[#This Row],[P4]]=0,"",IF(PositionG[[#This Row],[P4]]="","",PositionG[[#This Row],[P4 S]]/PositionG[[#This Row],[P4]]))</f>
        <v>0</v>
      </c>
      <c r="T16" s="169">
        <f>IF(PositionG[[#This Row],[P5]]=0,"",IF(PositionG[[#This Row],[P5]]="","",PositionG[[#This Row],[P5 S]]/PositionG[[#This Row],[P5]]))</f>
        <v>0.66666666666666663</v>
      </c>
      <c r="U16" s="169">
        <f>IF(PositionG[[#This Row],[P6]]=0,"",IF(PositionG[[#This Row],[P6]]="","",PositionG[[#This Row],[P6 S]]/PositionG[[#This Row],[P6]]))</f>
        <v>0.22222222222222221</v>
      </c>
      <c r="V16"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[6]</v>
      </c>
      <c r="W16" s="170">
        <f>IF(PositionG[[#This Row],[HP]]="","",MAX(PositionG[[#This Row],[P1]:[P6]]))</f>
        <v>9</v>
      </c>
      <c r="X16"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[2]</v>
      </c>
      <c r="Y16" s="169">
        <f>IF(PositionG[[#This Row],[Spiele]]="","",MAX(PositionG[[#This Row],[P1 %]:[P6 %]]))</f>
        <v>1</v>
      </c>
    </row>
    <row r="17" spans="2:25" x14ac:dyDescent="0.3">
      <c r="B17" s="164" t="str">
        <f>VLOOKUP(ROW(PositionG[[#This Row],[Name]])-1,Teamzuordnung[],2,FALSE)</f>
        <v>Heiko Wüstling</v>
      </c>
      <c r="C17" s="164" t="str">
        <f>VLOOKUP(PositionG[[#This Row],[Name]],AuswertungG[],4,FALSE)</f>
        <v/>
      </c>
      <c r="D17" s="164" t="str">
        <f>IF(PositionG[[#This Row],[Spiele]]="","",COUNTIFS(Eingabe[Name],PositionG[[#This Row],[Name]],Eingabe[Position],1))</f>
        <v/>
      </c>
      <c r="E17" s="164" t="str">
        <f>IF(PositionG[[#This Row],[Spiele]]="","",COUNTIFS(Eingabe[Name],PositionG[[#This Row],[Name]],Eingabe[Position],2))</f>
        <v/>
      </c>
      <c r="F17" s="164" t="str">
        <f>IF(PositionG[[#This Row],[Spiele]]="","",COUNTIFS(Eingabe[Name],PositionG[[#This Row],[Name]],Eingabe[Position],3))</f>
        <v/>
      </c>
      <c r="G17" s="164" t="str">
        <f>IF(PositionG[[#This Row],[Spiele]]="","",COUNTIFS(Eingabe[Name],PositionG[[#This Row],[Name]],Eingabe[Position],4))</f>
        <v/>
      </c>
      <c r="H17" s="164" t="str">
        <f>IF(PositionG[[#This Row],[Spiele]]="","",COUNTIFS(Eingabe[Name],PositionG[[#This Row],[Name]],Eingabe[Position],5))</f>
        <v/>
      </c>
      <c r="I17" s="164" t="str">
        <f>IF(PositionG[[#This Row],[Spiele]]="","",COUNTIFS(Eingabe[Name],PositionG[[#This Row],[Name]],Eingabe[Position],6))</f>
        <v/>
      </c>
      <c r="J17" s="164" t="str">
        <f>IF(PositionG[[#This Row],[P1]]="","",COUNTIFS(Eingabe[Position],1,Eingabe[MP],1,Eingabe[Name],PositionG[[#This Row],[Name]]))</f>
        <v/>
      </c>
      <c r="K17" s="164" t="str">
        <f>IF(PositionG[[#This Row],[P2]]="","",COUNTIFS(Eingabe[Position],2,Eingabe[MP],1,Eingabe[Name],PositionG[[#This Row],[Name]]))</f>
        <v/>
      </c>
      <c r="L17" s="164" t="str">
        <f>IF(PositionG[[#This Row],[P3]]="","",COUNTIFS(Eingabe[Position],3,Eingabe[MP],1,Eingabe[Name],PositionG[[#This Row],[Name]]))</f>
        <v/>
      </c>
      <c r="M17" s="164" t="str">
        <f>IF(PositionG[[#This Row],[P4]]="","",COUNTIFS(Eingabe[Position],4,Eingabe[MP],1,Eingabe[Name],PositionG[[#This Row],[Name]]))</f>
        <v/>
      </c>
      <c r="N17" s="164" t="str">
        <f>IF(PositionG[[#This Row],[P5]]="","",COUNTIFS(Eingabe[Position],5,Eingabe[MP],1,Eingabe[Name],PositionG[[#This Row],[Name]]))</f>
        <v/>
      </c>
      <c r="O17" s="164" t="str">
        <f>IF(PositionG[[#This Row],[P6]]="","",COUNTIFS(Eingabe[Position],6,Eingabe[MP],1,Eingabe[Name],PositionG[[#This Row],[Name]]))</f>
        <v/>
      </c>
      <c r="P17" s="169" t="str">
        <f>IF(PositionG[[#This Row],[P1]]=0,"",IF(PositionG[[#This Row],[P1]]="","",PositionG[[#This Row],[P1 S]]/PositionG[[#This Row],[P1]]))</f>
        <v/>
      </c>
      <c r="Q17" s="169" t="str">
        <f>IF(PositionG[[#This Row],[P2]]=0,"",IF(PositionG[[#This Row],[P2]]="","",PositionG[[#This Row],[P2 S]]/PositionG[[#This Row],[P2]]))</f>
        <v/>
      </c>
      <c r="R17" s="169" t="str">
        <f>IF(PositionG[[#This Row],[P3]]=0,"",IF(PositionG[[#This Row],[P3]]="","",PositionG[[#This Row],[P3 S]]/PositionG[[#This Row],[P3]]))</f>
        <v/>
      </c>
      <c r="S17" s="169" t="str">
        <f>IF(PositionG[[#This Row],[P4]]=0,"",IF(PositionG[[#This Row],[P4]]="","",PositionG[[#This Row],[P4 S]]/PositionG[[#This Row],[P4]]))</f>
        <v/>
      </c>
      <c r="T17" s="169" t="str">
        <f>IF(PositionG[[#This Row],[P5]]=0,"",IF(PositionG[[#This Row],[P5]]="","",PositionG[[#This Row],[P5 S]]/PositionG[[#This Row],[P5]]))</f>
        <v/>
      </c>
      <c r="U17" s="169" t="str">
        <f>IF(PositionG[[#This Row],[P6]]=0,"",IF(PositionG[[#This Row],[P6]]="","",PositionG[[#This Row],[P6 S]]/PositionG[[#This Row],[P6]]))</f>
        <v/>
      </c>
      <c r="V17"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17" s="170" t="str">
        <f>IF(PositionG[[#This Row],[HP]]="","",MAX(PositionG[[#This Row],[P1]:[P6]]))</f>
        <v/>
      </c>
      <c r="X17"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17" s="169" t="str">
        <f>IF(PositionG[[#This Row],[Spiele]]="","",MAX(PositionG[[#This Row],[P1 %]:[P6 %]]))</f>
        <v/>
      </c>
    </row>
    <row r="18" spans="2:25" x14ac:dyDescent="0.3">
      <c r="B18" s="164" t="str">
        <f>VLOOKUP(ROW(PositionG[[#This Row],[Name]])-1,Teamzuordnung[],2,FALSE)</f>
        <v>Jens Starke</v>
      </c>
      <c r="C18" s="164">
        <f>VLOOKUP(PositionG[[#This Row],[Name]],AuswertungG[],4,FALSE)</f>
        <v>5</v>
      </c>
      <c r="D18" s="164">
        <f>IF(PositionG[[#This Row],[Spiele]]="","",COUNTIFS(Eingabe[Name],PositionG[[#This Row],[Name]],Eingabe[Position],1))</f>
        <v>1</v>
      </c>
      <c r="E18" s="164">
        <f>IF(PositionG[[#This Row],[Spiele]]="","",COUNTIFS(Eingabe[Name],PositionG[[#This Row],[Name]],Eingabe[Position],2))</f>
        <v>1</v>
      </c>
      <c r="F18" s="164">
        <f>IF(PositionG[[#This Row],[Spiele]]="","",COUNTIFS(Eingabe[Name],PositionG[[#This Row],[Name]],Eingabe[Position],3))</f>
        <v>1</v>
      </c>
      <c r="G18" s="164">
        <f>IF(PositionG[[#This Row],[Spiele]]="","",COUNTIFS(Eingabe[Name],PositionG[[#This Row],[Name]],Eingabe[Position],4))</f>
        <v>2</v>
      </c>
      <c r="H18" s="164">
        <f>IF(PositionG[[#This Row],[Spiele]]="","",COUNTIFS(Eingabe[Name],PositionG[[#This Row],[Name]],Eingabe[Position],5))</f>
        <v>0</v>
      </c>
      <c r="I18" s="164">
        <f>IF(PositionG[[#This Row],[Spiele]]="","",COUNTIFS(Eingabe[Name],PositionG[[#This Row],[Name]],Eingabe[Position],6))</f>
        <v>0</v>
      </c>
      <c r="J18" s="164">
        <f>IF(PositionG[[#This Row],[P1]]="","",COUNTIFS(Eingabe[Position],1,Eingabe[MP],1,Eingabe[Name],PositionG[[#This Row],[Name]]))</f>
        <v>0</v>
      </c>
      <c r="K18" s="164">
        <f>IF(PositionG[[#This Row],[P2]]="","",COUNTIFS(Eingabe[Position],2,Eingabe[MP],1,Eingabe[Name],PositionG[[#This Row],[Name]]))</f>
        <v>1</v>
      </c>
      <c r="L18" s="164">
        <f>IF(PositionG[[#This Row],[P3]]="","",COUNTIFS(Eingabe[Position],3,Eingabe[MP],1,Eingabe[Name],PositionG[[#This Row],[Name]]))</f>
        <v>0</v>
      </c>
      <c r="M18" s="164">
        <f>IF(PositionG[[#This Row],[P4]]="","",COUNTIFS(Eingabe[Position],4,Eingabe[MP],1,Eingabe[Name],PositionG[[#This Row],[Name]]))</f>
        <v>2</v>
      </c>
      <c r="N18" s="164">
        <f>IF(PositionG[[#This Row],[P5]]="","",COUNTIFS(Eingabe[Position],5,Eingabe[MP],1,Eingabe[Name],PositionG[[#This Row],[Name]]))</f>
        <v>0</v>
      </c>
      <c r="O18" s="164">
        <f>IF(PositionG[[#This Row],[P6]]="","",COUNTIFS(Eingabe[Position],6,Eingabe[MP],1,Eingabe[Name],PositionG[[#This Row],[Name]]))</f>
        <v>0</v>
      </c>
      <c r="P18" s="169">
        <f>IF(PositionG[[#This Row],[P1]]=0,"",IF(PositionG[[#This Row],[P1]]="","",PositionG[[#This Row],[P1 S]]/PositionG[[#This Row],[P1]]))</f>
        <v>0</v>
      </c>
      <c r="Q18" s="169">
        <f>IF(PositionG[[#This Row],[P2]]=0,"",IF(PositionG[[#This Row],[P2]]="","",PositionG[[#This Row],[P2 S]]/PositionG[[#This Row],[P2]]))</f>
        <v>1</v>
      </c>
      <c r="R18" s="169">
        <f>IF(PositionG[[#This Row],[P3]]=0,"",IF(PositionG[[#This Row],[P3]]="","",PositionG[[#This Row],[P3 S]]/PositionG[[#This Row],[P3]]))</f>
        <v>0</v>
      </c>
      <c r="S18" s="169">
        <f>IF(PositionG[[#This Row],[P4]]=0,"",IF(PositionG[[#This Row],[P4]]="","",PositionG[[#This Row],[P4 S]]/PositionG[[#This Row],[P4]]))</f>
        <v>1</v>
      </c>
      <c r="T18" s="169" t="str">
        <f>IF(PositionG[[#This Row],[P5]]=0,"",IF(PositionG[[#This Row],[P5]]="","",PositionG[[#This Row],[P5 S]]/PositionG[[#This Row],[P5]]))</f>
        <v/>
      </c>
      <c r="U18" s="169" t="str">
        <f>IF(PositionG[[#This Row],[P6]]=0,"",IF(PositionG[[#This Row],[P6]]="","",PositionG[[#This Row],[P6 S]]/PositionG[[#This Row],[P6]]))</f>
        <v/>
      </c>
      <c r="V18"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[4]</v>
      </c>
      <c r="W18" s="170">
        <f>IF(PositionG[[#This Row],[HP]]="","",MAX(PositionG[[#This Row],[P1]:[P6]]))</f>
        <v>2</v>
      </c>
      <c r="X18"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[2][4]</v>
      </c>
      <c r="Y18" s="169">
        <f>IF(PositionG[[#This Row],[Spiele]]="","",MAX(PositionG[[#This Row],[P1 %]:[P6 %]]))</f>
        <v>1</v>
      </c>
    </row>
    <row r="19" spans="2:25" x14ac:dyDescent="0.3">
      <c r="B19" s="164" t="str">
        <f>VLOOKUP(ROW(PositionG[[#This Row],[Name]])-1,Teamzuordnung[],2,FALSE)</f>
        <v>Jörg Nötzel</v>
      </c>
      <c r="C19" s="164">
        <f>VLOOKUP(PositionG[[#This Row],[Name]],AuswertungG[],4,FALSE)</f>
        <v>3</v>
      </c>
      <c r="D19" s="164">
        <f>IF(PositionG[[#This Row],[Spiele]]="","",COUNTIFS(Eingabe[Name],PositionG[[#This Row],[Name]],Eingabe[Position],1))</f>
        <v>0</v>
      </c>
      <c r="E19" s="164">
        <f>IF(PositionG[[#This Row],[Spiele]]="","",COUNTIFS(Eingabe[Name],PositionG[[#This Row],[Name]],Eingabe[Position],2))</f>
        <v>1</v>
      </c>
      <c r="F19" s="164">
        <f>IF(PositionG[[#This Row],[Spiele]]="","",COUNTIFS(Eingabe[Name],PositionG[[#This Row],[Name]],Eingabe[Position],3))</f>
        <v>1</v>
      </c>
      <c r="G19" s="164">
        <f>IF(PositionG[[#This Row],[Spiele]]="","",COUNTIFS(Eingabe[Name],PositionG[[#This Row],[Name]],Eingabe[Position],4))</f>
        <v>0</v>
      </c>
      <c r="H19" s="164">
        <f>IF(PositionG[[#This Row],[Spiele]]="","",COUNTIFS(Eingabe[Name],PositionG[[#This Row],[Name]],Eingabe[Position],5))</f>
        <v>0</v>
      </c>
      <c r="I19" s="164">
        <f>IF(PositionG[[#This Row],[Spiele]]="","",COUNTIFS(Eingabe[Name],PositionG[[#This Row],[Name]],Eingabe[Position],6))</f>
        <v>1</v>
      </c>
      <c r="J19" s="164">
        <f>IF(PositionG[[#This Row],[P1]]="","",COUNTIFS(Eingabe[Position],1,Eingabe[MP],1,Eingabe[Name],PositionG[[#This Row],[Name]]))</f>
        <v>0</v>
      </c>
      <c r="K19" s="164">
        <f>IF(PositionG[[#This Row],[P2]]="","",COUNTIFS(Eingabe[Position],2,Eingabe[MP],1,Eingabe[Name],PositionG[[#This Row],[Name]]))</f>
        <v>1</v>
      </c>
      <c r="L19" s="164">
        <f>IF(PositionG[[#This Row],[P3]]="","",COUNTIFS(Eingabe[Position],3,Eingabe[MP],1,Eingabe[Name],PositionG[[#This Row],[Name]]))</f>
        <v>0</v>
      </c>
      <c r="M19" s="164">
        <f>IF(PositionG[[#This Row],[P4]]="","",COUNTIFS(Eingabe[Position],4,Eingabe[MP],1,Eingabe[Name],PositionG[[#This Row],[Name]]))</f>
        <v>0</v>
      </c>
      <c r="N19" s="164">
        <f>IF(PositionG[[#This Row],[P5]]="","",COUNTIFS(Eingabe[Position],5,Eingabe[MP],1,Eingabe[Name],PositionG[[#This Row],[Name]]))</f>
        <v>0</v>
      </c>
      <c r="O19" s="164">
        <f>IF(PositionG[[#This Row],[P6]]="","",COUNTIFS(Eingabe[Position],6,Eingabe[MP],1,Eingabe[Name],PositionG[[#This Row],[Name]]))</f>
        <v>1</v>
      </c>
      <c r="P19" s="169" t="str">
        <f>IF(PositionG[[#This Row],[P1]]=0,"",IF(PositionG[[#This Row],[P1]]="","",PositionG[[#This Row],[P1 S]]/PositionG[[#This Row],[P1]]))</f>
        <v/>
      </c>
      <c r="Q19" s="169">
        <f>IF(PositionG[[#This Row],[P2]]=0,"",IF(PositionG[[#This Row],[P2]]="","",PositionG[[#This Row],[P2 S]]/PositionG[[#This Row],[P2]]))</f>
        <v>1</v>
      </c>
      <c r="R19" s="169">
        <f>IF(PositionG[[#This Row],[P3]]=0,"",IF(PositionG[[#This Row],[P3]]="","",PositionG[[#This Row],[P3 S]]/PositionG[[#This Row],[P3]]))</f>
        <v>0</v>
      </c>
      <c r="S19" s="169" t="str">
        <f>IF(PositionG[[#This Row],[P4]]=0,"",IF(PositionG[[#This Row],[P4]]="","",PositionG[[#This Row],[P4 S]]/PositionG[[#This Row],[P4]]))</f>
        <v/>
      </c>
      <c r="T19" s="169" t="str">
        <f>IF(PositionG[[#This Row],[P5]]=0,"",IF(PositionG[[#This Row],[P5]]="","",PositionG[[#This Row],[P5 S]]/PositionG[[#This Row],[P5]]))</f>
        <v/>
      </c>
      <c r="U19" s="169">
        <f>IF(PositionG[[#This Row],[P6]]=0,"",IF(PositionG[[#This Row],[P6]]="","",PositionG[[#This Row],[P6 S]]/PositionG[[#This Row],[P6]]))</f>
        <v>1</v>
      </c>
      <c r="V19"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[2][3][6]</v>
      </c>
      <c r="W19" s="170">
        <f>IF(PositionG[[#This Row],[HP]]="","",MAX(PositionG[[#This Row],[P1]:[P6]]))</f>
        <v>1</v>
      </c>
      <c r="X19"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[2][6]</v>
      </c>
      <c r="Y19" s="169">
        <f>IF(PositionG[[#This Row],[Spiele]]="","",MAX(PositionG[[#This Row],[P1 %]:[P6 %]]))</f>
        <v>1</v>
      </c>
    </row>
    <row r="20" spans="2:25" x14ac:dyDescent="0.3">
      <c r="B20" s="164" t="str">
        <f>VLOOKUP(ROW(PositionG[[#This Row],[Name]])-1,Teamzuordnung[],2,FALSE)</f>
        <v>Katrin Fiedler</v>
      </c>
      <c r="C20" s="164">
        <f>VLOOKUP(PositionG[[#This Row],[Name]],AuswertungG[],4,FALSE)</f>
        <v>3</v>
      </c>
      <c r="D20" s="164">
        <f>IF(PositionG[[#This Row],[Spiele]]="","",COUNTIFS(Eingabe[Name],PositionG[[#This Row],[Name]],Eingabe[Position],1))</f>
        <v>0</v>
      </c>
      <c r="E20" s="164">
        <f>IF(PositionG[[#This Row],[Spiele]]="","",COUNTIFS(Eingabe[Name],PositionG[[#This Row],[Name]],Eingabe[Position],2))</f>
        <v>0</v>
      </c>
      <c r="F20" s="164">
        <f>IF(PositionG[[#This Row],[Spiele]]="","",COUNTIFS(Eingabe[Name],PositionG[[#This Row],[Name]],Eingabe[Position],3))</f>
        <v>0</v>
      </c>
      <c r="G20" s="164">
        <f>IF(PositionG[[#This Row],[Spiele]]="","",COUNTIFS(Eingabe[Name],PositionG[[#This Row],[Name]],Eingabe[Position],4))</f>
        <v>1</v>
      </c>
      <c r="H20" s="164">
        <f>IF(PositionG[[#This Row],[Spiele]]="","",COUNTIFS(Eingabe[Name],PositionG[[#This Row],[Name]],Eingabe[Position],5))</f>
        <v>0</v>
      </c>
      <c r="I20" s="164">
        <f>IF(PositionG[[#This Row],[Spiele]]="","",COUNTIFS(Eingabe[Name],PositionG[[#This Row],[Name]],Eingabe[Position],6))</f>
        <v>2</v>
      </c>
      <c r="J20" s="164">
        <f>IF(PositionG[[#This Row],[P1]]="","",COUNTIFS(Eingabe[Position],1,Eingabe[MP],1,Eingabe[Name],PositionG[[#This Row],[Name]]))</f>
        <v>0</v>
      </c>
      <c r="K20" s="164">
        <f>IF(PositionG[[#This Row],[P2]]="","",COUNTIFS(Eingabe[Position],2,Eingabe[MP],1,Eingabe[Name],PositionG[[#This Row],[Name]]))</f>
        <v>0</v>
      </c>
      <c r="L20" s="164">
        <f>IF(PositionG[[#This Row],[P3]]="","",COUNTIFS(Eingabe[Position],3,Eingabe[MP],1,Eingabe[Name],PositionG[[#This Row],[Name]]))</f>
        <v>0</v>
      </c>
      <c r="M20" s="164">
        <f>IF(PositionG[[#This Row],[P4]]="","",COUNTIFS(Eingabe[Position],4,Eingabe[MP],1,Eingabe[Name],PositionG[[#This Row],[Name]]))</f>
        <v>0</v>
      </c>
      <c r="N20" s="164">
        <f>IF(PositionG[[#This Row],[P5]]="","",COUNTIFS(Eingabe[Position],5,Eingabe[MP],1,Eingabe[Name],PositionG[[#This Row],[Name]]))</f>
        <v>0</v>
      </c>
      <c r="O20" s="164">
        <f>IF(PositionG[[#This Row],[P6]]="","",COUNTIFS(Eingabe[Position],6,Eingabe[MP],1,Eingabe[Name],PositionG[[#This Row],[Name]]))</f>
        <v>1</v>
      </c>
      <c r="P20" s="169" t="str">
        <f>IF(PositionG[[#This Row],[P1]]=0,"",IF(PositionG[[#This Row],[P1]]="","",PositionG[[#This Row],[P1 S]]/PositionG[[#This Row],[P1]]))</f>
        <v/>
      </c>
      <c r="Q20" s="169" t="str">
        <f>IF(PositionG[[#This Row],[P2]]=0,"",IF(PositionG[[#This Row],[P2]]="","",PositionG[[#This Row],[P2 S]]/PositionG[[#This Row],[P2]]))</f>
        <v/>
      </c>
      <c r="R20" s="169" t="str">
        <f>IF(PositionG[[#This Row],[P3]]=0,"",IF(PositionG[[#This Row],[P3]]="","",PositionG[[#This Row],[P3 S]]/PositionG[[#This Row],[P3]]))</f>
        <v/>
      </c>
      <c r="S20" s="169">
        <f>IF(PositionG[[#This Row],[P4]]=0,"",IF(PositionG[[#This Row],[P4]]="","",PositionG[[#This Row],[P4 S]]/PositionG[[#This Row],[P4]]))</f>
        <v>0</v>
      </c>
      <c r="T20" s="169" t="str">
        <f>IF(PositionG[[#This Row],[P5]]=0,"",IF(PositionG[[#This Row],[P5]]="","",PositionG[[#This Row],[P5 S]]/PositionG[[#This Row],[P5]]))</f>
        <v/>
      </c>
      <c r="U20" s="169">
        <f>IF(PositionG[[#This Row],[P6]]=0,"",IF(PositionG[[#This Row],[P6]]="","",PositionG[[#This Row],[P6 S]]/PositionG[[#This Row],[P6]]))</f>
        <v>0.5</v>
      </c>
      <c r="V20"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[6]</v>
      </c>
      <c r="W20" s="170">
        <f>IF(PositionG[[#This Row],[HP]]="","",MAX(PositionG[[#This Row],[P1]:[P6]]))</f>
        <v>2</v>
      </c>
      <c r="X20"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[6]</v>
      </c>
      <c r="Y20" s="169">
        <f>IF(PositionG[[#This Row],[Spiele]]="","",MAX(PositionG[[#This Row],[P1 %]:[P6 %]]))</f>
        <v>0.5</v>
      </c>
    </row>
    <row r="21" spans="2:25" hidden="1" x14ac:dyDescent="0.3">
      <c r="B21" s="164" t="str">
        <f>VLOOKUP(ROW(PositionG[[#This Row],[Name]])-1,Teamzuordnung[],2,FALSE)</f>
        <v>Katrin Keller</v>
      </c>
      <c r="C21" s="164">
        <f>VLOOKUP(PositionG[[#This Row],[Name]],AuswertungG[],4,FALSE)</f>
        <v>7</v>
      </c>
      <c r="D21" s="164">
        <f>IF(PositionG[[#This Row],[Spiele]]="","",COUNTIFS(Eingabe[Name],PositionG[[#This Row],[Name]],Eingabe[Position],1))</f>
        <v>1</v>
      </c>
      <c r="E21" s="164">
        <f>IF(PositionG[[#This Row],[Spiele]]="","",COUNTIFS(Eingabe[Name],PositionG[[#This Row],[Name]],Eingabe[Position],2))</f>
        <v>2</v>
      </c>
      <c r="F21" s="164">
        <f>IF(PositionG[[#This Row],[Spiele]]="","",COUNTIFS(Eingabe[Name],PositionG[[#This Row],[Name]],Eingabe[Position],3))</f>
        <v>3</v>
      </c>
      <c r="G21" s="164">
        <f>IF(PositionG[[#This Row],[Spiele]]="","",COUNTIFS(Eingabe[Name],PositionG[[#This Row],[Name]],Eingabe[Position],4))</f>
        <v>1</v>
      </c>
      <c r="H21" s="164">
        <f>IF(PositionG[[#This Row],[Spiele]]="","",COUNTIFS(Eingabe[Name],PositionG[[#This Row],[Name]],Eingabe[Position],5))</f>
        <v>0</v>
      </c>
      <c r="I21" s="164">
        <f>IF(PositionG[[#This Row],[Spiele]]="","",COUNTIFS(Eingabe[Name],PositionG[[#This Row],[Name]],Eingabe[Position],6))</f>
        <v>0</v>
      </c>
      <c r="J21" s="164">
        <f>IF(PositionG[[#This Row],[P1]]="","",COUNTIFS(Eingabe[Position],1,Eingabe[MP],1,Eingabe[Name],PositionG[[#This Row],[Name]]))</f>
        <v>1</v>
      </c>
      <c r="K21" s="164">
        <f>IF(PositionG[[#This Row],[P2]]="","",COUNTIFS(Eingabe[Position],2,Eingabe[MP],1,Eingabe[Name],PositionG[[#This Row],[Name]]))</f>
        <v>1</v>
      </c>
      <c r="L21" s="164">
        <f>IF(PositionG[[#This Row],[P3]]="","",COUNTIFS(Eingabe[Position],3,Eingabe[MP],1,Eingabe[Name],PositionG[[#This Row],[Name]]))</f>
        <v>2</v>
      </c>
      <c r="M21" s="164">
        <f>IF(PositionG[[#This Row],[P4]]="","",COUNTIFS(Eingabe[Position],4,Eingabe[MP],1,Eingabe[Name],PositionG[[#This Row],[Name]]))</f>
        <v>0</v>
      </c>
      <c r="N21" s="164">
        <f>IF(PositionG[[#This Row],[P5]]="","",COUNTIFS(Eingabe[Position],5,Eingabe[MP],1,Eingabe[Name],PositionG[[#This Row],[Name]]))</f>
        <v>0</v>
      </c>
      <c r="O21" s="164">
        <f>IF(PositionG[[#This Row],[P6]]="","",COUNTIFS(Eingabe[Position],6,Eingabe[MP],1,Eingabe[Name],PositionG[[#This Row],[Name]]))</f>
        <v>0</v>
      </c>
      <c r="P21" s="169">
        <f>IF(PositionG[[#This Row],[P1]]=0,"",IF(PositionG[[#This Row],[P1]]="","",PositionG[[#This Row],[P1 S]]/PositionG[[#This Row],[P1]]))</f>
        <v>1</v>
      </c>
      <c r="Q21" s="169">
        <f>IF(PositionG[[#This Row],[P2]]=0,"",IF(PositionG[[#This Row],[P2]]="","",PositionG[[#This Row],[P2 S]]/PositionG[[#This Row],[P2]]))</f>
        <v>0.5</v>
      </c>
      <c r="R21" s="169">
        <f>IF(PositionG[[#This Row],[P3]]=0,"",IF(PositionG[[#This Row],[P3]]="","",PositionG[[#This Row],[P3 S]]/PositionG[[#This Row],[P3]]))</f>
        <v>0.66666666666666663</v>
      </c>
      <c r="S21" s="169">
        <f>IF(PositionG[[#This Row],[P4]]=0,"",IF(PositionG[[#This Row],[P4]]="","",PositionG[[#This Row],[P4 S]]/PositionG[[#This Row],[P4]]))</f>
        <v>0</v>
      </c>
      <c r="T21" s="169" t="str">
        <f>IF(PositionG[[#This Row],[P5]]=0,"",IF(PositionG[[#This Row],[P5]]="","",PositionG[[#This Row],[P5 S]]/PositionG[[#This Row],[P5]]))</f>
        <v/>
      </c>
      <c r="U21" s="169" t="str">
        <f>IF(PositionG[[#This Row],[P6]]=0,"",IF(PositionG[[#This Row],[P6]]="","",PositionG[[#This Row],[P6 S]]/PositionG[[#This Row],[P6]]))</f>
        <v/>
      </c>
      <c r="V21"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[3]</v>
      </c>
      <c r="W21" s="170">
        <f>IF(PositionG[[#This Row],[HP]]="","",MAX(PositionG[[#This Row],[P1]:[P6]]))</f>
        <v>3</v>
      </c>
      <c r="X21"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v>
      </c>
      <c r="Y21" s="169">
        <f>IF(PositionG[[#This Row],[Spiele]]="","",MAX(PositionG[[#This Row],[P1 %]:[P6 %]]))</f>
        <v>1</v>
      </c>
    </row>
    <row r="22" spans="2:25" x14ac:dyDescent="0.3">
      <c r="B22" s="164" t="str">
        <f>VLOOKUP(ROW(PositionG[[#This Row],[Name]])-1,Teamzuordnung[],2,FALSE)</f>
        <v>Konrad Scheller</v>
      </c>
      <c r="C22" s="164" t="str">
        <f>VLOOKUP(PositionG[[#This Row],[Name]],AuswertungG[],4,FALSE)</f>
        <v/>
      </c>
      <c r="D22" s="164" t="str">
        <f>IF(PositionG[[#This Row],[Spiele]]="","",COUNTIFS(Eingabe[Name],PositionG[[#This Row],[Name]],Eingabe[Position],1))</f>
        <v/>
      </c>
      <c r="E22" s="164" t="str">
        <f>IF(PositionG[[#This Row],[Spiele]]="","",COUNTIFS(Eingabe[Name],PositionG[[#This Row],[Name]],Eingabe[Position],2))</f>
        <v/>
      </c>
      <c r="F22" s="164" t="str">
        <f>IF(PositionG[[#This Row],[Spiele]]="","",COUNTIFS(Eingabe[Name],PositionG[[#This Row],[Name]],Eingabe[Position],3))</f>
        <v/>
      </c>
      <c r="G22" s="164" t="str">
        <f>IF(PositionG[[#This Row],[Spiele]]="","",COUNTIFS(Eingabe[Name],PositionG[[#This Row],[Name]],Eingabe[Position],4))</f>
        <v/>
      </c>
      <c r="H22" s="164" t="str">
        <f>IF(PositionG[[#This Row],[Spiele]]="","",COUNTIFS(Eingabe[Name],PositionG[[#This Row],[Name]],Eingabe[Position],5))</f>
        <v/>
      </c>
      <c r="I22" s="164" t="str">
        <f>IF(PositionG[[#This Row],[Spiele]]="","",COUNTIFS(Eingabe[Name],PositionG[[#This Row],[Name]],Eingabe[Position],6))</f>
        <v/>
      </c>
      <c r="J22" s="164" t="str">
        <f>IF(PositionG[[#This Row],[P1]]="","",COUNTIFS(Eingabe[Position],1,Eingabe[MP],1,Eingabe[Name],PositionG[[#This Row],[Name]]))</f>
        <v/>
      </c>
      <c r="K22" s="164" t="str">
        <f>IF(PositionG[[#This Row],[P2]]="","",COUNTIFS(Eingabe[Position],2,Eingabe[MP],1,Eingabe[Name],PositionG[[#This Row],[Name]]))</f>
        <v/>
      </c>
      <c r="L22" s="164" t="str">
        <f>IF(PositionG[[#This Row],[P3]]="","",COUNTIFS(Eingabe[Position],3,Eingabe[MP],1,Eingabe[Name],PositionG[[#This Row],[Name]]))</f>
        <v/>
      </c>
      <c r="M22" s="164" t="str">
        <f>IF(PositionG[[#This Row],[P4]]="","",COUNTIFS(Eingabe[Position],4,Eingabe[MP],1,Eingabe[Name],PositionG[[#This Row],[Name]]))</f>
        <v/>
      </c>
      <c r="N22" s="164" t="str">
        <f>IF(PositionG[[#This Row],[P5]]="","",COUNTIFS(Eingabe[Position],5,Eingabe[MP],1,Eingabe[Name],PositionG[[#This Row],[Name]]))</f>
        <v/>
      </c>
      <c r="O22" s="164" t="str">
        <f>IF(PositionG[[#This Row],[P6]]="","",COUNTIFS(Eingabe[Position],6,Eingabe[MP],1,Eingabe[Name],PositionG[[#This Row],[Name]]))</f>
        <v/>
      </c>
      <c r="P22" s="169" t="str">
        <f>IF(PositionG[[#This Row],[P1]]=0,"",IF(PositionG[[#This Row],[P1]]="","",PositionG[[#This Row],[P1 S]]/PositionG[[#This Row],[P1]]))</f>
        <v/>
      </c>
      <c r="Q22" s="169" t="str">
        <f>IF(PositionG[[#This Row],[P2]]=0,"",IF(PositionG[[#This Row],[P2]]="","",PositionG[[#This Row],[P2 S]]/PositionG[[#This Row],[P2]]))</f>
        <v/>
      </c>
      <c r="R22" s="169" t="str">
        <f>IF(PositionG[[#This Row],[P3]]=0,"",IF(PositionG[[#This Row],[P3]]="","",PositionG[[#This Row],[P3 S]]/PositionG[[#This Row],[P3]]))</f>
        <v/>
      </c>
      <c r="S22" s="169" t="str">
        <f>IF(PositionG[[#This Row],[P4]]=0,"",IF(PositionG[[#This Row],[P4]]="","",PositionG[[#This Row],[P4 S]]/PositionG[[#This Row],[P4]]))</f>
        <v/>
      </c>
      <c r="T22" s="169" t="str">
        <f>IF(PositionG[[#This Row],[P5]]=0,"",IF(PositionG[[#This Row],[P5]]="","",PositionG[[#This Row],[P5 S]]/PositionG[[#This Row],[P5]]))</f>
        <v/>
      </c>
      <c r="U22" s="169" t="str">
        <f>IF(PositionG[[#This Row],[P6]]=0,"",IF(PositionG[[#This Row],[P6]]="","",PositionG[[#This Row],[P6 S]]/PositionG[[#This Row],[P6]]))</f>
        <v/>
      </c>
      <c r="V22"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22" s="170" t="str">
        <f>IF(PositionG[[#This Row],[HP]]="","",MAX(PositionG[[#This Row],[P1]:[P6]]))</f>
        <v/>
      </c>
      <c r="X22"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22" s="169" t="str">
        <f>IF(PositionG[[#This Row],[Spiele]]="","",MAX(PositionG[[#This Row],[P1 %]:[P6 %]]))</f>
        <v/>
      </c>
    </row>
    <row r="23" spans="2:25" x14ac:dyDescent="0.3">
      <c r="B23" s="164" t="str">
        <f>VLOOKUP(ROW(PositionG[[#This Row],[Name]])-1,Teamzuordnung[],2,FALSE)</f>
        <v>Lea Meinert</v>
      </c>
      <c r="C23" s="164">
        <f>VLOOKUP(PositionG[[#This Row],[Name]],AuswertungG[],4,FALSE)</f>
        <v>5</v>
      </c>
      <c r="D23" s="164">
        <f>IF(PositionG[[#This Row],[Spiele]]="","",COUNTIFS(Eingabe[Name],PositionG[[#This Row],[Name]],Eingabe[Position],1))</f>
        <v>2</v>
      </c>
      <c r="E23" s="164">
        <f>IF(PositionG[[#This Row],[Spiele]]="","",COUNTIFS(Eingabe[Name],PositionG[[#This Row],[Name]],Eingabe[Position],2))</f>
        <v>2</v>
      </c>
      <c r="F23" s="164">
        <f>IF(PositionG[[#This Row],[Spiele]]="","",COUNTIFS(Eingabe[Name],PositionG[[#This Row],[Name]],Eingabe[Position],3))</f>
        <v>0</v>
      </c>
      <c r="G23" s="164">
        <f>IF(PositionG[[#This Row],[Spiele]]="","",COUNTIFS(Eingabe[Name],PositionG[[#This Row],[Name]],Eingabe[Position],4))</f>
        <v>1</v>
      </c>
      <c r="H23" s="164">
        <f>IF(PositionG[[#This Row],[Spiele]]="","",COUNTIFS(Eingabe[Name],PositionG[[#This Row],[Name]],Eingabe[Position],5))</f>
        <v>0</v>
      </c>
      <c r="I23" s="164">
        <f>IF(PositionG[[#This Row],[Spiele]]="","",COUNTIFS(Eingabe[Name],PositionG[[#This Row],[Name]],Eingabe[Position],6))</f>
        <v>0</v>
      </c>
      <c r="J23" s="164">
        <f>IF(PositionG[[#This Row],[P1]]="","",COUNTIFS(Eingabe[Position],1,Eingabe[MP],1,Eingabe[Name],PositionG[[#This Row],[Name]]))</f>
        <v>0</v>
      </c>
      <c r="K23" s="164">
        <f>IF(PositionG[[#This Row],[P2]]="","",COUNTIFS(Eingabe[Position],2,Eingabe[MP],1,Eingabe[Name],PositionG[[#This Row],[Name]]))</f>
        <v>1</v>
      </c>
      <c r="L23" s="164">
        <f>IF(PositionG[[#This Row],[P3]]="","",COUNTIFS(Eingabe[Position],3,Eingabe[MP],1,Eingabe[Name],PositionG[[#This Row],[Name]]))</f>
        <v>0</v>
      </c>
      <c r="M23" s="164">
        <f>IF(PositionG[[#This Row],[P4]]="","",COUNTIFS(Eingabe[Position],4,Eingabe[MP],1,Eingabe[Name],PositionG[[#This Row],[Name]]))</f>
        <v>1</v>
      </c>
      <c r="N23" s="164">
        <f>IF(PositionG[[#This Row],[P5]]="","",COUNTIFS(Eingabe[Position],5,Eingabe[MP],1,Eingabe[Name],PositionG[[#This Row],[Name]]))</f>
        <v>0</v>
      </c>
      <c r="O23" s="164">
        <f>IF(PositionG[[#This Row],[P6]]="","",COUNTIFS(Eingabe[Position],6,Eingabe[MP],1,Eingabe[Name],PositionG[[#This Row],[Name]]))</f>
        <v>0</v>
      </c>
      <c r="P23" s="169">
        <f>IF(PositionG[[#This Row],[P1]]=0,"",IF(PositionG[[#This Row],[P1]]="","",PositionG[[#This Row],[P1 S]]/PositionG[[#This Row],[P1]]))</f>
        <v>0</v>
      </c>
      <c r="Q23" s="169">
        <f>IF(PositionG[[#This Row],[P2]]=0,"",IF(PositionG[[#This Row],[P2]]="","",PositionG[[#This Row],[P2 S]]/PositionG[[#This Row],[P2]]))</f>
        <v>0.5</v>
      </c>
      <c r="R23" s="169" t="str">
        <f>IF(PositionG[[#This Row],[P3]]=0,"",IF(PositionG[[#This Row],[P3]]="","",PositionG[[#This Row],[P3 S]]/PositionG[[#This Row],[P3]]))</f>
        <v/>
      </c>
      <c r="S23" s="169">
        <f>IF(PositionG[[#This Row],[P4]]=0,"",IF(PositionG[[#This Row],[P4]]="","",PositionG[[#This Row],[P4 S]]/PositionG[[#This Row],[P4]]))</f>
        <v>1</v>
      </c>
      <c r="T23" s="169" t="str">
        <f>IF(PositionG[[#This Row],[P5]]=0,"",IF(PositionG[[#This Row],[P5]]="","",PositionG[[#This Row],[P5 S]]/PositionG[[#This Row],[P5]]))</f>
        <v/>
      </c>
      <c r="U23" s="169" t="str">
        <f>IF(PositionG[[#This Row],[P6]]=0,"",IF(PositionG[[#This Row],[P6]]="","",PositionG[[#This Row],[P6 S]]/PositionG[[#This Row],[P6]]))</f>
        <v/>
      </c>
      <c r="V23"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[1][2]</v>
      </c>
      <c r="W23" s="170">
        <f>IF(PositionG[[#This Row],[HP]]="","",MAX(PositionG[[#This Row],[P1]:[P6]]))</f>
        <v>2</v>
      </c>
      <c r="X23"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[4]</v>
      </c>
      <c r="Y23" s="169">
        <f>IF(PositionG[[#This Row],[Spiele]]="","",MAX(PositionG[[#This Row],[P1 %]:[P6 %]]))</f>
        <v>1</v>
      </c>
    </row>
    <row r="24" spans="2:25" x14ac:dyDescent="0.3">
      <c r="B24" s="164" t="str">
        <f>VLOOKUP(ROW(PositionG[[#This Row],[Name]])-1,Teamzuordnung[],2,FALSE)</f>
        <v>Lisa Marutschke</v>
      </c>
      <c r="C24" s="164" t="str">
        <f>VLOOKUP(PositionG[[#This Row],[Name]],AuswertungG[],4,FALSE)</f>
        <v/>
      </c>
      <c r="D24" s="164" t="str">
        <f>IF(PositionG[[#This Row],[Spiele]]="","",COUNTIFS(Eingabe[Name],PositionG[[#This Row],[Name]],Eingabe[Position],1))</f>
        <v/>
      </c>
      <c r="E24" s="164" t="str">
        <f>IF(PositionG[[#This Row],[Spiele]]="","",COUNTIFS(Eingabe[Name],PositionG[[#This Row],[Name]],Eingabe[Position],2))</f>
        <v/>
      </c>
      <c r="F24" s="164" t="str">
        <f>IF(PositionG[[#This Row],[Spiele]]="","",COUNTIFS(Eingabe[Name],PositionG[[#This Row],[Name]],Eingabe[Position],3))</f>
        <v/>
      </c>
      <c r="G24" s="164" t="str">
        <f>IF(PositionG[[#This Row],[Spiele]]="","",COUNTIFS(Eingabe[Name],PositionG[[#This Row],[Name]],Eingabe[Position],4))</f>
        <v/>
      </c>
      <c r="H24" s="164" t="str">
        <f>IF(PositionG[[#This Row],[Spiele]]="","",COUNTIFS(Eingabe[Name],PositionG[[#This Row],[Name]],Eingabe[Position],5))</f>
        <v/>
      </c>
      <c r="I24" s="164" t="str">
        <f>IF(PositionG[[#This Row],[Spiele]]="","",COUNTIFS(Eingabe[Name],PositionG[[#This Row],[Name]],Eingabe[Position],6))</f>
        <v/>
      </c>
      <c r="J24" s="164" t="str">
        <f>IF(PositionG[[#This Row],[P1]]="","",COUNTIFS(Eingabe[Position],1,Eingabe[MP],1,Eingabe[Name],PositionG[[#This Row],[Name]]))</f>
        <v/>
      </c>
      <c r="K24" s="164" t="str">
        <f>IF(PositionG[[#This Row],[P2]]="","",COUNTIFS(Eingabe[Position],2,Eingabe[MP],1,Eingabe[Name],PositionG[[#This Row],[Name]]))</f>
        <v/>
      </c>
      <c r="L24" s="164" t="str">
        <f>IF(PositionG[[#This Row],[P3]]="","",COUNTIFS(Eingabe[Position],3,Eingabe[MP],1,Eingabe[Name],PositionG[[#This Row],[Name]]))</f>
        <v/>
      </c>
      <c r="M24" s="164" t="str">
        <f>IF(PositionG[[#This Row],[P4]]="","",COUNTIFS(Eingabe[Position],4,Eingabe[MP],1,Eingabe[Name],PositionG[[#This Row],[Name]]))</f>
        <v/>
      </c>
      <c r="N24" s="164" t="str">
        <f>IF(PositionG[[#This Row],[P5]]="","",COUNTIFS(Eingabe[Position],5,Eingabe[MP],1,Eingabe[Name],PositionG[[#This Row],[Name]]))</f>
        <v/>
      </c>
      <c r="O24" s="164" t="str">
        <f>IF(PositionG[[#This Row],[P6]]="","",COUNTIFS(Eingabe[Position],6,Eingabe[MP],1,Eingabe[Name],PositionG[[#This Row],[Name]]))</f>
        <v/>
      </c>
      <c r="P24" s="169" t="str">
        <f>IF(PositionG[[#This Row],[P1]]=0,"",IF(PositionG[[#This Row],[P1]]="","",PositionG[[#This Row],[P1 S]]/PositionG[[#This Row],[P1]]))</f>
        <v/>
      </c>
      <c r="Q24" s="169" t="str">
        <f>IF(PositionG[[#This Row],[P2]]=0,"",IF(PositionG[[#This Row],[P2]]="","",PositionG[[#This Row],[P2 S]]/PositionG[[#This Row],[P2]]))</f>
        <v/>
      </c>
      <c r="R24" s="169" t="str">
        <f>IF(PositionG[[#This Row],[P3]]=0,"",IF(PositionG[[#This Row],[P3]]="","",PositionG[[#This Row],[P3 S]]/PositionG[[#This Row],[P3]]))</f>
        <v/>
      </c>
      <c r="S24" s="169" t="str">
        <f>IF(PositionG[[#This Row],[P4]]=0,"",IF(PositionG[[#This Row],[P4]]="","",PositionG[[#This Row],[P4 S]]/PositionG[[#This Row],[P4]]))</f>
        <v/>
      </c>
      <c r="T24" s="169" t="str">
        <f>IF(PositionG[[#This Row],[P5]]=0,"",IF(PositionG[[#This Row],[P5]]="","",PositionG[[#This Row],[P5 S]]/PositionG[[#This Row],[P5]]))</f>
        <v/>
      </c>
      <c r="U24" s="169" t="str">
        <f>IF(PositionG[[#This Row],[P6]]=0,"",IF(PositionG[[#This Row],[P6]]="","",PositionG[[#This Row],[P6 S]]/PositionG[[#This Row],[P6]]))</f>
        <v/>
      </c>
      <c r="V24"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24" s="170" t="str">
        <f>IF(PositionG[[#This Row],[HP]]="","",MAX(PositionG[[#This Row],[P1]:[P6]]))</f>
        <v/>
      </c>
      <c r="X24"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24" s="169" t="str">
        <f>IF(PositionG[[#This Row],[Spiele]]="","",MAX(PositionG[[#This Row],[P1 %]:[P6 %]]))</f>
        <v/>
      </c>
    </row>
    <row r="25" spans="2:25" x14ac:dyDescent="0.3">
      <c r="B25" s="164" t="str">
        <f>VLOOKUP(ROW(PositionG[[#This Row],[Name]])-1,Teamzuordnung[],2,FALSE)</f>
        <v>Luca Landau</v>
      </c>
      <c r="C25" s="164" t="str">
        <f>VLOOKUP(PositionG[[#This Row],[Name]],AuswertungG[],4,FALSE)</f>
        <v/>
      </c>
      <c r="D25" s="164" t="str">
        <f>IF(PositionG[[#This Row],[Spiele]]="","",COUNTIFS(Eingabe[Name],PositionG[[#This Row],[Name]],Eingabe[Position],1))</f>
        <v/>
      </c>
      <c r="E25" s="164" t="str">
        <f>IF(PositionG[[#This Row],[Spiele]]="","",COUNTIFS(Eingabe[Name],PositionG[[#This Row],[Name]],Eingabe[Position],2))</f>
        <v/>
      </c>
      <c r="F25" s="164" t="str">
        <f>IF(PositionG[[#This Row],[Spiele]]="","",COUNTIFS(Eingabe[Name],PositionG[[#This Row],[Name]],Eingabe[Position],3))</f>
        <v/>
      </c>
      <c r="G25" s="164" t="str">
        <f>IF(PositionG[[#This Row],[Spiele]]="","",COUNTIFS(Eingabe[Name],PositionG[[#This Row],[Name]],Eingabe[Position],4))</f>
        <v/>
      </c>
      <c r="H25" s="164" t="str">
        <f>IF(PositionG[[#This Row],[Spiele]]="","",COUNTIFS(Eingabe[Name],PositionG[[#This Row],[Name]],Eingabe[Position],5))</f>
        <v/>
      </c>
      <c r="I25" s="164" t="str">
        <f>IF(PositionG[[#This Row],[Spiele]]="","",COUNTIFS(Eingabe[Name],PositionG[[#This Row],[Name]],Eingabe[Position],6))</f>
        <v/>
      </c>
      <c r="J25" s="164" t="str">
        <f>IF(PositionG[[#This Row],[P1]]="","",COUNTIFS(Eingabe[Position],1,Eingabe[MP],1,Eingabe[Name],PositionG[[#This Row],[Name]]))</f>
        <v/>
      </c>
      <c r="K25" s="164" t="str">
        <f>IF(PositionG[[#This Row],[P2]]="","",COUNTIFS(Eingabe[Position],2,Eingabe[MP],1,Eingabe[Name],PositionG[[#This Row],[Name]]))</f>
        <v/>
      </c>
      <c r="L25" s="164" t="str">
        <f>IF(PositionG[[#This Row],[P3]]="","",COUNTIFS(Eingabe[Position],3,Eingabe[MP],1,Eingabe[Name],PositionG[[#This Row],[Name]]))</f>
        <v/>
      </c>
      <c r="M25" s="164" t="str">
        <f>IF(PositionG[[#This Row],[P4]]="","",COUNTIFS(Eingabe[Position],4,Eingabe[MP],1,Eingabe[Name],PositionG[[#This Row],[Name]]))</f>
        <v/>
      </c>
      <c r="N25" s="164" t="str">
        <f>IF(PositionG[[#This Row],[P5]]="","",COUNTIFS(Eingabe[Position],5,Eingabe[MP],1,Eingabe[Name],PositionG[[#This Row],[Name]]))</f>
        <v/>
      </c>
      <c r="O25" s="164" t="str">
        <f>IF(PositionG[[#This Row],[P6]]="","",COUNTIFS(Eingabe[Position],6,Eingabe[MP],1,Eingabe[Name],PositionG[[#This Row],[Name]]))</f>
        <v/>
      </c>
      <c r="P25" s="169" t="str">
        <f>IF(PositionG[[#This Row],[P1]]=0,"",IF(PositionG[[#This Row],[P1]]="","",PositionG[[#This Row],[P1 S]]/PositionG[[#This Row],[P1]]))</f>
        <v/>
      </c>
      <c r="Q25" s="169" t="str">
        <f>IF(PositionG[[#This Row],[P2]]=0,"",IF(PositionG[[#This Row],[P2]]="","",PositionG[[#This Row],[P2 S]]/PositionG[[#This Row],[P2]]))</f>
        <v/>
      </c>
      <c r="R25" s="169" t="str">
        <f>IF(PositionG[[#This Row],[P3]]=0,"",IF(PositionG[[#This Row],[P3]]="","",PositionG[[#This Row],[P3 S]]/PositionG[[#This Row],[P3]]))</f>
        <v/>
      </c>
      <c r="S25" s="169" t="str">
        <f>IF(PositionG[[#This Row],[P4]]=0,"",IF(PositionG[[#This Row],[P4]]="","",PositionG[[#This Row],[P4 S]]/PositionG[[#This Row],[P4]]))</f>
        <v/>
      </c>
      <c r="T25" s="169" t="str">
        <f>IF(PositionG[[#This Row],[P5]]=0,"",IF(PositionG[[#This Row],[P5]]="","",PositionG[[#This Row],[P5 S]]/PositionG[[#This Row],[P5]]))</f>
        <v/>
      </c>
      <c r="U25" s="169" t="str">
        <f>IF(PositionG[[#This Row],[P6]]=0,"",IF(PositionG[[#This Row],[P6]]="","",PositionG[[#This Row],[P6 S]]/PositionG[[#This Row],[P6]]))</f>
        <v/>
      </c>
      <c r="V25"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25" s="170" t="str">
        <f>IF(PositionG[[#This Row],[HP]]="","",MAX(PositionG[[#This Row],[P1]:[P6]]))</f>
        <v/>
      </c>
      <c r="X25"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25" s="169" t="str">
        <f>IF(PositionG[[#This Row],[Spiele]]="","",MAX(PositionG[[#This Row],[P1 %]:[P6 %]]))</f>
        <v/>
      </c>
    </row>
    <row r="26" spans="2:25" x14ac:dyDescent="0.3">
      <c r="B26" s="164" t="str">
        <f>VLOOKUP(ROW(PositionG[[#This Row],[Name]])-1,Teamzuordnung[],2,FALSE)</f>
        <v>Madlen Baumgarten</v>
      </c>
      <c r="C26" s="164">
        <f>VLOOKUP(PositionG[[#This Row],[Name]],AuswertungG[],4,FALSE)</f>
        <v>7</v>
      </c>
      <c r="D26" s="164">
        <f>IF(PositionG[[#This Row],[Spiele]]="","",COUNTIFS(Eingabe[Name],PositionG[[#This Row],[Name]],Eingabe[Position],1))</f>
        <v>0</v>
      </c>
      <c r="E26" s="164">
        <f>IF(PositionG[[#This Row],[Spiele]]="","",COUNTIFS(Eingabe[Name],PositionG[[#This Row],[Name]],Eingabe[Position],2))</f>
        <v>1</v>
      </c>
      <c r="F26" s="164">
        <f>IF(PositionG[[#This Row],[Spiele]]="","",COUNTIFS(Eingabe[Name],PositionG[[#This Row],[Name]],Eingabe[Position],3))</f>
        <v>0</v>
      </c>
      <c r="G26" s="164">
        <f>IF(PositionG[[#This Row],[Spiele]]="","",COUNTIFS(Eingabe[Name],PositionG[[#This Row],[Name]],Eingabe[Position],4))</f>
        <v>0</v>
      </c>
      <c r="H26" s="164">
        <f>IF(PositionG[[#This Row],[Spiele]]="","",COUNTIFS(Eingabe[Name],PositionG[[#This Row],[Name]],Eingabe[Position],5))</f>
        <v>5</v>
      </c>
      <c r="I26" s="164">
        <f>IF(PositionG[[#This Row],[Spiele]]="","",COUNTIFS(Eingabe[Name],PositionG[[#This Row],[Name]],Eingabe[Position],6))</f>
        <v>1</v>
      </c>
      <c r="J26" s="164">
        <f>IF(PositionG[[#This Row],[P1]]="","",COUNTIFS(Eingabe[Position],1,Eingabe[MP],1,Eingabe[Name],PositionG[[#This Row],[Name]]))</f>
        <v>0</v>
      </c>
      <c r="K26" s="164">
        <f>IF(PositionG[[#This Row],[P2]]="","",COUNTIFS(Eingabe[Position],2,Eingabe[MP],1,Eingabe[Name],PositionG[[#This Row],[Name]]))</f>
        <v>1</v>
      </c>
      <c r="L26" s="164">
        <f>IF(PositionG[[#This Row],[P3]]="","",COUNTIFS(Eingabe[Position],3,Eingabe[MP],1,Eingabe[Name],PositionG[[#This Row],[Name]]))</f>
        <v>0</v>
      </c>
      <c r="M26" s="164">
        <f>IF(PositionG[[#This Row],[P4]]="","",COUNTIFS(Eingabe[Position],4,Eingabe[MP],1,Eingabe[Name],PositionG[[#This Row],[Name]]))</f>
        <v>0</v>
      </c>
      <c r="N26" s="164">
        <f>IF(PositionG[[#This Row],[P5]]="","",COUNTIFS(Eingabe[Position],5,Eingabe[MP],1,Eingabe[Name],PositionG[[#This Row],[Name]]))</f>
        <v>3</v>
      </c>
      <c r="O26" s="164">
        <f>IF(PositionG[[#This Row],[P6]]="","",COUNTIFS(Eingabe[Position],6,Eingabe[MP],1,Eingabe[Name],PositionG[[#This Row],[Name]]))</f>
        <v>0</v>
      </c>
      <c r="P26" s="169" t="str">
        <f>IF(PositionG[[#This Row],[P1]]=0,"",IF(PositionG[[#This Row],[P1]]="","",PositionG[[#This Row],[P1 S]]/PositionG[[#This Row],[P1]]))</f>
        <v/>
      </c>
      <c r="Q26" s="169">
        <f>IF(PositionG[[#This Row],[P2]]=0,"",IF(PositionG[[#This Row],[P2]]="","",PositionG[[#This Row],[P2 S]]/PositionG[[#This Row],[P2]]))</f>
        <v>1</v>
      </c>
      <c r="R26" s="169" t="str">
        <f>IF(PositionG[[#This Row],[P3]]=0,"",IF(PositionG[[#This Row],[P3]]="","",PositionG[[#This Row],[P3 S]]/PositionG[[#This Row],[P3]]))</f>
        <v/>
      </c>
      <c r="S26" s="169" t="str">
        <f>IF(PositionG[[#This Row],[P4]]=0,"",IF(PositionG[[#This Row],[P4]]="","",PositionG[[#This Row],[P4 S]]/PositionG[[#This Row],[P4]]))</f>
        <v/>
      </c>
      <c r="T26" s="169">
        <f>IF(PositionG[[#This Row],[P5]]=0,"",IF(PositionG[[#This Row],[P5]]="","",PositionG[[#This Row],[P5 S]]/PositionG[[#This Row],[P5]]))</f>
        <v>0.6</v>
      </c>
      <c r="U26" s="169">
        <f>IF(PositionG[[#This Row],[P6]]=0,"",IF(PositionG[[#This Row],[P6]]="","",PositionG[[#This Row],[P6 S]]/PositionG[[#This Row],[P6]]))</f>
        <v>0</v>
      </c>
      <c r="V26"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[5]</v>
      </c>
      <c r="W26" s="170">
        <f>IF(PositionG[[#This Row],[HP]]="","",MAX(PositionG[[#This Row],[P1]:[P6]]))</f>
        <v>5</v>
      </c>
      <c r="X26"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[2]</v>
      </c>
      <c r="Y26" s="169">
        <f>IF(PositionG[[#This Row],[Spiele]]="","",MAX(PositionG[[#This Row],[P1 %]:[P6 %]]))</f>
        <v>1</v>
      </c>
    </row>
    <row r="27" spans="2:25" x14ac:dyDescent="0.3">
      <c r="B27" s="164" t="str">
        <f>VLOOKUP(ROW(PositionG[[#This Row],[Name]])-1,Teamzuordnung[],2,FALSE)</f>
        <v>Maik Fuhrmann</v>
      </c>
      <c r="C27" s="164">
        <f>VLOOKUP(PositionG[[#This Row],[Name]],AuswertungG[],4,FALSE)</f>
        <v>13</v>
      </c>
      <c r="D27" s="164">
        <f>IF(PositionG[[#This Row],[Spiele]]="","",COUNTIFS(Eingabe[Name],PositionG[[#This Row],[Name]],Eingabe[Position],1))</f>
        <v>7</v>
      </c>
      <c r="E27" s="164">
        <f>IF(PositionG[[#This Row],[Spiele]]="","",COUNTIFS(Eingabe[Name],PositionG[[#This Row],[Name]],Eingabe[Position],2))</f>
        <v>3</v>
      </c>
      <c r="F27" s="164">
        <f>IF(PositionG[[#This Row],[Spiele]]="","",COUNTIFS(Eingabe[Name],PositionG[[#This Row],[Name]],Eingabe[Position],3))</f>
        <v>2</v>
      </c>
      <c r="G27" s="164">
        <f>IF(PositionG[[#This Row],[Spiele]]="","",COUNTIFS(Eingabe[Name],PositionG[[#This Row],[Name]],Eingabe[Position],4))</f>
        <v>1</v>
      </c>
      <c r="H27" s="164">
        <f>IF(PositionG[[#This Row],[Spiele]]="","",COUNTIFS(Eingabe[Name],PositionG[[#This Row],[Name]],Eingabe[Position],5))</f>
        <v>0</v>
      </c>
      <c r="I27" s="164">
        <f>IF(PositionG[[#This Row],[Spiele]]="","",COUNTIFS(Eingabe[Name],PositionG[[#This Row],[Name]],Eingabe[Position],6))</f>
        <v>0</v>
      </c>
      <c r="J27" s="164">
        <f>IF(PositionG[[#This Row],[P1]]="","",COUNTIFS(Eingabe[Position],1,Eingabe[MP],1,Eingabe[Name],PositionG[[#This Row],[Name]]))</f>
        <v>6</v>
      </c>
      <c r="K27" s="164">
        <f>IF(PositionG[[#This Row],[P2]]="","",COUNTIFS(Eingabe[Position],2,Eingabe[MP],1,Eingabe[Name],PositionG[[#This Row],[Name]]))</f>
        <v>2</v>
      </c>
      <c r="L27" s="164">
        <f>IF(PositionG[[#This Row],[P3]]="","",COUNTIFS(Eingabe[Position],3,Eingabe[MP],1,Eingabe[Name],PositionG[[#This Row],[Name]]))</f>
        <v>1</v>
      </c>
      <c r="M27" s="164">
        <f>IF(PositionG[[#This Row],[P4]]="","",COUNTIFS(Eingabe[Position],4,Eingabe[MP],1,Eingabe[Name],PositionG[[#This Row],[Name]]))</f>
        <v>1</v>
      </c>
      <c r="N27" s="164">
        <f>IF(PositionG[[#This Row],[P5]]="","",COUNTIFS(Eingabe[Position],5,Eingabe[MP],1,Eingabe[Name],PositionG[[#This Row],[Name]]))</f>
        <v>0</v>
      </c>
      <c r="O27" s="164">
        <f>IF(PositionG[[#This Row],[P6]]="","",COUNTIFS(Eingabe[Position],6,Eingabe[MP],1,Eingabe[Name],PositionG[[#This Row],[Name]]))</f>
        <v>0</v>
      </c>
      <c r="P27" s="169">
        <f>IF(PositionG[[#This Row],[P1]]=0,"",IF(PositionG[[#This Row],[P1]]="","",PositionG[[#This Row],[P1 S]]/PositionG[[#This Row],[P1]]))</f>
        <v>0.8571428571428571</v>
      </c>
      <c r="Q27" s="169">
        <f>IF(PositionG[[#This Row],[P2]]=0,"",IF(PositionG[[#This Row],[P2]]="","",PositionG[[#This Row],[P2 S]]/PositionG[[#This Row],[P2]]))</f>
        <v>0.66666666666666663</v>
      </c>
      <c r="R27" s="169">
        <f>IF(PositionG[[#This Row],[P3]]=0,"",IF(PositionG[[#This Row],[P3]]="","",PositionG[[#This Row],[P3 S]]/PositionG[[#This Row],[P3]]))</f>
        <v>0.5</v>
      </c>
      <c r="S27" s="169">
        <f>IF(PositionG[[#This Row],[P4]]=0,"",IF(PositionG[[#This Row],[P4]]="","",PositionG[[#This Row],[P4 S]]/PositionG[[#This Row],[P4]]))</f>
        <v>1</v>
      </c>
      <c r="T27" s="169" t="str">
        <f>IF(PositionG[[#This Row],[P5]]=0,"",IF(PositionG[[#This Row],[P5]]="","",PositionG[[#This Row],[P5 S]]/PositionG[[#This Row],[P5]]))</f>
        <v/>
      </c>
      <c r="U27" s="169" t="str">
        <f>IF(PositionG[[#This Row],[P6]]=0,"",IF(PositionG[[#This Row],[P6]]="","",PositionG[[#This Row],[P6 S]]/PositionG[[#This Row],[P6]]))</f>
        <v/>
      </c>
      <c r="V27"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[1]</v>
      </c>
      <c r="W27" s="170">
        <f>IF(PositionG[[#This Row],[HP]]="","",MAX(PositionG[[#This Row],[P1]:[P6]]))</f>
        <v>7</v>
      </c>
      <c r="X27"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[4]</v>
      </c>
      <c r="Y27" s="169">
        <f>IF(PositionG[[#This Row],[Spiele]]="","",MAX(PositionG[[#This Row],[P1 %]:[P6 %]]))</f>
        <v>1</v>
      </c>
    </row>
    <row r="28" spans="2:25" x14ac:dyDescent="0.3">
      <c r="B28" s="164" t="str">
        <f>VLOOKUP(ROW(PositionG[[#This Row],[Name]])-1,Teamzuordnung[],2,FALSE)</f>
        <v>Marcel Giese</v>
      </c>
      <c r="C28" s="164">
        <f>VLOOKUP(PositionG[[#This Row],[Name]],AuswertungG[],4,FALSE)</f>
        <v>2</v>
      </c>
      <c r="D28" s="164">
        <f>IF(PositionG[[#This Row],[Spiele]]="","",COUNTIFS(Eingabe[Name],PositionG[[#This Row],[Name]],Eingabe[Position],1))</f>
        <v>1</v>
      </c>
      <c r="E28" s="164">
        <f>IF(PositionG[[#This Row],[Spiele]]="","",COUNTIFS(Eingabe[Name],PositionG[[#This Row],[Name]],Eingabe[Position],2))</f>
        <v>1</v>
      </c>
      <c r="F28" s="164">
        <f>IF(PositionG[[#This Row],[Spiele]]="","",COUNTIFS(Eingabe[Name],PositionG[[#This Row],[Name]],Eingabe[Position],3))</f>
        <v>0</v>
      </c>
      <c r="G28" s="164">
        <f>IF(PositionG[[#This Row],[Spiele]]="","",COUNTIFS(Eingabe[Name],PositionG[[#This Row],[Name]],Eingabe[Position],4))</f>
        <v>0</v>
      </c>
      <c r="H28" s="164">
        <f>IF(PositionG[[#This Row],[Spiele]]="","",COUNTIFS(Eingabe[Name],PositionG[[#This Row],[Name]],Eingabe[Position],5))</f>
        <v>0</v>
      </c>
      <c r="I28" s="164">
        <f>IF(PositionG[[#This Row],[Spiele]]="","",COUNTIFS(Eingabe[Name],PositionG[[#This Row],[Name]],Eingabe[Position],6))</f>
        <v>0</v>
      </c>
      <c r="J28" s="164">
        <f>IF(PositionG[[#This Row],[P1]]="","",COUNTIFS(Eingabe[Position],1,Eingabe[MP],1,Eingabe[Name],PositionG[[#This Row],[Name]]))</f>
        <v>1</v>
      </c>
      <c r="K28" s="164">
        <f>IF(PositionG[[#This Row],[P2]]="","",COUNTIFS(Eingabe[Position],2,Eingabe[MP],1,Eingabe[Name],PositionG[[#This Row],[Name]]))</f>
        <v>0</v>
      </c>
      <c r="L28" s="164">
        <f>IF(PositionG[[#This Row],[P3]]="","",COUNTIFS(Eingabe[Position],3,Eingabe[MP],1,Eingabe[Name],PositionG[[#This Row],[Name]]))</f>
        <v>0</v>
      </c>
      <c r="M28" s="164">
        <f>IF(PositionG[[#This Row],[P4]]="","",COUNTIFS(Eingabe[Position],4,Eingabe[MP],1,Eingabe[Name],PositionG[[#This Row],[Name]]))</f>
        <v>0</v>
      </c>
      <c r="N28" s="164">
        <f>IF(PositionG[[#This Row],[P5]]="","",COUNTIFS(Eingabe[Position],5,Eingabe[MP],1,Eingabe[Name],PositionG[[#This Row],[Name]]))</f>
        <v>0</v>
      </c>
      <c r="O28" s="164">
        <f>IF(PositionG[[#This Row],[P6]]="","",COUNTIFS(Eingabe[Position],6,Eingabe[MP],1,Eingabe[Name],PositionG[[#This Row],[Name]]))</f>
        <v>0</v>
      </c>
      <c r="P28" s="169">
        <f>IF(PositionG[[#This Row],[P1]]=0,"",IF(PositionG[[#This Row],[P1]]="","",PositionG[[#This Row],[P1 S]]/PositionG[[#This Row],[P1]]))</f>
        <v>1</v>
      </c>
      <c r="Q28" s="169">
        <f>IF(PositionG[[#This Row],[P2]]=0,"",IF(PositionG[[#This Row],[P2]]="","",PositionG[[#This Row],[P2 S]]/PositionG[[#This Row],[P2]]))</f>
        <v>0</v>
      </c>
      <c r="R28" s="169" t="str">
        <f>IF(PositionG[[#This Row],[P3]]=0,"",IF(PositionG[[#This Row],[P3]]="","",PositionG[[#This Row],[P3 S]]/PositionG[[#This Row],[P3]]))</f>
        <v/>
      </c>
      <c r="S28" s="169" t="str">
        <f>IF(PositionG[[#This Row],[P4]]=0,"",IF(PositionG[[#This Row],[P4]]="","",PositionG[[#This Row],[P4 S]]/PositionG[[#This Row],[P4]]))</f>
        <v/>
      </c>
      <c r="T28" s="169" t="str">
        <f>IF(PositionG[[#This Row],[P5]]=0,"",IF(PositionG[[#This Row],[P5]]="","",PositionG[[#This Row],[P5 S]]/PositionG[[#This Row],[P5]]))</f>
        <v/>
      </c>
      <c r="U28" s="169" t="str">
        <f>IF(PositionG[[#This Row],[P6]]=0,"",IF(PositionG[[#This Row],[P6]]="","",PositionG[[#This Row],[P6 S]]/PositionG[[#This Row],[P6]]))</f>
        <v/>
      </c>
      <c r="V28"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[1][2]</v>
      </c>
      <c r="W28" s="170">
        <f>IF(PositionG[[#This Row],[HP]]="","",MAX(PositionG[[#This Row],[P1]:[P6]]))</f>
        <v>1</v>
      </c>
      <c r="X28"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v>
      </c>
      <c r="Y28" s="169">
        <f>IF(PositionG[[#This Row],[Spiele]]="","",MAX(PositionG[[#This Row],[P1 %]:[P6 %]]))</f>
        <v>1</v>
      </c>
    </row>
    <row r="29" spans="2:25" x14ac:dyDescent="0.3">
      <c r="B29" s="164" t="str">
        <f>VLOOKUP(ROW(PositionG[[#This Row],[Name]])-1,Teamzuordnung[],2,FALSE)</f>
        <v>Mario Hägemann</v>
      </c>
      <c r="C29" s="164">
        <f>VLOOKUP(PositionG[[#This Row],[Name]],AuswertungG[],4,FALSE)</f>
        <v>10</v>
      </c>
      <c r="D29" s="164">
        <f>IF(PositionG[[#This Row],[Spiele]]="","",COUNTIFS(Eingabe[Name],PositionG[[#This Row],[Name]],Eingabe[Position],1))</f>
        <v>4</v>
      </c>
      <c r="E29" s="164">
        <f>IF(PositionG[[#This Row],[Spiele]]="","",COUNTIFS(Eingabe[Name],PositionG[[#This Row],[Name]],Eingabe[Position],2))</f>
        <v>2</v>
      </c>
      <c r="F29" s="164">
        <f>IF(PositionG[[#This Row],[Spiele]]="","",COUNTIFS(Eingabe[Name],PositionG[[#This Row],[Name]],Eingabe[Position],3))</f>
        <v>2</v>
      </c>
      <c r="G29" s="164">
        <f>IF(PositionG[[#This Row],[Spiele]]="","",COUNTIFS(Eingabe[Name],PositionG[[#This Row],[Name]],Eingabe[Position],4))</f>
        <v>1</v>
      </c>
      <c r="H29" s="164">
        <f>IF(PositionG[[#This Row],[Spiele]]="","",COUNTIFS(Eingabe[Name],PositionG[[#This Row],[Name]],Eingabe[Position],5))</f>
        <v>1</v>
      </c>
      <c r="I29" s="164">
        <f>IF(PositionG[[#This Row],[Spiele]]="","",COUNTIFS(Eingabe[Name],PositionG[[#This Row],[Name]],Eingabe[Position],6))</f>
        <v>0</v>
      </c>
      <c r="J29" s="164">
        <f>IF(PositionG[[#This Row],[P1]]="","",COUNTIFS(Eingabe[Position],1,Eingabe[MP],1,Eingabe[Name],PositionG[[#This Row],[Name]]))</f>
        <v>4</v>
      </c>
      <c r="K29" s="164">
        <f>IF(PositionG[[#This Row],[P2]]="","",COUNTIFS(Eingabe[Position],2,Eingabe[MP],1,Eingabe[Name],PositionG[[#This Row],[Name]]))</f>
        <v>1</v>
      </c>
      <c r="L29" s="164">
        <f>IF(PositionG[[#This Row],[P3]]="","",COUNTIFS(Eingabe[Position],3,Eingabe[MP],1,Eingabe[Name],PositionG[[#This Row],[Name]]))</f>
        <v>2</v>
      </c>
      <c r="M29" s="164">
        <f>IF(PositionG[[#This Row],[P4]]="","",COUNTIFS(Eingabe[Position],4,Eingabe[MP],1,Eingabe[Name],PositionG[[#This Row],[Name]]))</f>
        <v>1</v>
      </c>
      <c r="N29" s="164">
        <f>IF(PositionG[[#This Row],[P5]]="","",COUNTIFS(Eingabe[Position],5,Eingabe[MP],1,Eingabe[Name],PositionG[[#This Row],[Name]]))</f>
        <v>0</v>
      </c>
      <c r="O29" s="164">
        <f>IF(PositionG[[#This Row],[P6]]="","",COUNTIFS(Eingabe[Position],6,Eingabe[MP],1,Eingabe[Name],PositionG[[#This Row],[Name]]))</f>
        <v>0</v>
      </c>
      <c r="P29" s="169">
        <f>IF(PositionG[[#This Row],[P1]]=0,"",IF(PositionG[[#This Row],[P1]]="","",PositionG[[#This Row],[P1 S]]/PositionG[[#This Row],[P1]]))</f>
        <v>1</v>
      </c>
      <c r="Q29" s="169">
        <f>IF(PositionG[[#This Row],[P2]]=0,"",IF(PositionG[[#This Row],[P2]]="","",PositionG[[#This Row],[P2 S]]/PositionG[[#This Row],[P2]]))</f>
        <v>0.5</v>
      </c>
      <c r="R29" s="169">
        <f>IF(PositionG[[#This Row],[P3]]=0,"",IF(PositionG[[#This Row],[P3]]="","",PositionG[[#This Row],[P3 S]]/PositionG[[#This Row],[P3]]))</f>
        <v>1</v>
      </c>
      <c r="S29" s="169">
        <f>IF(PositionG[[#This Row],[P4]]=0,"",IF(PositionG[[#This Row],[P4]]="","",PositionG[[#This Row],[P4 S]]/PositionG[[#This Row],[P4]]))</f>
        <v>1</v>
      </c>
      <c r="T29" s="169">
        <f>IF(PositionG[[#This Row],[P5]]=0,"",IF(PositionG[[#This Row],[P5]]="","",PositionG[[#This Row],[P5 S]]/PositionG[[#This Row],[P5]]))</f>
        <v>0</v>
      </c>
      <c r="U29" s="169" t="str">
        <f>IF(PositionG[[#This Row],[P6]]=0,"",IF(PositionG[[#This Row],[P6]]="","",PositionG[[#This Row],[P6 S]]/PositionG[[#This Row],[P6]]))</f>
        <v/>
      </c>
      <c r="V29"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[1]</v>
      </c>
      <c r="W29" s="170">
        <f>IF(PositionG[[#This Row],[HP]]="","",MAX(PositionG[[#This Row],[P1]:[P6]]))</f>
        <v>4</v>
      </c>
      <c r="X29"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[1][3][4]</v>
      </c>
      <c r="Y29" s="169">
        <f>IF(PositionG[[#This Row],[Spiele]]="","",MAX(PositionG[[#This Row],[P1 %]:[P6 %]]))</f>
        <v>1</v>
      </c>
    </row>
    <row r="30" spans="2:25" x14ac:dyDescent="0.3">
      <c r="B30" s="164" t="str">
        <f>VLOOKUP(ROW(PositionG[[#This Row],[Name]])-1,Teamzuordnung[],2,FALSE)</f>
        <v>Markus Unvericht</v>
      </c>
      <c r="C30" s="164" t="str">
        <f>VLOOKUP(PositionG[[#This Row],[Name]],AuswertungG[],4,FALSE)</f>
        <v/>
      </c>
      <c r="D30" s="164" t="str">
        <f>IF(PositionG[[#This Row],[Spiele]]="","",COUNTIFS(Eingabe[Name],PositionG[[#This Row],[Name]],Eingabe[Position],1))</f>
        <v/>
      </c>
      <c r="E30" s="164" t="str">
        <f>IF(PositionG[[#This Row],[Spiele]]="","",COUNTIFS(Eingabe[Name],PositionG[[#This Row],[Name]],Eingabe[Position],2))</f>
        <v/>
      </c>
      <c r="F30" s="164" t="str">
        <f>IF(PositionG[[#This Row],[Spiele]]="","",COUNTIFS(Eingabe[Name],PositionG[[#This Row],[Name]],Eingabe[Position],3))</f>
        <v/>
      </c>
      <c r="G30" s="164" t="str">
        <f>IF(PositionG[[#This Row],[Spiele]]="","",COUNTIFS(Eingabe[Name],PositionG[[#This Row],[Name]],Eingabe[Position],4))</f>
        <v/>
      </c>
      <c r="H30" s="164" t="str">
        <f>IF(PositionG[[#This Row],[Spiele]]="","",COUNTIFS(Eingabe[Name],PositionG[[#This Row],[Name]],Eingabe[Position],5))</f>
        <v/>
      </c>
      <c r="I30" s="164" t="str">
        <f>IF(PositionG[[#This Row],[Spiele]]="","",COUNTIFS(Eingabe[Name],PositionG[[#This Row],[Name]],Eingabe[Position],6))</f>
        <v/>
      </c>
      <c r="J30" s="164" t="str">
        <f>IF(PositionG[[#This Row],[P1]]="","",COUNTIFS(Eingabe[Position],1,Eingabe[MP],1,Eingabe[Name],PositionG[[#This Row],[Name]]))</f>
        <v/>
      </c>
      <c r="K30" s="164" t="str">
        <f>IF(PositionG[[#This Row],[P2]]="","",COUNTIFS(Eingabe[Position],2,Eingabe[MP],1,Eingabe[Name],PositionG[[#This Row],[Name]]))</f>
        <v/>
      </c>
      <c r="L30" s="164" t="str">
        <f>IF(PositionG[[#This Row],[P3]]="","",COUNTIFS(Eingabe[Position],3,Eingabe[MP],1,Eingabe[Name],PositionG[[#This Row],[Name]]))</f>
        <v/>
      </c>
      <c r="M30" s="164" t="str">
        <f>IF(PositionG[[#This Row],[P4]]="","",COUNTIFS(Eingabe[Position],4,Eingabe[MP],1,Eingabe[Name],PositionG[[#This Row],[Name]]))</f>
        <v/>
      </c>
      <c r="N30" s="164" t="str">
        <f>IF(PositionG[[#This Row],[P5]]="","",COUNTIFS(Eingabe[Position],5,Eingabe[MP],1,Eingabe[Name],PositionG[[#This Row],[Name]]))</f>
        <v/>
      </c>
      <c r="O30" s="164" t="str">
        <f>IF(PositionG[[#This Row],[P6]]="","",COUNTIFS(Eingabe[Position],6,Eingabe[MP],1,Eingabe[Name],PositionG[[#This Row],[Name]]))</f>
        <v/>
      </c>
      <c r="P30" s="169" t="str">
        <f>IF(PositionG[[#This Row],[P1]]=0,"",IF(PositionG[[#This Row],[P1]]="","",PositionG[[#This Row],[P1 S]]/PositionG[[#This Row],[P1]]))</f>
        <v/>
      </c>
      <c r="Q30" s="169" t="str">
        <f>IF(PositionG[[#This Row],[P2]]=0,"",IF(PositionG[[#This Row],[P2]]="","",PositionG[[#This Row],[P2 S]]/PositionG[[#This Row],[P2]]))</f>
        <v/>
      </c>
      <c r="R30" s="169" t="str">
        <f>IF(PositionG[[#This Row],[P3]]=0,"",IF(PositionG[[#This Row],[P3]]="","",PositionG[[#This Row],[P3 S]]/PositionG[[#This Row],[P3]]))</f>
        <v/>
      </c>
      <c r="S30" s="169" t="str">
        <f>IF(PositionG[[#This Row],[P4]]=0,"",IF(PositionG[[#This Row],[P4]]="","",PositionG[[#This Row],[P4 S]]/PositionG[[#This Row],[P4]]))</f>
        <v/>
      </c>
      <c r="T30" s="169" t="str">
        <f>IF(PositionG[[#This Row],[P5]]=0,"",IF(PositionG[[#This Row],[P5]]="","",PositionG[[#This Row],[P5 S]]/PositionG[[#This Row],[P5]]))</f>
        <v/>
      </c>
      <c r="U30" s="169" t="str">
        <f>IF(PositionG[[#This Row],[P6]]=0,"",IF(PositionG[[#This Row],[P6]]="","",PositionG[[#This Row],[P6 S]]/PositionG[[#This Row],[P6]]))</f>
        <v/>
      </c>
      <c r="V30"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30" s="170" t="str">
        <f>IF(PositionG[[#This Row],[HP]]="","",MAX(PositionG[[#This Row],[P1]:[P6]]))</f>
        <v/>
      </c>
      <c r="X30"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30" s="169" t="str">
        <f>IF(PositionG[[#This Row],[Spiele]]="","",MAX(PositionG[[#This Row],[P1 %]:[P6 %]]))</f>
        <v/>
      </c>
    </row>
    <row r="31" spans="2:25" x14ac:dyDescent="0.3">
      <c r="B31" s="164" t="str">
        <f>VLOOKUP(ROW(PositionG[[#This Row],[Name]])-1,Teamzuordnung[],2,FALSE)</f>
        <v>Martin Börner</v>
      </c>
      <c r="C31" s="164" t="str">
        <f>VLOOKUP(PositionG[[#This Row],[Name]],AuswertungG[],4,FALSE)</f>
        <v/>
      </c>
      <c r="D31" s="164" t="str">
        <f>IF(PositionG[[#This Row],[Spiele]]="","",COUNTIFS(Eingabe[Name],PositionG[[#This Row],[Name]],Eingabe[Position],1))</f>
        <v/>
      </c>
      <c r="E31" s="164" t="str">
        <f>IF(PositionG[[#This Row],[Spiele]]="","",COUNTIFS(Eingabe[Name],PositionG[[#This Row],[Name]],Eingabe[Position],2))</f>
        <v/>
      </c>
      <c r="F31" s="164" t="str">
        <f>IF(PositionG[[#This Row],[Spiele]]="","",COUNTIFS(Eingabe[Name],PositionG[[#This Row],[Name]],Eingabe[Position],3))</f>
        <v/>
      </c>
      <c r="G31" s="164" t="str">
        <f>IF(PositionG[[#This Row],[Spiele]]="","",COUNTIFS(Eingabe[Name],PositionG[[#This Row],[Name]],Eingabe[Position],4))</f>
        <v/>
      </c>
      <c r="H31" s="164" t="str">
        <f>IF(PositionG[[#This Row],[Spiele]]="","",COUNTIFS(Eingabe[Name],PositionG[[#This Row],[Name]],Eingabe[Position],5))</f>
        <v/>
      </c>
      <c r="I31" s="164" t="str">
        <f>IF(PositionG[[#This Row],[Spiele]]="","",COUNTIFS(Eingabe[Name],PositionG[[#This Row],[Name]],Eingabe[Position],6))</f>
        <v/>
      </c>
      <c r="J31" s="164" t="str">
        <f>IF(PositionG[[#This Row],[P1]]="","",COUNTIFS(Eingabe[Position],1,Eingabe[MP],1,Eingabe[Name],PositionG[[#This Row],[Name]]))</f>
        <v/>
      </c>
      <c r="K31" s="164" t="str">
        <f>IF(PositionG[[#This Row],[P2]]="","",COUNTIFS(Eingabe[Position],2,Eingabe[MP],1,Eingabe[Name],PositionG[[#This Row],[Name]]))</f>
        <v/>
      </c>
      <c r="L31" s="164" t="str">
        <f>IF(PositionG[[#This Row],[P3]]="","",COUNTIFS(Eingabe[Position],3,Eingabe[MP],1,Eingabe[Name],PositionG[[#This Row],[Name]]))</f>
        <v/>
      </c>
      <c r="M31" s="164" t="str">
        <f>IF(PositionG[[#This Row],[P4]]="","",COUNTIFS(Eingabe[Position],4,Eingabe[MP],1,Eingabe[Name],PositionG[[#This Row],[Name]]))</f>
        <v/>
      </c>
      <c r="N31" s="164" t="str">
        <f>IF(PositionG[[#This Row],[P5]]="","",COUNTIFS(Eingabe[Position],5,Eingabe[MP],1,Eingabe[Name],PositionG[[#This Row],[Name]]))</f>
        <v/>
      </c>
      <c r="O31" s="164" t="str">
        <f>IF(PositionG[[#This Row],[P6]]="","",COUNTIFS(Eingabe[Position],6,Eingabe[MP],1,Eingabe[Name],PositionG[[#This Row],[Name]]))</f>
        <v/>
      </c>
      <c r="P31" s="169" t="str">
        <f>IF(PositionG[[#This Row],[P1]]=0,"",IF(PositionG[[#This Row],[P1]]="","",PositionG[[#This Row],[P1 S]]/PositionG[[#This Row],[P1]]))</f>
        <v/>
      </c>
      <c r="Q31" s="169" t="str">
        <f>IF(PositionG[[#This Row],[P2]]=0,"",IF(PositionG[[#This Row],[P2]]="","",PositionG[[#This Row],[P2 S]]/PositionG[[#This Row],[P2]]))</f>
        <v/>
      </c>
      <c r="R31" s="169" t="str">
        <f>IF(PositionG[[#This Row],[P3]]=0,"",IF(PositionG[[#This Row],[P3]]="","",PositionG[[#This Row],[P3 S]]/PositionG[[#This Row],[P3]]))</f>
        <v/>
      </c>
      <c r="S31" s="169" t="str">
        <f>IF(PositionG[[#This Row],[P4]]=0,"",IF(PositionG[[#This Row],[P4]]="","",PositionG[[#This Row],[P4 S]]/PositionG[[#This Row],[P4]]))</f>
        <v/>
      </c>
      <c r="T31" s="169" t="str">
        <f>IF(PositionG[[#This Row],[P5]]=0,"",IF(PositionG[[#This Row],[P5]]="","",PositionG[[#This Row],[P5 S]]/PositionG[[#This Row],[P5]]))</f>
        <v/>
      </c>
      <c r="U31" s="169" t="str">
        <f>IF(PositionG[[#This Row],[P6]]=0,"",IF(PositionG[[#This Row],[P6]]="","",PositionG[[#This Row],[P6 S]]/PositionG[[#This Row],[P6]]))</f>
        <v/>
      </c>
      <c r="V31"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31" s="170" t="str">
        <f>IF(PositionG[[#This Row],[HP]]="","",MAX(PositionG[[#This Row],[P1]:[P6]]))</f>
        <v/>
      </c>
      <c r="X31"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31" s="169" t="str">
        <f>IF(PositionG[[#This Row],[Spiele]]="","",MAX(PositionG[[#This Row],[P1 %]:[P6 %]]))</f>
        <v/>
      </c>
    </row>
    <row r="32" spans="2:25" x14ac:dyDescent="0.3">
      <c r="B32" s="164" t="str">
        <f>VLOOKUP(ROW(PositionG[[#This Row],[Name]])-1,Teamzuordnung[],2,FALSE)</f>
        <v>Max Dost</v>
      </c>
      <c r="C32" s="164" t="str">
        <f>VLOOKUP(PositionG[[#This Row],[Name]],AuswertungG[],4,FALSE)</f>
        <v/>
      </c>
      <c r="D32" s="164" t="str">
        <f>IF(PositionG[[#This Row],[Spiele]]="","",COUNTIFS(Eingabe[Name],PositionG[[#This Row],[Name]],Eingabe[Position],1))</f>
        <v/>
      </c>
      <c r="E32" s="164" t="str">
        <f>IF(PositionG[[#This Row],[Spiele]]="","",COUNTIFS(Eingabe[Name],PositionG[[#This Row],[Name]],Eingabe[Position],2))</f>
        <v/>
      </c>
      <c r="F32" s="164" t="str">
        <f>IF(PositionG[[#This Row],[Spiele]]="","",COUNTIFS(Eingabe[Name],PositionG[[#This Row],[Name]],Eingabe[Position],3))</f>
        <v/>
      </c>
      <c r="G32" s="164" t="str">
        <f>IF(PositionG[[#This Row],[Spiele]]="","",COUNTIFS(Eingabe[Name],PositionG[[#This Row],[Name]],Eingabe[Position],4))</f>
        <v/>
      </c>
      <c r="H32" s="164" t="str">
        <f>IF(PositionG[[#This Row],[Spiele]]="","",COUNTIFS(Eingabe[Name],PositionG[[#This Row],[Name]],Eingabe[Position],5))</f>
        <v/>
      </c>
      <c r="I32" s="164" t="str">
        <f>IF(PositionG[[#This Row],[Spiele]]="","",COUNTIFS(Eingabe[Name],PositionG[[#This Row],[Name]],Eingabe[Position],6))</f>
        <v/>
      </c>
      <c r="J32" s="164" t="str">
        <f>IF(PositionG[[#This Row],[P1]]="","",COUNTIFS(Eingabe[Position],1,Eingabe[MP],1,Eingabe[Name],PositionG[[#This Row],[Name]]))</f>
        <v/>
      </c>
      <c r="K32" s="164" t="str">
        <f>IF(PositionG[[#This Row],[P2]]="","",COUNTIFS(Eingabe[Position],2,Eingabe[MP],1,Eingabe[Name],PositionG[[#This Row],[Name]]))</f>
        <v/>
      </c>
      <c r="L32" s="164" t="str">
        <f>IF(PositionG[[#This Row],[P3]]="","",COUNTIFS(Eingabe[Position],3,Eingabe[MP],1,Eingabe[Name],PositionG[[#This Row],[Name]]))</f>
        <v/>
      </c>
      <c r="M32" s="164" t="str">
        <f>IF(PositionG[[#This Row],[P4]]="","",COUNTIFS(Eingabe[Position],4,Eingabe[MP],1,Eingabe[Name],PositionG[[#This Row],[Name]]))</f>
        <v/>
      </c>
      <c r="N32" s="164" t="str">
        <f>IF(PositionG[[#This Row],[P5]]="","",COUNTIFS(Eingabe[Position],5,Eingabe[MP],1,Eingabe[Name],PositionG[[#This Row],[Name]]))</f>
        <v/>
      </c>
      <c r="O32" s="164" t="str">
        <f>IF(PositionG[[#This Row],[P6]]="","",COUNTIFS(Eingabe[Position],6,Eingabe[MP],1,Eingabe[Name],PositionG[[#This Row],[Name]]))</f>
        <v/>
      </c>
      <c r="P32" s="169" t="str">
        <f>IF(PositionG[[#This Row],[P1]]=0,"",IF(PositionG[[#This Row],[P1]]="","",PositionG[[#This Row],[P1 S]]/PositionG[[#This Row],[P1]]))</f>
        <v/>
      </c>
      <c r="Q32" s="169" t="str">
        <f>IF(PositionG[[#This Row],[P2]]=0,"",IF(PositionG[[#This Row],[P2]]="","",PositionG[[#This Row],[P2 S]]/PositionG[[#This Row],[P2]]))</f>
        <v/>
      </c>
      <c r="R32" s="169" t="str">
        <f>IF(PositionG[[#This Row],[P3]]=0,"",IF(PositionG[[#This Row],[P3]]="","",PositionG[[#This Row],[P3 S]]/PositionG[[#This Row],[P3]]))</f>
        <v/>
      </c>
      <c r="S32" s="169" t="str">
        <f>IF(PositionG[[#This Row],[P4]]=0,"",IF(PositionG[[#This Row],[P4]]="","",PositionG[[#This Row],[P4 S]]/PositionG[[#This Row],[P4]]))</f>
        <v/>
      </c>
      <c r="T32" s="169" t="str">
        <f>IF(PositionG[[#This Row],[P5]]=0,"",IF(PositionG[[#This Row],[P5]]="","",PositionG[[#This Row],[P5 S]]/PositionG[[#This Row],[P5]]))</f>
        <v/>
      </c>
      <c r="U32" s="169" t="str">
        <f>IF(PositionG[[#This Row],[P6]]=0,"",IF(PositionG[[#This Row],[P6]]="","",PositionG[[#This Row],[P6 S]]/PositionG[[#This Row],[P6]]))</f>
        <v/>
      </c>
      <c r="V32"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32" s="170" t="str">
        <f>IF(PositionG[[#This Row],[HP]]="","",MAX(PositionG[[#This Row],[P1]:[P6]]))</f>
        <v/>
      </c>
      <c r="X32"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32" s="169" t="str">
        <f>IF(PositionG[[#This Row],[Spiele]]="","",MAX(PositionG[[#This Row],[P1 %]:[P6 %]]))</f>
        <v/>
      </c>
    </row>
    <row r="33" spans="2:25" x14ac:dyDescent="0.3">
      <c r="B33" s="164" t="str">
        <f>VLOOKUP(ROW(PositionG[[#This Row],[Name]])-1,Teamzuordnung[],2,FALSE)</f>
        <v>Michael Becker</v>
      </c>
      <c r="C33" s="164">
        <f>VLOOKUP(PositionG[[#This Row],[Name]],AuswertungG[],4,FALSE)</f>
        <v>1</v>
      </c>
      <c r="D33" s="164">
        <f>IF(PositionG[[#This Row],[Spiele]]="","",COUNTIFS(Eingabe[Name],PositionG[[#This Row],[Name]],Eingabe[Position],1))</f>
        <v>0</v>
      </c>
      <c r="E33" s="164">
        <f>IF(PositionG[[#This Row],[Spiele]]="","",COUNTIFS(Eingabe[Name],PositionG[[#This Row],[Name]],Eingabe[Position],2))</f>
        <v>0</v>
      </c>
      <c r="F33" s="164">
        <f>IF(PositionG[[#This Row],[Spiele]]="","",COUNTIFS(Eingabe[Name],PositionG[[#This Row],[Name]],Eingabe[Position],3))</f>
        <v>0</v>
      </c>
      <c r="G33" s="164">
        <f>IF(PositionG[[#This Row],[Spiele]]="","",COUNTIFS(Eingabe[Name],PositionG[[#This Row],[Name]],Eingabe[Position],4))</f>
        <v>0</v>
      </c>
      <c r="H33" s="164">
        <f>IF(PositionG[[#This Row],[Spiele]]="","",COUNTIFS(Eingabe[Name],PositionG[[#This Row],[Name]],Eingabe[Position],5))</f>
        <v>1</v>
      </c>
      <c r="I33" s="164">
        <f>IF(PositionG[[#This Row],[Spiele]]="","",COUNTIFS(Eingabe[Name],PositionG[[#This Row],[Name]],Eingabe[Position],6))</f>
        <v>0</v>
      </c>
      <c r="J33" s="164">
        <f>IF(PositionG[[#This Row],[P1]]="","",COUNTIFS(Eingabe[Position],1,Eingabe[MP],1,Eingabe[Name],PositionG[[#This Row],[Name]]))</f>
        <v>0</v>
      </c>
      <c r="K33" s="164">
        <f>IF(PositionG[[#This Row],[P2]]="","",COUNTIFS(Eingabe[Position],2,Eingabe[MP],1,Eingabe[Name],PositionG[[#This Row],[Name]]))</f>
        <v>0</v>
      </c>
      <c r="L33" s="164">
        <f>IF(PositionG[[#This Row],[P3]]="","",COUNTIFS(Eingabe[Position],3,Eingabe[MP],1,Eingabe[Name],PositionG[[#This Row],[Name]]))</f>
        <v>0</v>
      </c>
      <c r="M33" s="164">
        <f>IF(PositionG[[#This Row],[P4]]="","",COUNTIFS(Eingabe[Position],4,Eingabe[MP],1,Eingabe[Name],PositionG[[#This Row],[Name]]))</f>
        <v>0</v>
      </c>
      <c r="N33" s="164">
        <f>IF(PositionG[[#This Row],[P5]]="","",COUNTIFS(Eingabe[Position],5,Eingabe[MP],1,Eingabe[Name],PositionG[[#This Row],[Name]]))</f>
        <v>1</v>
      </c>
      <c r="O33" s="164">
        <f>IF(PositionG[[#This Row],[P6]]="","",COUNTIFS(Eingabe[Position],6,Eingabe[MP],1,Eingabe[Name],PositionG[[#This Row],[Name]]))</f>
        <v>0</v>
      </c>
      <c r="P33" s="169" t="str">
        <f>IF(PositionG[[#This Row],[P1]]=0,"",IF(PositionG[[#This Row],[P1]]="","",PositionG[[#This Row],[P1 S]]/PositionG[[#This Row],[P1]]))</f>
        <v/>
      </c>
      <c r="Q33" s="169" t="str">
        <f>IF(PositionG[[#This Row],[P2]]=0,"",IF(PositionG[[#This Row],[P2]]="","",PositionG[[#This Row],[P2 S]]/PositionG[[#This Row],[P2]]))</f>
        <v/>
      </c>
      <c r="R33" s="169" t="str">
        <f>IF(PositionG[[#This Row],[P3]]=0,"",IF(PositionG[[#This Row],[P3]]="","",PositionG[[#This Row],[P3 S]]/PositionG[[#This Row],[P3]]))</f>
        <v/>
      </c>
      <c r="S33" s="169" t="str">
        <f>IF(PositionG[[#This Row],[P4]]=0,"",IF(PositionG[[#This Row],[P4]]="","",PositionG[[#This Row],[P4 S]]/PositionG[[#This Row],[P4]]))</f>
        <v/>
      </c>
      <c r="T33" s="169">
        <f>IF(PositionG[[#This Row],[P5]]=0,"",IF(PositionG[[#This Row],[P5]]="","",PositionG[[#This Row],[P5 S]]/PositionG[[#This Row],[P5]]))</f>
        <v>1</v>
      </c>
      <c r="U33" s="169" t="str">
        <f>IF(PositionG[[#This Row],[P6]]=0,"",IF(PositionG[[#This Row],[P6]]="","",PositionG[[#This Row],[P6 S]]/PositionG[[#This Row],[P6]]))</f>
        <v/>
      </c>
      <c r="V33"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[5]</v>
      </c>
      <c r="W33" s="170">
        <f>IF(PositionG[[#This Row],[HP]]="","",MAX(PositionG[[#This Row],[P1]:[P6]]))</f>
        <v>1</v>
      </c>
      <c r="X33"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[5]</v>
      </c>
      <c r="Y33" s="169">
        <f>IF(PositionG[[#This Row],[Spiele]]="","",MAX(PositionG[[#This Row],[P1 %]:[P6 %]]))</f>
        <v>1</v>
      </c>
    </row>
    <row r="34" spans="2:25" x14ac:dyDescent="0.3">
      <c r="B34" s="164" t="str">
        <f>VLOOKUP(ROW(PositionG[[#This Row],[Name]])-1,Teamzuordnung[],2,FALSE)</f>
        <v>Michael Klose</v>
      </c>
      <c r="C34" s="164" t="str">
        <f>VLOOKUP(PositionG[[#This Row],[Name]],AuswertungG[],4,FALSE)</f>
        <v/>
      </c>
      <c r="D34" s="164" t="str">
        <f>IF(PositionG[[#This Row],[Spiele]]="","",COUNTIFS(Eingabe[Name],PositionG[[#This Row],[Name]],Eingabe[Position],1))</f>
        <v/>
      </c>
      <c r="E34" s="164" t="str">
        <f>IF(PositionG[[#This Row],[Spiele]]="","",COUNTIFS(Eingabe[Name],PositionG[[#This Row],[Name]],Eingabe[Position],2))</f>
        <v/>
      </c>
      <c r="F34" s="164" t="str">
        <f>IF(PositionG[[#This Row],[Spiele]]="","",COUNTIFS(Eingabe[Name],PositionG[[#This Row],[Name]],Eingabe[Position],3))</f>
        <v/>
      </c>
      <c r="G34" s="164" t="str">
        <f>IF(PositionG[[#This Row],[Spiele]]="","",COUNTIFS(Eingabe[Name],PositionG[[#This Row],[Name]],Eingabe[Position],4))</f>
        <v/>
      </c>
      <c r="H34" s="164" t="str">
        <f>IF(PositionG[[#This Row],[Spiele]]="","",COUNTIFS(Eingabe[Name],PositionG[[#This Row],[Name]],Eingabe[Position],5))</f>
        <v/>
      </c>
      <c r="I34" s="164" t="str">
        <f>IF(PositionG[[#This Row],[Spiele]]="","",COUNTIFS(Eingabe[Name],PositionG[[#This Row],[Name]],Eingabe[Position],6))</f>
        <v/>
      </c>
      <c r="J34" s="164" t="str">
        <f>IF(PositionG[[#This Row],[P1]]="","",COUNTIFS(Eingabe[Position],1,Eingabe[MP],1,Eingabe[Name],PositionG[[#This Row],[Name]]))</f>
        <v/>
      </c>
      <c r="K34" s="164" t="str">
        <f>IF(PositionG[[#This Row],[P2]]="","",COUNTIFS(Eingabe[Position],2,Eingabe[MP],1,Eingabe[Name],PositionG[[#This Row],[Name]]))</f>
        <v/>
      </c>
      <c r="L34" s="164" t="str">
        <f>IF(PositionG[[#This Row],[P3]]="","",COUNTIFS(Eingabe[Position],3,Eingabe[MP],1,Eingabe[Name],PositionG[[#This Row],[Name]]))</f>
        <v/>
      </c>
      <c r="M34" s="164" t="str">
        <f>IF(PositionG[[#This Row],[P4]]="","",COUNTIFS(Eingabe[Position],4,Eingabe[MP],1,Eingabe[Name],PositionG[[#This Row],[Name]]))</f>
        <v/>
      </c>
      <c r="N34" s="164" t="str">
        <f>IF(PositionG[[#This Row],[P5]]="","",COUNTIFS(Eingabe[Position],5,Eingabe[MP],1,Eingabe[Name],PositionG[[#This Row],[Name]]))</f>
        <v/>
      </c>
      <c r="O34" s="164" t="str">
        <f>IF(PositionG[[#This Row],[P6]]="","",COUNTIFS(Eingabe[Position],6,Eingabe[MP],1,Eingabe[Name],PositionG[[#This Row],[Name]]))</f>
        <v/>
      </c>
      <c r="P34" s="169" t="str">
        <f>IF(PositionG[[#This Row],[P1]]=0,"",IF(PositionG[[#This Row],[P1]]="","",PositionG[[#This Row],[P1 S]]/PositionG[[#This Row],[P1]]))</f>
        <v/>
      </c>
      <c r="Q34" s="169" t="str">
        <f>IF(PositionG[[#This Row],[P2]]=0,"",IF(PositionG[[#This Row],[P2]]="","",PositionG[[#This Row],[P2 S]]/PositionG[[#This Row],[P2]]))</f>
        <v/>
      </c>
      <c r="R34" s="169" t="str">
        <f>IF(PositionG[[#This Row],[P3]]=0,"",IF(PositionG[[#This Row],[P3]]="","",PositionG[[#This Row],[P3 S]]/PositionG[[#This Row],[P3]]))</f>
        <v/>
      </c>
      <c r="S34" s="169" t="str">
        <f>IF(PositionG[[#This Row],[P4]]=0,"",IF(PositionG[[#This Row],[P4]]="","",PositionG[[#This Row],[P4 S]]/PositionG[[#This Row],[P4]]))</f>
        <v/>
      </c>
      <c r="T34" s="169" t="str">
        <f>IF(PositionG[[#This Row],[P5]]=0,"",IF(PositionG[[#This Row],[P5]]="","",PositionG[[#This Row],[P5 S]]/PositionG[[#This Row],[P5]]))</f>
        <v/>
      </c>
      <c r="U34" s="169" t="str">
        <f>IF(PositionG[[#This Row],[P6]]=0,"",IF(PositionG[[#This Row],[P6]]="","",PositionG[[#This Row],[P6 S]]/PositionG[[#This Row],[P6]]))</f>
        <v/>
      </c>
      <c r="V34"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34" s="170" t="str">
        <f>IF(PositionG[[#This Row],[HP]]="","",MAX(PositionG[[#This Row],[P1]:[P6]]))</f>
        <v/>
      </c>
      <c r="X34"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34" s="169" t="str">
        <f>IF(PositionG[[#This Row],[Spiele]]="","",MAX(PositionG[[#This Row],[P1 %]:[P6 %]]))</f>
        <v/>
      </c>
    </row>
    <row r="35" spans="2:25" x14ac:dyDescent="0.3">
      <c r="B35" s="164" t="str">
        <f>VLOOKUP(ROW(PositionG[[#This Row],[Name]])-1,Teamzuordnung[],2,FALSE)</f>
        <v>Mick Becker</v>
      </c>
      <c r="C35" s="164">
        <f>VLOOKUP(PositionG[[#This Row],[Name]],AuswertungG[],4,FALSE)</f>
        <v>1</v>
      </c>
      <c r="D35" s="164">
        <f>IF(PositionG[[#This Row],[Spiele]]="","",COUNTIFS(Eingabe[Name],PositionG[[#This Row],[Name]],Eingabe[Position],1))</f>
        <v>0</v>
      </c>
      <c r="E35" s="164">
        <f>IF(PositionG[[#This Row],[Spiele]]="","",COUNTIFS(Eingabe[Name],PositionG[[#This Row],[Name]],Eingabe[Position],2))</f>
        <v>0</v>
      </c>
      <c r="F35" s="164">
        <f>IF(PositionG[[#This Row],[Spiele]]="","",COUNTIFS(Eingabe[Name],PositionG[[#This Row],[Name]],Eingabe[Position],3))</f>
        <v>0</v>
      </c>
      <c r="G35" s="164">
        <f>IF(PositionG[[#This Row],[Spiele]]="","",COUNTIFS(Eingabe[Name],PositionG[[#This Row],[Name]],Eingabe[Position],4))</f>
        <v>1</v>
      </c>
      <c r="H35" s="164">
        <f>IF(PositionG[[#This Row],[Spiele]]="","",COUNTIFS(Eingabe[Name],PositionG[[#This Row],[Name]],Eingabe[Position],5))</f>
        <v>0</v>
      </c>
      <c r="I35" s="164">
        <f>IF(PositionG[[#This Row],[Spiele]]="","",COUNTIFS(Eingabe[Name],PositionG[[#This Row],[Name]],Eingabe[Position],6))</f>
        <v>0</v>
      </c>
      <c r="J35" s="164">
        <f>IF(PositionG[[#This Row],[P1]]="","",COUNTIFS(Eingabe[Position],1,Eingabe[MP],1,Eingabe[Name],PositionG[[#This Row],[Name]]))</f>
        <v>0</v>
      </c>
      <c r="K35" s="164">
        <f>IF(PositionG[[#This Row],[P2]]="","",COUNTIFS(Eingabe[Position],2,Eingabe[MP],1,Eingabe[Name],PositionG[[#This Row],[Name]]))</f>
        <v>0</v>
      </c>
      <c r="L35" s="164">
        <f>IF(PositionG[[#This Row],[P3]]="","",COUNTIFS(Eingabe[Position],3,Eingabe[MP],1,Eingabe[Name],PositionG[[#This Row],[Name]]))</f>
        <v>0</v>
      </c>
      <c r="M35" s="164">
        <f>IF(PositionG[[#This Row],[P4]]="","",COUNTIFS(Eingabe[Position],4,Eingabe[MP],1,Eingabe[Name],PositionG[[#This Row],[Name]]))</f>
        <v>1</v>
      </c>
      <c r="N35" s="164">
        <f>IF(PositionG[[#This Row],[P5]]="","",COUNTIFS(Eingabe[Position],5,Eingabe[MP],1,Eingabe[Name],PositionG[[#This Row],[Name]]))</f>
        <v>0</v>
      </c>
      <c r="O35" s="164">
        <f>IF(PositionG[[#This Row],[P6]]="","",COUNTIFS(Eingabe[Position],6,Eingabe[MP],1,Eingabe[Name],PositionG[[#This Row],[Name]]))</f>
        <v>0</v>
      </c>
      <c r="P35" s="169" t="str">
        <f>IF(PositionG[[#This Row],[P1]]=0,"",IF(PositionG[[#This Row],[P1]]="","",PositionG[[#This Row],[P1 S]]/PositionG[[#This Row],[P1]]))</f>
        <v/>
      </c>
      <c r="Q35" s="169" t="str">
        <f>IF(PositionG[[#This Row],[P2]]=0,"",IF(PositionG[[#This Row],[P2]]="","",PositionG[[#This Row],[P2 S]]/PositionG[[#This Row],[P2]]))</f>
        <v/>
      </c>
      <c r="R35" s="169" t="str">
        <f>IF(PositionG[[#This Row],[P3]]=0,"",IF(PositionG[[#This Row],[P3]]="","",PositionG[[#This Row],[P3 S]]/PositionG[[#This Row],[P3]]))</f>
        <v/>
      </c>
      <c r="S35" s="169">
        <f>IF(PositionG[[#This Row],[P4]]=0,"",IF(PositionG[[#This Row],[P4]]="","",PositionG[[#This Row],[P4 S]]/PositionG[[#This Row],[P4]]))</f>
        <v>1</v>
      </c>
      <c r="T35" s="169" t="str">
        <f>IF(PositionG[[#This Row],[P5]]=0,"",IF(PositionG[[#This Row],[P5]]="","",PositionG[[#This Row],[P5 S]]/PositionG[[#This Row],[P5]]))</f>
        <v/>
      </c>
      <c r="U35" s="169" t="str">
        <f>IF(PositionG[[#This Row],[P6]]=0,"",IF(PositionG[[#This Row],[P6]]="","",PositionG[[#This Row],[P6 S]]/PositionG[[#This Row],[P6]]))</f>
        <v/>
      </c>
      <c r="V35"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[4]</v>
      </c>
      <c r="W35" s="170">
        <f>IF(PositionG[[#This Row],[HP]]="","",MAX(PositionG[[#This Row],[P1]:[P6]]))</f>
        <v>1</v>
      </c>
      <c r="X35"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[4]</v>
      </c>
      <c r="Y35" s="169">
        <f>IF(PositionG[[#This Row],[Spiele]]="","",MAX(PositionG[[#This Row],[P1 %]:[P6 %]]))</f>
        <v>1</v>
      </c>
    </row>
    <row r="36" spans="2:25" x14ac:dyDescent="0.3">
      <c r="B36" s="164" t="str">
        <f>VLOOKUP(ROW(PositionG[[#This Row],[Name]])-1,Teamzuordnung[],2,FALSE)</f>
        <v>Olaf Kurtze</v>
      </c>
      <c r="C36" s="164">
        <f>VLOOKUP(PositionG[[#This Row],[Name]],AuswertungG[],4,FALSE)</f>
        <v>9</v>
      </c>
      <c r="D36" s="164">
        <f>IF(PositionG[[#This Row],[Spiele]]="","",COUNTIFS(Eingabe[Name],PositionG[[#This Row],[Name]],Eingabe[Position],1))</f>
        <v>5</v>
      </c>
      <c r="E36" s="164">
        <f>IF(PositionG[[#This Row],[Spiele]]="","",COUNTIFS(Eingabe[Name],PositionG[[#This Row],[Name]],Eingabe[Position],2))</f>
        <v>2</v>
      </c>
      <c r="F36" s="164">
        <f>IF(PositionG[[#This Row],[Spiele]]="","",COUNTIFS(Eingabe[Name],PositionG[[#This Row],[Name]],Eingabe[Position],3))</f>
        <v>1</v>
      </c>
      <c r="G36" s="164">
        <f>IF(PositionG[[#This Row],[Spiele]]="","",COUNTIFS(Eingabe[Name],PositionG[[#This Row],[Name]],Eingabe[Position],4))</f>
        <v>0</v>
      </c>
      <c r="H36" s="164">
        <f>IF(PositionG[[#This Row],[Spiele]]="","",COUNTIFS(Eingabe[Name],PositionG[[#This Row],[Name]],Eingabe[Position],5))</f>
        <v>1</v>
      </c>
      <c r="I36" s="164">
        <f>IF(PositionG[[#This Row],[Spiele]]="","",COUNTIFS(Eingabe[Name],PositionG[[#This Row],[Name]],Eingabe[Position],6))</f>
        <v>0</v>
      </c>
      <c r="J36" s="164">
        <f>IF(PositionG[[#This Row],[P1]]="","",COUNTIFS(Eingabe[Position],1,Eingabe[MP],1,Eingabe[Name],PositionG[[#This Row],[Name]]))</f>
        <v>2</v>
      </c>
      <c r="K36" s="164">
        <f>IF(PositionG[[#This Row],[P2]]="","",COUNTIFS(Eingabe[Position],2,Eingabe[MP],1,Eingabe[Name],PositionG[[#This Row],[Name]]))</f>
        <v>1</v>
      </c>
      <c r="L36" s="164">
        <f>IF(PositionG[[#This Row],[P3]]="","",COUNTIFS(Eingabe[Position],3,Eingabe[MP],1,Eingabe[Name],PositionG[[#This Row],[Name]]))</f>
        <v>0</v>
      </c>
      <c r="M36" s="164">
        <f>IF(PositionG[[#This Row],[P4]]="","",COUNTIFS(Eingabe[Position],4,Eingabe[MP],1,Eingabe[Name],PositionG[[#This Row],[Name]]))</f>
        <v>0</v>
      </c>
      <c r="N36" s="164">
        <f>IF(PositionG[[#This Row],[P5]]="","",COUNTIFS(Eingabe[Position],5,Eingabe[MP],1,Eingabe[Name],PositionG[[#This Row],[Name]]))</f>
        <v>1</v>
      </c>
      <c r="O36" s="164">
        <f>IF(PositionG[[#This Row],[P6]]="","",COUNTIFS(Eingabe[Position],6,Eingabe[MP],1,Eingabe[Name],PositionG[[#This Row],[Name]]))</f>
        <v>0</v>
      </c>
      <c r="P36" s="169">
        <f>IF(PositionG[[#This Row],[P1]]=0,"",IF(PositionG[[#This Row],[P1]]="","",PositionG[[#This Row],[P1 S]]/PositionG[[#This Row],[P1]]))</f>
        <v>0.4</v>
      </c>
      <c r="Q36" s="169">
        <f>IF(PositionG[[#This Row],[P2]]=0,"",IF(PositionG[[#This Row],[P2]]="","",PositionG[[#This Row],[P2 S]]/PositionG[[#This Row],[P2]]))</f>
        <v>0.5</v>
      </c>
      <c r="R36" s="169">
        <f>IF(PositionG[[#This Row],[P3]]=0,"",IF(PositionG[[#This Row],[P3]]="","",PositionG[[#This Row],[P3 S]]/PositionG[[#This Row],[P3]]))</f>
        <v>0</v>
      </c>
      <c r="S36" s="169" t="str">
        <f>IF(PositionG[[#This Row],[P4]]=0,"",IF(PositionG[[#This Row],[P4]]="","",PositionG[[#This Row],[P4 S]]/PositionG[[#This Row],[P4]]))</f>
        <v/>
      </c>
      <c r="T36" s="169">
        <f>IF(PositionG[[#This Row],[P5]]=0,"",IF(PositionG[[#This Row],[P5]]="","",PositionG[[#This Row],[P5 S]]/PositionG[[#This Row],[P5]]))</f>
        <v>1</v>
      </c>
      <c r="U36" s="169" t="str">
        <f>IF(PositionG[[#This Row],[P6]]=0,"",IF(PositionG[[#This Row],[P6]]="","",PositionG[[#This Row],[P6 S]]/PositionG[[#This Row],[P6]]))</f>
        <v/>
      </c>
      <c r="V36"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[1]</v>
      </c>
      <c r="W36" s="170">
        <f>IF(PositionG[[#This Row],[HP]]="","",MAX(PositionG[[#This Row],[P1]:[P6]]))</f>
        <v>5</v>
      </c>
      <c r="X36"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[5]</v>
      </c>
      <c r="Y36" s="169">
        <f>IF(PositionG[[#This Row],[Spiele]]="","",MAX(PositionG[[#This Row],[P1 %]:[P6 %]]))</f>
        <v>1</v>
      </c>
    </row>
    <row r="37" spans="2:25" x14ac:dyDescent="0.3">
      <c r="B37" s="164" t="str">
        <f>VLOOKUP(ROW(PositionG[[#This Row],[Name]])-1,Teamzuordnung[],2,FALSE)</f>
        <v>Patrick Frenzel</v>
      </c>
      <c r="C37" s="164">
        <f>VLOOKUP(PositionG[[#This Row],[Name]],AuswertungG[],4,FALSE)</f>
        <v>3</v>
      </c>
      <c r="D37" s="164">
        <f>IF(PositionG[[#This Row],[Spiele]]="","",COUNTIFS(Eingabe[Name],PositionG[[#This Row],[Name]],Eingabe[Position],1))</f>
        <v>1</v>
      </c>
      <c r="E37" s="164">
        <f>IF(PositionG[[#This Row],[Spiele]]="","",COUNTIFS(Eingabe[Name],PositionG[[#This Row],[Name]],Eingabe[Position],2))</f>
        <v>0</v>
      </c>
      <c r="F37" s="164">
        <f>IF(PositionG[[#This Row],[Spiele]]="","",COUNTIFS(Eingabe[Name],PositionG[[#This Row],[Name]],Eingabe[Position],3))</f>
        <v>1</v>
      </c>
      <c r="G37" s="164">
        <f>IF(PositionG[[#This Row],[Spiele]]="","",COUNTIFS(Eingabe[Name],PositionG[[#This Row],[Name]],Eingabe[Position],4))</f>
        <v>1</v>
      </c>
      <c r="H37" s="164">
        <f>IF(PositionG[[#This Row],[Spiele]]="","",COUNTIFS(Eingabe[Name],PositionG[[#This Row],[Name]],Eingabe[Position],5))</f>
        <v>0</v>
      </c>
      <c r="I37" s="164">
        <f>IF(PositionG[[#This Row],[Spiele]]="","",COUNTIFS(Eingabe[Name],PositionG[[#This Row],[Name]],Eingabe[Position],6))</f>
        <v>0</v>
      </c>
      <c r="J37" s="164">
        <f>IF(PositionG[[#This Row],[P1]]="","",COUNTIFS(Eingabe[Position],1,Eingabe[MP],1,Eingabe[Name],PositionG[[#This Row],[Name]]))</f>
        <v>1</v>
      </c>
      <c r="K37" s="164">
        <f>IF(PositionG[[#This Row],[P2]]="","",COUNTIFS(Eingabe[Position],2,Eingabe[MP],1,Eingabe[Name],PositionG[[#This Row],[Name]]))</f>
        <v>0</v>
      </c>
      <c r="L37" s="164">
        <f>IF(PositionG[[#This Row],[P3]]="","",COUNTIFS(Eingabe[Position],3,Eingabe[MP],1,Eingabe[Name],PositionG[[#This Row],[Name]]))</f>
        <v>1</v>
      </c>
      <c r="M37" s="164">
        <f>IF(PositionG[[#This Row],[P4]]="","",COUNTIFS(Eingabe[Position],4,Eingabe[MP],1,Eingabe[Name],PositionG[[#This Row],[Name]]))</f>
        <v>0</v>
      </c>
      <c r="N37" s="164">
        <f>IF(PositionG[[#This Row],[P5]]="","",COUNTIFS(Eingabe[Position],5,Eingabe[MP],1,Eingabe[Name],PositionG[[#This Row],[Name]]))</f>
        <v>0</v>
      </c>
      <c r="O37" s="164">
        <f>IF(PositionG[[#This Row],[P6]]="","",COUNTIFS(Eingabe[Position],6,Eingabe[MP],1,Eingabe[Name],PositionG[[#This Row],[Name]]))</f>
        <v>0</v>
      </c>
      <c r="P37" s="169">
        <f>IF(PositionG[[#This Row],[P1]]=0,"",IF(PositionG[[#This Row],[P1]]="","",PositionG[[#This Row],[P1 S]]/PositionG[[#This Row],[P1]]))</f>
        <v>1</v>
      </c>
      <c r="Q37" s="169" t="str">
        <f>IF(PositionG[[#This Row],[P2]]=0,"",IF(PositionG[[#This Row],[P2]]="","",PositionG[[#This Row],[P2 S]]/PositionG[[#This Row],[P2]]))</f>
        <v/>
      </c>
      <c r="R37" s="169">
        <f>IF(PositionG[[#This Row],[P3]]=0,"",IF(PositionG[[#This Row],[P3]]="","",PositionG[[#This Row],[P3 S]]/PositionG[[#This Row],[P3]]))</f>
        <v>1</v>
      </c>
      <c r="S37" s="169">
        <f>IF(PositionG[[#This Row],[P4]]=0,"",IF(PositionG[[#This Row],[P4]]="","",PositionG[[#This Row],[P4 S]]/PositionG[[#This Row],[P4]]))</f>
        <v>0</v>
      </c>
      <c r="T37" s="169" t="str">
        <f>IF(PositionG[[#This Row],[P5]]=0,"",IF(PositionG[[#This Row],[P5]]="","",PositionG[[#This Row],[P5 S]]/PositionG[[#This Row],[P5]]))</f>
        <v/>
      </c>
      <c r="U37" s="169" t="str">
        <f>IF(PositionG[[#This Row],[P6]]=0,"",IF(PositionG[[#This Row],[P6]]="","",PositionG[[#This Row],[P6 S]]/PositionG[[#This Row],[P6]]))</f>
        <v/>
      </c>
      <c r="V37"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[1][3][4]</v>
      </c>
      <c r="W37" s="170">
        <f>IF(PositionG[[#This Row],[HP]]="","",MAX(PositionG[[#This Row],[P1]:[P6]]))</f>
        <v>1</v>
      </c>
      <c r="X37"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[1][3]</v>
      </c>
      <c r="Y37" s="169">
        <f>IF(PositionG[[#This Row],[Spiele]]="","",MAX(PositionG[[#This Row],[P1 %]:[P6 %]]))</f>
        <v>1</v>
      </c>
    </row>
    <row r="38" spans="2:25" x14ac:dyDescent="0.3">
      <c r="B38" s="164" t="str">
        <f>VLOOKUP(ROW(PositionG[[#This Row],[Name]])-1,Teamzuordnung[],2,FALSE)</f>
        <v>Patrick Hohmann</v>
      </c>
      <c r="C38" s="164">
        <f>VLOOKUP(PositionG[[#This Row],[Name]],AuswertungG[],4,FALSE)</f>
        <v>13</v>
      </c>
      <c r="D38" s="164">
        <f>IF(PositionG[[#This Row],[Spiele]]="","",COUNTIFS(Eingabe[Name],PositionG[[#This Row],[Name]],Eingabe[Position],1))</f>
        <v>2</v>
      </c>
      <c r="E38" s="164">
        <f>IF(PositionG[[#This Row],[Spiele]]="","",COUNTIFS(Eingabe[Name],PositionG[[#This Row],[Name]],Eingabe[Position],2))</f>
        <v>0</v>
      </c>
      <c r="F38" s="164">
        <f>IF(PositionG[[#This Row],[Spiele]]="","",COUNTIFS(Eingabe[Name],PositionG[[#This Row],[Name]],Eingabe[Position],3))</f>
        <v>6</v>
      </c>
      <c r="G38" s="164">
        <f>IF(PositionG[[#This Row],[Spiele]]="","",COUNTIFS(Eingabe[Name],PositionG[[#This Row],[Name]],Eingabe[Position],4))</f>
        <v>1</v>
      </c>
      <c r="H38" s="164">
        <f>IF(PositionG[[#This Row],[Spiele]]="","",COUNTIFS(Eingabe[Name],PositionG[[#This Row],[Name]],Eingabe[Position],5))</f>
        <v>3</v>
      </c>
      <c r="I38" s="164">
        <f>IF(PositionG[[#This Row],[Spiele]]="","",COUNTIFS(Eingabe[Name],PositionG[[#This Row],[Name]],Eingabe[Position],6))</f>
        <v>1</v>
      </c>
      <c r="J38" s="164">
        <f>IF(PositionG[[#This Row],[P1]]="","",COUNTIFS(Eingabe[Position],1,Eingabe[MP],1,Eingabe[Name],PositionG[[#This Row],[Name]]))</f>
        <v>1</v>
      </c>
      <c r="K38" s="164">
        <f>IF(PositionG[[#This Row],[P2]]="","",COUNTIFS(Eingabe[Position],2,Eingabe[MP],1,Eingabe[Name],PositionG[[#This Row],[Name]]))</f>
        <v>0</v>
      </c>
      <c r="L38" s="164">
        <f>IF(PositionG[[#This Row],[P3]]="","",COUNTIFS(Eingabe[Position],3,Eingabe[MP],1,Eingabe[Name],PositionG[[#This Row],[Name]]))</f>
        <v>4</v>
      </c>
      <c r="M38" s="164">
        <f>IF(PositionG[[#This Row],[P4]]="","",COUNTIFS(Eingabe[Position],4,Eingabe[MP],1,Eingabe[Name],PositionG[[#This Row],[Name]]))</f>
        <v>1</v>
      </c>
      <c r="N38" s="164">
        <f>IF(PositionG[[#This Row],[P5]]="","",COUNTIFS(Eingabe[Position],5,Eingabe[MP],1,Eingabe[Name],PositionG[[#This Row],[Name]]))</f>
        <v>1</v>
      </c>
      <c r="O38" s="164">
        <f>IF(PositionG[[#This Row],[P6]]="","",COUNTIFS(Eingabe[Position],6,Eingabe[MP],1,Eingabe[Name],PositionG[[#This Row],[Name]]))</f>
        <v>0</v>
      </c>
      <c r="P38" s="169">
        <f>IF(PositionG[[#This Row],[P1]]=0,"",IF(PositionG[[#This Row],[P1]]="","",PositionG[[#This Row],[P1 S]]/PositionG[[#This Row],[P1]]))</f>
        <v>0.5</v>
      </c>
      <c r="Q38" s="169" t="str">
        <f>IF(PositionG[[#This Row],[P2]]=0,"",IF(PositionG[[#This Row],[P2]]="","",PositionG[[#This Row],[P2 S]]/PositionG[[#This Row],[P2]]))</f>
        <v/>
      </c>
      <c r="R38" s="169">
        <f>IF(PositionG[[#This Row],[P3]]=0,"",IF(PositionG[[#This Row],[P3]]="","",PositionG[[#This Row],[P3 S]]/PositionG[[#This Row],[P3]]))</f>
        <v>0.66666666666666663</v>
      </c>
      <c r="S38" s="169">
        <f>IF(PositionG[[#This Row],[P4]]=0,"",IF(PositionG[[#This Row],[P4]]="","",PositionG[[#This Row],[P4 S]]/PositionG[[#This Row],[P4]]))</f>
        <v>1</v>
      </c>
      <c r="T38" s="169">
        <f>IF(PositionG[[#This Row],[P5]]=0,"",IF(PositionG[[#This Row],[P5]]="","",PositionG[[#This Row],[P5 S]]/PositionG[[#This Row],[P5]]))</f>
        <v>0.33333333333333331</v>
      </c>
      <c r="U38" s="169">
        <f>IF(PositionG[[#This Row],[P6]]=0,"",IF(PositionG[[#This Row],[P6]]="","",PositionG[[#This Row],[P6 S]]/PositionG[[#This Row],[P6]]))</f>
        <v>0</v>
      </c>
      <c r="V38"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[3]</v>
      </c>
      <c r="W38" s="170">
        <f>IF(PositionG[[#This Row],[HP]]="","",MAX(PositionG[[#This Row],[P1]:[P6]]))</f>
        <v>6</v>
      </c>
      <c r="X38"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[4]</v>
      </c>
      <c r="Y38" s="169">
        <f>IF(PositionG[[#This Row],[Spiele]]="","",MAX(PositionG[[#This Row],[P1 %]:[P6 %]]))</f>
        <v>1</v>
      </c>
    </row>
    <row r="39" spans="2:25" x14ac:dyDescent="0.3">
      <c r="B39" s="164" t="str">
        <f>VLOOKUP(ROW(PositionG[[#This Row],[Name]])-1,Teamzuordnung[],2,FALSE)</f>
        <v>Peter Paulmann</v>
      </c>
      <c r="C39" s="164">
        <f>VLOOKUP(PositionG[[#This Row],[Name]],AuswertungG[],4,FALSE)</f>
        <v>3</v>
      </c>
      <c r="D39" s="164">
        <f>IF(PositionG[[#This Row],[Spiele]]="","",COUNTIFS(Eingabe[Name],PositionG[[#This Row],[Name]],Eingabe[Position],1))</f>
        <v>1</v>
      </c>
      <c r="E39" s="164">
        <f>IF(PositionG[[#This Row],[Spiele]]="","",COUNTIFS(Eingabe[Name],PositionG[[#This Row],[Name]],Eingabe[Position],2))</f>
        <v>0</v>
      </c>
      <c r="F39" s="164">
        <f>IF(PositionG[[#This Row],[Spiele]]="","",COUNTIFS(Eingabe[Name],PositionG[[#This Row],[Name]],Eingabe[Position],3))</f>
        <v>0</v>
      </c>
      <c r="G39" s="164">
        <f>IF(PositionG[[#This Row],[Spiele]]="","",COUNTIFS(Eingabe[Name],PositionG[[#This Row],[Name]],Eingabe[Position],4))</f>
        <v>0</v>
      </c>
      <c r="H39" s="164">
        <f>IF(PositionG[[#This Row],[Spiele]]="","",COUNTIFS(Eingabe[Name],PositionG[[#This Row],[Name]],Eingabe[Position],5))</f>
        <v>1</v>
      </c>
      <c r="I39" s="164">
        <f>IF(PositionG[[#This Row],[Spiele]]="","",COUNTIFS(Eingabe[Name],PositionG[[#This Row],[Name]],Eingabe[Position],6))</f>
        <v>1</v>
      </c>
      <c r="J39" s="164">
        <f>IF(PositionG[[#This Row],[P1]]="","",COUNTIFS(Eingabe[Position],1,Eingabe[MP],1,Eingabe[Name],PositionG[[#This Row],[Name]]))</f>
        <v>1</v>
      </c>
      <c r="K39" s="164">
        <f>IF(PositionG[[#This Row],[P2]]="","",COUNTIFS(Eingabe[Position],2,Eingabe[MP],1,Eingabe[Name],PositionG[[#This Row],[Name]]))</f>
        <v>0</v>
      </c>
      <c r="L39" s="164">
        <f>IF(PositionG[[#This Row],[P3]]="","",COUNTIFS(Eingabe[Position],3,Eingabe[MP],1,Eingabe[Name],PositionG[[#This Row],[Name]]))</f>
        <v>0</v>
      </c>
      <c r="M39" s="164">
        <f>IF(PositionG[[#This Row],[P4]]="","",COUNTIFS(Eingabe[Position],4,Eingabe[MP],1,Eingabe[Name],PositionG[[#This Row],[Name]]))</f>
        <v>0</v>
      </c>
      <c r="N39" s="164">
        <f>IF(PositionG[[#This Row],[P5]]="","",COUNTIFS(Eingabe[Position],5,Eingabe[MP],1,Eingabe[Name],PositionG[[#This Row],[Name]]))</f>
        <v>0</v>
      </c>
      <c r="O39" s="164">
        <f>IF(PositionG[[#This Row],[P6]]="","",COUNTIFS(Eingabe[Position],6,Eingabe[MP],1,Eingabe[Name],PositionG[[#This Row],[Name]]))</f>
        <v>1</v>
      </c>
      <c r="P39" s="169">
        <f>IF(PositionG[[#This Row],[P1]]=0,"",IF(PositionG[[#This Row],[P1]]="","",PositionG[[#This Row],[P1 S]]/PositionG[[#This Row],[P1]]))</f>
        <v>1</v>
      </c>
      <c r="Q39" s="169" t="str">
        <f>IF(PositionG[[#This Row],[P2]]=0,"",IF(PositionG[[#This Row],[P2]]="","",PositionG[[#This Row],[P2 S]]/PositionG[[#This Row],[P2]]))</f>
        <v/>
      </c>
      <c r="R39" s="169" t="str">
        <f>IF(PositionG[[#This Row],[P3]]=0,"",IF(PositionG[[#This Row],[P3]]="","",PositionG[[#This Row],[P3 S]]/PositionG[[#This Row],[P3]]))</f>
        <v/>
      </c>
      <c r="S39" s="169" t="str">
        <f>IF(PositionG[[#This Row],[P4]]=0,"",IF(PositionG[[#This Row],[P4]]="","",PositionG[[#This Row],[P4 S]]/PositionG[[#This Row],[P4]]))</f>
        <v/>
      </c>
      <c r="T39" s="169">
        <f>IF(PositionG[[#This Row],[P5]]=0,"",IF(PositionG[[#This Row],[P5]]="","",PositionG[[#This Row],[P5 S]]/PositionG[[#This Row],[P5]]))</f>
        <v>0</v>
      </c>
      <c r="U39" s="169">
        <f>IF(PositionG[[#This Row],[P6]]=0,"",IF(PositionG[[#This Row],[P6]]="","",PositionG[[#This Row],[P6 S]]/PositionG[[#This Row],[P6]]))</f>
        <v>1</v>
      </c>
      <c r="V39"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[1][5][6]</v>
      </c>
      <c r="W39" s="170">
        <f>IF(PositionG[[#This Row],[HP]]="","",MAX(PositionG[[#This Row],[P1]:[P6]]))</f>
        <v>1</v>
      </c>
      <c r="X39"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[1][6]</v>
      </c>
      <c r="Y39" s="169">
        <f>IF(PositionG[[#This Row],[Spiele]]="","",MAX(PositionG[[#This Row],[P1 %]:[P6 %]]))</f>
        <v>1</v>
      </c>
    </row>
    <row r="40" spans="2:25" x14ac:dyDescent="0.3">
      <c r="B40" s="164" t="str">
        <f>VLOOKUP(ROW(PositionG[[#This Row],[Name]])-1,Teamzuordnung[],2,FALSE)</f>
        <v>Peter Weißling</v>
      </c>
      <c r="C40" s="164">
        <f>VLOOKUP(PositionG[[#This Row],[Name]],AuswertungG[],4,FALSE)</f>
        <v>1</v>
      </c>
      <c r="D40" s="164">
        <f>IF(PositionG[[#This Row],[Spiele]]="","",COUNTIFS(Eingabe[Name],PositionG[[#This Row],[Name]],Eingabe[Position],1))</f>
        <v>0</v>
      </c>
      <c r="E40" s="164">
        <f>IF(PositionG[[#This Row],[Spiele]]="","",COUNTIFS(Eingabe[Name],PositionG[[#This Row],[Name]],Eingabe[Position],2))</f>
        <v>0</v>
      </c>
      <c r="F40" s="164">
        <f>IF(PositionG[[#This Row],[Spiele]]="","",COUNTIFS(Eingabe[Name],PositionG[[#This Row],[Name]],Eingabe[Position],3))</f>
        <v>1</v>
      </c>
      <c r="G40" s="164">
        <f>IF(PositionG[[#This Row],[Spiele]]="","",COUNTIFS(Eingabe[Name],PositionG[[#This Row],[Name]],Eingabe[Position],4))</f>
        <v>0</v>
      </c>
      <c r="H40" s="164">
        <f>IF(PositionG[[#This Row],[Spiele]]="","",COUNTIFS(Eingabe[Name],PositionG[[#This Row],[Name]],Eingabe[Position],5))</f>
        <v>0</v>
      </c>
      <c r="I40" s="164">
        <f>IF(PositionG[[#This Row],[Spiele]]="","",COUNTIFS(Eingabe[Name],PositionG[[#This Row],[Name]],Eingabe[Position],6))</f>
        <v>0</v>
      </c>
      <c r="J40" s="164">
        <f>IF(PositionG[[#This Row],[P1]]="","",COUNTIFS(Eingabe[Position],1,Eingabe[MP],1,Eingabe[Name],PositionG[[#This Row],[Name]]))</f>
        <v>0</v>
      </c>
      <c r="K40" s="164">
        <f>IF(PositionG[[#This Row],[P2]]="","",COUNTIFS(Eingabe[Position],2,Eingabe[MP],1,Eingabe[Name],PositionG[[#This Row],[Name]]))</f>
        <v>0</v>
      </c>
      <c r="L40" s="164">
        <f>IF(PositionG[[#This Row],[P3]]="","",COUNTIFS(Eingabe[Position],3,Eingabe[MP],1,Eingabe[Name],PositionG[[#This Row],[Name]]))</f>
        <v>1</v>
      </c>
      <c r="M40" s="164">
        <f>IF(PositionG[[#This Row],[P4]]="","",COUNTIFS(Eingabe[Position],4,Eingabe[MP],1,Eingabe[Name],PositionG[[#This Row],[Name]]))</f>
        <v>0</v>
      </c>
      <c r="N40" s="164">
        <f>IF(PositionG[[#This Row],[P5]]="","",COUNTIFS(Eingabe[Position],5,Eingabe[MP],1,Eingabe[Name],PositionG[[#This Row],[Name]]))</f>
        <v>0</v>
      </c>
      <c r="O40" s="164">
        <f>IF(PositionG[[#This Row],[P6]]="","",COUNTIFS(Eingabe[Position],6,Eingabe[MP],1,Eingabe[Name],PositionG[[#This Row],[Name]]))</f>
        <v>0</v>
      </c>
      <c r="P40" s="169" t="str">
        <f>IF(PositionG[[#This Row],[P1]]=0,"",IF(PositionG[[#This Row],[P1]]="","",PositionG[[#This Row],[P1 S]]/PositionG[[#This Row],[P1]]))</f>
        <v/>
      </c>
      <c r="Q40" s="169" t="str">
        <f>IF(PositionG[[#This Row],[P2]]=0,"",IF(PositionG[[#This Row],[P2]]="","",PositionG[[#This Row],[P2 S]]/PositionG[[#This Row],[P2]]))</f>
        <v/>
      </c>
      <c r="R40" s="169">
        <f>IF(PositionG[[#This Row],[P3]]=0,"",IF(PositionG[[#This Row],[P3]]="","",PositionG[[#This Row],[P3 S]]/PositionG[[#This Row],[P3]]))</f>
        <v>1</v>
      </c>
      <c r="S40" s="169" t="str">
        <f>IF(PositionG[[#This Row],[P4]]=0,"",IF(PositionG[[#This Row],[P4]]="","",PositionG[[#This Row],[P4 S]]/PositionG[[#This Row],[P4]]))</f>
        <v/>
      </c>
      <c r="T40" s="169" t="str">
        <f>IF(PositionG[[#This Row],[P5]]=0,"",IF(PositionG[[#This Row],[P5]]="","",PositionG[[#This Row],[P5 S]]/PositionG[[#This Row],[P5]]))</f>
        <v/>
      </c>
      <c r="U40" s="169" t="str">
        <f>IF(PositionG[[#This Row],[P6]]=0,"",IF(PositionG[[#This Row],[P6]]="","",PositionG[[#This Row],[P6 S]]/PositionG[[#This Row],[P6]]))</f>
        <v/>
      </c>
      <c r="V40"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[3]</v>
      </c>
      <c r="W40" s="170">
        <f>IF(PositionG[[#This Row],[HP]]="","",MAX(PositionG[[#This Row],[P1]:[P6]]))</f>
        <v>1</v>
      </c>
      <c r="X40"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[3]</v>
      </c>
      <c r="Y40" s="169">
        <f>IF(PositionG[[#This Row],[Spiele]]="","",MAX(PositionG[[#This Row],[P1 %]:[P6 %]]))</f>
        <v>1</v>
      </c>
    </row>
    <row r="41" spans="2:25" x14ac:dyDescent="0.3">
      <c r="B41" s="164" t="str">
        <f>VLOOKUP(ROW(PositionG[[#This Row],[Name]])-1,Teamzuordnung[],2,FALSE)</f>
        <v>Petra Kubon</v>
      </c>
      <c r="C41" s="164">
        <f>VLOOKUP(PositionG[[#This Row],[Name]],AuswertungG[],4,FALSE)</f>
        <v>1</v>
      </c>
      <c r="D41" s="164">
        <f>IF(PositionG[[#This Row],[Spiele]]="","",COUNTIFS(Eingabe[Name],PositionG[[#This Row],[Name]],Eingabe[Position],1))</f>
        <v>0</v>
      </c>
      <c r="E41" s="164">
        <f>IF(PositionG[[#This Row],[Spiele]]="","",COUNTIFS(Eingabe[Name],PositionG[[#This Row],[Name]],Eingabe[Position],2))</f>
        <v>0</v>
      </c>
      <c r="F41" s="164">
        <f>IF(PositionG[[#This Row],[Spiele]]="","",COUNTIFS(Eingabe[Name],PositionG[[#This Row],[Name]],Eingabe[Position],3))</f>
        <v>0</v>
      </c>
      <c r="G41" s="164">
        <f>IF(PositionG[[#This Row],[Spiele]]="","",COUNTIFS(Eingabe[Name],PositionG[[#This Row],[Name]],Eingabe[Position],4))</f>
        <v>1</v>
      </c>
      <c r="H41" s="164">
        <f>IF(PositionG[[#This Row],[Spiele]]="","",COUNTIFS(Eingabe[Name],PositionG[[#This Row],[Name]],Eingabe[Position],5))</f>
        <v>0</v>
      </c>
      <c r="I41" s="164">
        <f>IF(PositionG[[#This Row],[Spiele]]="","",COUNTIFS(Eingabe[Name],PositionG[[#This Row],[Name]],Eingabe[Position],6))</f>
        <v>0</v>
      </c>
      <c r="J41" s="164">
        <f>IF(PositionG[[#This Row],[P1]]="","",COUNTIFS(Eingabe[Position],1,Eingabe[MP],1,Eingabe[Name],PositionG[[#This Row],[Name]]))</f>
        <v>0</v>
      </c>
      <c r="K41" s="164">
        <f>IF(PositionG[[#This Row],[P2]]="","",COUNTIFS(Eingabe[Position],2,Eingabe[MP],1,Eingabe[Name],PositionG[[#This Row],[Name]]))</f>
        <v>0</v>
      </c>
      <c r="L41" s="164">
        <f>IF(PositionG[[#This Row],[P3]]="","",COUNTIFS(Eingabe[Position],3,Eingabe[MP],1,Eingabe[Name],PositionG[[#This Row],[Name]]))</f>
        <v>0</v>
      </c>
      <c r="M41" s="164">
        <f>IF(PositionG[[#This Row],[P4]]="","",COUNTIFS(Eingabe[Position],4,Eingabe[MP],1,Eingabe[Name],PositionG[[#This Row],[Name]]))</f>
        <v>0</v>
      </c>
      <c r="N41" s="164">
        <f>IF(PositionG[[#This Row],[P5]]="","",COUNTIFS(Eingabe[Position],5,Eingabe[MP],1,Eingabe[Name],PositionG[[#This Row],[Name]]))</f>
        <v>0</v>
      </c>
      <c r="O41" s="164">
        <f>IF(PositionG[[#This Row],[P6]]="","",COUNTIFS(Eingabe[Position],6,Eingabe[MP],1,Eingabe[Name],PositionG[[#This Row],[Name]]))</f>
        <v>0</v>
      </c>
      <c r="P41" s="169" t="str">
        <f>IF(PositionG[[#This Row],[P1]]=0,"",IF(PositionG[[#This Row],[P1]]="","",PositionG[[#This Row],[P1 S]]/PositionG[[#This Row],[P1]]))</f>
        <v/>
      </c>
      <c r="Q41" s="169" t="str">
        <f>IF(PositionG[[#This Row],[P2]]=0,"",IF(PositionG[[#This Row],[P2]]="","",PositionG[[#This Row],[P2 S]]/PositionG[[#This Row],[P2]]))</f>
        <v/>
      </c>
      <c r="R41" s="169" t="str">
        <f>IF(PositionG[[#This Row],[P3]]=0,"",IF(PositionG[[#This Row],[P3]]="","",PositionG[[#This Row],[P3 S]]/PositionG[[#This Row],[P3]]))</f>
        <v/>
      </c>
      <c r="S41" s="169">
        <f>IF(PositionG[[#This Row],[P4]]=0,"",IF(PositionG[[#This Row],[P4]]="","",PositionG[[#This Row],[P4 S]]/PositionG[[#This Row],[P4]]))</f>
        <v>0</v>
      </c>
      <c r="T41" s="169" t="str">
        <f>IF(PositionG[[#This Row],[P5]]=0,"",IF(PositionG[[#This Row],[P5]]="","",PositionG[[#This Row],[P5 S]]/PositionG[[#This Row],[P5]]))</f>
        <v/>
      </c>
      <c r="U41" s="169" t="str">
        <f>IF(PositionG[[#This Row],[P6]]=0,"",IF(PositionG[[#This Row],[P6]]="","",PositionG[[#This Row],[P6 S]]/PositionG[[#This Row],[P6]]))</f>
        <v/>
      </c>
      <c r="V41"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[4]</v>
      </c>
      <c r="W41" s="170">
        <f>IF(PositionG[[#This Row],[HP]]="","",MAX(PositionG[[#This Row],[P1]:[P6]]))</f>
        <v>1</v>
      </c>
      <c r="X41"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[4]</v>
      </c>
      <c r="Y41" s="169">
        <f>IF(PositionG[[#This Row],[Spiele]]="","",MAX(PositionG[[#This Row],[P1 %]:[P6 %]]))</f>
        <v>0</v>
      </c>
    </row>
    <row r="42" spans="2:25" x14ac:dyDescent="0.3">
      <c r="B42" s="164" t="str">
        <f>VLOOKUP(ROW(PositionG[[#This Row],[Name]])-1,Teamzuordnung[],2,FALSE)</f>
        <v>Philipp Paulmann</v>
      </c>
      <c r="C42" s="164">
        <f>VLOOKUP(PositionG[[#This Row],[Name]],AuswertungG[],4,FALSE)</f>
        <v>13</v>
      </c>
      <c r="D42" s="164">
        <f>IF(PositionG[[#This Row],[Spiele]]="","",COUNTIFS(Eingabe[Name],PositionG[[#This Row],[Name]],Eingabe[Position],1))</f>
        <v>1</v>
      </c>
      <c r="E42" s="164">
        <f>IF(PositionG[[#This Row],[Spiele]]="","",COUNTIFS(Eingabe[Name],PositionG[[#This Row],[Name]],Eingabe[Position],2))</f>
        <v>0</v>
      </c>
      <c r="F42" s="164">
        <f>IF(PositionG[[#This Row],[Spiele]]="","",COUNTIFS(Eingabe[Name],PositionG[[#This Row],[Name]],Eingabe[Position],3))</f>
        <v>1</v>
      </c>
      <c r="G42" s="164">
        <f>IF(PositionG[[#This Row],[Spiele]]="","",COUNTIFS(Eingabe[Name],PositionG[[#This Row],[Name]],Eingabe[Position],4))</f>
        <v>0</v>
      </c>
      <c r="H42" s="164">
        <f>IF(PositionG[[#This Row],[Spiele]]="","",COUNTIFS(Eingabe[Name],PositionG[[#This Row],[Name]],Eingabe[Position],5))</f>
        <v>8</v>
      </c>
      <c r="I42" s="164">
        <f>IF(PositionG[[#This Row],[Spiele]]="","",COUNTIFS(Eingabe[Name],PositionG[[#This Row],[Name]],Eingabe[Position],6))</f>
        <v>3</v>
      </c>
      <c r="J42" s="164">
        <f>IF(PositionG[[#This Row],[P1]]="","",COUNTIFS(Eingabe[Position],1,Eingabe[MP],1,Eingabe[Name],PositionG[[#This Row],[Name]]))</f>
        <v>0</v>
      </c>
      <c r="K42" s="164">
        <f>IF(PositionG[[#This Row],[P2]]="","",COUNTIFS(Eingabe[Position],2,Eingabe[MP],1,Eingabe[Name],PositionG[[#This Row],[Name]]))</f>
        <v>0</v>
      </c>
      <c r="L42" s="164">
        <f>IF(PositionG[[#This Row],[P3]]="","",COUNTIFS(Eingabe[Position],3,Eingabe[MP],1,Eingabe[Name],PositionG[[#This Row],[Name]]))</f>
        <v>1</v>
      </c>
      <c r="M42" s="164">
        <f>IF(PositionG[[#This Row],[P4]]="","",COUNTIFS(Eingabe[Position],4,Eingabe[MP],1,Eingabe[Name],PositionG[[#This Row],[Name]]))</f>
        <v>0</v>
      </c>
      <c r="N42" s="164">
        <f>IF(PositionG[[#This Row],[P5]]="","",COUNTIFS(Eingabe[Position],5,Eingabe[MP],1,Eingabe[Name],PositionG[[#This Row],[Name]]))</f>
        <v>6</v>
      </c>
      <c r="O42" s="164">
        <f>IF(PositionG[[#This Row],[P6]]="","",COUNTIFS(Eingabe[Position],6,Eingabe[MP],1,Eingabe[Name],PositionG[[#This Row],[Name]]))</f>
        <v>1</v>
      </c>
      <c r="P42" s="169">
        <f>IF(PositionG[[#This Row],[P1]]=0,"",IF(PositionG[[#This Row],[P1]]="","",PositionG[[#This Row],[P1 S]]/PositionG[[#This Row],[P1]]))</f>
        <v>0</v>
      </c>
      <c r="Q42" s="169" t="str">
        <f>IF(PositionG[[#This Row],[P2]]=0,"",IF(PositionG[[#This Row],[P2]]="","",PositionG[[#This Row],[P2 S]]/PositionG[[#This Row],[P2]]))</f>
        <v/>
      </c>
      <c r="R42" s="169">
        <f>IF(PositionG[[#This Row],[P3]]=0,"",IF(PositionG[[#This Row],[P3]]="","",PositionG[[#This Row],[P3 S]]/PositionG[[#This Row],[P3]]))</f>
        <v>1</v>
      </c>
      <c r="S42" s="169" t="str">
        <f>IF(PositionG[[#This Row],[P4]]=0,"",IF(PositionG[[#This Row],[P4]]="","",PositionG[[#This Row],[P4 S]]/PositionG[[#This Row],[P4]]))</f>
        <v/>
      </c>
      <c r="T42" s="169">
        <f>IF(PositionG[[#This Row],[P5]]=0,"",IF(PositionG[[#This Row],[P5]]="","",PositionG[[#This Row],[P5 S]]/PositionG[[#This Row],[P5]]))</f>
        <v>0.75</v>
      </c>
      <c r="U42" s="169">
        <f>IF(PositionG[[#This Row],[P6]]=0,"",IF(PositionG[[#This Row],[P6]]="","",PositionG[[#This Row],[P6 S]]/PositionG[[#This Row],[P6]]))</f>
        <v>0.33333333333333331</v>
      </c>
      <c r="V42"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[5]</v>
      </c>
      <c r="W42" s="170">
        <f>IF(PositionG[[#This Row],[HP]]="","",MAX(PositionG[[#This Row],[P1]:[P6]]))</f>
        <v>8</v>
      </c>
      <c r="X42"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[3]</v>
      </c>
      <c r="Y42" s="169">
        <f>IF(PositionG[[#This Row],[Spiele]]="","",MAX(PositionG[[#This Row],[P1 %]:[P6 %]]))</f>
        <v>1</v>
      </c>
    </row>
    <row r="43" spans="2:25" x14ac:dyDescent="0.3">
      <c r="B43" s="164" t="str">
        <f>VLOOKUP(ROW(PositionG[[#This Row],[Name]])-1,Teamzuordnung[],2,FALSE)</f>
        <v>Pia Wätzig</v>
      </c>
      <c r="C43" s="164">
        <f>VLOOKUP(PositionG[[#This Row],[Name]],AuswertungG[],4,FALSE)</f>
        <v>2</v>
      </c>
      <c r="D43" s="164">
        <f>IF(PositionG[[#This Row],[Spiele]]="","",COUNTIFS(Eingabe[Name],PositionG[[#This Row],[Name]],Eingabe[Position],1))</f>
        <v>1</v>
      </c>
      <c r="E43" s="164">
        <f>IF(PositionG[[#This Row],[Spiele]]="","",COUNTIFS(Eingabe[Name],PositionG[[#This Row],[Name]],Eingabe[Position],2))</f>
        <v>0</v>
      </c>
      <c r="F43" s="164">
        <f>IF(PositionG[[#This Row],[Spiele]]="","",COUNTIFS(Eingabe[Name],PositionG[[#This Row],[Name]],Eingabe[Position],3))</f>
        <v>1</v>
      </c>
      <c r="G43" s="164">
        <f>IF(PositionG[[#This Row],[Spiele]]="","",COUNTIFS(Eingabe[Name],PositionG[[#This Row],[Name]],Eingabe[Position],4))</f>
        <v>0</v>
      </c>
      <c r="H43" s="164">
        <f>IF(PositionG[[#This Row],[Spiele]]="","",COUNTIFS(Eingabe[Name],PositionG[[#This Row],[Name]],Eingabe[Position],5))</f>
        <v>0</v>
      </c>
      <c r="I43" s="164">
        <f>IF(PositionG[[#This Row],[Spiele]]="","",COUNTIFS(Eingabe[Name],PositionG[[#This Row],[Name]],Eingabe[Position],6))</f>
        <v>0</v>
      </c>
      <c r="J43" s="164">
        <f>IF(PositionG[[#This Row],[P1]]="","",COUNTIFS(Eingabe[Position],1,Eingabe[MP],1,Eingabe[Name],PositionG[[#This Row],[Name]]))</f>
        <v>0</v>
      </c>
      <c r="K43" s="164">
        <f>IF(PositionG[[#This Row],[P2]]="","",COUNTIFS(Eingabe[Position],2,Eingabe[MP],1,Eingabe[Name],PositionG[[#This Row],[Name]]))</f>
        <v>0</v>
      </c>
      <c r="L43" s="164">
        <f>IF(PositionG[[#This Row],[P3]]="","",COUNTIFS(Eingabe[Position],3,Eingabe[MP],1,Eingabe[Name],PositionG[[#This Row],[Name]]))</f>
        <v>0</v>
      </c>
      <c r="M43" s="164">
        <f>IF(PositionG[[#This Row],[P4]]="","",COUNTIFS(Eingabe[Position],4,Eingabe[MP],1,Eingabe[Name],PositionG[[#This Row],[Name]]))</f>
        <v>0</v>
      </c>
      <c r="N43" s="164">
        <f>IF(PositionG[[#This Row],[P5]]="","",COUNTIFS(Eingabe[Position],5,Eingabe[MP],1,Eingabe[Name],PositionG[[#This Row],[Name]]))</f>
        <v>0</v>
      </c>
      <c r="O43" s="164">
        <f>IF(PositionG[[#This Row],[P6]]="","",COUNTIFS(Eingabe[Position],6,Eingabe[MP],1,Eingabe[Name],PositionG[[#This Row],[Name]]))</f>
        <v>0</v>
      </c>
      <c r="P43" s="169">
        <f>IF(PositionG[[#This Row],[P1]]=0,"",IF(PositionG[[#This Row],[P1]]="","",PositionG[[#This Row],[P1 S]]/PositionG[[#This Row],[P1]]))</f>
        <v>0</v>
      </c>
      <c r="Q43" s="169" t="str">
        <f>IF(PositionG[[#This Row],[P2]]=0,"",IF(PositionG[[#This Row],[P2]]="","",PositionG[[#This Row],[P2 S]]/PositionG[[#This Row],[P2]]))</f>
        <v/>
      </c>
      <c r="R43" s="169">
        <f>IF(PositionG[[#This Row],[P3]]=0,"",IF(PositionG[[#This Row],[P3]]="","",PositionG[[#This Row],[P3 S]]/PositionG[[#This Row],[P3]]))</f>
        <v>0</v>
      </c>
      <c r="S43" s="169" t="str">
        <f>IF(PositionG[[#This Row],[P4]]=0,"",IF(PositionG[[#This Row],[P4]]="","",PositionG[[#This Row],[P4 S]]/PositionG[[#This Row],[P4]]))</f>
        <v/>
      </c>
      <c r="T43" s="169" t="str">
        <f>IF(PositionG[[#This Row],[P5]]=0,"",IF(PositionG[[#This Row],[P5]]="","",PositionG[[#This Row],[P5 S]]/PositionG[[#This Row],[P5]]))</f>
        <v/>
      </c>
      <c r="U43" s="169" t="str">
        <f>IF(PositionG[[#This Row],[P6]]=0,"",IF(PositionG[[#This Row],[P6]]="","",PositionG[[#This Row],[P6 S]]/PositionG[[#This Row],[P6]]))</f>
        <v/>
      </c>
      <c r="V43"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[1][3]</v>
      </c>
      <c r="W43" s="170">
        <f>IF(PositionG[[#This Row],[HP]]="","",MAX(PositionG[[#This Row],[P1]:[P6]]))</f>
        <v>1</v>
      </c>
      <c r="X43"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[1][3]</v>
      </c>
      <c r="Y43" s="169">
        <f>IF(PositionG[[#This Row],[Spiele]]="","",MAX(PositionG[[#This Row],[P1 %]:[P6 %]]))</f>
        <v>0</v>
      </c>
    </row>
    <row r="44" spans="2:25" x14ac:dyDescent="0.3">
      <c r="B44" s="164" t="str">
        <f>VLOOKUP(ROW(PositionG[[#This Row],[Name]])-1,Teamzuordnung[],2,FALSE)</f>
        <v>Sophia Stirl</v>
      </c>
      <c r="C44" s="164" t="str">
        <f>VLOOKUP(PositionG[[#This Row],[Name]],AuswertungG[],4,FALSE)</f>
        <v/>
      </c>
      <c r="D44" s="164" t="str">
        <f>IF(PositionG[[#This Row],[Spiele]]="","",COUNTIFS(Eingabe[Name],PositionG[[#This Row],[Name]],Eingabe[Position],1))</f>
        <v/>
      </c>
      <c r="E44" s="164" t="str">
        <f>IF(PositionG[[#This Row],[Spiele]]="","",COUNTIFS(Eingabe[Name],PositionG[[#This Row],[Name]],Eingabe[Position],2))</f>
        <v/>
      </c>
      <c r="F44" s="164" t="str">
        <f>IF(PositionG[[#This Row],[Spiele]]="","",COUNTIFS(Eingabe[Name],PositionG[[#This Row],[Name]],Eingabe[Position],3))</f>
        <v/>
      </c>
      <c r="G44" s="164" t="str">
        <f>IF(PositionG[[#This Row],[Spiele]]="","",COUNTIFS(Eingabe[Name],PositionG[[#This Row],[Name]],Eingabe[Position],4))</f>
        <v/>
      </c>
      <c r="H44" s="164" t="str">
        <f>IF(PositionG[[#This Row],[Spiele]]="","",COUNTIFS(Eingabe[Name],PositionG[[#This Row],[Name]],Eingabe[Position],5))</f>
        <v/>
      </c>
      <c r="I44" s="164" t="str">
        <f>IF(PositionG[[#This Row],[Spiele]]="","",COUNTIFS(Eingabe[Name],PositionG[[#This Row],[Name]],Eingabe[Position],6))</f>
        <v/>
      </c>
      <c r="J44" s="164" t="str">
        <f>IF(PositionG[[#This Row],[P1]]="","",COUNTIFS(Eingabe[Position],1,Eingabe[MP],1,Eingabe[Name],PositionG[[#This Row],[Name]]))</f>
        <v/>
      </c>
      <c r="K44" s="164" t="str">
        <f>IF(PositionG[[#This Row],[P2]]="","",COUNTIFS(Eingabe[Position],2,Eingabe[MP],1,Eingabe[Name],PositionG[[#This Row],[Name]]))</f>
        <v/>
      </c>
      <c r="L44" s="164" t="str">
        <f>IF(PositionG[[#This Row],[P3]]="","",COUNTIFS(Eingabe[Position],3,Eingabe[MP],1,Eingabe[Name],PositionG[[#This Row],[Name]]))</f>
        <v/>
      </c>
      <c r="M44" s="164" t="str">
        <f>IF(PositionG[[#This Row],[P4]]="","",COUNTIFS(Eingabe[Position],4,Eingabe[MP],1,Eingabe[Name],PositionG[[#This Row],[Name]]))</f>
        <v/>
      </c>
      <c r="N44" s="164" t="str">
        <f>IF(PositionG[[#This Row],[P5]]="","",COUNTIFS(Eingabe[Position],5,Eingabe[MP],1,Eingabe[Name],PositionG[[#This Row],[Name]]))</f>
        <v/>
      </c>
      <c r="O44" s="164" t="str">
        <f>IF(PositionG[[#This Row],[P6]]="","",COUNTIFS(Eingabe[Position],6,Eingabe[MP],1,Eingabe[Name],PositionG[[#This Row],[Name]]))</f>
        <v/>
      </c>
      <c r="P44" s="169" t="str">
        <f>IF(PositionG[[#This Row],[P1]]=0,"",IF(PositionG[[#This Row],[P1]]="","",PositionG[[#This Row],[P1 S]]/PositionG[[#This Row],[P1]]))</f>
        <v/>
      </c>
      <c r="Q44" s="169" t="str">
        <f>IF(PositionG[[#This Row],[P2]]=0,"",IF(PositionG[[#This Row],[P2]]="","",PositionG[[#This Row],[P2 S]]/PositionG[[#This Row],[P2]]))</f>
        <v/>
      </c>
      <c r="R44" s="169" t="str">
        <f>IF(PositionG[[#This Row],[P3]]=0,"",IF(PositionG[[#This Row],[P3]]="","",PositionG[[#This Row],[P3 S]]/PositionG[[#This Row],[P3]]))</f>
        <v/>
      </c>
      <c r="S44" s="169" t="str">
        <f>IF(PositionG[[#This Row],[P4]]=0,"",IF(PositionG[[#This Row],[P4]]="","",PositionG[[#This Row],[P4 S]]/PositionG[[#This Row],[P4]]))</f>
        <v/>
      </c>
      <c r="T44" s="169" t="str">
        <f>IF(PositionG[[#This Row],[P5]]=0,"",IF(PositionG[[#This Row],[P5]]="","",PositionG[[#This Row],[P5 S]]/PositionG[[#This Row],[P5]]))</f>
        <v/>
      </c>
      <c r="U44" s="169" t="str">
        <f>IF(PositionG[[#This Row],[P6]]=0,"",IF(PositionG[[#This Row],[P6]]="","",PositionG[[#This Row],[P6 S]]/PositionG[[#This Row],[P6]]))</f>
        <v/>
      </c>
      <c r="V44"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44" s="170" t="str">
        <f>IF(PositionG[[#This Row],[HP]]="","",MAX(PositionG[[#This Row],[P1]:[P6]]))</f>
        <v/>
      </c>
      <c r="X44"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44" s="169" t="str">
        <f>IF(PositionG[[#This Row],[Spiele]]="","",MAX(PositionG[[#This Row],[P1 %]:[P6 %]]))</f>
        <v/>
      </c>
    </row>
    <row r="45" spans="2:25" x14ac:dyDescent="0.3">
      <c r="B45" s="164" t="str">
        <f>VLOOKUP(ROW(PositionG[[#This Row],[Name]])-1,Teamzuordnung[],2,FALSE)</f>
        <v>Stefan Teuber</v>
      </c>
      <c r="C45" s="164">
        <f>VLOOKUP(PositionG[[#This Row],[Name]],AuswertungG[],4,FALSE)</f>
        <v>14</v>
      </c>
      <c r="D45" s="164">
        <f>IF(PositionG[[#This Row],[Spiele]]="","",COUNTIFS(Eingabe[Name],PositionG[[#This Row],[Name]],Eingabe[Position],1))</f>
        <v>2</v>
      </c>
      <c r="E45" s="164">
        <f>IF(PositionG[[#This Row],[Spiele]]="","",COUNTIFS(Eingabe[Name],PositionG[[#This Row],[Name]],Eingabe[Position],2))</f>
        <v>7</v>
      </c>
      <c r="F45" s="164">
        <f>IF(PositionG[[#This Row],[Spiele]]="","",COUNTIFS(Eingabe[Name],PositionG[[#This Row],[Name]],Eingabe[Position],3))</f>
        <v>0</v>
      </c>
      <c r="G45" s="164">
        <f>IF(PositionG[[#This Row],[Spiele]]="","",COUNTIFS(Eingabe[Name],PositionG[[#This Row],[Name]],Eingabe[Position],4))</f>
        <v>5</v>
      </c>
      <c r="H45" s="164">
        <f>IF(PositionG[[#This Row],[Spiele]]="","",COUNTIFS(Eingabe[Name],PositionG[[#This Row],[Name]],Eingabe[Position],5))</f>
        <v>0</v>
      </c>
      <c r="I45" s="164">
        <f>IF(PositionG[[#This Row],[Spiele]]="","",COUNTIFS(Eingabe[Name],PositionG[[#This Row],[Name]],Eingabe[Position],6))</f>
        <v>0</v>
      </c>
      <c r="J45" s="164">
        <f>IF(PositionG[[#This Row],[P1]]="","",COUNTIFS(Eingabe[Position],1,Eingabe[MP],1,Eingabe[Name],PositionG[[#This Row],[Name]]))</f>
        <v>1</v>
      </c>
      <c r="K45" s="164">
        <f>IF(PositionG[[#This Row],[P2]]="","",COUNTIFS(Eingabe[Position],2,Eingabe[MP],1,Eingabe[Name],PositionG[[#This Row],[Name]]))</f>
        <v>0</v>
      </c>
      <c r="L45" s="164">
        <f>IF(PositionG[[#This Row],[P3]]="","",COUNTIFS(Eingabe[Position],3,Eingabe[MP],1,Eingabe[Name],PositionG[[#This Row],[Name]]))</f>
        <v>0</v>
      </c>
      <c r="M45" s="164">
        <f>IF(PositionG[[#This Row],[P4]]="","",COUNTIFS(Eingabe[Position],4,Eingabe[MP],1,Eingabe[Name],PositionG[[#This Row],[Name]]))</f>
        <v>3</v>
      </c>
      <c r="N45" s="164">
        <f>IF(PositionG[[#This Row],[P5]]="","",COUNTIFS(Eingabe[Position],5,Eingabe[MP],1,Eingabe[Name],PositionG[[#This Row],[Name]]))</f>
        <v>0</v>
      </c>
      <c r="O45" s="164">
        <f>IF(PositionG[[#This Row],[P6]]="","",COUNTIFS(Eingabe[Position],6,Eingabe[MP],1,Eingabe[Name],PositionG[[#This Row],[Name]]))</f>
        <v>0</v>
      </c>
      <c r="P45" s="169">
        <f>IF(PositionG[[#This Row],[P1]]=0,"",IF(PositionG[[#This Row],[P1]]="","",PositionG[[#This Row],[P1 S]]/PositionG[[#This Row],[P1]]))</f>
        <v>0.5</v>
      </c>
      <c r="Q45" s="169">
        <f>IF(PositionG[[#This Row],[P2]]=0,"",IF(PositionG[[#This Row],[P2]]="","",PositionG[[#This Row],[P2 S]]/PositionG[[#This Row],[P2]]))</f>
        <v>0</v>
      </c>
      <c r="R45" s="169" t="str">
        <f>IF(PositionG[[#This Row],[P3]]=0,"",IF(PositionG[[#This Row],[P3]]="","",PositionG[[#This Row],[P3 S]]/PositionG[[#This Row],[P3]]))</f>
        <v/>
      </c>
      <c r="S45" s="169">
        <f>IF(PositionG[[#This Row],[P4]]=0,"",IF(PositionG[[#This Row],[P4]]="","",PositionG[[#This Row],[P4 S]]/PositionG[[#This Row],[P4]]))</f>
        <v>0.6</v>
      </c>
      <c r="T45" s="169" t="str">
        <f>IF(PositionG[[#This Row],[P5]]=0,"",IF(PositionG[[#This Row],[P5]]="","",PositionG[[#This Row],[P5 S]]/PositionG[[#This Row],[P5]]))</f>
        <v/>
      </c>
      <c r="U45" s="169" t="str">
        <f>IF(PositionG[[#This Row],[P6]]=0,"",IF(PositionG[[#This Row],[P6]]="","",PositionG[[#This Row],[P6 S]]/PositionG[[#This Row],[P6]]))</f>
        <v/>
      </c>
      <c r="V45"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[2]</v>
      </c>
      <c r="W45" s="170">
        <f>IF(PositionG[[#This Row],[HP]]="","",MAX(PositionG[[#This Row],[P1]:[P6]]))</f>
        <v>7</v>
      </c>
      <c r="X45"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[4]</v>
      </c>
      <c r="Y45" s="169">
        <f>IF(PositionG[[#This Row],[Spiele]]="","",MAX(PositionG[[#This Row],[P1 %]:[P6 %]]))</f>
        <v>0.6</v>
      </c>
    </row>
    <row r="46" spans="2:25" x14ac:dyDescent="0.3">
      <c r="B46" s="164" t="str">
        <f>VLOOKUP(ROW(PositionG[[#This Row],[Name]])-1,Teamzuordnung[],2,FALSE)</f>
        <v>Stefan Ulbricht</v>
      </c>
      <c r="C46" s="164">
        <f>VLOOKUP(PositionG[[#This Row],[Name]],AuswertungG[],4,FALSE)</f>
        <v>7</v>
      </c>
      <c r="D46" s="164">
        <f>IF(PositionG[[#This Row],[Spiele]]="","",COUNTIFS(Eingabe[Name],PositionG[[#This Row],[Name]],Eingabe[Position],1))</f>
        <v>0</v>
      </c>
      <c r="E46" s="164">
        <f>IF(PositionG[[#This Row],[Spiele]]="","",COUNTIFS(Eingabe[Name],PositionG[[#This Row],[Name]],Eingabe[Position],2))</f>
        <v>0</v>
      </c>
      <c r="F46" s="164">
        <f>IF(PositionG[[#This Row],[Spiele]]="","",COUNTIFS(Eingabe[Name],PositionG[[#This Row],[Name]],Eingabe[Position],3))</f>
        <v>2</v>
      </c>
      <c r="G46" s="164">
        <f>IF(PositionG[[#This Row],[Spiele]]="","",COUNTIFS(Eingabe[Name],PositionG[[#This Row],[Name]],Eingabe[Position],4))</f>
        <v>5</v>
      </c>
      <c r="H46" s="164">
        <f>IF(PositionG[[#This Row],[Spiele]]="","",COUNTIFS(Eingabe[Name],PositionG[[#This Row],[Name]],Eingabe[Position],5))</f>
        <v>0</v>
      </c>
      <c r="I46" s="164">
        <f>IF(PositionG[[#This Row],[Spiele]]="","",COUNTIFS(Eingabe[Name],PositionG[[#This Row],[Name]],Eingabe[Position],6))</f>
        <v>0</v>
      </c>
      <c r="J46" s="164">
        <f>IF(PositionG[[#This Row],[P1]]="","",COUNTIFS(Eingabe[Position],1,Eingabe[MP],1,Eingabe[Name],PositionG[[#This Row],[Name]]))</f>
        <v>0</v>
      </c>
      <c r="K46" s="164">
        <f>IF(PositionG[[#This Row],[P2]]="","",COUNTIFS(Eingabe[Position],2,Eingabe[MP],1,Eingabe[Name],PositionG[[#This Row],[Name]]))</f>
        <v>0</v>
      </c>
      <c r="L46" s="164">
        <f>IF(PositionG[[#This Row],[P3]]="","",COUNTIFS(Eingabe[Position],3,Eingabe[MP],1,Eingabe[Name],PositionG[[#This Row],[Name]]))</f>
        <v>0</v>
      </c>
      <c r="M46" s="164">
        <f>IF(PositionG[[#This Row],[P4]]="","",COUNTIFS(Eingabe[Position],4,Eingabe[MP],1,Eingabe[Name],PositionG[[#This Row],[Name]]))</f>
        <v>3</v>
      </c>
      <c r="N46" s="164">
        <f>IF(PositionG[[#This Row],[P5]]="","",COUNTIFS(Eingabe[Position],5,Eingabe[MP],1,Eingabe[Name],PositionG[[#This Row],[Name]]))</f>
        <v>0</v>
      </c>
      <c r="O46" s="164">
        <f>IF(PositionG[[#This Row],[P6]]="","",COUNTIFS(Eingabe[Position],6,Eingabe[MP],1,Eingabe[Name],PositionG[[#This Row],[Name]]))</f>
        <v>0</v>
      </c>
      <c r="P46" s="169" t="str">
        <f>IF(PositionG[[#This Row],[P1]]=0,"",IF(PositionG[[#This Row],[P1]]="","",PositionG[[#This Row],[P1 S]]/PositionG[[#This Row],[P1]]))</f>
        <v/>
      </c>
      <c r="Q46" s="169" t="str">
        <f>IF(PositionG[[#This Row],[P2]]=0,"",IF(PositionG[[#This Row],[P2]]="","",PositionG[[#This Row],[P2 S]]/PositionG[[#This Row],[P2]]))</f>
        <v/>
      </c>
      <c r="R46" s="169">
        <f>IF(PositionG[[#This Row],[P3]]=0,"",IF(PositionG[[#This Row],[P3]]="","",PositionG[[#This Row],[P3 S]]/PositionG[[#This Row],[P3]]))</f>
        <v>0</v>
      </c>
      <c r="S46" s="169">
        <f>IF(PositionG[[#This Row],[P4]]=0,"",IF(PositionG[[#This Row],[P4]]="","",PositionG[[#This Row],[P4 S]]/PositionG[[#This Row],[P4]]))</f>
        <v>0.6</v>
      </c>
      <c r="T46" s="169" t="str">
        <f>IF(PositionG[[#This Row],[P5]]=0,"",IF(PositionG[[#This Row],[P5]]="","",PositionG[[#This Row],[P5 S]]/PositionG[[#This Row],[P5]]))</f>
        <v/>
      </c>
      <c r="U46" s="169" t="str">
        <f>IF(PositionG[[#This Row],[P6]]=0,"",IF(PositionG[[#This Row],[P6]]="","",PositionG[[#This Row],[P6 S]]/PositionG[[#This Row],[P6]]))</f>
        <v/>
      </c>
      <c r="V46"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[4]</v>
      </c>
      <c r="W46" s="170">
        <f>IF(PositionG[[#This Row],[HP]]="","",MAX(PositionG[[#This Row],[P1]:[P6]]))</f>
        <v>5</v>
      </c>
      <c r="X46"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[4]</v>
      </c>
      <c r="Y46" s="169">
        <f>IF(PositionG[[#This Row],[Spiele]]="","",MAX(PositionG[[#This Row],[P1 %]:[P6 %]]))</f>
        <v>0.6</v>
      </c>
    </row>
    <row r="47" spans="2:25" x14ac:dyDescent="0.3">
      <c r="B47" s="164" t="str">
        <f>VLOOKUP(ROW(PositionG[[#This Row],[Name]])-1,Teamzuordnung[],2,FALSE)</f>
        <v>Sylke Schmidt</v>
      </c>
      <c r="C47" s="164">
        <f>VLOOKUP(PositionG[[#This Row],[Name]],AuswertungG[],4,FALSE)</f>
        <v>7</v>
      </c>
      <c r="D47" s="164">
        <f>IF(PositionG[[#This Row],[Spiele]]="","",COUNTIFS(Eingabe[Name],PositionG[[#This Row],[Name]],Eingabe[Position],1))</f>
        <v>0</v>
      </c>
      <c r="E47" s="164">
        <f>IF(PositionG[[#This Row],[Spiele]]="","",COUNTIFS(Eingabe[Name],PositionG[[#This Row],[Name]],Eingabe[Position],2))</f>
        <v>0</v>
      </c>
      <c r="F47" s="164">
        <f>IF(PositionG[[#This Row],[Spiele]]="","",COUNTIFS(Eingabe[Name],PositionG[[#This Row],[Name]],Eingabe[Position],3))</f>
        <v>0</v>
      </c>
      <c r="G47" s="164">
        <f>IF(PositionG[[#This Row],[Spiele]]="","",COUNTIFS(Eingabe[Name],PositionG[[#This Row],[Name]],Eingabe[Position],4))</f>
        <v>0</v>
      </c>
      <c r="H47" s="164">
        <f>IF(PositionG[[#This Row],[Spiele]]="","",COUNTIFS(Eingabe[Name],PositionG[[#This Row],[Name]],Eingabe[Position],5))</f>
        <v>2</v>
      </c>
      <c r="I47" s="164">
        <f>IF(PositionG[[#This Row],[Spiele]]="","",COUNTIFS(Eingabe[Name],PositionG[[#This Row],[Name]],Eingabe[Position],6))</f>
        <v>5</v>
      </c>
      <c r="J47" s="164">
        <f>IF(PositionG[[#This Row],[P1]]="","",COUNTIFS(Eingabe[Position],1,Eingabe[MP],1,Eingabe[Name],PositionG[[#This Row],[Name]]))</f>
        <v>0</v>
      </c>
      <c r="K47" s="164">
        <f>IF(PositionG[[#This Row],[P2]]="","",COUNTIFS(Eingabe[Position],2,Eingabe[MP],1,Eingabe[Name],PositionG[[#This Row],[Name]]))</f>
        <v>0</v>
      </c>
      <c r="L47" s="164">
        <f>IF(PositionG[[#This Row],[P3]]="","",COUNTIFS(Eingabe[Position],3,Eingabe[MP],1,Eingabe[Name],PositionG[[#This Row],[Name]]))</f>
        <v>0</v>
      </c>
      <c r="M47" s="164">
        <f>IF(PositionG[[#This Row],[P4]]="","",COUNTIFS(Eingabe[Position],4,Eingabe[MP],1,Eingabe[Name],PositionG[[#This Row],[Name]]))</f>
        <v>0</v>
      </c>
      <c r="N47" s="164">
        <f>IF(PositionG[[#This Row],[P5]]="","",COUNTIFS(Eingabe[Position],5,Eingabe[MP],1,Eingabe[Name],PositionG[[#This Row],[Name]]))</f>
        <v>1</v>
      </c>
      <c r="O47" s="164">
        <f>IF(PositionG[[#This Row],[P6]]="","",COUNTIFS(Eingabe[Position],6,Eingabe[MP],1,Eingabe[Name],PositionG[[#This Row],[Name]]))</f>
        <v>5</v>
      </c>
      <c r="P47" s="169" t="str">
        <f>IF(PositionG[[#This Row],[P1]]=0,"",IF(PositionG[[#This Row],[P1]]="","",PositionG[[#This Row],[P1 S]]/PositionG[[#This Row],[P1]]))</f>
        <v/>
      </c>
      <c r="Q47" s="169" t="str">
        <f>IF(PositionG[[#This Row],[P2]]=0,"",IF(PositionG[[#This Row],[P2]]="","",PositionG[[#This Row],[P2 S]]/PositionG[[#This Row],[P2]]))</f>
        <v/>
      </c>
      <c r="R47" s="169" t="str">
        <f>IF(PositionG[[#This Row],[P3]]=0,"",IF(PositionG[[#This Row],[P3]]="","",PositionG[[#This Row],[P3 S]]/PositionG[[#This Row],[P3]]))</f>
        <v/>
      </c>
      <c r="S47" s="169" t="str">
        <f>IF(PositionG[[#This Row],[P4]]=0,"",IF(PositionG[[#This Row],[P4]]="","",PositionG[[#This Row],[P4 S]]/PositionG[[#This Row],[P4]]))</f>
        <v/>
      </c>
      <c r="T47" s="169">
        <f>IF(PositionG[[#This Row],[P5]]=0,"",IF(PositionG[[#This Row],[P5]]="","",PositionG[[#This Row],[P5 S]]/PositionG[[#This Row],[P5]]))</f>
        <v>0.5</v>
      </c>
      <c r="U47" s="169">
        <f>IF(PositionG[[#This Row],[P6]]=0,"",IF(PositionG[[#This Row],[P6]]="","",PositionG[[#This Row],[P6 S]]/PositionG[[#This Row],[P6]]))</f>
        <v>1</v>
      </c>
      <c r="V47"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[6]</v>
      </c>
      <c r="W47" s="170">
        <f>IF(PositionG[[#This Row],[HP]]="","",MAX(PositionG[[#This Row],[P1]:[P6]]))</f>
        <v>5</v>
      </c>
      <c r="X47"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[6]</v>
      </c>
      <c r="Y47" s="169">
        <f>IF(PositionG[[#This Row],[Spiele]]="","",MAX(PositionG[[#This Row],[P1 %]:[P6 %]]))</f>
        <v>1</v>
      </c>
    </row>
    <row r="48" spans="2:25" x14ac:dyDescent="0.3">
      <c r="B48" s="164" t="str">
        <f>VLOOKUP(ROW(PositionG[[#This Row],[Name]])-1,Teamzuordnung[],2,FALSE)</f>
        <v>Tim Becker</v>
      </c>
      <c r="C48" s="164">
        <f>VLOOKUP(PositionG[[#This Row],[Name]],AuswertungG[],4,FALSE)</f>
        <v>12</v>
      </c>
      <c r="D48" s="164">
        <f>IF(PositionG[[#This Row],[Spiele]]="","",COUNTIFS(Eingabe[Name],PositionG[[#This Row],[Name]],Eingabe[Position],1))</f>
        <v>0</v>
      </c>
      <c r="E48" s="164">
        <f>IF(PositionG[[#This Row],[Spiele]]="","",COUNTIFS(Eingabe[Name],PositionG[[#This Row],[Name]],Eingabe[Position],2))</f>
        <v>1</v>
      </c>
      <c r="F48" s="164">
        <f>IF(PositionG[[#This Row],[Spiele]]="","",COUNTIFS(Eingabe[Name],PositionG[[#This Row],[Name]],Eingabe[Position],3))</f>
        <v>3</v>
      </c>
      <c r="G48" s="164">
        <f>IF(PositionG[[#This Row],[Spiele]]="","",COUNTIFS(Eingabe[Name],PositionG[[#This Row],[Name]],Eingabe[Position],4))</f>
        <v>6</v>
      </c>
      <c r="H48" s="164">
        <f>IF(PositionG[[#This Row],[Spiele]]="","",COUNTIFS(Eingabe[Name],PositionG[[#This Row],[Name]],Eingabe[Position],5))</f>
        <v>0</v>
      </c>
      <c r="I48" s="164">
        <f>IF(PositionG[[#This Row],[Spiele]]="","",COUNTIFS(Eingabe[Name],PositionG[[#This Row],[Name]],Eingabe[Position],6))</f>
        <v>2</v>
      </c>
      <c r="J48" s="164">
        <f>IF(PositionG[[#This Row],[P1]]="","",COUNTIFS(Eingabe[Position],1,Eingabe[MP],1,Eingabe[Name],PositionG[[#This Row],[Name]]))</f>
        <v>0</v>
      </c>
      <c r="K48" s="164">
        <f>IF(PositionG[[#This Row],[P2]]="","",COUNTIFS(Eingabe[Position],2,Eingabe[MP],1,Eingabe[Name],PositionG[[#This Row],[Name]]))</f>
        <v>1</v>
      </c>
      <c r="L48" s="164">
        <f>IF(PositionG[[#This Row],[P3]]="","",COUNTIFS(Eingabe[Position],3,Eingabe[MP],1,Eingabe[Name],PositionG[[#This Row],[Name]]))</f>
        <v>1</v>
      </c>
      <c r="M48" s="164">
        <f>IF(PositionG[[#This Row],[P4]]="","",COUNTIFS(Eingabe[Position],4,Eingabe[MP],1,Eingabe[Name],PositionG[[#This Row],[Name]]))</f>
        <v>6</v>
      </c>
      <c r="N48" s="164">
        <f>IF(PositionG[[#This Row],[P5]]="","",COUNTIFS(Eingabe[Position],5,Eingabe[MP],1,Eingabe[Name],PositionG[[#This Row],[Name]]))</f>
        <v>0</v>
      </c>
      <c r="O48" s="164">
        <f>IF(PositionG[[#This Row],[P6]]="","",COUNTIFS(Eingabe[Position],6,Eingabe[MP],1,Eingabe[Name],PositionG[[#This Row],[Name]]))</f>
        <v>2</v>
      </c>
      <c r="P48" s="169" t="str">
        <f>IF(PositionG[[#This Row],[P1]]=0,"",IF(PositionG[[#This Row],[P1]]="","",PositionG[[#This Row],[P1 S]]/PositionG[[#This Row],[P1]]))</f>
        <v/>
      </c>
      <c r="Q48" s="169">
        <f>IF(PositionG[[#This Row],[P2]]=0,"",IF(PositionG[[#This Row],[P2]]="","",PositionG[[#This Row],[P2 S]]/PositionG[[#This Row],[P2]]))</f>
        <v>1</v>
      </c>
      <c r="R48" s="169">
        <f>IF(PositionG[[#This Row],[P3]]=0,"",IF(PositionG[[#This Row],[P3]]="","",PositionG[[#This Row],[P3 S]]/PositionG[[#This Row],[P3]]))</f>
        <v>0.33333333333333331</v>
      </c>
      <c r="S48" s="169">
        <f>IF(PositionG[[#This Row],[P4]]=0,"",IF(PositionG[[#This Row],[P4]]="","",PositionG[[#This Row],[P4 S]]/PositionG[[#This Row],[P4]]))</f>
        <v>1</v>
      </c>
      <c r="T48" s="169" t="str">
        <f>IF(PositionG[[#This Row],[P5]]=0,"",IF(PositionG[[#This Row],[P5]]="","",PositionG[[#This Row],[P5 S]]/PositionG[[#This Row],[P5]]))</f>
        <v/>
      </c>
      <c r="U48" s="169">
        <f>IF(PositionG[[#This Row],[P6]]=0,"",IF(PositionG[[#This Row],[P6]]="","",PositionG[[#This Row],[P6 S]]/PositionG[[#This Row],[P6]]))</f>
        <v>1</v>
      </c>
      <c r="V48"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[4]</v>
      </c>
      <c r="W48" s="170">
        <f>IF(PositionG[[#This Row],[HP]]="","",MAX(PositionG[[#This Row],[P1]:[P6]]))</f>
        <v>6</v>
      </c>
      <c r="X48"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[2][4][6]</v>
      </c>
      <c r="Y48" s="169">
        <f>IF(PositionG[[#This Row],[Spiele]]="","",MAX(PositionG[[#This Row],[P1 %]:[P6 %]]))</f>
        <v>1</v>
      </c>
    </row>
    <row r="49" spans="1:25" x14ac:dyDescent="0.3">
      <c r="B49" s="164" t="str">
        <f>VLOOKUP(ROW(PositionG[[#This Row],[Name]])-1,Teamzuordnung[],2,FALSE)</f>
        <v>Tim Beger</v>
      </c>
      <c r="C49" s="164">
        <f>VLOOKUP(PositionG[[#This Row],[Name]],AuswertungG[],4,FALSE)</f>
        <v>10</v>
      </c>
      <c r="D49" s="164">
        <f>IF(PositionG[[#This Row],[Spiele]]="","",COUNTIFS(Eingabe[Name],PositionG[[#This Row],[Name]],Eingabe[Position],1))</f>
        <v>0</v>
      </c>
      <c r="E49" s="164">
        <f>IF(PositionG[[#This Row],[Spiele]]="","",COUNTIFS(Eingabe[Name],PositionG[[#This Row],[Name]],Eingabe[Position],2))</f>
        <v>1</v>
      </c>
      <c r="F49" s="164">
        <f>IF(PositionG[[#This Row],[Spiele]]="","",COUNTIFS(Eingabe[Name],PositionG[[#This Row],[Name]],Eingabe[Position],3))</f>
        <v>1</v>
      </c>
      <c r="G49" s="164">
        <f>IF(PositionG[[#This Row],[Spiele]]="","",COUNTIFS(Eingabe[Name],PositionG[[#This Row],[Name]],Eingabe[Position],4))</f>
        <v>0</v>
      </c>
      <c r="H49" s="164">
        <f>IF(PositionG[[#This Row],[Spiele]]="","",COUNTIFS(Eingabe[Name],PositionG[[#This Row],[Name]],Eingabe[Position],5))</f>
        <v>4</v>
      </c>
      <c r="I49" s="164">
        <f>IF(PositionG[[#This Row],[Spiele]]="","",COUNTIFS(Eingabe[Name],PositionG[[#This Row],[Name]],Eingabe[Position],6))</f>
        <v>4</v>
      </c>
      <c r="J49" s="164">
        <f>IF(PositionG[[#This Row],[P1]]="","",COUNTIFS(Eingabe[Position],1,Eingabe[MP],1,Eingabe[Name],PositionG[[#This Row],[Name]]))</f>
        <v>0</v>
      </c>
      <c r="K49" s="164">
        <f>IF(PositionG[[#This Row],[P2]]="","",COUNTIFS(Eingabe[Position],2,Eingabe[MP],1,Eingabe[Name],PositionG[[#This Row],[Name]]))</f>
        <v>1</v>
      </c>
      <c r="L49" s="164">
        <f>IF(PositionG[[#This Row],[P3]]="","",COUNTIFS(Eingabe[Position],3,Eingabe[MP],1,Eingabe[Name],PositionG[[#This Row],[Name]]))</f>
        <v>1</v>
      </c>
      <c r="M49" s="164">
        <f>IF(PositionG[[#This Row],[P4]]="","",COUNTIFS(Eingabe[Position],4,Eingabe[MP],1,Eingabe[Name],PositionG[[#This Row],[Name]]))</f>
        <v>0</v>
      </c>
      <c r="N49" s="164">
        <f>IF(PositionG[[#This Row],[P5]]="","",COUNTIFS(Eingabe[Position],5,Eingabe[MP],1,Eingabe[Name],PositionG[[#This Row],[Name]]))</f>
        <v>2</v>
      </c>
      <c r="O49" s="164">
        <f>IF(PositionG[[#This Row],[P6]]="","",COUNTIFS(Eingabe[Position],6,Eingabe[MP],1,Eingabe[Name],PositionG[[#This Row],[Name]]))</f>
        <v>2</v>
      </c>
      <c r="P49" s="169" t="str">
        <f>IF(PositionG[[#This Row],[P1]]=0,"",IF(PositionG[[#This Row],[P1]]="","",PositionG[[#This Row],[P1 S]]/PositionG[[#This Row],[P1]]))</f>
        <v/>
      </c>
      <c r="Q49" s="169">
        <f>IF(PositionG[[#This Row],[P2]]=0,"",IF(PositionG[[#This Row],[P2]]="","",PositionG[[#This Row],[P2 S]]/PositionG[[#This Row],[P2]]))</f>
        <v>1</v>
      </c>
      <c r="R49" s="169">
        <f>IF(PositionG[[#This Row],[P3]]=0,"",IF(PositionG[[#This Row],[P3]]="","",PositionG[[#This Row],[P3 S]]/PositionG[[#This Row],[P3]]))</f>
        <v>1</v>
      </c>
      <c r="S49" s="169" t="str">
        <f>IF(PositionG[[#This Row],[P4]]=0,"",IF(PositionG[[#This Row],[P4]]="","",PositionG[[#This Row],[P4 S]]/PositionG[[#This Row],[P4]]))</f>
        <v/>
      </c>
      <c r="T49" s="169">
        <f>IF(PositionG[[#This Row],[P5]]=0,"",IF(PositionG[[#This Row],[P5]]="","",PositionG[[#This Row],[P5 S]]/PositionG[[#This Row],[P5]]))</f>
        <v>0.5</v>
      </c>
      <c r="U49" s="169">
        <f>IF(PositionG[[#This Row],[P6]]=0,"",IF(PositionG[[#This Row],[P6]]="","",PositionG[[#This Row],[P6 S]]/PositionG[[#This Row],[P6]]))</f>
        <v>0.5</v>
      </c>
      <c r="V49"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[5][6]</v>
      </c>
      <c r="W49" s="170">
        <f>IF(PositionG[[#This Row],[HP]]="","",MAX(PositionG[[#This Row],[P1]:[P6]]))</f>
        <v>4</v>
      </c>
      <c r="X49"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[2][3]</v>
      </c>
      <c r="Y49" s="169">
        <f>IF(PositionG[[#This Row],[Spiele]]="","",MAX(PositionG[[#This Row],[P1 %]:[P6 %]]))</f>
        <v>1</v>
      </c>
    </row>
    <row r="50" spans="1:25" x14ac:dyDescent="0.3">
      <c r="B50" s="164" t="str">
        <f>VLOOKUP(ROW(PositionG[[#This Row],[Name]])-1,Teamzuordnung[],2,FALSE)</f>
        <v>Ulli Baumgarten</v>
      </c>
      <c r="C50" s="164">
        <f>VLOOKUP(PositionG[[#This Row],[Name]],AuswertungG[],4,FALSE)</f>
        <v>3</v>
      </c>
      <c r="D50" s="164">
        <f>IF(PositionG[[#This Row],[Spiele]]="","",COUNTIFS(Eingabe[Name],PositionG[[#This Row],[Name]],Eingabe[Position],1))</f>
        <v>0</v>
      </c>
      <c r="E50" s="164">
        <f>IF(PositionG[[#This Row],[Spiele]]="","",COUNTIFS(Eingabe[Name],PositionG[[#This Row],[Name]],Eingabe[Position],2))</f>
        <v>1</v>
      </c>
      <c r="F50" s="164">
        <f>IF(PositionG[[#This Row],[Spiele]]="","",COUNTIFS(Eingabe[Name],PositionG[[#This Row],[Name]],Eingabe[Position],3))</f>
        <v>1</v>
      </c>
      <c r="G50" s="164">
        <f>IF(PositionG[[#This Row],[Spiele]]="","",COUNTIFS(Eingabe[Name],PositionG[[#This Row],[Name]],Eingabe[Position],4))</f>
        <v>0</v>
      </c>
      <c r="H50" s="164">
        <f>IF(PositionG[[#This Row],[Spiele]]="","",COUNTIFS(Eingabe[Name],PositionG[[#This Row],[Name]],Eingabe[Position],5))</f>
        <v>1</v>
      </c>
      <c r="I50" s="164">
        <f>IF(PositionG[[#This Row],[Spiele]]="","",COUNTIFS(Eingabe[Name],PositionG[[#This Row],[Name]],Eingabe[Position],6))</f>
        <v>0</v>
      </c>
      <c r="J50" s="164">
        <f>IF(PositionG[[#This Row],[P1]]="","",COUNTIFS(Eingabe[Position],1,Eingabe[MP],1,Eingabe[Name],PositionG[[#This Row],[Name]]))</f>
        <v>0</v>
      </c>
      <c r="K50" s="164">
        <f>IF(PositionG[[#This Row],[P2]]="","",COUNTIFS(Eingabe[Position],2,Eingabe[MP],1,Eingabe[Name],PositionG[[#This Row],[Name]]))</f>
        <v>1</v>
      </c>
      <c r="L50" s="164">
        <f>IF(PositionG[[#This Row],[P3]]="","",COUNTIFS(Eingabe[Position],3,Eingabe[MP],1,Eingabe[Name],PositionG[[#This Row],[Name]]))</f>
        <v>1</v>
      </c>
      <c r="M50" s="164">
        <f>IF(PositionG[[#This Row],[P4]]="","",COUNTIFS(Eingabe[Position],4,Eingabe[MP],1,Eingabe[Name],PositionG[[#This Row],[Name]]))</f>
        <v>0</v>
      </c>
      <c r="N50" s="164">
        <f>IF(PositionG[[#This Row],[P5]]="","",COUNTIFS(Eingabe[Position],5,Eingabe[MP],1,Eingabe[Name],PositionG[[#This Row],[Name]]))</f>
        <v>0</v>
      </c>
      <c r="O50" s="164">
        <f>IF(PositionG[[#This Row],[P6]]="","",COUNTIFS(Eingabe[Position],6,Eingabe[MP],1,Eingabe[Name],PositionG[[#This Row],[Name]]))</f>
        <v>0</v>
      </c>
      <c r="P50" s="169" t="str">
        <f>IF(PositionG[[#This Row],[P1]]=0,"",IF(PositionG[[#This Row],[P1]]="","",PositionG[[#This Row],[P1 S]]/PositionG[[#This Row],[P1]]))</f>
        <v/>
      </c>
      <c r="Q50" s="169">
        <f>IF(PositionG[[#This Row],[P2]]=0,"",IF(PositionG[[#This Row],[P2]]="","",PositionG[[#This Row],[P2 S]]/PositionG[[#This Row],[P2]]))</f>
        <v>1</v>
      </c>
      <c r="R50" s="169">
        <f>IF(PositionG[[#This Row],[P3]]=0,"",IF(PositionG[[#This Row],[P3]]="","",PositionG[[#This Row],[P3 S]]/PositionG[[#This Row],[P3]]))</f>
        <v>1</v>
      </c>
      <c r="S50" s="169" t="str">
        <f>IF(PositionG[[#This Row],[P4]]=0,"",IF(PositionG[[#This Row],[P4]]="","",PositionG[[#This Row],[P4 S]]/PositionG[[#This Row],[P4]]))</f>
        <v/>
      </c>
      <c r="T50" s="169">
        <f>IF(PositionG[[#This Row],[P5]]=0,"",IF(PositionG[[#This Row],[P5]]="","",PositionG[[#This Row],[P5 S]]/PositionG[[#This Row],[P5]]))</f>
        <v>0</v>
      </c>
      <c r="U50" s="169" t="str">
        <f>IF(PositionG[[#This Row],[P6]]=0,"",IF(PositionG[[#This Row],[P6]]="","",PositionG[[#This Row],[P6 S]]/PositionG[[#This Row],[P6]]))</f>
        <v/>
      </c>
      <c r="V50"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[2][3][5]</v>
      </c>
      <c r="W50" s="170">
        <f>IF(PositionG[[#This Row],[HP]]="","",MAX(PositionG[[#This Row],[P1]:[P6]]))</f>
        <v>1</v>
      </c>
      <c r="X50"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[2][3]</v>
      </c>
      <c r="Y50" s="169">
        <f>IF(PositionG[[#This Row],[Spiele]]="","",MAX(PositionG[[#This Row],[P1 %]:[P6 %]]))</f>
        <v>1</v>
      </c>
    </row>
    <row r="51" spans="1:25" x14ac:dyDescent="0.3">
      <c r="B51" s="164" t="str">
        <f>VLOOKUP(ROW(PositionG[[#This Row],[Name]])-1,Teamzuordnung[],2,FALSE)</f>
        <v>Uwe Zippack</v>
      </c>
      <c r="C51" s="164">
        <f>VLOOKUP(PositionG[[#This Row],[Name]],AuswertungG[],4,FALSE)</f>
        <v>10</v>
      </c>
      <c r="D51" s="164">
        <f>IF(PositionG[[#This Row],[Spiele]]="","",COUNTIFS(Eingabe[Name],PositionG[[#This Row],[Name]],Eingabe[Position],1))</f>
        <v>0</v>
      </c>
      <c r="E51" s="164">
        <f>IF(PositionG[[#This Row],[Spiele]]="","",COUNTIFS(Eingabe[Name],PositionG[[#This Row],[Name]],Eingabe[Position],2))</f>
        <v>4</v>
      </c>
      <c r="F51" s="164">
        <f>IF(PositionG[[#This Row],[Spiele]]="","",COUNTIFS(Eingabe[Name],PositionG[[#This Row],[Name]],Eingabe[Position],3))</f>
        <v>1</v>
      </c>
      <c r="G51" s="164">
        <f>IF(PositionG[[#This Row],[Spiele]]="","",COUNTIFS(Eingabe[Name],PositionG[[#This Row],[Name]],Eingabe[Position],4))</f>
        <v>2</v>
      </c>
      <c r="H51" s="164">
        <f>IF(PositionG[[#This Row],[Spiele]]="","",COUNTIFS(Eingabe[Name],PositionG[[#This Row],[Name]],Eingabe[Position],5))</f>
        <v>1</v>
      </c>
      <c r="I51" s="164">
        <f>IF(PositionG[[#This Row],[Spiele]]="","",COUNTIFS(Eingabe[Name],PositionG[[#This Row],[Name]],Eingabe[Position],6))</f>
        <v>2</v>
      </c>
      <c r="J51" s="164">
        <f>IF(PositionG[[#This Row],[P1]]="","",COUNTIFS(Eingabe[Position],1,Eingabe[MP],1,Eingabe[Name],PositionG[[#This Row],[Name]]))</f>
        <v>0</v>
      </c>
      <c r="K51" s="164">
        <f>IF(PositionG[[#This Row],[P2]]="","",COUNTIFS(Eingabe[Position],2,Eingabe[MP],1,Eingabe[Name],PositionG[[#This Row],[Name]]))</f>
        <v>3</v>
      </c>
      <c r="L51" s="164">
        <f>IF(PositionG[[#This Row],[P3]]="","",COUNTIFS(Eingabe[Position],3,Eingabe[MP],1,Eingabe[Name],PositionG[[#This Row],[Name]]))</f>
        <v>0</v>
      </c>
      <c r="M51" s="164">
        <f>IF(PositionG[[#This Row],[P4]]="","",COUNTIFS(Eingabe[Position],4,Eingabe[MP],1,Eingabe[Name],PositionG[[#This Row],[Name]]))</f>
        <v>1</v>
      </c>
      <c r="N51" s="164">
        <f>IF(PositionG[[#This Row],[P5]]="","",COUNTIFS(Eingabe[Position],5,Eingabe[MP],1,Eingabe[Name],PositionG[[#This Row],[Name]]))</f>
        <v>0</v>
      </c>
      <c r="O51" s="164">
        <f>IF(PositionG[[#This Row],[P6]]="","",COUNTIFS(Eingabe[Position],6,Eingabe[MP],1,Eingabe[Name],PositionG[[#This Row],[Name]]))</f>
        <v>1</v>
      </c>
      <c r="P51" s="169" t="str">
        <f>IF(PositionG[[#This Row],[P1]]=0,"",IF(PositionG[[#This Row],[P1]]="","",PositionG[[#This Row],[P1 S]]/PositionG[[#This Row],[P1]]))</f>
        <v/>
      </c>
      <c r="Q51" s="169">
        <f>IF(PositionG[[#This Row],[P2]]=0,"",IF(PositionG[[#This Row],[P2]]="","",PositionG[[#This Row],[P2 S]]/PositionG[[#This Row],[P2]]))</f>
        <v>0.75</v>
      </c>
      <c r="R51" s="169">
        <f>IF(PositionG[[#This Row],[P3]]=0,"",IF(PositionG[[#This Row],[P3]]="","",PositionG[[#This Row],[P3 S]]/PositionG[[#This Row],[P3]]))</f>
        <v>0</v>
      </c>
      <c r="S51" s="169">
        <f>IF(PositionG[[#This Row],[P4]]=0,"",IF(PositionG[[#This Row],[P4]]="","",PositionG[[#This Row],[P4 S]]/PositionG[[#This Row],[P4]]))</f>
        <v>0.5</v>
      </c>
      <c r="T51" s="169">
        <f>IF(PositionG[[#This Row],[P5]]=0,"",IF(PositionG[[#This Row],[P5]]="","",PositionG[[#This Row],[P5 S]]/PositionG[[#This Row],[P5]]))</f>
        <v>0</v>
      </c>
      <c r="U51" s="169">
        <f>IF(PositionG[[#This Row],[P6]]=0,"",IF(PositionG[[#This Row],[P6]]="","",PositionG[[#This Row],[P6 S]]/PositionG[[#This Row],[P6]]))</f>
        <v>0.5</v>
      </c>
      <c r="V51"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[2]</v>
      </c>
      <c r="W51" s="170">
        <f>IF(PositionG[[#This Row],[HP]]="","",MAX(PositionG[[#This Row],[P1]:[P6]]))</f>
        <v>4</v>
      </c>
      <c r="X51"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[2]</v>
      </c>
      <c r="Y51" s="169">
        <f>IF(PositionG[[#This Row],[Spiele]]="","",MAX(PositionG[[#This Row],[P1 %]:[P6 %]]))</f>
        <v>0.75</v>
      </c>
    </row>
    <row r="53" spans="1:25" x14ac:dyDescent="0.3">
      <c r="A53" s="171" t="s">
        <v>118</v>
      </c>
      <c r="B53" s="129" t="s">
        <v>322</v>
      </c>
      <c r="C53" s="129" t="s">
        <v>19</v>
      </c>
      <c r="D53" s="129" t="s">
        <v>259</v>
      </c>
      <c r="E53" s="129" t="s">
        <v>260</v>
      </c>
      <c r="F53" s="129" t="s">
        <v>261</v>
      </c>
      <c r="G53" s="129" t="s">
        <v>262</v>
      </c>
      <c r="H53" s="129" t="s">
        <v>263</v>
      </c>
      <c r="I53" s="129" t="s">
        <v>264</v>
      </c>
      <c r="J53" s="129" t="s">
        <v>323</v>
      </c>
      <c r="K53" s="129" t="s">
        <v>324</v>
      </c>
      <c r="L53" s="129" t="s">
        <v>325</v>
      </c>
      <c r="M53" s="129" t="s">
        <v>326</v>
      </c>
      <c r="N53" s="129" t="s">
        <v>327</v>
      </c>
      <c r="O53" s="129" t="s">
        <v>328</v>
      </c>
      <c r="P53" s="129" t="s">
        <v>329</v>
      </c>
      <c r="Q53" s="129" t="s">
        <v>330</v>
      </c>
      <c r="R53" s="129" t="s">
        <v>331</v>
      </c>
      <c r="S53" s="129" t="s">
        <v>332</v>
      </c>
      <c r="T53" s="129" t="s">
        <v>333</v>
      </c>
      <c r="U53" s="129" t="s">
        <v>334</v>
      </c>
      <c r="V53" s="129" t="s">
        <v>279</v>
      </c>
      <c r="W53" s="129" t="s">
        <v>280</v>
      </c>
      <c r="X53" s="129" t="s">
        <v>281</v>
      </c>
      <c r="Y53" s="129" t="s">
        <v>282</v>
      </c>
    </row>
    <row r="54" spans="1:25" x14ac:dyDescent="0.3">
      <c r="B54" s="129" t="str">
        <f t="shared" ref="B54:B74" si="0">B2</f>
        <v>Anastasia Landau</v>
      </c>
      <c r="C54" s="129" t="str">
        <f>VLOOKUP(PositionH[[#This Row],[Name H]],AuswertungH[],4,FALSE)</f>
        <v/>
      </c>
      <c r="D54" s="129" t="str">
        <f>IF(PositionH[[#This Row],[Spiele H]]="","",COUNTIFS(Eingabe[Name],PositionH[[#This Row],[Name H]],Eingabe[Position],1,Eingabe[Wo],"H"))</f>
        <v/>
      </c>
      <c r="E54" s="129" t="str">
        <f>IF(PositionH[[#This Row],[Spiele H]]="","",COUNTIFS(Eingabe[Name],PositionH[[#This Row],[Name H]],Eingabe[Position],2,Eingabe[Wo],"H"))</f>
        <v/>
      </c>
      <c r="F54" s="129" t="str">
        <f>IF(PositionH[[#This Row],[Spiele H]]="","",COUNTIFS(Eingabe[Name],PositionH[[#This Row],[Name H]],Eingabe[Position],3,Eingabe[Wo],"H"))</f>
        <v/>
      </c>
      <c r="G54" s="129" t="str">
        <f>IF(PositionH[[#This Row],[Spiele H]]="","",COUNTIFS(Eingabe[Name],PositionH[[#This Row],[Name H]],Eingabe[Position],4,Eingabe[Wo],"H"))</f>
        <v/>
      </c>
      <c r="H54" s="129" t="str">
        <f>IF(PositionH[[#This Row],[Spiele H]]="","",COUNTIFS(Eingabe[Name],PositionH[[#This Row],[Name H]],Eingabe[Position],5,Eingabe[Wo],"H"))</f>
        <v/>
      </c>
      <c r="I54" s="129" t="str">
        <f>IF(PositionH[[#This Row],[Spiele H]]="","",COUNTIFS(Eingabe[Name],PositionH[[#This Row],[Name H]],Eingabe[Position],6,Eingabe[Wo],"H"))</f>
        <v/>
      </c>
      <c r="J54" s="129" t="str">
        <f>IF(PositionH[[#This Row],[P1 H]]="","",COUNTIFS(Eingabe[Position],1,Eingabe[MP],1,Eingabe[Name],PositionH[[#This Row],[Name H]],Eingabe[Wo],"H"))</f>
        <v/>
      </c>
      <c r="K54" s="129" t="str">
        <f>IF(PositionH[[#This Row],[P2 H]]="","",COUNTIFS(Eingabe[Position],2,Eingabe[MP],1,Eingabe[Name],PositionH[[#This Row],[Name H]],Eingabe[Wo],"H"))</f>
        <v/>
      </c>
      <c r="L54" s="129" t="str">
        <f>IF(PositionH[[#This Row],[P3 H]]="","",COUNTIFS(Eingabe[Position],3,Eingabe[MP],1,Eingabe[Name],PositionH[[#This Row],[Name H]],Eingabe[Wo],"H"))</f>
        <v/>
      </c>
      <c r="M54" s="129" t="str">
        <f>IF(PositionH[[#This Row],[P4 H]]="","",COUNTIFS(Eingabe[Position],4,Eingabe[MP],1,Eingabe[Name],PositionH[[#This Row],[Name H]],Eingabe[Wo],"H"))</f>
        <v/>
      </c>
      <c r="N54" s="129" t="str">
        <f>IF(PositionH[[#This Row],[P5 H]]="","",COUNTIFS(Eingabe[Position],5,Eingabe[MP],1,Eingabe[Name],PositionH[[#This Row],[Name H]],Eingabe[Wo],"H"))</f>
        <v/>
      </c>
      <c r="O54" s="129" t="str">
        <f>IF(PositionH[[#This Row],[P6 H]]="","",COUNTIFS(Eingabe[Position],6,Eingabe[MP],1,Eingabe[Name],PositionH[[#This Row],[Name H]],Eingabe[Wo],"H"))</f>
        <v/>
      </c>
      <c r="P54" s="172" t="str">
        <f>IF(PositionH[[#This Row],[P1 H]]=0,"",IF(PositionH[[#This Row],[P1 H]]="","",PositionH[[#This Row],[P1 S H]]/PositionH[[#This Row],[P1 H]]))</f>
        <v/>
      </c>
      <c r="Q54" s="172" t="str">
        <f>IF(PositionH[[#This Row],[P2 H]]=0,"",IF(PositionH[[#This Row],[P2 H]]="","",PositionH[[#This Row],[P2 S H]]/PositionH[[#This Row],[P2 H]]))</f>
        <v/>
      </c>
      <c r="R54" s="172" t="str">
        <f>IF(PositionH[[#This Row],[P3 H]]=0,"",IF(PositionH[[#This Row],[P3 H]]="","",PositionH[[#This Row],[P3 S H]]/PositionH[[#This Row],[P3 H]]))</f>
        <v/>
      </c>
      <c r="S54" s="172" t="str">
        <f>IF(PositionH[[#This Row],[P4 H]]=0,"",IF(PositionH[[#This Row],[P4 H]]="","",PositionH[[#This Row],[P4 S H]]/PositionH[[#This Row],[P4 H]]))</f>
        <v/>
      </c>
      <c r="T54" s="172" t="str">
        <f>IF(PositionH[[#This Row],[P5 H]]=0,"",IF(PositionH[[#This Row],[P5 H]]="","",PositionH[[#This Row],[P5 S H]]/PositionH[[#This Row],[P5 H]]))</f>
        <v/>
      </c>
      <c r="U54" s="172" t="str">
        <f>IF(PositionH[[#This Row],[P6 H]]=0,"",IF(PositionH[[#This Row],[P6 H]]="","",PositionH[[#This Row],[P6 S H]]/PositionH[[#This Row],[P6 H]]))</f>
        <v/>
      </c>
      <c r="V54"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54" s="129" t="str">
        <f>IF(PositionH[[#This Row],[HP H]]="","",MAX(PositionH[[#This Row],[P1 H]:[P6 H]]))</f>
        <v/>
      </c>
      <c r="X54"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54" s="172" t="str">
        <f>IF(PositionH[[#This Row],[Spiele H]]="","",MAX(PositionH[[#This Row],[P1 % H]:[P6 % H]]))</f>
        <v/>
      </c>
    </row>
    <row r="55" spans="1:25" x14ac:dyDescent="0.3">
      <c r="B55" s="129" t="str">
        <f t="shared" si="0"/>
        <v>Andreas Ehrlich</v>
      </c>
      <c r="C55" s="129">
        <f>VLOOKUP(PositionH[[#This Row],[Name H]],AuswertungH[],4,FALSE)</f>
        <v>1</v>
      </c>
      <c r="D55" s="129">
        <f>IF(PositionH[[#This Row],[Spiele H]]="","",COUNTIFS(Eingabe[Name],PositionH[[#This Row],[Name H]],Eingabe[Position],1,Eingabe[Wo],"H"))</f>
        <v>0</v>
      </c>
      <c r="E55" s="129">
        <f>IF(PositionH[[#This Row],[Spiele H]]="","",COUNTIFS(Eingabe[Name],PositionH[[#This Row],[Name H]],Eingabe[Position],2,Eingabe[Wo],"H"))</f>
        <v>0</v>
      </c>
      <c r="F55" s="129">
        <f>IF(PositionH[[#This Row],[Spiele H]]="","",COUNTIFS(Eingabe[Name],PositionH[[#This Row],[Name H]],Eingabe[Position],3,Eingabe[Wo],"H"))</f>
        <v>1</v>
      </c>
      <c r="G55" s="129">
        <f>IF(PositionH[[#This Row],[Spiele H]]="","",COUNTIFS(Eingabe[Name],PositionH[[#This Row],[Name H]],Eingabe[Position],4,Eingabe[Wo],"H"))</f>
        <v>0</v>
      </c>
      <c r="H55" s="129">
        <f>IF(PositionH[[#This Row],[Spiele H]]="","",COUNTIFS(Eingabe[Name],PositionH[[#This Row],[Name H]],Eingabe[Position],5,Eingabe[Wo],"H"))</f>
        <v>0</v>
      </c>
      <c r="I55" s="129">
        <f>IF(PositionH[[#This Row],[Spiele H]]="","",COUNTIFS(Eingabe[Name],PositionH[[#This Row],[Name H]],Eingabe[Position],6,Eingabe[Wo],"H"))</f>
        <v>0</v>
      </c>
      <c r="J55" s="129">
        <f>IF(PositionH[[#This Row],[P1 H]]="","",COUNTIFS(Eingabe[Position],1,Eingabe[MP],1,Eingabe[Name],PositionH[[#This Row],[Name H]],Eingabe[Wo],"H"))</f>
        <v>0</v>
      </c>
      <c r="K55" s="129">
        <f>IF(PositionH[[#This Row],[P2 H]]="","",COUNTIFS(Eingabe[Position],2,Eingabe[MP],1,Eingabe[Name],PositionH[[#This Row],[Name H]],Eingabe[Wo],"H"))</f>
        <v>0</v>
      </c>
      <c r="L55" s="129">
        <f>IF(PositionH[[#This Row],[P3 H]]="","",COUNTIFS(Eingabe[Position],3,Eingabe[MP],1,Eingabe[Name],PositionH[[#This Row],[Name H]],Eingabe[Wo],"H"))</f>
        <v>1</v>
      </c>
      <c r="M55" s="129">
        <f>IF(PositionH[[#This Row],[P4 H]]="","",COUNTIFS(Eingabe[Position],4,Eingabe[MP],1,Eingabe[Name],PositionH[[#This Row],[Name H]],Eingabe[Wo],"H"))</f>
        <v>0</v>
      </c>
      <c r="N55" s="129">
        <f>IF(PositionH[[#This Row],[P5 H]]="","",COUNTIFS(Eingabe[Position],5,Eingabe[MP],1,Eingabe[Name],PositionH[[#This Row],[Name H]],Eingabe[Wo],"H"))</f>
        <v>0</v>
      </c>
      <c r="O55" s="129">
        <f>IF(PositionH[[#This Row],[P6 H]]="","",COUNTIFS(Eingabe[Position],6,Eingabe[MP],1,Eingabe[Name],PositionH[[#This Row],[Name H]],Eingabe[Wo],"H"))</f>
        <v>0</v>
      </c>
      <c r="P55" s="172" t="str">
        <f>IF(PositionH[[#This Row],[P1 H]]=0,"",IF(PositionH[[#This Row],[P1 H]]="","",PositionH[[#This Row],[P1 S H]]/PositionH[[#This Row],[P1 H]]))</f>
        <v/>
      </c>
      <c r="Q55" s="172" t="str">
        <f>IF(PositionH[[#This Row],[P2 H]]=0,"",IF(PositionH[[#This Row],[P2 H]]="","",PositionH[[#This Row],[P2 S H]]/PositionH[[#This Row],[P2 H]]))</f>
        <v/>
      </c>
      <c r="R55" s="172">
        <f>IF(PositionH[[#This Row],[P3 H]]=0,"",IF(PositionH[[#This Row],[P3 H]]="","",PositionH[[#This Row],[P3 S H]]/PositionH[[#This Row],[P3 H]]))</f>
        <v>1</v>
      </c>
      <c r="S55" s="172" t="str">
        <f>IF(PositionH[[#This Row],[P4 H]]=0,"",IF(PositionH[[#This Row],[P4 H]]="","",PositionH[[#This Row],[P4 S H]]/PositionH[[#This Row],[P4 H]]))</f>
        <v/>
      </c>
      <c r="T55" s="172" t="str">
        <f>IF(PositionH[[#This Row],[P5 H]]=0,"",IF(PositionH[[#This Row],[P5 H]]="","",PositionH[[#This Row],[P5 S H]]/PositionH[[#This Row],[P5 H]]))</f>
        <v/>
      </c>
      <c r="U55" s="172" t="str">
        <f>IF(PositionH[[#This Row],[P6 H]]=0,"",IF(PositionH[[#This Row],[P6 H]]="","",PositionH[[#This Row],[P6 S H]]/PositionH[[#This Row],[P6 H]]))</f>
        <v/>
      </c>
      <c r="V55"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[3]</v>
      </c>
      <c r="W55" s="129">
        <f>IF(PositionH[[#This Row],[HP H]]="","",MAX(PositionH[[#This Row],[P1 H]:[P6 H]]))</f>
        <v>1</v>
      </c>
      <c r="X55"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[3]</v>
      </c>
      <c r="Y55" s="172">
        <f>IF(PositionH[[#This Row],[Spiele H]]="","",MAX(PositionH[[#This Row],[P1 % H]:[P6 % H]]))</f>
        <v>1</v>
      </c>
    </row>
    <row r="56" spans="1:25" x14ac:dyDescent="0.3">
      <c r="B56" s="129" t="str">
        <f t="shared" si="0"/>
        <v>Andreas Rippin</v>
      </c>
      <c r="C56" s="129">
        <f>VLOOKUP(PositionH[[#This Row],[Name H]],AuswertungH[],4,FALSE)</f>
        <v>3</v>
      </c>
      <c r="D56" s="129">
        <f>IF(PositionH[[#This Row],[Spiele H]]="","",COUNTIFS(Eingabe[Name],PositionH[[#This Row],[Name H]],Eingabe[Position],1,Eingabe[Wo],"H"))</f>
        <v>1</v>
      </c>
      <c r="E56" s="129">
        <f>IF(PositionH[[#This Row],[Spiele H]]="","",COUNTIFS(Eingabe[Name],PositionH[[#This Row],[Name H]],Eingabe[Position],2,Eingabe[Wo],"H"))</f>
        <v>1</v>
      </c>
      <c r="F56" s="129">
        <f>IF(PositionH[[#This Row],[Spiele H]]="","",COUNTIFS(Eingabe[Name],PositionH[[#This Row],[Name H]],Eingabe[Position],3,Eingabe[Wo],"H"))</f>
        <v>1</v>
      </c>
      <c r="G56" s="129">
        <f>IF(PositionH[[#This Row],[Spiele H]]="","",COUNTIFS(Eingabe[Name],PositionH[[#This Row],[Name H]],Eingabe[Position],4,Eingabe[Wo],"H"))</f>
        <v>0</v>
      </c>
      <c r="H56" s="129">
        <f>IF(PositionH[[#This Row],[Spiele H]]="","",COUNTIFS(Eingabe[Name],PositionH[[#This Row],[Name H]],Eingabe[Position],5,Eingabe[Wo],"H"))</f>
        <v>0</v>
      </c>
      <c r="I56" s="129">
        <f>IF(PositionH[[#This Row],[Spiele H]]="","",COUNTIFS(Eingabe[Name],PositionH[[#This Row],[Name H]],Eingabe[Position],6,Eingabe[Wo],"H"))</f>
        <v>0</v>
      </c>
      <c r="J56" s="129">
        <f>IF(PositionH[[#This Row],[P1 H]]="","",COUNTIFS(Eingabe[Position],1,Eingabe[MP],1,Eingabe[Name],PositionH[[#This Row],[Name H]],Eingabe[Wo],"H"))</f>
        <v>1</v>
      </c>
      <c r="K56" s="129">
        <f>IF(PositionH[[#This Row],[P2 H]]="","",COUNTIFS(Eingabe[Position],2,Eingabe[MP],1,Eingabe[Name],PositionH[[#This Row],[Name H]],Eingabe[Wo],"H"))</f>
        <v>1</v>
      </c>
      <c r="L56" s="129">
        <f>IF(PositionH[[#This Row],[P3 H]]="","",COUNTIFS(Eingabe[Position],3,Eingabe[MP],1,Eingabe[Name],PositionH[[#This Row],[Name H]],Eingabe[Wo],"H"))</f>
        <v>0</v>
      </c>
      <c r="M56" s="129">
        <f>IF(PositionH[[#This Row],[P4 H]]="","",COUNTIFS(Eingabe[Position],4,Eingabe[MP],1,Eingabe[Name],PositionH[[#This Row],[Name H]],Eingabe[Wo],"H"))</f>
        <v>0</v>
      </c>
      <c r="N56" s="129">
        <f>IF(PositionH[[#This Row],[P5 H]]="","",COUNTIFS(Eingabe[Position],5,Eingabe[MP],1,Eingabe[Name],PositionH[[#This Row],[Name H]],Eingabe[Wo],"H"))</f>
        <v>0</v>
      </c>
      <c r="O56" s="129">
        <f>IF(PositionH[[#This Row],[P6 H]]="","",COUNTIFS(Eingabe[Position],6,Eingabe[MP],1,Eingabe[Name],PositionH[[#This Row],[Name H]],Eingabe[Wo],"H"))</f>
        <v>0</v>
      </c>
      <c r="P56" s="172">
        <f>IF(PositionH[[#This Row],[P1 H]]=0,"",IF(PositionH[[#This Row],[P1 H]]="","",PositionH[[#This Row],[P1 S H]]/PositionH[[#This Row],[P1 H]]))</f>
        <v>1</v>
      </c>
      <c r="Q56" s="172">
        <f>IF(PositionH[[#This Row],[P2 H]]=0,"",IF(PositionH[[#This Row],[P2 H]]="","",PositionH[[#This Row],[P2 S H]]/PositionH[[#This Row],[P2 H]]))</f>
        <v>1</v>
      </c>
      <c r="R56" s="172">
        <f>IF(PositionH[[#This Row],[P3 H]]=0,"",IF(PositionH[[#This Row],[P3 H]]="","",PositionH[[#This Row],[P3 S H]]/PositionH[[#This Row],[P3 H]]))</f>
        <v>0</v>
      </c>
      <c r="S56" s="172" t="str">
        <f>IF(PositionH[[#This Row],[P4 H]]=0,"",IF(PositionH[[#This Row],[P4 H]]="","",PositionH[[#This Row],[P4 S H]]/PositionH[[#This Row],[P4 H]]))</f>
        <v/>
      </c>
      <c r="T56" s="172" t="str">
        <f>IF(PositionH[[#This Row],[P5 H]]=0,"",IF(PositionH[[#This Row],[P5 H]]="","",PositionH[[#This Row],[P5 S H]]/PositionH[[#This Row],[P5 H]]))</f>
        <v/>
      </c>
      <c r="U56" s="172" t="str">
        <f>IF(PositionH[[#This Row],[P6 H]]=0,"",IF(PositionH[[#This Row],[P6 H]]="","",PositionH[[#This Row],[P6 S H]]/PositionH[[#This Row],[P6 H]]))</f>
        <v/>
      </c>
      <c r="V56"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[1][2][3]</v>
      </c>
      <c r="W56" s="129">
        <f>IF(PositionH[[#This Row],[HP H]]="","",MAX(PositionH[[#This Row],[P1 H]:[P6 H]]))</f>
        <v>1</v>
      </c>
      <c r="X56"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[1][2]</v>
      </c>
      <c r="Y56" s="172">
        <f>IF(PositionH[[#This Row],[Spiele H]]="","",MAX(PositionH[[#This Row],[P1 % H]:[P6 % H]]))</f>
        <v>1</v>
      </c>
    </row>
    <row r="57" spans="1:25" x14ac:dyDescent="0.3">
      <c r="B57" s="129" t="str">
        <f t="shared" si="0"/>
        <v>Anna Müller</v>
      </c>
      <c r="C57" s="129">
        <f>VLOOKUP(PositionH[[#This Row],[Name H]],AuswertungH[],4,FALSE)</f>
        <v>2</v>
      </c>
      <c r="D57" s="129">
        <f>IF(PositionH[[#This Row],[Spiele H]]="","",COUNTIFS(Eingabe[Name],PositionH[[#This Row],[Name H]],Eingabe[Position],1,Eingabe[Wo],"H"))</f>
        <v>1</v>
      </c>
      <c r="E57" s="129">
        <f>IF(PositionH[[#This Row],[Spiele H]]="","",COUNTIFS(Eingabe[Name],PositionH[[#This Row],[Name H]],Eingabe[Position],2,Eingabe[Wo],"H"))</f>
        <v>0</v>
      </c>
      <c r="F57" s="129">
        <f>IF(PositionH[[#This Row],[Spiele H]]="","",COUNTIFS(Eingabe[Name],PositionH[[#This Row],[Name H]],Eingabe[Position],3,Eingabe[Wo],"H"))</f>
        <v>1</v>
      </c>
      <c r="G57" s="129">
        <f>IF(PositionH[[#This Row],[Spiele H]]="","",COUNTIFS(Eingabe[Name],PositionH[[#This Row],[Name H]],Eingabe[Position],4,Eingabe[Wo],"H"))</f>
        <v>0</v>
      </c>
      <c r="H57" s="129">
        <f>IF(PositionH[[#This Row],[Spiele H]]="","",COUNTIFS(Eingabe[Name],PositionH[[#This Row],[Name H]],Eingabe[Position],5,Eingabe[Wo],"H"))</f>
        <v>0</v>
      </c>
      <c r="I57" s="129">
        <f>IF(PositionH[[#This Row],[Spiele H]]="","",COUNTIFS(Eingabe[Name],PositionH[[#This Row],[Name H]],Eingabe[Position],6,Eingabe[Wo],"H"))</f>
        <v>0</v>
      </c>
      <c r="J57" s="129">
        <f>IF(PositionH[[#This Row],[P1 H]]="","",COUNTIFS(Eingabe[Position],1,Eingabe[MP],1,Eingabe[Name],PositionH[[#This Row],[Name H]],Eingabe[Wo],"H"))</f>
        <v>1</v>
      </c>
      <c r="K57" s="129">
        <f>IF(PositionH[[#This Row],[P2 H]]="","",COUNTIFS(Eingabe[Position],2,Eingabe[MP],1,Eingabe[Name],PositionH[[#This Row],[Name H]],Eingabe[Wo],"H"))</f>
        <v>0</v>
      </c>
      <c r="L57" s="129">
        <f>IF(PositionH[[#This Row],[P3 H]]="","",COUNTIFS(Eingabe[Position],3,Eingabe[MP],1,Eingabe[Name],PositionH[[#This Row],[Name H]],Eingabe[Wo],"H"))</f>
        <v>1</v>
      </c>
      <c r="M57" s="129">
        <f>IF(PositionH[[#This Row],[P4 H]]="","",COUNTIFS(Eingabe[Position],4,Eingabe[MP],1,Eingabe[Name],PositionH[[#This Row],[Name H]],Eingabe[Wo],"H"))</f>
        <v>0</v>
      </c>
      <c r="N57" s="129">
        <f>IF(PositionH[[#This Row],[P5 H]]="","",COUNTIFS(Eingabe[Position],5,Eingabe[MP],1,Eingabe[Name],PositionH[[#This Row],[Name H]],Eingabe[Wo],"H"))</f>
        <v>0</v>
      </c>
      <c r="O57" s="129">
        <f>IF(PositionH[[#This Row],[P6 H]]="","",COUNTIFS(Eingabe[Position],6,Eingabe[MP],1,Eingabe[Name],PositionH[[#This Row],[Name H]],Eingabe[Wo],"H"))</f>
        <v>0</v>
      </c>
      <c r="P57" s="172">
        <f>IF(PositionH[[#This Row],[P1 H]]=0,"",IF(PositionH[[#This Row],[P1 H]]="","",PositionH[[#This Row],[P1 S H]]/PositionH[[#This Row],[P1 H]]))</f>
        <v>1</v>
      </c>
      <c r="Q57" s="172" t="str">
        <f>IF(PositionH[[#This Row],[P2 H]]=0,"",IF(PositionH[[#This Row],[P2 H]]="","",PositionH[[#This Row],[P2 S H]]/PositionH[[#This Row],[P2 H]]))</f>
        <v/>
      </c>
      <c r="R57" s="172">
        <f>IF(PositionH[[#This Row],[P3 H]]=0,"",IF(PositionH[[#This Row],[P3 H]]="","",PositionH[[#This Row],[P3 S H]]/PositionH[[#This Row],[P3 H]]))</f>
        <v>1</v>
      </c>
      <c r="S57" s="172" t="str">
        <f>IF(PositionH[[#This Row],[P4 H]]=0,"",IF(PositionH[[#This Row],[P4 H]]="","",PositionH[[#This Row],[P4 S H]]/PositionH[[#This Row],[P4 H]]))</f>
        <v/>
      </c>
      <c r="T57" s="172" t="str">
        <f>IF(PositionH[[#This Row],[P5 H]]=0,"",IF(PositionH[[#This Row],[P5 H]]="","",PositionH[[#This Row],[P5 S H]]/PositionH[[#This Row],[P5 H]]))</f>
        <v/>
      </c>
      <c r="U57" s="172" t="str">
        <f>IF(PositionH[[#This Row],[P6 H]]=0,"",IF(PositionH[[#This Row],[P6 H]]="","",PositionH[[#This Row],[P6 S H]]/PositionH[[#This Row],[P6 H]]))</f>
        <v/>
      </c>
      <c r="V57"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[1][3]</v>
      </c>
      <c r="W57" s="129">
        <f>IF(PositionH[[#This Row],[HP H]]="","",MAX(PositionH[[#This Row],[P1 H]:[P6 H]]))</f>
        <v>1</v>
      </c>
      <c r="X57"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[1][3]</v>
      </c>
      <c r="Y57" s="172">
        <f>IF(PositionH[[#This Row],[Spiele H]]="","",MAX(PositionH[[#This Row],[P1 % H]:[P6 % H]]))</f>
        <v>1</v>
      </c>
    </row>
    <row r="58" spans="1:25" x14ac:dyDescent="0.3">
      <c r="B58" s="129" t="str">
        <f t="shared" si="0"/>
        <v>Ben Becker</v>
      </c>
      <c r="C58" s="129" t="str">
        <f>VLOOKUP(PositionH[[#This Row],[Name H]],AuswertungH[],4,FALSE)</f>
        <v/>
      </c>
      <c r="D58" s="129" t="str">
        <f>IF(PositionH[[#This Row],[Spiele H]]="","",COUNTIFS(Eingabe[Name],PositionH[[#This Row],[Name H]],Eingabe[Position],1,Eingabe[Wo],"H"))</f>
        <v/>
      </c>
      <c r="E58" s="129" t="str">
        <f>IF(PositionH[[#This Row],[Spiele H]]="","",COUNTIFS(Eingabe[Name],PositionH[[#This Row],[Name H]],Eingabe[Position],2,Eingabe[Wo],"H"))</f>
        <v/>
      </c>
      <c r="F58" s="129" t="str">
        <f>IF(PositionH[[#This Row],[Spiele H]]="","",COUNTIFS(Eingabe[Name],PositionH[[#This Row],[Name H]],Eingabe[Position],3,Eingabe[Wo],"H"))</f>
        <v/>
      </c>
      <c r="G58" s="129" t="str">
        <f>IF(PositionH[[#This Row],[Spiele H]]="","",COUNTIFS(Eingabe[Name],PositionH[[#This Row],[Name H]],Eingabe[Position],4,Eingabe[Wo],"H"))</f>
        <v/>
      </c>
      <c r="H58" s="129" t="str">
        <f>IF(PositionH[[#This Row],[Spiele H]]="","",COUNTIFS(Eingabe[Name],PositionH[[#This Row],[Name H]],Eingabe[Position],5,Eingabe[Wo],"H"))</f>
        <v/>
      </c>
      <c r="I58" s="129" t="str">
        <f>IF(PositionH[[#This Row],[Spiele H]]="","",COUNTIFS(Eingabe[Name],PositionH[[#This Row],[Name H]],Eingabe[Position],6,Eingabe[Wo],"H"))</f>
        <v/>
      </c>
      <c r="J58" s="129" t="str">
        <f>IF(PositionH[[#This Row],[P1 H]]="","",COUNTIFS(Eingabe[Position],1,Eingabe[MP],1,Eingabe[Name],PositionH[[#This Row],[Name H]],Eingabe[Wo],"H"))</f>
        <v/>
      </c>
      <c r="K58" s="129" t="str">
        <f>IF(PositionH[[#This Row],[P2 H]]="","",COUNTIFS(Eingabe[Position],2,Eingabe[MP],1,Eingabe[Name],PositionH[[#This Row],[Name H]],Eingabe[Wo],"H"))</f>
        <v/>
      </c>
      <c r="L58" s="129" t="str">
        <f>IF(PositionH[[#This Row],[P3 H]]="","",COUNTIFS(Eingabe[Position],3,Eingabe[MP],1,Eingabe[Name],PositionH[[#This Row],[Name H]],Eingabe[Wo],"H"))</f>
        <v/>
      </c>
      <c r="M58" s="129" t="str">
        <f>IF(PositionH[[#This Row],[P4 H]]="","",COUNTIFS(Eingabe[Position],4,Eingabe[MP],1,Eingabe[Name],PositionH[[#This Row],[Name H]],Eingabe[Wo],"H"))</f>
        <v/>
      </c>
      <c r="N58" s="129" t="str">
        <f>IF(PositionH[[#This Row],[P5 H]]="","",COUNTIFS(Eingabe[Position],5,Eingabe[MP],1,Eingabe[Name],PositionH[[#This Row],[Name H]],Eingabe[Wo],"H"))</f>
        <v/>
      </c>
      <c r="O58" s="129" t="str">
        <f>IF(PositionH[[#This Row],[P6 H]]="","",COUNTIFS(Eingabe[Position],6,Eingabe[MP],1,Eingabe[Name],PositionH[[#This Row],[Name H]],Eingabe[Wo],"H"))</f>
        <v/>
      </c>
      <c r="P58" s="172" t="str">
        <f>IF(PositionH[[#This Row],[P1 H]]=0,"",IF(PositionH[[#This Row],[P1 H]]="","",PositionH[[#This Row],[P1 S H]]/PositionH[[#This Row],[P1 H]]))</f>
        <v/>
      </c>
      <c r="Q58" s="172" t="str">
        <f>IF(PositionH[[#This Row],[P2 H]]=0,"",IF(PositionH[[#This Row],[P2 H]]="","",PositionH[[#This Row],[P2 S H]]/PositionH[[#This Row],[P2 H]]))</f>
        <v/>
      </c>
      <c r="R58" s="172" t="str">
        <f>IF(PositionH[[#This Row],[P3 H]]=0,"",IF(PositionH[[#This Row],[P3 H]]="","",PositionH[[#This Row],[P3 S H]]/PositionH[[#This Row],[P3 H]]))</f>
        <v/>
      </c>
      <c r="S58" s="172" t="str">
        <f>IF(PositionH[[#This Row],[P4 H]]=0,"",IF(PositionH[[#This Row],[P4 H]]="","",PositionH[[#This Row],[P4 S H]]/PositionH[[#This Row],[P4 H]]))</f>
        <v/>
      </c>
      <c r="T58" s="172" t="str">
        <f>IF(PositionH[[#This Row],[P5 H]]=0,"",IF(PositionH[[#This Row],[P5 H]]="","",PositionH[[#This Row],[P5 S H]]/PositionH[[#This Row],[P5 H]]))</f>
        <v/>
      </c>
      <c r="U58" s="172" t="str">
        <f>IF(PositionH[[#This Row],[P6 H]]=0,"",IF(PositionH[[#This Row],[P6 H]]="","",PositionH[[#This Row],[P6 S H]]/PositionH[[#This Row],[P6 H]]))</f>
        <v/>
      </c>
      <c r="V58"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58" s="129" t="str">
        <f>IF(PositionH[[#This Row],[HP H]]="","",MAX(PositionH[[#This Row],[P1 H]:[P6 H]]))</f>
        <v/>
      </c>
      <c r="X58"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58" s="172" t="str">
        <f>IF(PositionH[[#This Row],[Spiele H]]="","",MAX(PositionH[[#This Row],[P1 % H]:[P6 % H]]))</f>
        <v/>
      </c>
    </row>
    <row r="59" spans="1:25" x14ac:dyDescent="0.3">
      <c r="B59" s="129" t="str">
        <f t="shared" si="0"/>
        <v>Ben Böhmer</v>
      </c>
      <c r="C59" s="129" t="str">
        <f>VLOOKUP(PositionH[[#This Row],[Name H]],AuswertungH[],4,FALSE)</f>
        <v/>
      </c>
      <c r="D59" s="129" t="str">
        <f>IF(PositionH[[#This Row],[Spiele H]]="","",COUNTIFS(Eingabe[Name],PositionH[[#This Row],[Name H]],Eingabe[Position],1,Eingabe[Wo],"H"))</f>
        <v/>
      </c>
      <c r="E59" s="129" t="str">
        <f>IF(PositionH[[#This Row],[Spiele H]]="","",COUNTIFS(Eingabe[Name],PositionH[[#This Row],[Name H]],Eingabe[Position],2,Eingabe[Wo],"H"))</f>
        <v/>
      </c>
      <c r="F59" s="129" t="str">
        <f>IF(PositionH[[#This Row],[Spiele H]]="","",COUNTIFS(Eingabe[Name],PositionH[[#This Row],[Name H]],Eingabe[Position],3,Eingabe[Wo],"H"))</f>
        <v/>
      </c>
      <c r="G59" s="129" t="str">
        <f>IF(PositionH[[#This Row],[Spiele H]]="","",COUNTIFS(Eingabe[Name],PositionH[[#This Row],[Name H]],Eingabe[Position],4,Eingabe[Wo],"H"))</f>
        <v/>
      </c>
      <c r="H59" s="129" t="str">
        <f>IF(PositionH[[#This Row],[Spiele H]]="","",COUNTIFS(Eingabe[Name],PositionH[[#This Row],[Name H]],Eingabe[Position],5,Eingabe[Wo],"H"))</f>
        <v/>
      </c>
      <c r="I59" s="129" t="str">
        <f>IF(PositionH[[#This Row],[Spiele H]]="","",COUNTIFS(Eingabe[Name],PositionH[[#This Row],[Name H]],Eingabe[Position],6,Eingabe[Wo],"H"))</f>
        <v/>
      </c>
      <c r="J59" s="129" t="str">
        <f>IF(PositionH[[#This Row],[P1 H]]="","",COUNTIFS(Eingabe[Position],1,Eingabe[MP],1,Eingabe[Name],PositionH[[#This Row],[Name H]],Eingabe[Wo],"H"))</f>
        <v/>
      </c>
      <c r="K59" s="129" t="str">
        <f>IF(PositionH[[#This Row],[P2 H]]="","",COUNTIFS(Eingabe[Position],2,Eingabe[MP],1,Eingabe[Name],PositionH[[#This Row],[Name H]],Eingabe[Wo],"H"))</f>
        <v/>
      </c>
      <c r="L59" s="129" t="str">
        <f>IF(PositionH[[#This Row],[P3 H]]="","",COUNTIFS(Eingabe[Position],3,Eingabe[MP],1,Eingabe[Name],PositionH[[#This Row],[Name H]],Eingabe[Wo],"H"))</f>
        <v/>
      </c>
      <c r="M59" s="129" t="str">
        <f>IF(PositionH[[#This Row],[P4 H]]="","",COUNTIFS(Eingabe[Position],4,Eingabe[MP],1,Eingabe[Name],PositionH[[#This Row],[Name H]],Eingabe[Wo],"H"))</f>
        <v/>
      </c>
      <c r="N59" s="129" t="str">
        <f>IF(PositionH[[#This Row],[P5 H]]="","",COUNTIFS(Eingabe[Position],5,Eingabe[MP],1,Eingabe[Name],PositionH[[#This Row],[Name H]],Eingabe[Wo],"H"))</f>
        <v/>
      </c>
      <c r="O59" s="129" t="str">
        <f>IF(PositionH[[#This Row],[P6 H]]="","",COUNTIFS(Eingabe[Position],6,Eingabe[MP],1,Eingabe[Name],PositionH[[#This Row],[Name H]],Eingabe[Wo],"H"))</f>
        <v/>
      </c>
      <c r="P59" s="172" t="str">
        <f>IF(PositionH[[#This Row],[P1 H]]=0,"",IF(PositionH[[#This Row],[P1 H]]="","",PositionH[[#This Row],[P1 S H]]/PositionH[[#This Row],[P1 H]]))</f>
        <v/>
      </c>
      <c r="Q59" s="172" t="str">
        <f>IF(PositionH[[#This Row],[P2 H]]=0,"",IF(PositionH[[#This Row],[P2 H]]="","",PositionH[[#This Row],[P2 S H]]/PositionH[[#This Row],[P2 H]]))</f>
        <v/>
      </c>
      <c r="R59" s="172" t="str">
        <f>IF(PositionH[[#This Row],[P3 H]]=0,"",IF(PositionH[[#This Row],[P3 H]]="","",PositionH[[#This Row],[P3 S H]]/PositionH[[#This Row],[P3 H]]))</f>
        <v/>
      </c>
      <c r="S59" s="172" t="str">
        <f>IF(PositionH[[#This Row],[P4 H]]=0,"",IF(PositionH[[#This Row],[P4 H]]="","",PositionH[[#This Row],[P4 S H]]/PositionH[[#This Row],[P4 H]]))</f>
        <v/>
      </c>
      <c r="T59" s="172" t="str">
        <f>IF(PositionH[[#This Row],[P5 H]]=0,"",IF(PositionH[[#This Row],[P5 H]]="","",PositionH[[#This Row],[P5 S H]]/PositionH[[#This Row],[P5 H]]))</f>
        <v/>
      </c>
      <c r="U59" s="172" t="str">
        <f>IF(PositionH[[#This Row],[P6 H]]=0,"",IF(PositionH[[#This Row],[P6 H]]="","",PositionH[[#This Row],[P6 S H]]/PositionH[[#This Row],[P6 H]]))</f>
        <v/>
      </c>
      <c r="V59"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59" s="129" t="str">
        <f>IF(PositionH[[#This Row],[HP H]]="","",MAX(PositionH[[#This Row],[P1 H]:[P6 H]]))</f>
        <v/>
      </c>
      <c r="X59"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59" s="172" t="str">
        <f>IF(PositionH[[#This Row],[Spiele H]]="","",MAX(PositionH[[#This Row],[P1 % H]:[P6 % H]]))</f>
        <v/>
      </c>
    </row>
    <row r="60" spans="1:25" x14ac:dyDescent="0.3">
      <c r="B60" s="129" t="str">
        <f t="shared" si="0"/>
        <v>Bruno Bergelt</v>
      </c>
      <c r="C60" s="129" t="str">
        <f>VLOOKUP(PositionH[[#This Row],[Name H]],AuswertungH[],4,FALSE)</f>
        <v/>
      </c>
      <c r="D60" s="129" t="str">
        <f>IF(PositionH[[#This Row],[Spiele H]]="","",COUNTIFS(Eingabe[Name],PositionH[[#This Row],[Name H]],Eingabe[Position],1,Eingabe[Wo],"H"))</f>
        <v/>
      </c>
      <c r="E60" s="129" t="str">
        <f>IF(PositionH[[#This Row],[Spiele H]]="","",COUNTIFS(Eingabe[Name],PositionH[[#This Row],[Name H]],Eingabe[Position],2,Eingabe[Wo],"H"))</f>
        <v/>
      </c>
      <c r="F60" s="129" t="str">
        <f>IF(PositionH[[#This Row],[Spiele H]]="","",COUNTIFS(Eingabe[Name],PositionH[[#This Row],[Name H]],Eingabe[Position],3,Eingabe[Wo],"H"))</f>
        <v/>
      </c>
      <c r="G60" s="129" t="str">
        <f>IF(PositionH[[#This Row],[Spiele H]]="","",COUNTIFS(Eingabe[Name],PositionH[[#This Row],[Name H]],Eingabe[Position],4,Eingabe[Wo],"H"))</f>
        <v/>
      </c>
      <c r="H60" s="129" t="str">
        <f>IF(PositionH[[#This Row],[Spiele H]]="","",COUNTIFS(Eingabe[Name],PositionH[[#This Row],[Name H]],Eingabe[Position],5,Eingabe[Wo],"H"))</f>
        <v/>
      </c>
      <c r="I60" s="129" t="str">
        <f>IF(PositionH[[#This Row],[Spiele H]]="","",COUNTIFS(Eingabe[Name],PositionH[[#This Row],[Name H]],Eingabe[Position],6,Eingabe[Wo],"H"))</f>
        <v/>
      </c>
      <c r="J60" s="129" t="str">
        <f>IF(PositionH[[#This Row],[P1 H]]="","",COUNTIFS(Eingabe[Position],1,Eingabe[MP],1,Eingabe[Name],PositionH[[#This Row],[Name H]],Eingabe[Wo],"H"))</f>
        <v/>
      </c>
      <c r="K60" s="129" t="str">
        <f>IF(PositionH[[#This Row],[P2 H]]="","",COUNTIFS(Eingabe[Position],2,Eingabe[MP],1,Eingabe[Name],PositionH[[#This Row],[Name H]],Eingabe[Wo],"H"))</f>
        <v/>
      </c>
      <c r="L60" s="129" t="str">
        <f>IF(PositionH[[#This Row],[P3 H]]="","",COUNTIFS(Eingabe[Position],3,Eingabe[MP],1,Eingabe[Name],PositionH[[#This Row],[Name H]],Eingabe[Wo],"H"))</f>
        <v/>
      </c>
      <c r="M60" s="129" t="str">
        <f>IF(PositionH[[#This Row],[P4 H]]="","",COUNTIFS(Eingabe[Position],4,Eingabe[MP],1,Eingabe[Name],PositionH[[#This Row],[Name H]],Eingabe[Wo],"H"))</f>
        <v/>
      </c>
      <c r="N60" s="129" t="str">
        <f>IF(PositionH[[#This Row],[P5 H]]="","",COUNTIFS(Eingabe[Position],5,Eingabe[MP],1,Eingabe[Name],PositionH[[#This Row],[Name H]],Eingabe[Wo],"H"))</f>
        <v/>
      </c>
      <c r="O60" s="129" t="str">
        <f>IF(PositionH[[#This Row],[P6 H]]="","",COUNTIFS(Eingabe[Position],6,Eingabe[MP],1,Eingabe[Name],PositionH[[#This Row],[Name H]],Eingabe[Wo],"H"))</f>
        <v/>
      </c>
      <c r="P60" s="172" t="str">
        <f>IF(PositionH[[#This Row],[P1 H]]=0,"",IF(PositionH[[#This Row],[P1 H]]="","",PositionH[[#This Row],[P1 S H]]/PositionH[[#This Row],[P1 H]]))</f>
        <v/>
      </c>
      <c r="Q60" s="172" t="str">
        <f>IF(PositionH[[#This Row],[P2 H]]=0,"",IF(PositionH[[#This Row],[P2 H]]="","",PositionH[[#This Row],[P2 S H]]/PositionH[[#This Row],[P2 H]]))</f>
        <v/>
      </c>
      <c r="R60" s="172" t="str">
        <f>IF(PositionH[[#This Row],[P3 H]]=0,"",IF(PositionH[[#This Row],[P3 H]]="","",PositionH[[#This Row],[P3 S H]]/PositionH[[#This Row],[P3 H]]))</f>
        <v/>
      </c>
      <c r="S60" s="172" t="str">
        <f>IF(PositionH[[#This Row],[P4 H]]=0,"",IF(PositionH[[#This Row],[P4 H]]="","",PositionH[[#This Row],[P4 S H]]/PositionH[[#This Row],[P4 H]]))</f>
        <v/>
      </c>
      <c r="T60" s="172" t="str">
        <f>IF(PositionH[[#This Row],[P5 H]]=0,"",IF(PositionH[[#This Row],[P5 H]]="","",PositionH[[#This Row],[P5 S H]]/PositionH[[#This Row],[P5 H]]))</f>
        <v/>
      </c>
      <c r="U60" s="172" t="str">
        <f>IF(PositionH[[#This Row],[P6 H]]=0,"",IF(PositionH[[#This Row],[P6 H]]="","",PositionH[[#This Row],[P6 S H]]/PositionH[[#This Row],[P6 H]]))</f>
        <v/>
      </c>
      <c r="V60"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60" s="129" t="str">
        <f>IF(PositionH[[#This Row],[HP H]]="","",MAX(PositionH[[#This Row],[P1 H]:[P6 H]]))</f>
        <v/>
      </c>
      <c r="X60"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60" s="172" t="str">
        <f>IF(PositionH[[#This Row],[Spiele H]]="","",MAX(PositionH[[#This Row],[P1 % H]:[P6 % H]]))</f>
        <v/>
      </c>
    </row>
    <row r="61" spans="1:25" x14ac:dyDescent="0.3">
      <c r="B61" s="129" t="str">
        <f t="shared" si="0"/>
        <v>Cora Keller</v>
      </c>
      <c r="C61" s="129">
        <f>VLOOKUP(PositionH[[#This Row],[Name H]],AuswertungH[],4,FALSE)</f>
        <v>2</v>
      </c>
      <c r="D61" s="129">
        <f>IF(PositionH[[#This Row],[Spiele H]]="","",COUNTIFS(Eingabe[Name],PositionH[[#This Row],[Name H]],Eingabe[Position],1,Eingabe[Wo],"H"))</f>
        <v>1</v>
      </c>
      <c r="E61" s="129">
        <f>IF(PositionH[[#This Row],[Spiele H]]="","",COUNTIFS(Eingabe[Name],PositionH[[#This Row],[Name H]],Eingabe[Position],2,Eingabe[Wo],"H"))</f>
        <v>1</v>
      </c>
      <c r="F61" s="129">
        <f>IF(PositionH[[#This Row],[Spiele H]]="","",COUNTIFS(Eingabe[Name],PositionH[[#This Row],[Name H]],Eingabe[Position],3,Eingabe[Wo],"H"))</f>
        <v>0</v>
      </c>
      <c r="G61" s="129">
        <f>IF(PositionH[[#This Row],[Spiele H]]="","",COUNTIFS(Eingabe[Name],PositionH[[#This Row],[Name H]],Eingabe[Position],4,Eingabe[Wo],"H"))</f>
        <v>0</v>
      </c>
      <c r="H61" s="129">
        <f>IF(PositionH[[#This Row],[Spiele H]]="","",COUNTIFS(Eingabe[Name],PositionH[[#This Row],[Name H]],Eingabe[Position],5,Eingabe[Wo],"H"))</f>
        <v>0</v>
      </c>
      <c r="I61" s="129">
        <f>IF(PositionH[[#This Row],[Spiele H]]="","",COUNTIFS(Eingabe[Name],PositionH[[#This Row],[Name H]],Eingabe[Position],6,Eingabe[Wo],"H"))</f>
        <v>0</v>
      </c>
      <c r="J61" s="129">
        <f>IF(PositionH[[#This Row],[P1 H]]="","",COUNTIFS(Eingabe[Position],1,Eingabe[MP],1,Eingabe[Name],PositionH[[#This Row],[Name H]],Eingabe[Wo],"H"))</f>
        <v>1</v>
      </c>
      <c r="K61" s="129">
        <f>IF(PositionH[[#This Row],[P2 H]]="","",COUNTIFS(Eingabe[Position],2,Eingabe[MP],1,Eingabe[Name],PositionH[[#This Row],[Name H]],Eingabe[Wo],"H"))</f>
        <v>0</v>
      </c>
      <c r="L61" s="129">
        <f>IF(PositionH[[#This Row],[P3 H]]="","",COUNTIFS(Eingabe[Position],3,Eingabe[MP],1,Eingabe[Name],PositionH[[#This Row],[Name H]],Eingabe[Wo],"H"))</f>
        <v>0</v>
      </c>
      <c r="M61" s="129">
        <f>IF(PositionH[[#This Row],[P4 H]]="","",COUNTIFS(Eingabe[Position],4,Eingabe[MP],1,Eingabe[Name],PositionH[[#This Row],[Name H]],Eingabe[Wo],"H"))</f>
        <v>0</v>
      </c>
      <c r="N61" s="129">
        <f>IF(PositionH[[#This Row],[P5 H]]="","",COUNTIFS(Eingabe[Position],5,Eingabe[MP],1,Eingabe[Name],PositionH[[#This Row],[Name H]],Eingabe[Wo],"H"))</f>
        <v>0</v>
      </c>
      <c r="O61" s="129">
        <f>IF(PositionH[[#This Row],[P6 H]]="","",COUNTIFS(Eingabe[Position],6,Eingabe[MP],1,Eingabe[Name],PositionH[[#This Row],[Name H]],Eingabe[Wo],"H"))</f>
        <v>0</v>
      </c>
      <c r="P61" s="172">
        <f>IF(PositionH[[#This Row],[P1 H]]=0,"",IF(PositionH[[#This Row],[P1 H]]="","",PositionH[[#This Row],[P1 S H]]/PositionH[[#This Row],[P1 H]]))</f>
        <v>1</v>
      </c>
      <c r="Q61" s="172">
        <f>IF(PositionH[[#This Row],[P2 H]]=0,"",IF(PositionH[[#This Row],[P2 H]]="","",PositionH[[#This Row],[P2 S H]]/PositionH[[#This Row],[P2 H]]))</f>
        <v>0</v>
      </c>
      <c r="R61" s="172" t="str">
        <f>IF(PositionH[[#This Row],[P3 H]]=0,"",IF(PositionH[[#This Row],[P3 H]]="","",PositionH[[#This Row],[P3 S H]]/PositionH[[#This Row],[P3 H]]))</f>
        <v/>
      </c>
      <c r="S61" s="172" t="str">
        <f>IF(PositionH[[#This Row],[P4 H]]=0,"",IF(PositionH[[#This Row],[P4 H]]="","",PositionH[[#This Row],[P4 S H]]/PositionH[[#This Row],[P4 H]]))</f>
        <v/>
      </c>
      <c r="T61" s="172" t="str">
        <f>IF(PositionH[[#This Row],[P5 H]]=0,"",IF(PositionH[[#This Row],[P5 H]]="","",PositionH[[#This Row],[P5 S H]]/PositionH[[#This Row],[P5 H]]))</f>
        <v/>
      </c>
      <c r="U61" s="172" t="str">
        <f>IF(PositionH[[#This Row],[P6 H]]=0,"",IF(PositionH[[#This Row],[P6 H]]="","",PositionH[[#This Row],[P6 S H]]/PositionH[[#This Row],[P6 H]]))</f>
        <v/>
      </c>
      <c r="V61"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[1][2]</v>
      </c>
      <c r="W61" s="129">
        <f>IF(PositionH[[#This Row],[HP H]]="","",MAX(PositionH[[#This Row],[P1 H]:[P6 H]]))</f>
        <v>1</v>
      </c>
      <c r="X61"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[1]</v>
      </c>
      <c r="Y61" s="172">
        <f>IF(PositionH[[#This Row],[Spiele H]]="","",MAX(PositionH[[#This Row],[P1 % H]:[P6 % H]]))</f>
        <v>1</v>
      </c>
    </row>
    <row r="62" spans="1:25" x14ac:dyDescent="0.3">
      <c r="B62" s="129" t="str">
        <f t="shared" si="0"/>
        <v>Dietmar Klose</v>
      </c>
      <c r="C62" s="129" t="str">
        <f>VLOOKUP(PositionH[[#This Row],[Name H]],AuswertungH[],4,FALSE)</f>
        <v/>
      </c>
      <c r="D62" s="129" t="str">
        <f>IF(PositionH[[#This Row],[Spiele H]]="","",COUNTIFS(Eingabe[Name],PositionH[[#This Row],[Name H]],Eingabe[Position],1,Eingabe[Wo],"H"))</f>
        <v/>
      </c>
      <c r="E62" s="129" t="str">
        <f>IF(PositionH[[#This Row],[Spiele H]]="","",COUNTIFS(Eingabe[Name],PositionH[[#This Row],[Name H]],Eingabe[Position],2,Eingabe[Wo],"H"))</f>
        <v/>
      </c>
      <c r="F62" s="129" t="str">
        <f>IF(PositionH[[#This Row],[Spiele H]]="","",COUNTIFS(Eingabe[Name],PositionH[[#This Row],[Name H]],Eingabe[Position],3,Eingabe[Wo],"H"))</f>
        <v/>
      </c>
      <c r="G62" s="129" t="str">
        <f>IF(PositionH[[#This Row],[Spiele H]]="","",COUNTIFS(Eingabe[Name],PositionH[[#This Row],[Name H]],Eingabe[Position],4,Eingabe[Wo],"H"))</f>
        <v/>
      </c>
      <c r="H62" s="129" t="str">
        <f>IF(PositionH[[#This Row],[Spiele H]]="","",COUNTIFS(Eingabe[Name],PositionH[[#This Row],[Name H]],Eingabe[Position],5,Eingabe[Wo],"H"))</f>
        <v/>
      </c>
      <c r="I62" s="129" t="str">
        <f>IF(PositionH[[#This Row],[Spiele H]]="","",COUNTIFS(Eingabe[Name],PositionH[[#This Row],[Name H]],Eingabe[Position],6,Eingabe[Wo],"H"))</f>
        <v/>
      </c>
      <c r="J62" s="129" t="str">
        <f>IF(PositionH[[#This Row],[P1 H]]="","",COUNTIFS(Eingabe[Position],1,Eingabe[MP],1,Eingabe[Name],PositionH[[#This Row],[Name H]],Eingabe[Wo],"H"))</f>
        <v/>
      </c>
      <c r="K62" s="129" t="str">
        <f>IF(PositionH[[#This Row],[P2 H]]="","",COUNTIFS(Eingabe[Position],2,Eingabe[MP],1,Eingabe[Name],PositionH[[#This Row],[Name H]],Eingabe[Wo],"H"))</f>
        <v/>
      </c>
      <c r="L62" s="129" t="str">
        <f>IF(PositionH[[#This Row],[P3 H]]="","",COUNTIFS(Eingabe[Position],3,Eingabe[MP],1,Eingabe[Name],PositionH[[#This Row],[Name H]],Eingabe[Wo],"H"))</f>
        <v/>
      </c>
      <c r="M62" s="129" t="str">
        <f>IF(PositionH[[#This Row],[P4 H]]="","",COUNTIFS(Eingabe[Position],4,Eingabe[MP],1,Eingabe[Name],PositionH[[#This Row],[Name H]],Eingabe[Wo],"H"))</f>
        <v/>
      </c>
      <c r="N62" s="129" t="str">
        <f>IF(PositionH[[#This Row],[P5 H]]="","",COUNTIFS(Eingabe[Position],5,Eingabe[MP],1,Eingabe[Name],PositionH[[#This Row],[Name H]],Eingabe[Wo],"H"))</f>
        <v/>
      </c>
      <c r="O62" s="129" t="str">
        <f>IF(PositionH[[#This Row],[P6 H]]="","",COUNTIFS(Eingabe[Position],6,Eingabe[MP],1,Eingabe[Name],PositionH[[#This Row],[Name H]],Eingabe[Wo],"H"))</f>
        <v/>
      </c>
      <c r="P62" s="172" t="str">
        <f>IF(PositionH[[#This Row],[P1 H]]=0,"",IF(PositionH[[#This Row],[P1 H]]="","",PositionH[[#This Row],[P1 S H]]/PositionH[[#This Row],[P1 H]]))</f>
        <v/>
      </c>
      <c r="Q62" s="172" t="str">
        <f>IF(PositionH[[#This Row],[P2 H]]=0,"",IF(PositionH[[#This Row],[P2 H]]="","",PositionH[[#This Row],[P2 S H]]/PositionH[[#This Row],[P2 H]]))</f>
        <v/>
      </c>
      <c r="R62" s="172" t="str">
        <f>IF(PositionH[[#This Row],[P3 H]]=0,"",IF(PositionH[[#This Row],[P3 H]]="","",PositionH[[#This Row],[P3 S H]]/PositionH[[#This Row],[P3 H]]))</f>
        <v/>
      </c>
      <c r="S62" s="172" t="str">
        <f>IF(PositionH[[#This Row],[P4 H]]=0,"",IF(PositionH[[#This Row],[P4 H]]="","",PositionH[[#This Row],[P4 S H]]/PositionH[[#This Row],[P4 H]]))</f>
        <v/>
      </c>
      <c r="T62" s="172" t="str">
        <f>IF(PositionH[[#This Row],[P5 H]]=0,"",IF(PositionH[[#This Row],[P5 H]]="","",PositionH[[#This Row],[P5 S H]]/PositionH[[#This Row],[P5 H]]))</f>
        <v/>
      </c>
      <c r="U62" s="172" t="str">
        <f>IF(PositionH[[#This Row],[P6 H]]=0,"",IF(PositionH[[#This Row],[P6 H]]="","",PositionH[[#This Row],[P6 S H]]/PositionH[[#This Row],[P6 H]]))</f>
        <v/>
      </c>
      <c r="V62"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62" s="129" t="str">
        <f>IF(PositionH[[#This Row],[HP H]]="","",MAX(PositionH[[#This Row],[P1 H]:[P6 H]]))</f>
        <v/>
      </c>
      <c r="X62"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62" s="172" t="str">
        <f>IF(PositionH[[#This Row],[Spiele H]]="","",MAX(PositionH[[#This Row],[P1 % H]:[P6 % H]]))</f>
        <v/>
      </c>
    </row>
    <row r="63" spans="1:25" x14ac:dyDescent="0.3">
      <c r="B63" s="129" t="str">
        <f t="shared" si="0"/>
        <v>Emelie Schiffel</v>
      </c>
      <c r="C63" s="129" t="str">
        <f>VLOOKUP(PositionH[[#This Row],[Name H]],AuswertungH[],4,FALSE)</f>
        <v/>
      </c>
      <c r="D63" s="129" t="str">
        <f>IF(PositionH[[#This Row],[Spiele H]]="","",COUNTIFS(Eingabe[Name],PositionH[[#This Row],[Name H]],Eingabe[Position],1,Eingabe[Wo],"H"))</f>
        <v/>
      </c>
      <c r="E63" s="129" t="str">
        <f>IF(PositionH[[#This Row],[Spiele H]]="","",COUNTIFS(Eingabe[Name],PositionH[[#This Row],[Name H]],Eingabe[Position],2,Eingabe[Wo],"H"))</f>
        <v/>
      </c>
      <c r="F63" s="129" t="str">
        <f>IF(PositionH[[#This Row],[Spiele H]]="","",COUNTIFS(Eingabe[Name],PositionH[[#This Row],[Name H]],Eingabe[Position],3,Eingabe[Wo],"H"))</f>
        <v/>
      </c>
      <c r="G63" s="129" t="str">
        <f>IF(PositionH[[#This Row],[Spiele H]]="","",COUNTIFS(Eingabe[Name],PositionH[[#This Row],[Name H]],Eingabe[Position],4,Eingabe[Wo],"H"))</f>
        <v/>
      </c>
      <c r="H63" s="129" t="str">
        <f>IF(PositionH[[#This Row],[Spiele H]]="","",COUNTIFS(Eingabe[Name],PositionH[[#This Row],[Name H]],Eingabe[Position],5,Eingabe[Wo],"H"))</f>
        <v/>
      </c>
      <c r="I63" s="129" t="str">
        <f>IF(PositionH[[#This Row],[Spiele H]]="","",COUNTIFS(Eingabe[Name],PositionH[[#This Row],[Name H]],Eingabe[Position],6,Eingabe[Wo],"H"))</f>
        <v/>
      </c>
      <c r="J63" s="129" t="str">
        <f>IF(PositionH[[#This Row],[P1 H]]="","",COUNTIFS(Eingabe[Position],1,Eingabe[MP],1,Eingabe[Name],PositionH[[#This Row],[Name H]],Eingabe[Wo],"H"))</f>
        <v/>
      </c>
      <c r="K63" s="129" t="str">
        <f>IF(PositionH[[#This Row],[P2 H]]="","",COUNTIFS(Eingabe[Position],2,Eingabe[MP],1,Eingabe[Name],PositionH[[#This Row],[Name H]],Eingabe[Wo],"H"))</f>
        <v/>
      </c>
      <c r="L63" s="129" t="str">
        <f>IF(PositionH[[#This Row],[P3 H]]="","",COUNTIFS(Eingabe[Position],3,Eingabe[MP],1,Eingabe[Name],PositionH[[#This Row],[Name H]],Eingabe[Wo],"H"))</f>
        <v/>
      </c>
      <c r="M63" s="129" t="str">
        <f>IF(PositionH[[#This Row],[P4 H]]="","",COUNTIFS(Eingabe[Position],4,Eingabe[MP],1,Eingabe[Name],PositionH[[#This Row],[Name H]],Eingabe[Wo],"H"))</f>
        <v/>
      </c>
      <c r="N63" s="129" t="str">
        <f>IF(PositionH[[#This Row],[P5 H]]="","",COUNTIFS(Eingabe[Position],5,Eingabe[MP],1,Eingabe[Name],PositionH[[#This Row],[Name H]],Eingabe[Wo],"H"))</f>
        <v/>
      </c>
      <c r="O63" s="129" t="str">
        <f>IF(PositionH[[#This Row],[P6 H]]="","",COUNTIFS(Eingabe[Position],6,Eingabe[MP],1,Eingabe[Name],PositionH[[#This Row],[Name H]],Eingabe[Wo],"H"))</f>
        <v/>
      </c>
      <c r="P63" s="172" t="str">
        <f>IF(PositionH[[#This Row],[P1 H]]=0,"",IF(PositionH[[#This Row],[P1 H]]="","",PositionH[[#This Row],[P1 S H]]/PositionH[[#This Row],[P1 H]]))</f>
        <v/>
      </c>
      <c r="Q63" s="172" t="str">
        <f>IF(PositionH[[#This Row],[P2 H]]=0,"",IF(PositionH[[#This Row],[P2 H]]="","",PositionH[[#This Row],[P2 S H]]/PositionH[[#This Row],[P2 H]]))</f>
        <v/>
      </c>
      <c r="R63" s="172" t="str">
        <f>IF(PositionH[[#This Row],[P3 H]]=0,"",IF(PositionH[[#This Row],[P3 H]]="","",PositionH[[#This Row],[P3 S H]]/PositionH[[#This Row],[P3 H]]))</f>
        <v/>
      </c>
      <c r="S63" s="172" t="str">
        <f>IF(PositionH[[#This Row],[P4 H]]=0,"",IF(PositionH[[#This Row],[P4 H]]="","",PositionH[[#This Row],[P4 S H]]/PositionH[[#This Row],[P4 H]]))</f>
        <v/>
      </c>
      <c r="T63" s="172" t="str">
        <f>IF(PositionH[[#This Row],[P5 H]]=0,"",IF(PositionH[[#This Row],[P5 H]]="","",PositionH[[#This Row],[P5 S H]]/PositionH[[#This Row],[P5 H]]))</f>
        <v/>
      </c>
      <c r="U63" s="172" t="str">
        <f>IF(PositionH[[#This Row],[P6 H]]=0,"",IF(PositionH[[#This Row],[P6 H]]="","",PositionH[[#This Row],[P6 S H]]/PositionH[[#This Row],[P6 H]]))</f>
        <v/>
      </c>
      <c r="V63"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63" s="129" t="str">
        <f>IF(PositionH[[#This Row],[HP H]]="","",MAX(PositionH[[#This Row],[P1 H]:[P6 H]]))</f>
        <v/>
      </c>
      <c r="X63"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63" s="172" t="str">
        <f>IF(PositionH[[#This Row],[Spiele H]]="","",MAX(PositionH[[#This Row],[P1 % H]:[P6 % H]]))</f>
        <v/>
      </c>
    </row>
    <row r="64" spans="1:25" x14ac:dyDescent="0.3">
      <c r="B64" s="129" t="str">
        <f t="shared" si="0"/>
        <v>Emma Hettmann</v>
      </c>
      <c r="C64" s="129">
        <f>VLOOKUP(PositionH[[#This Row],[Name H]],AuswertungH[],4,FALSE)</f>
        <v>1</v>
      </c>
      <c r="D64" s="129">
        <f>IF(PositionH[[#This Row],[Spiele H]]="","",COUNTIFS(Eingabe[Name],PositionH[[#This Row],[Name H]],Eingabe[Position],1,Eingabe[Wo],"H"))</f>
        <v>0</v>
      </c>
      <c r="E64" s="129">
        <f>IF(PositionH[[#This Row],[Spiele H]]="","",COUNTIFS(Eingabe[Name],PositionH[[#This Row],[Name H]],Eingabe[Position],2,Eingabe[Wo],"H"))</f>
        <v>0</v>
      </c>
      <c r="F64" s="129">
        <f>IF(PositionH[[#This Row],[Spiele H]]="","",COUNTIFS(Eingabe[Name],PositionH[[#This Row],[Name H]],Eingabe[Position],3,Eingabe[Wo],"H"))</f>
        <v>1</v>
      </c>
      <c r="G64" s="129">
        <f>IF(PositionH[[#This Row],[Spiele H]]="","",COUNTIFS(Eingabe[Name],PositionH[[#This Row],[Name H]],Eingabe[Position],4,Eingabe[Wo],"H"))</f>
        <v>0</v>
      </c>
      <c r="H64" s="129">
        <f>IF(PositionH[[#This Row],[Spiele H]]="","",COUNTIFS(Eingabe[Name],PositionH[[#This Row],[Name H]],Eingabe[Position],5,Eingabe[Wo],"H"))</f>
        <v>0</v>
      </c>
      <c r="I64" s="129">
        <f>IF(PositionH[[#This Row],[Spiele H]]="","",COUNTIFS(Eingabe[Name],PositionH[[#This Row],[Name H]],Eingabe[Position],6,Eingabe[Wo],"H"))</f>
        <v>0</v>
      </c>
      <c r="J64" s="129">
        <f>IF(PositionH[[#This Row],[P1 H]]="","",COUNTIFS(Eingabe[Position],1,Eingabe[MP],1,Eingabe[Name],PositionH[[#This Row],[Name H]],Eingabe[Wo],"H"))</f>
        <v>0</v>
      </c>
      <c r="K64" s="129">
        <f>IF(PositionH[[#This Row],[P2 H]]="","",COUNTIFS(Eingabe[Position],2,Eingabe[MP],1,Eingabe[Name],PositionH[[#This Row],[Name H]],Eingabe[Wo],"H"))</f>
        <v>0</v>
      </c>
      <c r="L64" s="129">
        <f>IF(PositionH[[#This Row],[P3 H]]="","",COUNTIFS(Eingabe[Position],3,Eingabe[MP],1,Eingabe[Name],PositionH[[#This Row],[Name H]],Eingabe[Wo],"H"))</f>
        <v>1</v>
      </c>
      <c r="M64" s="129">
        <f>IF(PositionH[[#This Row],[P4 H]]="","",COUNTIFS(Eingabe[Position],4,Eingabe[MP],1,Eingabe[Name],PositionH[[#This Row],[Name H]],Eingabe[Wo],"H"))</f>
        <v>0</v>
      </c>
      <c r="N64" s="129">
        <f>IF(PositionH[[#This Row],[P5 H]]="","",COUNTIFS(Eingabe[Position],5,Eingabe[MP],1,Eingabe[Name],PositionH[[#This Row],[Name H]],Eingabe[Wo],"H"))</f>
        <v>0</v>
      </c>
      <c r="O64" s="129">
        <f>IF(PositionH[[#This Row],[P6 H]]="","",COUNTIFS(Eingabe[Position],6,Eingabe[MP],1,Eingabe[Name],PositionH[[#This Row],[Name H]],Eingabe[Wo],"H"))</f>
        <v>0</v>
      </c>
      <c r="P64" s="172" t="str">
        <f>IF(PositionH[[#This Row],[P1 H]]=0,"",IF(PositionH[[#This Row],[P1 H]]="","",PositionH[[#This Row],[P1 S H]]/PositionH[[#This Row],[P1 H]]))</f>
        <v/>
      </c>
      <c r="Q64" s="172" t="str">
        <f>IF(PositionH[[#This Row],[P2 H]]=0,"",IF(PositionH[[#This Row],[P2 H]]="","",PositionH[[#This Row],[P2 S H]]/PositionH[[#This Row],[P2 H]]))</f>
        <v/>
      </c>
      <c r="R64" s="172">
        <f>IF(PositionH[[#This Row],[P3 H]]=0,"",IF(PositionH[[#This Row],[P3 H]]="","",PositionH[[#This Row],[P3 S H]]/PositionH[[#This Row],[P3 H]]))</f>
        <v>1</v>
      </c>
      <c r="S64" s="172" t="str">
        <f>IF(PositionH[[#This Row],[P4 H]]=0,"",IF(PositionH[[#This Row],[P4 H]]="","",PositionH[[#This Row],[P4 S H]]/PositionH[[#This Row],[P4 H]]))</f>
        <v/>
      </c>
      <c r="T64" s="172" t="str">
        <f>IF(PositionH[[#This Row],[P5 H]]=0,"",IF(PositionH[[#This Row],[P5 H]]="","",PositionH[[#This Row],[P5 S H]]/PositionH[[#This Row],[P5 H]]))</f>
        <v/>
      </c>
      <c r="U64" s="172" t="str">
        <f>IF(PositionH[[#This Row],[P6 H]]=0,"",IF(PositionH[[#This Row],[P6 H]]="","",PositionH[[#This Row],[P6 S H]]/PositionH[[#This Row],[P6 H]]))</f>
        <v/>
      </c>
      <c r="V64"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[3]</v>
      </c>
      <c r="W64" s="129">
        <f>IF(PositionH[[#This Row],[HP H]]="","",MAX(PositionH[[#This Row],[P1 H]:[P6 H]]))</f>
        <v>1</v>
      </c>
      <c r="X64"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[3]</v>
      </c>
      <c r="Y64" s="172">
        <f>IF(PositionH[[#This Row],[Spiele H]]="","",MAX(PositionH[[#This Row],[P1 % H]:[P6 % H]]))</f>
        <v>1</v>
      </c>
    </row>
    <row r="65" spans="2:25" x14ac:dyDescent="0.3">
      <c r="B65" s="129" t="str">
        <f t="shared" si="0"/>
        <v>Erik Krutak</v>
      </c>
      <c r="C65" s="129">
        <f>VLOOKUP(PositionH[[#This Row],[Name H]],AuswertungH[],4,FALSE)</f>
        <v>5</v>
      </c>
      <c r="D65" s="129">
        <f>IF(PositionH[[#This Row],[Spiele H]]="","",COUNTIFS(Eingabe[Name],PositionH[[#This Row],[Name H]],Eingabe[Position],1,Eingabe[Wo],"H"))</f>
        <v>0</v>
      </c>
      <c r="E65" s="129">
        <f>IF(PositionH[[#This Row],[Spiele H]]="","",COUNTIFS(Eingabe[Name],PositionH[[#This Row],[Name H]],Eingabe[Position],2,Eingabe[Wo],"H"))</f>
        <v>1</v>
      </c>
      <c r="F65" s="129">
        <f>IF(PositionH[[#This Row],[Spiele H]]="","",COUNTIFS(Eingabe[Name],PositionH[[#This Row],[Name H]],Eingabe[Position],3,Eingabe[Wo],"H"))</f>
        <v>2</v>
      </c>
      <c r="G65" s="129">
        <f>IF(PositionH[[#This Row],[Spiele H]]="","",COUNTIFS(Eingabe[Name],PositionH[[#This Row],[Name H]],Eingabe[Position],4,Eingabe[Wo],"H"))</f>
        <v>0</v>
      </c>
      <c r="H65" s="129">
        <f>IF(PositionH[[#This Row],[Spiele H]]="","",COUNTIFS(Eingabe[Name],PositionH[[#This Row],[Name H]],Eingabe[Position],5,Eingabe[Wo],"H"))</f>
        <v>0</v>
      </c>
      <c r="I65" s="129">
        <f>IF(PositionH[[#This Row],[Spiele H]]="","",COUNTIFS(Eingabe[Name],PositionH[[#This Row],[Name H]],Eingabe[Position],6,Eingabe[Wo],"H"))</f>
        <v>2</v>
      </c>
      <c r="J65" s="129">
        <f>IF(PositionH[[#This Row],[P1 H]]="","",COUNTIFS(Eingabe[Position],1,Eingabe[MP],1,Eingabe[Name],PositionH[[#This Row],[Name H]],Eingabe[Wo],"H"))</f>
        <v>0</v>
      </c>
      <c r="K65" s="129">
        <f>IF(PositionH[[#This Row],[P2 H]]="","",COUNTIFS(Eingabe[Position],2,Eingabe[MP],1,Eingabe[Name],PositionH[[#This Row],[Name H]],Eingabe[Wo],"H"))</f>
        <v>0</v>
      </c>
      <c r="L65" s="129">
        <f>IF(PositionH[[#This Row],[P3 H]]="","",COUNTIFS(Eingabe[Position],3,Eingabe[MP],1,Eingabe[Name],PositionH[[#This Row],[Name H]],Eingabe[Wo],"H"))</f>
        <v>1</v>
      </c>
      <c r="M65" s="129">
        <f>IF(PositionH[[#This Row],[P4 H]]="","",COUNTIFS(Eingabe[Position],4,Eingabe[MP],1,Eingabe[Name],PositionH[[#This Row],[Name H]],Eingabe[Wo],"H"))</f>
        <v>0</v>
      </c>
      <c r="N65" s="129">
        <f>IF(PositionH[[#This Row],[P5 H]]="","",COUNTIFS(Eingabe[Position],5,Eingabe[MP],1,Eingabe[Name],PositionH[[#This Row],[Name H]],Eingabe[Wo],"H"))</f>
        <v>0</v>
      </c>
      <c r="O65" s="129">
        <f>IF(PositionH[[#This Row],[P6 H]]="","",COUNTIFS(Eingabe[Position],6,Eingabe[MP],1,Eingabe[Name],PositionH[[#This Row],[Name H]],Eingabe[Wo],"H"))</f>
        <v>2</v>
      </c>
      <c r="P65" s="172" t="str">
        <f>IF(PositionH[[#This Row],[P1 H]]=0,"",IF(PositionH[[#This Row],[P1 H]]="","",PositionH[[#This Row],[P1 S H]]/PositionH[[#This Row],[P1 H]]))</f>
        <v/>
      </c>
      <c r="Q65" s="172">
        <f>IF(PositionH[[#This Row],[P2 H]]=0,"",IF(PositionH[[#This Row],[P2 H]]="","",PositionH[[#This Row],[P2 S H]]/PositionH[[#This Row],[P2 H]]))</f>
        <v>0</v>
      </c>
      <c r="R65" s="172">
        <f>IF(PositionH[[#This Row],[P3 H]]=0,"",IF(PositionH[[#This Row],[P3 H]]="","",PositionH[[#This Row],[P3 S H]]/PositionH[[#This Row],[P3 H]]))</f>
        <v>0.5</v>
      </c>
      <c r="S65" s="172" t="str">
        <f>IF(PositionH[[#This Row],[P4 H]]=0,"",IF(PositionH[[#This Row],[P4 H]]="","",PositionH[[#This Row],[P4 S H]]/PositionH[[#This Row],[P4 H]]))</f>
        <v/>
      </c>
      <c r="T65" s="172" t="str">
        <f>IF(PositionH[[#This Row],[P5 H]]=0,"",IF(PositionH[[#This Row],[P5 H]]="","",PositionH[[#This Row],[P5 S H]]/PositionH[[#This Row],[P5 H]]))</f>
        <v/>
      </c>
      <c r="U65" s="172">
        <f>IF(PositionH[[#This Row],[P6 H]]=0,"",IF(PositionH[[#This Row],[P6 H]]="","",PositionH[[#This Row],[P6 S H]]/PositionH[[#This Row],[P6 H]]))</f>
        <v>1</v>
      </c>
      <c r="V65"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[3][6]</v>
      </c>
      <c r="W65" s="129">
        <f>IF(PositionH[[#This Row],[HP H]]="","",MAX(PositionH[[#This Row],[P1 H]:[P6 H]]))</f>
        <v>2</v>
      </c>
      <c r="X65"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[6]</v>
      </c>
      <c r="Y65" s="172">
        <f>IF(PositionH[[#This Row],[Spiele H]]="","",MAX(PositionH[[#This Row],[P1 % H]:[P6 % H]]))</f>
        <v>1</v>
      </c>
    </row>
    <row r="66" spans="2:25" x14ac:dyDescent="0.3">
      <c r="B66" s="129" t="str">
        <f t="shared" si="0"/>
        <v>Florian Jäger</v>
      </c>
      <c r="C66" s="129">
        <f>VLOOKUP(PositionH[[#This Row],[Name H]],AuswertungH[],4,FALSE)</f>
        <v>1</v>
      </c>
      <c r="D66" s="129">
        <f>IF(PositionH[[#This Row],[Spiele H]]="","",COUNTIFS(Eingabe[Name],PositionH[[#This Row],[Name H]],Eingabe[Position],1,Eingabe[Wo],"H"))</f>
        <v>0</v>
      </c>
      <c r="E66" s="129">
        <f>IF(PositionH[[#This Row],[Spiele H]]="","",COUNTIFS(Eingabe[Name],PositionH[[#This Row],[Name H]],Eingabe[Position],2,Eingabe[Wo],"H"))</f>
        <v>0</v>
      </c>
      <c r="F66" s="129">
        <f>IF(PositionH[[#This Row],[Spiele H]]="","",COUNTIFS(Eingabe[Name],PositionH[[#This Row],[Name H]],Eingabe[Position],3,Eingabe[Wo],"H"))</f>
        <v>0</v>
      </c>
      <c r="G66" s="129">
        <f>IF(PositionH[[#This Row],[Spiele H]]="","",COUNTIFS(Eingabe[Name],PositionH[[#This Row],[Name H]],Eingabe[Position],4,Eingabe[Wo],"H"))</f>
        <v>0</v>
      </c>
      <c r="H66" s="129">
        <f>IF(PositionH[[#This Row],[Spiele H]]="","",COUNTIFS(Eingabe[Name],PositionH[[#This Row],[Name H]],Eingabe[Position],5,Eingabe[Wo],"H"))</f>
        <v>0</v>
      </c>
      <c r="I66" s="129">
        <f>IF(PositionH[[#This Row],[Spiele H]]="","",COUNTIFS(Eingabe[Name],PositionH[[#This Row],[Name H]],Eingabe[Position],6,Eingabe[Wo],"H"))</f>
        <v>1</v>
      </c>
      <c r="J66" s="129">
        <f>IF(PositionH[[#This Row],[P1 H]]="","",COUNTIFS(Eingabe[Position],1,Eingabe[MP],1,Eingabe[Name],PositionH[[#This Row],[Name H]],Eingabe[Wo],"H"))</f>
        <v>0</v>
      </c>
      <c r="K66" s="129">
        <f>IF(PositionH[[#This Row],[P2 H]]="","",COUNTIFS(Eingabe[Position],2,Eingabe[MP],1,Eingabe[Name],PositionH[[#This Row],[Name H]],Eingabe[Wo],"H"))</f>
        <v>0</v>
      </c>
      <c r="L66" s="129">
        <f>IF(PositionH[[#This Row],[P3 H]]="","",COUNTIFS(Eingabe[Position],3,Eingabe[MP],1,Eingabe[Name],PositionH[[#This Row],[Name H]],Eingabe[Wo],"H"))</f>
        <v>0</v>
      </c>
      <c r="M66" s="129">
        <f>IF(PositionH[[#This Row],[P4 H]]="","",COUNTIFS(Eingabe[Position],4,Eingabe[MP],1,Eingabe[Name],PositionH[[#This Row],[Name H]],Eingabe[Wo],"H"))</f>
        <v>0</v>
      </c>
      <c r="N66" s="129">
        <f>IF(PositionH[[#This Row],[P5 H]]="","",COUNTIFS(Eingabe[Position],5,Eingabe[MP],1,Eingabe[Name],PositionH[[#This Row],[Name H]],Eingabe[Wo],"H"))</f>
        <v>0</v>
      </c>
      <c r="O66" s="129">
        <f>IF(PositionH[[#This Row],[P6 H]]="","",COUNTIFS(Eingabe[Position],6,Eingabe[MP],1,Eingabe[Name],PositionH[[#This Row],[Name H]],Eingabe[Wo],"H"))</f>
        <v>1</v>
      </c>
      <c r="P66" s="172" t="str">
        <f>IF(PositionH[[#This Row],[P1 H]]=0,"",IF(PositionH[[#This Row],[P1 H]]="","",PositionH[[#This Row],[P1 S H]]/PositionH[[#This Row],[P1 H]]))</f>
        <v/>
      </c>
      <c r="Q66" s="172" t="str">
        <f>IF(PositionH[[#This Row],[P2 H]]=0,"",IF(PositionH[[#This Row],[P2 H]]="","",PositionH[[#This Row],[P2 S H]]/PositionH[[#This Row],[P2 H]]))</f>
        <v/>
      </c>
      <c r="R66" s="172" t="str">
        <f>IF(PositionH[[#This Row],[P3 H]]=0,"",IF(PositionH[[#This Row],[P3 H]]="","",PositionH[[#This Row],[P3 S H]]/PositionH[[#This Row],[P3 H]]))</f>
        <v/>
      </c>
      <c r="S66" s="172" t="str">
        <f>IF(PositionH[[#This Row],[P4 H]]=0,"",IF(PositionH[[#This Row],[P4 H]]="","",PositionH[[#This Row],[P4 S H]]/PositionH[[#This Row],[P4 H]]))</f>
        <v/>
      </c>
      <c r="T66" s="172" t="str">
        <f>IF(PositionH[[#This Row],[P5 H]]=0,"",IF(PositionH[[#This Row],[P5 H]]="","",PositionH[[#This Row],[P5 S H]]/PositionH[[#This Row],[P5 H]]))</f>
        <v/>
      </c>
      <c r="U66" s="172">
        <f>IF(PositionH[[#This Row],[P6 H]]=0,"",IF(PositionH[[#This Row],[P6 H]]="","",PositionH[[#This Row],[P6 S H]]/PositionH[[#This Row],[P6 H]]))</f>
        <v>1</v>
      </c>
      <c r="V66"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[6]</v>
      </c>
      <c r="W66" s="129">
        <f>IF(PositionH[[#This Row],[HP H]]="","",MAX(PositionH[[#This Row],[P1 H]:[P6 H]]))</f>
        <v>1</v>
      </c>
      <c r="X66"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[6]</v>
      </c>
      <c r="Y66" s="172">
        <f>IF(PositionH[[#This Row],[Spiele H]]="","",MAX(PositionH[[#This Row],[P1 % H]:[P6 % H]]))</f>
        <v>1</v>
      </c>
    </row>
    <row r="67" spans="2:25" x14ac:dyDescent="0.3">
      <c r="B67" s="129" t="str">
        <f t="shared" si="0"/>
        <v>Heike Scholz</v>
      </c>
      <c r="C67" s="129">
        <f>VLOOKUP(PositionH[[#This Row],[Name H]],AuswertungH[],4,FALSE)</f>
        <v>3</v>
      </c>
      <c r="D67" s="129">
        <f>IF(PositionH[[#This Row],[Spiele H]]="","",COUNTIFS(Eingabe[Name],PositionH[[#This Row],[Name H]],Eingabe[Position],1,Eingabe[Wo],"H"))</f>
        <v>0</v>
      </c>
      <c r="E67" s="129">
        <f>IF(PositionH[[#This Row],[Spiele H]]="","",COUNTIFS(Eingabe[Name],PositionH[[#This Row],[Name H]],Eingabe[Position],2,Eingabe[Wo],"H"))</f>
        <v>1</v>
      </c>
      <c r="F67" s="129">
        <f>IF(PositionH[[#This Row],[Spiele H]]="","",COUNTIFS(Eingabe[Name],PositionH[[#This Row],[Name H]],Eingabe[Position],3,Eingabe[Wo],"H"))</f>
        <v>0</v>
      </c>
      <c r="G67" s="129">
        <f>IF(PositionH[[#This Row],[Spiele H]]="","",COUNTIFS(Eingabe[Name],PositionH[[#This Row],[Name H]],Eingabe[Position],4,Eingabe[Wo],"H"))</f>
        <v>1</v>
      </c>
      <c r="H67" s="129">
        <f>IF(PositionH[[#This Row],[Spiele H]]="","",COUNTIFS(Eingabe[Name],PositionH[[#This Row],[Name H]],Eingabe[Position],5,Eingabe[Wo],"H"))</f>
        <v>1</v>
      </c>
      <c r="I67" s="129">
        <f>IF(PositionH[[#This Row],[Spiele H]]="","",COUNTIFS(Eingabe[Name],PositionH[[#This Row],[Name H]],Eingabe[Position],6,Eingabe[Wo],"H"))</f>
        <v>0</v>
      </c>
      <c r="J67" s="129">
        <f>IF(PositionH[[#This Row],[P1 H]]="","",COUNTIFS(Eingabe[Position],1,Eingabe[MP],1,Eingabe[Name],PositionH[[#This Row],[Name H]],Eingabe[Wo],"H"))</f>
        <v>0</v>
      </c>
      <c r="K67" s="129">
        <f>IF(PositionH[[#This Row],[P2 H]]="","",COUNTIFS(Eingabe[Position],2,Eingabe[MP],1,Eingabe[Name],PositionH[[#This Row],[Name H]],Eingabe[Wo],"H"))</f>
        <v>1</v>
      </c>
      <c r="L67" s="129">
        <f>IF(PositionH[[#This Row],[P3 H]]="","",COUNTIFS(Eingabe[Position],3,Eingabe[MP],1,Eingabe[Name],PositionH[[#This Row],[Name H]],Eingabe[Wo],"H"))</f>
        <v>0</v>
      </c>
      <c r="M67" s="129">
        <f>IF(PositionH[[#This Row],[P4 H]]="","",COUNTIFS(Eingabe[Position],4,Eingabe[MP],1,Eingabe[Name],PositionH[[#This Row],[Name H]],Eingabe[Wo],"H"))</f>
        <v>1</v>
      </c>
      <c r="N67" s="129">
        <f>IF(PositionH[[#This Row],[P5 H]]="","",COUNTIFS(Eingabe[Position],5,Eingabe[MP],1,Eingabe[Name],PositionH[[#This Row],[Name H]],Eingabe[Wo],"H"))</f>
        <v>0</v>
      </c>
      <c r="O67" s="129">
        <f>IF(PositionH[[#This Row],[P6 H]]="","",COUNTIFS(Eingabe[Position],6,Eingabe[MP],1,Eingabe[Name],PositionH[[#This Row],[Name H]],Eingabe[Wo],"H"))</f>
        <v>0</v>
      </c>
      <c r="P67" s="172" t="str">
        <f>IF(PositionH[[#This Row],[P1 H]]=0,"",IF(PositionH[[#This Row],[P1 H]]="","",PositionH[[#This Row],[P1 S H]]/PositionH[[#This Row],[P1 H]]))</f>
        <v/>
      </c>
      <c r="Q67" s="172">
        <f>IF(PositionH[[#This Row],[P2 H]]=0,"",IF(PositionH[[#This Row],[P2 H]]="","",PositionH[[#This Row],[P2 S H]]/PositionH[[#This Row],[P2 H]]))</f>
        <v>1</v>
      </c>
      <c r="R67" s="172" t="str">
        <f>IF(PositionH[[#This Row],[P3 H]]=0,"",IF(PositionH[[#This Row],[P3 H]]="","",PositionH[[#This Row],[P3 S H]]/PositionH[[#This Row],[P3 H]]))</f>
        <v/>
      </c>
      <c r="S67" s="172">
        <f>IF(PositionH[[#This Row],[P4 H]]=0,"",IF(PositionH[[#This Row],[P4 H]]="","",PositionH[[#This Row],[P4 S H]]/PositionH[[#This Row],[P4 H]]))</f>
        <v>1</v>
      </c>
      <c r="T67" s="172">
        <f>IF(PositionH[[#This Row],[P5 H]]=0,"",IF(PositionH[[#This Row],[P5 H]]="","",PositionH[[#This Row],[P5 S H]]/PositionH[[#This Row],[P5 H]]))</f>
        <v>0</v>
      </c>
      <c r="U67" s="172" t="str">
        <f>IF(PositionH[[#This Row],[P6 H]]=0,"",IF(PositionH[[#This Row],[P6 H]]="","",PositionH[[#This Row],[P6 S H]]/PositionH[[#This Row],[P6 H]]))</f>
        <v/>
      </c>
      <c r="V67"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[2][4][5]</v>
      </c>
      <c r="W67" s="129">
        <f>IF(PositionH[[#This Row],[HP H]]="","",MAX(PositionH[[#This Row],[P1 H]:[P6 H]]))</f>
        <v>1</v>
      </c>
      <c r="X67"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[2][4]</v>
      </c>
      <c r="Y67" s="172">
        <f>IF(PositionH[[#This Row],[Spiele H]]="","",MAX(PositionH[[#This Row],[P1 % H]:[P6 % H]]))</f>
        <v>1</v>
      </c>
    </row>
    <row r="68" spans="2:25" x14ac:dyDescent="0.3">
      <c r="B68" s="129" t="str">
        <f t="shared" si="0"/>
        <v>Heiko Fuhrmann</v>
      </c>
      <c r="C68" s="129">
        <f>VLOOKUP(PositionH[[#This Row],[Name H]],AuswertungH[],4,FALSE)</f>
        <v>8</v>
      </c>
      <c r="D68" s="129">
        <f>IF(PositionH[[#This Row],[Spiele H]]="","",COUNTIFS(Eingabe[Name],PositionH[[#This Row],[Name H]],Eingabe[Position],1,Eingabe[Wo],"H"))</f>
        <v>0</v>
      </c>
      <c r="E68" s="129">
        <f>IF(PositionH[[#This Row],[Spiele H]]="","",COUNTIFS(Eingabe[Name],PositionH[[#This Row],[Name H]],Eingabe[Position],2,Eingabe[Wo],"H"))</f>
        <v>1</v>
      </c>
      <c r="F68" s="129">
        <f>IF(PositionH[[#This Row],[Spiele H]]="","",COUNTIFS(Eingabe[Name],PositionH[[#This Row],[Name H]],Eingabe[Position],3,Eingabe[Wo],"H"))</f>
        <v>0</v>
      </c>
      <c r="G68" s="129">
        <f>IF(PositionH[[#This Row],[Spiele H]]="","",COUNTIFS(Eingabe[Name],PositionH[[#This Row],[Name H]],Eingabe[Position],4,Eingabe[Wo],"H"))</f>
        <v>0</v>
      </c>
      <c r="H68" s="129">
        <f>IF(PositionH[[#This Row],[Spiele H]]="","",COUNTIFS(Eingabe[Name],PositionH[[#This Row],[Name H]],Eingabe[Position],5,Eingabe[Wo],"H"))</f>
        <v>0</v>
      </c>
      <c r="I68" s="129">
        <f>IF(PositionH[[#This Row],[Spiele H]]="","",COUNTIFS(Eingabe[Name],PositionH[[#This Row],[Name H]],Eingabe[Position],6,Eingabe[Wo],"H"))</f>
        <v>7</v>
      </c>
      <c r="J68" s="129">
        <f>IF(PositionH[[#This Row],[P1 H]]="","",COUNTIFS(Eingabe[Position],1,Eingabe[MP],1,Eingabe[Name],PositionH[[#This Row],[Name H]],Eingabe[Wo],"H"))</f>
        <v>0</v>
      </c>
      <c r="K68" s="129">
        <f>IF(PositionH[[#This Row],[P2 H]]="","",COUNTIFS(Eingabe[Position],2,Eingabe[MP],1,Eingabe[Name],PositionH[[#This Row],[Name H]],Eingabe[Wo],"H"))</f>
        <v>1</v>
      </c>
      <c r="L68" s="129">
        <f>IF(PositionH[[#This Row],[P3 H]]="","",COUNTIFS(Eingabe[Position],3,Eingabe[MP],1,Eingabe[Name],PositionH[[#This Row],[Name H]],Eingabe[Wo],"H"))</f>
        <v>0</v>
      </c>
      <c r="M68" s="129">
        <f>IF(PositionH[[#This Row],[P4 H]]="","",COUNTIFS(Eingabe[Position],4,Eingabe[MP],1,Eingabe[Name],PositionH[[#This Row],[Name H]],Eingabe[Wo],"H"))</f>
        <v>0</v>
      </c>
      <c r="N68" s="129">
        <f>IF(PositionH[[#This Row],[P5 H]]="","",COUNTIFS(Eingabe[Position],5,Eingabe[MP],1,Eingabe[Name],PositionH[[#This Row],[Name H]],Eingabe[Wo],"H"))</f>
        <v>0</v>
      </c>
      <c r="O68" s="129">
        <f>IF(PositionH[[#This Row],[P6 H]]="","",COUNTIFS(Eingabe[Position],6,Eingabe[MP],1,Eingabe[Name],PositionH[[#This Row],[Name H]],Eingabe[Wo],"H"))</f>
        <v>2</v>
      </c>
      <c r="P68" s="172" t="str">
        <f>IF(PositionH[[#This Row],[P1 H]]=0,"",IF(PositionH[[#This Row],[P1 H]]="","",PositionH[[#This Row],[P1 S H]]/PositionH[[#This Row],[P1 H]]))</f>
        <v/>
      </c>
      <c r="Q68" s="172">
        <f>IF(PositionH[[#This Row],[P2 H]]=0,"",IF(PositionH[[#This Row],[P2 H]]="","",PositionH[[#This Row],[P2 S H]]/PositionH[[#This Row],[P2 H]]))</f>
        <v>1</v>
      </c>
      <c r="R68" s="172" t="str">
        <f>IF(PositionH[[#This Row],[P3 H]]=0,"",IF(PositionH[[#This Row],[P3 H]]="","",PositionH[[#This Row],[P3 S H]]/PositionH[[#This Row],[P3 H]]))</f>
        <v/>
      </c>
      <c r="S68" s="172" t="str">
        <f>IF(PositionH[[#This Row],[P4 H]]=0,"",IF(PositionH[[#This Row],[P4 H]]="","",PositionH[[#This Row],[P4 S H]]/PositionH[[#This Row],[P4 H]]))</f>
        <v/>
      </c>
      <c r="T68" s="172" t="str">
        <f>IF(PositionH[[#This Row],[P5 H]]=0,"",IF(PositionH[[#This Row],[P5 H]]="","",PositionH[[#This Row],[P5 S H]]/PositionH[[#This Row],[P5 H]]))</f>
        <v/>
      </c>
      <c r="U68" s="172">
        <f>IF(PositionH[[#This Row],[P6 H]]=0,"",IF(PositionH[[#This Row],[P6 H]]="","",PositionH[[#This Row],[P6 S H]]/PositionH[[#This Row],[P6 H]]))</f>
        <v>0.2857142857142857</v>
      </c>
      <c r="V68"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[6]</v>
      </c>
      <c r="W68" s="129">
        <f>IF(PositionH[[#This Row],[HP H]]="","",MAX(PositionH[[#This Row],[P1 H]:[P6 H]]))</f>
        <v>7</v>
      </c>
      <c r="X68"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[2]</v>
      </c>
      <c r="Y68" s="172">
        <f>IF(PositionH[[#This Row],[Spiele H]]="","",MAX(PositionH[[#This Row],[P1 % H]:[P6 % H]]))</f>
        <v>1</v>
      </c>
    </row>
    <row r="69" spans="2:25" x14ac:dyDescent="0.3">
      <c r="B69" s="129" t="str">
        <f t="shared" si="0"/>
        <v>Heiko Wüstling</v>
      </c>
      <c r="C69" s="129" t="str">
        <f>VLOOKUP(PositionH[[#This Row],[Name H]],AuswertungH[],4,FALSE)</f>
        <v/>
      </c>
      <c r="D69" s="129" t="str">
        <f>IF(PositionH[[#This Row],[Spiele H]]="","",COUNTIFS(Eingabe[Name],PositionH[[#This Row],[Name H]],Eingabe[Position],1,Eingabe[Wo],"H"))</f>
        <v/>
      </c>
      <c r="E69" s="129" t="str">
        <f>IF(PositionH[[#This Row],[Spiele H]]="","",COUNTIFS(Eingabe[Name],PositionH[[#This Row],[Name H]],Eingabe[Position],2,Eingabe[Wo],"H"))</f>
        <v/>
      </c>
      <c r="F69" s="129" t="str">
        <f>IF(PositionH[[#This Row],[Spiele H]]="","",COUNTIFS(Eingabe[Name],PositionH[[#This Row],[Name H]],Eingabe[Position],3,Eingabe[Wo],"H"))</f>
        <v/>
      </c>
      <c r="G69" s="129" t="str">
        <f>IF(PositionH[[#This Row],[Spiele H]]="","",COUNTIFS(Eingabe[Name],PositionH[[#This Row],[Name H]],Eingabe[Position],4,Eingabe[Wo],"H"))</f>
        <v/>
      </c>
      <c r="H69" s="129" t="str">
        <f>IF(PositionH[[#This Row],[Spiele H]]="","",COUNTIFS(Eingabe[Name],PositionH[[#This Row],[Name H]],Eingabe[Position],5,Eingabe[Wo],"H"))</f>
        <v/>
      </c>
      <c r="I69" s="129" t="str">
        <f>IF(PositionH[[#This Row],[Spiele H]]="","",COUNTIFS(Eingabe[Name],PositionH[[#This Row],[Name H]],Eingabe[Position],6,Eingabe[Wo],"H"))</f>
        <v/>
      </c>
      <c r="J69" s="129" t="str">
        <f>IF(PositionH[[#This Row],[P1 H]]="","",COUNTIFS(Eingabe[Position],1,Eingabe[MP],1,Eingabe[Name],PositionH[[#This Row],[Name H]],Eingabe[Wo],"H"))</f>
        <v/>
      </c>
      <c r="K69" s="129" t="str">
        <f>IF(PositionH[[#This Row],[P2 H]]="","",COUNTIFS(Eingabe[Position],2,Eingabe[MP],1,Eingabe[Name],PositionH[[#This Row],[Name H]],Eingabe[Wo],"H"))</f>
        <v/>
      </c>
      <c r="L69" s="129" t="str">
        <f>IF(PositionH[[#This Row],[P3 H]]="","",COUNTIFS(Eingabe[Position],3,Eingabe[MP],1,Eingabe[Name],PositionH[[#This Row],[Name H]],Eingabe[Wo],"H"))</f>
        <v/>
      </c>
      <c r="M69" s="129" t="str">
        <f>IF(PositionH[[#This Row],[P4 H]]="","",COUNTIFS(Eingabe[Position],4,Eingabe[MP],1,Eingabe[Name],PositionH[[#This Row],[Name H]],Eingabe[Wo],"H"))</f>
        <v/>
      </c>
      <c r="N69" s="129" t="str">
        <f>IF(PositionH[[#This Row],[P5 H]]="","",COUNTIFS(Eingabe[Position],5,Eingabe[MP],1,Eingabe[Name],PositionH[[#This Row],[Name H]],Eingabe[Wo],"H"))</f>
        <v/>
      </c>
      <c r="O69" s="129" t="str">
        <f>IF(PositionH[[#This Row],[P6 H]]="","",COUNTIFS(Eingabe[Position],6,Eingabe[MP],1,Eingabe[Name],PositionH[[#This Row],[Name H]],Eingabe[Wo],"H"))</f>
        <v/>
      </c>
      <c r="P69" s="172" t="str">
        <f>IF(PositionH[[#This Row],[P1 H]]=0,"",IF(PositionH[[#This Row],[P1 H]]="","",PositionH[[#This Row],[P1 S H]]/PositionH[[#This Row],[P1 H]]))</f>
        <v/>
      </c>
      <c r="Q69" s="172" t="str">
        <f>IF(PositionH[[#This Row],[P2 H]]=0,"",IF(PositionH[[#This Row],[P2 H]]="","",PositionH[[#This Row],[P2 S H]]/PositionH[[#This Row],[P2 H]]))</f>
        <v/>
      </c>
      <c r="R69" s="172" t="str">
        <f>IF(PositionH[[#This Row],[P3 H]]=0,"",IF(PositionH[[#This Row],[P3 H]]="","",PositionH[[#This Row],[P3 S H]]/PositionH[[#This Row],[P3 H]]))</f>
        <v/>
      </c>
      <c r="S69" s="172" t="str">
        <f>IF(PositionH[[#This Row],[P4 H]]=0,"",IF(PositionH[[#This Row],[P4 H]]="","",PositionH[[#This Row],[P4 S H]]/PositionH[[#This Row],[P4 H]]))</f>
        <v/>
      </c>
      <c r="T69" s="172" t="str">
        <f>IF(PositionH[[#This Row],[P5 H]]=0,"",IF(PositionH[[#This Row],[P5 H]]="","",PositionH[[#This Row],[P5 S H]]/PositionH[[#This Row],[P5 H]]))</f>
        <v/>
      </c>
      <c r="U69" s="172" t="str">
        <f>IF(PositionH[[#This Row],[P6 H]]=0,"",IF(PositionH[[#This Row],[P6 H]]="","",PositionH[[#This Row],[P6 S H]]/PositionH[[#This Row],[P6 H]]))</f>
        <v/>
      </c>
      <c r="V69"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69" s="129" t="str">
        <f>IF(PositionH[[#This Row],[HP H]]="","",MAX(PositionH[[#This Row],[P1 H]:[P6 H]]))</f>
        <v/>
      </c>
      <c r="X69"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69" s="172" t="str">
        <f>IF(PositionH[[#This Row],[Spiele H]]="","",MAX(PositionH[[#This Row],[P1 % H]:[P6 % H]]))</f>
        <v/>
      </c>
    </row>
    <row r="70" spans="2:25" x14ac:dyDescent="0.3">
      <c r="B70" s="129" t="str">
        <f t="shared" si="0"/>
        <v>Jens Starke</v>
      </c>
      <c r="C70" s="129">
        <f>VLOOKUP(PositionH[[#This Row],[Name H]],AuswertungH[],4,FALSE)</f>
        <v>2</v>
      </c>
      <c r="D70" s="129">
        <f>IF(PositionH[[#This Row],[Spiele H]]="","",COUNTIFS(Eingabe[Name],PositionH[[#This Row],[Name H]],Eingabe[Position],1,Eingabe[Wo],"H"))</f>
        <v>0</v>
      </c>
      <c r="E70" s="129">
        <f>IF(PositionH[[#This Row],[Spiele H]]="","",COUNTIFS(Eingabe[Name],PositionH[[#This Row],[Name H]],Eingabe[Position],2,Eingabe[Wo],"H"))</f>
        <v>1</v>
      </c>
      <c r="F70" s="129">
        <f>IF(PositionH[[#This Row],[Spiele H]]="","",COUNTIFS(Eingabe[Name],PositionH[[#This Row],[Name H]],Eingabe[Position],3,Eingabe[Wo],"H"))</f>
        <v>0</v>
      </c>
      <c r="G70" s="129">
        <f>IF(PositionH[[#This Row],[Spiele H]]="","",COUNTIFS(Eingabe[Name],PositionH[[#This Row],[Name H]],Eingabe[Position],4,Eingabe[Wo],"H"))</f>
        <v>1</v>
      </c>
      <c r="H70" s="129">
        <f>IF(PositionH[[#This Row],[Spiele H]]="","",COUNTIFS(Eingabe[Name],PositionH[[#This Row],[Name H]],Eingabe[Position],5,Eingabe[Wo],"H"))</f>
        <v>0</v>
      </c>
      <c r="I70" s="129">
        <f>IF(PositionH[[#This Row],[Spiele H]]="","",COUNTIFS(Eingabe[Name],PositionH[[#This Row],[Name H]],Eingabe[Position],6,Eingabe[Wo],"H"))</f>
        <v>0</v>
      </c>
      <c r="J70" s="129">
        <f>IF(PositionH[[#This Row],[P1 H]]="","",COUNTIFS(Eingabe[Position],1,Eingabe[MP],1,Eingabe[Name],PositionH[[#This Row],[Name H]],Eingabe[Wo],"H"))</f>
        <v>0</v>
      </c>
      <c r="K70" s="129">
        <f>IF(PositionH[[#This Row],[P2 H]]="","",COUNTIFS(Eingabe[Position],2,Eingabe[MP],1,Eingabe[Name],PositionH[[#This Row],[Name H]],Eingabe[Wo],"H"))</f>
        <v>1</v>
      </c>
      <c r="L70" s="129">
        <f>IF(PositionH[[#This Row],[P3 H]]="","",COUNTIFS(Eingabe[Position],3,Eingabe[MP],1,Eingabe[Name],PositionH[[#This Row],[Name H]],Eingabe[Wo],"H"))</f>
        <v>0</v>
      </c>
      <c r="M70" s="129">
        <f>IF(PositionH[[#This Row],[P4 H]]="","",COUNTIFS(Eingabe[Position],4,Eingabe[MP],1,Eingabe[Name],PositionH[[#This Row],[Name H]],Eingabe[Wo],"H"))</f>
        <v>1</v>
      </c>
      <c r="N70" s="129">
        <f>IF(PositionH[[#This Row],[P5 H]]="","",COUNTIFS(Eingabe[Position],5,Eingabe[MP],1,Eingabe[Name],PositionH[[#This Row],[Name H]],Eingabe[Wo],"H"))</f>
        <v>0</v>
      </c>
      <c r="O70" s="129">
        <f>IF(PositionH[[#This Row],[P6 H]]="","",COUNTIFS(Eingabe[Position],6,Eingabe[MP],1,Eingabe[Name],PositionH[[#This Row],[Name H]],Eingabe[Wo],"H"))</f>
        <v>0</v>
      </c>
      <c r="P70" s="172" t="str">
        <f>IF(PositionH[[#This Row],[P1 H]]=0,"",IF(PositionH[[#This Row],[P1 H]]="","",PositionH[[#This Row],[P1 S H]]/PositionH[[#This Row],[P1 H]]))</f>
        <v/>
      </c>
      <c r="Q70" s="172">
        <f>IF(PositionH[[#This Row],[P2 H]]=0,"",IF(PositionH[[#This Row],[P2 H]]="","",PositionH[[#This Row],[P2 S H]]/PositionH[[#This Row],[P2 H]]))</f>
        <v>1</v>
      </c>
      <c r="R70" s="172" t="str">
        <f>IF(PositionH[[#This Row],[P3 H]]=0,"",IF(PositionH[[#This Row],[P3 H]]="","",PositionH[[#This Row],[P3 S H]]/PositionH[[#This Row],[P3 H]]))</f>
        <v/>
      </c>
      <c r="S70" s="172">
        <f>IF(PositionH[[#This Row],[P4 H]]=0,"",IF(PositionH[[#This Row],[P4 H]]="","",PositionH[[#This Row],[P4 S H]]/PositionH[[#This Row],[P4 H]]))</f>
        <v>1</v>
      </c>
      <c r="T70" s="172" t="str">
        <f>IF(PositionH[[#This Row],[P5 H]]=0,"",IF(PositionH[[#This Row],[P5 H]]="","",PositionH[[#This Row],[P5 S H]]/PositionH[[#This Row],[P5 H]]))</f>
        <v/>
      </c>
      <c r="U70" s="172" t="str">
        <f>IF(PositionH[[#This Row],[P6 H]]=0,"",IF(PositionH[[#This Row],[P6 H]]="","",PositionH[[#This Row],[P6 S H]]/PositionH[[#This Row],[P6 H]]))</f>
        <v/>
      </c>
      <c r="V70"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[2][4]</v>
      </c>
      <c r="W70" s="129">
        <f>IF(PositionH[[#This Row],[HP H]]="","",MAX(PositionH[[#This Row],[P1 H]:[P6 H]]))</f>
        <v>1</v>
      </c>
      <c r="X70"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[2][4]</v>
      </c>
      <c r="Y70" s="172">
        <f>IF(PositionH[[#This Row],[Spiele H]]="","",MAX(PositionH[[#This Row],[P1 % H]:[P6 % H]]))</f>
        <v>1</v>
      </c>
    </row>
    <row r="71" spans="2:25" x14ac:dyDescent="0.3">
      <c r="B71" s="129" t="str">
        <f t="shared" si="0"/>
        <v>Jörg Nötzel</v>
      </c>
      <c r="C71" s="129">
        <f>VLOOKUP(PositionH[[#This Row],[Name H]],AuswertungH[],4,FALSE)</f>
        <v>1</v>
      </c>
      <c r="D71" s="129">
        <f>IF(PositionH[[#This Row],[Spiele H]]="","",COUNTIFS(Eingabe[Name],PositionH[[#This Row],[Name H]],Eingabe[Position],1,Eingabe[Wo],"H"))</f>
        <v>0</v>
      </c>
      <c r="E71" s="129">
        <f>IF(PositionH[[#This Row],[Spiele H]]="","",COUNTIFS(Eingabe[Name],PositionH[[#This Row],[Name H]],Eingabe[Position],2,Eingabe[Wo],"H"))</f>
        <v>0</v>
      </c>
      <c r="F71" s="129">
        <f>IF(PositionH[[#This Row],[Spiele H]]="","",COUNTIFS(Eingabe[Name],PositionH[[#This Row],[Name H]],Eingabe[Position],3,Eingabe[Wo],"H"))</f>
        <v>0</v>
      </c>
      <c r="G71" s="129">
        <f>IF(PositionH[[#This Row],[Spiele H]]="","",COUNTIFS(Eingabe[Name],PositionH[[#This Row],[Name H]],Eingabe[Position],4,Eingabe[Wo],"H"))</f>
        <v>0</v>
      </c>
      <c r="H71" s="129">
        <f>IF(PositionH[[#This Row],[Spiele H]]="","",COUNTIFS(Eingabe[Name],PositionH[[#This Row],[Name H]],Eingabe[Position],5,Eingabe[Wo],"H"))</f>
        <v>0</v>
      </c>
      <c r="I71" s="129">
        <f>IF(PositionH[[#This Row],[Spiele H]]="","",COUNTIFS(Eingabe[Name],PositionH[[#This Row],[Name H]],Eingabe[Position],6,Eingabe[Wo],"H"))</f>
        <v>1</v>
      </c>
      <c r="J71" s="129">
        <f>IF(PositionH[[#This Row],[P1 H]]="","",COUNTIFS(Eingabe[Position],1,Eingabe[MP],1,Eingabe[Name],PositionH[[#This Row],[Name H]],Eingabe[Wo],"H"))</f>
        <v>0</v>
      </c>
      <c r="K71" s="129">
        <f>IF(PositionH[[#This Row],[P2 H]]="","",COUNTIFS(Eingabe[Position],2,Eingabe[MP],1,Eingabe[Name],PositionH[[#This Row],[Name H]],Eingabe[Wo],"H"))</f>
        <v>0</v>
      </c>
      <c r="L71" s="129">
        <f>IF(PositionH[[#This Row],[P3 H]]="","",COUNTIFS(Eingabe[Position],3,Eingabe[MP],1,Eingabe[Name],PositionH[[#This Row],[Name H]],Eingabe[Wo],"H"))</f>
        <v>0</v>
      </c>
      <c r="M71" s="129">
        <f>IF(PositionH[[#This Row],[P4 H]]="","",COUNTIFS(Eingabe[Position],4,Eingabe[MP],1,Eingabe[Name],PositionH[[#This Row],[Name H]],Eingabe[Wo],"H"))</f>
        <v>0</v>
      </c>
      <c r="N71" s="129">
        <f>IF(PositionH[[#This Row],[P5 H]]="","",COUNTIFS(Eingabe[Position],5,Eingabe[MP],1,Eingabe[Name],PositionH[[#This Row],[Name H]],Eingabe[Wo],"H"))</f>
        <v>0</v>
      </c>
      <c r="O71" s="129">
        <f>IF(PositionH[[#This Row],[P6 H]]="","",COUNTIFS(Eingabe[Position],6,Eingabe[MP],1,Eingabe[Name],PositionH[[#This Row],[Name H]],Eingabe[Wo],"H"))</f>
        <v>1</v>
      </c>
      <c r="P71" s="172" t="str">
        <f>IF(PositionH[[#This Row],[P1 H]]=0,"",IF(PositionH[[#This Row],[P1 H]]="","",PositionH[[#This Row],[P1 S H]]/PositionH[[#This Row],[P1 H]]))</f>
        <v/>
      </c>
      <c r="Q71" s="172" t="str">
        <f>IF(PositionH[[#This Row],[P2 H]]=0,"",IF(PositionH[[#This Row],[P2 H]]="","",PositionH[[#This Row],[P2 S H]]/PositionH[[#This Row],[P2 H]]))</f>
        <v/>
      </c>
      <c r="R71" s="172" t="str">
        <f>IF(PositionH[[#This Row],[P3 H]]=0,"",IF(PositionH[[#This Row],[P3 H]]="","",PositionH[[#This Row],[P3 S H]]/PositionH[[#This Row],[P3 H]]))</f>
        <v/>
      </c>
      <c r="S71" s="172" t="str">
        <f>IF(PositionH[[#This Row],[P4 H]]=0,"",IF(PositionH[[#This Row],[P4 H]]="","",PositionH[[#This Row],[P4 S H]]/PositionH[[#This Row],[P4 H]]))</f>
        <v/>
      </c>
      <c r="T71" s="172" t="str">
        <f>IF(PositionH[[#This Row],[P5 H]]=0,"",IF(PositionH[[#This Row],[P5 H]]="","",PositionH[[#This Row],[P5 S H]]/PositionH[[#This Row],[P5 H]]))</f>
        <v/>
      </c>
      <c r="U71" s="172">
        <f>IF(PositionH[[#This Row],[P6 H]]=0,"",IF(PositionH[[#This Row],[P6 H]]="","",PositionH[[#This Row],[P6 S H]]/PositionH[[#This Row],[P6 H]]))</f>
        <v>1</v>
      </c>
      <c r="V71"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[6]</v>
      </c>
      <c r="W71" s="129">
        <f>IF(PositionH[[#This Row],[HP H]]="","",MAX(PositionH[[#This Row],[P1 H]:[P6 H]]))</f>
        <v>1</v>
      </c>
      <c r="X71"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[6]</v>
      </c>
      <c r="Y71" s="172">
        <f>IF(PositionH[[#This Row],[Spiele H]]="","",MAX(PositionH[[#This Row],[P1 % H]:[P6 % H]]))</f>
        <v>1</v>
      </c>
    </row>
    <row r="72" spans="2:25" x14ac:dyDescent="0.3">
      <c r="B72" s="129" t="str">
        <f t="shared" si="0"/>
        <v>Katrin Fiedler</v>
      </c>
      <c r="C72" s="129" t="str">
        <f>VLOOKUP(PositionH[[#This Row],[Name H]],AuswertungH[],4,FALSE)</f>
        <v/>
      </c>
      <c r="D72" s="129" t="str">
        <f>IF(PositionH[[#This Row],[Spiele H]]="","",COUNTIFS(Eingabe[Name],PositionH[[#This Row],[Name H]],Eingabe[Position],1,Eingabe[Wo],"H"))</f>
        <v/>
      </c>
      <c r="E72" s="129" t="str">
        <f>IF(PositionH[[#This Row],[Spiele H]]="","",COUNTIFS(Eingabe[Name],PositionH[[#This Row],[Name H]],Eingabe[Position],2,Eingabe[Wo],"H"))</f>
        <v/>
      </c>
      <c r="F72" s="129" t="str">
        <f>IF(PositionH[[#This Row],[Spiele H]]="","",COUNTIFS(Eingabe[Name],PositionH[[#This Row],[Name H]],Eingabe[Position],3,Eingabe[Wo],"H"))</f>
        <v/>
      </c>
      <c r="G72" s="129" t="str">
        <f>IF(PositionH[[#This Row],[Spiele H]]="","",COUNTIFS(Eingabe[Name],PositionH[[#This Row],[Name H]],Eingabe[Position],4,Eingabe[Wo],"H"))</f>
        <v/>
      </c>
      <c r="H72" s="129" t="str">
        <f>IF(PositionH[[#This Row],[Spiele H]]="","",COUNTIFS(Eingabe[Name],PositionH[[#This Row],[Name H]],Eingabe[Position],5,Eingabe[Wo],"H"))</f>
        <v/>
      </c>
      <c r="I72" s="129" t="str">
        <f>IF(PositionH[[#This Row],[Spiele H]]="","",COUNTIFS(Eingabe[Name],PositionH[[#This Row],[Name H]],Eingabe[Position],6,Eingabe[Wo],"H"))</f>
        <v/>
      </c>
      <c r="J72" s="129" t="str">
        <f>IF(PositionH[[#This Row],[P1 H]]="","",COUNTIFS(Eingabe[Position],1,Eingabe[MP],1,Eingabe[Name],PositionH[[#This Row],[Name H]],Eingabe[Wo],"H"))</f>
        <v/>
      </c>
      <c r="K72" s="129" t="str">
        <f>IF(PositionH[[#This Row],[P2 H]]="","",COUNTIFS(Eingabe[Position],2,Eingabe[MP],1,Eingabe[Name],PositionH[[#This Row],[Name H]],Eingabe[Wo],"H"))</f>
        <v/>
      </c>
      <c r="L72" s="129" t="str">
        <f>IF(PositionH[[#This Row],[P3 H]]="","",COUNTIFS(Eingabe[Position],3,Eingabe[MP],1,Eingabe[Name],PositionH[[#This Row],[Name H]],Eingabe[Wo],"H"))</f>
        <v/>
      </c>
      <c r="M72" s="129" t="str">
        <f>IF(PositionH[[#This Row],[P4 H]]="","",COUNTIFS(Eingabe[Position],4,Eingabe[MP],1,Eingabe[Name],PositionH[[#This Row],[Name H]],Eingabe[Wo],"H"))</f>
        <v/>
      </c>
      <c r="N72" s="129" t="str">
        <f>IF(PositionH[[#This Row],[P5 H]]="","",COUNTIFS(Eingabe[Position],5,Eingabe[MP],1,Eingabe[Name],PositionH[[#This Row],[Name H]],Eingabe[Wo],"H"))</f>
        <v/>
      </c>
      <c r="O72" s="129" t="str">
        <f>IF(PositionH[[#This Row],[P6 H]]="","",COUNTIFS(Eingabe[Position],6,Eingabe[MP],1,Eingabe[Name],PositionH[[#This Row],[Name H]],Eingabe[Wo],"H"))</f>
        <v/>
      </c>
      <c r="P72" s="172" t="str">
        <f>IF(PositionH[[#This Row],[P1 H]]=0,"",IF(PositionH[[#This Row],[P1 H]]="","",PositionH[[#This Row],[P1 S H]]/PositionH[[#This Row],[P1 H]]))</f>
        <v/>
      </c>
      <c r="Q72" s="172" t="str">
        <f>IF(PositionH[[#This Row],[P2 H]]=0,"",IF(PositionH[[#This Row],[P2 H]]="","",PositionH[[#This Row],[P2 S H]]/PositionH[[#This Row],[P2 H]]))</f>
        <v/>
      </c>
      <c r="R72" s="172" t="str">
        <f>IF(PositionH[[#This Row],[P3 H]]=0,"",IF(PositionH[[#This Row],[P3 H]]="","",PositionH[[#This Row],[P3 S H]]/PositionH[[#This Row],[P3 H]]))</f>
        <v/>
      </c>
      <c r="S72" s="172" t="str">
        <f>IF(PositionH[[#This Row],[P4 H]]=0,"",IF(PositionH[[#This Row],[P4 H]]="","",PositionH[[#This Row],[P4 S H]]/PositionH[[#This Row],[P4 H]]))</f>
        <v/>
      </c>
      <c r="T72" s="172" t="str">
        <f>IF(PositionH[[#This Row],[P5 H]]=0,"",IF(PositionH[[#This Row],[P5 H]]="","",PositionH[[#This Row],[P5 S H]]/PositionH[[#This Row],[P5 H]]))</f>
        <v/>
      </c>
      <c r="U72" s="172" t="str">
        <f>IF(PositionH[[#This Row],[P6 H]]=0,"",IF(PositionH[[#This Row],[P6 H]]="","",PositionH[[#This Row],[P6 S H]]/PositionH[[#This Row],[P6 H]]))</f>
        <v/>
      </c>
      <c r="V72"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72" s="129" t="str">
        <f>IF(PositionH[[#This Row],[HP H]]="","",MAX(PositionH[[#This Row],[P1 H]:[P6 H]]))</f>
        <v/>
      </c>
      <c r="X72"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72" s="172" t="str">
        <f>IF(PositionH[[#This Row],[Spiele H]]="","",MAX(PositionH[[#This Row],[P1 % H]:[P6 % H]]))</f>
        <v/>
      </c>
    </row>
    <row r="73" spans="2:25" x14ac:dyDescent="0.3">
      <c r="B73" s="129" t="str">
        <f t="shared" si="0"/>
        <v>Katrin Keller</v>
      </c>
      <c r="C73" s="129">
        <f>VLOOKUP(PositionH[[#This Row],[Name H]],AuswertungH[],4,FALSE)</f>
        <v>2</v>
      </c>
      <c r="D73" s="129">
        <f>IF(PositionH[[#This Row],[Spiele H]]="","",COUNTIFS(Eingabe[Name],PositionH[[#This Row],[Name H]],Eingabe[Position],1,Eingabe[Wo],"H"))</f>
        <v>1</v>
      </c>
      <c r="E73" s="129">
        <f>IF(PositionH[[#This Row],[Spiele H]]="","",COUNTIFS(Eingabe[Name],PositionH[[#This Row],[Name H]],Eingabe[Position],2,Eingabe[Wo],"H"))</f>
        <v>0</v>
      </c>
      <c r="F73" s="129">
        <f>IF(PositionH[[#This Row],[Spiele H]]="","",COUNTIFS(Eingabe[Name],PositionH[[#This Row],[Name H]],Eingabe[Position],3,Eingabe[Wo],"H"))</f>
        <v>1</v>
      </c>
      <c r="G73" s="129">
        <f>IF(PositionH[[#This Row],[Spiele H]]="","",COUNTIFS(Eingabe[Name],PositionH[[#This Row],[Name H]],Eingabe[Position],4,Eingabe[Wo],"H"))</f>
        <v>0</v>
      </c>
      <c r="H73" s="129">
        <f>IF(PositionH[[#This Row],[Spiele H]]="","",COUNTIFS(Eingabe[Name],PositionH[[#This Row],[Name H]],Eingabe[Position],5,Eingabe[Wo],"H"))</f>
        <v>0</v>
      </c>
      <c r="I73" s="129">
        <f>IF(PositionH[[#This Row],[Spiele H]]="","",COUNTIFS(Eingabe[Name],PositionH[[#This Row],[Name H]],Eingabe[Position],6,Eingabe[Wo],"H"))</f>
        <v>0</v>
      </c>
      <c r="J73" s="129">
        <f>IF(PositionH[[#This Row],[P1 H]]="","",COUNTIFS(Eingabe[Position],1,Eingabe[MP],1,Eingabe[Name],PositionH[[#This Row],[Name H]],Eingabe[Wo],"H"))</f>
        <v>1</v>
      </c>
      <c r="K73" s="129">
        <f>IF(PositionH[[#This Row],[P2 H]]="","",COUNTIFS(Eingabe[Position],2,Eingabe[MP],1,Eingabe[Name],PositionH[[#This Row],[Name H]],Eingabe[Wo],"H"))</f>
        <v>0</v>
      </c>
      <c r="L73" s="129">
        <f>IF(PositionH[[#This Row],[P3 H]]="","",COUNTIFS(Eingabe[Position],3,Eingabe[MP],1,Eingabe[Name],PositionH[[#This Row],[Name H]],Eingabe[Wo],"H"))</f>
        <v>1</v>
      </c>
      <c r="M73" s="129">
        <f>IF(PositionH[[#This Row],[P4 H]]="","",COUNTIFS(Eingabe[Position],4,Eingabe[MP],1,Eingabe[Name],PositionH[[#This Row],[Name H]],Eingabe[Wo],"H"))</f>
        <v>0</v>
      </c>
      <c r="N73" s="129">
        <f>IF(PositionH[[#This Row],[P5 H]]="","",COUNTIFS(Eingabe[Position],5,Eingabe[MP],1,Eingabe[Name],PositionH[[#This Row],[Name H]],Eingabe[Wo],"H"))</f>
        <v>0</v>
      </c>
      <c r="O73" s="129">
        <f>IF(PositionH[[#This Row],[P6 H]]="","",COUNTIFS(Eingabe[Position],6,Eingabe[MP],1,Eingabe[Name],PositionH[[#This Row],[Name H]],Eingabe[Wo],"H"))</f>
        <v>0</v>
      </c>
      <c r="P73" s="172">
        <f>IF(PositionH[[#This Row],[P1 H]]=0,"",IF(PositionH[[#This Row],[P1 H]]="","",PositionH[[#This Row],[P1 S H]]/PositionH[[#This Row],[P1 H]]))</f>
        <v>1</v>
      </c>
      <c r="Q73" s="172" t="str">
        <f>IF(PositionH[[#This Row],[P2 H]]=0,"",IF(PositionH[[#This Row],[P2 H]]="","",PositionH[[#This Row],[P2 S H]]/PositionH[[#This Row],[P2 H]]))</f>
        <v/>
      </c>
      <c r="R73" s="172">
        <f>IF(PositionH[[#This Row],[P3 H]]=0,"",IF(PositionH[[#This Row],[P3 H]]="","",PositionH[[#This Row],[P3 S H]]/PositionH[[#This Row],[P3 H]]))</f>
        <v>1</v>
      </c>
      <c r="S73" s="172" t="str">
        <f>IF(PositionH[[#This Row],[P4 H]]=0,"",IF(PositionH[[#This Row],[P4 H]]="","",PositionH[[#This Row],[P4 S H]]/PositionH[[#This Row],[P4 H]]))</f>
        <v/>
      </c>
      <c r="T73" s="172" t="str">
        <f>IF(PositionH[[#This Row],[P5 H]]=0,"",IF(PositionH[[#This Row],[P5 H]]="","",PositionH[[#This Row],[P5 S H]]/PositionH[[#This Row],[P5 H]]))</f>
        <v/>
      </c>
      <c r="U73" s="172" t="str">
        <f>IF(PositionH[[#This Row],[P6 H]]=0,"",IF(PositionH[[#This Row],[P6 H]]="","",PositionH[[#This Row],[P6 S H]]/PositionH[[#This Row],[P6 H]]))</f>
        <v/>
      </c>
      <c r="V73"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[1][3]</v>
      </c>
      <c r="W73" s="129">
        <f>IF(PositionH[[#This Row],[HP H]]="","",MAX(PositionH[[#This Row],[P1 H]:[P6 H]]))</f>
        <v>1</v>
      </c>
      <c r="X73"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[1][3]</v>
      </c>
      <c r="Y73" s="172">
        <f>IF(PositionH[[#This Row],[Spiele H]]="","",MAX(PositionH[[#This Row],[P1 % H]:[P6 % H]]))</f>
        <v>1</v>
      </c>
    </row>
    <row r="74" spans="2:25" x14ac:dyDescent="0.3">
      <c r="B74" s="129" t="str">
        <f t="shared" si="0"/>
        <v>Konrad Scheller</v>
      </c>
      <c r="C74" s="129" t="str">
        <f>VLOOKUP(PositionH[[#This Row],[Name H]],AuswertungH[],4,FALSE)</f>
        <v/>
      </c>
      <c r="D74" s="129" t="str">
        <f>IF(PositionH[[#This Row],[Spiele H]]="","",COUNTIFS(Eingabe[Name],PositionH[[#This Row],[Name H]],Eingabe[Position],1,Eingabe[Wo],"H"))</f>
        <v/>
      </c>
      <c r="E74" s="129" t="str">
        <f>IF(PositionH[[#This Row],[Spiele H]]="","",COUNTIFS(Eingabe[Name],PositionH[[#This Row],[Name H]],Eingabe[Position],2,Eingabe[Wo],"H"))</f>
        <v/>
      </c>
      <c r="F74" s="129" t="str">
        <f>IF(PositionH[[#This Row],[Spiele H]]="","",COUNTIFS(Eingabe[Name],PositionH[[#This Row],[Name H]],Eingabe[Position],3,Eingabe[Wo],"H"))</f>
        <v/>
      </c>
      <c r="G74" s="129" t="str">
        <f>IF(PositionH[[#This Row],[Spiele H]]="","",COUNTIFS(Eingabe[Name],PositionH[[#This Row],[Name H]],Eingabe[Position],4,Eingabe[Wo],"H"))</f>
        <v/>
      </c>
      <c r="H74" s="129" t="str">
        <f>IF(PositionH[[#This Row],[Spiele H]]="","",COUNTIFS(Eingabe[Name],PositionH[[#This Row],[Name H]],Eingabe[Position],5,Eingabe[Wo],"H"))</f>
        <v/>
      </c>
      <c r="I74" s="129" t="str">
        <f>IF(PositionH[[#This Row],[Spiele H]]="","",COUNTIFS(Eingabe[Name],PositionH[[#This Row],[Name H]],Eingabe[Position],6,Eingabe[Wo],"H"))</f>
        <v/>
      </c>
      <c r="J74" s="129" t="str">
        <f>IF(PositionH[[#This Row],[P1 H]]="","",COUNTIFS(Eingabe[Position],1,Eingabe[MP],1,Eingabe[Name],PositionH[[#This Row],[Name H]],Eingabe[Wo],"H"))</f>
        <v/>
      </c>
      <c r="K74" s="129" t="str">
        <f>IF(PositionH[[#This Row],[P2 H]]="","",COUNTIFS(Eingabe[Position],2,Eingabe[MP],1,Eingabe[Name],PositionH[[#This Row],[Name H]],Eingabe[Wo],"H"))</f>
        <v/>
      </c>
      <c r="L74" s="129" t="str">
        <f>IF(PositionH[[#This Row],[P3 H]]="","",COUNTIFS(Eingabe[Position],3,Eingabe[MP],1,Eingabe[Name],PositionH[[#This Row],[Name H]],Eingabe[Wo],"H"))</f>
        <v/>
      </c>
      <c r="M74" s="129" t="str">
        <f>IF(PositionH[[#This Row],[P4 H]]="","",COUNTIFS(Eingabe[Position],4,Eingabe[MP],1,Eingabe[Name],PositionH[[#This Row],[Name H]],Eingabe[Wo],"H"))</f>
        <v/>
      </c>
      <c r="N74" s="129" t="str">
        <f>IF(PositionH[[#This Row],[P5 H]]="","",COUNTIFS(Eingabe[Position],5,Eingabe[MP],1,Eingabe[Name],PositionH[[#This Row],[Name H]],Eingabe[Wo],"H"))</f>
        <v/>
      </c>
      <c r="O74" s="129" t="str">
        <f>IF(PositionH[[#This Row],[P6 H]]="","",COUNTIFS(Eingabe[Position],6,Eingabe[MP],1,Eingabe[Name],PositionH[[#This Row],[Name H]],Eingabe[Wo],"H"))</f>
        <v/>
      </c>
      <c r="P74" s="172" t="str">
        <f>IF(PositionH[[#This Row],[P1 H]]=0,"",IF(PositionH[[#This Row],[P1 H]]="","",PositionH[[#This Row],[P1 S H]]/PositionH[[#This Row],[P1 H]]))</f>
        <v/>
      </c>
      <c r="Q74" s="172" t="str">
        <f>IF(PositionH[[#This Row],[P2 H]]=0,"",IF(PositionH[[#This Row],[P2 H]]="","",PositionH[[#This Row],[P2 S H]]/PositionH[[#This Row],[P2 H]]))</f>
        <v/>
      </c>
      <c r="R74" s="172" t="str">
        <f>IF(PositionH[[#This Row],[P3 H]]=0,"",IF(PositionH[[#This Row],[P3 H]]="","",PositionH[[#This Row],[P3 S H]]/PositionH[[#This Row],[P3 H]]))</f>
        <v/>
      </c>
      <c r="S74" s="172" t="str">
        <f>IF(PositionH[[#This Row],[P4 H]]=0,"",IF(PositionH[[#This Row],[P4 H]]="","",PositionH[[#This Row],[P4 S H]]/PositionH[[#This Row],[P4 H]]))</f>
        <v/>
      </c>
      <c r="T74" s="172" t="str">
        <f>IF(PositionH[[#This Row],[P5 H]]=0,"",IF(PositionH[[#This Row],[P5 H]]="","",PositionH[[#This Row],[P5 S H]]/PositionH[[#This Row],[P5 H]]))</f>
        <v/>
      </c>
      <c r="U74" s="172" t="str">
        <f>IF(PositionH[[#This Row],[P6 H]]=0,"",IF(PositionH[[#This Row],[P6 H]]="","",PositionH[[#This Row],[P6 S H]]/PositionH[[#This Row],[P6 H]]))</f>
        <v/>
      </c>
      <c r="V74"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74" s="129" t="str">
        <f>IF(PositionH[[#This Row],[HP H]]="","",MAX(PositionH[[#This Row],[P1 H]:[P6 H]]))</f>
        <v/>
      </c>
      <c r="X74"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74" s="172" t="str">
        <f>IF(PositionH[[#This Row],[Spiele H]]="","",MAX(PositionH[[#This Row],[P1 % H]:[P6 % H]]))</f>
        <v/>
      </c>
    </row>
    <row r="75" spans="2:25" x14ac:dyDescent="0.3">
      <c r="B75" s="129" t="str">
        <f t="shared" ref="B75:B103" si="1">B23</f>
        <v>Lea Meinert</v>
      </c>
      <c r="C75" s="129">
        <f>VLOOKUP(PositionH[[#This Row],[Name H]],AuswertungH[],4,FALSE)</f>
        <v>2</v>
      </c>
      <c r="D75" s="129">
        <f>IF(PositionH[[#This Row],[Spiele H]]="","",COUNTIFS(Eingabe[Name],PositionH[[#This Row],[Name H]],Eingabe[Position],1,Eingabe[Wo],"H"))</f>
        <v>0</v>
      </c>
      <c r="E75" s="129">
        <f>IF(PositionH[[#This Row],[Spiele H]]="","",COUNTIFS(Eingabe[Name],PositionH[[#This Row],[Name H]],Eingabe[Position],2,Eingabe[Wo],"H"))</f>
        <v>1</v>
      </c>
      <c r="F75" s="129">
        <f>IF(PositionH[[#This Row],[Spiele H]]="","",COUNTIFS(Eingabe[Name],PositionH[[#This Row],[Name H]],Eingabe[Position],3,Eingabe[Wo],"H"))</f>
        <v>0</v>
      </c>
      <c r="G75" s="129">
        <f>IF(PositionH[[#This Row],[Spiele H]]="","",COUNTIFS(Eingabe[Name],PositionH[[#This Row],[Name H]],Eingabe[Position],4,Eingabe[Wo],"H"))</f>
        <v>1</v>
      </c>
      <c r="H75" s="129">
        <f>IF(PositionH[[#This Row],[Spiele H]]="","",COUNTIFS(Eingabe[Name],PositionH[[#This Row],[Name H]],Eingabe[Position],5,Eingabe[Wo],"H"))</f>
        <v>0</v>
      </c>
      <c r="I75" s="129">
        <f>IF(PositionH[[#This Row],[Spiele H]]="","",COUNTIFS(Eingabe[Name],PositionH[[#This Row],[Name H]],Eingabe[Position],6,Eingabe[Wo],"H"))</f>
        <v>0</v>
      </c>
      <c r="J75" s="129">
        <f>IF(PositionH[[#This Row],[P1 H]]="","",COUNTIFS(Eingabe[Position],1,Eingabe[MP],1,Eingabe[Name],PositionH[[#This Row],[Name H]],Eingabe[Wo],"H"))</f>
        <v>0</v>
      </c>
      <c r="K75" s="129">
        <f>IF(PositionH[[#This Row],[P2 H]]="","",COUNTIFS(Eingabe[Position],2,Eingabe[MP],1,Eingabe[Name],PositionH[[#This Row],[Name H]],Eingabe[Wo],"H"))</f>
        <v>1</v>
      </c>
      <c r="L75" s="129">
        <f>IF(PositionH[[#This Row],[P3 H]]="","",COUNTIFS(Eingabe[Position],3,Eingabe[MP],1,Eingabe[Name],PositionH[[#This Row],[Name H]],Eingabe[Wo],"H"))</f>
        <v>0</v>
      </c>
      <c r="M75" s="129">
        <f>IF(PositionH[[#This Row],[P4 H]]="","",COUNTIFS(Eingabe[Position],4,Eingabe[MP],1,Eingabe[Name],PositionH[[#This Row],[Name H]],Eingabe[Wo],"H"))</f>
        <v>1</v>
      </c>
      <c r="N75" s="129">
        <f>IF(PositionH[[#This Row],[P5 H]]="","",COUNTIFS(Eingabe[Position],5,Eingabe[MP],1,Eingabe[Name],PositionH[[#This Row],[Name H]],Eingabe[Wo],"H"))</f>
        <v>0</v>
      </c>
      <c r="O75" s="129">
        <f>IF(PositionH[[#This Row],[P6 H]]="","",COUNTIFS(Eingabe[Position],6,Eingabe[MP],1,Eingabe[Name],PositionH[[#This Row],[Name H]],Eingabe[Wo],"H"))</f>
        <v>0</v>
      </c>
      <c r="P75" s="172" t="str">
        <f>IF(PositionH[[#This Row],[P1 H]]=0,"",IF(PositionH[[#This Row],[P1 H]]="","",PositionH[[#This Row],[P1 S H]]/PositionH[[#This Row],[P1 H]]))</f>
        <v/>
      </c>
      <c r="Q75" s="172">
        <f>IF(PositionH[[#This Row],[P2 H]]=0,"",IF(PositionH[[#This Row],[P2 H]]="","",PositionH[[#This Row],[P2 S H]]/PositionH[[#This Row],[P2 H]]))</f>
        <v>1</v>
      </c>
      <c r="R75" s="172" t="str">
        <f>IF(PositionH[[#This Row],[P3 H]]=0,"",IF(PositionH[[#This Row],[P3 H]]="","",PositionH[[#This Row],[P3 S H]]/PositionH[[#This Row],[P3 H]]))</f>
        <v/>
      </c>
      <c r="S75" s="172">
        <f>IF(PositionH[[#This Row],[P4 H]]=0,"",IF(PositionH[[#This Row],[P4 H]]="","",PositionH[[#This Row],[P4 S H]]/PositionH[[#This Row],[P4 H]]))</f>
        <v>1</v>
      </c>
      <c r="T75" s="172" t="str">
        <f>IF(PositionH[[#This Row],[P5 H]]=0,"",IF(PositionH[[#This Row],[P5 H]]="","",PositionH[[#This Row],[P5 S H]]/PositionH[[#This Row],[P5 H]]))</f>
        <v/>
      </c>
      <c r="U75" s="172" t="str">
        <f>IF(PositionH[[#This Row],[P6 H]]=0,"",IF(PositionH[[#This Row],[P6 H]]="","",PositionH[[#This Row],[P6 S H]]/PositionH[[#This Row],[P6 H]]))</f>
        <v/>
      </c>
      <c r="V75"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[2][4]</v>
      </c>
      <c r="W75" s="129">
        <f>IF(PositionH[[#This Row],[HP H]]="","",MAX(PositionH[[#This Row],[P1 H]:[P6 H]]))</f>
        <v>1</v>
      </c>
      <c r="X75"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[2][4]</v>
      </c>
      <c r="Y75" s="172">
        <f>IF(PositionH[[#This Row],[Spiele H]]="","",MAX(PositionH[[#This Row],[P1 % H]:[P6 % H]]))</f>
        <v>1</v>
      </c>
    </row>
    <row r="76" spans="2:25" x14ac:dyDescent="0.3">
      <c r="B76" s="129" t="str">
        <f t="shared" si="1"/>
        <v>Lisa Marutschke</v>
      </c>
      <c r="C76" s="129" t="str">
        <f>VLOOKUP(PositionH[[#This Row],[Name H]],AuswertungH[],4,FALSE)</f>
        <v/>
      </c>
      <c r="D76" s="129" t="str">
        <f>IF(PositionH[[#This Row],[Spiele H]]="","",COUNTIFS(Eingabe[Name],PositionH[[#This Row],[Name H]],Eingabe[Position],1,Eingabe[Wo],"H"))</f>
        <v/>
      </c>
      <c r="E76" s="129" t="str">
        <f>IF(PositionH[[#This Row],[Spiele H]]="","",COUNTIFS(Eingabe[Name],PositionH[[#This Row],[Name H]],Eingabe[Position],2,Eingabe[Wo],"H"))</f>
        <v/>
      </c>
      <c r="F76" s="129" t="str">
        <f>IF(PositionH[[#This Row],[Spiele H]]="","",COUNTIFS(Eingabe[Name],PositionH[[#This Row],[Name H]],Eingabe[Position],3,Eingabe[Wo],"H"))</f>
        <v/>
      </c>
      <c r="G76" s="129" t="str">
        <f>IF(PositionH[[#This Row],[Spiele H]]="","",COUNTIFS(Eingabe[Name],PositionH[[#This Row],[Name H]],Eingabe[Position],4,Eingabe[Wo],"H"))</f>
        <v/>
      </c>
      <c r="H76" s="129" t="str">
        <f>IF(PositionH[[#This Row],[Spiele H]]="","",COUNTIFS(Eingabe[Name],PositionH[[#This Row],[Name H]],Eingabe[Position],5,Eingabe[Wo],"H"))</f>
        <v/>
      </c>
      <c r="I76" s="129" t="str">
        <f>IF(PositionH[[#This Row],[Spiele H]]="","",COUNTIFS(Eingabe[Name],PositionH[[#This Row],[Name H]],Eingabe[Position],6,Eingabe[Wo],"H"))</f>
        <v/>
      </c>
      <c r="J76" s="129" t="str">
        <f>IF(PositionH[[#This Row],[P1 H]]="","",COUNTIFS(Eingabe[Position],1,Eingabe[MP],1,Eingabe[Name],PositionH[[#This Row],[Name H]],Eingabe[Wo],"H"))</f>
        <v/>
      </c>
      <c r="K76" s="129" t="str">
        <f>IF(PositionH[[#This Row],[P2 H]]="","",COUNTIFS(Eingabe[Position],2,Eingabe[MP],1,Eingabe[Name],PositionH[[#This Row],[Name H]],Eingabe[Wo],"H"))</f>
        <v/>
      </c>
      <c r="L76" s="129" t="str">
        <f>IF(PositionH[[#This Row],[P3 H]]="","",COUNTIFS(Eingabe[Position],3,Eingabe[MP],1,Eingabe[Name],PositionH[[#This Row],[Name H]],Eingabe[Wo],"H"))</f>
        <v/>
      </c>
      <c r="M76" s="129" t="str">
        <f>IF(PositionH[[#This Row],[P4 H]]="","",COUNTIFS(Eingabe[Position],4,Eingabe[MP],1,Eingabe[Name],PositionH[[#This Row],[Name H]],Eingabe[Wo],"H"))</f>
        <v/>
      </c>
      <c r="N76" s="129" t="str">
        <f>IF(PositionH[[#This Row],[P5 H]]="","",COUNTIFS(Eingabe[Position],5,Eingabe[MP],1,Eingabe[Name],PositionH[[#This Row],[Name H]],Eingabe[Wo],"H"))</f>
        <v/>
      </c>
      <c r="O76" s="129" t="str">
        <f>IF(PositionH[[#This Row],[P6 H]]="","",COUNTIFS(Eingabe[Position],6,Eingabe[MP],1,Eingabe[Name],PositionH[[#This Row],[Name H]],Eingabe[Wo],"H"))</f>
        <v/>
      </c>
      <c r="P76" s="172" t="str">
        <f>IF(PositionH[[#This Row],[P1 H]]=0,"",IF(PositionH[[#This Row],[P1 H]]="","",PositionH[[#This Row],[P1 S H]]/PositionH[[#This Row],[P1 H]]))</f>
        <v/>
      </c>
      <c r="Q76" s="172" t="str">
        <f>IF(PositionH[[#This Row],[P2 H]]=0,"",IF(PositionH[[#This Row],[P2 H]]="","",PositionH[[#This Row],[P2 S H]]/PositionH[[#This Row],[P2 H]]))</f>
        <v/>
      </c>
      <c r="R76" s="172" t="str">
        <f>IF(PositionH[[#This Row],[P3 H]]=0,"",IF(PositionH[[#This Row],[P3 H]]="","",PositionH[[#This Row],[P3 S H]]/PositionH[[#This Row],[P3 H]]))</f>
        <v/>
      </c>
      <c r="S76" s="172" t="str">
        <f>IF(PositionH[[#This Row],[P4 H]]=0,"",IF(PositionH[[#This Row],[P4 H]]="","",PositionH[[#This Row],[P4 S H]]/PositionH[[#This Row],[P4 H]]))</f>
        <v/>
      </c>
      <c r="T76" s="172" t="str">
        <f>IF(PositionH[[#This Row],[P5 H]]=0,"",IF(PositionH[[#This Row],[P5 H]]="","",PositionH[[#This Row],[P5 S H]]/PositionH[[#This Row],[P5 H]]))</f>
        <v/>
      </c>
      <c r="U76" s="172" t="str">
        <f>IF(PositionH[[#This Row],[P6 H]]=0,"",IF(PositionH[[#This Row],[P6 H]]="","",PositionH[[#This Row],[P6 S H]]/PositionH[[#This Row],[P6 H]]))</f>
        <v/>
      </c>
      <c r="V76"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76" s="129" t="str">
        <f>IF(PositionH[[#This Row],[HP H]]="","",MAX(PositionH[[#This Row],[P1 H]:[P6 H]]))</f>
        <v/>
      </c>
      <c r="X76"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76" s="172" t="str">
        <f>IF(PositionH[[#This Row],[Spiele H]]="","",MAX(PositionH[[#This Row],[P1 % H]:[P6 % H]]))</f>
        <v/>
      </c>
    </row>
    <row r="77" spans="2:25" x14ac:dyDescent="0.3">
      <c r="B77" s="129" t="str">
        <f t="shared" si="1"/>
        <v>Luca Landau</v>
      </c>
      <c r="C77" s="129" t="str">
        <f>VLOOKUP(PositionH[[#This Row],[Name H]],AuswertungH[],4,FALSE)</f>
        <v/>
      </c>
      <c r="D77" s="129" t="str">
        <f>IF(PositionH[[#This Row],[Spiele H]]="","",COUNTIFS(Eingabe[Name],PositionH[[#This Row],[Name H]],Eingabe[Position],1,Eingabe[Wo],"H"))</f>
        <v/>
      </c>
      <c r="E77" s="129" t="str">
        <f>IF(PositionH[[#This Row],[Spiele H]]="","",COUNTIFS(Eingabe[Name],PositionH[[#This Row],[Name H]],Eingabe[Position],2,Eingabe[Wo],"H"))</f>
        <v/>
      </c>
      <c r="F77" s="129" t="str">
        <f>IF(PositionH[[#This Row],[Spiele H]]="","",COUNTIFS(Eingabe[Name],PositionH[[#This Row],[Name H]],Eingabe[Position],3,Eingabe[Wo],"H"))</f>
        <v/>
      </c>
      <c r="G77" s="129" t="str">
        <f>IF(PositionH[[#This Row],[Spiele H]]="","",COUNTIFS(Eingabe[Name],PositionH[[#This Row],[Name H]],Eingabe[Position],4,Eingabe[Wo],"H"))</f>
        <v/>
      </c>
      <c r="H77" s="129" t="str">
        <f>IF(PositionH[[#This Row],[Spiele H]]="","",COUNTIFS(Eingabe[Name],PositionH[[#This Row],[Name H]],Eingabe[Position],5,Eingabe[Wo],"H"))</f>
        <v/>
      </c>
      <c r="I77" s="129" t="str">
        <f>IF(PositionH[[#This Row],[Spiele H]]="","",COUNTIFS(Eingabe[Name],PositionH[[#This Row],[Name H]],Eingabe[Position],6,Eingabe[Wo],"H"))</f>
        <v/>
      </c>
      <c r="J77" s="129" t="str">
        <f>IF(PositionH[[#This Row],[P1 H]]="","",COUNTIFS(Eingabe[Position],1,Eingabe[MP],1,Eingabe[Name],PositionH[[#This Row],[Name H]],Eingabe[Wo],"H"))</f>
        <v/>
      </c>
      <c r="K77" s="129" t="str">
        <f>IF(PositionH[[#This Row],[P2 H]]="","",COUNTIFS(Eingabe[Position],2,Eingabe[MP],1,Eingabe[Name],PositionH[[#This Row],[Name H]],Eingabe[Wo],"H"))</f>
        <v/>
      </c>
      <c r="L77" s="129" t="str">
        <f>IF(PositionH[[#This Row],[P3 H]]="","",COUNTIFS(Eingabe[Position],3,Eingabe[MP],1,Eingabe[Name],PositionH[[#This Row],[Name H]],Eingabe[Wo],"H"))</f>
        <v/>
      </c>
      <c r="M77" s="129" t="str">
        <f>IF(PositionH[[#This Row],[P4 H]]="","",COUNTIFS(Eingabe[Position],4,Eingabe[MP],1,Eingabe[Name],PositionH[[#This Row],[Name H]],Eingabe[Wo],"H"))</f>
        <v/>
      </c>
      <c r="N77" s="129" t="str">
        <f>IF(PositionH[[#This Row],[P5 H]]="","",COUNTIFS(Eingabe[Position],5,Eingabe[MP],1,Eingabe[Name],PositionH[[#This Row],[Name H]],Eingabe[Wo],"H"))</f>
        <v/>
      </c>
      <c r="O77" s="129" t="str">
        <f>IF(PositionH[[#This Row],[P6 H]]="","",COUNTIFS(Eingabe[Position],6,Eingabe[MP],1,Eingabe[Name],PositionH[[#This Row],[Name H]],Eingabe[Wo],"H"))</f>
        <v/>
      </c>
      <c r="P77" s="172" t="str">
        <f>IF(PositionH[[#This Row],[P1 H]]=0,"",IF(PositionH[[#This Row],[P1 H]]="","",PositionH[[#This Row],[P1 S H]]/PositionH[[#This Row],[P1 H]]))</f>
        <v/>
      </c>
      <c r="Q77" s="172" t="str">
        <f>IF(PositionH[[#This Row],[P2 H]]=0,"",IF(PositionH[[#This Row],[P2 H]]="","",PositionH[[#This Row],[P2 S H]]/PositionH[[#This Row],[P2 H]]))</f>
        <v/>
      </c>
      <c r="R77" s="172" t="str">
        <f>IF(PositionH[[#This Row],[P3 H]]=0,"",IF(PositionH[[#This Row],[P3 H]]="","",PositionH[[#This Row],[P3 S H]]/PositionH[[#This Row],[P3 H]]))</f>
        <v/>
      </c>
      <c r="S77" s="172" t="str">
        <f>IF(PositionH[[#This Row],[P4 H]]=0,"",IF(PositionH[[#This Row],[P4 H]]="","",PositionH[[#This Row],[P4 S H]]/PositionH[[#This Row],[P4 H]]))</f>
        <v/>
      </c>
      <c r="T77" s="172" t="str">
        <f>IF(PositionH[[#This Row],[P5 H]]=0,"",IF(PositionH[[#This Row],[P5 H]]="","",PositionH[[#This Row],[P5 S H]]/PositionH[[#This Row],[P5 H]]))</f>
        <v/>
      </c>
      <c r="U77" s="172" t="str">
        <f>IF(PositionH[[#This Row],[P6 H]]=0,"",IF(PositionH[[#This Row],[P6 H]]="","",PositionH[[#This Row],[P6 S H]]/PositionH[[#This Row],[P6 H]]))</f>
        <v/>
      </c>
      <c r="V77"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77" s="129" t="str">
        <f>IF(PositionH[[#This Row],[HP H]]="","",MAX(PositionH[[#This Row],[P1 H]:[P6 H]]))</f>
        <v/>
      </c>
      <c r="X77"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77" s="172" t="str">
        <f>IF(PositionH[[#This Row],[Spiele H]]="","",MAX(PositionH[[#This Row],[P1 % H]:[P6 % H]]))</f>
        <v/>
      </c>
    </row>
    <row r="78" spans="2:25" x14ac:dyDescent="0.3">
      <c r="B78" s="129" t="str">
        <f t="shared" si="1"/>
        <v>Madlen Baumgarten</v>
      </c>
      <c r="C78" s="129">
        <f>VLOOKUP(PositionH[[#This Row],[Name H]],AuswertungH[],4,FALSE)</f>
        <v>2</v>
      </c>
      <c r="D78" s="129">
        <f>IF(PositionH[[#This Row],[Spiele H]]="","",COUNTIFS(Eingabe[Name],PositionH[[#This Row],[Name H]],Eingabe[Position],1,Eingabe[Wo],"H"))</f>
        <v>0</v>
      </c>
      <c r="E78" s="129">
        <f>IF(PositionH[[#This Row],[Spiele H]]="","",COUNTIFS(Eingabe[Name],PositionH[[#This Row],[Name H]],Eingabe[Position],2,Eingabe[Wo],"H"))</f>
        <v>0</v>
      </c>
      <c r="F78" s="129">
        <f>IF(PositionH[[#This Row],[Spiele H]]="","",COUNTIFS(Eingabe[Name],PositionH[[#This Row],[Name H]],Eingabe[Position],3,Eingabe[Wo],"H"))</f>
        <v>0</v>
      </c>
      <c r="G78" s="129">
        <f>IF(PositionH[[#This Row],[Spiele H]]="","",COUNTIFS(Eingabe[Name],PositionH[[#This Row],[Name H]],Eingabe[Position],4,Eingabe[Wo],"H"))</f>
        <v>0</v>
      </c>
      <c r="H78" s="129">
        <f>IF(PositionH[[#This Row],[Spiele H]]="","",COUNTIFS(Eingabe[Name],PositionH[[#This Row],[Name H]],Eingabe[Position],5,Eingabe[Wo],"H"))</f>
        <v>2</v>
      </c>
      <c r="I78" s="129">
        <f>IF(PositionH[[#This Row],[Spiele H]]="","",COUNTIFS(Eingabe[Name],PositionH[[#This Row],[Name H]],Eingabe[Position],6,Eingabe[Wo],"H"))</f>
        <v>0</v>
      </c>
      <c r="J78" s="129">
        <f>IF(PositionH[[#This Row],[P1 H]]="","",COUNTIFS(Eingabe[Position],1,Eingabe[MP],1,Eingabe[Name],PositionH[[#This Row],[Name H]],Eingabe[Wo],"H"))</f>
        <v>0</v>
      </c>
      <c r="K78" s="129">
        <f>IF(PositionH[[#This Row],[P2 H]]="","",COUNTIFS(Eingabe[Position],2,Eingabe[MP],1,Eingabe[Name],PositionH[[#This Row],[Name H]],Eingabe[Wo],"H"))</f>
        <v>0</v>
      </c>
      <c r="L78" s="129">
        <f>IF(PositionH[[#This Row],[P3 H]]="","",COUNTIFS(Eingabe[Position],3,Eingabe[MP],1,Eingabe[Name],PositionH[[#This Row],[Name H]],Eingabe[Wo],"H"))</f>
        <v>0</v>
      </c>
      <c r="M78" s="129">
        <f>IF(PositionH[[#This Row],[P4 H]]="","",COUNTIFS(Eingabe[Position],4,Eingabe[MP],1,Eingabe[Name],PositionH[[#This Row],[Name H]],Eingabe[Wo],"H"))</f>
        <v>0</v>
      </c>
      <c r="N78" s="129">
        <f>IF(PositionH[[#This Row],[P5 H]]="","",COUNTIFS(Eingabe[Position],5,Eingabe[MP],1,Eingabe[Name],PositionH[[#This Row],[Name H]],Eingabe[Wo],"H"))</f>
        <v>1</v>
      </c>
      <c r="O78" s="129">
        <f>IF(PositionH[[#This Row],[P6 H]]="","",COUNTIFS(Eingabe[Position],6,Eingabe[MP],1,Eingabe[Name],PositionH[[#This Row],[Name H]],Eingabe[Wo],"H"))</f>
        <v>0</v>
      </c>
      <c r="P78" s="172" t="str">
        <f>IF(PositionH[[#This Row],[P1 H]]=0,"",IF(PositionH[[#This Row],[P1 H]]="","",PositionH[[#This Row],[P1 S H]]/PositionH[[#This Row],[P1 H]]))</f>
        <v/>
      </c>
      <c r="Q78" s="172" t="str">
        <f>IF(PositionH[[#This Row],[P2 H]]=0,"",IF(PositionH[[#This Row],[P2 H]]="","",PositionH[[#This Row],[P2 S H]]/PositionH[[#This Row],[P2 H]]))</f>
        <v/>
      </c>
      <c r="R78" s="172" t="str">
        <f>IF(PositionH[[#This Row],[P3 H]]=0,"",IF(PositionH[[#This Row],[P3 H]]="","",PositionH[[#This Row],[P3 S H]]/PositionH[[#This Row],[P3 H]]))</f>
        <v/>
      </c>
      <c r="S78" s="172" t="str">
        <f>IF(PositionH[[#This Row],[P4 H]]=0,"",IF(PositionH[[#This Row],[P4 H]]="","",PositionH[[#This Row],[P4 S H]]/PositionH[[#This Row],[P4 H]]))</f>
        <v/>
      </c>
      <c r="T78" s="172">
        <f>IF(PositionH[[#This Row],[P5 H]]=0,"",IF(PositionH[[#This Row],[P5 H]]="","",PositionH[[#This Row],[P5 S H]]/PositionH[[#This Row],[P5 H]]))</f>
        <v>0.5</v>
      </c>
      <c r="U78" s="172" t="str">
        <f>IF(PositionH[[#This Row],[P6 H]]=0,"",IF(PositionH[[#This Row],[P6 H]]="","",PositionH[[#This Row],[P6 S H]]/PositionH[[#This Row],[P6 H]]))</f>
        <v/>
      </c>
      <c r="V78"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[5]</v>
      </c>
      <c r="W78" s="129">
        <f>IF(PositionH[[#This Row],[HP H]]="","",MAX(PositionH[[#This Row],[P1 H]:[P6 H]]))</f>
        <v>2</v>
      </c>
      <c r="X78"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[5]</v>
      </c>
      <c r="Y78" s="172">
        <f>IF(PositionH[[#This Row],[Spiele H]]="","",MAX(PositionH[[#This Row],[P1 % H]:[P6 % H]]))</f>
        <v>0.5</v>
      </c>
    </row>
    <row r="79" spans="2:25" x14ac:dyDescent="0.3">
      <c r="B79" s="129" t="str">
        <f t="shared" si="1"/>
        <v>Maik Fuhrmann</v>
      </c>
      <c r="C79" s="129">
        <f>VLOOKUP(PositionH[[#This Row],[Name H]],AuswertungH[],4,FALSE)</f>
        <v>7</v>
      </c>
      <c r="D79" s="129">
        <f>IF(PositionH[[#This Row],[Spiele H]]="","",COUNTIFS(Eingabe[Name],PositionH[[#This Row],[Name H]],Eingabe[Position],1,Eingabe[Wo],"H"))</f>
        <v>5</v>
      </c>
      <c r="E79" s="129">
        <f>IF(PositionH[[#This Row],[Spiele H]]="","",COUNTIFS(Eingabe[Name],PositionH[[#This Row],[Name H]],Eingabe[Position],2,Eingabe[Wo],"H"))</f>
        <v>1</v>
      </c>
      <c r="F79" s="129">
        <f>IF(PositionH[[#This Row],[Spiele H]]="","",COUNTIFS(Eingabe[Name],PositionH[[#This Row],[Name H]],Eingabe[Position],3,Eingabe[Wo],"H"))</f>
        <v>1</v>
      </c>
      <c r="G79" s="129">
        <f>IF(PositionH[[#This Row],[Spiele H]]="","",COUNTIFS(Eingabe[Name],PositionH[[#This Row],[Name H]],Eingabe[Position],4,Eingabe[Wo],"H"))</f>
        <v>0</v>
      </c>
      <c r="H79" s="129">
        <f>IF(PositionH[[#This Row],[Spiele H]]="","",COUNTIFS(Eingabe[Name],PositionH[[#This Row],[Name H]],Eingabe[Position],5,Eingabe[Wo],"H"))</f>
        <v>0</v>
      </c>
      <c r="I79" s="129">
        <f>IF(PositionH[[#This Row],[Spiele H]]="","",COUNTIFS(Eingabe[Name],PositionH[[#This Row],[Name H]],Eingabe[Position],6,Eingabe[Wo],"H"))</f>
        <v>0</v>
      </c>
      <c r="J79" s="129">
        <f>IF(PositionH[[#This Row],[P1 H]]="","",COUNTIFS(Eingabe[Position],1,Eingabe[MP],1,Eingabe[Name],PositionH[[#This Row],[Name H]],Eingabe[Wo],"H"))</f>
        <v>4</v>
      </c>
      <c r="K79" s="129">
        <f>IF(PositionH[[#This Row],[P2 H]]="","",COUNTIFS(Eingabe[Position],2,Eingabe[MP],1,Eingabe[Name],PositionH[[#This Row],[Name H]],Eingabe[Wo],"H"))</f>
        <v>0</v>
      </c>
      <c r="L79" s="129">
        <f>IF(PositionH[[#This Row],[P3 H]]="","",COUNTIFS(Eingabe[Position],3,Eingabe[MP],1,Eingabe[Name],PositionH[[#This Row],[Name H]],Eingabe[Wo],"H"))</f>
        <v>0</v>
      </c>
      <c r="M79" s="129">
        <f>IF(PositionH[[#This Row],[P4 H]]="","",COUNTIFS(Eingabe[Position],4,Eingabe[MP],1,Eingabe[Name],PositionH[[#This Row],[Name H]],Eingabe[Wo],"H"))</f>
        <v>0</v>
      </c>
      <c r="N79" s="129">
        <f>IF(PositionH[[#This Row],[P5 H]]="","",COUNTIFS(Eingabe[Position],5,Eingabe[MP],1,Eingabe[Name],PositionH[[#This Row],[Name H]],Eingabe[Wo],"H"))</f>
        <v>0</v>
      </c>
      <c r="O79" s="129">
        <f>IF(PositionH[[#This Row],[P6 H]]="","",COUNTIFS(Eingabe[Position],6,Eingabe[MP],1,Eingabe[Name],PositionH[[#This Row],[Name H]],Eingabe[Wo],"H"))</f>
        <v>0</v>
      </c>
      <c r="P79" s="172">
        <f>IF(PositionH[[#This Row],[P1 H]]=0,"",IF(PositionH[[#This Row],[P1 H]]="","",PositionH[[#This Row],[P1 S H]]/PositionH[[#This Row],[P1 H]]))</f>
        <v>0.8</v>
      </c>
      <c r="Q79" s="172">
        <f>IF(PositionH[[#This Row],[P2 H]]=0,"",IF(PositionH[[#This Row],[P2 H]]="","",PositionH[[#This Row],[P2 S H]]/PositionH[[#This Row],[P2 H]]))</f>
        <v>0</v>
      </c>
      <c r="R79" s="172">
        <f>IF(PositionH[[#This Row],[P3 H]]=0,"",IF(PositionH[[#This Row],[P3 H]]="","",PositionH[[#This Row],[P3 S H]]/PositionH[[#This Row],[P3 H]]))</f>
        <v>0</v>
      </c>
      <c r="S79" s="172" t="str">
        <f>IF(PositionH[[#This Row],[P4 H]]=0,"",IF(PositionH[[#This Row],[P4 H]]="","",PositionH[[#This Row],[P4 S H]]/PositionH[[#This Row],[P4 H]]))</f>
        <v/>
      </c>
      <c r="T79" s="172" t="str">
        <f>IF(PositionH[[#This Row],[P5 H]]=0,"",IF(PositionH[[#This Row],[P5 H]]="","",PositionH[[#This Row],[P5 S H]]/PositionH[[#This Row],[P5 H]]))</f>
        <v/>
      </c>
      <c r="U79" s="172" t="str">
        <f>IF(PositionH[[#This Row],[P6 H]]=0,"",IF(PositionH[[#This Row],[P6 H]]="","",PositionH[[#This Row],[P6 S H]]/PositionH[[#This Row],[P6 H]]))</f>
        <v/>
      </c>
      <c r="V79"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[1]</v>
      </c>
      <c r="W79" s="129">
        <f>IF(PositionH[[#This Row],[HP H]]="","",MAX(PositionH[[#This Row],[P1 H]:[P6 H]]))</f>
        <v>5</v>
      </c>
      <c r="X79"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[1]</v>
      </c>
      <c r="Y79" s="172">
        <f>IF(PositionH[[#This Row],[Spiele H]]="","",MAX(PositionH[[#This Row],[P1 % H]:[P6 % H]]))</f>
        <v>0.8</v>
      </c>
    </row>
    <row r="80" spans="2:25" x14ac:dyDescent="0.3">
      <c r="B80" s="129" t="str">
        <f t="shared" si="1"/>
        <v>Marcel Giese</v>
      </c>
      <c r="C80" s="129">
        <f>VLOOKUP(PositionH[[#This Row],[Name H]],AuswertungH[],4,FALSE)</f>
        <v>1</v>
      </c>
      <c r="D80" s="129">
        <f>IF(PositionH[[#This Row],[Spiele H]]="","",COUNTIFS(Eingabe[Name],PositionH[[#This Row],[Name H]],Eingabe[Position],1,Eingabe[Wo],"H"))</f>
        <v>0</v>
      </c>
      <c r="E80" s="129">
        <f>IF(PositionH[[#This Row],[Spiele H]]="","",COUNTIFS(Eingabe[Name],PositionH[[#This Row],[Name H]],Eingabe[Position],2,Eingabe[Wo],"H"))</f>
        <v>1</v>
      </c>
      <c r="F80" s="129">
        <f>IF(PositionH[[#This Row],[Spiele H]]="","",COUNTIFS(Eingabe[Name],PositionH[[#This Row],[Name H]],Eingabe[Position],3,Eingabe[Wo],"H"))</f>
        <v>0</v>
      </c>
      <c r="G80" s="129">
        <f>IF(PositionH[[#This Row],[Spiele H]]="","",COUNTIFS(Eingabe[Name],PositionH[[#This Row],[Name H]],Eingabe[Position],4,Eingabe[Wo],"H"))</f>
        <v>0</v>
      </c>
      <c r="H80" s="129">
        <f>IF(PositionH[[#This Row],[Spiele H]]="","",COUNTIFS(Eingabe[Name],PositionH[[#This Row],[Name H]],Eingabe[Position],5,Eingabe[Wo],"H"))</f>
        <v>0</v>
      </c>
      <c r="I80" s="129">
        <f>IF(PositionH[[#This Row],[Spiele H]]="","",COUNTIFS(Eingabe[Name],PositionH[[#This Row],[Name H]],Eingabe[Position],6,Eingabe[Wo],"H"))</f>
        <v>0</v>
      </c>
      <c r="J80" s="129">
        <f>IF(PositionH[[#This Row],[P1 H]]="","",COUNTIFS(Eingabe[Position],1,Eingabe[MP],1,Eingabe[Name],PositionH[[#This Row],[Name H]],Eingabe[Wo],"H"))</f>
        <v>0</v>
      </c>
      <c r="K80" s="129">
        <f>IF(PositionH[[#This Row],[P2 H]]="","",COUNTIFS(Eingabe[Position],2,Eingabe[MP],1,Eingabe[Name],PositionH[[#This Row],[Name H]],Eingabe[Wo],"H"))</f>
        <v>0</v>
      </c>
      <c r="L80" s="129">
        <f>IF(PositionH[[#This Row],[P3 H]]="","",COUNTIFS(Eingabe[Position],3,Eingabe[MP],1,Eingabe[Name],PositionH[[#This Row],[Name H]],Eingabe[Wo],"H"))</f>
        <v>0</v>
      </c>
      <c r="M80" s="129">
        <f>IF(PositionH[[#This Row],[P4 H]]="","",COUNTIFS(Eingabe[Position],4,Eingabe[MP],1,Eingabe[Name],PositionH[[#This Row],[Name H]],Eingabe[Wo],"H"))</f>
        <v>0</v>
      </c>
      <c r="N80" s="129">
        <f>IF(PositionH[[#This Row],[P5 H]]="","",COUNTIFS(Eingabe[Position],5,Eingabe[MP],1,Eingabe[Name],PositionH[[#This Row],[Name H]],Eingabe[Wo],"H"))</f>
        <v>0</v>
      </c>
      <c r="O80" s="129">
        <f>IF(PositionH[[#This Row],[P6 H]]="","",COUNTIFS(Eingabe[Position],6,Eingabe[MP],1,Eingabe[Name],PositionH[[#This Row],[Name H]],Eingabe[Wo],"H"))</f>
        <v>0</v>
      </c>
      <c r="P80" s="172" t="str">
        <f>IF(PositionH[[#This Row],[P1 H]]=0,"",IF(PositionH[[#This Row],[P1 H]]="","",PositionH[[#This Row],[P1 S H]]/PositionH[[#This Row],[P1 H]]))</f>
        <v/>
      </c>
      <c r="Q80" s="172">
        <f>IF(PositionH[[#This Row],[P2 H]]=0,"",IF(PositionH[[#This Row],[P2 H]]="","",PositionH[[#This Row],[P2 S H]]/PositionH[[#This Row],[P2 H]]))</f>
        <v>0</v>
      </c>
      <c r="R80" s="172" t="str">
        <f>IF(PositionH[[#This Row],[P3 H]]=0,"",IF(PositionH[[#This Row],[P3 H]]="","",PositionH[[#This Row],[P3 S H]]/PositionH[[#This Row],[P3 H]]))</f>
        <v/>
      </c>
      <c r="S80" s="172" t="str">
        <f>IF(PositionH[[#This Row],[P4 H]]=0,"",IF(PositionH[[#This Row],[P4 H]]="","",PositionH[[#This Row],[P4 S H]]/PositionH[[#This Row],[P4 H]]))</f>
        <v/>
      </c>
      <c r="T80" s="172" t="str">
        <f>IF(PositionH[[#This Row],[P5 H]]=0,"",IF(PositionH[[#This Row],[P5 H]]="","",PositionH[[#This Row],[P5 S H]]/PositionH[[#This Row],[P5 H]]))</f>
        <v/>
      </c>
      <c r="U80" s="172" t="str">
        <f>IF(PositionH[[#This Row],[P6 H]]=0,"",IF(PositionH[[#This Row],[P6 H]]="","",PositionH[[#This Row],[P6 S H]]/PositionH[[#This Row],[P6 H]]))</f>
        <v/>
      </c>
      <c r="V80"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[2]</v>
      </c>
      <c r="W80" s="129">
        <f>IF(PositionH[[#This Row],[HP H]]="","",MAX(PositionH[[#This Row],[P1 H]:[P6 H]]))</f>
        <v>1</v>
      </c>
      <c r="X80"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[2]</v>
      </c>
      <c r="Y80" s="172">
        <f>IF(PositionH[[#This Row],[Spiele H]]="","",MAX(PositionH[[#This Row],[P1 % H]:[P6 % H]]))</f>
        <v>0</v>
      </c>
    </row>
    <row r="81" spans="2:25" x14ac:dyDescent="0.3">
      <c r="B81" s="129" t="str">
        <f t="shared" si="1"/>
        <v>Mario Hägemann</v>
      </c>
      <c r="C81" s="129">
        <f>VLOOKUP(PositionH[[#This Row],[Name H]],AuswertungH[],4,FALSE)</f>
        <v>5</v>
      </c>
      <c r="D81" s="129">
        <f>IF(PositionH[[#This Row],[Spiele H]]="","",COUNTIFS(Eingabe[Name],PositionH[[#This Row],[Name H]],Eingabe[Position],1,Eingabe[Wo],"H"))</f>
        <v>2</v>
      </c>
      <c r="E81" s="129">
        <f>IF(PositionH[[#This Row],[Spiele H]]="","",COUNTIFS(Eingabe[Name],PositionH[[#This Row],[Name H]],Eingabe[Position],2,Eingabe[Wo],"H"))</f>
        <v>1</v>
      </c>
      <c r="F81" s="129">
        <f>IF(PositionH[[#This Row],[Spiele H]]="","",COUNTIFS(Eingabe[Name],PositionH[[#This Row],[Name H]],Eingabe[Position],3,Eingabe[Wo],"H"))</f>
        <v>0</v>
      </c>
      <c r="G81" s="129">
        <f>IF(PositionH[[#This Row],[Spiele H]]="","",COUNTIFS(Eingabe[Name],PositionH[[#This Row],[Name H]],Eingabe[Position],4,Eingabe[Wo],"H"))</f>
        <v>1</v>
      </c>
      <c r="H81" s="129">
        <f>IF(PositionH[[#This Row],[Spiele H]]="","",COUNTIFS(Eingabe[Name],PositionH[[#This Row],[Name H]],Eingabe[Position],5,Eingabe[Wo],"H"))</f>
        <v>1</v>
      </c>
      <c r="I81" s="129">
        <f>IF(PositionH[[#This Row],[Spiele H]]="","",COUNTIFS(Eingabe[Name],PositionH[[#This Row],[Name H]],Eingabe[Position],6,Eingabe[Wo],"H"))</f>
        <v>0</v>
      </c>
      <c r="J81" s="129">
        <f>IF(PositionH[[#This Row],[P1 H]]="","",COUNTIFS(Eingabe[Position],1,Eingabe[MP],1,Eingabe[Name],PositionH[[#This Row],[Name H]],Eingabe[Wo],"H"))</f>
        <v>2</v>
      </c>
      <c r="K81" s="129">
        <f>IF(PositionH[[#This Row],[P2 H]]="","",COUNTIFS(Eingabe[Position],2,Eingabe[MP],1,Eingabe[Name],PositionH[[#This Row],[Name H]],Eingabe[Wo],"H"))</f>
        <v>1</v>
      </c>
      <c r="L81" s="129">
        <f>IF(PositionH[[#This Row],[P3 H]]="","",COUNTIFS(Eingabe[Position],3,Eingabe[MP],1,Eingabe[Name],PositionH[[#This Row],[Name H]],Eingabe[Wo],"H"))</f>
        <v>0</v>
      </c>
      <c r="M81" s="129">
        <f>IF(PositionH[[#This Row],[P4 H]]="","",COUNTIFS(Eingabe[Position],4,Eingabe[MP],1,Eingabe[Name],PositionH[[#This Row],[Name H]],Eingabe[Wo],"H"))</f>
        <v>1</v>
      </c>
      <c r="N81" s="129">
        <f>IF(PositionH[[#This Row],[P5 H]]="","",COUNTIFS(Eingabe[Position],5,Eingabe[MP],1,Eingabe[Name],PositionH[[#This Row],[Name H]],Eingabe[Wo],"H"))</f>
        <v>0</v>
      </c>
      <c r="O81" s="129">
        <f>IF(PositionH[[#This Row],[P6 H]]="","",COUNTIFS(Eingabe[Position],6,Eingabe[MP],1,Eingabe[Name],PositionH[[#This Row],[Name H]],Eingabe[Wo],"H"))</f>
        <v>0</v>
      </c>
      <c r="P81" s="172">
        <f>IF(PositionH[[#This Row],[P1 H]]=0,"",IF(PositionH[[#This Row],[P1 H]]="","",PositionH[[#This Row],[P1 S H]]/PositionH[[#This Row],[P1 H]]))</f>
        <v>1</v>
      </c>
      <c r="Q81" s="172">
        <f>IF(PositionH[[#This Row],[P2 H]]=0,"",IF(PositionH[[#This Row],[P2 H]]="","",PositionH[[#This Row],[P2 S H]]/PositionH[[#This Row],[P2 H]]))</f>
        <v>1</v>
      </c>
      <c r="R81" s="172" t="str">
        <f>IF(PositionH[[#This Row],[P3 H]]=0,"",IF(PositionH[[#This Row],[P3 H]]="","",PositionH[[#This Row],[P3 S H]]/PositionH[[#This Row],[P3 H]]))</f>
        <v/>
      </c>
      <c r="S81" s="172">
        <f>IF(PositionH[[#This Row],[P4 H]]=0,"",IF(PositionH[[#This Row],[P4 H]]="","",PositionH[[#This Row],[P4 S H]]/PositionH[[#This Row],[P4 H]]))</f>
        <v>1</v>
      </c>
      <c r="T81" s="172">
        <f>IF(PositionH[[#This Row],[P5 H]]=0,"",IF(PositionH[[#This Row],[P5 H]]="","",PositionH[[#This Row],[P5 S H]]/PositionH[[#This Row],[P5 H]]))</f>
        <v>0</v>
      </c>
      <c r="U81" s="172" t="str">
        <f>IF(PositionH[[#This Row],[P6 H]]=0,"",IF(PositionH[[#This Row],[P6 H]]="","",PositionH[[#This Row],[P6 S H]]/PositionH[[#This Row],[P6 H]]))</f>
        <v/>
      </c>
      <c r="V81"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[1]</v>
      </c>
      <c r="W81" s="129">
        <f>IF(PositionH[[#This Row],[HP H]]="","",MAX(PositionH[[#This Row],[P1 H]:[P6 H]]))</f>
        <v>2</v>
      </c>
      <c r="X81"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[1][2][4]</v>
      </c>
      <c r="Y81" s="172">
        <f>IF(PositionH[[#This Row],[Spiele H]]="","",MAX(PositionH[[#This Row],[P1 % H]:[P6 % H]]))</f>
        <v>1</v>
      </c>
    </row>
    <row r="82" spans="2:25" x14ac:dyDescent="0.3">
      <c r="B82" s="129" t="str">
        <f t="shared" si="1"/>
        <v>Markus Unvericht</v>
      </c>
      <c r="C82" s="129" t="str">
        <f>VLOOKUP(PositionH[[#This Row],[Name H]],AuswertungH[],4,FALSE)</f>
        <v/>
      </c>
      <c r="D82" s="129" t="str">
        <f>IF(PositionH[[#This Row],[Spiele H]]="","",COUNTIFS(Eingabe[Name],PositionH[[#This Row],[Name H]],Eingabe[Position],1,Eingabe[Wo],"H"))</f>
        <v/>
      </c>
      <c r="E82" s="129" t="str">
        <f>IF(PositionH[[#This Row],[Spiele H]]="","",COUNTIFS(Eingabe[Name],PositionH[[#This Row],[Name H]],Eingabe[Position],2,Eingabe[Wo],"H"))</f>
        <v/>
      </c>
      <c r="F82" s="129" t="str">
        <f>IF(PositionH[[#This Row],[Spiele H]]="","",COUNTIFS(Eingabe[Name],PositionH[[#This Row],[Name H]],Eingabe[Position],3,Eingabe[Wo],"H"))</f>
        <v/>
      </c>
      <c r="G82" s="129" t="str">
        <f>IF(PositionH[[#This Row],[Spiele H]]="","",COUNTIFS(Eingabe[Name],PositionH[[#This Row],[Name H]],Eingabe[Position],4,Eingabe[Wo],"H"))</f>
        <v/>
      </c>
      <c r="H82" s="129" t="str">
        <f>IF(PositionH[[#This Row],[Spiele H]]="","",COUNTIFS(Eingabe[Name],PositionH[[#This Row],[Name H]],Eingabe[Position],5,Eingabe[Wo],"H"))</f>
        <v/>
      </c>
      <c r="I82" s="129" t="str">
        <f>IF(PositionH[[#This Row],[Spiele H]]="","",COUNTIFS(Eingabe[Name],PositionH[[#This Row],[Name H]],Eingabe[Position],6,Eingabe[Wo],"H"))</f>
        <v/>
      </c>
      <c r="J82" s="129" t="str">
        <f>IF(PositionH[[#This Row],[P1 H]]="","",COUNTIFS(Eingabe[Position],1,Eingabe[MP],1,Eingabe[Name],PositionH[[#This Row],[Name H]],Eingabe[Wo],"H"))</f>
        <v/>
      </c>
      <c r="K82" s="129" t="str">
        <f>IF(PositionH[[#This Row],[P2 H]]="","",COUNTIFS(Eingabe[Position],2,Eingabe[MP],1,Eingabe[Name],PositionH[[#This Row],[Name H]],Eingabe[Wo],"H"))</f>
        <v/>
      </c>
      <c r="L82" s="129" t="str">
        <f>IF(PositionH[[#This Row],[P3 H]]="","",COUNTIFS(Eingabe[Position],3,Eingabe[MP],1,Eingabe[Name],PositionH[[#This Row],[Name H]],Eingabe[Wo],"H"))</f>
        <v/>
      </c>
      <c r="M82" s="129" t="str">
        <f>IF(PositionH[[#This Row],[P4 H]]="","",COUNTIFS(Eingabe[Position],4,Eingabe[MP],1,Eingabe[Name],PositionH[[#This Row],[Name H]],Eingabe[Wo],"H"))</f>
        <v/>
      </c>
      <c r="N82" s="129" t="str">
        <f>IF(PositionH[[#This Row],[P5 H]]="","",COUNTIFS(Eingabe[Position],5,Eingabe[MP],1,Eingabe[Name],PositionH[[#This Row],[Name H]],Eingabe[Wo],"H"))</f>
        <v/>
      </c>
      <c r="O82" s="129" t="str">
        <f>IF(PositionH[[#This Row],[P6 H]]="","",COUNTIFS(Eingabe[Position],6,Eingabe[MP],1,Eingabe[Name],PositionH[[#This Row],[Name H]],Eingabe[Wo],"H"))</f>
        <v/>
      </c>
      <c r="P82" s="172" t="str">
        <f>IF(PositionH[[#This Row],[P1 H]]=0,"",IF(PositionH[[#This Row],[P1 H]]="","",PositionH[[#This Row],[P1 S H]]/PositionH[[#This Row],[P1 H]]))</f>
        <v/>
      </c>
      <c r="Q82" s="172" t="str">
        <f>IF(PositionH[[#This Row],[P2 H]]=0,"",IF(PositionH[[#This Row],[P2 H]]="","",PositionH[[#This Row],[P2 S H]]/PositionH[[#This Row],[P2 H]]))</f>
        <v/>
      </c>
      <c r="R82" s="172" t="str">
        <f>IF(PositionH[[#This Row],[P3 H]]=0,"",IF(PositionH[[#This Row],[P3 H]]="","",PositionH[[#This Row],[P3 S H]]/PositionH[[#This Row],[P3 H]]))</f>
        <v/>
      </c>
      <c r="S82" s="172" t="str">
        <f>IF(PositionH[[#This Row],[P4 H]]=0,"",IF(PositionH[[#This Row],[P4 H]]="","",PositionH[[#This Row],[P4 S H]]/PositionH[[#This Row],[P4 H]]))</f>
        <v/>
      </c>
      <c r="T82" s="172" t="str">
        <f>IF(PositionH[[#This Row],[P5 H]]=0,"",IF(PositionH[[#This Row],[P5 H]]="","",PositionH[[#This Row],[P5 S H]]/PositionH[[#This Row],[P5 H]]))</f>
        <v/>
      </c>
      <c r="U82" s="172" t="str">
        <f>IF(PositionH[[#This Row],[P6 H]]=0,"",IF(PositionH[[#This Row],[P6 H]]="","",PositionH[[#This Row],[P6 S H]]/PositionH[[#This Row],[P6 H]]))</f>
        <v/>
      </c>
      <c r="V82"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82" s="129" t="str">
        <f>IF(PositionH[[#This Row],[HP H]]="","",MAX(PositionH[[#This Row],[P1 H]:[P6 H]]))</f>
        <v/>
      </c>
      <c r="X82"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82" s="172" t="str">
        <f>IF(PositionH[[#This Row],[Spiele H]]="","",MAX(PositionH[[#This Row],[P1 % H]:[P6 % H]]))</f>
        <v/>
      </c>
    </row>
    <row r="83" spans="2:25" x14ac:dyDescent="0.3">
      <c r="B83" s="129" t="str">
        <f t="shared" si="1"/>
        <v>Martin Börner</v>
      </c>
      <c r="C83" s="129" t="str">
        <f>VLOOKUP(PositionH[[#This Row],[Name H]],AuswertungH[],4,FALSE)</f>
        <v/>
      </c>
      <c r="D83" s="129" t="str">
        <f>IF(PositionH[[#This Row],[Spiele H]]="","",COUNTIFS(Eingabe[Name],PositionH[[#This Row],[Name H]],Eingabe[Position],1,Eingabe[Wo],"H"))</f>
        <v/>
      </c>
      <c r="E83" s="129" t="str">
        <f>IF(PositionH[[#This Row],[Spiele H]]="","",COUNTIFS(Eingabe[Name],PositionH[[#This Row],[Name H]],Eingabe[Position],2,Eingabe[Wo],"H"))</f>
        <v/>
      </c>
      <c r="F83" s="129" t="str">
        <f>IF(PositionH[[#This Row],[Spiele H]]="","",COUNTIFS(Eingabe[Name],PositionH[[#This Row],[Name H]],Eingabe[Position],3,Eingabe[Wo],"H"))</f>
        <v/>
      </c>
      <c r="G83" s="129" t="str">
        <f>IF(PositionH[[#This Row],[Spiele H]]="","",COUNTIFS(Eingabe[Name],PositionH[[#This Row],[Name H]],Eingabe[Position],4,Eingabe[Wo],"H"))</f>
        <v/>
      </c>
      <c r="H83" s="129" t="str">
        <f>IF(PositionH[[#This Row],[Spiele H]]="","",COUNTIFS(Eingabe[Name],PositionH[[#This Row],[Name H]],Eingabe[Position],5,Eingabe[Wo],"H"))</f>
        <v/>
      </c>
      <c r="I83" s="129" t="str">
        <f>IF(PositionH[[#This Row],[Spiele H]]="","",COUNTIFS(Eingabe[Name],PositionH[[#This Row],[Name H]],Eingabe[Position],6,Eingabe[Wo],"H"))</f>
        <v/>
      </c>
      <c r="J83" s="129" t="str">
        <f>IF(PositionH[[#This Row],[P1 H]]="","",COUNTIFS(Eingabe[Position],1,Eingabe[MP],1,Eingabe[Name],PositionH[[#This Row],[Name H]],Eingabe[Wo],"H"))</f>
        <v/>
      </c>
      <c r="K83" s="129" t="str">
        <f>IF(PositionH[[#This Row],[P2 H]]="","",COUNTIFS(Eingabe[Position],2,Eingabe[MP],1,Eingabe[Name],PositionH[[#This Row],[Name H]],Eingabe[Wo],"H"))</f>
        <v/>
      </c>
      <c r="L83" s="129" t="str">
        <f>IF(PositionH[[#This Row],[P3 H]]="","",COUNTIFS(Eingabe[Position],3,Eingabe[MP],1,Eingabe[Name],PositionH[[#This Row],[Name H]],Eingabe[Wo],"H"))</f>
        <v/>
      </c>
      <c r="M83" s="129" t="str">
        <f>IF(PositionH[[#This Row],[P4 H]]="","",COUNTIFS(Eingabe[Position],4,Eingabe[MP],1,Eingabe[Name],PositionH[[#This Row],[Name H]],Eingabe[Wo],"H"))</f>
        <v/>
      </c>
      <c r="N83" s="129" t="str">
        <f>IF(PositionH[[#This Row],[P5 H]]="","",COUNTIFS(Eingabe[Position],5,Eingabe[MP],1,Eingabe[Name],PositionH[[#This Row],[Name H]],Eingabe[Wo],"H"))</f>
        <v/>
      </c>
      <c r="O83" s="129" t="str">
        <f>IF(PositionH[[#This Row],[P6 H]]="","",COUNTIFS(Eingabe[Position],6,Eingabe[MP],1,Eingabe[Name],PositionH[[#This Row],[Name H]],Eingabe[Wo],"H"))</f>
        <v/>
      </c>
      <c r="P83" s="172" t="str">
        <f>IF(PositionH[[#This Row],[P1 H]]=0,"",IF(PositionH[[#This Row],[P1 H]]="","",PositionH[[#This Row],[P1 S H]]/PositionH[[#This Row],[P1 H]]))</f>
        <v/>
      </c>
      <c r="Q83" s="172" t="str">
        <f>IF(PositionH[[#This Row],[P2 H]]=0,"",IF(PositionH[[#This Row],[P2 H]]="","",PositionH[[#This Row],[P2 S H]]/PositionH[[#This Row],[P2 H]]))</f>
        <v/>
      </c>
      <c r="R83" s="172" t="str">
        <f>IF(PositionH[[#This Row],[P3 H]]=0,"",IF(PositionH[[#This Row],[P3 H]]="","",PositionH[[#This Row],[P3 S H]]/PositionH[[#This Row],[P3 H]]))</f>
        <v/>
      </c>
      <c r="S83" s="172" t="str">
        <f>IF(PositionH[[#This Row],[P4 H]]=0,"",IF(PositionH[[#This Row],[P4 H]]="","",PositionH[[#This Row],[P4 S H]]/PositionH[[#This Row],[P4 H]]))</f>
        <v/>
      </c>
      <c r="T83" s="172" t="str">
        <f>IF(PositionH[[#This Row],[P5 H]]=0,"",IF(PositionH[[#This Row],[P5 H]]="","",PositionH[[#This Row],[P5 S H]]/PositionH[[#This Row],[P5 H]]))</f>
        <v/>
      </c>
      <c r="U83" s="172" t="str">
        <f>IF(PositionH[[#This Row],[P6 H]]=0,"",IF(PositionH[[#This Row],[P6 H]]="","",PositionH[[#This Row],[P6 S H]]/PositionH[[#This Row],[P6 H]]))</f>
        <v/>
      </c>
      <c r="V83"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83" s="129" t="str">
        <f>IF(PositionH[[#This Row],[HP H]]="","",MAX(PositionH[[#This Row],[P1 H]:[P6 H]]))</f>
        <v/>
      </c>
      <c r="X83"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83" s="172" t="str">
        <f>IF(PositionH[[#This Row],[Spiele H]]="","",MAX(PositionH[[#This Row],[P1 % H]:[P6 % H]]))</f>
        <v/>
      </c>
    </row>
    <row r="84" spans="2:25" x14ac:dyDescent="0.3">
      <c r="B84" s="129" t="str">
        <f t="shared" si="1"/>
        <v>Max Dost</v>
      </c>
      <c r="C84" s="129" t="str">
        <f>VLOOKUP(PositionH[[#This Row],[Name H]],AuswertungH[],4,FALSE)</f>
        <v/>
      </c>
      <c r="D84" s="129" t="str">
        <f>IF(PositionH[[#This Row],[Spiele H]]="","",COUNTIFS(Eingabe[Name],PositionH[[#This Row],[Name H]],Eingabe[Position],1,Eingabe[Wo],"H"))</f>
        <v/>
      </c>
      <c r="E84" s="129" t="str">
        <f>IF(PositionH[[#This Row],[Spiele H]]="","",COUNTIFS(Eingabe[Name],PositionH[[#This Row],[Name H]],Eingabe[Position],2,Eingabe[Wo],"H"))</f>
        <v/>
      </c>
      <c r="F84" s="129" t="str">
        <f>IF(PositionH[[#This Row],[Spiele H]]="","",COUNTIFS(Eingabe[Name],PositionH[[#This Row],[Name H]],Eingabe[Position],3,Eingabe[Wo],"H"))</f>
        <v/>
      </c>
      <c r="G84" s="129" t="str">
        <f>IF(PositionH[[#This Row],[Spiele H]]="","",COUNTIFS(Eingabe[Name],PositionH[[#This Row],[Name H]],Eingabe[Position],4,Eingabe[Wo],"H"))</f>
        <v/>
      </c>
      <c r="H84" s="129" t="str">
        <f>IF(PositionH[[#This Row],[Spiele H]]="","",COUNTIFS(Eingabe[Name],PositionH[[#This Row],[Name H]],Eingabe[Position],5,Eingabe[Wo],"H"))</f>
        <v/>
      </c>
      <c r="I84" s="129" t="str">
        <f>IF(PositionH[[#This Row],[Spiele H]]="","",COUNTIFS(Eingabe[Name],PositionH[[#This Row],[Name H]],Eingabe[Position],6,Eingabe[Wo],"H"))</f>
        <v/>
      </c>
      <c r="J84" s="129" t="str">
        <f>IF(PositionH[[#This Row],[P1 H]]="","",COUNTIFS(Eingabe[Position],1,Eingabe[MP],1,Eingabe[Name],PositionH[[#This Row],[Name H]],Eingabe[Wo],"H"))</f>
        <v/>
      </c>
      <c r="K84" s="129" t="str">
        <f>IF(PositionH[[#This Row],[P2 H]]="","",COUNTIFS(Eingabe[Position],2,Eingabe[MP],1,Eingabe[Name],PositionH[[#This Row],[Name H]],Eingabe[Wo],"H"))</f>
        <v/>
      </c>
      <c r="L84" s="129" t="str">
        <f>IF(PositionH[[#This Row],[P3 H]]="","",COUNTIFS(Eingabe[Position],3,Eingabe[MP],1,Eingabe[Name],PositionH[[#This Row],[Name H]],Eingabe[Wo],"H"))</f>
        <v/>
      </c>
      <c r="M84" s="129" t="str">
        <f>IF(PositionH[[#This Row],[P4 H]]="","",COUNTIFS(Eingabe[Position],4,Eingabe[MP],1,Eingabe[Name],PositionH[[#This Row],[Name H]],Eingabe[Wo],"H"))</f>
        <v/>
      </c>
      <c r="N84" s="129" t="str">
        <f>IF(PositionH[[#This Row],[P5 H]]="","",COUNTIFS(Eingabe[Position],5,Eingabe[MP],1,Eingabe[Name],PositionH[[#This Row],[Name H]],Eingabe[Wo],"H"))</f>
        <v/>
      </c>
      <c r="O84" s="129" t="str">
        <f>IF(PositionH[[#This Row],[P6 H]]="","",COUNTIFS(Eingabe[Position],6,Eingabe[MP],1,Eingabe[Name],PositionH[[#This Row],[Name H]],Eingabe[Wo],"H"))</f>
        <v/>
      </c>
      <c r="P84" s="172" t="str">
        <f>IF(PositionH[[#This Row],[P1 H]]=0,"",IF(PositionH[[#This Row],[P1 H]]="","",PositionH[[#This Row],[P1 S H]]/PositionH[[#This Row],[P1 H]]))</f>
        <v/>
      </c>
      <c r="Q84" s="172" t="str">
        <f>IF(PositionH[[#This Row],[P2 H]]=0,"",IF(PositionH[[#This Row],[P2 H]]="","",PositionH[[#This Row],[P2 S H]]/PositionH[[#This Row],[P2 H]]))</f>
        <v/>
      </c>
      <c r="R84" s="172" t="str">
        <f>IF(PositionH[[#This Row],[P3 H]]=0,"",IF(PositionH[[#This Row],[P3 H]]="","",PositionH[[#This Row],[P3 S H]]/PositionH[[#This Row],[P3 H]]))</f>
        <v/>
      </c>
      <c r="S84" s="172" t="str">
        <f>IF(PositionH[[#This Row],[P4 H]]=0,"",IF(PositionH[[#This Row],[P4 H]]="","",PositionH[[#This Row],[P4 S H]]/PositionH[[#This Row],[P4 H]]))</f>
        <v/>
      </c>
      <c r="T84" s="172" t="str">
        <f>IF(PositionH[[#This Row],[P5 H]]=0,"",IF(PositionH[[#This Row],[P5 H]]="","",PositionH[[#This Row],[P5 S H]]/PositionH[[#This Row],[P5 H]]))</f>
        <v/>
      </c>
      <c r="U84" s="172" t="str">
        <f>IF(PositionH[[#This Row],[P6 H]]=0,"",IF(PositionH[[#This Row],[P6 H]]="","",PositionH[[#This Row],[P6 S H]]/PositionH[[#This Row],[P6 H]]))</f>
        <v/>
      </c>
      <c r="V84"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84" s="129" t="str">
        <f>IF(PositionH[[#This Row],[HP H]]="","",MAX(PositionH[[#This Row],[P1 H]:[P6 H]]))</f>
        <v/>
      </c>
      <c r="X84"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84" s="172" t="str">
        <f>IF(PositionH[[#This Row],[Spiele H]]="","",MAX(PositionH[[#This Row],[P1 % H]:[P6 % H]]))</f>
        <v/>
      </c>
    </row>
    <row r="85" spans="2:25" x14ac:dyDescent="0.3">
      <c r="B85" s="129" t="str">
        <f t="shared" si="1"/>
        <v>Michael Becker</v>
      </c>
      <c r="C85" s="129">
        <f>VLOOKUP(PositionH[[#This Row],[Name H]],AuswertungH[],4,FALSE)</f>
        <v>1</v>
      </c>
      <c r="D85" s="129">
        <f>IF(PositionH[[#This Row],[Spiele H]]="","",COUNTIFS(Eingabe[Name],PositionH[[#This Row],[Name H]],Eingabe[Position],1,Eingabe[Wo],"H"))</f>
        <v>0</v>
      </c>
      <c r="E85" s="129">
        <f>IF(PositionH[[#This Row],[Spiele H]]="","",COUNTIFS(Eingabe[Name],PositionH[[#This Row],[Name H]],Eingabe[Position],2,Eingabe[Wo],"H"))</f>
        <v>0</v>
      </c>
      <c r="F85" s="129">
        <f>IF(PositionH[[#This Row],[Spiele H]]="","",COUNTIFS(Eingabe[Name],PositionH[[#This Row],[Name H]],Eingabe[Position],3,Eingabe[Wo],"H"))</f>
        <v>0</v>
      </c>
      <c r="G85" s="129">
        <f>IF(PositionH[[#This Row],[Spiele H]]="","",COUNTIFS(Eingabe[Name],PositionH[[#This Row],[Name H]],Eingabe[Position],4,Eingabe[Wo],"H"))</f>
        <v>0</v>
      </c>
      <c r="H85" s="129">
        <f>IF(PositionH[[#This Row],[Spiele H]]="","",COUNTIFS(Eingabe[Name],PositionH[[#This Row],[Name H]],Eingabe[Position],5,Eingabe[Wo],"H"))</f>
        <v>1</v>
      </c>
      <c r="I85" s="129">
        <f>IF(PositionH[[#This Row],[Spiele H]]="","",COUNTIFS(Eingabe[Name],PositionH[[#This Row],[Name H]],Eingabe[Position],6,Eingabe[Wo],"H"))</f>
        <v>0</v>
      </c>
      <c r="J85" s="129">
        <f>IF(PositionH[[#This Row],[P1 H]]="","",COUNTIFS(Eingabe[Position],1,Eingabe[MP],1,Eingabe[Name],PositionH[[#This Row],[Name H]],Eingabe[Wo],"H"))</f>
        <v>0</v>
      </c>
      <c r="K85" s="129">
        <f>IF(PositionH[[#This Row],[P2 H]]="","",COUNTIFS(Eingabe[Position],2,Eingabe[MP],1,Eingabe[Name],PositionH[[#This Row],[Name H]],Eingabe[Wo],"H"))</f>
        <v>0</v>
      </c>
      <c r="L85" s="129">
        <f>IF(PositionH[[#This Row],[P3 H]]="","",COUNTIFS(Eingabe[Position],3,Eingabe[MP],1,Eingabe[Name],PositionH[[#This Row],[Name H]],Eingabe[Wo],"H"))</f>
        <v>0</v>
      </c>
      <c r="M85" s="129">
        <f>IF(PositionH[[#This Row],[P4 H]]="","",COUNTIFS(Eingabe[Position],4,Eingabe[MP],1,Eingabe[Name],PositionH[[#This Row],[Name H]],Eingabe[Wo],"H"))</f>
        <v>0</v>
      </c>
      <c r="N85" s="129">
        <f>IF(PositionH[[#This Row],[P5 H]]="","",COUNTIFS(Eingabe[Position],5,Eingabe[MP],1,Eingabe[Name],PositionH[[#This Row],[Name H]],Eingabe[Wo],"H"))</f>
        <v>1</v>
      </c>
      <c r="O85" s="129">
        <f>IF(PositionH[[#This Row],[P6 H]]="","",COUNTIFS(Eingabe[Position],6,Eingabe[MP],1,Eingabe[Name],PositionH[[#This Row],[Name H]],Eingabe[Wo],"H"))</f>
        <v>0</v>
      </c>
      <c r="P85" s="172" t="str">
        <f>IF(PositionH[[#This Row],[P1 H]]=0,"",IF(PositionH[[#This Row],[P1 H]]="","",PositionH[[#This Row],[P1 S H]]/PositionH[[#This Row],[P1 H]]))</f>
        <v/>
      </c>
      <c r="Q85" s="172" t="str">
        <f>IF(PositionH[[#This Row],[P2 H]]=0,"",IF(PositionH[[#This Row],[P2 H]]="","",PositionH[[#This Row],[P2 S H]]/PositionH[[#This Row],[P2 H]]))</f>
        <v/>
      </c>
      <c r="R85" s="172" t="str">
        <f>IF(PositionH[[#This Row],[P3 H]]=0,"",IF(PositionH[[#This Row],[P3 H]]="","",PositionH[[#This Row],[P3 S H]]/PositionH[[#This Row],[P3 H]]))</f>
        <v/>
      </c>
      <c r="S85" s="172" t="str">
        <f>IF(PositionH[[#This Row],[P4 H]]=0,"",IF(PositionH[[#This Row],[P4 H]]="","",PositionH[[#This Row],[P4 S H]]/PositionH[[#This Row],[P4 H]]))</f>
        <v/>
      </c>
      <c r="T85" s="172">
        <f>IF(PositionH[[#This Row],[P5 H]]=0,"",IF(PositionH[[#This Row],[P5 H]]="","",PositionH[[#This Row],[P5 S H]]/PositionH[[#This Row],[P5 H]]))</f>
        <v>1</v>
      </c>
      <c r="U85" s="172" t="str">
        <f>IF(PositionH[[#This Row],[P6 H]]=0,"",IF(PositionH[[#This Row],[P6 H]]="","",PositionH[[#This Row],[P6 S H]]/PositionH[[#This Row],[P6 H]]))</f>
        <v/>
      </c>
      <c r="V85"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[5]</v>
      </c>
      <c r="W85" s="129">
        <f>IF(PositionH[[#This Row],[HP H]]="","",MAX(PositionH[[#This Row],[P1 H]:[P6 H]]))</f>
        <v>1</v>
      </c>
      <c r="X85"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[5]</v>
      </c>
      <c r="Y85" s="172">
        <f>IF(PositionH[[#This Row],[Spiele H]]="","",MAX(PositionH[[#This Row],[P1 % H]:[P6 % H]]))</f>
        <v>1</v>
      </c>
    </row>
    <row r="86" spans="2:25" x14ac:dyDescent="0.3">
      <c r="B86" s="129" t="str">
        <f t="shared" si="1"/>
        <v>Michael Klose</v>
      </c>
      <c r="C86" s="129" t="str">
        <f>VLOOKUP(PositionH[[#This Row],[Name H]],AuswertungH[],4,FALSE)</f>
        <v/>
      </c>
      <c r="D86" s="129" t="str">
        <f>IF(PositionH[[#This Row],[Spiele H]]="","",COUNTIFS(Eingabe[Name],PositionH[[#This Row],[Name H]],Eingabe[Position],1,Eingabe[Wo],"H"))</f>
        <v/>
      </c>
      <c r="E86" s="129" t="str">
        <f>IF(PositionH[[#This Row],[Spiele H]]="","",COUNTIFS(Eingabe[Name],PositionH[[#This Row],[Name H]],Eingabe[Position],2,Eingabe[Wo],"H"))</f>
        <v/>
      </c>
      <c r="F86" s="129" t="str">
        <f>IF(PositionH[[#This Row],[Spiele H]]="","",COUNTIFS(Eingabe[Name],PositionH[[#This Row],[Name H]],Eingabe[Position],3,Eingabe[Wo],"H"))</f>
        <v/>
      </c>
      <c r="G86" s="129" t="str">
        <f>IF(PositionH[[#This Row],[Spiele H]]="","",COUNTIFS(Eingabe[Name],PositionH[[#This Row],[Name H]],Eingabe[Position],4,Eingabe[Wo],"H"))</f>
        <v/>
      </c>
      <c r="H86" s="129" t="str">
        <f>IF(PositionH[[#This Row],[Spiele H]]="","",COUNTIFS(Eingabe[Name],PositionH[[#This Row],[Name H]],Eingabe[Position],5,Eingabe[Wo],"H"))</f>
        <v/>
      </c>
      <c r="I86" s="129" t="str">
        <f>IF(PositionH[[#This Row],[Spiele H]]="","",COUNTIFS(Eingabe[Name],PositionH[[#This Row],[Name H]],Eingabe[Position],6,Eingabe[Wo],"H"))</f>
        <v/>
      </c>
      <c r="J86" s="129" t="str">
        <f>IF(PositionH[[#This Row],[P1 H]]="","",COUNTIFS(Eingabe[Position],1,Eingabe[MP],1,Eingabe[Name],PositionH[[#This Row],[Name H]],Eingabe[Wo],"H"))</f>
        <v/>
      </c>
      <c r="K86" s="129" t="str">
        <f>IF(PositionH[[#This Row],[P2 H]]="","",COUNTIFS(Eingabe[Position],2,Eingabe[MP],1,Eingabe[Name],PositionH[[#This Row],[Name H]],Eingabe[Wo],"H"))</f>
        <v/>
      </c>
      <c r="L86" s="129" t="str">
        <f>IF(PositionH[[#This Row],[P3 H]]="","",COUNTIFS(Eingabe[Position],3,Eingabe[MP],1,Eingabe[Name],PositionH[[#This Row],[Name H]],Eingabe[Wo],"H"))</f>
        <v/>
      </c>
      <c r="M86" s="129" t="str">
        <f>IF(PositionH[[#This Row],[P4 H]]="","",COUNTIFS(Eingabe[Position],4,Eingabe[MP],1,Eingabe[Name],PositionH[[#This Row],[Name H]],Eingabe[Wo],"H"))</f>
        <v/>
      </c>
      <c r="N86" s="129" t="str">
        <f>IF(PositionH[[#This Row],[P5 H]]="","",COUNTIFS(Eingabe[Position],5,Eingabe[MP],1,Eingabe[Name],PositionH[[#This Row],[Name H]],Eingabe[Wo],"H"))</f>
        <v/>
      </c>
      <c r="O86" s="129" t="str">
        <f>IF(PositionH[[#This Row],[P6 H]]="","",COUNTIFS(Eingabe[Position],6,Eingabe[MP],1,Eingabe[Name],PositionH[[#This Row],[Name H]],Eingabe[Wo],"H"))</f>
        <v/>
      </c>
      <c r="P86" s="172" t="str">
        <f>IF(PositionH[[#This Row],[P1 H]]=0,"",IF(PositionH[[#This Row],[P1 H]]="","",PositionH[[#This Row],[P1 S H]]/PositionH[[#This Row],[P1 H]]))</f>
        <v/>
      </c>
      <c r="Q86" s="172" t="str">
        <f>IF(PositionH[[#This Row],[P2 H]]=0,"",IF(PositionH[[#This Row],[P2 H]]="","",PositionH[[#This Row],[P2 S H]]/PositionH[[#This Row],[P2 H]]))</f>
        <v/>
      </c>
      <c r="R86" s="172" t="str">
        <f>IF(PositionH[[#This Row],[P3 H]]=0,"",IF(PositionH[[#This Row],[P3 H]]="","",PositionH[[#This Row],[P3 S H]]/PositionH[[#This Row],[P3 H]]))</f>
        <v/>
      </c>
      <c r="S86" s="172" t="str">
        <f>IF(PositionH[[#This Row],[P4 H]]=0,"",IF(PositionH[[#This Row],[P4 H]]="","",PositionH[[#This Row],[P4 S H]]/PositionH[[#This Row],[P4 H]]))</f>
        <v/>
      </c>
      <c r="T86" s="172" t="str">
        <f>IF(PositionH[[#This Row],[P5 H]]=0,"",IF(PositionH[[#This Row],[P5 H]]="","",PositionH[[#This Row],[P5 S H]]/PositionH[[#This Row],[P5 H]]))</f>
        <v/>
      </c>
      <c r="U86" s="172" t="str">
        <f>IF(PositionH[[#This Row],[P6 H]]=0,"",IF(PositionH[[#This Row],[P6 H]]="","",PositionH[[#This Row],[P6 S H]]/PositionH[[#This Row],[P6 H]]))</f>
        <v/>
      </c>
      <c r="V86"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86" s="129" t="str">
        <f>IF(PositionH[[#This Row],[HP H]]="","",MAX(PositionH[[#This Row],[P1 H]:[P6 H]]))</f>
        <v/>
      </c>
      <c r="X86"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86" s="172" t="str">
        <f>IF(PositionH[[#This Row],[Spiele H]]="","",MAX(PositionH[[#This Row],[P1 % H]:[P6 % H]]))</f>
        <v/>
      </c>
    </row>
    <row r="87" spans="2:25" x14ac:dyDescent="0.3">
      <c r="B87" s="129" t="str">
        <f t="shared" si="1"/>
        <v>Mick Becker</v>
      </c>
      <c r="C87" s="129">
        <f>VLOOKUP(PositionH[[#This Row],[Name H]],AuswertungH[],4,FALSE)</f>
        <v>1</v>
      </c>
      <c r="D87" s="129">
        <f>IF(PositionH[[#This Row],[Spiele H]]="","",COUNTIFS(Eingabe[Name],PositionH[[#This Row],[Name H]],Eingabe[Position],1,Eingabe[Wo],"H"))</f>
        <v>0</v>
      </c>
      <c r="E87" s="129">
        <f>IF(PositionH[[#This Row],[Spiele H]]="","",COUNTIFS(Eingabe[Name],PositionH[[#This Row],[Name H]],Eingabe[Position],2,Eingabe[Wo],"H"))</f>
        <v>0</v>
      </c>
      <c r="F87" s="129">
        <f>IF(PositionH[[#This Row],[Spiele H]]="","",COUNTIFS(Eingabe[Name],PositionH[[#This Row],[Name H]],Eingabe[Position],3,Eingabe[Wo],"H"))</f>
        <v>0</v>
      </c>
      <c r="G87" s="129">
        <f>IF(PositionH[[#This Row],[Spiele H]]="","",COUNTIFS(Eingabe[Name],PositionH[[#This Row],[Name H]],Eingabe[Position],4,Eingabe[Wo],"H"))</f>
        <v>1</v>
      </c>
      <c r="H87" s="129">
        <f>IF(PositionH[[#This Row],[Spiele H]]="","",COUNTIFS(Eingabe[Name],PositionH[[#This Row],[Name H]],Eingabe[Position],5,Eingabe[Wo],"H"))</f>
        <v>0</v>
      </c>
      <c r="I87" s="129">
        <f>IF(PositionH[[#This Row],[Spiele H]]="","",COUNTIFS(Eingabe[Name],PositionH[[#This Row],[Name H]],Eingabe[Position],6,Eingabe[Wo],"H"))</f>
        <v>0</v>
      </c>
      <c r="J87" s="129">
        <f>IF(PositionH[[#This Row],[P1 H]]="","",COUNTIFS(Eingabe[Position],1,Eingabe[MP],1,Eingabe[Name],PositionH[[#This Row],[Name H]],Eingabe[Wo],"H"))</f>
        <v>0</v>
      </c>
      <c r="K87" s="129">
        <f>IF(PositionH[[#This Row],[P2 H]]="","",COUNTIFS(Eingabe[Position],2,Eingabe[MP],1,Eingabe[Name],PositionH[[#This Row],[Name H]],Eingabe[Wo],"H"))</f>
        <v>0</v>
      </c>
      <c r="L87" s="129">
        <f>IF(PositionH[[#This Row],[P3 H]]="","",COUNTIFS(Eingabe[Position],3,Eingabe[MP],1,Eingabe[Name],PositionH[[#This Row],[Name H]],Eingabe[Wo],"H"))</f>
        <v>0</v>
      </c>
      <c r="M87" s="129">
        <f>IF(PositionH[[#This Row],[P4 H]]="","",COUNTIFS(Eingabe[Position],4,Eingabe[MP],1,Eingabe[Name],PositionH[[#This Row],[Name H]],Eingabe[Wo],"H"))</f>
        <v>1</v>
      </c>
      <c r="N87" s="129">
        <f>IF(PositionH[[#This Row],[P5 H]]="","",COUNTIFS(Eingabe[Position],5,Eingabe[MP],1,Eingabe[Name],PositionH[[#This Row],[Name H]],Eingabe[Wo],"H"))</f>
        <v>0</v>
      </c>
      <c r="O87" s="129">
        <f>IF(PositionH[[#This Row],[P6 H]]="","",COUNTIFS(Eingabe[Position],6,Eingabe[MP],1,Eingabe[Name],PositionH[[#This Row],[Name H]],Eingabe[Wo],"H"))</f>
        <v>0</v>
      </c>
      <c r="P87" s="172" t="str">
        <f>IF(PositionH[[#This Row],[P1 H]]=0,"",IF(PositionH[[#This Row],[P1 H]]="","",PositionH[[#This Row],[P1 S H]]/PositionH[[#This Row],[P1 H]]))</f>
        <v/>
      </c>
      <c r="Q87" s="172" t="str">
        <f>IF(PositionH[[#This Row],[P2 H]]=0,"",IF(PositionH[[#This Row],[P2 H]]="","",PositionH[[#This Row],[P2 S H]]/PositionH[[#This Row],[P2 H]]))</f>
        <v/>
      </c>
      <c r="R87" s="172" t="str">
        <f>IF(PositionH[[#This Row],[P3 H]]=0,"",IF(PositionH[[#This Row],[P3 H]]="","",PositionH[[#This Row],[P3 S H]]/PositionH[[#This Row],[P3 H]]))</f>
        <v/>
      </c>
      <c r="S87" s="172">
        <f>IF(PositionH[[#This Row],[P4 H]]=0,"",IF(PositionH[[#This Row],[P4 H]]="","",PositionH[[#This Row],[P4 S H]]/PositionH[[#This Row],[P4 H]]))</f>
        <v>1</v>
      </c>
      <c r="T87" s="172" t="str">
        <f>IF(PositionH[[#This Row],[P5 H]]=0,"",IF(PositionH[[#This Row],[P5 H]]="","",PositionH[[#This Row],[P5 S H]]/PositionH[[#This Row],[P5 H]]))</f>
        <v/>
      </c>
      <c r="U87" s="172" t="str">
        <f>IF(PositionH[[#This Row],[P6 H]]=0,"",IF(PositionH[[#This Row],[P6 H]]="","",PositionH[[#This Row],[P6 S H]]/PositionH[[#This Row],[P6 H]]))</f>
        <v/>
      </c>
      <c r="V87"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[4]</v>
      </c>
      <c r="W87" s="129">
        <f>IF(PositionH[[#This Row],[HP H]]="","",MAX(PositionH[[#This Row],[P1 H]:[P6 H]]))</f>
        <v>1</v>
      </c>
      <c r="X87"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[4]</v>
      </c>
      <c r="Y87" s="172">
        <f>IF(PositionH[[#This Row],[Spiele H]]="","",MAX(PositionH[[#This Row],[P1 % H]:[P6 % H]]))</f>
        <v>1</v>
      </c>
    </row>
    <row r="88" spans="2:25" x14ac:dyDescent="0.3">
      <c r="B88" s="129" t="str">
        <f t="shared" si="1"/>
        <v>Olaf Kurtze</v>
      </c>
      <c r="C88" s="129">
        <f>VLOOKUP(PositionH[[#This Row],[Name H]],AuswertungH[],4,FALSE)</f>
        <v>5</v>
      </c>
      <c r="D88" s="129">
        <f>IF(PositionH[[#This Row],[Spiele H]]="","",COUNTIFS(Eingabe[Name],PositionH[[#This Row],[Name H]],Eingabe[Position],1,Eingabe[Wo],"H"))</f>
        <v>2</v>
      </c>
      <c r="E88" s="129">
        <f>IF(PositionH[[#This Row],[Spiele H]]="","",COUNTIFS(Eingabe[Name],PositionH[[#This Row],[Name H]],Eingabe[Position],2,Eingabe[Wo],"H"))</f>
        <v>1</v>
      </c>
      <c r="F88" s="129">
        <f>IF(PositionH[[#This Row],[Spiele H]]="","",COUNTIFS(Eingabe[Name],PositionH[[#This Row],[Name H]],Eingabe[Position],3,Eingabe[Wo],"H"))</f>
        <v>1</v>
      </c>
      <c r="G88" s="129">
        <f>IF(PositionH[[#This Row],[Spiele H]]="","",COUNTIFS(Eingabe[Name],PositionH[[#This Row],[Name H]],Eingabe[Position],4,Eingabe[Wo],"H"))</f>
        <v>0</v>
      </c>
      <c r="H88" s="129">
        <f>IF(PositionH[[#This Row],[Spiele H]]="","",COUNTIFS(Eingabe[Name],PositionH[[#This Row],[Name H]],Eingabe[Position],5,Eingabe[Wo],"H"))</f>
        <v>1</v>
      </c>
      <c r="I88" s="129">
        <f>IF(PositionH[[#This Row],[Spiele H]]="","",COUNTIFS(Eingabe[Name],PositionH[[#This Row],[Name H]],Eingabe[Position],6,Eingabe[Wo],"H"))</f>
        <v>0</v>
      </c>
      <c r="J88" s="129">
        <f>IF(PositionH[[#This Row],[P1 H]]="","",COUNTIFS(Eingabe[Position],1,Eingabe[MP],1,Eingabe[Name],PositionH[[#This Row],[Name H]],Eingabe[Wo],"H"))</f>
        <v>1</v>
      </c>
      <c r="K88" s="129">
        <f>IF(PositionH[[#This Row],[P2 H]]="","",COUNTIFS(Eingabe[Position],2,Eingabe[MP],1,Eingabe[Name],PositionH[[#This Row],[Name H]],Eingabe[Wo],"H"))</f>
        <v>1</v>
      </c>
      <c r="L88" s="129">
        <f>IF(PositionH[[#This Row],[P3 H]]="","",COUNTIFS(Eingabe[Position],3,Eingabe[MP],1,Eingabe[Name],PositionH[[#This Row],[Name H]],Eingabe[Wo],"H"))</f>
        <v>0</v>
      </c>
      <c r="M88" s="129">
        <f>IF(PositionH[[#This Row],[P4 H]]="","",COUNTIFS(Eingabe[Position],4,Eingabe[MP],1,Eingabe[Name],PositionH[[#This Row],[Name H]],Eingabe[Wo],"H"))</f>
        <v>0</v>
      </c>
      <c r="N88" s="129">
        <f>IF(PositionH[[#This Row],[P5 H]]="","",COUNTIFS(Eingabe[Position],5,Eingabe[MP],1,Eingabe[Name],PositionH[[#This Row],[Name H]],Eingabe[Wo],"H"))</f>
        <v>1</v>
      </c>
      <c r="O88" s="129">
        <f>IF(PositionH[[#This Row],[P6 H]]="","",COUNTIFS(Eingabe[Position],6,Eingabe[MP],1,Eingabe[Name],PositionH[[#This Row],[Name H]],Eingabe[Wo],"H"))</f>
        <v>0</v>
      </c>
      <c r="P88" s="172">
        <f>IF(PositionH[[#This Row],[P1 H]]=0,"",IF(PositionH[[#This Row],[P1 H]]="","",PositionH[[#This Row],[P1 S H]]/PositionH[[#This Row],[P1 H]]))</f>
        <v>0.5</v>
      </c>
      <c r="Q88" s="172">
        <f>IF(PositionH[[#This Row],[P2 H]]=0,"",IF(PositionH[[#This Row],[P2 H]]="","",PositionH[[#This Row],[P2 S H]]/PositionH[[#This Row],[P2 H]]))</f>
        <v>1</v>
      </c>
      <c r="R88" s="172">
        <f>IF(PositionH[[#This Row],[P3 H]]=0,"",IF(PositionH[[#This Row],[P3 H]]="","",PositionH[[#This Row],[P3 S H]]/PositionH[[#This Row],[P3 H]]))</f>
        <v>0</v>
      </c>
      <c r="S88" s="172" t="str">
        <f>IF(PositionH[[#This Row],[P4 H]]=0,"",IF(PositionH[[#This Row],[P4 H]]="","",PositionH[[#This Row],[P4 S H]]/PositionH[[#This Row],[P4 H]]))</f>
        <v/>
      </c>
      <c r="T88" s="172">
        <f>IF(PositionH[[#This Row],[P5 H]]=0,"",IF(PositionH[[#This Row],[P5 H]]="","",PositionH[[#This Row],[P5 S H]]/PositionH[[#This Row],[P5 H]]))</f>
        <v>1</v>
      </c>
      <c r="U88" s="172" t="str">
        <f>IF(PositionH[[#This Row],[P6 H]]=0,"",IF(PositionH[[#This Row],[P6 H]]="","",PositionH[[#This Row],[P6 S H]]/PositionH[[#This Row],[P6 H]]))</f>
        <v/>
      </c>
      <c r="V88"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[1]</v>
      </c>
      <c r="W88" s="129">
        <f>IF(PositionH[[#This Row],[HP H]]="","",MAX(PositionH[[#This Row],[P1 H]:[P6 H]]))</f>
        <v>2</v>
      </c>
      <c r="X88"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[2][5]</v>
      </c>
      <c r="Y88" s="172">
        <f>IF(PositionH[[#This Row],[Spiele H]]="","",MAX(PositionH[[#This Row],[P1 % H]:[P6 % H]]))</f>
        <v>1</v>
      </c>
    </row>
    <row r="89" spans="2:25" x14ac:dyDescent="0.3">
      <c r="B89" s="129" t="str">
        <f t="shared" si="1"/>
        <v>Patrick Frenzel</v>
      </c>
      <c r="C89" s="129">
        <f>VLOOKUP(PositionH[[#This Row],[Name H]],AuswertungH[],4,FALSE)</f>
        <v>2</v>
      </c>
      <c r="D89" s="129">
        <f>IF(PositionH[[#This Row],[Spiele H]]="","",COUNTIFS(Eingabe[Name],PositionH[[#This Row],[Name H]],Eingabe[Position],1,Eingabe[Wo],"H"))</f>
        <v>1</v>
      </c>
      <c r="E89" s="129">
        <f>IF(PositionH[[#This Row],[Spiele H]]="","",COUNTIFS(Eingabe[Name],PositionH[[#This Row],[Name H]],Eingabe[Position],2,Eingabe[Wo],"H"))</f>
        <v>0</v>
      </c>
      <c r="F89" s="129">
        <f>IF(PositionH[[#This Row],[Spiele H]]="","",COUNTIFS(Eingabe[Name],PositionH[[#This Row],[Name H]],Eingabe[Position],3,Eingabe[Wo],"H"))</f>
        <v>1</v>
      </c>
      <c r="G89" s="129">
        <f>IF(PositionH[[#This Row],[Spiele H]]="","",COUNTIFS(Eingabe[Name],PositionH[[#This Row],[Name H]],Eingabe[Position],4,Eingabe[Wo],"H"))</f>
        <v>0</v>
      </c>
      <c r="H89" s="129">
        <f>IF(PositionH[[#This Row],[Spiele H]]="","",COUNTIFS(Eingabe[Name],PositionH[[#This Row],[Name H]],Eingabe[Position],5,Eingabe[Wo],"H"))</f>
        <v>0</v>
      </c>
      <c r="I89" s="129">
        <f>IF(PositionH[[#This Row],[Spiele H]]="","",COUNTIFS(Eingabe[Name],PositionH[[#This Row],[Name H]],Eingabe[Position],6,Eingabe[Wo],"H"))</f>
        <v>0</v>
      </c>
      <c r="J89" s="129">
        <f>IF(PositionH[[#This Row],[P1 H]]="","",COUNTIFS(Eingabe[Position],1,Eingabe[MP],1,Eingabe[Name],PositionH[[#This Row],[Name H]],Eingabe[Wo],"H"))</f>
        <v>1</v>
      </c>
      <c r="K89" s="129">
        <f>IF(PositionH[[#This Row],[P2 H]]="","",COUNTIFS(Eingabe[Position],2,Eingabe[MP],1,Eingabe[Name],PositionH[[#This Row],[Name H]],Eingabe[Wo],"H"))</f>
        <v>0</v>
      </c>
      <c r="L89" s="129">
        <f>IF(PositionH[[#This Row],[P3 H]]="","",COUNTIFS(Eingabe[Position],3,Eingabe[MP],1,Eingabe[Name],PositionH[[#This Row],[Name H]],Eingabe[Wo],"H"))</f>
        <v>1</v>
      </c>
      <c r="M89" s="129">
        <f>IF(PositionH[[#This Row],[P4 H]]="","",COUNTIFS(Eingabe[Position],4,Eingabe[MP],1,Eingabe[Name],PositionH[[#This Row],[Name H]],Eingabe[Wo],"H"))</f>
        <v>0</v>
      </c>
      <c r="N89" s="129">
        <f>IF(PositionH[[#This Row],[P5 H]]="","",COUNTIFS(Eingabe[Position],5,Eingabe[MP],1,Eingabe[Name],PositionH[[#This Row],[Name H]],Eingabe[Wo],"H"))</f>
        <v>0</v>
      </c>
      <c r="O89" s="129">
        <f>IF(PositionH[[#This Row],[P6 H]]="","",COUNTIFS(Eingabe[Position],6,Eingabe[MP],1,Eingabe[Name],PositionH[[#This Row],[Name H]],Eingabe[Wo],"H"))</f>
        <v>0</v>
      </c>
      <c r="P89" s="172">
        <f>IF(PositionH[[#This Row],[P1 H]]=0,"",IF(PositionH[[#This Row],[P1 H]]="","",PositionH[[#This Row],[P1 S H]]/PositionH[[#This Row],[P1 H]]))</f>
        <v>1</v>
      </c>
      <c r="Q89" s="172" t="str">
        <f>IF(PositionH[[#This Row],[P2 H]]=0,"",IF(PositionH[[#This Row],[P2 H]]="","",PositionH[[#This Row],[P2 S H]]/PositionH[[#This Row],[P2 H]]))</f>
        <v/>
      </c>
      <c r="R89" s="172">
        <f>IF(PositionH[[#This Row],[P3 H]]=0,"",IF(PositionH[[#This Row],[P3 H]]="","",PositionH[[#This Row],[P3 S H]]/PositionH[[#This Row],[P3 H]]))</f>
        <v>1</v>
      </c>
      <c r="S89" s="172" t="str">
        <f>IF(PositionH[[#This Row],[P4 H]]=0,"",IF(PositionH[[#This Row],[P4 H]]="","",PositionH[[#This Row],[P4 S H]]/PositionH[[#This Row],[P4 H]]))</f>
        <v/>
      </c>
      <c r="T89" s="172" t="str">
        <f>IF(PositionH[[#This Row],[P5 H]]=0,"",IF(PositionH[[#This Row],[P5 H]]="","",PositionH[[#This Row],[P5 S H]]/PositionH[[#This Row],[P5 H]]))</f>
        <v/>
      </c>
      <c r="U89" s="172" t="str">
        <f>IF(PositionH[[#This Row],[P6 H]]=0,"",IF(PositionH[[#This Row],[P6 H]]="","",PositionH[[#This Row],[P6 S H]]/PositionH[[#This Row],[P6 H]]))</f>
        <v/>
      </c>
      <c r="V89"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[1][3]</v>
      </c>
      <c r="W89" s="129">
        <f>IF(PositionH[[#This Row],[HP H]]="","",MAX(PositionH[[#This Row],[P1 H]:[P6 H]]))</f>
        <v>1</v>
      </c>
      <c r="X89"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[1][3]</v>
      </c>
      <c r="Y89" s="172">
        <f>IF(PositionH[[#This Row],[Spiele H]]="","",MAX(PositionH[[#This Row],[P1 % H]:[P6 % H]]))</f>
        <v>1</v>
      </c>
    </row>
    <row r="90" spans="2:25" x14ac:dyDescent="0.3">
      <c r="B90" s="129" t="str">
        <f t="shared" si="1"/>
        <v>Patrick Hohmann</v>
      </c>
      <c r="C90" s="129">
        <f>VLOOKUP(PositionH[[#This Row],[Name H]],AuswertungH[],4,FALSE)</f>
        <v>9</v>
      </c>
      <c r="D90" s="129">
        <f>IF(PositionH[[#This Row],[Spiele H]]="","",COUNTIFS(Eingabe[Name],PositionH[[#This Row],[Name H]],Eingabe[Position],1,Eingabe[Wo],"H"))</f>
        <v>1</v>
      </c>
      <c r="E90" s="129">
        <f>IF(PositionH[[#This Row],[Spiele H]]="","",COUNTIFS(Eingabe[Name],PositionH[[#This Row],[Name H]],Eingabe[Position],2,Eingabe[Wo],"H"))</f>
        <v>0</v>
      </c>
      <c r="F90" s="129">
        <f>IF(PositionH[[#This Row],[Spiele H]]="","",COUNTIFS(Eingabe[Name],PositionH[[#This Row],[Name H]],Eingabe[Position],3,Eingabe[Wo],"H"))</f>
        <v>5</v>
      </c>
      <c r="G90" s="129">
        <f>IF(PositionH[[#This Row],[Spiele H]]="","",COUNTIFS(Eingabe[Name],PositionH[[#This Row],[Name H]],Eingabe[Position],4,Eingabe[Wo],"H"))</f>
        <v>0</v>
      </c>
      <c r="H90" s="129">
        <f>IF(PositionH[[#This Row],[Spiele H]]="","",COUNTIFS(Eingabe[Name],PositionH[[#This Row],[Name H]],Eingabe[Position],5,Eingabe[Wo],"H"))</f>
        <v>3</v>
      </c>
      <c r="I90" s="129">
        <f>IF(PositionH[[#This Row],[Spiele H]]="","",COUNTIFS(Eingabe[Name],PositionH[[#This Row],[Name H]],Eingabe[Position],6,Eingabe[Wo],"H"))</f>
        <v>0</v>
      </c>
      <c r="J90" s="129">
        <f>IF(PositionH[[#This Row],[P1 H]]="","",COUNTIFS(Eingabe[Position],1,Eingabe[MP],1,Eingabe[Name],PositionH[[#This Row],[Name H]],Eingabe[Wo],"H"))</f>
        <v>1</v>
      </c>
      <c r="K90" s="129">
        <f>IF(PositionH[[#This Row],[P2 H]]="","",COUNTIFS(Eingabe[Position],2,Eingabe[MP],1,Eingabe[Name],PositionH[[#This Row],[Name H]],Eingabe[Wo],"H"))</f>
        <v>0</v>
      </c>
      <c r="L90" s="129">
        <f>IF(PositionH[[#This Row],[P3 H]]="","",COUNTIFS(Eingabe[Position],3,Eingabe[MP],1,Eingabe[Name],PositionH[[#This Row],[Name H]],Eingabe[Wo],"H"))</f>
        <v>4</v>
      </c>
      <c r="M90" s="129">
        <f>IF(PositionH[[#This Row],[P4 H]]="","",COUNTIFS(Eingabe[Position],4,Eingabe[MP],1,Eingabe[Name],PositionH[[#This Row],[Name H]],Eingabe[Wo],"H"))</f>
        <v>0</v>
      </c>
      <c r="N90" s="129">
        <f>IF(PositionH[[#This Row],[P5 H]]="","",COUNTIFS(Eingabe[Position],5,Eingabe[MP],1,Eingabe[Name],PositionH[[#This Row],[Name H]],Eingabe[Wo],"H"))</f>
        <v>1</v>
      </c>
      <c r="O90" s="129">
        <f>IF(PositionH[[#This Row],[P6 H]]="","",COUNTIFS(Eingabe[Position],6,Eingabe[MP],1,Eingabe[Name],PositionH[[#This Row],[Name H]],Eingabe[Wo],"H"))</f>
        <v>0</v>
      </c>
      <c r="P90" s="172">
        <f>IF(PositionH[[#This Row],[P1 H]]=0,"",IF(PositionH[[#This Row],[P1 H]]="","",PositionH[[#This Row],[P1 S H]]/PositionH[[#This Row],[P1 H]]))</f>
        <v>1</v>
      </c>
      <c r="Q90" s="172" t="str">
        <f>IF(PositionH[[#This Row],[P2 H]]=0,"",IF(PositionH[[#This Row],[P2 H]]="","",PositionH[[#This Row],[P2 S H]]/PositionH[[#This Row],[P2 H]]))</f>
        <v/>
      </c>
      <c r="R90" s="172">
        <f>IF(PositionH[[#This Row],[P3 H]]=0,"",IF(PositionH[[#This Row],[P3 H]]="","",PositionH[[#This Row],[P3 S H]]/PositionH[[#This Row],[P3 H]]))</f>
        <v>0.8</v>
      </c>
      <c r="S90" s="172" t="str">
        <f>IF(PositionH[[#This Row],[P4 H]]=0,"",IF(PositionH[[#This Row],[P4 H]]="","",PositionH[[#This Row],[P4 S H]]/PositionH[[#This Row],[P4 H]]))</f>
        <v/>
      </c>
      <c r="T90" s="172">
        <f>IF(PositionH[[#This Row],[P5 H]]=0,"",IF(PositionH[[#This Row],[P5 H]]="","",PositionH[[#This Row],[P5 S H]]/PositionH[[#This Row],[P5 H]]))</f>
        <v>0.33333333333333331</v>
      </c>
      <c r="U90" s="172" t="str">
        <f>IF(PositionH[[#This Row],[P6 H]]=0,"",IF(PositionH[[#This Row],[P6 H]]="","",PositionH[[#This Row],[P6 S H]]/PositionH[[#This Row],[P6 H]]))</f>
        <v/>
      </c>
      <c r="V90"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[3]</v>
      </c>
      <c r="W90" s="129">
        <f>IF(PositionH[[#This Row],[HP H]]="","",MAX(PositionH[[#This Row],[P1 H]:[P6 H]]))</f>
        <v>5</v>
      </c>
      <c r="X90"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[1]</v>
      </c>
      <c r="Y90" s="172">
        <f>IF(PositionH[[#This Row],[Spiele H]]="","",MAX(PositionH[[#This Row],[P1 % H]:[P6 % H]]))</f>
        <v>1</v>
      </c>
    </row>
    <row r="91" spans="2:25" x14ac:dyDescent="0.3">
      <c r="B91" s="129" t="str">
        <f t="shared" si="1"/>
        <v>Peter Paulmann</v>
      </c>
      <c r="C91" s="129">
        <f>VLOOKUP(PositionH[[#This Row],[Name H]],AuswertungH[],4,FALSE)</f>
        <v>1</v>
      </c>
      <c r="D91" s="129">
        <f>IF(PositionH[[#This Row],[Spiele H]]="","",COUNTIFS(Eingabe[Name],PositionH[[#This Row],[Name H]],Eingabe[Position],1,Eingabe[Wo],"H"))</f>
        <v>1</v>
      </c>
      <c r="E91" s="129">
        <f>IF(PositionH[[#This Row],[Spiele H]]="","",COUNTIFS(Eingabe[Name],PositionH[[#This Row],[Name H]],Eingabe[Position],2,Eingabe[Wo],"H"))</f>
        <v>0</v>
      </c>
      <c r="F91" s="129">
        <f>IF(PositionH[[#This Row],[Spiele H]]="","",COUNTIFS(Eingabe[Name],PositionH[[#This Row],[Name H]],Eingabe[Position],3,Eingabe[Wo],"H"))</f>
        <v>0</v>
      </c>
      <c r="G91" s="129">
        <f>IF(PositionH[[#This Row],[Spiele H]]="","",COUNTIFS(Eingabe[Name],PositionH[[#This Row],[Name H]],Eingabe[Position],4,Eingabe[Wo],"H"))</f>
        <v>0</v>
      </c>
      <c r="H91" s="129">
        <f>IF(PositionH[[#This Row],[Spiele H]]="","",COUNTIFS(Eingabe[Name],PositionH[[#This Row],[Name H]],Eingabe[Position],5,Eingabe[Wo],"H"))</f>
        <v>0</v>
      </c>
      <c r="I91" s="129">
        <f>IF(PositionH[[#This Row],[Spiele H]]="","",COUNTIFS(Eingabe[Name],PositionH[[#This Row],[Name H]],Eingabe[Position],6,Eingabe[Wo],"H"))</f>
        <v>0</v>
      </c>
      <c r="J91" s="129">
        <f>IF(PositionH[[#This Row],[P1 H]]="","",COUNTIFS(Eingabe[Position],1,Eingabe[MP],1,Eingabe[Name],PositionH[[#This Row],[Name H]],Eingabe[Wo],"H"))</f>
        <v>1</v>
      </c>
      <c r="K91" s="129">
        <f>IF(PositionH[[#This Row],[P2 H]]="","",COUNTIFS(Eingabe[Position],2,Eingabe[MP],1,Eingabe[Name],PositionH[[#This Row],[Name H]],Eingabe[Wo],"H"))</f>
        <v>0</v>
      </c>
      <c r="L91" s="129">
        <f>IF(PositionH[[#This Row],[P3 H]]="","",COUNTIFS(Eingabe[Position],3,Eingabe[MP],1,Eingabe[Name],PositionH[[#This Row],[Name H]],Eingabe[Wo],"H"))</f>
        <v>0</v>
      </c>
      <c r="M91" s="129">
        <f>IF(PositionH[[#This Row],[P4 H]]="","",COUNTIFS(Eingabe[Position],4,Eingabe[MP],1,Eingabe[Name],PositionH[[#This Row],[Name H]],Eingabe[Wo],"H"))</f>
        <v>0</v>
      </c>
      <c r="N91" s="129">
        <f>IF(PositionH[[#This Row],[P5 H]]="","",COUNTIFS(Eingabe[Position],5,Eingabe[MP],1,Eingabe[Name],PositionH[[#This Row],[Name H]],Eingabe[Wo],"H"))</f>
        <v>0</v>
      </c>
      <c r="O91" s="129">
        <f>IF(PositionH[[#This Row],[P6 H]]="","",COUNTIFS(Eingabe[Position],6,Eingabe[MP],1,Eingabe[Name],PositionH[[#This Row],[Name H]],Eingabe[Wo],"H"))</f>
        <v>0</v>
      </c>
      <c r="P91" s="172">
        <f>IF(PositionH[[#This Row],[P1 H]]=0,"",IF(PositionH[[#This Row],[P1 H]]="","",PositionH[[#This Row],[P1 S H]]/PositionH[[#This Row],[P1 H]]))</f>
        <v>1</v>
      </c>
      <c r="Q91" s="172" t="str">
        <f>IF(PositionH[[#This Row],[P2 H]]=0,"",IF(PositionH[[#This Row],[P2 H]]="","",PositionH[[#This Row],[P2 S H]]/PositionH[[#This Row],[P2 H]]))</f>
        <v/>
      </c>
      <c r="R91" s="172" t="str">
        <f>IF(PositionH[[#This Row],[P3 H]]=0,"",IF(PositionH[[#This Row],[P3 H]]="","",PositionH[[#This Row],[P3 S H]]/PositionH[[#This Row],[P3 H]]))</f>
        <v/>
      </c>
      <c r="S91" s="172" t="str">
        <f>IF(PositionH[[#This Row],[P4 H]]=0,"",IF(PositionH[[#This Row],[P4 H]]="","",PositionH[[#This Row],[P4 S H]]/PositionH[[#This Row],[P4 H]]))</f>
        <v/>
      </c>
      <c r="T91" s="172" t="str">
        <f>IF(PositionH[[#This Row],[P5 H]]=0,"",IF(PositionH[[#This Row],[P5 H]]="","",PositionH[[#This Row],[P5 S H]]/PositionH[[#This Row],[P5 H]]))</f>
        <v/>
      </c>
      <c r="U91" s="172" t="str">
        <f>IF(PositionH[[#This Row],[P6 H]]=0,"",IF(PositionH[[#This Row],[P6 H]]="","",PositionH[[#This Row],[P6 S H]]/PositionH[[#This Row],[P6 H]]))</f>
        <v/>
      </c>
      <c r="V91"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[1]</v>
      </c>
      <c r="W91" s="129">
        <f>IF(PositionH[[#This Row],[HP H]]="","",MAX(PositionH[[#This Row],[P1 H]:[P6 H]]))</f>
        <v>1</v>
      </c>
      <c r="X91"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[1]</v>
      </c>
      <c r="Y91" s="172">
        <f>IF(PositionH[[#This Row],[Spiele H]]="","",MAX(PositionH[[#This Row],[P1 % H]:[P6 % H]]))</f>
        <v>1</v>
      </c>
    </row>
    <row r="92" spans="2:25" x14ac:dyDescent="0.3">
      <c r="B92" s="129" t="str">
        <f t="shared" si="1"/>
        <v>Peter Weißling</v>
      </c>
      <c r="C92" s="129" t="str">
        <f>VLOOKUP(PositionH[[#This Row],[Name H]],AuswertungH[],4,FALSE)</f>
        <v/>
      </c>
      <c r="D92" s="129" t="str">
        <f>IF(PositionH[[#This Row],[Spiele H]]="","",COUNTIFS(Eingabe[Name],PositionH[[#This Row],[Name H]],Eingabe[Position],1,Eingabe[Wo],"H"))</f>
        <v/>
      </c>
      <c r="E92" s="129" t="str">
        <f>IF(PositionH[[#This Row],[Spiele H]]="","",COUNTIFS(Eingabe[Name],PositionH[[#This Row],[Name H]],Eingabe[Position],2,Eingabe[Wo],"H"))</f>
        <v/>
      </c>
      <c r="F92" s="129" t="str">
        <f>IF(PositionH[[#This Row],[Spiele H]]="","",COUNTIFS(Eingabe[Name],PositionH[[#This Row],[Name H]],Eingabe[Position],3,Eingabe[Wo],"H"))</f>
        <v/>
      </c>
      <c r="G92" s="129" t="str">
        <f>IF(PositionH[[#This Row],[Spiele H]]="","",COUNTIFS(Eingabe[Name],PositionH[[#This Row],[Name H]],Eingabe[Position],4,Eingabe[Wo],"H"))</f>
        <v/>
      </c>
      <c r="H92" s="129" t="str">
        <f>IF(PositionH[[#This Row],[Spiele H]]="","",COUNTIFS(Eingabe[Name],PositionH[[#This Row],[Name H]],Eingabe[Position],5,Eingabe[Wo],"H"))</f>
        <v/>
      </c>
      <c r="I92" s="129" t="str">
        <f>IF(PositionH[[#This Row],[Spiele H]]="","",COUNTIFS(Eingabe[Name],PositionH[[#This Row],[Name H]],Eingabe[Position],6,Eingabe[Wo],"H"))</f>
        <v/>
      </c>
      <c r="J92" s="129" t="str">
        <f>IF(PositionH[[#This Row],[P1 H]]="","",COUNTIFS(Eingabe[Position],1,Eingabe[MP],1,Eingabe[Name],PositionH[[#This Row],[Name H]],Eingabe[Wo],"H"))</f>
        <v/>
      </c>
      <c r="K92" s="129" t="str">
        <f>IF(PositionH[[#This Row],[P2 H]]="","",COUNTIFS(Eingabe[Position],2,Eingabe[MP],1,Eingabe[Name],PositionH[[#This Row],[Name H]],Eingabe[Wo],"H"))</f>
        <v/>
      </c>
      <c r="L92" s="129" t="str">
        <f>IF(PositionH[[#This Row],[P3 H]]="","",COUNTIFS(Eingabe[Position],3,Eingabe[MP],1,Eingabe[Name],PositionH[[#This Row],[Name H]],Eingabe[Wo],"H"))</f>
        <v/>
      </c>
      <c r="M92" s="129" t="str">
        <f>IF(PositionH[[#This Row],[P4 H]]="","",COUNTIFS(Eingabe[Position],4,Eingabe[MP],1,Eingabe[Name],PositionH[[#This Row],[Name H]],Eingabe[Wo],"H"))</f>
        <v/>
      </c>
      <c r="N92" s="129" t="str">
        <f>IF(PositionH[[#This Row],[P5 H]]="","",COUNTIFS(Eingabe[Position],5,Eingabe[MP],1,Eingabe[Name],PositionH[[#This Row],[Name H]],Eingabe[Wo],"H"))</f>
        <v/>
      </c>
      <c r="O92" s="129" t="str">
        <f>IF(PositionH[[#This Row],[P6 H]]="","",COUNTIFS(Eingabe[Position],6,Eingabe[MP],1,Eingabe[Name],PositionH[[#This Row],[Name H]],Eingabe[Wo],"H"))</f>
        <v/>
      </c>
      <c r="P92" s="172" t="str">
        <f>IF(PositionH[[#This Row],[P1 H]]=0,"",IF(PositionH[[#This Row],[P1 H]]="","",PositionH[[#This Row],[P1 S H]]/PositionH[[#This Row],[P1 H]]))</f>
        <v/>
      </c>
      <c r="Q92" s="172" t="str">
        <f>IF(PositionH[[#This Row],[P2 H]]=0,"",IF(PositionH[[#This Row],[P2 H]]="","",PositionH[[#This Row],[P2 S H]]/PositionH[[#This Row],[P2 H]]))</f>
        <v/>
      </c>
      <c r="R92" s="172" t="str">
        <f>IF(PositionH[[#This Row],[P3 H]]=0,"",IF(PositionH[[#This Row],[P3 H]]="","",PositionH[[#This Row],[P3 S H]]/PositionH[[#This Row],[P3 H]]))</f>
        <v/>
      </c>
      <c r="S92" s="172" t="str">
        <f>IF(PositionH[[#This Row],[P4 H]]=0,"",IF(PositionH[[#This Row],[P4 H]]="","",PositionH[[#This Row],[P4 S H]]/PositionH[[#This Row],[P4 H]]))</f>
        <v/>
      </c>
      <c r="T92" s="172" t="str">
        <f>IF(PositionH[[#This Row],[P5 H]]=0,"",IF(PositionH[[#This Row],[P5 H]]="","",PositionH[[#This Row],[P5 S H]]/PositionH[[#This Row],[P5 H]]))</f>
        <v/>
      </c>
      <c r="U92" s="172" t="str">
        <f>IF(PositionH[[#This Row],[P6 H]]=0,"",IF(PositionH[[#This Row],[P6 H]]="","",PositionH[[#This Row],[P6 S H]]/PositionH[[#This Row],[P6 H]]))</f>
        <v/>
      </c>
      <c r="V92"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92" s="129" t="str">
        <f>IF(PositionH[[#This Row],[HP H]]="","",MAX(PositionH[[#This Row],[P1 H]:[P6 H]]))</f>
        <v/>
      </c>
      <c r="X92"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92" s="172" t="str">
        <f>IF(PositionH[[#This Row],[Spiele H]]="","",MAX(PositionH[[#This Row],[P1 % H]:[P6 % H]]))</f>
        <v/>
      </c>
    </row>
    <row r="93" spans="2:25" x14ac:dyDescent="0.3">
      <c r="B93" s="129" t="str">
        <f t="shared" si="1"/>
        <v>Petra Kubon</v>
      </c>
      <c r="C93" s="129">
        <f>VLOOKUP(PositionH[[#This Row],[Name H]],AuswertungH[],4,FALSE)</f>
        <v>1</v>
      </c>
      <c r="D93" s="129">
        <f>IF(PositionH[[#This Row],[Spiele H]]="","",COUNTIFS(Eingabe[Name],PositionH[[#This Row],[Name H]],Eingabe[Position],1,Eingabe[Wo],"H"))</f>
        <v>0</v>
      </c>
      <c r="E93" s="129">
        <f>IF(PositionH[[#This Row],[Spiele H]]="","",COUNTIFS(Eingabe[Name],PositionH[[#This Row],[Name H]],Eingabe[Position],2,Eingabe[Wo],"H"))</f>
        <v>0</v>
      </c>
      <c r="F93" s="129">
        <f>IF(PositionH[[#This Row],[Spiele H]]="","",COUNTIFS(Eingabe[Name],PositionH[[#This Row],[Name H]],Eingabe[Position],3,Eingabe[Wo],"H"))</f>
        <v>0</v>
      </c>
      <c r="G93" s="129">
        <f>IF(PositionH[[#This Row],[Spiele H]]="","",COUNTIFS(Eingabe[Name],PositionH[[#This Row],[Name H]],Eingabe[Position],4,Eingabe[Wo],"H"))</f>
        <v>1</v>
      </c>
      <c r="H93" s="129">
        <f>IF(PositionH[[#This Row],[Spiele H]]="","",COUNTIFS(Eingabe[Name],PositionH[[#This Row],[Name H]],Eingabe[Position],5,Eingabe[Wo],"H"))</f>
        <v>0</v>
      </c>
      <c r="I93" s="129">
        <f>IF(PositionH[[#This Row],[Spiele H]]="","",COUNTIFS(Eingabe[Name],PositionH[[#This Row],[Name H]],Eingabe[Position],6,Eingabe[Wo],"H"))</f>
        <v>0</v>
      </c>
      <c r="J93" s="129">
        <f>IF(PositionH[[#This Row],[P1 H]]="","",COUNTIFS(Eingabe[Position],1,Eingabe[MP],1,Eingabe[Name],PositionH[[#This Row],[Name H]],Eingabe[Wo],"H"))</f>
        <v>0</v>
      </c>
      <c r="K93" s="129">
        <f>IF(PositionH[[#This Row],[P2 H]]="","",COUNTIFS(Eingabe[Position],2,Eingabe[MP],1,Eingabe[Name],PositionH[[#This Row],[Name H]],Eingabe[Wo],"H"))</f>
        <v>0</v>
      </c>
      <c r="L93" s="129">
        <f>IF(PositionH[[#This Row],[P3 H]]="","",COUNTIFS(Eingabe[Position],3,Eingabe[MP],1,Eingabe[Name],PositionH[[#This Row],[Name H]],Eingabe[Wo],"H"))</f>
        <v>0</v>
      </c>
      <c r="M93" s="129">
        <f>IF(PositionH[[#This Row],[P4 H]]="","",COUNTIFS(Eingabe[Position],4,Eingabe[MP],1,Eingabe[Name],PositionH[[#This Row],[Name H]],Eingabe[Wo],"H"))</f>
        <v>0</v>
      </c>
      <c r="N93" s="129">
        <f>IF(PositionH[[#This Row],[P5 H]]="","",COUNTIFS(Eingabe[Position],5,Eingabe[MP],1,Eingabe[Name],PositionH[[#This Row],[Name H]],Eingabe[Wo],"H"))</f>
        <v>0</v>
      </c>
      <c r="O93" s="129">
        <f>IF(PositionH[[#This Row],[P6 H]]="","",COUNTIFS(Eingabe[Position],6,Eingabe[MP],1,Eingabe[Name],PositionH[[#This Row],[Name H]],Eingabe[Wo],"H"))</f>
        <v>0</v>
      </c>
      <c r="P93" s="172" t="str">
        <f>IF(PositionH[[#This Row],[P1 H]]=0,"",IF(PositionH[[#This Row],[P1 H]]="","",PositionH[[#This Row],[P1 S H]]/PositionH[[#This Row],[P1 H]]))</f>
        <v/>
      </c>
      <c r="Q93" s="172" t="str">
        <f>IF(PositionH[[#This Row],[P2 H]]=0,"",IF(PositionH[[#This Row],[P2 H]]="","",PositionH[[#This Row],[P2 S H]]/PositionH[[#This Row],[P2 H]]))</f>
        <v/>
      </c>
      <c r="R93" s="172" t="str">
        <f>IF(PositionH[[#This Row],[P3 H]]=0,"",IF(PositionH[[#This Row],[P3 H]]="","",PositionH[[#This Row],[P3 S H]]/PositionH[[#This Row],[P3 H]]))</f>
        <v/>
      </c>
      <c r="S93" s="172">
        <f>IF(PositionH[[#This Row],[P4 H]]=0,"",IF(PositionH[[#This Row],[P4 H]]="","",PositionH[[#This Row],[P4 S H]]/PositionH[[#This Row],[P4 H]]))</f>
        <v>0</v>
      </c>
      <c r="T93" s="172" t="str">
        <f>IF(PositionH[[#This Row],[P5 H]]=0,"",IF(PositionH[[#This Row],[P5 H]]="","",PositionH[[#This Row],[P5 S H]]/PositionH[[#This Row],[P5 H]]))</f>
        <v/>
      </c>
      <c r="U93" s="172" t="str">
        <f>IF(PositionH[[#This Row],[P6 H]]=0,"",IF(PositionH[[#This Row],[P6 H]]="","",PositionH[[#This Row],[P6 S H]]/PositionH[[#This Row],[P6 H]]))</f>
        <v/>
      </c>
      <c r="V93"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[4]</v>
      </c>
      <c r="W93" s="129">
        <f>IF(PositionH[[#This Row],[HP H]]="","",MAX(PositionH[[#This Row],[P1 H]:[P6 H]]))</f>
        <v>1</v>
      </c>
      <c r="X93"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[4]</v>
      </c>
      <c r="Y93" s="172">
        <f>IF(PositionH[[#This Row],[Spiele H]]="","",MAX(PositionH[[#This Row],[P1 % H]:[P6 % H]]))</f>
        <v>0</v>
      </c>
    </row>
    <row r="94" spans="2:25" x14ac:dyDescent="0.3">
      <c r="B94" s="129" t="str">
        <f t="shared" si="1"/>
        <v>Philipp Paulmann</v>
      </c>
      <c r="C94" s="129">
        <f>VLOOKUP(PositionH[[#This Row],[Name H]],AuswertungH[],4,FALSE)</f>
        <v>8</v>
      </c>
      <c r="D94" s="129">
        <f>IF(PositionH[[#This Row],[Spiele H]]="","",COUNTIFS(Eingabe[Name],PositionH[[#This Row],[Name H]],Eingabe[Position],1,Eingabe[Wo],"H"))</f>
        <v>1</v>
      </c>
      <c r="E94" s="129">
        <f>IF(PositionH[[#This Row],[Spiele H]]="","",COUNTIFS(Eingabe[Name],PositionH[[#This Row],[Name H]],Eingabe[Position],2,Eingabe[Wo],"H"))</f>
        <v>0</v>
      </c>
      <c r="F94" s="129">
        <f>IF(PositionH[[#This Row],[Spiele H]]="","",COUNTIFS(Eingabe[Name],PositionH[[#This Row],[Name H]],Eingabe[Position],3,Eingabe[Wo],"H"))</f>
        <v>1</v>
      </c>
      <c r="G94" s="129">
        <f>IF(PositionH[[#This Row],[Spiele H]]="","",COUNTIFS(Eingabe[Name],PositionH[[#This Row],[Name H]],Eingabe[Position],4,Eingabe[Wo],"H"))</f>
        <v>0</v>
      </c>
      <c r="H94" s="129">
        <f>IF(PositionH[[#This Row],[Spiele H]]="","",COUNTIFS(Eingabe[Name],PositionH[[#This Row],[Name H]],Eingabe[Position],5,Eingabe[Wo],"H"))</f>
        <v>6</v>
      </c>
      <c r="I94" s="129">
        <f>IF(PositionH[[#This Row],[Spiele H]]="","",COUNTIFS(Eingabe[Name],PositionH[[#This Row],[Name H]],Eingabe[Position],6,Eingabe[Wo],"H"))</f>
        <v>0</v>
      </c>
      <c r="J94" s="129">
        <f>IF(PositionH[[#This Row],[P1 H]]="","",COUNTIFS(Eingabe[Position],1,Eingabe[MP],1,Eingabe[Name],PositionH[[#This Row],[Name H]],Eingabe[Wo],"H"))</f>
        <v>0</v>
      </c>
      <c r="K94" s="129">
        <f>IF(PositionH[[#This Row],[P2 H]]="","",COUNTIFS(Eingabe[Position],2,Eingabe[MP],1,Eingabe[Name],PositionH[[#This Row],[Name H]],Eingabe[Wo],"H"))</f>
        <v>0</v>
      </c>
      <c r="L94" s="129">
        <f>IF(PositionH[[#This Row],[P3 H]]="","",COUNTIFS(Eingabe[Position],3,Eingabe[MP],1,Eingabe[Name],PositionH[[#This Row],[Name H]],Eingabe[Wo],"H"))</f>
        <v>1</v>
      </c>
      <c r="M94" s="129">
        <f>IF(PositionH[[#This Row],[P4 H]]="","",COUNTIFS(Eingabe[Position],4,Eingabe[MP],1,Eingabe[Name],PositionH[[#This Row],[Name H]],Eingabe[Wo],"H"))</f>
        <v>0</v>
      </c>
      <c r="N94" s="129">
        <f>IF(PositionH[[#This Row],[P5 H]]="","",COUNTIFS(Eingabe[Position],5,Eingabe[MP],1,Eingabe[Name],PositionH[[#This Row],[Name H]],Eingabe[Wo],"H"))</f>
        <v>5</v>
      </c>
      <c r="O94" s="129">
        <f>IF(PositionH[[#This Row],[P6 H]]="","",COUNTIFS(Eingabe[Position],6,Eingabe[MP],1,Eingabe[Name],PositionH[[#This Row],[Name H]],Eingabe[Wo],"H"))</f>
        <v>0</v>
      </c>
      <c r="P94" s="172">
        <f>IF(PositionH[[#This Row],[P1 H]]=0,"",IF(PositionH[[#This Row],[P1 H]]="","",PositionH[[#This Row],[P1 S H]]/PositionH[[#This Row],[P1 H]]))</f>
        <v>0</v>
      </c>
      <c r="Q94" s="172" t="str">
        <f>IF(PositionH[[#This Row],[P2 H]]=0,"",IF(PositionH[[#This Row],[P2 H]]="","",PositionH[[#This Row],[P2 S H]]/PositionH[[#This Row],[P2 H]]))</f>
        <v/>
      </c>
      <c r="R94" s="172">
        <f>IF(PositionH[[#This Row],[P3 H]]=0,"",IF(PositionH[[#This Row],[P3 H]]="","",PositionH[[#This Row],[P3 S H]]/PositionH[[#This Row],[P3 H]]))</f>
        <v>1</v>
      </c>
      <c r="S94" s="172" t="str">
        <f>IF(PositionH[[#This Row],[P4 H]]=0,"",IF(PositionH[[#This Row],[P4 H]]="","",PositionH[[#This Row],[P4 S H]]/PositionH[[#This Row],[P4 H]]))</f>
        <v/>
      </c>
      <c r="T94" s="172">
        <f>IF(PositionH[[#This Row],[P5 H]]=0,"",IF(PositionH[[#This Row],[P5 H]]="","",PositionH[[#This Row],[P5 S H]]/PositionH[[#This Row],[P5 H]]))</f>
        <v>0.83333333333333337</v>
      </c>
      <c r="U94" s="172" t="str">
        <f>IF(PositionH[[#This Row],[P6 H]]=0,"",IF(PositionH[[#This Row],[P6 H]]="","",PositionH[[#This Row],[P6 S H]]/PositionH[[#This Row],[P6 H]]))</f>
        <v/>
      </c>
      <c r="V94"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[5]</v>
      </c>
      <c r="W94" s="129">
        <f>IF(PositionH[[#This Row],[HP H]]="","",MAX(PositionH[[#This Row],[P1 H]:[P6 H]]))</f>
        <v>6</v>
      </c>
      <c r="X94"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[3]</v>
      </c>
      <c r="Y94" s="172">
        <f>IF(PositionH[[#This Row],[Spiele H]]="","",MAX(PositionH[[#This Row],[P1 % H]:[P6 % H]]))</f>
        <v>1</v>
      </c>
    </row>
    <row r="95" spans="2:25" x14ac:dyDescent="0.3">
      <c r="B95" s="129" t="str">
        <f t="shared" si="1"/>
        <v>Pia Wätzig</v>
      </c>
      <c r="C95" s="129" t="str">
        <f>VLOOKUP(PositionH[[#This Row],[Name H]],AuswertungH[],4,FALSE)</f>
        <v/>
      </c>
      <c r="D95" s="129" t="str">
        <f>IF(PositionH[[#This Row],[Spiele H]]="","",COUNTIFS(Eingabe[Name],PositionH[[#This Row],[Name H]],Eingabe[Position],1,Eingabe[Wo],"H"))</f>
        <v/>
      </c>
      <c r="E95" s="129" t="str">
        <f>IF(PositionH[[#This Row],[Spiele H]]="","",COUNTIFS(Eingabe[Name],PositionH[[#This Row],[Name H]],Eingabe[Position],2,Eingabe[Wo],"H"))</f>
        <v/>
      </c>
      <c r="F95" s="129" t="str">
        <f>IF(PositionH[[#This Row],[Spiele H]]="","",COUNTIFS(Eingabe[Name],PositionH[[#This Row],[Name H]],Eingabe[Position],3,Eingabe[Wo],"H"))</f>
        <v/>
      </c>
      <c r="G95" s="129" t="str">
        <f>IF(PositionH[[#This Row],[Spiele H]]="","",COUNTIFS(Eingabe[Name],PositionH[[#This Row],[Name H]],Eingabe[Position],4,Eingabe[Wo],"H"))</f>
        <v/>
      </c>
      <c r="H95" s="129" t="str">
        <f>IF(PositionH[[#This Row],[Spiele H]]="","",COUNTIFS(Eingabe[Name],PositionH[[#This Row],[Name H]],Eingabe[Position],5,Eingabe[Wo],"H"))</f>
        <v/>
      </c>
      <c r="I95" s="129" t="str">
        <f>IF(PositionH[[#This Row],[Spiele H]]="","",COUNTIFS(Eingabe[Name],PositionH[[#This Row],[Name H]],Eingabe[Position],6,Eingabe[Wo],"H"))</f>
        <v/>
      </c>
      <c r="J95" s="129" t="str">
        <f>IF(PositionH[[#This Row],[P1 H]]="","",COUNTIFS(Eingabe[Position],1,Eingabe[MP],1,Eingabe[Name],PositionH[[#This Row],[Name H]],Eingabe[Wo],"H"))</f>
        <v/>
      </c>
      <c r="K95" s="129" t="str">
        <f>IF(PositionH[[#This Row],[P2 H]]="","",COUNTIFS(Eingabe[Position],2,Eingabe[MP],1,Eingabe[Name],PositionH[[#This Row],[Name H]],Eingabe[Wo],"H"))</f>
        <v/>
      </c>
      <c r="L95" s="129" t="str">
        <f>IF(PositionH[[#This Row],[P3 H]]="","",COUNTIFS(Eingabe[Position],3,Eingabe[MP],1,Eingabe[Name],PositionH[[#This Row],[Name H]],Eingabe[Wo],"H"))</f>
        <v/>
      </c>
      <c r="M95" s="129" t="str">
        <f>IF(PositionH[[#This Row],[P4 H]]="","",COUNTIFS(Eingabe[Position],4,Eingabe[MP],1,Eingabe[Name],PositionH[[#This Row],[Name H]],Eingabe[Wo],"H"))</f>
        <v/>
      </c>
      <c r="N95" s="129" t="str">
        <f>IF(PositionH[[#This Row],[P5 H]]="","",COUNTIFS(Eingabe[Position],5,Eingabe[MP],1,Eingabe[Name],PositionH[[#This Row],[Name H]],Eingabe[Wo],"H"))</f>
        <v/>
      </c>
      <c r="O95" s="129" t="str">
        <f>IF(PositionH[[#This Row],[P6 H]]="","",COUNTIFS(Eingabe[Position],6,Eingabe[MP],1,Eingabe[Name],PositionH[[#This Row],[Name H]],Eingabe[Wo],"H"))</f>
        <v/>
      </c>
      <c r="P95" s="172" t="str">
        <f>IF(PositionH[[#This Row],[P1 H]]=0,"",IF(PositionH[[#This Row],[P1 H]]="","",PositionH[[#This Row],[P1 S H]]/PositionH[[#This Row],[P1 H]]))</f>
        <v/>
      </c>
      <c r="Q95" s="172" t="str">
        <f>IF(PositionH[[#This Row],[P2 H]]=0,"",IF(PositionH[[#This Row],[P2 H]]="","",PositionH[[#This Row],[P2 S H]]/PositionH[[#This Row],[P2 H]]))</f>
        <v/>
      </c>
      <c r="R95" s="172" t="str">
        <f>IF(PositionH[[#This Row],[P3 H]]=0,"",IF(PositionH[[#This Row],[P3 H]]="","",PositionH[[#This Row],[P3 S H]]/PositionH[[#This Row],[P3 H]]))</f>
        <v/>
      </c>
      <c r="S95" s="172" t="str">
        <f>IF(PositionH[[#This Row],[P4 H]]=0,"",IF(PositionH[[#This Row],[P4 H]]="","",PositionH[[#This Row],[P4 S H]]/PositionH[[#This Row],[P4 H]]))</f>
        <v/>
      </c>
      <c r="T95" s="172" t="str">
        <f>IF(PositionH[[#This Row],[P5 H]]=0,"",IF(PositionH[[#This Row],[P5 H]]="","",PositionH[[#This Row],[P5 S H]]/PositionH[[#This Row],[P5 H]]))</f>
        <v/>
      </c>
      <c r="U95" s="172" t="str">
        <f>IF(PositionH[[#This Row],[P6 H]]=0,"",IF(PositionH[[#This Row],[P6 H]]="","",PositionH[[#This Row],[P6 S H]]/PositionH[[#This Row],[P6 H]]))</f>
        <v/>
      </c>
      <c r="V95"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95" s="129" t="str">
        <f>IF(PositionH[[#This Row],[HP H]]="","",MAX(PositionH[[#This Row],[P1 H]:[P6 H]]))</f>
        <v/>
      </c>
      <c r="X95"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95" s="172" t="str">
        <f>IF(PositionH[[#This Row],[Spiele H]]="","",MAX(PositionH[[#This Row],[P1 % H]:[P6 % H]]))</f>
        <v/>
      </c>
    </row>
    <row r="96" spans="2:25" x14ac:dyDescent="0.3">
      <c r="B96" s="129" t="str">
        <f t="shared" si="1"/>
        <v>Sophia Stirl</v>
      </c>
      <c r="C96" s="129" t="str">
        <f>VLOOKUP(PositionH[[#This Row],[Name H]],AuswertungH[],4,FALSE)</f>
        <v/>
      </c>
      <c r="D96" s="129" t="str">
        <f>IF(PositionH[[#This Row],[Spiele H]]="","",COUNTIFS(Eingabe[Name],PositionH[[#This Row],[Name H]],Eingabe[Position],1,Eingabe[Wo],"H"))</f>
        <v/>
      </c>
      <c r="E96" s="129" t="str">
        <f>IF(PositionH[[#This Row],[Spiele H]]="","",COUNTIFS(Eingabe[Name],PositionH[[#This Row],[Name H]],Eingabe[Position],2,Eingabe[Wo],"H"))</f>
        <v/>
      </c>
      <c r="F96" s="129" t="str">
        <f>IF(PositionH[[#This Row],[Spiele H]]="","",COUNTIFS(Eingabe[Name],PositionH[[#This Row],[Name H]],Eingabe[Position],3,Eingabe[Wo],"H"))</f>
        <v/>
      </c>
      <c r="G96" s="129" t="str">
        <f>IF(PositionH[[#This Row],[Spiele H]]="","",COUNTIFS(Eingabe[Name],PositionH[[#This Row],[Name H]],Eingabe[Position],4,Eingabe[Wo],"H"))</f>
        <v/>
      </c>
      <c r="H96" s="129" t="str">
        <f>IF(PositionH[[#This Row],[Spiele H]]="","",COUNTIFS(Eingabe[Name],PositionH[[#This Row],[Name H]],Eingabe[Position],5,Eingabe[Wo],"H"))</f>
        <v/>
      </c>
      <c r="I96" s="129" t="str">
        <f>IF(PositionH[[#This Row],[Spiele H]]="","",COUNTIFS(Eingabe[Name],PositionH[[#This Row],[Name H]],Eingabe[Position],6,Eingabe[Wo],"H"))</f>
        <v/>
      </c>
      <c r="J96" s="129" t="str">
        <f>IF(PositionH[[#This Row],[P1 H]]="","",COUNTIFS(Eingabe[Position],1,Eingabe[MP],1,Eingabe[Name],PositionH[[#This Row],[Name H]],Eingabe[Wo],"H"))</f>
        <v/>
      </c>
      <c r="K96" s="129" t="str">
        <f>IF(PositionH[[#This Row],[P2 H]]="","",COUNTIFS(Eingabe[Position],2,Eingabe[MP],1,Eingabe[Name],PositionH[[#This Row],[Name H]],Eingabe[Wo],"H"))</f>
        <v/>
      </c>
      <c r="L96" s="129" t="str">
        <f>IF(PositionH[[#This Row],[P3 H]]="","",COUNTIFS(Eingabe[Position],3,Eingabe[MP],1,Eingabe[Name],PositionH[[#This Row],[Name H]],Eingabe[Wo],"H"))</f>
        <v/>
      </c>
      <c r="M96" s="129" t="str">
        <f>IF(PositionH[[#This Row],[P4 H]]="","",COUNTIFS(Eingabe[Position],4,Eingabe[MP],1,Eingabe[Name],PositionH[[#This Row],[Name H]],Eingabe[Wo],"H"))</f>
        <v/>
      </c>
      <c r="N96" s="129" t="str">
        <f>IF(PositionH[[#This Row],[P5 H]]="","",COUNTIFS(Eingabe[Position],5,Eingabe[MP],1,Eingabe[Name],PositionH[[#This Row],[Name H]],Eingabe[Wo],"H"))</f>
        <v/>
      </c>
      <c r="O96" s="129" t="str">
        <f>IF(PositionH[[#This Row],[P6 H]]="","",COUNTIFS(Eingabe[Position],6,Eingabe[MP],1,Eingabe[Name],PositionH[[#This Row],[Name H]],Eingabe[Wo],"H"))</f>
        <v/>
      </c>
      <c r="P96" s="172" t="str">
        <f>IF(PositionH[[#This Row],[P1 H]]=0,"",IF(PositionH[[#This Row],[P1 H]]="","",PositionH[[#This Row],[P1 S H]]/PositionH[[#This Row],[P1 H]]))</f>
        <v/>
      </c>
      <c r="Q96" s="172" t="str">
        <f>IF(PositionH[[#This Row],[P2 H]]=0,"",IF(PositionH[[#This Row],[P2 H]]="","",PositionH[[#This Row],[P2 S H]]/PositionH[[#This Row],[P2 H]]))</f>
        <v/>
      </c>
      <c r="R96" s="172" t="str">
        <f>IF(PositionH[[#This Row],[P3 H]]=0,"",IF(PositionH[[#This Row],[P3 H]]="","",PositionH[[#This Row],[P3 S H]]/PositionH[[#This Row],[P3 H]]))</f>
        <v/>
      </c>
      <c r="S96" s="172" t="str">
        <f>IF(PositionH[[#This Row],[P4 H]]=0,"",IF(PositionH[[#This Row],[P4 H]]="","",PositionH[[#This Row],[P4 S H]]/PositionH[[#This Row],[P4 H]]))</f>
        <v/>
      </c>
      <c r="T96" s="172" t="str">
        <f>IF(PositionH[[#This Row],[P5 H]]=0,"",IF(PositionH[[#This Row],[P5 H]]="","",PositionH[[#This Row],[P5 S H]]/PositionH[[#This Row],[P5 H]]))</f>
        <v/>
      </c>
      <c r="U96" s="172" t="str">
        <f>IF(PositionH[[#This Row],[P6 H]]=0,"",IF(PositionH[[#This Row],[P6 H]]="","",PositionH[[#This Row],[P6 S H]]/PositionH[[#This Row],[P6 H]]))</f>
        <v/>
      </c>
      <c r="V96"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96" s="129" t="str">
        <f>IF(PositionH[[#This Row],[HP H]]="","",MAX(PositionH[[#This Row],[P1 H]:[P6 H]]))</f>
        <v/>
      </c>
      <c r="X96"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96" s="172" t="str">
        <f>IF(PositionH[[#This Row],[Spiele H]]="","",MAX(PositionH[[#This Row],[P1 % H]:[P6 % H]]))</f>
        <v/>
      </c>
    </row>
    <row r="97" spans="1:25" x14ac:dyDescent="0.3">
      <c r="B97" s="129" t="str">
        <f t="shared" si="1"/>
        <v>Stefan Teuber</v>
      </c>
      <c r="C97" s="129">
        <f>VLOOKUP(PositionH[[#This Row],[Name H]],AuswertungH[],4,FALSE)</f>
        <v>9</v>
      </c>
      <c r="D97" s="129">
        <f>IF(PositionH[[#This Row],[Spiele H]]="","",COUNTIFS(Eingabe[Name],PositionH[[#This Row],[Name H]],Eingabe[Position],1,Eingabe[Wo],"H"))</f>
        <v>1</v>
      </c>
      <c r="E97" s="129">
        <f>IF(PositionH[[#This Row],[Spiele H]]="","",COUNTIFS(Eingabe[Name],PositionH[[#This Row],[Name H]],Eingabe[Position],2,Eingabe[Wo],"H"))</f>
        <v>5</v>
      </c>
      <c r="F97" s="129">
        <f>IF(PositionH[[#This Row],[Spiele H]]="","",COUNTIFS(Eingabe[Name],PositionH[[#This Row],[Name H]],Eingabe[Position],3,Eingabe[Wo],"H"))</f>
        <v>0</v>
      </c>
      <c r="G97" s="129">
        <f>IF(PositionH[[#This Row],[Spiele H]]="","",COUNTIFS(Eingabe[Name],PositionH[[#This Row],[Name H]],Eingabe[Position],4,Eingabe[Wo],"H"))</f>
        <v>3</v>
      </c>
      <c r="H97" s="129">
        <f>IF(PositionH[[#This Row],[Spiele H]]="","",COUNTIFS(Eingabe[Name],PositionH[[#This Row],[Name H]],Eingabe[Position],5,Eingabe[Wo],"H"))</f>
        <v>0</v>
      </c>
      <c r="I97" s="129">
        <f>IF(PositionH[[#This Row],[Spiele H]]="","",COUNTIFS(Eingabe[Name],PositionH[[#This Row],[Name H]],Eingabe[Position],6,Eingabe[Wo],"H"))</f>
        <v>0</v>
      </c>
      <c r="J97" s="129">
        <f>IF(PositionH[[#This Row],[P1 H]]="","",COUNTIFS(Eingabe[Position],1,Eingabe[MP],1,Eingabe[Name],PositionH[[#This Row],[Name H]],Eingabe[Wo],"H"))</f>
        <v>0</v>
      </c>
      <c r="K97" s="129">
        <f>IF(PositionH[[#This Row],[P2 H]]="","",COUNTIFS(Eingabe[Position],2,Eingabe[MP],1,Eingabe[Name],PositionH[[#This Row],[Name H]],Eingabe[Wo],"H"))</f>
        <v>0</v>
      </c>
      <c r="L97" s="129">
        <f>IF(PositionH[[#This Row],[P3 H]]="","",COUNTIFS(Eingabe[Position],3,Eingabe[MP],1,Eingabe[Name],PositionH[[#This Row],[Name H]],Eingabe[Wo],"H"))</f>
        <v>0</v>
      </c>
      <c r="M97" s="129">
        <f>IF(PositionH[[#This Row],[P4 H]]="","",COUNTIFS(Eingabe[Position],4,Eingabe[MP],1,Eingabe[Name],PositionH[[#This Row],[Name H]],Eingabe[Wo],"H"))</f>
        <v>2</v>
      </c>
      <c r="N97" s="129">
        <f>IF(PositionH[[#This Row],[P5 H]]="","",COUNTIFS(Eingabe[Position],5,Eingabe[MP],1,Eingabe[Name],PositionH[[#This Row],[Name H]],Eingabe[Wo],"H"))</f>
        <v>0</v>
      </c>
      <c r="O97" s="129">
        <f>IF(PositionH[[#This Row],[P6 H]]="","",COUNTIFS(Eingabe[Position],6,Eingabe[MP],1,Eingabe[Name],PositionH[[#This Row],[Name H]],Eingabe[Wo],"H"))</f>
        <v>0</v>
      </c>
      <c r="P97" s="172">
        <f>IF(PositionH[[#This Row],[P1 H]]=0,"",IF(PositionH[[#This Row],[P1 H]]="","",PositionH[[#This Row],[P1 S H]]/PositionH[[#This Row],[P1 H]]))</f>
        <v>0</v>
      </c>
      <c r="Q97" s="172">
        <f>IF(PositionH[[#This Row],[P2 H]]=0,"",IF(PositionH[[#This Row],[P2 H]]="","",PositionH[[#This Row],[P2 S H]]/PositionH[[#This Row],[P2 H]]))</f>
        <v>0</v>
      </c>
      <c r="R97" s="172" t="str">
        <f>IF(PositionH[[#This Row],[P3 H]]=0,"",IF(PositionH[[#This Row],[P3 H]]="","",PositionH[[#This Row],[P3 S H]]/PositionH[[#This Row],[P3 H]]))</f>
        <v/>
      </c>
      <c r="S97" s="172">
        <f>IF(PositionH[[#This Row],[P4 H]]=0,"",IF(PositionH[[#This Row],[P4 H]]="","",PositionH[[#This Row],[P4 S H]]/PositionH[[#This Row],[P4 H]]))</f>
        <v>0.66666666666666663</v>
      </c>
      <c r="T97" s="172" t="str">
        <f>IF(PositionH[[#This Row],[P5 H]]=0,"",IF(PositionH[[#This Row],[P5 H]]="","",PositionH[[#This Row],[P5 S H]]/PositionH[[#This Row],[P5 H]]))</f>
        <v/>
      </c>
      <c r="U97" s="172" t="str">
        <f>IF(PositionH[[#This Row],[P6 H]]=0,"",IF(PositionH[[#This Row],[P6 H]]="","",PositionH[[#This Row],[P6 S H]]/PositionH[[#This Row],[P6 H]]))</f>
        <v/>
      </c>
      <c r="V97"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[2]</v>
      </c>
      <c r="W97" s="129">
        <f>IF(PositionH[[#This Row],[HP H]]="","",MAX(PositionH[[#This Row],[P1 H]:[P6 H]]))</f>
        <v>5</v>
      </c>
      <c r="X97"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[4]</v>
      </c>
      <c r="Y97" s="172">
        <f>IF(PositionH[[#This Row],[Spiele H]]="","",MAX(PositionH[[#This Row],[P1 % H]:[P6 % H]]))</f>
        <v>0.66666666666666663</v>
      </c>
    </row>
    <row r="98" spans="1:25" x14ac:dyDescent="0.3">
      <c r="B98" s="129" t="str">
        <f t="shared" si="1"/>
        <v>Stefan Ulbricht</v>
      </c>
      <c r="C98" s="129">
        <f>VLOOKUP(PositionH[[#This Row],[Name H]],AuswertungH[],4,FALSE)</f>
        <v>3</v>
      </c>
      <c r="D98" s="129">
        <f>IF(PositionH[[#This Row],[Spiele H]]="","",COUNTIFS(Eingabe[Name],PositionH[[#This Row],[Name H]],Eingabe[Position],1,Eingabe[Wo],"H"))</f>
        <v>0</v>
      </c>
      <c r="E98" s="129">
        <f>IF(PositionH[[#This Row],[Spiele H]]="","",COUNTIFS(Eingabe[Name],PositionH[[#This Row],[Name H]],Eingabe[Position],2,Eingabe[Wo],"H"))</f>
        <v>0</v>
      </c>
      <c r="F98" s="129">
        <f>IF(PositionH[[#This Row],[Spiele H]]="","",COUNTIFS(Eingabe[Name],PositionH[[#This Row],[Name H]],Eingabe[Position],3,Eingabe[Wo],"H"))</f>
        <v>1</v>
      </c>
      <c r="G98" s="129">
        <f>IF(PositionH[[#This Row],[Spiele H]]="","",COUNTIFS(Eingabe[Name],PositionH[[#This Row],[Name H]],Eingabe[Position],4,Eingabe[Wo],"H"))</f>
        <v>2</v>
      </c>
      <c r="H98" s="129">
        <f>IF(PositionH[[#This Row],[Spiele H]]="","",COUNTIFS(Eingabe[Name],PositionH[[#This Row],[Name H]],Eingabe[Position],5,Eingabe[Wo],"H"))</f>
        <v>0</v>
      </c>
      <c r="I98" s="129">
        <f>IF(PositionH[[#This Row],[Spiele H]]="","",COUNTIFS(Eingabe[Name],PositionH[[#This Row],[Name H]],Eingabe[Position],6,Eingabe[Wo],"H"))</f>
        <v>0</v>
      </c>
      <c r="J98" s="129">
        <f>IF(PositionH[[#This Row],[P1 H]]="","",COUNTIFS(Eingabe[Position],1,Eingabe[MP],1,Eingabe[Name],PositionH[[#This Row],[Name H]],Eingabe[Wo],"H"))</f>
        <v>0</v>
      </c>
      <c r="K98" s="129">
        <f>IF(PositionH[[#This Row],[P2 H]]="","",COUNTIFS(Eingabe[Position],2,Eingabe[MP],1,Eingabe[Name],PositionH[[#This Row],[Name H]],Eingabe[Wo],"H"))</f>
        <v>0</v>
      </c>
      <c r="L98" s="129">
        <f>IF(PositionH[[#This Row],[P3 H]]="","",COUNTIFS(Eingabe[Position],3,Eingabe[MP],1,Eingabe[Name],PositionH[[#This Row],[Name H]],Eingabe[Wo],"H"))</f>
        <v>0</v>
      </c>
      <c r="M98" s="129">
        <f>IF(PositionH[[#This Row],[P4 H]]="","",COUNTIFS(Eingabe[Position],4,Eingabe[MP],1,Eingabe[Name],PositionH[[#This Row],[Name H]],Eingabe[Wo],"H"))</f>
        <v>0</v>
      </c>
      <c r="N98" s="129">
        <f>IF(PositionH[[#This Row],[P5 H]]="","",COUNTIFS(Eingabe[Position],5,Eingabe[MP],1,Eingabe[Name],PositionH[[#This Row],[Name H]],Eingabe[Wo],"H"))</f>
        <v>0</v>
      </c>
      <c r="O98" s="129">
        <f>IF(PositionH[[#This Row],[P6 H]]="","",COUNTIFS(Eingabe[Position],6,Eingabe[MP],1,Eingabe[Name],PositionH[[#This Row],[Name H]],Eingabe[Wo],"H"))</f>
        <v>0</v>
      </c>
      <c r="P98" s="172" t="str">
        <f>IF(PositionH[[#This Row],[P1 H]]=0,"",IF(PositionH[[#This Row],[P1 H]]="","",PositionH[[#This Row],[P1 S H]]/PositionH[[#This Row],[P1 H]]))</f>
        <v/>
      </c>
      <c r="Q98" s="172" t="str">
        <f>IF(PositionH[[#This Row],[P2 H]]=0,"",IF(PositionH[[#This Row],[P2 H]]="","",PositionH[[#This Row],[P2 S H]]/PositionH[[#This Row],[P2 H]]))</f>
        <v/>
      </c>
      <c r="R98" s="172">
        <f>IF(PositionH[[#This Row],[P3 H]]=0,"",IF(PositionH[[#This Row],[P3 H]]="","",PositionH[[#This Row],[P3 S H]]/PositionH[[#This Row],[P3 H]]))</f>
        <v>0</v>
      </c>
      <c r="S98" s="172">
        <f>IF(PositionH[[#This Row],[P4 H]]=0,"",IF(PositionH[[#This Row],[P4 H]]="","",PositionH[[#This Row],[P4 S H]]/PositionH[[#This Row],[P4 H]]))</f>
        <v>0</v>
      </c>
      <c r="T98" s="172" t="str">
        <f>IF(PositionH[[#This Row],[P5 H]]=0,"",IF(PositionH[[#This Row],[P5 H]]="","",PositionH[[#This Row],[P5 S H]]/PositionH[[#This Row],[P5 H]]))</f>
        <v/>
      </c>
      <c r="U98" s="172" t="str">
        <f>IF(PositionH[[#This Row],[P6 H]]=0,"",IF(PositionH[[#This Row],[P6 H]]="","",PositionH[[#This Row],[P6 S H]]/PositionH[[#This Row],[P6 H]]))</f>
        <v/>
      </c>
      <c r="V98"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[4]</v>
      </c>
      <c r="W98" s="129">
        <f>IF(PositionH[[#This Row],[HP H]]="","",MAX(PositionH[[#This Row],[P1 H]:[P6 H]]))</f>
        <v>2</v>
      </c>
      <c r="X98"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[3][4]</v>
      </c>
      <c r="Y98" s="172">
        <f>IF(PositionH[[#This Row],[Spiele H]]="","",MAX(PositionH[[#This Row],[P1 % H]:[P6 % H]]))</f>
        <v>0</v>
      </c>
    </row>
    <row r="99" spans="1:25" x14ac:dyDescent="0.3">
      <c r="B99" s="129" t="str">
        <f t="shared" si="1"/>
        <v>Sylke Schmidt</v>
      </c>
      <c r="C99" s="129">
        <f>VLOOKUP(PositionH[[#This Row],[Name H]],AuswertungH[],4,FALSE)</f>
        <v>3</v>
      </c>
      <c r="D99" s="129">
        <f>IF(PositionH[[#This Row],[Spiele H]]="","",COUNTIFS(Eingabe[Name],PositionH[[#This Row],[Name H]],Eingabe[Position],1,Eingabe[Wo],"H"))</f>
        <v>0</v>
      </c>
      <c r="E99" s="129">
        <f>IF(PositionH[[#This Row],[Spiele H]]="","",COUNTIFS(Eingabe[Name],PositionH[[#This Row],[Name H]],Eingabe[Position],2,Eingabe[Wo],"H"))</f>
        <v>0</v>
      </c>
      <c r="F99" s="129">
        <f>IF(PositionH[[#This Row],[Spiele H]]="","",COUNTIFS(Eingabe[Name],PositionH[[#This Row],[Name H]],Eingabe[Position],3,Eingabe[Wo],"H"))</f>
        <v>0</v>
      </c>
      <c r="G99" s="129">
        <f>IF(PositionH[[#This Row],[Spiele H]]="","",COUNTIFS(Eingabe[Name],PositionH[[#This Row],[Name H]],Eingabe[Position],4,Eingabe[Wo],"H"))</f>
        <v>0</v>
      </c>
      <c r="H99" s="129">
        <f>IF(PositionH[[#This Row],[Spiele H]]="","",COUNTIFS(Eingabe[Name],PositionH[[#This Row],[Name H]],Eingabe[Position],5,Eingabe[Wo],"H"))</f>
        <v>0</v>
      </c>
      <c r="I99" s="129">
        <f>IF(PositionH[[#This Row],[Spiele H]]="","",COUNTIFS(Eingabe[Name],PositionH[[#This Row],[Name H]],Eingabe[Position],6,Eingabe[Wo],"H"))</f>
        <v>3</v>
      </c>
      <c r="J99" s="129">
        <f>IF(PositionH[[#This Row],[P1 H]]="","",COUNTIFS(Eingabe[Position],1,Eingabe[MP],1,Eingabe[Name],PositionH[[#This Row],[Name H]],Eingabe[Wo],"H"))</f>
        <v>0</v>
      </c>
      <c r="K99" s="129">
        <f>IF(PositionH[[#This Row],[P2 H]]="","",COUNTIFS(Eingabe[Position],2,Eingabe[MP],1,Eingabe[Name],PositionH[[#This Row],[Name H]],Eingabe[Wo],"H"))</f>
        <v>0</v>
      </c>
      <c r="L99" s="129">
        <f>IF(PositionH[[#This Row],[P3 H]]="","",COUNTIFS(Eingabe[Position],3,Eingabe[MP],1,Eingabe[Name],PositionH[[#This Row],[Name H]],Eingabe[Wo],"H"))</f>
        <v>0</v>
      </c>
      <c r="M99" s="129">
        <f>IF(PositionH[[#This Row],[P4 H]]="","",COUNTIFS(Eingabe[Position],4,Eingabe[MP],1,Eingabe[Name],PositionH[[#This Row],[Name H]],Eingabe[Wo],"H"))</f>
        <v>0</v>
      </c>
      <c r="N99" s="129">
        <f>IF(PositionH[[#This Row],[P5 H]]="","",COUNTIFS(Eingabe[Position],5,Eingabe[MP],1,Eingabe[Name],PositionH[[#This Row],[Name H]],Eingabe[Wo],"H"))</f>
        <v>0</v>
      </c>
      <c r="O99" s="129">
        <f>IF(PositionH[[#This Row],[P6 H]]="","",COUNTIFS(Eingabe[Position],6,Eingabe[MP],1,Eingabe[Name],PositionH[[#This Row],[Name H]],Eingabe[Wo],"H"))</f>
        <v>3</v>
      </c>
      <c r="P99" s="172" t="str">
        <f>IF(PositionH[[#This Row],[P1 H]]=0,"",IF(PositionH[[#This Row],[P1 H]]="","",PositionH[[#This Row],[P1 S H]]/PositionH[[#This Row],[P1 H]]))</f>
        <v/>
      </c>
      <c r="Q99" s="172" t="str">
        <f>IF(PositionH[[#This Row],[P2 H]]=0,"",IF(PositionH[[#This Row],[P2 H]]="","",PositionH[[#This Row],[P2 S H]]/PositionH[[#This Row],[P2 H]]))</f>
        <v/>
      </c>
      <c r="R99" s="172" t="str">
        <f>IF(PositionH[[#This Row],[P3 H]]=0,"",IF(PositionH[[#This Row],[P3 H]]="","",PositionH[[#This Row],[P3 S H]]/PositionH[[#This Row],[P3 H]]))</f>
        <v/>
      </c>
      <c r="S99" s="172" t="str">
        <f>IF(PositionH[[#This Row],[P4 H]]=0,"",IF(PositionH[[#This Row],[P4 H]]="","",PositionH[[#This Row],[P4 S H]]/PositionH[[#This Row],[P4 H]]))</f>
        <v/>
      </c>
      <c r="T99" s="172" t="str">
        <f>IF(PositionH[[#This Row],[P5 H]]=0,"",IF(PositionH[[#This Row],[P5 H]]="","",PositionH[[#This Row],[P5 S H]]/PositionH[[#This Row],[P5 H]]))</f>
        <v/>
      </c>
      <c r="U99" s="172">
        <f>IF(PositionH[[#This Row],[P6 H]]=0,"",IF(PositionH[[#This Row],[P6 H]]="","",PositionH[[#This Row],[P6 S H]]/PositionH[[#This Row],[P6 H]]))</f>
        <v>1</v>
      </c>
      <c r="V99"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[6]</v>
      </c>
      <c r="W99" s="129">
        <f>IF(PositionH[[#This Row],[HP H]]="","",MAX(PositionH[[#This Row],[P1 H]:[P6 H]]))</f>
        <v>3</v>
      </c>
      <c r="X99"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[6]</v>
      </c>
      <c r="Y99" s="172">
        <f>IF(PositionH[[#This Row],[Spiele H]]="","",MAX(PositionH[[#This Row],[P1 % H]:[P6 % H]]))</f>
        <v>1</v>
      </c>
    </row>
    <row r="100" spans="1:25" x14ac:dyDescent="0.3">
      <c r="B100" s="129" t="str">
        <f t="shared" si="1"/>
        <v>Tim Becker</v>
      </c>
      <c r="C100" s="129">
        <f>VLOOKUP(PositionH[[#This Row],[Name H]],AuswertungH[],4,FALSE)</f>
        <v>9</v>
      </c>
      <c r="D100" s="129">
        <f>IF(PositionH[[#This Row],[Spiele H]]="","",COUNTIFS(Eingabe[Name],PositionH[[#This Row],[Name H]],Eingabe[Position],1,Eingabe[Wo],"H"))</f>
        <v>0</v>
      </c>
      <c r="E100" s="129">
        <f>IF(PositionH[[#This Row],[Spiele H]]="","",COUNTIFS(Eingabe[Name],PositionH[[#This Row],[Name H]],Eingabe[Position],2,Eingabe[Wo],"H"))</f>
        <v>1</v>
      </c>
      <c r="F100" s="129">
        <f>IF(PositionH[[#This Row],[Spiele H]]="","",COUNTIFS(Eingabe[Name],PositionH[[#This Row],[Name H]],Eingabe[Position],3,Eingabe[Wo],"H"))</f>
        <v>0</v>
      </c>
      <c r="G100" s="129">
        <f>IF(PositionH[[#This Row],[Spiele H]]="","",COUNTIFS(Eingabe[Name],PositionH[[#This Row],[Name H]],Eingabe[Position],4,Eingabe[Wo],"H"))</f>
        <v>6</v>
      </c>
      <c r="H100" s="129">
        <f>IF(PositionH[[#This Row],[Spiele H]]="","",COUNTIFS(Eingabe[Name],PositionH[[#This Row],[Name H]],Eingabe[Position],5,Eingabe[Wo],"H"))</f>
        <v>0</v>
      </c>
      <c r="I100" s="129">
        <f>IF(PositionH[[#This Row],[Spiele H]]="","",COUNTIFS(Eingabe[Name],PositionH[[#This Row],[Name H]],Eingabe[Position],6,Eingabe[Wo],"H"))</f>
        <v>2</v>
      </c>
      <c r="J100" s="129">
        <f>IF(PositionH[[#This Row],[P1 H]]="","",COUNTIFS(Eingabe[Position],1,Eingabe[MP],1,Eingabe[Name],PositionH[[#This Row],[Name H]],Eingabe[Wo],"H"))</f>
        <v>0</v>
      </c>
      <c r="K100" s="129">
        <f>IF(PositionH[[#This Row],[P2 H]]="","",COUNTIFS(Eingabe[Position],2,Eingabe[MP],1,Eingabe[Name],PositionH[[#This Row],[Name H]],Eingabe[Wo],"H"))</f>
        <v>1</v>
      </c>
      <c r="L100" s="129">
        <f>IF(PositionH[[#This Row],[P3 H]]="","",COUNTIFS(Eingabe[Position],3,Eingabe[MP],1,Eingabe[Name],PositionH[[#This Row],[Name H]],Eingabe[Wo],"H"))</f>
        <v>0</v>
      </c>
      <c r="M100" s="129">
        <f>IF(PositionH[[#This Row],[P4 H]]="","",COUNTIFS(Eingabe[Position],4,Eingabe[MP],1,Eingabe[Name],PositionH[[#This Row],[Name H]],Eingabe[Wo],"H"))</f>
        <v>6</v>
      </c>
      <c r="N100" s="129">
        <f>IF(PositionH[[#This Row],[P5 H]]="","",COUNTIFS(Eingabe[Position],5,Eingabe[MP],1,Eingabe[Name],PositionH[[#This Row],[Name H]],Eingabe[Wo],"H"))</f>
        <v>0</v>
      </c>
      <c r="O100" s="129">
        <f>IF(PositionH[[#This Row],[P6 H]]="","",COUNTIFS(Eingabe[Position],6,Eingabe[MP],1,Eingabe[Name],PositionH[[#This Row],[Name H]],Eingabe[Wo],"H"))</f>
        <v>2</v>
      </c>
      <c r="P100" s="172" t="str">
        <f>IF(PositionH[[#This Row],[P1 H]]=0,"",IF(PositionH[[#This Row],[P1 H]]="","",PositionH[[#This Row],[P1 S H]]/PositionH[[#This Row],[P1 H]]))</f>
        <v/>
      </c>
      <c r="Q100" s="172">
        <f>IF(PositionH[[#This Row],[P2 H]]=0,"",IF(PositionH[[#This Row],[P2 H]]="","",PositionH[[#This Row],[P2 S H]]/PositionH[[#This Row],[P2 H]]))</f>
        <v>1</v>
      </c>
      <c r="R100" s="172" t="str">
        <f>IF(PositionH[[#This Row],[P3 H]]=0,"",IF(PositionH[[#This Row],[P3 H]]="","",PositionH[[#This Row],[P3 S H]]/PositionH[[#This Row],[P3 H]]))</f>
        <v/>
      </c>
      <c r="S100" s="172">
        <f>IF(PositionH[[#This Row],[P4 H]]=0,"",IF(PositionH[[#This Row],[P4 H]]="","",PositionH[[#This Row],[P4 S H]]/PositionH[[#This Row],[P4 H]]))</f>
        <v>1</v>
      </c>
      <c r="T100" s="172" t="str">
        <f>IF(PositionH[[#This Row],[P5 H]]=0,"",IF(PositionH[[#This Row],[P5 H]]="","",PositionH[[#This Row],[P5 S H]]/PositionH[[#This Row],[P5 H]]))</f>
        <v/>
      </c>
      <c r="U100" s="172">
        <f>IF(PositionH[[#This Row],[P6 H]]=0,"",IF(PositionH[[#This Row],[P6 H]]="","",PositionH[[#This Row],[P6 S H]]/PositionH[[#This Row],[P6 H]]))</f>
        <v>1</v>
      </c>
      <c r="V100"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[4]</v>
      </c>
      <c r="W100" s="129">
        <f>IF(PositionH[[#This Row],[HP H]]="","",MAX(PositionH[[#This Row],[P1 H]:[P6 H]]))</f>
        <v>6</v>
      </c>
      <c r="X100"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[2][4][6]</v>
      </c>
      <c r="Y100" s="172">
        <f>IF(PositionH[[#This Row],[Spiele H]]="","",MAX(PositionH[[#This Row],[P1 % H]:[P6 % H]]))</f>
        <v>1</v>
      </c>
    </row>
    <row r="101" spans="1:25" x14ac:dyDescent="0.3">
      <c r="B101" s="129" t="str">
        <f t="shared" si="1"/>
        <v>Tim Beger</v>
      </c>
      <c r="C101" s="129">
        <f>VLOOKUP(PositionH[[#This Row],[Name H]],AuswertungH[],4,FALSE)</f>
        <v>5</v>
      </c>
      <c r="D101" s="129">
        <f>IF(PositionH[[#This Row],[Spiele H]]="","",COUNTIFS(Eingabe[Name],PositionH[[#This Row],[Name H]],Eingabe[Position],1,Eingabe[Wo],"H"))</f>
        <v>0</v>
      </c>
      <c r="E101" s="129">
        <f>IF(PositionH[[#This Row],[Spiele H]]="","",COUNTIFS(Eingabe[Name],PositionH[[#This Row],[Name H]],Eingabe[Position],2,Eingabe[Wo],"H"))</f>
        <v>0</v>
      </c>
      <c r="F101" s="129">
        <f>IF(PositionH[[#This Row],[Spiele H]]="","",COUNTIFS(Eingabe[Name],PositionH[[#This Row],[Name H]],Eingabe[Position],3,Eingabe[Wo],"H"))</f>
        <v>0</v>
      </c>
      <c r="G101" s="129">
        <f>IF(PositionH[[#This Row],[Spiele H]]="","",COUNTIFS(Eingabe[Name],PositionH[[#This Row],[Name H]],Eingabe[Position],4,Eingabe[Wo],"H"))</f>
        <v>0</v>
      </c>
      <c r="H101" s="129">
        <f>IF(PositionH[[#This Row],[Spiele H]]="","",COUNTIFS(Eingabe[Name],PositionH[[#This Row],[Name H]],Eingabe[Position],5,Eingabe[Wo],"H"))</f>
        <v>3</v>
      </c>
      <c r="I101" s="129">
        <f>IF(PositionH[[#This Row],[Spiele H]]="","",COUNTIFS(Eingabe[Name],PositionH[[#This Row],[Name H]],Eingabe[Position],6,Eingabe[Wo],"H"))</f>
        <v>2</v>
      </c>
      <c r="J101" s="129">
        <f>IF(PositionH[[#This Row],[P1 H]]="","",COUNTIFS(Eingabe[Position],1,Eingabe[MP],1,Eingabe[Name],PositionH[[#This Row],[Name H]],Eingabe[Wo],"H"))</f>
        <v>0</v>
      </c>
      <c r="K101" s="129">
        <f>IF(PositionH[[#This Row],[P2 H]]="","",COUNTIFS(Eingabe[Position],2,Eingabe[MP],1,Eingabe[Name],PositionH[[#This Row],[Name H]],Eingabe[Wo],"H"))</f>
        <v>0</v>
      </c>
      <c r="L101" s="129">
        <f>IF(PositionH[[#This Row],[P3 H]]="","",COUNTIFS(Eingabe[Position],3,Eingabe[MP],1,Eingabe[Name],PositionH[[#This Row],[Name H]],Eingabe[Wo],"H"))</f>
        <v>0</v>
      </c>
      <c r="M101" s="129">
        <f>IF(PositionH[[#This Row],[P4 H]]="","",COUNTIFS(Eingabe[Position],4,Eingabe[MP],1,Eingabe[Name],PositionH[[#This Row],[Name H]],Eingabe[Wo],"H"))</f>
        <v>0</v>
      </c>
      <c r="N101" s="129">
        <f>IF(PositionH[[#This Row],[P5 H]]="","",COUNTIFS(Eingabe[Position],5,Eingabe[MP],1,Eingabe[Name],PositionH[[#This Row],[Name H]],Eingabe[Wo],"H"))</f>
        <v>1</v>
      </c>
      <c r="O101" s="129">
        <f>IF(PositionH[[#This Row],[P6 H]]="","",COUNTIFS(Eingabe[Position],6,Eingabe[MP],1,Eingabe[Name],PositionH[[#This Row],[Name H]],Eingabe[Wo],"H"))</f>
        <v>2</v>
      </c>
      <c r="P101" s="172" t="str">
        <f>IF(PositionH[[#This Row],[P1 H]]=0,"",IF(PositionH[[#This Row],[P1 H]]="","",PositionH[[#This Row],[P1 S H]]/PositionH[[#This Row],[P1 H]]))</f>
        <v/>
      </c>
      <c r="Q101" s="172" t="str">
        <f>IF(PositionH[[#This Row],[P2 H]]=0,"",IF(PositionH[[#This Row],[P2 H]]="","",PositionH[[#This Row],[P2 S H]]/PositionH[[#This Row],[P2 H]]))</f>
        <v/>
      </c>
      <c r="R101" s="172" t="str">
        <f>IF(PositionH[[#This Row],[P3 H]]=0,"",IF(PositionH[[#This Row],[P3 H]]="","",PositionH[[#This Row],[P3 S H]]/PositionH[[#This Row],[P3 H]]))</f>
        <v/>
      </c>
      <c r="S101" s="172" t="str">
        <f>IF(PositionH[[#This Row],[P4 H]]=0,"",IF(PositionH[[#This Row],[P4 H]]="","",PositionH[[#This Row],[P4 S H]]/PositionH[[#This Row],[P4 H]]))</f>
        <v/>
      </c>
      <c r="T101" s="172">
        <f>IF(PositionH[[#This Row],[P5 H]]=0,"",IF(PositionH[[#This Row],[P5 H]]="","",PositionH[[#This Row],[P5 S H]]/PositionH[[#This Row],[P5 H]]))</f>
        <v>0.33333333333333331</v>
      </c>
      <c r="U101" s="172">
        <f>IF(PositionH[[#This Row],[P6 H]]=0,"",IF(PositionH[[#This Row],[P6 H]]="","",PositionH[[#This Row],[P6 S H]]/PositionH[[#This Row],[P6 H]]))</f>
        <v>1</v>
      </c>
      <c r="V101"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[5]</v>
      </c>
      <c r="W101" s="129">
        <f>IF(PositionH[[#This Row],[HP H]]="","",MAX(PositionH[[#This Row],[P1 H]:[P6 H]]))</f>
        <v>3</v>
      </c>
      <c r="X101"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[6]</v>
      </c>
      <c r="Y101" s="172">
        <f>IF(PositionH[[#This Row],[Spiele H]]="","",MAX(PositionH[[#This Row],[P1 % H]:[P6 % H]]))</f>
        <v>1</v>
      </c>
    </row>
    <row r="102" spans="1:25" x14ac:dyDescent="0.3">
      <c r="B102" s="129" t="str">
        <f t="shared" si="1"/>
        <v>Ulli Baumgarten</v>
      </c>
      <c r="C102" s="129" t="str">
        <f>VLOOKUP(PositionH[[#This Row],[Name H]],AuswertungH[],4,FALSE)</f>
        <v/>
      </c>
      <c r="D102" s="129" t="str">
        <f>IF(PositionH[[#This Row],[Spiele H]]="","",COUNTIFS(Eingabe[Name],PositionH[[#This Row],[Name H]],Eingabe[Position],1,Eingabe[Wo],"H"))</f>
        <v/>
      </c>
      <c r="E102" s="129" t="str">
        <f>IF(PositionH[[#This Row],[Spiele H]]="","",COUNTIFS(Eingabe[Name],PositionH[[#This Row],[Name H]],Eingabe[Position],2,Eingabe[Wo],"H"))</f>
        <v/>
      </c>
      <c r="F102" s="129" t="str">
        <f>IF(PositionH[[#This Row],[Spiele H]]="","",COUNTIFS(Eingabe[Name],PositionH[[#This Row],[Name H]],Eingabe[Position],3,Eingabe[Wo],"H"))</f>
        <v/>
      </c>
      <c r="G102" s="129" t="str">
        <f>IF(PositionH[[#This Row],[Spiele H]]="","",COUNTIFS(Eingabe[Name],PositionH[[#This Row],[Name H]],Eingabe[Position],4,Eingabe[Wo],"H"))</f>
        <v/>
      </c>
      <c r="H102" s="129" t="str">
        <f>IF(PositionH[[#This Row],[Spiele H]]="","",COUNTIFS(Eingabe[Name],PositionH[[#This Row],[Name H]],Eingabe[Position],5,Eingabe[Wo],"H"))</f>
        <v/>
      </c>
      <c r="I102" s="129" t="str">
        <f>IF(PositionH[[#This Row],[Spiele H]]="","",COUNTIFS(Eingabe[Name],PositionH[[#This Row],[Name H]],Eingabe[Position],6,Eingabe[Wo],"H"))</f>
        <v/>
      </c>
      <c r="J102" s="129" t="str">
        <f>IF(PositionH[[#This Row],[P1 H]]="","",COUNTIFS(Eingabe[Position],1,Eingabe[MP],1,Eingabe[Name],PositionH[[#This Row],[Name H]],Eingabe[Wo],"H"))</f>
        <v/>
      </c>
      <c r="K102" s="129" t="str">
        <f>IF(PositionH[[#This Row],[P2 H]]="","",COUNTIFS(Eingabe[Position],2,Eingabe[MP],1,Eingabe[Name],PositionH[[#This Row],[Name H]],Eingabe[Wo],"H"))</f>
        <v/>
      </c>
      <c r="L102" s="129" t="str">
        <f>IF(PositionH[[#This Row],[P3 H]]="","",COUNTIFS(Eingabe[Position],3,Eingabe[MP],1,Eingabe[Name],PositionH[[#This Row],[Name H]],Eingabe[Wo],"H"))</f>
        <v/>
      </c>
      <c r="M102" s="129" t="str">
        <f>IF(PositionH[[#This Row],[P4 H]]="","",COUNTIFS(Eingabe[Position],4,Eingabe[MP],1,Eingabe[Name],PositionH[[#This Row],[Name H]],Eingabe[Wo],"H"))</f>
        <v/>
      </c>
      <c r="N102" s="129" t="str">
        <f>IF(PositionH[[#This Row],[P5 H]]="","",COUNTIFS(Eingabe[Position],5,Eingabe[MP],1,Eingabe[Name],PositionH[[#This Row],[Name H]],Eingabe[Wo],"H"))</f>
        <v/>
      </c>
      <c r="O102" s="129" t="str">
        <f>IF(PositionH[[#This Row],[P6 H]]="","",COUNTIFS(Eingabe[Position],6,Eingabe[MP],1,Eingabe[Name],PositionH[[#This Row],[Name H]],Eingabe[Wo],"H"))</f>
        <v/>
      </c>
      <c r="P102" s="172" t="str">
        <f>IF(PositionH[[#This Row],[P1 H]]=0,"",IF(PositionH[[#This Row],[P1 H]]="","",PositionH[[#This Row],[P1 S H]]/PositionH[[#This Row],[P1 H]]))</f>
        <v/>
      </c>
      <c r="Q102" s="172" t="str">
        <f>IF(PositionH[[#This Row],[P2 H]]=0,"",IF(PositionH[[#This Row],[P2 H]]="","",PositionH[[#This Row],[P2 S H]]/PositionH[[#This Row],[P2 H]]))</f>
        <v/>
      </c>
      <c r="R102" s="172" t="str">
        <f>IF(PositionH[[#This Row],[P3 H]]=0,"",IF(PositionH[[#This Row],[P3 H]]="","",PositionH[[#This Row],[P3 S H]]/PositionH[[#This Row],[P3 H]]))</f>
        <v/>
      </c>
      <c r="S102" s="172" t="str">
        <f>IF(PositionH[[#This Row],[P4 H]]=0,"",IF(PositionH[[#This Row],[P4 H]]="","",PositionH[[#This Row],[P4 S H]]/PositionH[[#This Row],[P4 H]]))</f>
        <v/>
      </c>
      <c r="T102" s="172" t="str">
        <f>IF(PositionH[[#This Row],[P5 H]]=0,"",IF(PositionH[[#This Row],[P5 H]]="","",PositionH[[#This Row],[P5 S H]]/PositionH[[#This Row],[P5 H]]))</f>
        <v/>
      </c>
      <c r="U102" s="172" t="str">
        <f>IF(PositionH[[#This Row],[P6 H]]=0,"",IF(PositionH[[#This Row],[P6 H]]="","",PositionH[[#This Row],[P6 S H]]/PositionH[[#This Row],[P6 H]]))</f>
        <v/>
      </c>
      <c r="V102"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102" s="129" t="str">
        <f>IF(PositionH[[#This Row],[HP H]]="","",MAX(PositionH[[#This Row],[P1 H]:[P6 H]]))</f>
        <v/>
      </c>
      <c r="X102"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102" s="172" t="str">
        <f>IF(PositionH[[#This Row],[Spiele H]]="","",MAX(PositionH[[#This Row],[P1 % H]:[P6 % H]]))</f>
        <v/>
      </c>
    </row>
    <row r="103" spans="1:25" x14ac:dyDescent="0.3">
      <c r="B103" s="129" t="str">
        <f t="shared" si="1"/>
        <v>Uwe Zippack</v>
      </c>
      <c r="C103" s="129">
        <f>VLOOKUP(PositionH[[#This Row],[Name H]],AuswertungH[],4,FALSE)</f>
        <v>5</v>
      </c>
      <c r="D103" s="129">
        <f>IF(PositionH[[#This Row],[Spiele H]]="","",COUNTIFS(Eingabe[Name],PositionH[[#This Row],[Name H]],Eingabe[Position],1,Eingabe[Wo],"H"))</f>
        <v>0</v>
      </c>
      <c r="E103" s="129">
        <f>IF(PositionH[[#This Row],[Spiele H]]="","",COUNTIFS(Eingabe[Name],PositionH[[#This Row],[Name H]],Eingabe[Position],2,Eingabe[Wo],"H"))</f>
        <v>2</v>
      </c>
      <c r="F103" s="129">
        <f>IF(PositionH[[#This Row],[Spiele H]]="","",COUNTIFS(Eingabe[Name],PositionH[[#This Row],[Name H]],Eingabe[Position],3,Eingabe[Wo],"H"))</f>
        <v>1</v>
      </c>
      <c r="G103" s="129">
        <f>IF(PositionH[[#This Row],[Spiele H]]="","",COUNTIFS(Eingabe[Name],PositionH[[#This Row],[Name H]],Eingabe[Position],4,Eingabe[Wo],"H"))</f>
        <v>1</v>
      </c>
      <c r="H103" s="129">
        <f>IF(PositionH[[#This Row],[Spiele H]]="","",COUNTIFS(Eingabe[Name],PositionH[[#This Row],[Name H]],Eingabe[Position],5,Eingabe[Wo],"H"))</f>
        <v>0</v>
      </c>
      <c r="I103" s="129">
        <f>IF(PositionH[[#This Row],[Spiele H]]="","",COUNTIFS(Eingabe[Name],PositionH[[#This Row],[Name H]],Eingabe[Position],6,Eingabe[Wo],"H"))</f>
        <v>1</v>
      </c>
      <c r="J103" s="129">
        <f>IF(PositionH[[#This Row],[P1 H]]="","",COUNTIFS(Eingabe[Position],1,Eingabe[MP],1,Eingabe[Name],PositionH[[#This Row],[Name H]],Eingabe[Wo],"H"))</f>
        <v>0</v>
      </c>
      <c r="K103" s="129">
        <f>IF(PositionH[[#This Row],[P2 H]]="","",COUNTIFS(Eingabe[Position],2,Eingabe[MP],1,Eingabe[Name],PositionH[[#This Row],[Name H]],Eingabe[Wo],"H"))</f>
        <v>2</v>
      </c>
      <c r="L103" s="129">
        <f>IF(PositionH[[#This Row],[P3 H]]="","",COUNTIFS(Eingabe[Position],3,Eingabe[MP],1,Eingabe[Name],PositionH[[#This Row],[Name H]],Eingabe[Wo],"H"))</f>
        <v>0</v>
      </c>
      <c r="M103" s="129">
        <f>IF(PositionH[[#This Row],[P4 H]]="","",COUNTIFS(Eingabe[Position],4,Eingabe[MP],1,Eingabe[Name],PositionH[[#This Row],[Name H]],Eingabe[Wo],"H"))</f>
        <v>0</v>
      </c>
      <c r="N103" s="129">
        <f>IF(PositionH[[#This Row],[P5 H]]="","",COUNTIFS(Eingabe[Position],5,Eingabe[MP],1,Eingabe[Name],PositionH[[#This Row],[Name H]],Eingabe[Wo],"H"))</f>
        <v>0</v>
      </c>
      <c r="O103" s="129">
        <f>IF(PositionH[[#This Row],[P6 H]]="","",COUNTIFS(Eingabe[Position],6,Eingabe[MP],1,Eingabe[Name],PositionH[[#This Row],[Name H]],Eingabe[Wo],"H"))</f>
        <v>0</v>
      </c>
      <c r="P103" s="172" t="str">
        <f>IF(PositionH[[#This Row],[P1 H]]=0,"",IF(PositionH[[#This Row],[P1 H]]="","",PositionH[[#This Row],[P1 S H]]/PositionH[[#This Row],[P1 H]]))</f>
        <v/>
      </c>
      <c r="Q103" s="172">
        <f>IF(PositionH[[#This Row],[P2 H]]=0,"",IF(PositionH[[#This Row],[P2 H]]="","",PositionH[[#This Row],[P2 S H]]/PositionH[[#This Row],[P2 H]]))</f>
        <v>1</v>
      </c>
      <c r="R103" s="172">
        <f>IF(PositionH[[#This Row],[P3 H]]=0,"",IF(PositionH[[#This Row],[P3 H]]="","",PositionH[[#This Row],[P3 S H]]/PositionH[[#This Row],[P3 H]]))</f>
        <v>0</v>
      </c>
      <c r="S103" s="172">
        <f>IF(PositionH[[#This Row],[P4 H]]=0,"",IF(PositionH[[#This Row],[P4 H]]="","",PositionH[[#This Row],[P4 S H]]/PositionH[[#This Row],[P4 H]]))</f>
        <v>0</v>
      </c>
      <c r="T103" s="172" t="str">
        <f>IF(PositionH[[#This Row],[P5 H]]=0,"",IF(PositionH[[#This Row],[P5 H]]="","",PositionH[[#This Row],[P5 S H]]/PositionH[[#This Row],[P5 H]]))</f>
        <v/>
      </c>
      <c r="U103" s="172">
        <f>IF(PositionH[[#This Row],[P6 H]]=0,"",IF(PositionH[[#This Row],[P6 H]]="","",PositionH[[#This Row],[P6 S H]]/PositionH[[#This Row],[P6 H]]))</f>
        <v>0</v>
      </c>
      <c r="V103"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[2]</v>
      </c>
      <c r="W103" s="129">
        <f>IF(PositionH[[#This Row],[HP H]]="","",MAX(PositionH[[#This Row],[P1 H]:[P6 H]]))</f>
        <v>2</v>
      </c>
      <c r="X103"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[2]</v>
      </c>
      <c r="Y103" s="172">
        <f>IF(PositionH[[#This Row],[Spiele H]]="","",MAX(PositionH[[#This Row],[P1 % H]:[P6 % H]]))</f>
        <v>1</v>
      </c>
    </row>
    <row r="105" spans="1:25" x14ac:dyDescent="0.3">
      <c r="A105" s="173" t="s">
        <v>119</v>
      </c>
      <c r="B105" s="129" t="s">
        <v>335</v>
      </c>
      <c r="C105" s="129" t="s">
        <v>20</v>
      </c>
      <c r="D105" s="129" t="s">
        <v>336</v>
      </c>
      <c r="E105" s="129" t="s">
        <v>337</v>
      </c>
      <c r="F105" s="129" t="s">
        <v>338</v>
      </c>
      <c r="G105" s="129" t="s">
        <v>339</v>
      </c>
      <c r="H105" s="129" t="s">
        <v>340</v>
      </c>
      <c r="I105" s="129" t="s">
        <v>341</v>
      </c>
      <c r="J105" s="129" t="s">
        <v>342</v>
      </c>
      <c r="K105" s="129" t="s">
        <v>343</v>
      </c>
      <c r="L105" s="129" t="s">
        <v>344</v>
      </c>
      <c r="M105" s="129" t="s">
        <v>345</v>
      </c>
      <c r="N105" s="129" t="s">
        <v>346</v>
      </c>
      <c r="O105" s="129" t="s">
        <v>347</v>
      </c>
      <c r="P105" s="129" t="s">
        <v>348</v>
      </c>
      <c r="Q105" s="129" t="s">
        <v>349</v>
      </c>
      <c r="R105" s="129" t="s">
        <v>350</v>
      </c>
      <c r="S105" s="129" t="s">
        <v>351</v>
      </c>
      <c r="T105" s="129" t="s">
        <v>352</v>
      </c>
      <c r="U105" s="129" t="s">
        <v>353</v>
      </c>
      <c r="V105" s="129" t="s">
        <v>314</v>
      </c>
      <c r="W105" s="129" t="s">
        <v>315</v>
      </c>
      <c r="X105" s="129" t="s">
        <v>316</v>
      </c>
      <c r="Y105" s="129" t="s">
        <v>317</v>
      </c>
    </row>
    <row r="106" spans="1:25" x14ac:dyDescent="0.3">
      <c r="B106" s="129" t="str">
        <f>B54</f>
        <v>Anastasia Landau</v>
      </c>
      <c r="C106" s="129" t="str">
        <f>VLOOKUP(PositionA[[#This Row],[Name A]],AuswertungA[],4,FALSE)</f>
        <v/>
      </c>
      <c r="D106" s="129" t="str">
        <f>IF(PositionA[[#This Row],[Spiele A]]="","",COUNTIFS(Eingabe[Name],PositionA[[#This Row],[Name A]],Eingabe[Position],1,Eingabe[Wo],"A"))</f>
        <v/>
      </c>
      <c r="E106" s="129" t="str">
        <f>IF(PositionA[[#This Row],[Spiele A]]="","",COUNTIFS(Eingabe[Name],PositionA[[#This Row],[Name A]],Eingabe[Position],2,Eingabe[Wo],"A"))</f>
        <v/>
      </c>
      <c r="F106" s="129" t="str">
        <f>IF(PositionA[[#This Row],[Spiele A]]="","",COUNTIFS(Eingabe[Name],PositionA[[#This Row],[Name A]],Eingabe[Position],3,Eingabe[Wo],"A"))</f>
        <v/>
      </c>
      <c r="G106" s="129" t="str">
        <f>IF(PositionA[[#This Row],[Spiele A]]="","",COUNTIFS(Eingabe[Name],PositionA[[#This Row],[Name A]],Eingabe[Position],4,Eingabe[Wo],"A"))</f>
        <v/>
      </c>
      <c r="H106" s="129" t="str">
        <f>IF(PositionA[[#This Row],[Spiele A]]="","",COUNTIFS(Eingabe[Name],PositionA[[#This Row],[Name A]],Eingabe[Position],5,Eingabe[Wo],"A"))</f>
        <v/>
      </c>
      <c r="I106" s="129" t="str">
        <f>IF(PositionA[[#This Row],[Spiele A]]="","",COUNTIFS(Eingabe[Name],PositionA[[#This Row],[Name A]],Eingabe[Position],6,Eingabe[Wo],"A"))</f>
        <v/>
      </c>
      <c r="J106" s="129" t="str">
        <f>IF(PositionA[[#This Row],[P1 A]]="","",COUNTIFS(Eingabe[Position],1,Eingabe[MP],1,Eingabe[Name],PositionA[[#This Row],[Name A]],Eingabe[Wo],"A"))</f>
        <v/>
      </c>
      <c r="K106" s="129" t="str">
        <f>IF(PositionA[[#This Row],[P2 A]]="","",COUNTIFS(Eingabe[Position],2,Eingabe[MP],1,Eingabe[Name],PositionA[[#This Row],[Name A]],Eingabe[Wo],"A"))</f>
        <v/>
      </c>
      <c r="L106" s="129" t="str">
        <f>IF(PositionA[[#This Row],[P3 A]]="","",COUNTIFS(Eingabe[Position],3,Eingabe[MP],1,Eingabe[Name],PositionA[[#This Row],[Name A]],Eingabe[Wo],"A"))</f>
        <v/>
      </c>
      <c r="M106" s="129" t="str">
        <f>IF(PositionA[[#This Row],[P4 A]]="","",COUNTIFS(Eingabe[Position],4,Eingabe[MP],1,Eingabe[Name],PositionA[[#This Row],[Name A]],Eingabe[Wo],"A"))</f>
        <v/>
      </c>
      <c r="N106" s="129" t="str">
        <f>IF(PositionA[[#This Row],[P5 A]]="","",COUNTIFS(Eingabe[Position],5,Eingabe[MP],1,Eingabe[Name],PositionA[[#This Row],[Name A]],Eingabe[Wo],"A"))</f>
        <v/>
      </c>
      <c r="O106" s="129" t="str">
        <f>IF(PositionA[[#This Row],[P6 A]]="","",COUNTIFS(Eingabe[Position],6,Eingabe[MP],1,Eingabe[Name],PositionA[[#This Row],[Name A]],Eingabe[Wo],"A"))</f>
        <v/>
      </c>
      <c r="P106" s="172" t="str">
        <f>IF(PositionA[[#This Row],[P1 A]]=0,"",IF(PositionA[[#This Row],[P1 A]]="","",PositionA[[#This Row],[P1 S A]]/PositionA[[#This Row],[P1 A]]))</f>
        <v/>
      </c>
      <c r="Q106" s="172" t="str">
        <f>IF(PositionA[[#This Row],[P2 A]]=0,"",IF(PositionA[[#This Row],[P2 A]]="","",PositionA[[#This Row],[P2 S A]]/PositionA[[#This Row],[P2 A]]))</f>
        <v/>
      </c>
      <c r="R106" s="172" t="str">
        <f>IF(PositionA[[#This Row],[P3 A]]=0,"",IF(PositionA[[#This Row],[P3 A]]="","",PositionA[[#This Row],[P3 S A]]/PositionA[[#This Row],[P3 A]]))</f>
        <v/>
      </c>
      <c r="S106" s="172" t="str">
        <f>IF(PositionA[[#This Row],[P4 A]]=0,"",IF(PositionA[[#This Row],[P4 A]]="","",PositionA[[#This Row],[P4 S A]]/PositionA[[#This Row],[P4 A]]))</f>
        <v/>
      </c>
      <c r="T106" s="172" t="str">
        <f>IF(PositionA[[#This Row],[P5 A]]=0,"",IF(PositionA[[#This Row],[P5 A]]="","",PositionA[[#This Row],[P5 S A]]/PositionA[[#This Row],[P5 A]]))</f>
        <v/>
      </c>
      <c r="U106" s="172" t="str">
        <f>IF(PositionA[[#This Row],[P6 A]]=0,"",IF(PositionA[[#This Row],[P6 A]]="","",PositionA[[#This Row],[P6 S A]]/PositionA[[#This Row],[P6 A]]))</f>
        <v/>
      </c>
      <c r="V106"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06" s="129" t="str">
        <f>IF(PositionA[[#This Row],[HP A]]="","",MAX(PositionA[[#This Row],[P1 A]:[P6 A]]))</f>
        <v/>
      </c>
      <c r="X106"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06" s="172" t="str">
        <f>IF(PositionA[[#This Row],[Spiele A]]="","",MAX(PositionA[[#This Row],[P1 % A]:[P6 % A]]))</f>
        <v/>
      </c>
    </row>
    <row r="107" spans="1:25" x14ac:dyDescent="0.3">
      <c r="B107" s="129" t="str">
        <f>B55</f>
        <v>Andreas Ehrlich</v>
      </c>
      <c r="C107" s="129" t="str">
        <f>VLOOKUP(PositionA[[#This Row],[Name A]],AuswertungA[],4,FALSE)</f>
        <v/>
      </c>
      <c r="D107" s="129" t="str">
        <f>IF(PositionA[[#This Row],[Spiele A]]="","",COUNTIFS(Eingabe[Name],PositionA[[#This Row],[Name A]],Eingabe[Position],1,Eingabe[Wo],"A"))</f>
        <v/>
      </c>
      <c r="E107" s="129" t="str">
        <f>IF(PositionA[[#This Row],[Spiele A]]="","",COUNTIFS(Eingabe[Name],PositionA[[#This Row],[Name A]],Eingabe[Position],2,Eingabe[Wo],"A"))</f>
        <v/>
      </c>
      <c r="F107" s="129" t="str">
        <f>IF(PositionA[[#This Row],[Spiele A]]="","",COUNTIFS(Eingabe[Name],PositionA[[#This Row],[Name A]],Eingabe[Position],3,Eingabe[Wo],"A"))</f>
        <v/>
      </c>
      <c r="G107" s="129" t="str">
        <f>IF(PositionA[[#This Row],[Spiele A]]="","",COUNTIFS(Eingabe[Name],PositionA[[#This Row],[Name A]],Eingabe[Position],4,Eingabe[Wo],"A"))</f>
        <v/>
      </c>
      <c r="H107" s="129" t="str">
        <f>IF(PositionA[[#This Row],[Spiele A]]="","",COUNTIFS(Eingabe[Name],PositionA[[#This Row],[Name A]],Eingabe[Position],5,Eingabe[Wo],"A"))</f>
        <v/>
      </c>
      <c r="I107" s="129" t="str">
        <f>IF(PositionA[[#This Row],[Spiele A]]="","",COUNTIFS(Eingabe[Name],PositionA[[#This Row],[Name A]],Eingabe[Position],6,Eingabe[Wo],"A"))</f>
        <v/>
      </c>
      <c r="J107" s="129" t="str">
        <f>IF(PositionA[[#This Row],[P1 A]]="","",COUNTIFS(Eingabe[Position],1,Eingabe[MP],1,Eingabe[Name],PositionA[[#This Row],[Name A]],Eingabe[Wo],"A"))</f>
        <v/>
      </c>
      <c r="K107" s="129" t="str">
        <f>IF(PositionA[[#This Row],[P2 A]]="","",COUNTIFS(Eingabe[Position],2,Eingabe[MP],1,Eingabe[Name],PositionA[[#This Row],[Name A]],Eingabe[Wo],"A"))</f>
        <v/>
      </c>
      <c r="L107" s="129" t="str">
        <f>IF(PositionA[[#This Row],[P3 A]]="","",COUNTIFS(Eingabe[Position],3,Eingabe[MP],1,Eingabe[Name],PositionA[[#This Row],[Name A]],Eingabe[Wo],"A"))</f>
        <v/>
      </c>
      <c r="M107" s="129" t="str">
        <f>IF(PositionA[[#This Row],[P4 A]]="","",COUNTIFS(Eingabe[Position],4,Eingabe[MP],1,Eingabe[Name],PositionA[[#This Row],[Name A]],Eingabe[Wo],"A"))</f>
        <v/>
      </c>
      <c r="N107" s="129" t="str">
        <f>IF(PositionA[[#This Row],[P5 A]]="","",COUNTIFS(Eingabe[Position],5,Eingabe[MP],1,Eingabe[Name],PositionA[[#This Row],[Name A]],Eingabe[Wo],"A"))</f>
        <v/>
      </c>
      <c r="O107" s="129" t="str">
        <f>IF(PositionA[[#This Row],[P6 A]]="","",COUNTIFS(Eingabe[Position],6,Eingabe[MP],1,Eingabe[Name],PositionA[[#This Row],[Name A]],Eingabe[Wo],"A"))</f>
        <v/>
      </c>
      <c r="P107" s="172" t="str">
        <f>IF(PositionA[[#This Row],[P1 A]]=0,"",IF(PositionA[[#This Row],[P1 A]]="","",PositionA[[#This Row],[P1 S A]]/PositionA[[#This Row],[P1 A]]))</f>
        <v/>
      </c>
      <c r="Q107" s="172" t="str">
        <f>IF(PositionA[[#This Row],[P2 A]]=0,"",IF(PositionA[[#This Row],[P2 A]]="","",PositionA[[#This Row],[P2 S A]]/PositionA[[#This Row],[P2 A]]))</f>
        <v/>
      </c>
      <c r="R107" s="172" t="str">
        <f>IF(PositionA[[#This Row],[P3 A]]=0,"",IF(PositionA[[#This Row],[P3 A]]="","",PositionA[[#This Row],[P3 S A]]/PositionA[[#This Row],[P3 A]]))</f>
        <v/>
      </c>
      <c r="S107" s="172" t="str">
        <f>IF(PositionA[[#This Row],[P4 A]]=0,"",IF(PositionA[[#This Row],[P4 A]]="","",PositionA[[#This Row],[P4 S A]]/PositionA[[#This Row],[P4 A]]))</f>
        <v/>
      </c>
      <c r="T107" s="172" t="str">
        <f>IF(PositionA[[#This Row],[P5 A]]=0,"",IF(PositionA[[#This Row],[P5 A]]="","",PositionA[[#This Row],[P5 S A]]/PositionA[[#This Row],[P5 A]]))</f>
        <v/>
      </c>
      <c r="U107" s="172" t="str">
        <f>IF(PositionA[[#This Row],[P6 A]]=0,"",IF(PositionA[[#This Row],[P6 A]]="","",PositionA[[#This Row],[P6 S A]]/PositionA[[#This Row],[P6 A]]))</f>
        <v/>
      </c>
      <c r="V107"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07" s="129" t="str">
        <f>IF(PositionA[[#This Row],[HP A]]="","",MAX(PositionA[[#This Row],[P1 A]:[P6 A]]))</f>
        <v/>
      </c>
      <c r="X107"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07" s="172" t="str">
        <f>IF(PositionA[[#This Row],[Spiele A]]="","",MAX(PositionA[[#This Row],[P1 % A]:[P6 % A]]))</f>
        <v/>
      </c>
    </row>
    <row r="108" spans="1:25" x14ac:dyDescent="0.3">
      <c r="B108" s="129" t="str">
        <f>B56</f>
        <v>Andreas Rippin</v>
      </c>
      <c r="C108" s="129">
        <f>VLOOKUP(PositionA[[#This Row],[Name A]],AuswertungA[],4,FALSE)</f>
        <v>4</v>
      </c>
      <c r="D108" s="129">
        <f>IF(PositionA[[#This Row],[Spiele A]]="","",COUNTIFS(Eingabe[Name],PositionA[[#This Row],[Name A]],Eingabe[Position],1,Eingabe[Wo],"A"))</f>
        <v>1</v>
      </c>
      <c r="E108" s="129">
        <f>IF(PositionA[[#This Row],[Spiele A]]="","",COUNTIFS(Eingabe[Name],PositionA[[#This Row],[Name A]],Eingabe[Position],2,Eingabe[Wo],"A"))</f>
        <v>2</v>
      </c>
      <c r="F108" s="129">
        <f>IF(PositionA[[#This Row],[Spiele A]]="","",COUNTIFS(Eingabe[Name],PositionA[[#This Row],[Name A]],Eingabe[Position],3,Eingabe[Wo],"A"))</f>
        <v>0</v>
      </c>
      <c r="G108" s="129">
        <f>IF(PositionA[[#This Row],[Spiele A]]="","",COUNTIFS(Eingabe[Name],PositionA[[#This Row],[Name A]],Eingabe[Position],4,Eingabe[Wo],"A"))</f>
        <v>0</v>
      </c>
      <c r="H108" s="129">
        <f>IF(PositionA[[#This Row],[Spiele A]]="","",COUNTIFS(Eingabe[Name],PositionA[[#This Row],[Name A]],Eingabe[Position],5,Eingabe[Wo],"A"))</f>
        <v>1</v>
      </c>
      <c r="I108" s="129">
        <f>IF(PositionA[[#This Row],[Spiele A]]="","",COUNTIFS(Eingabe[Name],PositionA[[#This Row],[Name A]],Eingabe[Position],6,Eingabe[Wo],"A"))</f>
        <v>0</v>
      </c>
      <c r="J108" s="129">
        <f>IF(PositionA[[#This Row],[P1 A]]="","",COUNTIFS(Eingabe[Position],1,Eingabe[MP],1,Eingabe[Name],PositionA[[#This Row],[Name A]],Eingabe[Wo],"A"))</f>
        <v>0</v>
      </c>
      <c r="K108" s="129">
        <f>IF(PositionA[[#This Row],[P2 A]]="","",COUNTIFS(Eingabe[Position],2,Eingabe[MP],1,Eingabe[Name],PositionA[[#This Row],[Name A]],Eingabe[Wo],"A"))</f>
        <v>0</v>
      </c>
      <c r="L108" s="129">
        <f>IF(PositionA[[#This Row],[P3 A]]="","",COUNTIFS(Eingabe[Position],3,Eingabe[MP],1,Eingabe[Name],PositionA[[#This Row],[Name A]],Eingabe[Wo],"A"))</f>
        <v>0</v>
      </c>
      <c r="M108" s="129">
        <f>IF(PositionA[[#This Row],[P4 A]]="","",COUNTIFS(Eingabe[Position],4,Eingabe[MP],1,Eingabe[Name],PositionA[[#This Row],[Name A]],Eingabe[Wo],"A"))</f>
        <v>0</v>
      </c>
      <c r="N108" s="129">
        <f>IF(PositionA[[#This Row],[P5 A]]="","",COUNTIFS(Eingabe[Position],5,Eingabe[MP],1,Eingabe[Name],PositionA[[#This Row],[Name A]],Eingabe[Wo],"A"))</f>
        <v>0</v>
      </c>
      <c r="O108" s="129">
        <f>IF(PositionA[[#This Row],[P6 A]]="","",COUNTIFS(Eingabe[Position],6,Eingabe[MP],1,Eingabe[Name],PositionA[[#This Row],[Name A]],Eingabe[Wo],"A"))</f>
        <v>0</v>
      </c>
      <c r="P108" s="172">
        <f>IF(PositionA[[#This Row],[P1 A]]=0,"",IF(PositionA[[#This Row],[P1 A]]="","",PositionA[[#This Row],[P1 S A]]/PositionA[[#This Row],[P1 A]]))</f>
        <v>0</v>
      </c>
      <c r="Q108" s="172">
        <f>IF(PositionA[[#This Row],[P2 A]]=0,"",IF(PositionA[[#This Row],[P2 A]]="","",PositionA[[#This Row],[P2 S A]]/PositionA[[#This Row],[P2 A]]))</f>
        <v>0</v>
      </c>
      <c r="R108" s="172" t="str">
        <f>IF(PositionA[[#This Row],[P3 A]]=0,"",IF(PositionA[[#This Row],[P3 A]]="","",PositionA[[#This Row],[P3 S A]]/PositionA[[#This Row],[P3 A]]))</f>
        <v/>
      </c>
      <c r="S108" s="172" t="str">
        <f>IF(PositionA[[#This Row],[P4 A]]=0,"",IF(PositionA[[#This Row],[P4 A]]="","",PositionA[[#This Row],[P4 S A]]/PositionA[[#This Row],[P4 A]]))</f>
        <v/>
      </c>
      <c r="T108" s="172">
        <f>IF(PositionA[[#This Row],[P5 A]]=0,"",IF(PositionA[[#This Row],[P5 A]]="","",PositionA[[#This Row],[P5 S A]]/PositionA[[#This Row],[P5 A]]))</f>
        <v>0</v>
      </c>
      <c r="U108" s="172" t="str">
        <f>IF(PositionA[[#This Row],[P6 A]]=0,"",IF(PositionA[[#This Row],[P6 A]]="","",PositionA[[#This Row],[P6 S A]]/PositionA[[#This Row],[P6 A]]))</f>
        <v/>
      </c>
      <c r="V108"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[2]</v>
      </c>
      <c r="W108" s="129">
        <f>IF(PositionA[[#This Row],[HP A]]="","",MAX(PositionA[[#This Row],[P1 A]:[P6 A]]))</f>
        <v>2</v>
      </c>
      <c r="X108"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[1][2][5]</v>
      </c>
      <c r="Y108" s="172">
        <f>IF(PositionA[[#This Row],[Spiele A]]="","",MAX(PositionA[[#This Row],[P1 % A]:[P6 % A]]))</f>
        <v>0</v>
      </c>
    </row>
    <row r="109" spans="1:25" x14ac:dyDescent="0.3">
      <c r="B109" s="129" t="str">
        <f>B57</f>
        <v>Anna Müller</v>
      </c>
      <c r="C109" s="129" t="str">
        <f>VLOOKUP(PositionA[[#This Row],[Name A]],AuswertungA[],4,FALSE)</f>
        <v/>
      </c>
      <c r="D109" s="129" t="str">
        <f>IF(PositionA[[#This Row],[Spiele A]]="","",COUNTIFS(Eingabe[Name],PositionA[[#This Row],[Name A]],Eingabe[Position],1,Eingabe[Wo],"A"))</f>
        <v/>
      </c>
      <c r="E109" s="129" t="str">
        <f>IF(PositionA[[#This Row],[Spiele A]]="","",COUNTIFS(Eingabe[Name],PositionA[[#This Row],[Name A]],Eingabe[Position],2,Eingabe[Wo],"A"))</f>
        <v/>
      </c>
      <c r="F109" s="129" t="str">
        <f>IF(PositionA[[#This Row],[Spiele A]]="","",COUNTIFS(Eingabe[Name],PositionA[[#This Row],[Name A]],Eingabe[Position],3,Eingabe[Wo],"A"))</f>
        <v/>
      </c>
      <c r="G109" s="129" t="str">
        <f>IF(PositionA[[#This Row],[Spiele A]]="","",COUNTIFS(Eingabe[Name],PositionA[[#This Row],[Name A]],Eingabe[Position],4,Eingabe[Wo],"A"))</f>
        <v/>
      </c>
      <c r="H109" s="129" t="str">
        <f>IF(PositionA[[#This Row],[Spiele A]]="","",COUNTIFS(Eingabe[Name],PositionA[[#This Row],[Name A]],Eingabe[Position],5,Eingabe[Wo],"A"))</f>
        <v/>
      </c>
      <c r="I109" s="129" t="str">
        <f>IF(PositionA[[#This Row],[Spiele A]]="","",COUNTIFS(Eingabe[Name],PositionA[[#This Row],[Name A]],Eingabe[Position],6,Eingabe[Wo],"A"))</f>
        <v/>
      </c>
      <c r="J109" s="129" t="str">
        <f>IF(PositionA[[#This Row],[P1 A]]="","",COUNTIFS(Eingabe[Position],1,Eingabe[MP],1,Eingabe[Name],PositionA[[#This Row],[Name A]],Eingabe[Wo],"A"))</f>
        <v/>
      </c>
      <c r="K109" s="129" t="str">
        <f>IF(PositionA[[#This Row],[P2 A]]="","",COUNTIFS(Eingabe[Position],2,Eingabe[MP],1,Eingabe[Name],PositionA[[#This Row],[Name A]],Eingabe[Wo],"A"))</f>
        <v/>
      </c>
      <c r="L109" s="129" t="str">
        <f>IF(PositionA[[#This Row],[P3 A]]="","",COUNTIFS(Eingabe[Position],3,Eingabe[MP],1,Eingabe[Name],PositionA[[#This Row],[Name A]],Eingabe[Wo],"A"))</f>
        <v/>
      </c>
      <c r="M109" s="129" t="str">
        <f>IF(PositionA[[#This Row],[P4 A]]="","",COUNTIFS(Eingabe[Position],4,Eingabe[MP],1,Eingabe[Name],PositionA[[#This Row],[Name A]],Eingabe[Wo],"A"))</f>
        <v/>
      </c>
      <c r="N109" s="129" t="str">
        <f>IF(PositionA[[#This Row],[P5 A]]="","",COUNTIFS(Eingabe[Position],5,Eingabe[MP],1,Eingabe[Name],PositionA[[#This Row],[Name A]],Eingabe[Wo],"A"))</f>
        <v/>
      </c>
      <c r="O109" s="129" t="str">
        <f>IF(PositionA[[#This Row],[P6 A]]="","",COUNTIFS(Eingabe[Position],6,Eingabe[MP],1,Eingabe[Name],PositionA[[#This Row],[Name A]],Eingabe[Wo],"A"))</f>
        <v/>
      </c>
      <c r="P109" s="172" t="str">
        <f>IF(PositionA[[#This Row],[P1 A]]=0,"",IF(PositionA[[#This Row],[P1 A]]="","",PositionA[[#This Row],[P1 S A]]/PositionA[[#This Row],[P1 A]]))</f>
        <v/>
      </c>
      <c r="Q109" s="172" t="str">
        <f>IF(PositionA[[#This Row],[P2 A]]=0,"",IF(PositionA[[#This Row],[P2 A]]="","",PositionA[[#This Row],[P2 S A]]/PositionA[[#This Row],[P2 A]]))</f>
        <v/>
      </c>
      <c r="R109" s="172" t="str">
        <f>IF(PositionA[[#This Row],[P3 A]]=0,"",IF(PositionA[[#This Row],[P3 A]]="","",PositionA[[#This Row],[P3 S A]]/PositionA[[#This Row],[P3 A]]))</f>
        <v/>
      </c>
      <c r="S109" s="172" t="str">
        <f>IF(PositionA[[#This Row],[P4 A]]=0,"",IF(PositionA[[#This Row],[P4 A]]="","",PositionA[[#This Row],[P4 S A]]/PositionA[[#This Row],[P4 A]]))</f>
        <v/>
      </c>
      <c r="T109" s="172" t="str">
        <f>IF(PositionA[[#This Row],[P5 A]]=0,"",IF(PositionA[[#This Row],[P5 A]]="","",PositionA[[#This Row],[P5 S A]]/PositionA[[#This Row],[P5 A]]))</f>
        <v/>
      </c>
      <c r="U109" s="172" t="str">
        <f>IF(PositionA[[#This Row],[P6 A]]=0,"",IF(PositionA[[#This Row],[P6 A]]="","",PositionA[[#This Row],[P6 S A]]/PositionA[[#This Row],[P6 A]]))</f>
        <v/>
      </c>
      <c r="V109"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09" s="129" t="str">
        <f>IF(PositionA[[#This Row],[HP A]]="","",MAX(PositionA[[#This Row],[P1 A]:[P6 A]]))</f>
        <v/>
      </c>
      <c r="X109"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09" s="172" t="str">
        <f>IF(PositionA[[#This Row],[Spiele A]]="","",MAX(PositionA[[#This Row],[P1 % A]:[P6 % A]]))</f>
        <v/>
      </c>
    </row>
    <row r="110" spans="1:25" x14ac:dyDescent="0.3">
      <c r="B110" s="129" t="str">
        <f>B58</f>
        <v>Ben Becker</v>
      </c>
      <c r="C110" s="129" t="str">
        <f>VLOOKUP(PositionA[[#This Row],[Name A]],AuswertungA[],4,FALSE)</f>
        <v/>
      </c>
      <c r="D110" s="129" t="str">
        <f>IF(PositionA[[#This Row],[Spiele A]]="","",COUNTIFS(Eingabe[Name],PositionA[[#This Row],[Name A]],Eingabe[Position],1,Eingabe[Wo],"A"))</f>
        <v/>
      </c>
      <c r="E110" s="129" t="str">
        <f>IF(PositionA[[#This Row],[Spiele A]]="","",COUNTIFS(Eingabe[Name],PositionA[[#This Row],[Name A]],Eingabe[Position],2,Eingabe[Wo],"A"))</f>
        <v/>
      </c>
      <c r="F110" s="129" t="str">
        <f>IF(PositionA[[#This Row],[Spiele A]]="","",COUNTIFS(Eingabe[Name],PositionA[[#This Row],[Name A]],Eingabe[Position],3,Eingabe[Wo],"A"))</f>
        <v/>
      </c>
      <c r="G110" s="129" t="str">
        <f>IF(PositionA[[#This Row],[Spiele A]]="","",COUNTIFS(Eingabe[Name],PositionA[[#This Row],[Name A]],Eingabe[Position],4,Eingabe[Wo],"A"))</f>
        <v/>
      </c>
      <c r="H110" s="129" t="str">
        <f>IF(PositionA[[#This Row],[Spiele A]]="","",COUNTIFS(Eingabe[Name],PositionA[[#This Row],[Name A]],Eingabe[Position],5,Eingabe[Wo],"A"))</f>
        <v/>
      </c>
      <c r="I110" s="129" t="str">
        <f>IF(PositionA[[#This Row],[Spiele A]]="","",COUNTIFS(Eingabe[Name],PositionA[[#This Row],[Name A]],Eingabe[Position],6,Eingabe[Wo],"A"))</f>
        <v/>
      </c>
      <c r="J110" s="129" t="str">
        <f>IF(PositionA[[#This Row],[P1 A]]="","",COUNTIFS(Eingabe[Position],1,Eingabe[MP],1,Eingabe[Name],PositionA[[#This Row],[Name A]],Eingabe[Wo],"A"))</f>
        <v/>
      </c>
      <c r="K110" s="129" t="str">
        <f>IF(PositionA[[#This Row],[P2 A]]="","",COUNTIFS(Eingabe[Position],2,Eingabe[MP],1,Eingabe[Name],PositionA[[#This Row],[Name A]],Eingabe[Wo],"A"))</f>
        <v/>
      </c>
      <c r="L110" s="129" t="str">
        <f>IF(PositionA[[#This Row],[P3 A]]="","",COUNTIFS(Eingabe[Position],3,Eingabe[MP],1,Eingabe[Name],PositionA[[#This Row],[Name A]],Eingabe[Wo],"A"))</f>
        <v/>
      </c>
      <c r="M110" s="129" t="str">
        <f>IF(PositionA[[#This Row],[P4 A]]="","",COUNTIFS(Eingabe[Position],4,Eingabe[MP],1,Eingabe[Name],PositionA[[#This Row],[Name A]],Eingabe[Wo],"A"))</f>
        <v/>
      </c>
      <c r="N110" s="129" t="str">
        <f>IF(PositionA[[#This Row],[P5 A]]="","",COUNTIFS(Eingabe[Position],5,Eingabe[MP],1,Eingabe[Name],PositionA[[#This Row],[Name A]],Eingabe[Wo],"A"))</f>
        <v/>
      </c>
      <c r="O110" s="129" t="str">
        <f>IF(PositionA[[#This Row],[P6 A]]="","",COUNTIFS(Eingabe[Position],6,Eingabe[MP],1,Eingabe[Name],PositionA[[#This Row],[Name A]],Eingabe[Wo],"A"))</f>
        <v/>
      </c>
      <c r="P110" s="172" t="str">
        <f>IF(PositionA[[#This Row],[P1 A]]=0,"",IF(PositionA[[#This Row],[P1 A]]="","",PositionA[[#This Row],[P1 S A]]/PositionA[[#This Row],[P1 A]]))</f>
        <v/>
      </c>
      <c r="Q110" s="172" t="str">
        <f>IF(PositionA[[#This Row],[P2 A]]=0,"",IF(PositionA[[#This Row],[P2 A]]="","",PositionA[[#This Row],[P2 S A]]/PositionA[[#This Row],[P2 A]]))</f>
        <v/>
      </c>
      <c r="R110" s="172" t="str">
        <f>IF(PositionA[[#This Row],[P3 A]]=0,"",IF(PositionA[[#This Row],[P3 A]]="","",PositionA[[#This Row],[P3 S A]]/PositionA[[#This Row],[P3 A]]))</f>
        <v/>
      </c>
      <c r="S110" s="172" t="str">
        <f>IF(PositionA[[#This Row],[P4 A]]=0,"",IF(PositionA[[#This Row],[P4 A]]="","",PositionA[[#This Row],[P4 S A]]/PositionA[[#This Row],[P4 A]]))</f>
        <v/>
      </c>
      <c r="T110" s="172" t="str">
        <f>IF(PositionA[[#This Row],[P5 A]]=0,"",IF(PositionA[[#This Row],[P5 A]]="","",PositionA[[#This Row],[P5 S A]]/PositionA[[#This Row],[P5 A]]))</f>
        <v/>
      </c>
      <c r="U110" s="172" t="str">
        <f>IF(PositionA[[#This Row],[P6 A]]=0,"",IF(PositionA[[#This Row],[P6 A]]="","",PositionA[[#This Row],[P6 S A]]/PositionA[[#This Row],[P6 A]]))</f>
        <v/>
      </c>
      <c r="V110"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10" s="129" t="str">
        <f>IF(PositionA[[#This Row],[HP A]]="","",MAX(PositionA[[#This Row],[P1 A]:[P6 A]]))</f>
        <v/>
      </c>
      <c r="X110"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10" s="172" t="str">
        <f>IF(PositionA[[#This Row],[Spiele A]]="","",MAX(PositionA[[#This Row],[P1 % A]:[P6 % A]]))</f>
        <v/>
      </c>
    </row>
    <row r="111" spans="1:25" x14ac:dyDescent="0.3">
      <c r="B111" s="129" t="str">
        <f t="shared" ref="B111:B155" si="2">B59</f>
        <v>Ben Böhmer</v>
      </c>
      <c r="C111" s="129" t="str">
        <f>VLOOKUP(PositionA[[#This Row],[Name A]],AuswertungA[],4,FALSE)</f>
        <v/>
      </c>
      <c r="D111" s="129" t="str">
        <f>IF(PositionA[[#This Row],[Spiele A]]="","",COUNTIFS(Eingabe[Name],PositionA[[#This Row],[Name A]],Eingabe[Position],1,Eingabe[Wo],"A"))</f>
        <v/>
      </c>
      <c r="E111" s="129" t="str">
        <f>IF(PositionA[[#This Row],[Spiele A]]="","",COUNTIFS(Eingabe[Name],PositionA[[#This Row],[Name A]],Eingabe[Position],2,Eingabe[Wo],"A"))</f>
        <v/>
      </c>
      <c r="F111" s="129" t="str">
        <f>IF(PositionA[[#This Row],[Spiele A]]="","",COUNTIFS(Eingabe[Name],PositionA[[#This Row],[Name A]],Eingabe[Position],3,Eingabe[Wo],"A"))</f>
        <v/>
      </c>
      <c r="G111" s="129" t="str">
        <f>IF(PositionA[[#This Row],[Spiele A]]="","",COUNTIFS(Eingabe[Name],PositionA[[#This Row],[Name A]],Eingabe[Position],4,Eingabe[Wo],"A"))</f>
        <v/>
      </c>
      <c r="H111" s="129" t="str">
        <f>IF(PositionA[[#This Row],[Spiele A]]="","",COUNTIFS(Eingabe[Name],PositionA[[#This Row],[Name A]],Eingabe[Position],5,Eingabe[Wo],"A"))</f>
        <v/>
      </c>
      <c r="I111" s="129" t="str">
        <f>IF(PositionA[[#This Row],[Spiele A]]="","",COUNTIFS(Eingabe[Name],PositionA[[#This Row],[Name A]],Eingabe[Position],6,Eingabe[Wo],"A"))</f>
        <v/>
      </c>
      <c r="J111" s="129" t="str">
        <f>IF(PositionA[[#This Row],[P1 A]]="","",COUNTIFS(Eingabe[Position],1,Eingabe[MP],1,Eingabe[Name],PositionA[[#This Row],[Name A]],Eingabe[Wo],"A"))</f>
        <v/>
      </c>
      <c r="K111" s="129" t="str">
        <f>IF(PositionA[[#This Row],[P2 A]]="","",COUNTIFS(Eingabe[Position],2,Eingabe[MP],1,Eingabe[Name],PositionA[[#This Row],[Name A]],Eingabe[Wo],"A"))</f>
        <v/>
      </c>
      <c r="L111" s="129" t="str">
        <f>IF(PositionA[[#This Row],[P3 A]]="","",COUNTIFS(Eingabe[Position],3,Eingabe[MP],1,Eingabe[Name],PositionA[[#This Row],[Name A]],Eingabe[Wo],"A"))</f>
        <v/>
      </c>
      <c r="M111" s="129" t="str">
        <f>IF(PositionA[[#This Row],[P4 A]]="","",COUNTIFS(Eingabe[Position],4,Eingabe[MP],1,Eingabe[Name],PositionA[[#This Row],[Name A]],Eingabe[Wo],"A"))</f>
        <v/>
      </c>
      <c r="N111" s="129" t="str">
        <f>IF(PositionA[[#This Row],[P5 A]]="","",COUNTIFS(Eingabe[Position],5,Eingabe[MP],1,Eingabe[Name],PositionA[[#This Row],[Name A]],Eingabe[Wo],"A"))</f>
        <v/>
      </c>
      <c r="O111" s="129" t="str">
        <f>IF(PositionA[[#This Row],[P6 A]]="","",COUNTIFS(Eingabe[Position],6,Eingabe[MP],1,Eingabe[Name],PositionA[[#This Row],[Name A]],Eingabe[Wo],"A"))</f>
        <v/>
      </c>
      <c r="P111" s="172" t="str">
        <f>IF(PositionA[[#This Row],[P1 A]]=0,"",IF(PositionA[[#This Row],[P1 A]]="","",PositionA[[#This Row],[P1 S A]]/PositionA[[#This Row],[P1 A]]))</f>
        <v/>
      </c>
      <c r="Q111" s="172" t="str">
        <f>IF(PositionA[[#This Row],[P2 A]]=0,"",IF(PositionA[[#This Row],[P2 A]]="","",PositionA[[#This Row],[P2 S A]]/PositionA[[#This Row],[P2 A]]))</f>
        <v/>
      </c>
      <c r="R111" s="172" t="str">
        <f>IF(PositionA[[#This Row],[P3 A]]=0,"",IF(PositionA[[#This Row],[P3 A]]="","",PositionA[[#This Row],[P3 S A]]/PositionA[[#This Row],[P3 A]]))</f>
        <v/>
      </c>
      <c r="S111" s="172" t="str">
        <f>IF(PositionA[[#This Row],[P4 A]]=0,"",IF(PositionA[[#This Row],[P4 A]]="","",PositionA[[#This Row],[P4 S A]]/PositionA[[#This Row],[P4 A]]))</f>
        <v/>
      </c>
      <c r="T111" s="172" t="str">
        <f>IF(PositionA[[#This Row],[P5 A]]=0,"",IF(PositionA[[#This Row],[P5 A]]="","",PositionA[[#This Row],[P5 S A]]/PositionA[[#This Row],[P5 A]]))</f>
        <v/>
      </c>
      <c r="U111" s="172" t="str">
        <f>IF(PositionA[[#This Row],[P6 A]]=0,"",IF(PositionA[[#This Row],[P6 A]]="","",PositionA[[#This Row],[P6 S A]]/PositionA[[#This Row],[P6 A]]))</f>
        <v/>
      </c>
      <c r="V111"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11" s="129" t="str">
        <f>IF(PositionA[[#This Row],[HP A]]="","",MAX(PositionA[[#This Row],[P1 A]:[P6 A]]))</f>
        <v/>
      </c>
      <c r="X111"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11" s="172" t="str">
        <f>IF(PositionA[[#This Row],[Spiele A]]="","",MAX(PositionA[[#This Row],[P1 % A]:[P6 % A]]))</f>
        <v/>
      </c>
    </row>
    <row r="112" spans="1:25" x14ac:dyDescent="0.3">
      <c r="B112" s="129" t="str">
        <f t="shared" si="2"/>
        <v>Bruno Bergelt</v>
      </c>
      <c r="C112" s="129" t="str">
        <f>VLOOKUP(PositionA[[#This Row],[Name A]],AuswertungA[],4,FALSE)</f>
        <v/>
      </c>
      <c r="D112" s="129" t="str">
        <f>IF(PositionA[[#This Row],[Spiele A]]="","",COUNTIFS(Eingabe[Name],PositionA[[#This Row],[Name A]],Eingabe[Position],1,Eingabe[Wo],"A"))</f>
        <v/>
      </c>
      <c r="E112" s="129" t="str">
        <f>IF(PositionA[[#This Row],[Spiele A]]="","",COUNTIFS(Eingabe[Name],PositionA[[#This Row],[Name A]],Eingabe[Position],2,Eingabe[Wo],"A"))</f>
        <v/>
      </c>
      <c r="F112" s="129" t="str">
        <f>IF(PositionA[[#This Row],[Spiele A]]="","",COUNTIFS(Eingabe[Name],PositionA[[#This Row],[Name A]],Eingabe[Position],3,Eingabe[Wo],"A"))</f>
        <v/>
      </c>
      <c r="G112" s="129" t="str">
        <f>IF(PositionA[[#This Row],[Spiele A]]="","",COUNTIFS(Eingabe[Name],PositionA[[#This Row],[Name A]],Eingabe[Position],4,Eingabe[Wo],"A"))</f>
        <v/>
      </c>
      <c r="H112" s="129" t="str">
        <f>IF(PositionA[[#This Row],[Spiele A]]="","",COUNTIFS(Eingabe[Name],PositionA[[#This Row],[Name A]],Eingabe[Position],5,Eingabe[Wo],"A"))</f>
        <v/>
      </c>
      <c r="I112" s="129" t="str">
        <f>IF(PositionA[[#This Row],[Spiele A]]="","",COUNTIFS(Eingabe[Name],PositionA[[#This Row],[Name A]],Eingabe[Position],6,Eingabe[Wo],"A"))</f>
        <v/>
      </c>
      <c r="J112" s="129" t="str">
        <f>IF(PositionA[[#This Row],[P1 A]]="","",COUNTIFS(Eingabe[Position],1,Eingabe[MP],1,Eingabe[Name],PositionA[[#This Row],[Name A]],Eingabe[Wo],"A"))</f>
        <v/>
      </c>
      <c r="K112" s="129" t="str">
        <f>IF(PositionA[[#This Row],[P2 A]]="","",COUNTIFS(Eingabe[Position],2,Eingabe[MP],1,Eingabe[Name],PositionA[[#This Row],[Name A]],Eingabe[Wo],"A"))</f>
        <v/>
      </c>
      <c r="L112" s="129" t="str">
        <f>IF(PositionA[[#This Row],[P3 A]]="","",COUNTIFS(Eingabe[Position],3,Eingabe[MP],1,Eingabe[Name],PositionA[[#This Row],[Name A]],Eingabe[Wo],"A"))</f>
        <v/>
      </c>
      <c r="M112" s="129" t="str">
        <f>IF(PositionA[[#This Row],[P4 A]]="","",COUNTIFS(Eingabe[Position],4,Eingabe[MP],1,Eingabe[Name],PositionA[[#This Row],[Name A]],Eingabe[Wo],"A"))</f>
        <v/>
      </c>
      <c r="N112" s="129" t="str">
        <f>IF(PositionA[[#This Row],[P5 A]]="","",COUNTIFS(Eingabe[Position],5,Eingabe[MP],1,Eingabe[Name],PositionA[[#This Row],[Name A]],Eingabe[Wo],"A"))</f>
        <v/>
      </c>
      <c r="O112" s="129" t="str">
        <f>IF(PositionA[[#This Row],[P6 A]]="","",COUNTIFS(Eingabe[Position],6,Eingabe[MP],1,Eingabe[Name],PositionA[[#This Row],[Name A]],Eingabe[Wo],"A"))</f>
        <v/>
      </c>
      <c r="P112" s="172" t="str">
        <f>IF(PositionA[[#This Row],[P1 A]]=0,"",IF(PositionA[[#This Row],[P1 A]]="","",PositionA[[#This Row],[P1 S A]]/PositionA[[#This Row],[P1 A]]))</f>
        <v/>
      </c>
      <c r="Q112" s="172" t="str">
        <f>IF(PositionA[[#This Row],[P2 A]]=0,"",IF(PositionA[[#This Row],[P2 A]]="","",PositionA[[#This Row],[P2 S A]]/PositionA[[#This Row],[P2 A]]))</f>
        <v/>
      </c>
      <c r="R112" s="172" t="str">
        <f>IF(PositionA[[#This Row],[P3 A]]=0,"",IF(PositionA[[#This Row],[P3 A]]="","",PositionA[[#This Row],[P3 S A]]/PositionA[[#This Row],[P3 A]]))</f>
        <v/>
      </c>
      <c r="S112" s="172" t="str">
        <f>IF(PositionA[[#This Row],[P4 A]]=0,"",IF(PositionA[[#This Row],[P4 A]]="","",PositionA[[#This Row],[P4 S A]]/PositionA[[#This Row],[P4 A]]))</f>
        <v/>
      </c>
      <c r="T112" s="172" t="str">
        <f>IF(PositionA[[#This Row],[P5 A]]=0,"",IF(PositionA[[#This Row],[P5 A]]="","",PositionA[[#This Row],[P5 S A]]/PositionA[[#This Row],[P5 A]]))</f>
        <v/>
      </c>
      <c r="U112" s="172" t="str">
        <f>IF(PositionA[[#This Row],[P6 A]]=0,"",IF(PositionA[[#This Row],[P6 A]]="","",PositionA[[#This Row],[P6 S A]]/PositionA[[#This Row],[P6 A]]))</f>
        <v/>
      </c>
      <c r="V112"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12" s="129" t="str">
        <f>IF(PositionA[[#This Row],[HP A]]="","",MAX(PositionA[[#This Row],[P1 A]:[P6 A]]))</f>
        <v/>
      </c>
      <c r="X112"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12" s="172" t="str">
        <f>IF(PositionA[[#This Row],[Spiele A]]="","",MAX(PositionA[[#This Row],[P1 % A]:[P6 % A]]))</f>
        <v/>
      </c>
    </row>
    <row r="113" spans="2:25" x14ac:dyDescent="0.3">
      <c r="B113" s="129" t="str">
        <f t="shared" si="2"/>
        <v>Cora Keller</v>
      </c>
      <c r="C113" s="129">
        <f>VLOOKUP(PositionA[[#This Row],[Name A]],AuswertungA[],4,FALSE)</f>
        <v>3</v>
      </c>
      <c r="D113" s="129">
        <f>IF(PositionA[[#This Row],[Spiele A]]="","",COUNTIFS(Eingabe[Name],PositionA[[#This Row],[Name A]],Eingabe[Position],1,Eingabe[Wo],"A"))</f>
        <v>1</v>
      </c>
      <c r="E113" s="129">
        <f>IF(PositionA[[#This Row],[Spiele A]]="","",COUNTIFS(Eingabe[Name],PositionA[[#This Row],[Name A]],Eingabe[Position],2,Eingabe[Wo],"A"))</f>
        <v>1</v>
      </c>
      <c r="F113" s="129">
        <f>IF(PositionA[[#This Row],[Spiele A]]="","",COUNTIFS(Eingabe[Name],PositionA[[#This Row],[Name A]],Eingabe[Position],3,Eingabe[Wo],"A"))</f>
        <v>1</v>
      </c>
      <c r="G113" s="129">
        <f>IF(PositionA[[#This Row],[Spiele A]]="","",COUNTIFS(Eingabe[Name],PositionA[[#This Row],[Name A]],Eingabe[Position],4,Eingabe[Wo],"A"))</f>
        <v>0</v>
      </c>
      <c r="H113" s="129">
        <f>IF(PositionA[[#This Row],[Spiele A]]="","",COUNTIFS(Eingabe[Name],PositionA[[#This Row],[Name A]],Eingabe[Position],5,Eingabe[Wo],"A"))</f>
        <v>0</v>
      </c>
      <c r="I113" s="129">
        <f>IF(PositionA[[#This Row],[Spiele A]]="","",COUNTIFS(Eingabe[Name],PositionA[[#This Row],[Name A]],Eingabe[Position],6,Eingabe[Wo],"A"))</f>
        <v>0</v>
      </c>
      <c r="J113" s="129">
        <f>IF(PositionA[[#This Row],[P1 A]]="","",COUNTIFS(Eingabe[Position],1,Eingabe[MP],1,Eingabe[Name],PositionA[[#This Row],[Name A]],Eingabe[Wo],"A"))</f>
        <v>0</v>
      </c>
      <c r="K113" s="129">
        <f>IF(PositionA[[#This Row],[P2 A]]="","",COUNTIFS(Eingabe[Position],2,Eingabe[MP],1,Eingabe[Name],PositionA[[#This Row],[Name A]],Eingabe[Wo],"A"))</f>
        <v>1</v>
      </c>
      <c r="L113" s="129">
        <f>IF(PositionA[[#This Row],[P3 A]]="","",COUNTIFS(Eingabe[Position],3,Eingabe[MP],1,Eingabe[Name],PositionA[[#This Row],[Name A]],Eingabe[Wo],"A"))</f>
        <v>1</v>
      </c>
      <c r="M113" s="129">
        <f>IF(PositionA[[#This Row],[P4 A]]="","",COUNTIFS(Eingabe[Position],4,Eingabe[MP],1,Eingabe[Name],PositionA[[#This Row],[Name A]],Eingabe[Wo],"A"))</f>
        <v>0</v>
      </c>
      <c r="N113" s="129">
        <f>IF(PositionA[[#This Row],[P5 A]]="","",COUNTIFS(Eingabe[Position],5,Eingabe[MP],1,Eingabe[Name],PositionA[[#This Row],[Name A]],Eingabe[Wo],"A"))</f>
        <v>0</v>
      </c>
      <c r="O113" s="129">
        <f>IF(PositionA[[#This Row],[P6 A]]="","",COUNTIFS(Eingabe[Position],6,Eingabe[MP],1,Eingabe[Name],PositionA[[#This Row],[Name A]],Eingabe[Wo],"A"))</f>
        <v>0</v>
      </c>
      <c r="P113" s="172">
        <f>IF(PositionA[[#This Row],[P1 A]]=0,"",IF(PositionA[[#This Row],[P1 A]]="","",PositionA[[#This Row],[P1 S A]]/PositionA[[#This Row],[P1 A]]))</f>
        <v>0</v>
      </c>
      <c r="Q113" s="172">
        <f>IF(PositionA[[#This Row],[P2 A]]=0,"",IF(PositionA[[#This Row],[P2 A]]="","",PositionA[[#This Row],[P2 S A]]/PositionA[[#This Row],[P2 A]]))</f>
        <v>1</v>
      </c>
      <c r="R113" s="172">
        <f>IF(PositionA[[#This Row],[P3 A]]=0,"",IF(PositionA[[#This Row],[P3 A]]="","",PositionA[[#This Row],[P3 S A]]/PositionA[[#This Row],[P3 A]]))</f>
        <v>1</v>
      </c>
      <c r="S113" s="172" t="str">
        <f>IF(PositionA[[#This Row],[P4 A]]=0,"",IF(PositionA[[#This Row],[P4 A]]="","",PositionA[[#This Row],[P4 S A]]/PositionA[[#This Row],[P4 A]]))</f>
        <v/>
      </c>
      <c r="T113" s="172" t="str">
        <f>IF(PositionA[[#This Row],[P5 A]]=0,"",IF(PositionA[[#This Row],[P5 A]]="","",PositionA[[#This Row],[P5 S A]]/PositionA[[#This Row],[P5 A]]))</f>
        <v/>
      </c>
      <c r="U113" s="172" t="str">
        <f>IF(PositionA[[#This Row],[P6 A]]=0,"",IF(PositionA[[#This Row],[P6 A]]="","",PositionA[[#This Row],[P6 S A]]/PositionA[[#This Row],[P6 A]]))</f>
        <v/>
      </c>
      <c r="V113"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[1][2][3]</v>
      </c>
      <c r="W113" s="129">
        <f>IF(PositionA[[#This Row],[HP A]]="","",MAX(PositionA[[#This Row],[P1 A]:[P6 A]]))</f>
        <v>1</v>
      </c>
      <c r="X113"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[2][3]</v>
      </c>
      <c r="Y113" s="172">
        <f>IF(PositionA[[#This Row],[Spiele A]]="","",MAX(PositionA[[#This Row],[P1 % A]:[P6 % A]]))</f>
        <v>1</v>
      </c>
    </row>
    <row r="114" spans="2:25" x14ac:dyDescent="0.3">
      <c r="B114" s="129" t="str">
        <f t="shared" si="2"/>
        <v>Dietmar Klose</v>
      </c>
      <c r="C114" s="129" t="str">
        <f>VLOOKUP(PositionA[[#This Row],[Name A]],AuswertungA[],4,FALSE)</f>
        <v/>
      </c>
      <c r="D114" s="129" t="str">
        <f>IF(PositionA[[#This Row],[Spiele A]]="","",COUNTIFS(Eingabe[Name],PositionA[[#This Row],[Name A]],Eingabe[Position],1,Eingabe[Wo],"A"))</f>
        <v/>
      </c>
      <c r="E114" s="129" t="str">
        <f>IF(PositionA[[#This Row],[Spiele A]]="","",COUNTIFS(Eingabe[Name],PositionA[[#This Row],[Name A]],Eingabe[Position],2,Eingabe[Wo],"A"))</f>
        <v/>
      </c>
      <c r="F114" s="129" t="str">
        <f>IF(PositionA[[#This Row],[Spiele A]]="","",COUNTIFS(Eingabe[Name],PositionA[[#This Row],[Name A]],Eingabe[Position],3,Eingabe[Wo],"A"))</f>
        <v/>
      </c>
      <c r="G114" s="129" t="str">
        <f>IF(PositionA[[#This Row],[Spiele A]]="","",COUNTIFS(Eingabe[Name],PositionA[[#This Row],[Name A]],Eingabe[Position],4,Eingabe[Wo],"A"))</f>
        <v/>
      </c>
      <c r="H114" s="129" t="str">
        <f>IF(PositionA[[#This Row],[Spiele A]]="","",COUNTIFS(Eingabe[Name],PositionA[[#This Row],[Name A]],Eingabe[Position],5,Eingabe[Wo],"A"))</f>
        <v/>
      </c>
      <c r="I114" s="129" t="str">
        <f>IF(PositionA[[#This Row],[Spiele A]]="","",COUNTIFS(Eingabe[Name],PositionA[[#This Row],[Name A]],Eingabe[Position],6,Eingabe[Wo],"A"))</f>
        <v/>
      </c>
      <c r="J114" s="129" t="str">
        <f>IF(PositionA[[#This Row],[P1 A]]="","",COUNTIFS(Eingabe[Position],1,Eingabe[MP],1,Eingabe[Name],PositionA[[#This Row],[Name A]],Eingabe[Wo],"A"))</f>
        <v/>
      </c>
      <c r="K114" s="129" t="str">
        <f>IF(PositionA[[#This Row],[P2 A]]="","",COUNTIFS(Eingabe[Position],2,Eingabe[MP],1,Eingabe[Name],PositionA[[#This Row],[Name A]],Eingabe[Wo],"A"))</f>
        <v/>
      </c>
      <c r="L114" s="129" t="str">
        <f>IF(PositionA[[#This Row],[P3 A]]="","",COUNTIFS(Eingabe[Position],3,Eingabe[MP],1,Eingabe[Name],PositionA[[#This Row],[Name A]],Eingabe[Wo],"A"))</f>
        <v/>
      </c>
      <c r="M114" s="129" t="str">
        <f>IF(PositionA[[#This Row],[P4 A]]="","",COUNTIFS(Eingabe[Position],4,Eingabe[MP],1,Eingabe[Name],PositionA[[#This Row],[Name A]],Eingabe[Wo],"A"))</f>
        <v/>
      </c>
      <c r="N114" s="129" t="str">
        <f>IF(PositionA[[#This Row],[P5 A]]="","",COUNTIFS(Eingabe[Position],5,Eingabe[MP],1,Eingabe[Name],PositionA[[#This Row],[Name A]],Eingabe[Wo],"A"))</f>
        <v/>
      </c>
      <c r="O114" s="129" t="str">
        <f>IF(PositionA[[#This Row],[P6 A]]="","",COUNTIFS(Eingabe[Position],6,Eingabe[MP],1,Eingabe[Name],PositionA[[#This Row],[Name A]],Eingabe[Wo],"A"))</f>
        <v/>
      </c>
      <c r="P114" s="172" t="str">
        <f>IF(PositionA[[#This Row],[P1 A]]=0,"",IF(PositionA[[#This Row],[P1 A]]="","",PositionA[[#This Row],[P1 S A]]/PositionA[[#This Row],[P1 A]]))</f>
        <v/>
      </c>
      <c r="Q114" s="172" t="str">
        <f>IF(PositionA[[#This Row],[P2 A]]=0,"",IF(PositionA[[#This Row],[P2 A]]="","",PositionA[[#This Row],[P2 S A]]/PositionA[[#This Row],[P2 A]]))</f>
        <v/>
      </c>
      <c r="R114" s="172" t="str">
        <f>IF(PositionA[[#This Row],[P3 A]]=0,"",IF(PositionA[[#This Row],[P3 A]]="","",PositionA[[#This Row],[P3 S A]]/PositionA[[#This Row],[P3 A]]))</f>
        <v/>
      </c>
      <c r="S114" s="172" t="str">
        <f>IF(PositionA[[#This Row],[P4 A]]=0,"",IF(PositionA[[#This Row],[P4 A]]="","",PositionA[[#This Row],[P4 S A]]/PositionA[[#This Row],[P4 A]]))</f>
        <v/>
      </c>
      <c r="T114" s="172" t="str">
        <f>IF(PositionA[[#This Row],[P5 A]]=0,"",IF(PositionA[[#This Row],[P5 A]]="","",PositionA[[#This Row],[P5 S A]]/PositionA[[#This Row],[P5 A]]))</f>
        <v/>
      </c>
      <c r="U114" s="172" t="str">
        <f>IF(PositionA[[#This Row],[P6 A]]=0,"",IF(PositionA[[#This Row],[P6 A]]="","",PositionA[[#This Row],[P6 S A]]/PositionA[[#This Row],[P6 A]]))</f>
        <v/>
      </c>
      <c r="V114"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14" s="129" t="str">
        <f>IF(PositionA[[#This Row],[HP A]]="","",MAX(PositionA[[#This Row],[P1 A]:[P6 A]]))</f>
        <v/>
      </c>
      <c r="X114"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14" s="172" t="str">
        <f>IF(PositionA[[#This Row],[Spiele A]]="","",MAX(PositionA[[#This Row],[P1 % A]:[P6 % A]]))</f>
        <v/>
      </c>
    </row>
    <row r="115" spans="2:25" x14ac:dyDescent="0.3">
      <c r="B115" s="129" t="str">
        <f t="shared" si="2"/>
        <v>Emelie Schiffel</v>
      </c>
      <c r="C115" s="129" t="str">
        <f>VLOOKUP(PositionA[[#This Row],[Name A]],AuswertungA[],4,FALSE)</f>
        <v/>
      </c>
      <c r="D115" s="129" t="str">
        <f>IF(PositionA[[#This Row],[Spiele A]]="","",COUNTIFS(Eingabe[Name],PositionA[[#This Row],[Name A]],Eingabe[Position],1,Eingabe[Wo],"A"))</f>
        <v/>
      </c>
      <c r="E115" s="129" t="str">
        <f>IF(PositionA[[#This Row],[Spiele A]]="","",COUNTIFS(Eingabe[Name],PositionA[[#This Row],[Name A]],Eingabe[Position],2,Eingabe[Wo],"A"))</f>
        <v/>
      </c>
      <c r="F115" s="129" t="str">
        <f>IF(PositionA[[#This Row],[Spiele A]]="","",COUNTIFS(Eingabe[Name],PositionA[[#This Row],[Name A]],Eingabe[Position],3,Eingabe[Wo],"A"))</f>
        <v/>
      </c>
      <c r="G115" s="129" t="str">
        <f>IF(PositionA[[#This Row],[Spiele A]]="","",COUNTIFS(Eingabe[Name],PositionA[[#This Row],[Name A]],Eingabe[Position],4,Eingabe[Wo],"A"))</f>
        <v/>
      </c>
      <c r="H115" s="129" t="str">
        <f>IF(PositionA[[#This Row],[Spiele A]]="","",COUNTIFS(Eingabe[Name],PositionA[[#This Row],[Name A]],Eingabe[Position],5,Eingabe[Wo],"A"))</f>
        <v/>
      </c>
      <c r="I115" s="129" t="str">
        <f>IF(PositionA[[#This Row],[Spiele A]]="","",COUNTIFS(Eingabe[Name],PositionA[[#This Row],[Name A]],Eingabe[Position],6,Eingabe[Wo],"A"))</f>
        <v/>
      </c>
      <c r="J115" s="129" t="str">
        <f>IF(PositionA[[#This Row],[P1 A]]="","",COUNTIFS(Eingabe[Position],1,Eingabe[MP],1,Eingabe[Name],PositionA[[#This Row],[Name A]],Eingabe[Wo],"A"))</f>
        <v/>
      </c>
      <c r="K115" s="129" t="str">
        <f>IF(PositionA[[#This Row],[P2 A]]="","",COUNTIFS(Eingabe[Position],2,Eingabe[MP],1,Eingabe[Name],PositionA[[#This Row],[Name A]],Eingabe[Wo],"A"))</f>
        <v/>
      </c>
      <c r="L115" s="129" t="str">
        <f>IF(PositionA[[#This Row],[P3 A]]="","",COUNTIFS(Eingabe[Position],3,Eingabe[MP],1,Eingabe[Name],PositionA[[#This Row],[Name A]],Eingabe[Wo],"A"))</f>
        <v/>
      </c>
      <c r="M115" s="129" t="str">
        <f>IF(PositionA[[#This Row],[P4 A]]="","",COUNTIFS(Eingabe[Position],4,Eingabe[MP],1,Eingabe[Name],PositionA[[#This Row],[Name A]],Eingabe[Wo],"A"))</f>
        <v/>
      </c>
      <c r="N115" s="129" t="str">
        <f>IF(PositionA[[#This Row],[P5 A]]="","",COUNTIFS(Eingabe[Position],5,Eingabe[MP],1,Eingabe[Name],PositionA[[#This Row],[Name A]],Eingabe[Wo],"A"))</f>
        <v/>
      </c>
      <c r="O115" s="129" t="str">
        <f>IF(PositionA[[#This Row],[P6 A]]="","",COUNTIFS(Eingabe[Position],6,Eingabe[MP],1,Eingabe[Name],PositionA[[#This Row],[Name A]],Eingabe[Wo],"A"))</f>
        <v/>
      </c>
      <c r="P115" s="172" t="str">
        <f>IF(PositionA[[#This Row],[P1 A]]=0,"",IF(PositionA[[#This Row],[P1 A]]="","",PositionA[[#This Row],[P1 S A]]/PositionA[[#This Row],[P1 A]]))</f>
        <v/>
      </c>
      <c r="Q115" s="172" t="str">
        <f>IF(PositionA[[#This Row],[P2 A]]=0,"",IF(PositionA[[#This Row],[P2 A]]="","",PositionA[[#This Row],[P2 S A]]/PositionA[[#This Row],[P2 A]]))</f>
        <v/>
      </c>
      <c r="R115" s="172" t="str">
        <f>IF(PositionA[[#This Row],[P3 A]]=0,"",IF(PositionA[[#This Row],[P3 A]]="","",PositionA[[#This Row],[P3 S A]]/PositionA[[#This Row],[P3 A]]))</f>
        <v/>
      </c>
      <c r="S115" s="172" t="str">
        <f>IF(PositionA[[#This Row],[P4 A]]=0,"",IF(PositionA[[#This Row],[P4 A]]="","",PositionA[[#This Row],[P4 S A]]/PositionA[[#This Row],[P4 A]]))</f>
        <v/>
      </c>
      <c r="T115" s="172" t="str">
        <f>IF(PositionA[[#This Row],[P5 A]]=0,"",IF(PositionA[[#This Row],[P5 A]]="","",PositionA[[#This Row],[P5 S A]]/PositionA[[#This Row],[P5 A]]))</f>
        <v/>
      </c>
      <c r="U115" s="172" t="str">
        <f>IF(PositionA[[#This Row],[P6 A]]=0,"",IF(PositionA[[#This Row],[P6 A]]="","",PositionA[[#This Row],[P6 S A]]/PositionA[[#This Row],[P6 A]]))</f>
        <v/>
      </c>
      <c r="V115"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15" s="129" t="str">
        <f>IF(PositionA[[#This Row],[HP A]]="","",MAX(PositionA[[#This Row],[P1 A]:[P6 A]]))</f>
        <v/>
      </c>
      <c r="X115"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15" s="172" t="str">
        <f>IF(PositionA[[#This Row],[Spiele A]]="","",MAX(PositionA[[#This Row],[P1 % A]:[P6 % A]]))</f>
        <v/>
      </c>
    </row>
    <row r="116" spans="2:25" x14ac:dyDescent="0.3">
      <c r="B116" s="129" t="str">
        <f t="shared" si="2"/>
        <v>Emma Hettmann</v>
      </c>
      <c r="C116" s="129" t="str">
        <f>VLOOKUP(PositionA[[#This Row],[Name A]],AuswertungA[],4,FALSE)</f>
        <v/>
      </c>
      <c r="D116" s="129" t="str">
        <f>IF(PositionA[[#This Row],[Spiele A]]="","",COUNTIFS(Eingabe[Name],PositionA[[#This Row],[Name A]],Eingabe[Position],1,Eingabe[Wo],"A"))</f>
        <v/>
      </c>
      <c r="E116" s="129" t="str">
        <f>IF(PositionA[[#This Row],[Spiele A]]="","",COUNTIFS(Eingabe[Name],PositionA[[#This Row],[Name A]],Eingabe[Position],2,Eingabe[Wo],"A"))</f>
        <v/>
      </c>
      <c r="F116" s="129" t="str">
        <f>IF(PositionA[[#This Row],[Spiele A]]="","",COUNTIFS(Eingabe[Name],PositionA[[#This Row],[Name A]],Eingabe[Position],3,Eingabe[Wo],"A"))</f>
        <v/>
      </c>
      <c r="G116" s="129" t="str">
        <f>IF(PositionA[[#This Row],[Spiele A]]="","",COUNTIFS(Eingabe[Name],PositionA[[#This Row],[Name A]],Eingabe[Position],4,Eingabe[Wo],"A"))</f>
        <v/>
      </c>
      <c r="H116" s="129" t="str">
        <f>IF(PositionA[[#This Row],[Spiele A]]="","",COUNTIFS(Eingabe[Name],PositionA[[#This Row],[Name A]],Eingabe[Position],5,Eingabe[Wo],"A"))</f>
        <v/>
      </c>
      <c r="I116" s="129" t="str">
        <f>IF(PositionA[[#This Row],[Spiele A]]="","",COUNTIFS(Eingabe[Name],PositionA[[#This Row],[Name A]],Eingabe[Position],6,Eingabe[Wo],"A"))</f>
        <v/>
      </c>
      <c r="J116" s="129" t="str">
        <f>IF(PositionA[[#This Row],[P1 A]]="","",COUNTIFS(Eingabe[Position],1,Eingabe[MP],1,Eingabe[Name],PositionA[[#This Row],[Name A]],Eingabe[Wo],"A"))</f>
        <v/>
      </c>
      <c r="K116" s="129" t="str">
        <f>IF(PositionA[[#This Row],[P2 A]]="","",COUNTIFS(Eingabe[Position],2,Eingabe[MP],1,Eingabe[Name],PositionA[[#This Row],[Name A]],Eingabe[Wo],"A"))</f>
        <v/>
      </c>
      <c r="L116" s="129" t="str">
        <f>IF(PositionA[[#This Row],[P3 A]]="","",COUNTIFS(Eingabe[Position],3,Eingabe[MP],1,Eingabe[Name],PositionA[[#This Row],[Name A]],Eingabe[Wo],"A"))</f>
        <v/>
      </c>
      <c r="M116" s="129" t="str">
        <f>IF(PositionA[[#This Row],[P4 A]]="","",COUNTIFS(Eingabe[Position],4,Eingabe[MP],1,Eingabe[Name],PositionA[[#This Row],[Name A]],Eingabe[Wo],"A"))</f>
        <v/>
      </c>
      <c r="N116" s="129" t="str">
        <f>IF(PositionA[[#This Row],[P5 A]]="","",COUNTIFS(Eingabe[Position],5,Eingabe[MP],1,Eingabe[Name],PositionA[[#This Row],[Name A]],Eingabe[Wo],"A"))</f>
        <v/>
      </c>
      <c r="O116" s="129" t="str">
        <f>IF(PositionA[[#This Row],[P6 A]]="","",COUNTIFS(Eingabe[Position],6,Eingabe[MP],1,Eingabe[Name],PositionA[[#This Row],[Name A]],Eingabe[Wo],"A"))</f>
        <v/>
      </c>
      <c r="P116" s="172" t="str">
        <f>IF(PositionA[[#This Row],[P1 A]]=0,"",IF(PositionA[[#This Row],[P1 A]]="","",PositionA[[#This Row],[P1 S A]]/PositionA[[#This Row],[P1 A]]))</f>
        <v/>
      </c>
      <c r="Q116" s="172" t="str">
        <f>IF(PositionA[[#This Row],[P2 A]]=0,"",IF(PositionA[[#This Row],[P2 A]]="","",PositionA[[#This Row],[P2 S A]]/PositionA[[#This Row],[P2 A]]))</f>
        <v/>
      </c>
      <c r="R116" s="172" t="str">
        <f>IF(PositionA[[#This Row],[P3 A]]=0,"",IF(PositionA[[#This Row],[P3 A]]="","",PositionA[[#This Row],[P3 S A]]/PositionA[[#This Row],[P3 A]]))</f>
        <v/>
      </c>
      <c r="S116" s="172" t="str">
        <f>IF(PositionA[[#This Row],[P4 A]]=0,"",IF(PositionA[[#This Row],[P4 A]]="","",PositionA[[#This Row],[P4 S A]]/PositionA[[#This Row],[P4 A]]))</f>
        <v/>
      </c>
      <c r="T116" s="172" t="str">
        <f>IF(PositionA[[#This Row],[P5 A]]=0,"",IF(PositionA[[#This Row],[P5 A]]="","",PositionA[[#This Row],[P5 S A]]/PositionA[[#This Row],[P5 A]]))</f>
        <v/>
      </c>
      <c r="U116" s="172" t="str">
        <f>IF(PositionA[[#This Row],[P6 A]]=0,"",IF(PositionA[[#This Row],[P6 A]]="","",PositionA[[#This Row],[P6 S A]]/PositionA[[#This Row],[P6 A]]))</f>
        <v/>
      </c>
      <c r="V116"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16" s="129" t="str">
        <f>IF(PositionA[[#This Row],[HP A]]="","",MAX(PositionA[[#This Row],[P1 A]:[P6 A]]))</f>
        <v/>
      </c>
      <c r="X116"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16" s="172" t="str">
        <f>IF(PositionA[[#This Row],[Spiele A]]="","",MAX(PositionA[[#This Row],[P1 % A]:[P6 % A]]))</f>
        <v/>
      </c>
    </row>
    <row r="117" spans="2:25" x14ac:dyDescent="0.3">
      <c r="B117" s="129" t="str">
        <f t="shared" si="2"/>
        <v>Erik Krutak</v>
      </c>
      <c r="C117" s="129">
        <f>VLOOKUP(PositionA[[#This Row],[Name A]],AuswertungA[],4,FALSE)</f>
        <v>5</v>
      </c>
      <c r="D117" s="129">
        <f>IF(PositionA[[#This Row],[Spiele A]]="","",COUNTIFS(Eingabe[Name],PositionA[[#This Row],[Name A]],Eingabe[Position],1,Eingabe[Wo],"A"))</f>
        <v>0</v>
      </c>
      <c r="E117" s="129">
        <f>IF(PositionA[[#This Row],[Spiele A]]="","",COUNTIFS(Eingabe[Name],PositionA[[#This Row],[Name A]],Eingabe[Position],2,Eingabe[Wo],"A"))</f>
        <v>0</v>
      </c>
      <c r="F117" s="129">
        <f>IF(PositionA[[#This Row],[Spiele A]]="","",COUNTIFS(Eingabe[Name],PositionA[[#This Row],[Name A]],Eingabe[Position],3,Eingabe[Wo],"A"))</f>
        <v>0</v>
      </c>
      <c r="G117" s="129">
        <f>IF(PositionA[[#This Row],[Spiele A]]="","",COUNTIFS(Eingabe[Name],PositionA[[#This Row],[Name A]],Eingabe[Position],4,Eingabe[Wo],"A"))</f>
        <v>0</v>
      </c>
      <c r="H117" s="129">
        <f>IF(PositionA[[#This Row],[Spiele A]]="","",COUNTIFS(Eingabe[Name],PositionA[[#This Row],[Name A]],Eingabe[Position],5,Eingabe[Wo],"A"))</f>
        <v>3</v>
      </c>
      <c r="I117" s="129">
        <f>IF(PositionA[[#This Row],[Spiele A]]="","",COUNTIFS(Eingabe[Name],PositionA[[#This Row],[Name A]],Eingabe[Position],6,Eingabe[Wo],"A"))</f>
        <v>2</v>
      </c>
      <c r="J117" s="129">
        <f>IF(PositionA[[#This Row],[P1 A]]="","",COUNTIFS(Eingabe[Position],1,Eingabe[MP],1,Eingabe[Name],PositionA[[#This Row],[Name A]],Eingabe[Wo],"A"))</f>
        <v>0</v>
      </c>
      <c r="K117" s="129">
        <f>IF(PositionA[[#This Row],[P2 A]]="","",COUNTIFS(Eingabe[Position],2,Eingabe[MP],1,Eingabe[Name],PositionA[[#This Row],[Name A]],Eingabe[Wo],"A"))</f>
        <v>0</v>
      </c>
      <c r="L117" s="129">
        <f>IF(PositionA[[#This Row],[P3 A]]="","",COUNTIFS(Eingabe[Position],3,Eingabe[MP],1,Eingabe[Name],PositionA[[#This Row],[Name A]],Eingabe[Wo],"A"))</f>
        <v>0</v>
      </c>
      <c r="M117" s="129">
        <f>IF(PositionA[[#This Row],[P4 A]]="","",COUNTIFS(Eingabe[Position],4,Eingabe[MP],1,Eingabe[Name],PositionA[[#This Row],[Name A]],Eingabe[Wo],"A"))</f>
        <v>0</v>
      </c>
      <c r="N117" s="129">
        <f>IF(PositionA[[#This Row],[P5 A]]="","",COUNTIFS(Eingabe[Position],5,Eingabe[MP],1,Eingabe[Name],PositionA[[#This Row],[Name A]],Eingabe[Wo],"A"))</f>
        <v>0</v>
      </c>
      <c r="O117" s="129">
        <f>IF(PositionA[[#This Row],[P6 A]]="","",COUNTIFS(Eingabe[Position],6,Eingabe[MP],1,Eingabe[Name],PositionA[[#This Row],[Name A]],Eingabe[Wo],"A"))</f>
        <v>0</v>
      </c>
      <c r="P117" s="172" t="str">
        <f>IF(PositionA[[#This Row],[P1 A]]=0,"",IF(PositionA[[#This Row],[P1 A]]="","",PositionA[[#This Row],[P1 S A]]/PositionA[[#This Row],[P1 A]]))</f>
        <v/>
      </c>
      <c r="Q117" s="172" t="str">
        <f>IF(PositionA[[#This Row],[P2 A]]=0,"",IF(PositionA[[#This Row],[P2 A]]="","",PositionA[[#This Row],[P2 S A]]/PositionA[[#This Row],[P2 A]]))</f>
        <v/>
      </c>
      <c r="R117" s="172" t="str">
        <f>IF(PositionA[[#This Row],[P3 A]]=0,"",IF(PositionA[[#This Row],[P3 A]]="","",PositionA[[#This Row],[P3 S A]]/PositionA[[#This Row],[P3 A]]))</f>
        <v/>
      </c>
      <c r="S117" s="172" t="str">
        <f>IF(PositionA[[#This Row],[P4 A]]=0,"",IF(PositionA[[#This Row],[P4 A]]="","",PositionA[[#This Row],[P4 S A]]/PositionA[[#This Row],[P4 A]]))</f>
        <v/>
      </c>
      <c r="T117" s="172">
        <f>IF(PositionA[[#This Row],[P5 A]]=0,"",IF(PositionA[[#This Row],[P5 A]]="","",PositionA[[#This Row],[P5 S A]]/PositionA[[#This Row],[P5 A]]))</f>
        <v>0</v>
      </c>
      <c r="U117" s="172">
        <f>IF(PositionA[[#This Row],[P6 A]]=0,"",IF(PositionA[[#This Row],[P6 A]]="","",PositionA[[#This Row],[P6 S A]]/PositionA[[#This Row],[P6 A]]))</f>
        <v>0</v>
      </c>
      <c r="V117"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[5]</v>
      </c>
      <c r="W117" s="129">
        <f>IF(PositionA[[#This Row],[HP A]]="","",MAX(PositionA[[#This Row],[P1 A]:[P6 A]]))</f>
        <v>3</v>
      </c>
      <c r="X117"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[5][6]</v>
      </c>
      <c r="Y117" s="172">
        <f>IF(PositionA[[#This Row],[Spiele A]]="","",MAX(PositionA[[#This Row],[P1 % A]:[P6 % A]]))</f>
        <v>0</v>
      </c>
    </row>
    <row r="118" spans="2:25" x14ac:dyDescent="0.3">
      <c r="B118" s="129" t="str">
        <f t="shared" si="2"/>
        <v>Florian Jäger</v>
      </c>
      <c r="C118" s="129">
        <f>VLOOKUP(PositionA[[#This Row],[Name A]],AuswertungA[],4,FALSE)</f>
        <v>1</v>
      </c>
      <c r="D118" s="129">
        <f>IF(PositionA[[#This Row],[Spiele A]]="","",COUNTIFS(Eingabe[Name],PositionA[[#This Row],[Name A]],Eingabe[Position],1,Eingabe[Wo],"A"))</f>
        <v>0</v>
      </c>
      <c r="E118" s="129">
        <f>IF(PositionA[[#This Row],[Spiele A]]="","",COUNTIFS(Eingabe[Name],PositionA[[#This Row],[Name A]],Eingabe[Position],2,Eingabe[Wo],"A"))</f>
        <v>0</v>
      </c>
      <c r="F118" s="129">
        <f>IF(PositionA[[#This Row],[Spiele A]]="","",COUNTIFS(Eingabe[Name],PositionA[[#This Row],[Name A]],Eingabe[Position],3,Eingabe[Wo],"A"))</f>
        <v>0</v>
      </c>
      <c r="G118" s="129">
        <f>IF(PositionA[[#This Row],[Spiele A]]="","",COUNTIFS(Eingabe[Name],PositionA[[#This Row],[Name A]],Eingabe[Position],4,Eingabe[Wo],"A"))</f>
        <v>0</v>
      </c>
      <c r="H118" s="129">
        <f>IF(PositionA[[#This Row],[Spiele A]]="","",COUNTIFS(Eingabe[Name],PositionA[[#This Row],[Name A]],Eingabe[Position],5,Eingabe[Wo],"A"))</f>
        <v>0</v>
      </c>
      <c r="I118" s="129">
        <f>IF(PositionA[[#This Row],[Spiele A]]="","",COUNTIFS(Eingabe[Name],PositionA[[#This Row],[Name A]],Eingabe[Position],6,Eingabe[Wo],"A"))</f>
        <v>1</v>
      </c>
      <c r="J118" s="129">
        <f>IF(PositionA[[#This Row],[P1 A]]="","",COUNTIFS(Eingabe[Position],1,Eingabe[MP],1,Eingabe[Name],PositionA[[#This Row],[Name A]],Eingabe[Wo],"A"))</f>
        <v>0</v>
      </c>
      <c r="K118" s="129">
        <f>IF(PositionA[[#This Row],[P2 A]]="","",COUNTIFS(Eingabe[Position],2,Eingabe[MP],1,Eingabe[Name],PositionA[[#This Row],[Name A]],Eingabe[Wo],"A"))</f>
        <v>0</v>
      </c>
      <c r="L118" s="129">
        <f>IF(PositionA[[#This Row],[P3 A]]="","",COUNTIFS(Eingabe[Position],3,Eingabe[MP],1,Eingabe[Name],PositionA[[#This Row],[Name A]],Eingabe[Wo],"A"))</f>
        <v>0</v>
      </c>
      <c r="M118" s="129">
        <f>IF(PositionA[[#This Row],[P4 A]]="","",COUNTIFS(Eingabe[Position],4,Eingabe[MP],1,Eingabe[Name],PositionA[[#This Row],[Name A]],Eingabe[Wo],"A"))</f>
        <v>0</v>
      </c>
      <c r="N118" s="129">
        <f>IF(PositionA[[#This Row],[P5 A]]="","",COUNTIFS(Eingabe[Position],5,Eingabe[MP],1,Eingabe[Name],PositionA[[#This Row],[Name A]],Eingabe[Wo],"A"))</f>
        <v>0</v>
      </c>
      <c r="O118" s="129">
        <f>IF(PositionA[[#This Row],[P6 A]]="","",COUNTIFS(Eingabe[Position],6,Eingabe[MP],1,Eingabe[Name],PositionA[[#This Row],[Name A]],Eingabe[Wo],"A"))</f>
        <v>1</v>
      </c>
      <c r="P118" s="172" t="str">
        <f>IF(PositionA[[#This Row],[P1 A]]=0,"",IF(PositionA[[#This Row],[P1 A]]="","",PositionA[[#This Row],[P1 S A]]/PositionA[[#This Row],[P1 A]]))</f>
        <v/>
      </c>
      <c r="Q118" s="172" t="str">
        <f>IF(PositionA[[#This Row],[P2 A]]=0,"",IF(PositionA[[#This Row],[P2 A]]="","",PositionA[[#This Row],[P2 S A]]/PositionA[[#This Row],[P2 A]]))</f>
        <v/>
      </c>
      <c r="R118" s="172" t="str">
        <f>IF(PositionA[[#This Row],[P3 A]]=0,"",IF(PositionA[[#This Row],[P3 A]]="","",PositionA[[#This Row],[P3 S A]]/PositionA[[#This Row],[P3 A]]))</f>
        <v/>
      </c>
      <c r="S118" s="172" t="str">
        <f>IF(PositionA[[#This Row],[P4 A]]=0,"",IF(PositionA[[#This Row],[P4 A]]="","",PositionA[[#This Row],[P4 S A]]/PositionA[[#This Row],[P4 A]]))</f>
        <v/>
      </c>
      <c r="T118" s="172" t="str">
        <f>IF(PositionA[[#This Row],[P5 A]]=0,"",IF(PositionA[[#This Row],[P5 A]]="","",PositionA[[#This Row],[P5 S A]]/PositionA[[#This Row],[P5 A]]))</f>
        <v/>
      </c>
      <c r="U118" s="172">
        <f>IF(PositionA[[#This Row],[P6 A]]=0,"",IF(PositionA[[#This Row],[P6 A]]="","",PositionA[[#This Row],[P6 S A]]/PositionA[[#This Row],[P6 A]]))</f>
        <v>1</v>
      </c>
      <c r="V118"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[6]</v>
      </c>
      <c r="W118" s="129">
        <f>IF(PositionA[[#This Row],[HP A]]="","",MAX(PositionA[[#This Row],[P1 A]:[P6 A]]))</f>
        <v>1</v>
      </c>
      <c r="X118"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[6]</v>
      </c>
      <c r="Y118" s="172">
        <f>IF(PositionA[[#This Row],[Spiele A]]="","",MAX(PositionA[[#This Row],[P1 % A]:[P6 % A]]))</f>
        <v>1</v>
      </c>
    </row>
    <row r="119" spans="2:25" x14ac:dyDescent="0.3">
      <c r="B119" s="129" t="str">
        <f t="shared" si="2"/>
        <v>Heike Scholz</v>
      </c>
      <c r="C119" s="129">
        <f>VLOOKUP(PositionA[[#This Row],[Name A]],AuswertungA[],4,FALSE)</f>
        <v>4</v>
      </c>
      <c r="D119" s="129">
        <f>IF(PositionA[[#This Row],[Spiele A]]="","",COUNTIFS(Eingabe[Name],PositionA[[#This Row],[Name A]],Eingabe[Position],1,Eingabe[Wo],"A"))</f>
        <v>0</v>
      </c>
      <c r="E119" s="129">
        <f>IF(PositionA[[#This Row],[Spiele A]]="","",COUNTIFS(Eingabe[Name],PositionA[[#This Row],[Name A]],Eingabe[Position],2,Eingabe[Wo],"A"))</f>
        <v>0</v>
      </c>
      <c r="F119" s="129">
        <f>IF(PositionA[[#This Row],[Spiele A]]="","",COUNTIFS(Eingabe[Name],PositionA[[#This Row],[Name A]],Eingabe[Position],3,Eingabe[Wo],"A"))</f>
        <v>1</v>
      </c>
      <c r="G119" s="129">
        <f>IF(PositionA[[#This Row],[Spiele A]]="","",COUNTIFS(Eingabe[Name],PositionA[[#This Row],[Name A]],Eingabe[Position],4,Eingabe[Wo],"A"))</f>
        <v>3</v>
      </c>
      <c r="H119" s="129">
        <f>IF(PositionA[[#This Row],[Spiele A]]="","",COUNTIFS(Eingabe[Name],PositionA[[#This Row],[Name A]],Eingabe[Position],5,Eingabe[Wo],"A"))</f>
        <v>0</v>
      </c>
      <c r="I119" s="129">
        <f>IF(PositionA[[#This Row],[Spiele A]]="","",COUNTIFS(Eingabe[Name],PositionA[[#This Row],[Name A]],Eingabe[Position],6,Eingabe[Wo],"A"))</f>
        <v>0</v>
      </c>
      <c r="J119" s="129">
        <f>IF(PositionA[[#This Row],[P1 A]]="","",COUNTIFS(Eingabe[Position],1,Eingabe[MP],1,Eingabe[Name],PositionA[[#This Row],[Name A]],Eingabe[Wo],"A"))</f>
        <v>0</v>
      </c>
      <c r="K119" s="129">
        <f>IF(PositionA[[#This Row],[P2 A]]="","",COUNTIFS(Eingabe[Position],2,Eingabe[MP],1,Eingabe[Name],PositionA[[#This Row],[Name A]],Eingabe[Wo],"A"))</f>
        <v>0</v>
      </c>
      <c r="L119" s="129">
        <f>IF(PositionA[[#This Row],[P3 A]]="","",COUNTIFS(Eingabe[Position],3,Eingabe[MP],1,Eingabe[Name],PositionA[[#This Row],[Name A]],Eingabe[Wo],"A"))</f>
        <v>1</v>
      </c>
      <c r="M119" s="129">
        <f>IF(PositionA[[#This Row],[P4 A]]="","",COUNTIFS(Eingabe[Position],4,Eingabe[MP],1,Eingabe[Name],PositionA[[#This Row],[Name A]],Eingabe[Wo],"A"))</f>
        <v>2</v>
      </c>
      <c r="N119" s="129">
        <f>IF(PositionA[[#This Row],[P5 A]]="","",COUNTIFS(Eingabe[Position],5,Eingabe[MP],1,Eingabe[Name],PositionA[[#This Row],[Name A]],Eingabe[Wo],"A"))</f>
        <v>0</v>
      </c>
      <c r="O119" s="129">
        <f>IF(PositionA[[#This Row],[P6 A]]="","",COUNTIFS(Eingabe[Position],6,Eingabe[MP],1,Eingabe[Name],PositionA[[#This Row],[Name A]],Eingabe[Wo],"A"))</f>
        <v>0</v>
      </c>
      <c r="P119" s="172" t="str">
        <f>IF(PositionA[[#This Row],[P1 A]]=0,"",IF(PositionA[[#This Row],[P1 A]]="","",PositionA[[#This Row],[P1 S A]]/PositionA[[#This Row],[P1 A]]))</f>
        <v/>
      </c>
      <c r="Q119" s="172" t="str">
        <f>IF(PositionA[[#This Row],[P2 A]]=0,"",IF(PositionA[[#This Row],[P2 A]]="","",PositionA[[#This Row],[P2 S A]]/PositionA[[#This Row],[P2 A]]))</f>
        <v/>
      </c>
      <c r="R119" s="172">
        <f>IF(PositionA[[#This Row],[P3 A]]=0,"",IF(PositionA[[#This Row],[P3 A]]="","",PositionA[[#This Row],[P3 S A]]/PositionA[[#This Row],[P3 A]]))</f>
        <v>1</v>
      </c>
      <c r="S119" s="172">
        <f>IF(PositionA[[#This Row],[P4 A]]=0,"",IF(PositionA[[#This Row],[P4 A]]="","",PositionA[[#This Row],[P4 S A]]/PositionA[[#This Row],[P4 A]]))</f>
        <v>0.66666666666666663</v>
      </c>
      <c r="T119" s="172" t="str">
        <f>IF(PositionA[[#This Row],[P5 A]]=0,"",IF(PositionA[[#This Row],[P5 A]]="","",PositionA[[#This Row],[P5 S A]]/PositionA[[#This Row],[P5 A]]))</f>
        <v/>
      </c>
      <c r="U119" s="172" t="str">
        <f>IF(PositionA[[#This Row],[P6 A]]=0,"",IF(PositionA[[#This Row],[P6 A]]="","",PositionA[[#This Row],[P6 S A]]/PositionA[[#This Row],[P6 A]]))</f>
        <v/>
      </c>
      <c r="V119"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[4]</v>
      </c>
      <c r="W119" s="129">
        <f>IF(PositionA[[#This Row],[HP A]]="","",MAX(PositionA[[#This Row],[P1 A]:[P6 A]]))</f>
        <v>3</v>
      </c>
      <c r="X119"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[3]</v>
      </c>
      <c r="Y119" s="172">
        <f>IF(PositionA[[#This Row],[Spiele A]]="","",MAX(PositionA[[#This Row],[P1 % A]:[P6 % A]]))</f>
        <v>1</v>
      </c>
    </row>
    <row r="120" spans="2:25" x14ac:dyDescent="0.3">
      <c r="B120" s="129" t="str">
        <f t="shared" si="2"/>
        <v>Heiko Fuhrmann</v>
      </c>
      <c r="C120" s="129">
        <f>VLOOKUP(PositionA[[#This Row],[Name A]],AuswertungA[],4,FALSE)</f>
        <v>6</v>
      </c>
      <c r="D120" s="129">
        <f>IF(PositionA[[#This Row],[Spiele A]]="","",COUNTIFS(Eingabe[Name],PositionA[[#This Row],[Name A]],Eingabe[Position],1,Eingabe[Wo],"A"))</f>
        <v>0</v>
      </c>
      <c r="E120" s="129">
        <f>IF(PositionA[[#This Row],[Spiele A]]="","",COUNTIFS(Eingabe[Name],PositionA[[#This Row],[Name A]],Eingabe[Position],2,Eingabe[Wo],"A"))</f>
        <v>0</v>
      </c>
      <c r="F120" s="129">
        <f>IF(PositionA[[#This Row],[Spiele A]]="","",COUNTIFS(Eingabe[Name],PositionA[[#This Row],[Name A]],Eingabe[Position],3,Eingabe[Wo],"A"))</f>
        <v>0</v>
      </c>
      <c r="G120" s="129">
        <f>IF(PositionA[[#This Row],[Spiele A]]="","",COUNTIFS(Eingabe[Name],PositionA[[#This Row],[Name A]],Eingabe[Position],4,Eingabe[Wo],"A"))</f>
        <v>1</v>
      </c>
      <c r="H120" s="129">
        <f>IF(PositionA[[#This Row],[Spiele A]]="","",COUNTIFS(Eingabe[Name],PositionA[[#This Row],[Name A]],Eingabe[Position],5,Eingabe[Wo],"A"))</f>
        <v>3</v>
      </c>
      <c r="I120" s="129">
        <f>IF(PositionA[[#This Row],[Spiele A]]="","",COUNTIFS(Eingabe[Name],PositionA[[#This Row],[Name A]],Eingabe[Position],6,Eingabe[Wo],"A"))</f>
        <v>2</v>
      </c>
      <c r="J120" s="129">
        <f>IF(PositionA[[#This Row],[P1 A]]="","",COUNTIFS(Eingabe[Position],1,Eingabe[MP],1,Eingabe[Name],PositionA[[#This Row],[Name A]],Eingabe[Wo],"A"))</f>
        <v>0</v>
      </c>
      <c r="K120" s="129">
        <f>IF(PositionA[[#This Row],[P2 A]]="","",COUNTIFS(Eingabe[Position],2,Eingabe[MP],1,Eingabe[Name],PositionA[[#This Row],[Name A]],Eingabe[Wo],"A"))</f>
        <v>0</v>
      </c>
      <c r="L120" s="129">
        <f>IF(PositionA[[#This Row],[P3 A]]="","",COUNTIFS(Eingabe[Position],3,Eingabe[MP],1,Eingabe[Name],PositionA[[#This Row],[Name A]],Eingabe[Wo],"A"))</f>
        <v>0</v>
      </c>
      <c r="M120" s="129">
        <f>IF(PositionA[[#This Row],[P4 A]]="","",COUNTIFS(Eingabe[Position],4,Eingabe[MP],1,Eingabe[Name],PositionA[[#This Row],[Name A]],Eingabe[Wo],"A"))</f>
        <v>0</v>
      </c>
      <c r="N120" s="129">
        <f>IF(PositionA[[#This Row],[P5 A]]="","",COUNTIFS(Eingabe[Position],5,Eingabe[MP],1,Eingabe[Name],PositionA[[#This Row],[Name A]],Eingabe[Wo],"A"))</f>
        <v>2</v>
      </c>
      <c r="O120" s="129">
        <f>IF(PositionA[[#This Row],[P6 A]]="","",COUNTIFS(Eingabe[Position],6,Eingabe[MP],1,Eingabe[Name],PositionA[[#This Row],[Name A]],Eingabe[Wo],"A"))</f>
        <v>0</v>
      </c>
      <c r="P120" s="172" t="str">
        <f>IF(PositionA[[#This Row],[P1 A]]=0,"",IF(PositionA[[#This Row],[P1 A]]="","",PositionA[[#This Row],[P1 S A]]/PositionA[[#This Row],[P1 A]]))</f>
        <v/>
      </c>
      <c r="Q120" s="172" t="str">
        <f>IF(PositionA[[#This Row],[P2 A]]=0,"",IF(PositionA[[#This Row],[P2 A]]="","",PositionA[[#This Row],[P2 S A]]/PositionA[[#This Row],[P2 A]]))</f>
        <v/>
      </c>
      <c r="R120" s="172" t="str">
        <f>IF(PositionA[[#This Row],[P3 A]]=0,"",IF(PositionA[[#This Row],[P3 A]]="","",PositionA[[#This Row],[P3 S A]]/PositionA[[#This Row],[P3 A]]))</f>
        <v/>
      </c>
      <c r="S120" s="172">
        <f>IF(PositionA[[#This Row],[P4 A]]=0,"",IF(PositionA[[#This Row],[P4 A]]="","",PositionA[[#This Row],[P4 S A]]/PositionA[[#This Row],[P4 A]]))</f>
        <v>0</v>
      </c>
      <c r="T120" s="172">
        <f>IF(PositionA[[#This Row],[P5 A]]=0,"",IF(PositionA[[#This Row],[P5 A]]="","",PositionA[[#This Row],[P5 S A]]/PositionA[[#This Row],[P5 A]]))</f>
        <v>0.66666666666666663</v>
      </c>
      <c r="U120" s="172">
        <f>IF(PositionA[[#This Row],[P6 A]]=0,"",IF(PositionA[[#This Row],[P6 A]]="","",PositionA[[#This Row],[P6 S A]]/PositionA[[#This Row],[P6 A]]))</f>
        <v>0</v>
      </c>
      <c r="V120"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[5]</v>
      </c>
      <c r="W120" s="129">
        <f>IF(PositionA[[#This Row],[HP A]]="","",MAX(PositionA[[#This Row],[P1 A]:[P6 A]]))</f>
        <v>3</v>
      </c>
      <c r="X120"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[5]</v>
      </c>
      <c r="Y120" s="172">
        <f>IF(PositionA[[#This Row],[Spiele A]]="","",MAX(PositionA[[#This Row],[P1 % A]:[P6 % A]]))</f>
        <v>0.66666666666666663</v>
      </c>
    </row>
    <row r="121" spans="2:25" x14ac:dyDescent="0.3">
      <c r="B121" s="129" t="str">
        <f t="shared" si="2"/>
        <v>Heiko Wüstling</v>
      </c>
      <c r="C121" s="129" t="str">
        <f>VLOOKUP(PositionA[[#This Row],[Name A]],AuswertungA[],4,FALSE)</f>
        <v/>
      </c>
      <c r="D121" s="129" t="str">
        <f>IF(PositionA[[#This Row],[Spiele A]]="","",COUNTIFS(Eingabe[Name],PositionA[[#This Row],[Name A]],Eingabe[Position],1,Eingabe[Wo],"A"))</f>
        <v/>
      </c>
      <c r="E121" s="129" t="str">
        <f>IF(PositionA[[#This Row],[Spiele A]]="","",COUNTIFS(Eingabe[Name],PositionA[[#This Row],[Name A]],Eingabe[Position],2,Eingabe[Wo],"A"))</f>
        <v/>
      </c>
      <c r="F121" s="129" t="str">
        <f>IF(PositionA[[#This Row],[Spiele A]]="","",COUNTIFS(Eingabe[Name],PositionA[[#This Row],[Name A]],Eingabe[Position],3,Eingabe[Wo],"A"))</f>
        <v/>
      </c>
      <c r="G121" s="129" t="str">
        <f>IF(PositionA[[#This Row],[Spiele A]]="","",COUNTIFS(Eingabe[Name],PositionA[[#This Row],[Name A]],Eingabe[Position],4,Eingabe[Wo],"A"))</f>
        <v/>
      </c>
      <c r="H121" s="129" t="str">
        <f>IF(PositionA[[#This Row],[Spiele A]]="","",COUNTIFS(Eingabe[Name],PositionA[[#This Row],[Name A]],Eingabe[Position],5,Eingabe[Wo],"A"))</f>
        <v/>
      </c>
      <c r="I121" s="129" t="str">
        <f>IF(PositionA[[#This Row],[Spiele A]]="","",COUNTIFS(Eingabe[Name],PositionA[[#This Row],[Name A]],Eingabe[Position],6,Eingabe[Wo],"A"))</f>
        <v/>
      </c>
      <c r="J121" s="129" t="str">
        <f>IF(PositionA[[#This Row],[P1 A]]="","",COUNTIFS(Eingabe[Position],1,Eingabe[MP],1,Eingabe[Name],PositionA[[#This Row],[Name A]],Eingabe[Wo],"A"))</f>
        <v/>
      </c>
      <c r="K121" s="129" t="str">
        <f>IF(PositionA[[#This Row],[P2 A]]="","",COUNTIFS(Eingabe[Position],2,Eingabe[MP],1,Eingabe[Name],PositionA[[#This Row],[Name A]],Eingabe[Wo],"A"))</f>
        <v/>
      </c>
      <c r="L121" s="129" t="str">
        <f>IF(PositionA[[#This Row],[P3 A]]="","",COUNTIFS(Eingabe[Position],3,Eingabe[MP],1,Eingabe[Name],PositionA[[#This Row],[Name A]],Eingabe[Wo],"A"))</f>
        <v/>
      </c>
      <c r="M121" s="129" t="str">
        <f>IF(PositionA[[#This Row],[P4 A]]="","",COUNTIFS(Eingabe[Position],4,Eingabe[MP],1,Eingabe[Name],PositionA[[#This Row],[Name A]],Eingabe[Wo],"A"))</f>
        <v/>
      </c>
      <c r="N121" s="129" t="str">
        <f>IF(PositionA[[#This Row],[P5 A]]="","",COUNTIFS(Eingabe[Position],5,Eingabe[MP],1,Eingabe[Name],PositionA[[#This Row],[Name A]],Eingabe[Wo],"A"))</f>
        <v/>
      </c>
      <c r="O121" s="129" t="str">
        <f>IF(PositionA[[#This Row],[P6 A]]="","",COUNTIFS(Eingabe[Position],6,Eingabe[MP],1,Eingabe[Name],PositionA[[#This Row],[Name A]],Eingabe[Wo],"A"))</f>
        <v/>
      </c>
      <c r="P121" s="172" t="str">
        <f>IF(PositionA[[#This Row],[P1 A]]=0,"",IF(PositionA[[#This Row],[P1 A]]="","",PositionA[[#This Row],[P1 S A]]/PositionA[[#This Row],[P1 A]]))</f>
        <v/>
      </c>
      <c r="Q121" s="172" t="str">
        <f>IF(PositionA[[#This Row],[P2 A]]=0,"",IF(PositionA[[#This Row],[P2 A]]="","",PositionA[[#This Row],[P2 S A]]/PositionA[[#This Row],[P2 A]]))</f>
        <v/>
      </c>
      <c r="R121" s="172" t="str">
        <f>IF(PositionA[[#This Row],[P3 A]]=0,"",IF(PositionA[[#This Row],[P3 A]]="","",PositionA[[#This Row],[P3 S A]]/PositionA[[#This Row],[P3 A]]))</f>
        <v/>
      </c>
      <c r="S121" s="172" t="str">
        <f>IF(PositionA[[#This Row],[P4 A]]=0,"",IF(PositionA[[#This Row],[P4 A]]="","",PositionA[[#This Row],[P4 S A]]/PositionA[[#This Row],[P4 A]]))</f>
        <v/>
      </c>
      <c r="T121" s="172" t="str">
        <f>IF(PositionA[[#This Row],[P5 A]]=0,"",IF(PositionA[[#This Row],[P5 A]]="","",PositionA[[#This Row],[P5 S A]]/PositionA[[#This Row],[P5 A]]))</f>
        <v/>
      </c>
      <c r="U121" s="172" t="str">
        <f>IF(PositionA[[#This Row],[P6 A]]=0,"",IF(PositionA[[#This Row],[P6 A]]="","",PositionA[[#This Row],[P6 S A]]/PositionA[[#This Row],[P6 A]]))</f>
        <v/>
      </c>
      <c r="V121"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21" s="129" t="str">
        <f>IF(PositionA[[#This Row],[HP A]]="","",MAX(PositionA[[#This Row],[P1 A]:[P6 A]]))</f>
        <v/>
      </c>
      <c r="X121"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21" s="172" t="str">
        <f>IF(PositionA[[#This Row],[Spiele A]]="","",MAX(PositionA[[#This Row],[P1 % A]:[P6 % A]]))</f>
        <v/>
      </c>
    </row>
    <row r="122" spans="2:25" x14ac:dyDescent="0.3">
      <c r="B122" s="129" t="str">
        <f t="shared" si="2"/>
        <v>Jens Starke</v>
      </c>
      <c r="C122" s="129">
        <f>VLOOKUP(PositionA[[#This Row],[Name A]],AuswertungA[],4,FALSE)</f>
        <v>3</v>
      </c>
      <c r="D122" s="129">
        <f>IF(PositionA[[#This Row],[Spiele A]]="","",COUNTIFS(Eingabe[Name],PositionA[[#This Row],[Name A]],Eingabe[Position],1,Eingabe[Wo],"A"))</f>
        <v>1</v>
      </c>
      <c r="E122" s="129">
        <f>IF(PositionA[[#This Row],[Spiele A]]="","",COUNTIFS(Eingabe[Name],PositionA[[#This Row],[Name A]],Eingabe[Position],2,Eingabe[Wo],"A"))</f>
        <v>0</v>
      </c>
      <c r="F122" s="129">
        <f>IF(PositionA[[#This Row],[Spiele A]]="","",COUNTIFS(Eingabe[Name],PositionA[[#This Row],[Name A]],Eingabe[Position],3,Eingabe[Wo],"A"))</f>
        <v>1</v>
      </c>
      <c r="G122" s="129">
        <f>IF(PositionA[[#This Row],[Spiele A]]="","",COUNTIFS(Eingabe[Name],PositionA[[#This Row],[Name A]],Eingabe[Position],4,Eingabe[Wo],"A"))</f>
        <v>1</v>
      </c>
      <c r="H122" s="129">
        <f>IF(PositionA[[#This Row],[Spiele A]]="","",COUNTIFS(Eingabe[Name],PositionA[[#This Row],[Name A]],Eingabe[Position],5,Eingabe[Wo],"A"))</f>
        <v>0</v>
      </c>
      <c r="I122" s="129">
        <f>IF(PositionA[[#This Row],[Spiele A]]="","",COUNTIFS(Eingabe[Name],PositionA[[#This Row],[Name A]],Eingabe[Position],6,Eingabe[Wo],"A"))</f>
        <v>0</v>
      </c>
      <c r="J122" s="129">
        <f>IF(PositionA[[#This Row],[P1 A]]="","",COUNTIFS(Eingabe[Position],1,Eingabe[MP],1,Eingabe[Name],PositionA[[#This Row],[Name A]],Eingabe[Wo],"A"))</f>
        <v>0</v>
      </c>
      <c r="K122" s="129">
        <f>IF(PositionA[[#This Row],[P2 A]]="","",COUNTIFS(Eingabe[Position],2,Eingabe[MP],1,Eingabe[Name],PositionA[[#This Row],[Name A]],Eingabe[Wo],"A"))</f>
        <v>0</v>
      </c>
      <c r="L122" s="129">
        <f>IF(PositionA[[#This Row],[P3 A]]="","",COUNTIFS(Eingabe[Position],3,Eingabe[MP],1,Eingabe[Name],PositionA[[#This Row],[Name A]],Eingabe[Wo],"A"))</f>
        <v>0</v>
      </c>
      <c r="M122" s="129">
        <f>IF(PositionA[[#This Row],[P4 A]]="","",COUNTIFS(Eingabe[Position],4,Eingabe[MP],1,Eingabe[Name],PositionA[[#This Row],[Name A]],Eingabe[Wo],"A"))</f>
        <v>1</v>
      </c>
      <c r="N122" s="129">
        <f>IF(PositionA[[#This Row],[P5 A]]="","",COUNTIFS(Eingabe[Position],5,Eingabe[MP],1,Eingabe[Name],PositionA[[#This Row],[Name A]],Eingabe[Wo],"A"))</f>
        <v>0</v>
      </c>
      <c r="O122" s="129">
        <f>IF(PositionA[[#This Row],[P6 A]]="","",COUNTIFS(Eingabe[Position],6,Eingabe[MP],1,Eingabe[Name],PositionA[[#This Row],[Name A]],Eingabe[Wo],"A"))</f>
        <v>0</v>
      </c>
      <c r="P122" s="172">
        <f>IF(PositionA[[#This Row],[P1 A]]=0,"",IF(PositionA[[#This Row],[P1 A]]="","",PositionA[[#This Row],[P1 S A]]/PositionA[[#This Row],[P1 A]]))</f>
        <v>0</v>
      </c>
      <c r="Q122" s="172" t="str">
        <f>IF(PositionA[[#This Row],[P2 A]]=0,"",IF(PositionA[[#This Row],[P2 A]]="","",PositionA[[#This Row],[P2 S A]]/PositionA[[#This Row],[P2 A]]))</f>
        <v/>
      </c>
      <c r="R122" s="172">
        <f>IF(PositionA[[#This Row],[P3 A]]=0,"",IF(PositionA[[#This Row],[P3 A]]="","",PositionA[[#This Row],[P3 S A]]/PositionA[[#This Row],[P3 A]]))</f>
        <v>0</v>
      </c>
      <c r="S122" s="172">
        <f>IF(PositionA[[#This Row],[P4 A]]=0,"",IF(PositionA[[#This Row],[P4 A]]="","",PositionA[[#This Row],[P4 S A]]/PositionA[[#This Row],[P4 A]]))</f>
        <v>1</v>
      </c>
      <c r="T122" s="172" t="str">
        <f>IF(PositionA[[#This Row],[P5 A]]=0,"",IF(PositionA[[#This Row],[P5 A]]="","",PositionA[[#This Row],[P5 S A]]/PositionA[[#This Row],[P5 A]]))</f>
        <v/>
      </c>
      <c r="U122" s="172" t="str">
        <f>IF(PositionA[[#This Row],[P6 A]]=0,"",IF(PositionA[[#This Row],[P6 A]]="","",PositionA[[#This Row],[P6 S A]]/PositionA[[#This Row],[P6 A]]))</f>
        <v/>
      </c>
      <c r="V122"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[1][3][4]</v>
      </c>
      <c r="W122" s="129">
        <f>IF(PositionA[[#This Row],[HP A]]="","",MAX(PositionA[[#This Row],[P1 A]:[P6 A]]))</f>
        <v>1</v>
      </c>
      <c r="X122"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[4]</v>
      </c>
      <c r="Y122" s="172">
        <f>IF(PositionA[[#This Row],[Spiele A]]="","",MAX(PositionA[[#This Row],[P1 % A]:[P6 % A]]))</f>
        <v>1</v>
      </c>
    </row>
    <row r="123" spans="2:25" x14ac:dyDescent="0.3">
      <c r="B123" s="129" t="str">
        <f t="shared" si="2"/>
        <v>Jörg Nötzel</v>
      </c>
      <c r="C123" s="129">
        <f>VLOOKUP(PositionA[[#This Row],[Name A]],AuswertungA[],4,FALSE)</f>
        <v>2</v>
      </c>
      <c r="D123" s="129">
        <f>IF(PositionA[[#This Row],[Spiele A]]="","",COUNTIFS(Eingabe[Name],PositionA[[#This Row],[Name A]],Eingabe[Position],1,Eingabe[Wo],"A"))</f>
        <v>0</v>
      </c>
      <c r="E123" s="129">
        <f>IF(PositionA[[#This Row],[Spiele A]]="","",COUNTIFS(Eingabe[Name],PositionA[[#This Row],[Name A]],Eingabe[Position],2,Eingabe[Wo],"A"))</f>
        <v>1</v>
      </c>
      <c r="F123" s="129">
        <f>IF(PositionA[[#This Row],[Spiele A]]="","",COUNTIFS(Eingabe[Name],PositionA[[#This Row],[Name A]],Eingabe[Position],3,Eingabe[Wo],"A"))</f>
        <v>1</v>
      </c>
      <c r="G123" s="129">
        <f>IF(PositionA[[#This Row],[Spiele A]]="","",COUNTIFS(Eingabe[Name],PositionA[[#This Row],[Name A]],Eingabe[Position],4,Eingabe[Wo],"A"))</f>
        <v>0</v>
      </c>
      <c r="H123" s="129">
        <f>IF(PositionA[[#This Row],[Spiele A]]="","",COUNTIFS(Eingabe[Name],PositionA[[#This Row],[Name A]],Eingabe[Position],5,Eingabe[Wo],"A"))</f>
        <v>0</v>
      </c>
      <c r="I123" s="129">
        <f>IF(PositionA[[#This Row],[Spiele A]]="","",COUNTIFS(Eingabe[Name],PositionA[[#This Row],[Name A]],Eingabe[Position],6,Eingabe[Wo],"A"))</f>
        <v>0</v>
      </c>
      <c r="J123" s="129">
        <f>IF(PositionA[[#This Row],[P1 A]]="","",COUNTIFS(Eingabe[Position],1,Eingabe[MP],1,Eingabe[Name],PositionA[[#This Row],[Name A]],Eingabe[Wo],"A"))</f>
        <v>0</v>
      </c>
      <c r="K123" s="129">
        <f>IF(PositionA[[#This Row],[P2 A]]="","",COUNTIFS(Eingabe[Position],2,Eingabe[MP],1,Eingabe[Name],PositionA[[#This Row],[Name A]],Eingabe[Wo],"A"))</f>
        <v>1</v>
      </c>
      <c r="L123" s="129">
        <f>IF(PositionA[[#This Row],[P3 A]]="","",COUNTIFS(Eingabe[Position],3,Eingabe[MP],1,Eingabe[Name],PositionA[[#This Row],[Name A]],Eingabe[Wo],"A"))</f>
        <v>0</v>
      </c>
      <c r="M123" s="129">
        <f>IF(PositionA[[#This Row],[P4 A]]="","",COUNTIFS(Eingabe[Position],4,Eingabe[MP],1,Eingabe[Name],PositionA[[#This Row],[Name A]],Eingabe[Wo],"A"))</f>
        <v>0</v>
      </c>
      <c r="N123" s="129">
        <f>IF(PositionA[[#This Row],[P5 A]]="","",COUNTIFS(Eingabe[Position],5,Eingabe[MP],1,Eingabe[Name],PositionA[[#This Row],[Name A]],Eingabe[Wo],"A"))</f>
        <v>0</v>
      </c>
      <c r="O123" s="129">
        <f>IF(PositionA[[#This Row],[P6 A]]="","",COUNTIFS(Eingabe[Position],6,Eingabe[MP],1,Eingabe[Name],PositionA[[#This Row],[Name A]],Eingabe[Wo],"A"))</f>
        <v>0</v>
      </c>
      <c r="P123" s="172" t="str">
        <f>IF(PositionA[[#This Row],[P1 A]]=0,"",IF(PositionA[[#This Row],[P1 A]]="","",PositionA[[#This Row],[P1 S A]]/PositionA[[#This Row],[P1 A]]))</f>
        <v/>
      </c>
      <c r="Q123" s="172">
        <f>IF(PositionA[[#This Row],[P2 A]]=0,"",IF(PositionA[[#This Row],[P2 A]]="","",PositionA[[#This Row],[P2 S A]]/PositionA[[#This Row],[P2 A]]))</f>
        <v>1</v>
      </c>
      <c r="R123" s="172">
        <f>IF(PositionA[[#This Row],[P3 A]]=0,"",IF(PositionA[[#This Row],[P3 A]]="","",PositionA[[#This Row],[P3 S A]]/PositionA[[#This Row],[P3 A]]))</f>
        <v>0</v>
      </c>
      <c r="S123" s="172" t="str">
        <f>IF(PositionA[[#This Row],[P4 A]]=0,"",IF(PositionA[[#This Row],[P4 A]]="","",PositionA[[#This Row],[P4 S A]]/PositionA[[#This Row],[P4 A]]))</f>
        <v/>
      </c>
      <c r="T123" s="172" t="str">
        <f>IF(PositionA[[#This Row],[P5 A]]=0,"",IF(PositionA[[#This Row],[P5 A]]="","",PositionA[[#This Row],[P5 S A]]/PositionA[[#This Row],[P5 A]]))</f>
        <v/>
      </c>
      <c r="U123" s="172" t="str">
        <f>IF(PositionA[[#This Row],[P6 A]]=0,"",IF(PositionA[[#This Row],[P6 A]]="","",PositionA[[#This Row],[P6 S A]]/PositionA[[#This Row],[P6 A]]))</f>
        <v/>
      </c>
      <c r="V123"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[2][3]</v>
      </c>
      <c r="W123" s="129">
        <f>IF(PositionA[[#This Row],[HP A]]="","",MAX(PositionA[[#This Row],[P1 A]:[P6 A]]))</f>
        <v>1</v>
      </c>
      <c r="X123"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[2]</v>
      </c>
      <c r="Y123" s="172">
        <f>IF(PositionA[[#This Row],[Spiele A]]="","",MAX(PositionA[[#This Row],[P1 % A]:[P6 % A]]))</f>
        <v>1</v>
      </c>
    </row>
    <row r="124" spans="2:25" x14ac:dyDescent="0.3">
      <c r="B124" s="129" t="str">
        <f t="shared" si="2"/>
        <v>Katrin Fiedler</v>
      </c>
      <c r="C124" s="129">
        <f>VLOOKUP(PositionA[[#This Row],[Name A]],AuswertungA[],4,FALSE)</f>
        <v>3</v>
      </c>
      <c r="D124" s="129">
        <f>IF(PositionA[[#This Row],[Spiele A]]="","",COUNTIFS(Eingabe[Name],PositionA[[#This Row],[Name A]],Eingabe[Position],1,Eingabe[Wo],"A"))</f>
        <v>0</v>
      </c>
      <c r="E124" s="129">
        <f>IF(PositionA[[#This Row],[Spiele A]]="","",COUNTIFS(Eingabe[Name],PositionA[[#This Row],[Name A]],Eingabe[Position],2,Eingabe[Wo],"A"))</f>
        <v>0</v>
      </c>
      <c r="F124" s="129">
        <f>IF(PositionA[[#This Row],[Spiele A]]="","",COUNTIFS(Eingabe[Name],PositionA[[#This Row],[Name A]],Eingabe[Position],3,Eingabe[Wo],"A"))</f>
        <v>0</v>
      </c>
      <c r="G124" s="129">
        <f>IF(PositionA[[#This Row],[Spiele A]]="","",COUNTIFS(Eingabe[Name],PositionA[[#This Row],[Name A]],Eingabe[Position],4,Eingabe[Wo],"A"))</f>
        <v>1</v>
      </c>
      <c r="H124" s="129">
        <f>IF(PositionA[[#This Row],[Spiele A]]="","",COUNTIFS(Eingabe[Name],PositionA[[#This Row],[Name A]],Eingabe[Position],5,Eingabe[Wo],"A"))</f>
        <v>0</v>
      </c>
      <c r="I124" s="129">
        <f>IF(PositionA[[#This Row],[Spiele A]]="","",COUNTIFS(Eingabe[Name],PositionA[[#This Row],[Name A]],Eingabe[Position],6,Eingabe[Wo],"A"))</f>
        <v>2</v>
      </c>
      <c r="J124" s="129">
        <f>IF(PositionA[[#This Row],[P1 A]]="","",COUNTIFS(Eingabe[Position],1,Eingabe[MP],1,Eingabe[Name],PositionA[[#This Row],[Name A]],Eingabe[Wo],"A"))</f>
        <v>0</v>
      </c>
      <c r="K124" s="129">
        <f>IF(PositionA[[#This Row],[P2 A]]="","",COUNTIFS(Eingabe[Position],2,Eingabe[MP],1,Eingabe[Name],PositionA[[#This Row],[Name A]],Eingabe[Wo],"A"))</f>
        <v>0</v>
      </c>
      <c r="L124" s="129">
        <f>IF(PositionA[[#This Row],[P3 A]]="","",COUNTIFS(Eingabe[Position],3,Eingabe[MP],1,Eingabe[Name],PositionA[[#This Row],[Name A]],Eingabe[Wo],"A"))</f>
        <v>0</v>
      </c>
      <c r="M124" s="129">
        <f>IF(PositionA[[#This Row],[P4 A]]="","",COUNTIFS(Eingabe[Position],4,Eingabe[MP],1,Eingabe[Name],PositionA[[#This Row],[Name A]],Eingabe[Wo],"A"))</f>
        <v>0</v>
      </c>
      <c r="N124" s="129">
        <f>IF(PositionA[[#This Row],[P5 A]]="","",COUNTIFS(Eingabe[Position],5,Eingabe[MP],1,Eingabe[Name],PositionA[[#This Row],[Name A]],Eingabe[Wo],"A"))</f>
        <v>0</v>
      </c>
      <c r="O124" s="129">
        <f>IF(PositionA[[#This Row],[P6 A]]="","",COUNTIFS(Eingabe[Position],6,Eingabe[MP],1,Eingabe[Name],PositionA[[#This Row],[Name A]],Eingabe[Wo],"A"))</f>
        <v>1</v>
      </c>
      <c r="P124" s="172" t="str">
        <f>IF(PositionA[[#This Row],[P1 A]]=0,"",IF(PositionA[[#This Row],[P1 A]]="","",PositionA[[#This Row],[P1 S A]]/PositionA[[#This Row],[P1 A]]))</f>
        <v/>
      </c>
      <c r="Q124" s="172" t="str">
        <f>IF(PositionA[[#This Row],[P2 A]]=0,"",IF(PositionA[[#This Row],[P2 A]]="","",PositionA[[#This Row],[P2 S A]]/PositionA[[#This Row],[P2 A]]))</f>
        <v/>
      </c>
      <c r="R124" s="172" t="str">
        <f>IF(PositionA[[#This Row],[P3 A]]=0,"",IF(PositionA[[#This Row],[P3 A]]="","",PositionA[[#This Row],[P3 S A]]/PositionA[[#This Row],[P3 A]]))</f>
        <v/>
      </c>
      <c r="S124" s="172">
        <f>IF(PositionA[[#This Row],[P4 A]]=0,"",IF(PositionA[[#This Row],[P4 A]]="","",PositionA[[#This Row],[P4 S A]]/PositionA[[#This Row],[P4 A]]))</f>
        <v>0</v>
      </c>
      <c r="T124" s="172" t="str">
        <f>IF(PositionA[[#This Row],[P5 A]]=0,"",IF(PositionA[[#This Row],[P5 A]]="","",PositionA[[#This Row],[P5 S A]]/PositionA[[#This Row],[P5 A]]))</f>
        <v/>
      </c>
      <c r="U124" s="172">
        <f>IF(PositionA[[#This Row],[P6 A]]=0,"",IF(PositionA[[#This Row],[P6 A]]="","",PositionA[[#This Row],[P6 S A]]/PositionA[[#This Row],[P6 A]]))</f>
        <v>0.5</v>
      </c>
      <c r="V124"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[6]</v>
      </c>
      <c r="W124" s="129">
        <f>IF(PositionA[[#This Row],[HP A]]="","",MAX(PositionA[[#This Row],[P1 A]:[P6 A]]))</f>
        <v>2</v>
      </c>
      <c r="X124"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[6]</v>
      </c>
      <c r="Y124" s="172">
        <f>IF(PositionA[[#This Row],[Spiele A]]="","",MAX(PositionA[[#This Row],[P1 % A]:[P6 % A]]))</f>
        <v>0.5</v>
      </c>
    </row>
    <row r="125" spans="2:25" x14ac:dyDescent="0.3">
      <c r="B125" s="129" t="str">
        <f t="shared" si="2"/>
        <v>Katrin Keller</v>
      </c>
      <c r="C125" s="129">
        <f>VLOOKUP(PositionA[[#This Row],[Name A]],AuswertungA[],4,FALSE)</f>
        <v>5</v>
      </c>
      <c r="D125" s="129">
        <f>IF(PositionA[[#This Row],[Spiele A]]="","",COUNTIFS(Eingabe[Name],PositionA[[#This Row],[Name A]],Eingabe[Position],1,Eingabe[Wo],"A"))</f>
        <v>0</v>
      </c>
      <c r="E125" s="129">
        <f>IF(PositionA[[#This Row],[Spiele A]]="","",COUNTIFS(Eingabe[Name],PositionA[[#This Row],[Name A]],Eingabe[Position],2,Eingabe[Wo],"A"))</f>
        <v>2</v>
      </c>
      <c r="F125" s="129">
        <f>IF(PositionA[[#This Row],[Spiele A]]="","",COUNTIFS(Eingabe[Name],PositionA[[#This Row],[Name A]],Eingabe[Position],3,Eingabe[Wo],"A"))</f>
        <v>2</v>
      </c>
      <c r="G125" s="129">
        <f>IF(PositionA[[#This Row],[Spiele A]]="","",COUNTIFS(Eingabe[Name],PositionA[[#This Row],[Name A]],Eingabe[Position],4,Eingabe[Wo],"A"))</f>
        <v>1</v>
      </c>
      <c r="H125" s="129">
        <f>IF(PositionA[[#This Row],[Spiele A]]="","",COUNTIFS(Eingabe[Name],PositionA[[#This Row],[Name A]],Eingabe[Position],5,Eingabe[Wo],"A"))</f>
        <v>0</v>
      </c>
      <c r="I125" s="129">
        <f>IF(PositionA[[#This Row],[Spiele A]]="","",COUNTIFS(Eingabe[Name],PositionA[[#This Row],[Name A]],Eingabe[Position],6,Eingabe[Wo],"A"))</f>
        <v>0</v>
      </c>
      <c r="J125" s="129">
        <f>IF(PositionA[[#This Row],[P1 A]]="","",COUNTIFS(Eingabe[Position],1,Eingabe[MP],1,Eingabe[Name],PositionA[[#This Row],[Name A]],Eingabe[Wo],"A"))</f>
        <v>0</v>
      </c>
      <c r="K125" s="129">
        <f>IF(PositionA[[#This Row],[P2 A]]="","",COUNTIFS(Eingabe[Position],2,Eingabe[MP],1,Eingabe[Name],PositionA[[#This Row],[Name A]],Eingabe[Wo],"A"))</f>
        <v>1</v>
      </c>
      <c r="L125" s="129">
        <f>IF(PositionA[[#This Row],[P3 A]]="","",COUNTIFS(Eingabe[Position],3,Eingabe[MP],1,Eingabe[Name],PositionA[[#This Row],[Name A]],Eingabe[Wo],"A"))</f>
        <v>1</v>
      </c>
      <c r="M125" s="129">
        <f>IF(PositionA[[#This Row],[P4 A]]="","",COUNTIFS(Eingabe[Position],4,Eingabe[MP],1,Eingabe[Name],PositionA[[#This Row],[Name A]],Eingabe[Wo],"A"))</f>
        <v>0</v>
      </c>
      <c r="N125" s="129">
        <f>IF(PositionA[[#This Row],[P5 A]]="","",COUNTIFS(Eingabe[Position],5,Eingabe[MP],1,Eingabe[Name],PositionA[[#This Row],[Name A]],Eingabe[Wo],"A"))</f>
        <v>0</v>
      </c>
      <c r="O125" s="129">
        <f>IF(PositionA[[#This Row],[P6 A]]="","",COUNTIFS(Eingabe[Position],6,Eingabe[MP],1,Eingabe[Name],PositionA[[#This Row],[Name A]],Eingabe[Wo],"A"))</f>
        <v>0</v>
      </c>
      <c r="P125" s="172" t="str">
        <f>IF(PositionA[[#This Row],[P1 A]]=0,"",IF(PositionA[[#This Row],[P1 A]]="","",PositionA[[#This Row],[P1 S A]]/PositionA[[#This Row],[P1 A]]))</f>
        <v/>
      </c>
      <c r="Q125" s="172">
        <f>IF(PositionA[[#This Row],[P2 A]]=0,"",IF(PositionA[[#This Row],[P2 A]]="","",PositionA[[#This Row],[P2 S A]]/PositionA[[#This Row],[P2 A]]))</f>
        <v>0.5</v>
      </c>
      <c r="R125" s="172">
        <f>IF(PositionA[[#This Row],[P3 A]]=0,"",IF(PositionA[[#This Row],[P3 A]]="","",PositionA[[#This Row],[P3 S A]]/PositionA[[#This Row],[P3 A]]))</f>
        <v>0.5</v>
      </c>
      <c r="S125" s="172">
        <f>IF(PositionA[[#This Row],[P4 A]]=0,"",IF(PositionA[[#This Row],[P4 A]]="","",PositionA[[#This Row],[P4 S A]]/PositionA[[#This Row],[P4 A]]))</f>
        <v>0</v>
      </c>
      <c r="T125" s="172" t="str">
        <f>IF(PositionA[[#This Row],[P5 A]]=0,"",IF(PositionA[[#This Row],[P5 A]]="","",PositionA[[#This Row],[P5 S A]]/PositionA[[#This Row],[P5 A]]))</f>
        <v/>
      </c>
      <c r="U125" s="172" t="str">
        <f>IF(PositionA[[#This Row],[P6 A]]=0,"",IF(PositionA[[#This Row],[P6 A]]="","",PositionA[[#This Row],[P6 S A]]/PositionA[[#This Row],[P6 A]]))</f>
        <v/>
      </c>
      <c r="V125"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[2][3]</v>
      </c>
      <c r="W125" s="129">
        <f>IF(PositionA[[#This Row],[HP A]]="","",MAX(PositionA[[#This Row],[P1 A]:[P6 A]]))</f>
        <v>2</v>
      </c>
      <c r="X125"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[2][3]</v>
      </c>
      <c r="Y125" s="172">
        <f>IF(PositionA[[#This Row],[Spiele A]]="","",MAX(PositionA[[#This Row],[P1 % A]:[P6 % A]]))</f>
        <v>0.5</v>
      </c>
    </row>
    <row r="126" spans="2:25" x14ac:dyDescent="0.3">
      <c r="B126" s="129" t="str">
        <f t="shared" si="2"/>
        <v>Konrad Scheller</v>
      </c>
      <c r="C126" s="129" t="str">
        <f>VLOOKUP(PositionA[[#This Row],[Name A]],AuswertungA[],4,FALSE)</f>
        <v/>
      </c>
      <c r="D126" s="129" t="str">
        <f>IF(PositionA[[#This Row],[Spiele A]]="","",COUNTIFS(Eingabe[Name],PositionA[[#This Row],[Name A]],Eingabe[Position],1,Eingabe[Wo],"A"))</f>
        <v/>
      </c>
      <c r="E126" s="129" t="str">
        <f>IF(PositionA[[#This Row],[Spiele A]]="","",COUNTIFS(Eingabe[Name],PositionA[[#This Row],[Name A]],Eingabe[Position],2,Eingabe[Wo],"A"))</f>
        <v/>
      </c>
      <c r="F126" s="129" t="str">
        <f>IF(PositionA[[#This Row],[Spiele A]]="","",COUNTIFS(Eingabe[Name],PositionA[[#This Row],[Name A]],Eingabe[Position],3,Eingabe[Wo],"A"))</f>
        <v/>
      </c>
      <c r="G126" s="129" t="str">
        <f>IF(PositionA[[#This Row],[Spiele A]]="","",COUNTIFS(Eingabe[Name],PositionA[[#This Row],[Name A]],Eingabe[Position],4,Eingabe[Wo],"A"))</f>
        <v/>
      </c>
      <c r="H126" s="129" t="str">
        <f>IF(PositionA[[#This Row],[Spiele A]]="","",COUNTIFS(Eingabe[Name],PositionA[[#This Row],[Name A]],Eingabe[Position],5,Eingabe[Wo],"A"))</f>
        <v/>
      </c>
      <c r="I126" s="129" t="str">
        <f>IF(PositionA[[#This Row],[Spiele A]]="","",COUNTIFS(Eingabe[Name],PositionA[[#This Row],[Name A]],Eingabe[Position],6,Eingabe[Wo],"A"))</f>
        <v/>
      </c>
      <c r="J126" s="129" t="str">
        <f>IF(PositionA[[#This Row],[P1 A]]="","",COUNTIFS(Eingabe[Position],1,Eingabe[MP],1,Eingabe[Name],PositionA[[#This Row],[Name A]],Eingabe[Wo],"A"))</f>
        <v/>
      </c>
      <c r="K126" s="129" t="str">
        <f>IF(PositionA[[#This Row],[P2 A]]="","",COUNTIFS(Eingabe[Position],2,Eingabe[MP],1,Eingabe[Name],PositionA[[#This Row],[Name A]],Eingabe[Wo],"A"))</f>
        <v/>
      </c>
      <c r="L126" s="129" t="str">
        <f>IF(PositionA[[#This Row],[P3 A]]="","",COUNTIFS(Eingabe[Position],3,Eingabe[MP],1,Eingabe[Name],PositionA[[#This Row],[Name A]],Eingabe[Wo],"A"))</f>
        <v/>
      </c>
      <c r="M126" s="129" t="str">
        <f>IF(PositionA[[#This Row],[P4 A]]="","",COUNTIFS(Eingabe[Position],4,Eingabe[MP],1,Eingabe[Name],PositionA[[#This Row],[Name A]],Eingabe[Wo],"A"))</f>
        <v/>
      </c>
      <c r="N126" s="129" t="str">
        <f>IF(PositionA[[#This Row],[P5 A]]="","",COUNTIFS(Eingabe[Position],5,Eingabe[MP],1,Eingabe[Name],PositionA[[#This Row],[Name A]],Eingabe[Wo],"A"))</f>
        <v/>
      </c>
      <c r="O126" s="129" t="str">
        <f>IF(PositionA[[#This Row],[P6 A]]="","",COUNTIFS(Eingabe[Position],6,Eingabe[MP],1,Eingabe[Name],PositionA[[#This Row],[Name A]],Eingabe[Wo],"A"))</f>
        <v/>
      </c>
      <c r="P126" s="172" t="str">
        <f>IF(PositionA[[#This Row],[P1 A]]=0,"",IF(PositionA[[#This Row],[P1 A]]="","",PositionA[[#This Row],[P1 S A]]/PositionA[[#This Row],[P1 A]]))</f>
        <v/>
      </c>
      <c r="Q126" s="172" t="str">
        <f>IF(PositionA[[#This Row],[P2 A]]=0,"",IF(PositionA[[#This Row],[P2 A]]="","",PositionA[[#This Row],[P2 S A]]/PositionA[[#This Row],[P2 A]]))</f>
        <v/>
      </c>
      <c r="R126" s="172" t="str">
        <f>IF(PositionA[[#This Row],[P3 A]]=0,"",IF(PositionA[[#This Row],[P3 A]]="","",PositionA[[#This Row],[P3 S A]]/PositionA[[#This Row],[P3 A]]))</f>
        <v/>
      </c>
      <c r="S126" s="172" t="str">
        <f>IF(PositionA[[#This Row],[P4 A]]=0,"",IF(PositionA[[#This Row],[P4 A]]="","",PositionA[[#This Row],[P4 S A]]/PositionA[[#This Row],[P4 A]]))</f>
        <v/>
      </c>
      <c r="T126" s="172" t="str">
        <f>IF(PositionA[[#This Row],[P5 A]]=0,"",IF(PositionA[[#This Row],[P5 A]]="","",PositionA[[#This Row],[P5 S A]]/PositionA[[#This Row],[P5 A]]))</f>
        <v/>
      </c>
      <c r="U126" s="172" t="str">
        <f>IF(PositionA[[#This Row],[P6 A]]=0,"",IF(PositionA[[#This Row],[P6 A]]="","",PositionA[[#This Row],[P6 S A]]/PositionA[[#This Row],[P6 A]]))</f>
        <v/>
      </c>
      <c r="V126"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26" s="129" t="str">
        <f>IF(PositionA[[#This Row],[HP A]]="","",MAX(PositionA[[#This Row],[P1 A]:[P6 A]]))</f>
        <v/>
      </c>
      <c r="X126"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26" s="172" t="str">
        <f>IF(PositionA[[#This Row],[Spiele A]]="","",MAX(PositionA[[#This Row],[P1 % A]:[P6 % A]]))</f>
        <v/>
      </c>
    </row>
    <row r="127" spans="2:25" x14ac:dyDescent="0.3">
      <c r="B127" s="129" t="str">
        <f t="shared" si="2"/>
        <v>Lea Meinert</v>
      </c>
      <c r="C127" s="129">
        <f>VLOOKUP(PositionA[[#This Row],[Name A]],AuswertungA[],4,FALSE)</f>
        <v>3</v>
      </c>
      <c r="D127" s="129">
        <f>IF(PositionA[[#This Row],[Spiele A]]="","",COUNTIFS(Eingabe[Name],PositionA[[#This Row],[Name A]],Eingabe[Position],1,Eingabe[Wo],"A"))</f>
        <v>2</v>
      </c>
      <c r="E127" s="129">
        <f>IF(PositionA[[#This Row],[Spiele A]]="","",COUNTIFS(Eingabe[Name],PositionA[[#This Row],[Name A]],Eingabe[Position],2,Eingabe[Wo],"A"))</f>
        <v>1</v>
      </c>
      <c r="F127" s="129">
        <f>IF(PositionA[[#This Row],[Spiele A]]="","",COUNTIFS(Eingabe[Name],PositionA[[#This Row],[Name A]],Eingabe[Position],3,Eingabe[Wo],"A"))</f>
        <v>0</v>
      </c>
      <c r="G127" s="129">
        <f>IF(PositionA[[#This Row],[Spiele A]]="","",COUNTIFS(Eingabe[Name],PositionA[[#This Row],[Name A]],Eingabe[Position],4,Eingabe[Wo],"A"))</f>
        <v>0</v>
      </c>
      <c r="H127" s="129">
        <f>IF(PositionA[[#This Row],[Spiele A]]="","",COUNTIFS(Eingabe[Name],PositionA[[#This Row],[Name A]],Eingabe[Position],5,Eingabe[Wo],"A"))</f>
        <v>0</v>
      </c>
      <c r="I127" s="129">
        <f>IF(PositionA[[#This Row],[Spiele A]]="","",COUNTIFS(Eingabe[Name],PositionA[[#This Row],[Name A]],Eingabe[Position],6,Eingabe[Wo],"A"))</f>
        <v>0</v>
      </c>
      <c r="J127" s="129">
        <f>IF(PositionA[[#This Row],[P1 A]]="","",COUNTIFS(Eingabe[Position],1,Eingabe[MP],1,Eingabe[Name],PositionA[[#This Row],[Name A]],Eingabe[Wo],"A"))</f>
        <v>0</v>
      </c>
      <c r="K127" s="129">
        <f>IF(PositionA[[#This Row],[P2 A]]="","",COUNTIFS(Eingabe[Position],2,Eingabe[MP],1,Eingabe[Name],PositionA[[#This Row],[Name A]],Eingabe[Wo],"A"))</f>
        <v>0</v>
      </c>
      <c r="L127" s="129">
        <f>IF(PositionA[[#This Row],[P3 A]]="","",COUNTIFS(Eingabe[Position],3,Eingabe[MP],1,Eingabe[Name],PositionA[[#This Row],[Name A]],Eingabe[Wo],"A"))</f>
        <v>0</v>
      </c>
      <c r="M127" s="129">
        <f>IF(PositionA[[#This Row],[P4 A]]="","",COUNTIFS(Eingabe[Position],4,Eingabe[MP],1,Eingabe[Name],PositionA[[#This Row],[Name A]],Eingabe[Wo],"A"))</f>
        <v>0</v>
      </c>
      <c r="N127" s="129">
        <f>IF(PositionA[[#This Row],[P5 A]]="","",COUNTIFS(Eingabe[Position],5,Eingabe[MP],1,Eingabe[Name],PositionA[[#This Row],[Name A]],Eingabe[Wo],"A"))</f>
        <v>0</v>
      </c>
      <c r="O127" s="129">
        <f>IF(PositionA[[#This Row],[P6 A]]="","",COUNTIFS(Eingabe[Position],6,Eingabe[MP],1,Eingabe[Name],PositionA[[#This Row],[Name A]],Eingabe[Wo],"A"))</f>
        <v>0</v>
      </c>
      <c r="P127" s="172">
        <f>IF(PositionA[[#This Row],[P1 A]]=0,"",IF(PositionA[[#This Row],[P1 A]]="","",PositionA[[#This Row],[P1 S A]]/PositionA[[#This Row],[P1 A]]))</f>
        <v>0</v>
      </c>
      <c r="Q127" s="172">
        <f>IF(PositionA[[#This Row],[P2 A]]=0,"",IF(PositionA[[#This Row],[P2 A]]="","",PositionA[[#This Row],[P2 S A]]/PositionA[[#This Row],[P2 A]]))</f>
        <v>0</v>
      </c>
      <c r="R127" s="172" t="str">
        <f>IF(PositionA[[#This Row],[P3 A]]=0,"",IF(PositionA[[#This Row],[P3 A]]="","",PositionA[[#This Row],[P3 S A]]/PositionA[[#This Row],[P3 A]]))</f>
        <v/>
      </c>
      <c r="S127" s="172" t="str">
        <f>IF(PositionA[[#This Row],[P4 A]]=0,"",IF(PositionA[[#This Row],[P4 A]]="","",PositionA[[#This Row],[P4 S A]]/PositionA[[#This Row],[P4 A]]))</f>
        <v/>
      </c>
      <c r="T127" s="172" t="str">
        <f>IF(PositionA[[#This Row],[P5 A]]=0,"",IF(PositionA[[#This Row],[P5 A]]="","",PositionA[[#This Row],[P5 S A]]/PositionA[[#This Row],[P5 A]]))</f>
        <v/>
      </c>
      <c r="U127" s="172" t="str">
        <f>IF(PositionA[[#This Row],[P6 A]]=0,"",IF(PositionA[[#This Row],[P6 A]]="","",PositionA[[#This Row],[P6 S A]]/PositionA[[#This Row],[P6 A]]))</f>
        <v/>
      </c>
      <c r="V127"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v>
      </c>
      <c r="W127" s="129">
        <f>IF(PositionA[[#This Row],[HP A]]="","",MAX(PositionA[[#This Row],[P1 A]:[P6 A]]))</f>
        <v>2</v>
      </c>
      <c r="X127"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[1][2]</v>
      </c>
      <c r="Y127" s="172">
        <f>IF(PositionA[[#This Row],[Spiele A]]="","",MAX(PositionA[[#This Row],[P1 % A]:[P6 % A]]))</f>
        <v>0</v>
      </c>
    </row>
    <row r="128" spans="2:25" x14ac:dyDescent="0.3">
      <c r="B128" s="129" t="str">
        <f t="shared" si="2"/>
        <v>Lisa Marutschke</v>
      </c>
      <c r="C128" s="129" t="str">
        <f>VLOOKUP(PositionA[[#This Row],[Name A]],AuswertungA[],4,FALSE)</f>
        <v/>
      </c>
      <c r="D128" s="129" t="str">
        <f>IF(PositionA[[#This Row],[Spiele A]]="","",COUNTIFS(Eingabe[Name],PositionA[[#This Row],[Name A]],Eingabe[Position],1,Eingabe[Wo],"A"))</f>
        <v/>
      </c>
      <c r="E128" s="129" t="str">
        <f>IF(PositionA[[#This Row],[Spiele A]]="","",COUNTIFS(Eingabe[Name],PositionA[[#This Row],[Name A]],Eingabe[Position],2,Eingabe[Wo],"A"))</f>
        <v/>
      </c>
      <c r="F128" s="129" t="str">
        <f>IF(PositionA[[#This Row],[Spiele A]]="","",COUNTIFS(Eingabe[Name],PositionA[[#This Row],[Name A]],Eingabe[Position],3,Eingabe[Wo],"A"))</f>
        <v/>
      </c>
      <c r="G128" s="129" t="str">
        <f>IF(PositionA[[#This Row],[Spiele A]]="","",COUNTIFS(Eingabe[Name],PositionA[[#This Row],[Name A]],Eingabe[Position],4,Eingabe[Wo],"A"))</f>
        <v/>
      </c>
      <c r="H128" s="129" t="str">
        <f>IF(PositionA[[#This Row],[Spiele A]]="","",COUNTIFS(Eingabe[Name],PositionA[[#This Row],[Name A]],Eingabe[Position],5,Eingabe[Wo],"A"))</f>
        <v/>
      </c>
      <c r="I128" s="129" t="str">
        <f>IF(PositionA[[#This Row],[Spiele A]]="","",COUNTIFS(Eingabe[Name],PositionA[[#This Row],[Name A]],Eingabe[Position],6,Eingabe[Wo],"A"))</f>
        <v/>
      </c>
      <c r="J128" s="129" t="str">
        <f>IF(PositionA[[#This Row],[P1 A]]="","",COUNTIFS(Eingabe[Position],1,Eingabe[MP],1,Eingabe[Name],PositionA[[#This Row],[Name A]],Eingabe[Wo],"A"))</f>
        <v/>
      </c>
      <c r="K128" s="129" t="str">
        <f>IF(PositionA[[#This Row],[P2 A]]="","",COUNTIFS(Eingabe[Position],2,Eingabe[MP],1,Eingabe[Name],PositionA[[#This Row],[Name A]],Eingabe[Wo],"A"))</f>
        <v/>
      </c>
      <c r="L128" s="129" t="str">
        <f>IF(PositionA[[#This Row],[P3 A]]="","",COUNTIFS(Eingabe[Position],3,Eingabe[MP],1,Eingabe[Name],PositionA[[#This Row],[Name A]],Eingabe[Wo],"A"))</f>
        <v/>
      </c>
      <c r="M128" s="129" t="str">
        <f>IF(PositionA[[#This Row],[P4 A]]="","",COUNTIFS(Eingabe[Position],4,Eingabe[MP],1,Eingabe[Name],PositionA[[#This Row],[Name A]],Eingabe[Wo],"A"))</f>
        <v/>
      </c>
      <c r="N128" s="129" t="str">
        <f>IF(PositionA[[#This Row],[P5 A]]="","",COUNTIFS(Eingabe[Position],5,Eingabe[MP],1,Eingabe[Name],PositionA[[#This Row],[Name A]],Eingabe[Wo],"A"))</f>
        <v/>
      </c>
      <c r="O128" s="129" t="str">
        <f>IF(PositionA[[#This Row],[P6 A]]="","",COUNTIFS(Eingabe[Position],6,Eingabe[MP],1,Eingabe[Name],PositionA[[#This Row],[Name A]],Eingabe[Wo],"A"))</f>
        <v/>
      </c>
      <c r="P128" s="172" t="str">
        <f>IF(PositionA[[#This Row],[P1 A]]=0,"",IF(PositionA[[#This Row],[P1 A]]="","",PositionA[[#This Row],[P1 S A]]/PositionA[[#This Row],[P1 A]]))</f>
        <v/>
      </c>
      <c r="Q128" s="172" t="str">
        <f>IF(PositionA[[#This Row],[P2 A]]=0,"",IF(PositionA[[#This Row],[P2 A]]="","",PositionA[[#This Row],[P2 S A]]/PositionA[[#This Row],[P2 A]]))</f>
        <v/>
      </c>
      <c r="R128" s="172" t="str">
        <f>IF(PositionA[[#This Row],[P3 A]]=0,"",IF(PositionA[[#This Row],[P3 A]]="","",PositionA[[#This Row],[P3 S A]]/PositionA[[#This Row],[P3 A]]))</f>
        <v/>
      </c>
      <c r="S128" s="172" t="str">
        <f>IF(PositionA[[#This Row],[P4 A]]=0,"",IF(PositionA[[#This Row],[P4 A]]="","",PositionA[[#This Row],[P4 S A]]/PositionA[[#This Row],[P4 A]]))</f>
        <v/>
      </c>
      <c r="T128" s="172" t="str">
        <f>IF(PositionA[[#This Row],[P5 A]]=0,"",IF(PositionA[[#This Row],[P5 A]]="","",PositionA[[#This Row],[P5 S A]]/PositionA[[#This Row],[P5 A]]))</f>
        <v/>
      </c>
      <c r="U128" s="172" t="str">
        <f>IF(PositionA[[#This Row],[P6 A]]=0,"",IF(PositionA[[#This Row],[P6 A]]="","",PositionA[[#This Row],[P6 S A]]/PositionA[[#This Row],[P6 A]]))</f>
        <v/>
      </c>
      <c r="V128"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28" s="129" t="str">
        <f>IF(PositionA[[#This Row],[HP A]]="","",MAX(PositionA[[#This Row],[P1 A]:[P6 A]]))</f>
        <v/>
      </c>
      <c r="X128"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28" s="172" t="str">
        <f>IF(PositionA[[#This Row],[Spiele A]]="","",MAX(PositionA[[#This Row],[P1 % A]:[P6 % A]]))</f>
        <v/>
      </c>
    </row>
    <row r="129" spans="2:25" x14ac:dyDescent="0.3">
      <c r="B129" s="129" t="str">
        <f t="shared" si="2"/>
        <v>Luca Landau</v>
      </c>
      <c r="C129" s="129" t="str">
        <f>VLOOKUP(PositionA[[#This Row],[Name A]],AuswertungA[],4,FALSE)</f>
        <v/>
      </c>
      <c r="D129" s="129" t="str">
        <f>IF(PositionA[[#This Row],[Spiele A]]="","",COUNTIFS(Eingabe[Name],PositionA[[#This Row],[Name A]],Eingabe[Position],1,Eingabe[Wo],"A"))</f>
        <v/>
      </c>
      <c r="E129" s="129" t="str">
        <f>IF(PositionA[[#This Row],[Spiele A]]="","",COUNTIFS(Eingabe[Name],PositionA[[#This Row],[Name A]],Eingabe[Position],2,Eingabe[Wo],"A"))</f>
        <v/>
      </c>
      <c r="F129" s="129" t="str">
        <f>IF(PositionA[[#This Row],[Spiele A]]="","",COUNTIFS(Eingabe[Name],PositionA[[#This Row],[Name A]],Eingabe[Position],3,Eingabe[Wo],"A"))</f>
        <v/>
      </c>
      <c r="G129" s="129" t="str">
        <f>IF(PositionA[[#This Row],[Spiele A]]="","",COUNTIFS(Eingabe[Name],PositionA[[#This Row],[Name A]],Eingabe[Position],4,Eingabe[Wo],"A"))</f>
        <v/>
      </c>
      <c r="H129" s="129" t="str">
        <f>IF(PositionA[[#This Row],[Spiele A]]="","",COUNTIFS(Eingabe[Name],PositionA[[#This Row],[Name A]],Eingabe[Position],5,Eingabe[Wo],"A"))</f>
        <v/>
      </c>
      <c r="I129" s="129" t="str">
        <f>IF(PositionA[[#This Row],[Spiele A]]="","",COUNTIFS(Eingabe[Name],PositionA[[#This Row],[Name A]],Eingabe[Position],6,Eingabe[Wo],"A"))</f>
        <v/>
      </c>
      <c r="J129" s="129" t="str">
        <f>IF(PositionA[[#This Row],[P1 A]]="","",COUNTIFS(Eingabe[Position],1,Eingabe[MP],1,Eingabe[Name],PositionA[[#This Row],[Name A]],Eingabe[Wo],"A"))</f>
        <v/>
      </c>
      <c r="K129" s="129" t="str">
        <f>IF(PositionA[[#This Row],[P2 A]]="","",COUNTIFS(Eingabe[Position],2,Eingabe[MP],1,Eingabe[Name],PositionA[[#This Row],[Name A]],Eingabe[Wo],"A"))</f>
        <v/>
      </c>
      <c r="L129" s="129" t="str">
        <f>IF(PositionA[[#This Row],[P3 A]]="","",COUNTIFS(Eingabe[Position],3,Eingabe[MP],1,Eingabe[Name],PositionA[[#This Row],[Name A]],Eingabe[Wo],"A"))</f>
        <v/>
      </c>
      <c r="M129" s="129" t="str">
        <f>IF(PositionA[[#This Row],[P4 A]]="","",COUNTIFS(Eingabe[Position],4,Eingabe[MP],1,Eingabe[Name],PositionA[[#This Row],[Name A]],Eingabe[Wo],"A"))</f>
        <v/>
      </c>
      <c r="N129" s="129" t="str">
        <f>IF(PositionA[[#This Row],[P5 A]]="","",COUNTIFS(Eingabe[Position],5,Eingabe[MP],1,Eingabe[Name],PositionA[[#This Row],[Name A]],Eingabe[Wo],"A"))</f>
        <v/>
      </c>
      <c r="O129" s="129" t="str">
        <f>IF(PositionA[[#This Row],[P6 A]]="","",COUNTIFS(Eingabe[Position],6,Eingabe[MP],1,Eingabe[Name],PositionA[[#This Row],[Name A]],Eingabe[Wo],"A"))</f>
        <v/>
      </c>
      <c r="P129" s="172" t="str">
        <f>IF(PositionA[[#This Row],[P1 A]]=0,"",IF(PositionA[[#This Row],[P1 A]]="","",PositionA[[#This Row],[P1 S A]]/PositionA[[#This Row],[P1 A]]))</f>
        <v/>
      </c>
      <c r="Q129" s="172" t="str">
        <f>IF(PositionA[[#This Row],[P2 A]]=0,"",IF(PositionA[[#This Row],[P2 A]]="","",PositionA[[#This Row],[P2 S A]]/PositionA[[#This Row],[P2 A]]))</f>
        <v/>
      </c>
      <c r="R129" s="172" t="str">
        <f>IF(PositionA[[#This Row],[P3 A]]=0,"",IF(PositionA[[#This Row],[P3 A]]="","",PositionA[[#This Row],[P3 S A]]/PositionA[[#This Row],[P3 A]]))</f>
        <v/>
      </c>
      <c r="S129" s="172" t="str">
        <f>IF(PositionA[[#This Row],[P4 A]]=0,"",IF(PositionA[[#This Row],[P4 A]]="","",PositionA[[#This Row],[P4 S A]]/PositionA[[#This Row],[P4 A]]))</f>
        <v/>
      </c>
      <c r="T129" s="172" t="str">
        <f>IF(PositionA[[#This Row],[P5 A]]=0,"",IF(PositionA[[#This Row],[P5 A]]="","",PositionA[[#This Row],[P5 S A]]/PositionA[[#This Row],[P5 A]]))</f>
        <v/>
      </c>
      <c r="U129" s="172" t="str">
        <f>IF(PositionA[[#This Row],[P6 A]]=0,"",IF(PositionA[[#This Row],[P6 A]]="","",PositionA[[#This Row],[P6 S A]]/PositionA[[#This Row],[P6 A]]))</f>
        <v/>
      </c>
      <c r="V129"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29" s="129" t="str">
        <f>IF(PositionA[[#This Row],[HP A]]="","",MAX(PositionA[[#This Row],[P1 A]:[P6 A]]))</f>
        <v/>
      </c>
      <c r="X129"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29" s="172" t="str">
        <f>IF(PositionA[[#This Row],[Spiele A]]="","",MAX(PositionA[[#This Row],[P1 % A]:[P6 % A]]))</f>
        <v/>
      </c>
    </row>
    <row r="130" spans="2:25" x14ac:dyDescent="0.3">
      <c r="B130" s="129" t="str">
        <f t="shared" si="2"/>
        <v>Madlen Baumgarten</v>
      </c>
      <c r="C130" s="129">
        <f>VLOOKUP(PositionA[[#This Row],[Name A]],AuswertungA[],4,FALSE)</f>
        <v>5</v>
      </c>
      <c r="D130" s="129">
        <f>IF(PositionA[[#This Row],[Spiele A]]="","",COUNTIFS(Eingabe[Name],PositionA[[#This Row],[Name A]],Eingabe[Position],1,Eingabe[Wo],"A"))</f>
        <v>0</v>
      </c>
      <c r="E130" s="129">
        <f>IF(PositionA[[#This Row],[Spiele A]]="","",COUNTIFS(Eingabe[Name],PositionA[[#This Row],[Name A]],Eingabe[Position],2,Eingabe[Wo],"A"))</f>
        <v>1</v>
      </c>
      <c r="F130" s="129">
        <f>IF(PositionA[[#This Row],[Spiele A]]="","",COUNTIFS(Eingabe[Name],PositionA[[#This Row],[Name A]],Eingabe[Position],3,Eingabe[Wo],"A"))</f>
        <v>0</v>
      </c>
      <c r="G130" s="129">
        <f>IF(PositionA[[#This Row],[Spiele A]]="","",COUNTIFS(Eingabe[Name],PositionA[[#This Row],[Name A]],Eingabe[Position],4,Eingabe[Wo],"A"))</f>
        <v>0</v>
      </c>
      <c r="H130" s="129">
        <f>IF(PositionA[[#This Row],[Spiele A]]="","",COUNTIFS(Eingabe[Name],PositionA[[#This Row],[Name A]],Eingabe[Position],5,Eingabe[Wo],"A"))</f>
        <v>3</v>
      </c>
      <c r="I130" s="129">
        <f>IF(PositionA[[#This Row],[Spiele A]]="","",COUNTIFS(Eingabe[Name],PositionA[[#This Row],[Name A]],Eingabe[Position],6,Eingabe[Wo],"A"))</f>
        <v>1</v>
      </c>
      <c r="J130" s="129">
        <f>IF(PositionA[[#This Row],[P1 A]]="","",COUNTIFS(Eingabe[Position],1,Eingabe[MP],1,Eingabe[Name],PositionA[[#This Row],[Name A]],Eingabe[Wo],"A"))</f>
        <v>0</v>
      </c>
      <c r="K130" s="129">
        <f>IF(PositionA[[#This Row],[P2 A]]="","",COUNTIFS(Eingabe[Position],2,Eingabe[MP],1,Eingabe[Name],PositionA[[#This Row],[Name A]],Eingabe[Wo],"A"))</f>
        <v>1</v>
      </c>
      <c r="L130" s="129">
        <f>IF(PositionA[[#This Row],[P3 A]]="","",COUNTIFS(Eingabe[Position],3,Eingabe[MP],1,Eingabe[Name],PositionA[[#This Row],[Name A]],Eingabe[Wo],"A"))</f>
        <v>0</v>
      </c>
      <c r="M130" s="129">
        <f>IF(PositionA[[#This Row],[P4 A]]="","",COUNTIFS(Eingabe[Position],4,Eingabe[MP],1,Eingabe[Name],PositionA[[#This Row],[Name A]],Eingabe[Wo],"A"))</f>
        <v>0</v>
      </c>
      <c r="N130" s="129">
        <f>IF(PositionA[[#This Row],[P5 A]]="","",COUNTIFS(Eingabe[Position],5,Eingabe[MP],1,Eingabe[Name],PositionA[[#This Row],[Name A]],Eingabe[Wo],"A"))</f>
        <v>2</v>
      </c>
      <c r="O130" s="129">
        <f>IF(PositionA[[#This Row],[P6 A]]="","",COUNTIFS(Eingabe[Position],6,Eingabe[MP],1,Eingabe[Name],PositionA[[#This Row],[Name A]],Eingabe[Wo],"A"))</f>
        <v>0</v>
      </c>
      <c r="P130" s="172" t="str">
        <f>IF(PositionA[[#This Row],[P1 A]]=0,"",IF(PositionA[[#This Row],[P1 A]]="","",PositionA[[#This Row],[P1 S A]]/PositionA[[#This Row],[P1 A]]))</f>
        <v/>
      </c>
      <c r="Q130" s="172">
        <f>IF(PositionA[[#This Row],[P2 A]]=0,"",IF(PositionA[[#This Row],[P2 A]]="","",PositionA[[#This Row],[P2 S A]]/PositionA[[#This Row],[P2 A]]))</f>
        <v>1</v>
      </c>
      <c r="R130" s="172" t="str">
        <f>IF(PositionA[[#This Row],[P3 A]]=0,"",IF(PositionA[[#This Row],[P3 A]]="","",PositionA[[#This Row],[P3 S A]]/PositionA[[#This Row],[P3 A]]))</f>
        <v/>
      </c>
      <c r="S130" s="172" t="str">
        <f>IF(PositionA[[#This Row],[P4 A]]=0,"",IF(PositionA[[#This Row],[P4 A]]="","",PositionA[[#This Row],[P4 S A]]/PositionA[[#This Row],[P4 A]]))</f>
        <v/>
      </c>
      <c r="T130" s="172">
        <f>IF(PositionA[[#This Row],[P5 A]]=0,"",IF(PositionA[[#This Row],[P5 A]]="","",PositionA[[#This Row],[P5 S A]]/PositionA[[#This Row],[P5 A]]))</f>
        <v>0.66666666666666663</v>
      </c>
      <c r="U130" s="172">
        <f>IF(PositionA[[#This Row],[P6 A]]=0,"",IF(PositionA[[#This Row],[P6 A]]="","",PositionA[[#This Row],[P6 S A]]/PositionA[[#This Row],[P6 A]]))</f>
        <v>0</v>
      </c>
      <c r="V130"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[5]</v>
      </c>
      <c r="W130" s="129">
        <f>IF(PositionA[[#This Row],[HP A]]="","",MAX(PositionA[[#This Row],[P1 A]:[P6 A]]))</f>
        <v>3</v>
      </c>
      <c r="X130"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[2]</v>
      </c>
      <c r="Y130" s="172">
        <f>IF(PositionA[[#This Row],[Spiele A]]="","",MAX(PositionA[[#This Row],[P1 % A]:[P6 % A]]))</f>
        <v>1</v>
      </c>
    </row>
    <row r="131" spans="2:25" x14ac:dyDescent="0.3">
      <c r="B131" s="129" t="str">
        <f t="shared" si="2"/>
        <v>Maik Fuhrmann</v>
      </c>
      <c r="C131" s="129">
        <f>VLOOKUP(PositionA[[#This Row],[Name A]],AuswertungA[],4,FALSE)</f>
        <v>6</v>
      </c>
      <c r="D131" s="129">
        <f>IF(PositionA[[#This Row],[Spiele A]]="","",COUNTIFS(Eingabe[Name],PositionA[[#This Row],[Name A]],Eingabe[Position],1,Eingabe[Wo],"A"))</f>
        <v>2</v>
      </c>
      <c r="E131" s="129">
        <f>IF(PositionA[[#This Row],[Spiele A]]="","",COUNTIFS(Eingabe[Name],PositionA[[#This Row],[Name A]],Eingabe[Position],2,Eingabe[Wo],"A"))</f>
        <v>2</v>
      </c>
      <c r="F131" s="129">
        <f>IF(PositionA[[#This Row],[Spiele A]]="","",COUNTIFS(Eingabe[Name],PositionA[[#This Row],[Name A]],Eingabe[Position],3,Eingabe[Wo],"A"))</f>
        <v>1</v>
      </c>
      <c r="G131" s="129">
        <f>IF(PositionA[[#This Row],[Spiele A]]="","",COUNTIFS(Eingabe[Name],PositionA[[#This Row],[Name A]],Eingabe[Position],4,Eingabe[Wo],"A"))</f>
        <v>1</v>
      </c>
      <c r="H131" s="129">
        <f>IF(PositionA[[#This Row],[Spiele A]]="","",COUNTIFS(Eingabe[Name],PositionA[[#This Row],[Name A]],Eingabe[Position],5,Eingabe[Wo],"A"))</f>
        <v>0</v>
      </c>
      <c r="I131" s="129">
        <f>IF(PositionA[[#This Row],[Spiele A]]="","",COUNTIFS(Eingabe[Name],PositionA[[#This Row],[Name A]],Eingabe[Position],6,Eingabe[Wo],"A"))</f>
        <v>0</v>
      </c>
      <c r="J131" s="129">
        <f>IF(PositionA[[#This Row],[P1 A]]="","",COUNTIFS(Eingabe[Position],1,Eingabe[MP],1,Eingabe[Name],PositionA[[#This Row],[Name A]],Eingabe[Wo],"A"))</f>
        <v>2</v>
      </c>
      <c r="K131" s="129">
        <f>IF(PositionA[[#This Row],[P2 A]]="","",COUNTIFS(Eingabe[Position],2,Eingabe[MP],1,Eingabe[Name],PositionA[[#This Row],[Name A]],Eingabe[Wo],"A"))</f>
        <v>2</v>
      </c>
      <c r="L131" s="129">
        <f>IF(PositionA[[#This Row],[P3 A]]="","",COUNTIFS(Eingabe[Position],3,Eingabe[MP],1,Eingabe[Name],PositionA[[#This Row],[Name A]],Eingabe[Wo],"A"))</f>
        <v>1</v>
      </c>
      <c r="M131" s="129">
        <f>IF(PositionA[[#This Row],[P4 A]]="","",COUNTIFS(Eingabe[Position],4,Eingabe[MP],1,Eingabe[Name],PositionA[[#This Row],[Name A]],Eingabe[Wo],"A"))</f>
        <v>1</v>
      </c>
      <c r="N131" s="129">
        <f>IF(PositionA[[#This Row],[P5 A]]="","",COUNTIFS(Eingabe[Position],5,Eingabe[MP],1,Eingabe[Name],PositionA[[#This Row],[Name A]],Eingabe[Wo],"A"))</f>
        <v>0</v>
      </c>
      <c r="O131" s="129">
        <f>IF(PositionA[[#This Row],[P6 A]]="","",COUNTIFS(Eingabe[Position],6,Eingabe[MP],1,Eingabe[Name],PositionA[[#This Row],[Name A]],Eingabe[Wo],"A"))</f>
        <v>0</v>
      </c>
      <c r="P131" s="172">
        <f>IF(PositionA[[#This Row],[P1 A]]=0,"",IF(PositionA[[#This Row],[P1 A]]="","",PositionA[[#This Row],[P1 S A]]/PositionA[[#This Row],[P1 A]]))</f>
        <v>1</v>
      </c>
      <c r="Q131" s="172">
        <f>IF(PositionA[[#This Row],[P2 A]]=0,"",IF(PositionA[[#This Row],[P2 A]]="","",PositionA[[#This Row],[P2 S A]]/PositionA[[#This Row],[P2 A]]))</f>
        <v>1</v>
      </c>
      <c r="R131" s="172">
        <f>IF(PositionA[[#This Row],[P3 A]]=0,"",IF(PositionA[[#This Row],[P3 A]]="","",PositionA[[#This Row],[P3 S A]]/PositionA[[#This Row],[P3 A]]))</f>
        <v>1</v>
      </c>
      <c r="S131" s="172">
        <f>IF(PositionA[[#This Row],[P4 A]]=0,"",IF(PositionA[[#This Row],[P4 A]]="","",PositionA[[#This Row],[P4 S A]]/PositionA[[#This Row],[P4 A]]))</f>
        <v>1</v>
      </c>
      <c r="T131" s="172" t="str">
        <f>IF(PositionA[[#This Row],[P5 A]]=0,"",IF(PositionA[[#This Row],[P5 A]]="","",PositionA[[#This Row],[P5 S A]]/PositionA[[#This Row],[P5 A]]))</f>
        <v/>
      </c>
      <c r="U131" s="172" t="str">
        <f>IF(PositionA[[#This Row],[P6 A]]=0,"",IF(PositionA[[#This Row],[P6 A]]="","",PositionA[[#This Row],[P6 S A]]/PositionA[[#This Row],[P6 A]]))</f>
        <v/>
      </c>
      <c r="V131"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[1][2]</v>
      </c>
      <c r="W131" s="129">
        <f>IF(PositionA[[#This Row],[HP A]]="","",MAX(PositionA[[#This Row],[P1 A]:[P6 A]]))</f>
        <v>2</v>
      </c>
      <c r="X131"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[1][2][3][4]</v>
      </c>
      <c r="Y131" s="172">
        <f>IF(PositionA[[#This Row],[Spiele A]]="","",MAX(PositionA[[#This Row],[P1 % A]:[P6 % A]]))</f>
        <v>1</v>
      </c>
    </row>
    <row r="132" spans="2:25" x14ac:dyDescent="0.3">
      <c r="B132" s="129" t="str">
        <f t="shared" si="2"/>
        <v>Marcel Giese</v>
      </c>
      <c r="C132" s="129">
        <f>VLOOKUP(PositionA[[#This Row],[Name A]],AuswertungA[],4,FALSE)</f>
        <v>1</v>
      </c>
      <c r="D132" s="129">
        <f>IF(PositionA[[#This Row],[Spiele A]]="","",COUNTIFS(Eingabe[Name],PositionA[[#This Row],[Name A]],Eingabe[Position],1,Eingabe[Wo],"A"))</f>
        <v>1</v>
      </c>
      <c r="E132" s="129">
        <f>IF(PositionA[[#This Row],[Spiele A]]="","",COUNTIFS(Eingabe[Name],PositionA[[#This Row],[Name A]],Eingabe[Position],2,Eingabe[Wo],"A"))</f>
        <v>0</v>
      </c>
      <c r="F132" s="129">
        <f>IF(PositionA[[#This Row],[Spiele A]]="","",COUNTIFS(Eingabe[Name],PositionA[[#This Row],[Name A]],Eingabe[Position],3,Eingabe[Wo],"A"))</f>
        <v>0</v>
      </c>
      <c r="G132" s="129">
        <f>IF(PositionA[[#This Row],[Spiele A]]="","",COUNTIFS(Eingabe[Name],PositionA[[#This Row],[Name A]],Eingabe[Position],4,Eingabe[Wo],"A"))</f>
        <v>0</v>
      </c>
      <c r="H132" s="129">
        <f>IF(PositionA[[#This Row],[Spiele A]]="","",COUNTIFS(Eingabe[Name],PositionA[[#This Row],[Name A]],Eingabe[Position],5,Eingabe[Wo],"A"))</f>
        <v>0</v>
      </c>
      <c r="I132" s="129">
        <f>IF(PositionA[[#This Row],[Spiele A]]="","",COUNTIFS(Eingabe[Name],PositionA[[#This Row],[Name A]],Eingabe[Position],6,Eingabe[Wo],"A"))</f>
        <v>0</v>
      </c>
      <c r="J132" s="129">
        <f>IF(PositionA[[#This Row],[P1 A]]="","",COUNTIFS(Eingabe[Position],1,Eingabe[MP],1,Eingabe[Name],PositionA[[#This Row],[Name A]],Eingabe[Wo],"A"))</f>
        <v>1</v>
      </c>
      <c r="K132" s="129">
        <f>IF(PositionA[[#This Row],[P2 A]]="","",COUNTIFS(Eingabe[Position],2,Eingabe[MP],1,Eingabe[Name],PositionA[[#This Row],[Name A]],Eingabe[Wo],"A"))</f>
        <v>0</v>
      </c>
      <c r="L132" s="129">
        <f>IF(PositionA[[#This Row],[P3 A]]="","",COUNTIFS(Eingabe[Position],3,Eingabe[MP],1,Eingabe[Name],PositionA[[#This Row],[Name A]],Eingabe[Wo],"A"))</f>
        <v>0</v>
      </c>
      <c r="M132" s="129">
        <f>IF(PositionA[[#This Row],[P4 A]]="","",COUNTIFS(Eingabe[Position],4,Eingabe[MP],1,Eingabe[Name],PositionA[[#This Row],[Name A]],Eingabe[Wo],"A"))</f>
        <v>0</v>
      </c>
      <c r="N132" s="129">
        <f>IF(PositionA[[#This Row],[P5 A]]="","",COUNTIFS(Eingabe[Position],5,Eingabe[MP],1,Eingabe[Name],PositionA[[#This Row],[Name A]],Eingabe[Wo],"A"))</f>
        <v>0</v>
      </c>
      <c r="O132" s="129">
        <f>IF(PositionA[[#This Row],[P6 A]]="","",COUNTIFS(Eingabe[Position],6,Eingabe[MP],1,Eingabe[Name],PositionA[[#This Row],[Name A]],Eingabe[Wo],"A"))</f>
        <v>0</v>
      </c>
      <c r="P132" s="172">
        <f>IF(PositionA[[#This Row],[P1 A]]=0,"",IF(PositionA[[#This Row],[P1 A]]="","",PositionA[[#This Row],[P1 S A]]/PositionA[[#This Row],[P1 A]]))</f>
        <v>1</v>
      </c>
      <c r="Q132" s="172" t="str">
        <f>IF(PositionA[[#This Row],[P2 A]]=0,"",IF(PositionA[[#This Row],[P2 A]]="","",PositionA[[#This Row],[P2 S A]]/PositionA[[#This Row],[P2 A]]))</f>
        <v/>
      </c>
      <c r="R132" s="172" t="str">
        <f>IF(PositionA[[#This Row],[P3 A]]=0,"",IF(PositionA[[#This Row],[P3 A]]="","",PositionA[[#This Row],[P3 S A]]/PositionA[[#This Row],[P3 A]]))</f>
        <v/>
      </c>
      <c r="S132" s="172" t="str">
        <f>IF(PositionA[[#This Row],[P4 A]]=0,"",IF(PositionA[[#This Row],[P4 A]]="","",PositionA[[#This Row],[P4 S A]]/PositionA[[#This Row],[P4 A]]))</f>
        <v/>
      </c>
      <c r="T132" s="172" t="str">
        <f>IF(PositionA[[#This Row],[P5 A]]=0,"",IF(PositionA[[#This Row],[P5 A]]="","",PositionA[[#This Row],[P5 S A]]/PositionA[[#This Row],[P5 A]]))</f>
        <v/>
      </c>
      <c r="U132" s="172" t="str">
        <f>IF(PositionA[[#This Row],[P6 A]]=0,"",IF(PositionA[[#This Row],[P6 A]]="","",PositionA[[#This Row],[P6 S A]]/PositionA[[#This Row],[P6 A]]))</f>
        <v/>
      </c>
      <c r="V132"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v>
      </c>
      <c r="W132" s="129">
        <f>IF(PositionA[[#This Row],[HP A]]="","",MAX(PositionA[[#This Row],[P1 A]:[P6 A]]))</f>
        <v>1</v>
      </c>
      <c r="X132"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[1]</v>
      </c>
      <c r="Y132" s="172">
        <f>IF(PositionA[[#This Row],[Spiele A]]="","",MAX(PositionA[[#This Row],[P1 % A]:[P6 % A]]))</f>
        <v>1</v>
      </c>
    </row>
    <row r="133" spans="2:25" x14ac:dyDescent="0.3">
      <c r="B133" s="129" t="str">
        <f t="shared" si="2"/>
        <v>Mario Hägemann</v>
      </c>
      <c r="C133" s="129">
        <f>VLOOKUP(PositionA[[#This Row],[Name A]],AuswertungA[],4,FALSE)</f>
        <v>5</v>
      </c>
      <c r="D133" s="129">
        <f>IF(PositionA[[#This Row],[Spiele A]]="","",COUNTIFS(Eingabe[Name],PositionA[[#This Row],[Name A]],Eingabe[Position],1,Eingabe[Wo],"A"))</f>
        <v>2</v>
      </c>
      <c r="E133" s="129">
        <f>IF(PositionA[[#This Row],[Spiele A]]="","",COUNTIFS(Eingabe[Name],PositionA[[#This Row],[Name A]],Eingabe[Position],2,Eingabe[Wo],"A"))</f>
        <v>1</v>
      </c>
      <c r="F133" s="129">
        <f>IF(PositionA[[#This Row],[Spiele A]]="","",COUNTIFS(Eingabe[Name],PositionA[[#This Row],[Name A]],Eingabe[Position],3,Eingabe[Wo],"A"))</f>
        <v>2</v>
      </c>
      <c r="G133" s="129">
        <f>IF(PositionA[[#This Row],[Spiele A]]="","",COUNTIFS(Eingabe[Name],PositionA[[#This Row],[Name A]],Eingabe[Position],4,Eingabe[Wo],"A"))</f>
        <v>0</v>
      </c>
      <c r="H133" s="129">
        <f>IF(PositionA[[#This Row],[Spiele A]]="","",COUNTIFS(Eingabe[Name],PositionA[[#This Row],[Name A]],Eingabe[Position],5,Eingabe[Wo],"A"))</f>
        <v>0</v>
      </c>
      <c r="I133" s="129">
        <f>IF(PositionA[[#This Row],[Spiele A]]="","",COUNTIFS(Eingabe[Name],PositionA[[#This Row],[Name A]],Eingabe[Position],6,Eingabe[Wo],"A"))</f>
        <v>0</v>
      </c>
      <c r="J133" s="129">
        <f>IF(PositionA[[#This Row],[P1 A]]="","",COUNTIFS(Eingabe[Position],1,Eingabe[MP],1,Eingabe[Name],PositionA[[#This Row],[Name A]],Eingabe[Wo],"A"))</f>
        <v>2</v>
      </c>
      <c r="K133" s="129">
        <f>IF(PositionA[[#This Row],[P2 A]]="","",COUNTIFS(Eingabe[Position],2,Eingabe[MP],1,Eingabe[Name],PositionA[[#This Row],[Name A]],Eingabe[Wo],"A"))</f>
        <v>0</v>
      </c>
      <c r="L133" s="129">
        <f>IF(PositionA[[#This Row],[P3 A]]="","",COUNTIFS(Eingabe[Position],3,Eingabe[MP],1,Eingabe[Name],PositionA[[#This Row],[Name A]],Eingabe[Wo],"A"))</f>
        <v>2</v>
      </c>
      <c r="M133" s="129">
        <f>IF(PositionA[[#This Row],[P4 A]]="","",COUNTIFS(Eingabe[Position],4,Eingabe[MP],1,Eingabe[Name],PositionA[[#This Row],[Name A]],Eingabe[Wo],"A"))</f>
        <v>0</v>
      </c>
      <c r="N133" s="129">
        <f>IF(PositionA[[#This Row],[P5 A]]="","",COUNTIFS(Eingabe[Position],5,Eingabe[MP],1,Eingabe[Name],PositionA[[#This Row],[Name A]],Eingabe[Wo],"A"))</f>
        <v>0</v>
      </c>
      <c r="O133" s="129">
        <f>IF(PositionA[[#This Row],[P6 A]]="","",COUNTIFS(Eingabe[Position],6,Eingabe[MP],1,Eingabe[Name],PositionA[[#This Row],[Name A]],Eingabe[Wo],"A"))</f>
        <v>0</v>
      </c>
      <c r="P133" s="172">
        <f>IF(PositionA[[#This Row],[P1 A]]=0,"",IF(PositionA[[#This Row],[P1 A]]="","",PositionA[[#This Row],[P1 S A]]/PositionA[[#This Row],[P1 A]]))</f>
        <v>1</v>
      </c>
      <c r="Q133" s="172">
        <f>IF(PositionA[[#This Row],[P2 A]]=0,"",IF(PositionA[[#This Row],[P2 A]]="","",PositionA[[#This Row],[P2 S A]]/PositionA[[#This Row],[P2 A]]))</f>
        <v>0</v>
      </c>
      <c r="R133" s="172">
        <f>IF(PositionA[[#This Row],[P3 A]]=0,"",IF(PositionA[[#This Row],[P3 A]]="","",PositionA[[#This Row],[P3 S A]]/PositionA[[#This Row],[P3 A]]))</f>
        <v>1</v>
      </c>
      <c r="S133" s="172" t="str">
        <f>IF(PositionA[[#This Row],[P4 A]]=0,"",IF(PositionA[[#This Row],[P4 A]]="","",PositionA[[#This Row],[P4 S A]]/PositionA[[#This Row],[P4 A]]))</f>
        <v/>
      </c>
      <c r="T133" s="172" t="str">
        <f>IF(PositionA[[#This Row],[P5 A]]=0,"",IF(PositionA[[#This Row],[P5 A]]="","",PositionA[[#This Row],[P5 S A]]/PositionA[[#This Row],[P5 A]]))</f>
        <v/>
      </c>
      <c r="U133" s="172" t="str">
        <f>IF(PositionA[[#This Row],[P6 A]]=0,"",IF(PositionA[[#This Row],[P6 A]]="","",PositionA[[#This Row],[P6 S A]]/PositionA[[#This Row],[P6 A]]))</f>
        <v/>
      </c>
      <c r="V133"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[1][3]</v>
      </c>
      <c r="W133" s="129">
        <f>IF(PositionA[[#This Row],[HP A]]="","",MAX(PositionA[[#This Row],[P1 A]:[P6 A]]))</f>
        <v>2</v>
      </c>
      <c r="X133"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[1][3]</v>
      </c>
      <c r="Y133" s="172">
        <f>IF(PositionA[[#This Row],[Spiele A]]="","",MAX(PositionA[[#This Row],[P1 % A]:[P6 % A]]))</f>
        <v>1</v>
      </c>
    </row>
    <row r="134" spans="2:25" x14ac:dyDescent="0.3">
      <c r="B134" s="129" t="str">
        <f t="shared" si="2"/>
        <v>Markus Unvericht</v>
      </c>
      <c r="C134" s="129" t="str">
        <f>VLOOKUP(PositionA[[#This Row],[Name A]],AuswertungA[],4,FALSE)</f>
        <v/>
      </c>
      <c r="D134" s="129" t="str">
        <f>IF(PositionA[[#This Row],[Spiele A]]="","",COUNTIFS(Eingabe[Name],PositionA[[#This Row],[Name A]],Eingabe[Position],1,Eingabe[Wo],"A"))</f>
        <v/>
      </c>
      <c r="E134" s="129" t="str">
        <f>IF(PositionA[[#This Row],[Spiele A]]="","",COUNTIFS(Eingabe[Name],PositionA[[#This Row],[Name A]],Eingabe[Position],2,Eingabe[Wo],"A"))</f>
        <v/>
      </c>
      <c r="F134" s="129" t="str">
        <f>IF(PositionA[[#This Row],[Spiele A]]="","",COUNTIFS(Eingabe[Name],PositionA[[#This Row],[Name A]],Eingabe[Position],3,Eingabe[Wo],"A"))</f>
        <v/>
      </c>
      <c r="G134" s="129" t="str">
        <f>IF(PositionA[[#This Row],[Spiele A]]="","",COUNTIFS(Eingabe[Name],PositionA[[#This Row],[Name A]],Eingabe[Position],4,Eingabe[Wo],"A"))</f>
        <v/>
      </c>
      <c r="H134" s="129" t="str">
        <f>IF(PositionA[[#This Row],[Spiele A]]="","",COUNTIFS(Eingabe[Name],PositionA[[#This Row],[Name A]],Eingabe[Position],5,Eingabe[Wo],"A"))</f>
        <v/>
      </c>
      <c r="I134" s="129" t="str">
        <f>IF(PositionA[[#This Row],[Spiele A]]="","",COUNTIFS(Eingabe[Name],PositionA[[#This Row],[Name A]],Eingabe[Position],6,Eingabe[Wo],"A"))</f>
        <v/>
      </c>
      <c r="J134" s="129" t="str">
        <f>IF(PositionA[[#This Row],[P1 A]]="","",COUNTIFS(Eingabe[Position],1,Eingabe[MP],1,Eingabe[Name],PositionA[[#This Row],[Name A]],Eingabe[Wo],"A"))</f>
        <v/>
      </c>
      <c r="K134" s="129" t="str">
        <f>IF(PositionA[[#This Row],[P2 A]]="","",COUNTIFS(Eingabe[Position],2,Eingabe[MP],1,Eingabe[Name],PositionA[[#This Row],[Name A]],Eingabe[Wo],"A"))</f>
        <v/>
      </c>
      <c r="L134" s="129" t="str">
        <f>IF(PositionA[[#This Row],[P3 A]]="","",COUNTIFS(Eingabe[Position],3,Eingabe[MP],1,Eingabe[Name],PositionA[[#This Row],[Name A]],Eingabe[Wo],"A"))</f>
        <v/>
      </c>
      <c r="M134" s="129" t="str">
        <f>IF(PositionA[[#This Row],[P4 A]]="","",COUNTIFS(Eingabe[Position],4,Eingabe[MP],1,Eingabe[Name],PositionA[[#This Row],[Name A]],Eingabe[Wo],"A"))</f>
        <v/>
      </c>
      <c r="N134" s="129" t="str">
        <f>IF(PositionA[[#This Row],[P5 A]]="","",COUNTIFS(Eingabe[Position],5,Eingabe[MP],1,Eingabe[Name],PositionA[[#This Row],[Name A]],Eingabe[Wo],"A"))</f>
        <v/>
      </c>
      <c r="O134" s="129" t="str">
        <f>IF(PositionA[[#This Row],[P6 A]]="","",COUNTIFS(Eingabe[Position],6,Eingabe[MP],1,Eingabe[Name],PositionA[[#This Row],[Name A]],Eingabe[Wo],"A"))</f>
        <v/>
      </c>
      <c r="P134" s="172" t="str">
        <f>IF(PositionA[[#This Row],[P1 A]]=0,"",IF(PositionA[[#This Row],[P1 A]]="","",PositionA[[#This Row],[P1 S A]]/PositionA[[#This Row],[P1 A]]))</f>
        <v/>
      </c>
      <c r="Q134" s="172" t="str">
        <f>IF(PositionA[[#This Row],[P2 A]]=0,"",IF(PositionA[[#This Row],[P2 A]]="","",PositionA[[#This Row],[P2 S A]]/PositionA[[#This Row],[P2 A]]))</f>
        <v/>
      </c>
      <c r="R134" s="172" t="str">
        <f>IF(PositionA[[#This Row],[P3 A]]=0,"",IF(PositionA[[#This Row],[P3 A]]="","",PositionA[[#This Row],[P3 S A]]/PositionA[[#This Row],[P3 A]]))</f>
        <v/>
      </c>
      <c r="S134" s="172" t="str">
        <f>IF(PositionA[[#This Row],[P4 A]]=0,"",IF(PositionA[[#This Row],[P4 A]]="","",PositionA[[#This Row],[P4 S A]]/PositionA[[#This Row],[P4 A]]))</f>
        <v/>
      </c>
      <c r="T134" s="172" t="str">
        <f>IF(PositionA[[#This Row],[P5 A]]=0,"",IF(PositionA[[#This Row],[P5 A]]="","",PositionA[[#This Row],[P5 S A]]/PositionA[[#This Row],[P5 A]]))</f>
        <v/>
      </c>
      <c r="U134" s="172" t="str">
        <f>IF(PositionA[[#This Row],[P6 A]]=0,"",IF(PositionA[[#This Row],[P6 A]]="","",PositionA[[#This Row],[P6 S A]]/PositionA[[#This Row],[P6 A]]))</f>
        <v/>
      </c>
      <c r="V134"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34" s="129" t="str">
        <f>IF(PositionA[[#This Row],[HP A]]="","",MAX(PositionA[[#This Row],[P1 A]:[P6 A]]))</f>
        <v/>
      </c>
      <c r="X134"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34" s="172" t="str">
        <f>IF(PositionA[[#This Row],[Spiele A]]="","",MAX(PositionA[[#This Row],[P1 % A]:[P6 % A]]))</f>
        <v/>
      </c>
    </row>
    <row r="135" spans="2:25" x14ac:dyDescent="0.3">
      <c r="B135" s="129" t="str">
        <f t="shared" si="2"/>
        <v>Martin Börner</v>
      </c>
      <c r="C135" s="129" t="str">
        <f>VLOOKUP(PositionA[[#This Row],[Name A]],AuswertungA[],4,FALSE)</f>
        <v/>
      </c>
      <c r="D135" s="129" t="str">
        <f>IF(PositionA[[#This Row],[Spiele A]]="","",COUNTIFS(Eingabe[Name],PositionA[[#This Row],[Name A]],Eingabe[Position],1,Eingabe[Wo],"A"))</f>
        <v/>
      </c>
      <c r="E135" s="129" t="str">
        <f>IF(PositionA[[#This Row],[Spiele A]]="","",COUNTIFS(Eingabe[Name],PositionA[[#This Row],[Name A]],Eingabe[Position],2,Eingabe[Wo],"A"))</f>
        <v/>
      </c>
      <c r="F135" s="129" t="str">
        <f>IF(PositionA[[#This Row],[Spiele A]]="","",COUNTIFS(Eingabe[Name],PositionA[[#This Row],[Name A]],Eingabe[Position],3,Eingabe[Wo],"A"))</f>
        <v/>
      </c>
      <c r="G135" s="129" t="str">
        <f>IF(PositionA[[#This Row],[Spiele A]]="","",COUNTIFS(Eingabe[Name],PositionA[[#This Row],[Name A]],Eingabe[Position],4,Eingabe[Wo],"A"))</f>
        <v/>
      </c>
      <c r="H135" s="129" t="str">
        <f>IF(PositionA[[#This Row],[Spiele A]]="","",COUNTIFS(Eingabe[Name],PositionA[[#This Row],[Name A]],Eingabe[Position],5,Eingabe[Wo],"A"))</f>
        <v/>
      </c>
      <c r="I135" s="129" t="str">
        <f>IF(PositionA[[#This Row],[Spiele A]]="","",COUNTIFS(Eingabe[Name],PositionA[[#This Row],[Name A]],Eingabe[Position],6,Eingabe[Wo],"A"))</f>
        <v/>
      </c>
      <c r="J135" s="129" t="str">
        <f>IF(PositionA[[#This Row],[P1 A]]="","",COUNTIFS(Eingabe[Position],1,Eingabe[MP],1,Eingabe[Name],PositionA[[#This Row],[Name A]],Eingabe[Wo],"A"))</f>
        <v/>
      </c>
      <c r="K135" s="129" t="str">
        <f>IF(PositionA[[#This Row],[P2 A]]="","",COUNTIFS(Eingabe[Position],2,Eingabe[MP],1,Eingabe[Name],PositionA[[#This Row],[Name A]],Eingabe[Wo],"A"))</f>
        <v/>
      </c>
      <c r="L135" s="129" t="str">
        <f>IF(PositionA[[#This Row],[P3 A]]="","",COUNTIFS(Eingabe[Position],3,Eingabe[MP],1,Eingabe[Name],PositionA[[#This Row],[Name A]],Eingabe[Wo],"A"))</f>
        <v/>
      </c>
      <c r="M135" s="129" t="str">
        <f>IF(PositionA[[#This Row],[P4 A]]="","",COUNTIFS(Eingabe[Position],4,Eingabe[MP],1,Eingabe[Name],PositionA[[#This Row],[Name A]],Eingabe[Wo],"A"))</f>
        <v/>
      </c>
      <c r="N135" s="129" t="str">
        <f>IF(PositionA[[#This Row],[P5 A]]="","",COUNTIFS(Eingabe[Position],5,Eingabe[MP],1,Eingabe[Name],PositionA[[#This Row],[Name A]],Eingabe[Wo],"A"))</f>
        <v/>
      </c>
      <c r="O135" s="129" t="str">
        <f>IF(PositionA[[#This Row],[P6 A]]="","",COUNTIFS(Eingabe[Position],6,Eingabe[MP],1,Eingabe[Name],PositionA[[#This Row],[Name A]],Eingabe[Wo],"A"))</f>
        <v/>
      </c>
      <c r="P135" s="172" t="str">
        <f>IF(PositionA[[#This Row],[P1 A]]=0,"",IF(PositionA[[#This Row],[P1 A]]="","",PositionA[[#This Row],[P1 S A]]/PositionA[[#This Row],[P1 A]]))</f>
        <v/>
      </c>
      <c r="Q135" s="172" t="str">
        <f>IF(PositionA[[#This Row],[P2 A]]=0,"",IF(PositionA[[#This Row],[P2 A]]="","",PositionA[[#This Row],[P2 S A]]/PositionA[[#This Row],[P2 A]]))</f>
        <v/>
      </c>
      <c r="R135" s="172" t="str">
        <f>IF(PositionA[[#This Row],[P3 A]]=0,"",IF(PositionA[[#This Row],[P3 A]]="","",PositionA[[#This Row],[P3 S A]]/PositionA[[#This Row],[P3 A]]))</f>
        <v/>
      </c>
      <c r="S135" s="172" t="str">
        <f>IF(PositionA[[#This Row],[P4 A]]=0,"",IF(PositionA[[#This Row],[P4 A]]="","",PositionA[[#This Row],[P4 S A]]/PositionA[[#This Row],[P4 A]]))</f>
        <v/>
      </c>
      <c r="T135" s="172" t="str">
        <f>IF(PositionA[[#This Row],[P5 A]]=0,"",IF(PositionA[[#This Row],[P5 A]]="","",PositionA[[#This Row],[P5 S A]]/PositionA[[#This Row],[P5 A]]))</f>
        <v/>
      </c>
      <c r="U135" s="172" t="str">
        <f>IF(PositionA[[#This Row],[P6 A]]=0,"",IF(PositionA[[#This Row],[P6 A]]="","",PositionA[[#This Row],[P6 S A]]/PositionA[[#This Row],[P6 A]]))</f>
        <v/>
      </c>
      <c r="V135"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35" s="129" t="str">
        <f>IF(PositionA[[#This Row],[HP A]]="","",MAX(PositionA[[#This Row],[P1 A]:[P6 A]]))</f>
        <v/>
      </c>
      <c r="X135"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35" s="172" t="str">
        <f>IF(PositionA[[#This Row],[Spiele A]]="","",MAX(PositionA[[#This Row],[P1 % A]:[P6 % A]]))</f>
        <v/>
      </c>
    </row>
    <row r="136" spans="2:25" x14ac:dyDescent="0.3">
      <c r="B136" s="129" t="str">
        <f t="shared" si="2"/>
        <v>Max Dost</v>
      </c>
      <c r="C136" s="129" t="str">
        <f>VLOOKUP(PositionA[[#This Row],[Name A]],AuswertungA[],4,FALSE)</f>
        <v/>
      </c>
      <c r="D136" s="129" t="str">
        <f>IF(PositionA[[#This Row],[Spiele A]]="","",COUNTIFS(Eingabe[Name],PositionA[[#This Row],[Name A]],Eingabe[Position],1,Eingabe[Wo],"A"))</f>
        <v/>
      </c>
      <c r="E136" s="129" t="str">
        <f>IF(PositionA[[#This Row],[Spiele A]]="","",COUNTIFS(Eingabe[Name],PositionA[[#This Row],[Name A]],Eingabe[Position],2,Eingabe[Wo],"A"))</f>
        <v/>
      </c>
      <c r="F136" s="129" t="str">
        <f>IF(PositionA[[#This Row],[Spiele A]]="","",COUNTIFS(Eingabe[Name],PositionA[[#This Row],[Name A]],Eingabe[Position],3,Eingabe[Wo],"A"))</f>
        <v/>
      </c>
      <c r="G136" s="129" t="str">
        <f>IF(PositionA[[#This Row],[Spiele A]]="","",COUNTIFS(Eingabe[Name],PositionA[[#This Row],[Name A]],Eingabe[Position],4,Eingabe[Wo],"A"))</f>
        <v/>
      </c>
      <c r="H136" s="129" t="str">
        <f>IF(PositionA[[#This Row],[Spiele A]]="","",COUNTIFS(Eingabe[Name],PositionA[[#This Row],[Name A]],Eingabe[Position],5,Eingabe[Wo],"A"))</f>
        <v/>
      </c>
      <c r="I136" s="129" t="str">
        <f>IF(PositionA[[#This Row],[Spiele A]]="","",COUNTIFS(Eingabe[Name],PositionA[[#This Row],[Name A]],Eingabe[Position],6,Eingabe[Wo],"A"))</f>
        <v/>
      </c>
      <c r="J136" s="129" t="str">
        <f>IF(PositionA[[#This Row],[P1 A]]="","",COUNTIFS(Eingabe[Position],1,Eingabe[MP],1,Eingabe[Name],PositionA[[#This Row],[Name A]],Eingabe[Wo],"A"))</f>
        <v/>
      </c>
      <c r="K136" s="129" t="str">
        <f>IF(PositionA[[#This Row],[P2 A]]="","",COUNTIFS(Eingabe[Position],2,Eingabe[MP],1,Eingabe[Name],PositionA[[#This Row],[Name A]],Eingabe[Wo],"A"))</f>
        <v/>
      </c>
      <c r="L136" s="129" t="str">
        <f>IF(PositionA[[#This Row],[P3 A]]="","",COUNTIFS(Eingabe[Position],3,Eingabe[MP],1,Eingabe[Name],PositionA[[#This Row],[Name A]],Eingabe[Wo],"A"))</f>
        <v/>
      </c>
      <c r="M136" s="129" t="str">
        <f>IF(PositionA[[#This Row],[P4 A]]="","",COUNTIFS(Eingabe[Position],4,Eingabe[MP],1,Eingabe[Name],PositionA[[#This Row],[Name A]],Eingabe[Wo],"A"))</f>
        <v/>
      </c>
      <c r="N136" s="129" t="str">
        <f>IF(PositionA[[#This Row],[P5 A]]="","",COUNTIFS(Eingabe[Position],5,Eingabe[MP],1,Eingabe[Name],PositionA[[#This Row],[Name A]],Eingabe[Wo],"A"))</f>
        <v/>
      </c>
      <c r="O136" s="129" t="str">
        <f>IF(PositionA[[#This Row],[P6 A]]="","",COUNTIFS(Eingabe[Position],6,Eingabe[MP],1,Eingabe[Name],PositionA[[#This Row],[Name A]],Eingabe[Wo],"A"))</f>
        <v/>
      </c>
      <c r="P136" s="172" t="str">
        <f>IF(PositionA[[#This Row],[P1 A]]=0,"",IF(PositionA[[#This Row],[P1 A]]="","",PositionA[[#This Row],[P1 S A]]/PositionA[[#This Row],[P1 A]]))</f>
        <v/>
      </c>
      <c r="Q136" s="172" t="str">
        <f>IF(PositionA[[#This Row],[P2 A]]=0,"",IF(PositionA[[#This Row],[P2 A]]="","",PositionA[[#This Row],[P2 S A]]/PositionA[[#This Row],[P2 A]]))</f>
        <v/>
      </c>
      <c r="R136" s="172" t="str">
        <f>IF(PositionA[[#This Row],[P3 A]]=0,"",IF(PositionA[[#This Row],[P3 A]]="","",PositionA[[#This Row],[P3 S A]]/PositionA[[#This Row],[P3 A]]))</f>
        <v/>
      </c>
      <c r="S136" s="172" t="str">
        <f>IF(PositionA[[#This Row],[P4 A]]=0,"",IF(PositionA[[#This Row],[P4 A]]="","",PositionA[[#This Row],[P4 S A]]/PositionA[[#This Row],[P4 A]]))</f>
        <v/>
      </c>
      <c r="T136" s="172" t="str">
        <f>IF(PositionA[[#This Row],[P5 A]]=0,"",IF(PositionA[[#This Row],[P5 A]]="","",PositionA[[#This Row],[P5 S A]]/PositionA[[#This Row],[P5 A]]))</f>
        <v/>
      </c>
      <c r="U136" s="172" t="str">
        <f>IF(PositionA[[#This Row],[P6 A]]=0,"",IF(PositionA[[#This Row],[P6 A]]="","",PositionA[[#This Row],[P6 S A]]/PositionA[[#This Row],[P6 A]]))</f>
        <v/>
      </c>
      <c r="V136"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36" s="129" t="str">
        <f>IF(PositionA[[#This Row],[HP A]]="","",MAX(PositionA[[#This Row],[P1 A]:[P6 A]]))</f>
        <v/>
      </c>
      <c r="X136"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36" s="172" t="str">
        <f>IF(PositionA[[#This Row],[Spiele A]]="","",MAX(PositionA[[#This Row],[P1 % A]:[P6 % A]]))</f>
        <v/>
      </c>
    </row>
    <row r="137" spans="2:25" x14ac:dyDescent="0.3">
      <c r="B137" s="129" t="str">
        <f t="shared" si="2"/>
        <v>Michael Becker</v>
      </c>
      <c r="C137" s="129" t="str">
        <f>VLOOKUP(PositionA[[#This Row],[Name A]],AuswertungA[],4,FALSE)</f>
        <v/>
      </c>
      <c r="D137" s="129" t="str">
        <f>IF(PositionA[[#This Row],[Spiele A]]="","",COUNTIFS(Eingabe[Name],PositionA[[#This Row],[Name A]],Eingabe[Position],1,Eingabe[Wo],"A"))</f>
        <v/>
      </c>
      <c r="E137" s="129" t="str">
        <f>IF(PositionA[[#This Row],[Spiele A]]="","",COUNTIFS(Eingabe[Name],PositionA[[#This Row],[Name A]],Eingabe[Position],2,Eingabe[Wo],"A"))</f>
        <v/>
      </c>
      <c r="F137" s="129" t="str">
        <f>IF(PositionA[[#This Row],[Spiele A]]="","",COUNTIFS(Eingabe[Name],PositionA[[#This Row],[Name A]],Eingabe[Position],3,Eingabe[Wo],"A"))</f>
        <v/>
      </c>
      <c r="G137" s="129" t="str">
        <f>IF(PositionA[[#This Row],[Spiele A]]="","",COUNTIFS(Eingabe[Name],PositionA[[#This Row],[Name A]],Eingabe[Position],4,Eingabe[Wo],"A"))</f>
        <v/>
      </c>
      <c r="H137" s="129" t="str">
        <f>IF(PositionA[[#This Row],[Spiele A]]="","",COUNTIFS(Eingabe[Name],PositionA[[#This Row],[Name A]],Eingabe[Position],5,Eingabe[Wo],"A"))</f>
        <v/>
      </c>
      <c r="I137" s="129" t="str">
        <f>IF(PositionA[[#This Row],[Spiele A]]="","",COUNTIFS(Eingabe[Name],PositionA[[#This Row],[Name A]],Eingabe[Position],6,Eingabe[Wo],"A"))</f>
        <v/>
      </c>
      <c r="J137" s="129" t="str">
        <f>IF(PositionA[[#This Row],[P1 A]]="","",COUNTIFS(Eingabe[Position],1,Eingabe[MP],1,Eingabe[Name],PositionA[[#This Row],[Name A]],Eingabe[Wo],"A"))</f>
        <v/>
      </c>
      <c r="K137" s="129" t="str">
        <f>IF(PositionA[[#This Row],[P2 A]]="","",COUNTIFS(Eingabe[Position],2,Eingabe[MP],1,Eingabe[Name],PositionA[[#This Row],[Name A]],Eingabe[Wo],"A"))</f>
        <v/>
      </c>
      <c r="L137" s="129" t="str">
        <f>IF(PositionA[[#This Row],[P3 A]]="","",COUNTIFS(Eingabe[Position],3,Eingabe[MP],1,Eingabe[Name],PositionA[[#This Row],[Name A]],Eingabe[Wo],"A"))</f>
        <v/>
      </c>
      <c r="M137" s="129" t="str">
        <f>IF(PositionA[[#This Row],[P4 A]]="","",COUNTIFS(Eingabe[Position],4,Eingabe[MP],1,Eingabe[Name],PositionA[[#This Row],[Name A]],Eingabe[Wo],"A"))</f>
        <v/>
      </c>
      <c r="N137" s="129" t="str">
        <f>IF(PositionA[[#This Row],[P5 A]]="","",COUNTIFS(Eingabe[Position],5,Eingabe[MP],1,Eingabe[Name],PositionA[[#This Row],[Name A]],Eingabe[Wo],"A"))</f>
        <v/>
      </c>
      <c r="O137" s="129" t="str">
        <f>IF(PositionA[[#This Row],[P6 A]]="","",COUNTIFS(Eingabe[Position],6,Eingabe[MP],1,Eingabe[Name],PositionA[[#This Row],[Name A]],Eingabe[Wo],"A"))</f>
        <v/>
      </c>
      <c r="P137" s="172" t="str">
        <f>IF(PositionA[[#This Row],[P1 A]]=0,"",IF(PositionA[[#This Row],[P1 A]]="","",PositionA[[#This Row],[P1 S A]]/PositionA[[#This Row],[P1 A]]))</f>
        <v/>
      </c>
      <c r="Q137" s="172" t="str">
        <f>IF(PositionA[[#This Row],[P2 A]]=0,"",IF(PositionA[[#This Row],[P2 A]]="","",PositionA[[#This Row],[P2 S A]]/PositionA[[#This Row],[P2 A]]))</f>
        <v/>
      </c>
      <c r="R137" s="172" t="str">
        <f>IF(PositionA[[#This Row],[P3 A]]=0,"",IF(PositionA[[#This Row],[P3 A]]="","",PositionA[[#This Row],[P3 S A]]/PositionA[[#This Row],[P3 A]]))</f>
        <v/>
      </c>
      <c r="S137" s="172" t="str">
        <f>IF(PositionA[[#This Row],[P4 A]]=0,"",IF(PositionA[[#This Row],[P4 A]]="","",PositionA[[#This Row],[P4 S A]]/PositionA[[#This Row],[P4 A]]))</f>
        <v/>
      </c>
      <c r="T137" s="172" t="str">
        <f>IF(PositionA[[#This Row],[P5 A]]=0,"",IF(PositionA[[#This Row],[P5 A]]="","",PositionA[[#This Row],[P5 S A]]/PositionA[[#This Row],[P5 A]]))</f>
        <v/>
      </c>
      <c r="U137" s="172" t="str">
        <f>IF(PositionA[[#This Row],[P6 A]]=0,"",IF(PositionA[[#This Row],[P6 A]]="","",PositionA[[#This Row],[P6 S A]]/PositionA[[#This Row],[P6 A]]))</f>
        <v/>
      </c>
      <c r="V137"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37" s="129" t="str">
        <f>IF(PositionA[[#This Row],[HP A]]="","",MAX(PositionA[[#This Row],[P1 A]:[P6 A]]))</f>
        <v/>
      </c>
      <c r="X137"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37" s="172" t="str">
        <f>IF(PositionA[[#This Row],[Spiele A]]="","",MAX(PositionA[[#This Row],[P1 % A]:[P6 % A]]))</f>
        <v/>
      </c>
    </row>
    <row r="138" spans="2:25" x14ac:dyDescent="0.3">
      <c r="B138" s="129" t="str">
        <f t="shared" si="2"/>
        <v>Michael Klose</v>
      </c>
      <c r="C138" s="129" t="str">
        <f>VLOOKUP(PositionA[[#This Row],[Name A]],AuswertungA[],4,FALSE)</f>
        <v/>
      </c>
      <c r="D138" s="129" t="str">
        <f>IF(PositionA[[#This Row],[Spiele A]]="","",COUNTIFS(Eingabe[Name],PositionA[[#This Row],[Name A]],Eingabe[Position],1,Eingabe[Wo],"A"))</f>
        <v/>
      </c>
      <c r="E138" s="129" t="str">
        <f>IF(PositionA[[#This Row],[Spiele A]]="","",COUNTIFS(Eingabe[Name],PositionA[[#This Row],[Name A]],Eingabe[Position],2,Eingabe[Wo],"A"))</f>
        <v/>
      </c>
      <c r="F138" s="129" t="str">
        <f>IF(PositionA[[#This Row],[Spiele A]]="","",COUNTIFS(Eingabe[Name],PositionA[[#This Row],[Name A]],Eingabe[Position],3,Eingabe[Wo],"A"))</f>
        <v/>
      </c>
      <c r="G138" s="129" t="str">
        <f>IF(PositionA[[#This Row],[Spiele A]]="","",COUNTIFS(Eingabe[Name],PositionA[[#This Row],[Name A]],Eingabe[Position],4,Eingabe[Wo],"A"))</f>
        <v/>
      </c>
      <c r="H138" s="129" t="str">
        <f>IF(PositionA[[#This Row],[Spiele A]]="","",COUNTIFS(Eingabe[Name],PositionA[[#This Row],[Name A]],Eingabe[Position],5,Eingabe[Wo],"A"))</f>
        <v/>
      </c>
      <c r="I138" s="129" t="str">
        <f>IF(PositionA[[#This Row],[Spiele A]]="","",COUNTIFS(Eingabe[Name],PositionA[[#This Row],[Name A]],Eingabe[Position],6,Eingabe[Wo],"A"))</f>
        <v/>
      </c>
      <c r="J138" s="129" t="str">
        <f>IF(PositionA[[#This Row],[P1 A]]="","",COUNTIFS(Eingabe[Position],1,Eingabe[MP],1,Eingabe[Name],PositionA[[#This Row],[Name A]],Eingabe[Wo],"A"))</f>
        <v/>
      </c>
      <c r="K138" s="129" t="str">
        <f>IF(PositionA[[#This Row],[P2 A]]="","",COUNTIFS(Eingabe[Position],2,Eingabe[MP],1,Eingabe[Name],PositionA[[#This Row],[Name A]],Eingabe[Wo],"A"))</f>
        <v/>
      </c>
      <c r="L138" s="129" t="str">
        <f>IF(PositionA[[#This Row],[P3 A]]="","",COUNTIFS(Eingabe[Position],3,Eingabe[MP],1,Eingabe[Name],PositionA[[#This Row],[Name A]],Eingabe[Wo],"A"))</f>
        <v/>
      </c>
      <c r="M138" s="129" t="str">
        <f>IF(PositionA[[#This Row],[P4 A]]="","",COUNTIFS(Eingabe[Position],4,Eingabe[MP],1,Eingabe[Name],PositionA[[#This Row],[Name A]],Eingabe[Wo],"A"))</f>
        <v/>
      </c>
      <c r="N138" s="129" t="str">
        <f>IF(PositionA[[#This Row],[P5 A]]="","",COUNTIFS(Eingabe[Position],5,Eingabe[MP],1,Eingabe[Name],PositionA[[#This Row],[Name A]],Eingabe[Wo],"A"))</f>
        <v/>
      </c>
      <c r="O138" s="129" t="str">
        <f>IF(PositionA[[#This Row],[P6 A]]="","",COUNTIFS(Eingabe[Position],6,Eingabe[MP],1,Eingabe[Name],PositionA[[#This Row],[Name A]],Eingabe[Wo],"A"))</f>
        <v/>
      </c>
      <c r="P138" s="172" t="str">
        <f>IF(PositionA[[#This Row],[P1 A]]=0,"",IF(PositionA[[#This Row],[P1 A]]="","",PositionA[[#This Row],[P1 S A]]/PositionA[[#This Row],[P1 A]]))</f>
        <v/>
      </c>
      <c r="Q138" s="172" t="str">
        <f>IF(PositionA[[#This Row],[P2 A]]=0,"",IF(PositionA[[#This Row],[P2 A]]="","",PositionA[[#This Row],[P2 S A]]/PositionA[[#This Row],[P2 A]]))</f>
        <v/>
      </c>
      <c r="R138" s="172" t="str">
        <f>IF(PositionA[[#This Row],[P3 A]]=0,"",IF(PositionA[[#This Row],[P3 A]]="","",PositionA[[#This Row],[P3 S A]]/PositionA[[#This Row],[P3 A]]))</f>
        <v/>
      </c>
      <c r="S138" s="172" t="str">
        <f>IF(PositionA[[#This Row],[P4 A]]=0,"",IF(PositionA[[#This Row],[P4 A]]="","",PositionA[[#This Row],[P4 S A]]/PositionA[[#This Row],[P4 A]]))</f>
        <v/>
      </c>
      <c r="T138" s="172" t="str">
        <f>IF(PositionA[[#This Row],[P5 A]]=0,"",IF(PositionA[[#This Row],[P5 A]]="","",PositionA[[#This Row],[P5 S A]]/PositionA[[#This Row],[P5 A]]))</f>
        <v/>
      </c>
      <c r="U138" s="172" t="str">
        <f>IF(PositionA[[#This Row],[P6 A]]=0,"",IF(PositionA[[#This Row],[P6 A]]="","",PositionA[[#This Row],[P6 S A]]/PositionA[[#This Row],[P6 A]]))</f>
        <v/>
      </c>
      <c r="V138"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38" s="129" t="str">
        <f>IF(PositionA[[#This Row],[HP A]]="","",MAX(PositionA[[#This Row],[P1 A]:[P6 A]]))</f>
        <v/>
      </c>
      <c r="X138"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38" s="172" t="str">
        <f>IF(PositionA[[#This Row],[Spiele A]]="","",MAX(PositionA[[#This Row],[P1 % A]:[P6 % A]]))</f>
        <v/>
      </c>
    </row>
    <row r="139" spans="2:25" x14ac:dyDescent="0.3">
      <c r="B139" s="129" t="str">
        <f t="shared" si="2"/>
        <v>Mick Becker</v>
      </c>
      <c r="C139" s="129" t="str">
        <f>VLOOKUP(PositionA[[#This Row],[Name A]],AuswertungA[],4,FALSE)</f>
        <v/>
      </c>
      <c r="D139" s="129" t="str">
        <f>IF(PositionA[[#This Row],[Spiele A]]="","",COUNTIFS(Eingabe[Name],PositionA[[#This Row],[Name A]],Eingabe[Position],1,Eingabe[Wo],"A"))</f>
        <v/>
      </c>
      <c r="E139" s="129" t="str">
        <f>IF(PositionA[[#This Row],[Spiele A]]="","",COUNTIFS(Eingabe[Name],PositionA[[#This Row],[Name A]],Eingabe[Position],2,Eingabe[Wo],"A"))</f>
        <v/>
      </c>
      <c r="F139" s="129" t="str">
        <f>IF(PositionA[[#This Row],[Spiele A]]="","",COUNTIFS(Eingabe[Name],PositionA[[#This Row],[Name A]],Eingabe[Position],3,Eingabe[Wo],"A"))</f>
        <v/>
      </c>
      <c r="G139" s="129" t="str">
        <f>IF(PositionA[[#This Row],[Spiele A]]="","",COUNTIFS(Eingabe[Name],PositionA[[#This Row],[Name A]],Eingabe[Position],4,Eingabe[Wo],"A"))</f>
        <v/>
      </c>
      <c r="H139" s="129" t="str">
        <f>IF(PositionA[[#This Row],[Spiele A]]="","",COUNTIFS(Eingabe[Name],PositionA[[#This Row],[Name A]],Eingabe[Position],5,Eingabe[Wo],"A"))</f>
        <v/>
      </c>
      <c r="I139" s="129" t="str">
        <f>IF(PositionA[[#This Row],[Spiele A]]="","",COUNTIFS(Eingabe[Name],PositionA[[#This Row],[Name A]],Eingabe[Position],6,Eingabe[Wo],"A"))</f>
        <v/>
      </c>
      <c r="J139" s="129" t="str">
        <f>IF(PositionA[[#This Row],[P1 A]]="","",COUNTIFS(Eingabe[Position],1,Eingabe[MP],1,Eingabe[Name],PositionA[[#This Row],[Name A]],Eingabe[Wo],"A"))</f>
        <v/>
      </c>
      <c r="K139" s="129" t="str">
        <f>IF(PositionA[[#This Row],[P2 A]]="","",COUNTIFS(Eingabe[Position],2,Eingabe[MP],1,Eingabe[Name],PositionA[[#This Row],[Name A]],Eingabe[Wo],"A"))</f>
        <v/>
      </c>
      <c r="L139" s="129" t="str">
        <f>IF(PositionA[[#This Row],[P3 A]]="","",COUNTIFS(Eingabe[Position],3,Eingabe[MP],1,Eingabe[Name],PositionA[[#This Row],[Name A]],Eingabe[Wo],"A"))</f>
        <v/>
      </c>
      <c r="M139" s="129" t="str">
        <f>IF(PositionA[[#This Row],[P4 A]]="","",COUNTIFS(Eingabe[Position],4,Eingabe[MP],1,Eingabe[Name],PositionA[[#This Row],[Name A]],Eingabe[Wo],"A"))</f>
        <v/>
      </c>
      <c r="N139" s="129" t="str">
        <f>IF(PositionA[[#This Row],[P5 A]]="","",COUNTIFS(Eingabe[Position],5,Eingabe[MP],1,Eingabe[Name],PositionA[[#This Row],[Name A]],Eingabe[Wo],"A"))</f>
        <v/>
      </c>
      <c r="O139" s="129" t="str">
        <f>IF(PositionA[[#This Row],[P6 A]]="","",COUNTIFS(Eingabe[Position],6,Eingabe[MP],1,Eingabe[Name],PositionA[[#This Row],[Name A]],Eingabe[Wo],"A"))</f>
        <v/>
      </c>
      <c r="P139" s="172" t="str">
        <f>IF(PositionA[[#This Row],[P1 A]]=0,"",IF(PositionA[[#This Row],[P1 A]]="","",PositionA[[#This Row],[P1 S A]]/PositionA[[#This Row],[P1 A]]))</f>
        <v/>
      </c>
      <c r="Q139" s="172" t="str">
        <f>IF(PositionA[[#This Row],[P2 A]]=0,"",IF(PositionA[[#This Row],[P2 A]]="","",PositionA[[#This Row],[P2 S A]]/PositionA[[#This Row],[P2 A]]))</f>
        <v/>
      </c>
      <c r="R139" s="172" t="str">
        <f>IF(PositionA[[#This Row],[P3 A]]=0,"",IF(PositionA[[#This Row],[P3 A]]="","",PositionA[[#This Row],[P3 S A]]/PositionA[[#This Row],[P3 A]]))</f>
        <v/>
      </c>
      <c r="S139" s="172" t="str">
        <f>IF(PositionA[[#This Row],[P4 A]]=0,"",IF(PositionA[[#This Row],[P4 A]]="","",PositionA[[#This Row],[P4 S A]]/PositionA[[#This Row],[P4 A]]))</f>
        <v/>
      </c>
      <c r="T139" s="172" t="str">
        <f>IF(PositionA[[#This Row],[P5 A]]=0,"",IF(PositionA[[#This Row],[P5 A]]="","",PositionA[[#This Row],[P5 S A]]/PositionA[[#This Row],[P5 A]]))</f>
        <v/>
      </c>
      <c r="U139" s="172" t="str">
        <f>IF(PositionA[[#This Row],[P6 A]]=0,"",IF(PositionA[[#This Row],[P6 A]]="","",PositionA[[#This Row],[P6 S A]]/PositionA[[#This Row],[P6 A]]))</f>
        <v/>
      </c>
      <c r="V139"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39" s="129" t="str">
        <f>IF(PositionA[[#This Row],[HP A]]="","",MAX(PositionA[[#This Row],[P1 A]:[P6 A]]))</f>
        <v/>
      </c>
      <c r="X139"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39" s="172" t="str">
        <f>IF(PositionA[[#This Row],[Spiele A]]="","",MAX(PositionA[[#This Row],[P1 % A]:[P6 % A]]))</f>
        <v/>
      </c>
    </row>
    <row r="140" spans="2:25" x14ac:dyDescent="0.3">
      <c r="B140" s="129" t="str">
        <f t="shared" si="2"/>
        <v>Olaf Kurtze</v>
      </c>
      <c r="C140" s="129">
        <f>VLOOKUP(PositionA[[#This Row],[Name A]],AuswertungA[],4,FALSE)</f>
        <v>4</v>
      </c>
      <c r="D140" s="129">
        <f>IF(PositionA[[#This Row],[Spiele A]]="","",COUNTIFS(Eingabe[Name],PositionA[[#This Row],[Name A]],Eingabe[Position],1,Eingabe[Wo],"A"))</f>
        <v>3</v>
      </c>
      <c r="E140" s="129">
        <f>IF(PositionA[[#This Row],[Spiele A]]="","",COUNTIFS(Eingabe[Name],PositionA[[#This Row],[Name A]],Eingabe[Position],2,Eingabe[Wo],"A"))</f>
        <v>1</v>
      </c>
      <c r="F140" s="129">
        <f>IF(PositionA[[#This Row],[Spiele A]]="","",COUNTIFS(Eingabe[Name],PositionA[[#This Row],[Name A]],Eingabe[Position],3,Eingabe[Wo],"A"))</f>
        <v>0</v>
      </c>
      <c r="G140" s="129">
        <f>IF(PositionA[[#This Row],[Spiele A]]="","",COUNTIFS(Eingabe[Name],PositionA[[#This Row],[Name A]],Eingabe[Position],4,Eingabe[Wo],"A"))</f>
        <v>0</v>
      </c>
      <c r="H140" s="129">
        <f>IF(PositionA[[#This Row],[Spiele A]]="","",COUNTIFS(Eingabe[Name],PositionA[[#This Row],[Name A]],Eingabe[Position],5,Eingabe[Wo],"A"))</f>
        <v>0</v>
      </c>
      <c r="I140" s="129">
        <f>IF(PositionA[[#This Row],[Spiele A]]="","",COUNTIFS(Eingabe[Name],PositionA[[#This Row],[Name A]],Eingabe[Position],6,Eingabe[Wo],"A"))</f>
        <v>0</v>
      </c>
      <c r="J140" s="129">
        <f>IF(PositionA[[#This Row],[P1 A]]="","",COUNTIFS(Eingabe[Position],1,Eingabe[MP],1,Eingabe[Name],PositionA[[#This Row],[Name A]],Eingabe[Wo],"A"))</f>
        <v>1</v>
      </c>
      <c r="K140" s="129">
        <f>IF(PositionA[[#This Row],[P2 A]]="","",COUNTIFS(Eingabe[Position],2,Eingabe[MP],1,Eingabe[Name],PositionA[[#This Row],[Name A]],Eingabe[Wo],"A"))</f>
        <v>0</v>
      </c>
      <c r="L140" s="129">
        <f>IF(PositionA[[#This Row],[P3 A]]="","",COUNTIFS(Eingabe[Position],3,Eingabe[MP],1,Eingabe[Name],PositionA[[#This Row],[Name A]],Eingabe[Wo],"A"))</f>
        <v>0</v>
      </c>
      <c r="M140" s="129">
        <f>IF(PositionA[[#This Row],[P4 A]]="","",COUNTIFS(Eingabe[Position],4,Eingabe[MP],1,Eingabe[Name],PositionA[[#This Row],[Name A]],Eingabe[Wo],"A"))</f>
        <v>0</v>
      </c>
      <c r="N140" s="129">
        <f>IF(PositionA[[#This Row],[P5 A]]="","",COUNTIFS(Eingabe[Position],5,Eingabe[MP],1,Eingabe[Name],PositionA[[#This Row],[Name A]],Eingabe[Wo],"A"))</f>
        <v>0</v>
      </c>
      <c r="O140" s="129">
        <f>IF(PositionA[[#This Row],[P6 A]]="","",COUNTIFS(Eingabe[Position],6,Eingabe[MP],1,Eingabe[Name],PositionA[[#This Row],[Name A]],Eingabe[Wo],"A"))</f>
        <v>0</v>
      </c>
      <c r="P140" s="172">
        <f>IF(PositionA[[#This Row],[P1 A]]=0,"",IF(PositionA[[#This Row],[P1 A]]="","",PositionA[[#This Row],[P1 S A]]/PositionA[[#This Row],[P1 A]]))</f>
        <v>0.33333333333333331</v>
      </c>
      <c r="Q140" s="172">
        <f>IF(PositionA[[#This Row],[P2 A]]=0,"",IF(PositionA[[#This Row],[P2 A]]="","",PositionA[[#This Row],[P2 S A]]/PositionA[[#This Row],[P2 A]]))</f>
        <v>0</v>
      </c>
      <c r="R140" s="172" t="str">
        <f>IF(PositionA[[#This Row],[P3 A]]=0,"",IF(PositionA[[#This Row],[P3 A]]="","",PositionA[[#This Row],[P3 S A]]/PositionA[[#This Row],[P3 A]]))</f>
        <v/>
      </c>
      <c r="S140" s="172" t="str">
        <f>IF(PositionA[[#This Row],[P4 A]]=0,"",IF(PositionA[[#This Row],[P4 A]]="","",PositionA[[#This Row],[P4 S A]]/PositionA[[#This Row],[P4 A]]))</f>
        <v/>
      </c>
      <c r="T140" s="172" t="str">
        <f>IF(PositionA[[#This Row],[P5 A]]=0,"",IF(PositionA[[#This Row],[P5 A]]="","",PositionA[[#This Row],[P5 S A]]/PositionA[[#This Row],[P5 A]]))</f>
        <v/>
      </c>
      <c r="U140" s="172" t="str">
        <f>IF(PositionA[[#This Row],[P6 A]]=0,"",IF(PositionA[[#This Row],[P6 A]]="","",PositionA[[#This Row],[P6 S A]]/PositionA[[#This Row],[P6 A]]))</f>
        <v/>
      </c>
      <c r="V140"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v>
      </c>
      <c r="W140" s="129">
        <f>IF(PositionA[[#This Row],[HP A]]="","",MAX(PositionA[[#This Row],[P1 A]:[P6 A]]))</f>
        <v>3</v>
      </c>
      <c r="X140"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[1]</v>
      </c>
      <c r="Y140" s="172">
        <f>IF(PositionA[[#This Row],[Spiele A]]="","",MAX(PositionA[[#This Row],[P1 % A]:[P6 % A]]))</f>
        <v>0.33333333333333331</v>
      </c>
    </row>
    <row r="141" spans="2:25" x14ac:dyDescent="0.3">
      <c r="B141" s="129" t="str">
        <f t="shared" si="2"/>
        <v>Patrick Frenzel</v>
      </c>
      <c r="C141" s="129">
        <f>VLOOKUP(PositionA[[#This Row],[Name A]],AuswertungA[],4,FALSE)</f>
        <v>1</v>
      </c>
      <c r="D141" s="129">
        <f>IF(PositionA[[#This Row],[Spiele A]]="","",COUNTIFS(Eingabe[Name],PositionA[[#This Row],[Name A]],Eingabe[Position],1,Eingabe[Wo],"A"))</f>
        <v>0</v>
      </c>
      <c r="E141" s="129">
        <f>IF(PositionA[[#This Row],[Spiele A]]="","",COUNTIFS(Eingabe[Name],PositionA[[#This Row],[Name A]],Eingabe[Position],2,Eingabe[Wo],"A"))</f>
        <v>0</v>
      </c>
      <c r="F141" s="129">
        <f>IF(PositionA[[#This Row],[Spiele A]]="","",COUNTIFS(Eingabe[Name],PositionA[[#This Row],[Name A]],Eingabe[Position],3,Eingabe[Wo],"A"))</f>
        <v>0</v>
      </c>
      <c r="G141" s="129">
        <f>IF(PositionA[[#This Row],[Spiele A]]="","",COUNTIFS(Eingabe[Name],PositionA[[#This Row],[Name A]],Eingabe[Position],4,Eingabe[Wo],"A"))</f>
        <v>1</v>
      </c>
      <c r="H141" s="129">
        <f>IF(PositionA[[#This Row],[Spiele A]]="","",COUNTIFS(Eingabe[Name],PositionA[[#This Row],[Name A]],Eingabe[Position],5,Eingabe[Wo],"A"))</f>
        <v>0</v>
      </c>
      <c r="I141" s="129">
        <f>IF(PositionA[[#This Row],[Spiele A]]="","",COUNTIFS(Eingabe[Name],PositionA[[#This Row],[Name A]],Eingabe[Position],6,Eingabe[Wo],"A"))</f>
        <v>0</v>
      </c>
      <c r="J141" s="129">
        <f>IF(PositionA[[#This Row],[P1 A]]="","",COUNTIFS(Eingabe[Position],1,Eingabe[MP],1,Eingabe[Name],PositionA[[#This Row],[Name A]],Eingabe[Wo],"A"))</f>
        <v>0</v>
      </c>
      <c r="K141" s="129">
        <f>IF(PositionA[[#This Row],[P2 A]]="","",COUNTIFS(Eingabe[Position],2,Eingabe[MP],1,Eingabe[Name],PositionA[[#This Row],[Name A]],Eingabe[Wo],"A"))</f>
        <v>0</v>
      </c>
      <c r="L141" s="129">
        <f>IF(PositionA[[#This Row],[P3 A]]="","",COUNTIFS(Eingabe[Position],3,Eingabe[MP],1,Eingabe[Name],PositionA[[#This Row],[Name A]],Eingabe[Wo],"A"))</f>
        <v>0</v>
      </c>
      <c r="M141" s="129">
        <f>IF(PositionA[[#This Row],[P4 A]]="","",COUNTIFS(Eingabe[Position],4,Eingabe[MP],1,Eingabe[Name],PositionA[[#This Row],[Name A]],Eingabe[Wo],"A"))</f>
        <v>0</v>
      </c>
      <c r="N141" s="129">
        <f>IF(PositionA[[#This Row],[P5 A]]="","",COUNTIFS(Eingabe[Position],5,Eingabe[MP],1,Eingabe[Name],PositionA[[#This Row],[Name A]],Eingabe[Wo],"A"))</f>
        <v>0</v>
      </c>
      <c r="O141" s="129">
        <f>IF(PositionA[[#This Row],[P6 A]]="","",COUNTIFS(Eingabe[Position],6,Eingabe[MP],1,Eingabe[Name],PositionA[[#This Row],[Name A]],Eingabe[Wo],"A"))</f>
        <v>0</v>
      </c>
      <c r="P141" s="172" t="str">
        <f>IF(PositionA[[#This Row],[P1 A]]=0,"",IF(PositionA[[#This Row],[P1 A]]="","",PositionA[[#This Row],[P1 S A]]/PositionA[[#This Row],[P1 A]]))</f>
        <v/>
      </c>
      <c r="Q141" s="172" t="str">
        <f>IF(PositionA[[#This Row],[P2 A]]=0,"",IF(PositionA[[#This Row],[P2 A]]="","",PositionA[[#This Row],[P2 S A]]/PositionA[[#This Row],[P2 A]]))</f>
        <v/>
      </c>
      <c r="R141" s="172" t="str">
        <f>IF(PositionA[[#This Row],[P3 A]]=0,"",IF(PositionA[[#This Row],[P3 A]]="","",PositionA[[#This Row],[P3 S A]]/PositionA[[#This Row],[P3 A]]))</f>
        <v/>
      </c>
      <c r="S141" s="172">
        <f>IF(PositionA[[#This Row],[P4 A]]=0,"",IF(PositionA[[#This Row],[P4 A]]="","",PositionA[[#This Row],[P4 S A]]/PositionA[[#This Row],[P4 A]]))</f>
        <v>0</v>
      </c>
      <c r="T141" s="172" t="str">
        <f>IF(PositionA[[#This Row],[P5 A]]=0,"",IF(PositionA[[#This Row],[P5 A]]="","",PositionA[[#This Row],[P5 S A]]/PositionA[[#This Row],[P5 A]]))</f>
        <v/>
      </c>
      <c r="U141" s="172" t="str">
        <f>IF(PositionA[[#This Row],[P6 A]]=0,"",IF(PositionA[[#This Row],[P6 A]]="","",PositionA[[#This Row],[P6 S A]]/PositionA[[#This Row],[P6 A]]))</f>
        <v/>
      </c>
      <c r="V141"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[4]</v>
      </c>
      <c r="W141" s="129">
        <f>IF(PositionA[[#This Row],[HP A]]="","",MAX(PositionA[[#This Row],[P1 A]:[P6 A]]))</f>
        <v>1</v>
      </c>
      <c r="X141"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[4]</v>
      </c>
      <c r="Y141" s="172">
        <f>IF(PositionA[[#This Row],[Spiele A]]="","",MAX(PositionA[[#This Row],[P1 % A]:[P6 % A]]))</f>
        <v>0</v>
      </c>
    </row>
    <row r="142" spans="2:25" x14ac:dyDescent="0.3">
      <c r="B142" s="129" t="str">
        <f t="shared" si="2"/>
        <v>Patrick Hohmann</v>
      </c>
      <c r="C142" s="129">
        <f>VLOOKUP(PositionA[[#This Row],[Name A]],AuswertungA[],4,FALSE)</f>
        <v>4</v>
      </c>
      <c r="D142" s="129">
        <f>IF(PositionA[[#This Row],[Spiele A]]="","",COUNTIFS(Eingabe[Name],PositionA[[#This Row],[Name A]],Eingabe[Position],1,Eingabe[Wo],"A"))</f>
        <v>1</v>
      </c>
      <c r="E142" s="129">
        <f>IF(PositionA[[#This Row],[Spiele A]]="","",COUNTIFS(Eingabe[Name],PositionA[[#This Row],[Name A]],Eingabe[Position],2,Eingabe[Wo],"A"))</f>
        <v>0</v>
      </c>
      <c r="F142" s="129">
        <f>IF(PositionA[[#This Row],[Spiele A]]="","",COUNTIFS(Eingabe[Name],PositionA[[#This Row],[Name A]],Eingabe[Position],3,Eingabe[Wo],"A"))</f>
        <v>1</v>
      </c>
      <c r="G142" s="129">
        <f>IF(PositionA[[#This Row],[Spiele A]]="","",COUNTIFS(Eingabe[Name],PositionA[[#This Row],[Name A]],Eingabe[Position],4,Eingabe[Wo],"A"))</f>
        <v>1</v>
      </c>
      <c r="H142" s="129">
        <f>IF(PositionA[[#This Row],[Spiele A]]="","",COUNTIFS(Eingabe[Name],PositionA[[#This Row],[Name A]],Eingabe[Position],5,Eingabe[Wo],"A"))</f>
        <v>0</v>
      </c>
      <c r="I142" s="129">
        <f>IF(PositionA[[#This Row],[Spiele A]]="","",COUNTIFS(Eingabe[Name],PositionA[[#This Row],[Name A]],Eingabe[Position],6,Eingabe[Wo],"A"))</f>
        <v>1</v>
      </c>
      <c r="J142" s="129">
        <f>IF(PositionA[[#This Row],[P1 A]]="","",COUNTIFS(Eingabe[Position],1,Eingabe[MP],1,Eingabe[Name],PositionA[[#This Row],[Name A]],Eingabe[Wo],"A"))</f>
        <v>0</v>
      </c>
      <c r="K142" s="129">
        <f>IF(PositionA[[#This Row],[P2 A]]="","",COUNTIFS(Eingabe[Position],2,Eingabe[MP],1,Eingabe[Name],PositionA[[#This Row],[Name A]],Eingabe[Wo],"A"))</f>
        <v>0</v>
      </c>
      <c r="L142" s="129">
        <f>IF(PositionA[[#This Row],[P3 A]]="","",COUNTIFS(Eingabe[Position],3,Eingabe[MP],1,Eingabe[Name],PositionA[[#This Row],[Name A]],Eingabe[Wo],"A"))</f>
        <v>0</v>
      </c>
      <c r="M142" s="129">
        <f>IF(PositionA[[#This Row],[P4 A]]="","",COUNTIFS(Eingabe[Position],4,Eingabe[MP],1,Eingabe[Name],PositionA[[#This Row],[Name A]],Eingabe[Wo],"A"))</f>
        <v>1</v>
      </c>
      <c r="N142" s="129">
        <f>IF(PositionA[[#This Row],[P5 A]]="","",COUNTIFS(Eingabe[Position],5,Eingabe[MP],1,Eingabe[Name],PositionA[[#This Row],[Name A]],Eingabe[Wo],"A"))</f>
        <v>0</v>
      </c>
      <c r="O142" s="129">
        <f>IF(PositionA[[#This Row],[P6 A]]="","",COUNTIFS(Eingabe[Position],6,Eingabe[MP],1,Eingabe[Name],PositionA[[#This Row],[Name A]],Eingabe[Wo],"A"))</f>
        <v>0</v>
      </c>
      <c r="P142" s="172">
        <f>IF(PositionA[[#This Row],[P1 A]]=0,"",IF(PositionA[[#This Row],[P1 A]]="","",PositionA[[#This Row],[P1 S A]]/PositionA[[#This Row],[P1 A]]))</f>
        <v>0</v>
      </c>
      <c r="Q142" s="172" t="str">
        <f>IF(PositionA[[#This Row],[P2 A]]=0,"",IF(PositionA[[#This Row],[P2 A]]="","",PositionA[[#This Row],[P2 S A]]/PositionA[[#This Row],[P2 A]]))</f>
        <v/>
      </c>
      <c r="R142" s="172">
        <f>IF(PositionA[[#This Row],[P3 A]]=0,"",IF(PositionA[[#This Row],[P3 A]]="","",PositionA[[#This Row],[P3 S A]]/PositionA[[#This Row],[P3 A]]))</f>
        <v>0</v>
      </c>
      <c r="S142" s="172">
        <f>IF(PositionA[[#This Row],[P4 A]]=0,"",IF(PositionA[[#This Row],[P4 A]]="","",PositionA[[#This Row],[P4 S A]]/PositionA[[#This Row],[P4 A]]))</f>
        <v>1</v>
      </c>
      <c r="T142" s="172" t="str">
        <f>IF(PositionA[[#This Row],[P5 A]]=0,"",IF(PositionA[[#This Row],[P5 A]]="","",PositionA[[#This Row],[P5 S A]]/PositionA[[#This Row],[P5 A]]))</f>
        <v/>
      </c>
      <c r="U142" s="172">
        <f>IF(PositionA[[#This Row],[P6 A]]=0,"",IF(PositionA[[#This Row],[P6 A]]="","",PositionA[[#This Row],[P6 S A]]/PositionA[[#This Row],[P6 A]]))</f>
        <v>0</v>
      </c>
      <c r="V142"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[1][3][4][6]</v>
      </c>
      <c r="W142" s="129">
        <f>IF(PositionA[[#This Row],[HP A]]="","",MAX(PositionA[[#This Row],[P1 A]:[P6 A]]))</f>
        <v>1</v>
      </c>
      <c r="X142"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[4]</v>
      </c>
      <c r="Y142" s="172">
        <f>IF(PositionA[[#This Row],[Spiele A]]="","",MAX(PositionA[[#This Row],[P1 % A]:[P6 % A]]))</f>
        <v>1</v>
      </c>
    </row>
    <row r="143" spans="2:25" x14ac:dyDescent="0.3">
      <c r="B143" s="129" t="str">
        <f t="shared" si="2"/>
        <v>Peter Paulmann</v>
      </c>
      <c r="C143" s="129">
        <f>VLOOKUP(PositionA[[#This Row],[Name A]],AuswertungA[],4,FALSE)</f>
        <v>2</v>
      </c>
      <c r="D143" s="129">
        <f>IF(PositionA[[#This Row],[Spiele A]]="","",COUNTIFS(Eingabe[Name],PositionA[[#This Row],[Name A]],Eingabe[Position],1,Eingabe[Wo],"A"))</f>
        <v>0</v>
      </c>
      <c r="E143" s="129">
        <f>IF(PositionA[[#This Row],[Spiele A]]="","",COUNTIFS(Eingabe[Name],PositionA[[#This Row],[Name A]],Eingabe[Position],2,Eingabe[Wo],"A"))</f>
        <v>0</v>
      </c>
      <c r="F143" s="129">
        <f>IF(PositionA[[#This Row],[Spiele A]]="","",COUNTIFS(Eingabe[Name],PositionA[[#This Row],[Name A]],Eingabe[Position],3,Eingabe[Wo],"A"))</f>
        <v>0</v>
      </c>
      <c r="G143" s="129">
        <f>IF(PositionA[[#This Row],[Spiele A]]="","",COUNTIFS(Eingabe[Name],PositionA[[#This Row],[Name A]],Eingabe[Position],4,Eingabe[Wo],"A"))</f>
        <v>0</v>
      </c>
      <c r="H143" s="129">
        <f>IF(PositionA[[#This Row],[Spiele A]]="","",COUNTIFS(Eingabe[Name],PositionA[[#This Row],[Name A]],Eingabe[Position],5,Eingabe[Wo],"A"))</f>
        <v>1</v>
      </c>
      <c r="I143" s="129">
        <f>IF(PositionA[[#This Row],[Spiele A]]="","",COUNTIFS(Eingabe[Name],PositionA[[#This Row],[Name A]],Eingabe[Position],6,Eingabe[Wo],"A"))</f>
        <v>1</v>
      </c>
      <c r="J143" s="129">
        <f>IF(PositionA[[#This Row],[P1 A]]="","",COUNTIFS(Eingabe[Position],1,Eingabe[MP],1,Eingabe[Name],PositionA[[#This Row],[Name A]],Eingabe[Wo],"A"))</f>
        <v>0</v>
      </c>
      <c r="K143" s="129">
        <f>IF(PositionA[[#This Row],[P2 A]]="","",COUNTIFS(Eingabe[Position],2,Eingabe[MP],1,Eingabe[Name],PositionA[[#This Row],[Name A]],Eingabe[Wo],"A"))</f>
        <v>0</v>
      </c>
      <c r="L143" s="129">
        <f>IF(PositionA[[#This Row],[P3 A]]="","",COUNTIFS(Eingabe[Position],3,Eingabe[MP],1,Eingabe[Name],PositionA[[#This Row],[Name A]],Eingabe[Wo],"A"))</f>
        <v>0</v>
      </c>
      <c r="M143" s="129">
        <f>IF(PositionA[[#This Row],[P4 A]]="","",COUNTIFS(Eingabe[Position],4,Eingabe[MP],1,Eingabe[Name],PositionA[[#This Row],[Name A]],Eingabe[Wo],"A"))</f>
        <v>0</v>
      </c>
      <c r="N143" s="129">
        <f>IF(PositionA[[#This Row],[P5 A]]="","",COUNTIFS(Eingabe[Position],5,Eingabe[MP],1,Eingabe[Name],PositionA[[#This Row],[Name A]],Eingabe[Wo],"A"))</f>
        <v>0</v>
      </c>
      <c r="O143" s="129">
        <f>IF(PositionA[[#This Row],[P6 A]]="","",COUNTIFS(Eingabe[Position],6,Eingabe[MP],1,Eingabe[Name],PositionA[[#This Row],[Name A]],Eingabe[Wo],"A"))</f>
        <v>1</v>
      </c>
      <c r="P143" s="172" t="str">
        <f>IF(PositionA[[#This Row],[P1 A]]=0,"",IF(PositionA[[#This Row],[P1 A]]="","",PositionA[[#This Row],[P1 S A]]/PositionA[[#This Row],[P1 A]]))</f>
        <v/>
      </c>
      <c r="Q143" s="172" t="str">
        <f>IF(PositionA[[#This Row],[P2 A]]=0,"",IF(PositionA[[#This Row],[P2 A]]="","",PositionA[[#This Row],[P2 S A]]/PositionA[[#This Row],[P2 A]]))</f>
        <v/>
      </c>
      <c r="R143" s="172" t="str">
        <f>IF(PositionA[[#This Row],[P3 A]]=0,"",IF(PositionA[[#This Row],[P3 A]]="","",PositionA[[#This Row],[P3 S A]]/PositionA[[#This Row],[P3 A]]))</f>
        <v/>
      </c>
      <c r="S143" s="172" t="str">
        <f>IF(PositionA[[#This Row],[P4 A]]=0,"",IF(PositionA[[#This Row],[P4 A]]="","",PositionA[[#This Row],[P4 S A]]/PositionA[[#This Row],[P4 A]]))</f>
        <v/>
      </c>
      <c r="T143" s="172">
        <f>IF(PositionA[[#This Row],[P5 A]]=0,"",IF(PositionA[[#This Row],[P5 A]]="","",PositionA[[#This Row],[P5 S A]]/PositionA[[#This Row],[P5 A]]))</f>
        <v>0</v>
      </c>
      <c r="U143" s="172">
        <f>IF(PositionA[[#This Row],[P6 A]]=0,"",IF(PositionA[[#This Row],[P6 A]]="","",PositionA[[#This Row],[P6 S A]]/PositionA[[#This Row],[P6 A]]))</f>
        <v>1</v>
      </c>
      <c r="V143"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[5][6]</v>
      </c>
      <c r="W143" s="129">
        <f>IF(PositionA[[#This Row],[HP A]]="","",MAX(PositionA[[#This Row],[P1 A]:[P6 A]]))</f>
        <v>1</v>
      </c>
      <c r="X143"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[6]</v>
      </c>
      <c r="Y143" s="172">
        <f>IF(PositionA[[#This Row],[Spiele A]]="","",MAX(PositionA[[#This Row],[P1 % A]:[P6 % A]]))</f>
        <v>1</v>
      </c>
    </row>
    <row r="144" spans="2:25" x14ac:dyDescent="0.3">
      <c r="B144" s="129" t="str">
        <f t="shared" si="2"/>
        <v>Peter Weißling</v>
      </c>
      <c r="C144" s="129">
        <f>VLOOKUP(PositionA[[#This Row],[Name A]],AuswertungA[],4,FALSE)</f>
        <v>1</v>
      </c>
      <c r="D144" s="129">
        <f>IF(PositionA[[#This Row],[Spiele A]]="","",COUNTIFS(Eingabe[Name],PositionA[[#This Row],[Name A]],Eingabe[Position],1,Eingabe[Wo],"A"))</f>
        <v>0</v>
      </c>
      <c r="E144" s="129">
        <f>IF(PositionA[[#This Row],[Spiele A]]="","",COUNTIFS(Eingabe[Name],PositionA[[#This Row],[Name A]],Eingabe[Position],2,Eingabe[Wo],"A"))</f>
        <v>0</v>
      </c>
      <c r="F144" s="129">
        <f>IF(PositionA[[#This Row],[Spiele A]]="","",COUNTIFS(Eingabe[Name],PositionA[[#This Row],[Name A]],Eingabe[Position],3,Eingabe[Wo],"A"))</f>
        <v>1</v>
      </c>
      <c r="G144" s="129">
        <f>IF(PositionA[[#This Row],[Spiele A]]="","",COUNTIFS(Eingabe[Name],PositionA[[#This Row],[Name A]],Eingabe[Position],4,Eingabe[Wo],"A"))</f>
        <v>0</v>
      </c>
      <c r="H144" s="129">
        <f>IF(PositionA[[#This Row],[Spiele A]]="","",COUNTIFS(Eingabe[Name],PositionA[[#This Row],[Name A]],Eingabe[Position],5,Eingabe[Wo],"A"))</f>
        <v>0</v>
      </c>
      <c r="I144" s="129">
        <f>IF(PositionA[[#This Row],[Spiele A]]="","",COUNTIFS(Eingabe[Name],PositionA[[#This Row],[Name A]],Eingabe[Position],6,Eingabe[Wo],"A"))</f>
        <v>0</v>
      </c>
      <c r="J144" s="129">
        <f>IF(PositionA[[#This Row],[P1 A]]="","",COUNTIFS(Eingabe[Position],1,Eingabe[MP],1,Eingabe[Name],PositionA[[#This Row],[Name A]],Eingabe[Wo],"A"))</f>
        <v>0</v>
      </c>
      <c r="K144" s="129">
        <f>IF(PositionA[[#This Row],[P2 A]]="","",COUNTIFS(Eingabe[Position],2,Eingabe[MP],1,Eingabe[Name],PositionA[[#This Row],[Name A]],Eingabe[Wo],"A"))</f>
        <v>0</v>
      </c>
      <c r="L144" s="129">
        <f>IF(PositionA[[#This Row],[P3 A]]="","",COUNTIFS(Eingabe[Position],3,Eingabe[MP],1,Eingabe[Name],PositionA[[#This Row],[Name A]],Eingabe[Wo],"A"))</f>
        <v>1</v>
      </c>
      <c r="M144" s="129">
        <f>IF(PositionA[[#This Row],[P4 A]]="","",COUNTIFS(Eingabe[Position],4,Eingabe[MP],1,Eingabe[Name],PositionA[[#This Row],[Name A]],Eingabe[Wo],"A"))</f>
        <v>0</v>
      </c>
      <c r="N144" s="129">
        <f>IF(PositionA[[#This Row],[P5 A]]="","",COUNTIFS(Eingabe[Position],5,Eingabe[MP],1,Eingabe[Name],PositionA[[#This Row],[Name A]],Eingabe[Wo],"A"))</f>
        <v>0</v>
      </c>
      <c r="O144" s="129">
        <f>IF(PositionA[[#This Row],[P6 A]]="","",COUNTIFS(Eingabe[Position],6,Eingabe[MP],1,Eingabe[Name],PositionA[[#This Row],[Name A]],Eingabe[Wo],"A"))</f>
        <v>0</v>
      </c>
      <c r="P144" s="172" t="str">
        <f>IF(PositionA[[#This Row],[P1 A]]=0,"",IF(PositionA[[#This Row],[P1 A]]="","",PositionA[[#This Row],[P1 S A]]/PositionA[[#This Row],[P1 A]]))</f>
        <v/>
      </c>
      <c r="Q144" s="172" t="str">
        <f>IF(PositionA[[#This Row],[P2 A]]=0,"",IF(PositionA[[#This Row],[P2 A]]="","",PositionA[[#This Row],[P2 S A]]/PositionA[[#This Row],[P2 A]]))</f>
        <v/>
      </c>
      <c r="R144" s="172">
        <f>IF(PositionA[[#This Row],[P3 A]]=0,"",IF(PositionA[[#This Row],[P3 A]]="","",PositionA[[#This Row],[P3 S A]]/PositionA[[#This Row],[P3 A]]))</f>
        <v>1</v>
      </c>
      <c r="S144" s="172" t="str">
        <f>IF(PositionA[[#This Row],[P4 A]]=0,"",IF(PositionA[[#This Row],[P4 A]]="","",PositionA[[#This Row],[P4 S A]]/PositionA[[#This Row],[P4 A]]))</f>
        <v/>
      </c>
      <c r="T144" s="172" t="str">
        <f>IF(PositionA[[#This Row],[P5 A]]=0,"",IF(PositionA[[#This Row],[P5 A]]="","",PositionA[[#This Row],[P5 S A]]/PositionA[[#This Row],[P5 A]]))</f>
        <v/>
      </c>
      <c r="U144" s="172" t="str">
        <f>IF(PositionA[[#This Row],[P6 A]]=0,"",IF(PositionA[[#This Row],[P6 A]]="","",PositionA[[#This Row],[P6 S A]]/PositionA[[#This Row],[P6 A]]))</f>
        <v/>
      </c>
      <c r="V144"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[3]</v>
      </c>
      <c r="W144" s="129">
        <f>IF(PositionA[[#This Row],[HP A]]="","",MAX(PositionA[[#This Row],[P1 A]:[P6 A]]))</f>
        <v>1</v>
      </c>
      <c r="X144"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[3]</v>
      </c>
      <c r="Y144" s="172">
        <f>IF(PositionA[[#This Row],[Spiele A]]="","",MAX(PositionA[[#This Row],[P1 % A]:[P6 % A]]))</f>
        <v>1</v>
      </c>
    </row>
    <row r="145" spans="2:25" x14ac:dyDescent="0.3">
      <c r="B145" s="129" t="str">
        <f t="shared" si="2"/>
        <v>Petra Kubon</v>
      </c>
      <c r="C145" s="129" t="str">
        <f>VLOOKUP(PositionA[[#This Row],[Name A]],AuswertungA[],4,FALSE)</f>
        <v/>
      </c>
      <c r="D145" s="129" t="str">
        <f>IF(PositionA[[#This Row],[Spiele A]]="","",COUNTIFS(Eingabe[Name],PositionA[[#This Row],[Name A]],Eingabe[Position],1,Eingabe[Wo],"A"))</f>
        <v/>
      </c>
      <c r="E145" s="129" t="str">
        <f>IF(PositionA[[#This Row],[Spiele A]]="","",COUNTIFS(Eingabe[Name],PositionA[[#This Row],[Name A]],Eingabe[Position],2,Eingabe[Wo],"A"))</f>
        <v/>
      </c>
      <c r="F145" s="129" t="str">
        <f>IF(PositionA[[#This Row],[Spiele A]]="","",COUNTIFS(Eingabe[Name],PositionA[[#This Row],[Name A]],Eingabe[Position],3,Eingabe[Wo],"A"))</f>
        <v/>
      </c>
      <c r="G145" s="129" t="str">
        <f>IF(PositionA[[#This Row],[Spiele A]]="","",COUNTIFS(Eingabe[Name],PositionA[[#This Row],[Name A]],Eingabe[Position],4,Eingabe[Wo],"A"))</f>
        <v/>
      </c>
      <c r="H145" s="129" t="str">
        <f>IF(PositionA[[#This Row],[Spiele A]]="","",COUNTIFS(Eingabe[Name],PositionA[[#This Row],[Name A]],Eingabe[Position],5,Eingabe[Wo],"A"))</f>
        <v/>
      </c>
      <c r="I145" s="129" t="str">
        <f>IF(PositionA[[#This Row],[Spiele A]]="","",COUNTIFS(Eingabe[Name],PositionA[[#This Row],[Name A]],Eingabe[Position],6,Eingabe[Wo],"A"))</f>
        <v/>
      </c>
      <c r="J145" s="129" t="str">
        <f>IF(PositionA[[#This Row],[P1 A]]="","",COUNTIFS(Eingabe[Position],1,Eingabe[MP],1,Eingabe[Name],PositionA[[#This Row],[Name A]],Eingabe[Wo],"A"))</f>
        <v/>
      </c>
      <c r="K145" s="129" t="str">
        <f>IF(PositionA[[#This Row],[P2 A]]="","",COUNTIFS(Eingabe[Position],2,Eingabe[MP],1,Eingabe[Name],PositionA[[#This Row],[Name A]],Eingabe[Wo],"A"))</f>
        <v/>
      </c>
      <c r="L145" s="129" t="str">
        <f>IF(PositionA[[#This Row],[P3 A]]="","",COUNTIFS(Eingabe[Position],3,Eingabe[MP],1,Eingabe[Name],PositionA[[#This Row],[Name A]],Eingabe[Wo],"A"))</f>
        <v/>
      </c>
      <c r="M145" s="129" t="str">
        <f>IF(PositionA[[#This Row],[P4 A]]="","",COUNTIFS(Eingabe[Position],4,Eingabe[MP],1,Eingabe[Name],PositionA[[#This Row],[Name A]],Eingabe[Wo],"A"))</f>
        <v/>
      </c>
      <c r="N145" s="129" t="str">
        <f>IF(PositionA[[#This Row],[P5 A]]="","",COUNTIFS(Eingabe[Position],5,Eingabe[MP],1,Eingabe[Name],PositionA[[#This Row],[Name A]],Eingabe[Wo],"A"))</f>
        <v/>
      </c>
      <c r="O145" s="129" t="str">
        <f>IF(PositionA[[#This Row],[P6 A]]="","",COUNTIFS(Eingabe[Position],6,Eingabe[MP],1,Eingabe[Name],PositionA[[#This Row],[Name A]],Eingabe[Wo],"A"))</f>
        <v/>
      </c>
      <c r="P145" s="172" t="str">
        <f>IF(PositionA[[#This Row],[P1 A]]=0,"",IF(PositionA[[#This Row],[P1 A]]="","",PositionA[[#This Row],[P1 S A]]/PositionA[[#This Row],[P1 A]]))</f>
        <v/>
      </c>
      <c r="Q145" s="172" t="str">
        <f>IF(PositionA[[#This Row],[P2 A]]=0,"",IF(PositionA[[#This Row],[P2 A]]="","",PositionA[[#This Row],[P2 S A]]/PositionA[[#This Row],[P2 A]]))</f>
        <v/>
      </c>
      <c r="R145" s="172" t="str">
        <f>IF(PositionA[[#This Row],[P3 A]]=0,"",IF(PositionA[[#This Row],[P3 A]]="","",PositionA[[#This Row],[P3 S A]]/PositionA[[#This Row],[P3 A]]))</f>
        <v/>
      </c>
      <c r="S145" s="172" t="str">
        <f>IF(PositionA[[#This Row],[P4 A]]=0,"",IF(PositionA[[#This Row],[P4 A]]="","",PositionA[[#This Row],[P4 S A]]/PositionA[[#This Row],[P4 A]]))</f>
        <v/>
      </c>
      <c r="T145" s="172" t="str">
        <f>IF(PositionA[[#This Row],[P5 A]]=0,"",IF(PositionA[[#This Row],[P5 A]]="","",PositionA[[#This Row],[P5 S A]]/PositionA[[#This Row],[P5 A]]))</f>
        <v/>
      </c>
      <c r="U145" s="172" t="str">
        <f>IF(PositionA[[#This Row],[P6 A]]=0,"",IF(PositionA[[#This Row],[P6 A]]="","",PositionA[[#This Row],[P6 S A]]/PositionA[[#This Row],[P6 A]]))</f>
        <v/>
      </c>
      <c r="V145"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45" s="129" t="str">
        <f>IF(PositionA[[#This Row],[HP A]]="","",MAX(PositionA[[#This Row],[P1 A]:[P6 A]]))</f>
        <v/>
      </c>
      <c r="X145"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45" s="172" t="str">
        <f>IF(PositionA[[#This Row],[Spiele A]]="","",MAX(PositionA[[#This Row],[P1 % A]:[P6 % A]]))</f>
        <v/>
      </c>
    </row>
    <row r="146" spans="2:25" x14ac:dyDescent="0.3">
      <c r="B146" s="129" t="str">
        <f t="shared" si="2"/>
        <v>Philipp Paulmann</v>
      </c>
      <c r="C146" s="129">
        <f>VLOOKUP(PositionA[[#This Row],[Name A]],AuswertungA[],4,FALSE)</f>
        <v>5</v>
      </c>
      <c r="D146" s="129">
        <f>IF(PositionA[[#This Row],[Spiele A]]="","",COUNTIFS(Eingabe[Name],PositionA[[#This Row],[Name A]],Eingabe[Position],1,Eingabe[Wo],"A"))</f>
        <v>0</v>
      </c>
      <c r="E146" s="129">
        <f>IF(PositionA[[#This Row],[Spiele A]]="","",COUNTIFS(Eingabe[Name],PositionA[[#This Row],[Name A]],Eingabe[Position],2,Eingabe[Wo],"A"))</f>
        <v>0</v>
      </c>
      <c r="F146" s="129">
        <f>IF(PositionA[[#This Row],[Spiele A]]="","",COUNTIFS(Eingabe[Name],PositionA[[#This Row],[Name A]],Eingabe[Position],3,Eingabe[Wo],"A"))</f>
        <v>0</v>
      </c>
      <c r="G146" s="129">
        <f>IF(PositionA[[#This Row],[Spiele A]]="","",COUNTIFS(Eingabe[Name],PositionA[[#This Row],[Name A]],Eingabe[Position],4,Eingabe[Wo],"A"))</f>
        <v>0</v>
      </c>
      <c r="H146" s="129">
        <f>IF(PositionA[[#This Row],[Spiele A]]="","",COUNTIFS(Eingabe[Name],PositionA[[#This Row],[Name A]],Eingabe[Position],5,Eingabe[Wo],"A"))</f>
        <v>2</v>
      </c>
      <c r="I146" s="129">
        <f>IF(PositionA[[#This Row],[Spiele A]]="","",COUNTIFS(Eingabe[Name],PositionA[[#This Row],[Name A]],Eingabe[Position],6,Eingabe[Wo],"A"))</f>
        <v>3</v>
      </c>
      <c r="J146" s="129">
        <f>IF(PositionA[[#This Row],[P1 A]]="","",COUNTIFS(Eingabe[Position],1,Eingabe[MP],1,Eingabe[Name],PositionA[[#This Row],[Name A]],Eingabe[Wo],"A"))</f>
        <v>0</v>
      </c>
      <c r="K146" s="129">
        <f>IF(PositionA[[#This Row],[P2 A]]="","",COUNTIFS(Eingabe[Position],2,Eingabe[MP],1,Eingabe[Name],PositionA[[#This Row],[Name A]],Eingabe[Wo],"A"))</f>
        <v>0</v>
      </c>
      <c r="L146" s="129">
        <f>IF(PositionA[[#This Row],[P3 A]]="","",COUNTIFS(Eingabe[Position],3,Eingabe[MP],1,Eingabe[Name],PositionA[[#This Row],[Name A]],Eingabe[Wo],"A"))</f>
        <v>0</v>
      </c>
      <c r="M146" s="129">
        <f>IF(PositionA[[#This Row],[P4 A]]="","",COUNTIFS(Eingabe[Position],4,Eingabe[MP],1,Eingabe[Name],PositionA[[#This Row],[Name A]],Eingabe[Wo],"A"))</f>
        <v>0</v>
      </c>
      <c r="N146" s="129">
        <f>IF(PositionA[[#This Row],[P5 A]]="","",COUNTIFS(Eingabe[Position],5,Eingabe[MP],1,Eingabe[Name],PositionA[[#This Row],[Name A]],Eingabe[Wo],"A"))</f>
        <v>1</v>
      </c>
      <c r="O146" s="129">
        <f>IF(PositionA[[#This Row],[P6 A]]="","",COUNTIFS(Eingabe[Position],6,Eingabe[MP],1,Eingabe[Name],PositionA[[#This Row],[Name A]],Eingabe[Wo],"A"))</f>
        <v>1</v>
      </c>
      <c r="P146" s="172" t="str">
        <f>IF(PositionA[[#This Row],[P1 A]]=0,"",IF(PositionA[[#This Row],[P1 A]]="","",PositionA[[#This Row],[P1 S A]]/PositionA[[#This Row],[P1 A]]))</f>
        <v/>
      </c>
      <c r="Q146" s="172" t="str">
        <f>IF(PositionA[[#This Row],[P2 A]]=0,"",IF(PositionA[[#This Row],[P2 A]]="","",PositionA[[#This Row],[P2 S A]]/PositionA[[#This Row],[P2 A]]))</f>
        <v/>
      </c>
      <c r="R146" s="172" t="str">
        <f>IF(PositionA[[#This Row],[P3 A]]=0,"",IF(PositionA[[#This Row],[P3 A]]="","",PositionA[[#This Row],[P3 S A]]/PositionA[[#This Row],[P3 A]]))</f>
        <v/>
      </c>
      <c r="S146" s="172" t="str">
        <f>IF(PositionA[[#This Row],[P4 A]]=0,"",IF(PositionA[[#This Row],[P4 A]]="","",PositionA[[#This Row],[P4 S A]]/PositionA[[#This Row],[P4 A]]))</f>
        <v/>
      </c>
      <c r="T146" s="172">
        <f>IF(PositionA[[#This Row],[P5 A]]=0,"",IF(PositionA[[#This Row],[P5 A]]="","",PositionA[[#This Row],[P5 S A]]/PositionA[[#This Row],[P5 A]]))</f>
        <v>0.5</v>
      </c>
      <c r="U146" s="172">
        <f>IF(PositionA[[#This Row],[P6 A]]=0,"",IF(PositionA[[#This Row],[P6 A]]="","",PositionA[[#This Row],[P6 S A]]/PositionA[[#This Row],[P6 A]]))</f>
        <v>0.33333333333333331</v>
      </c>
      <c r="V146"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[6]</v>
      </c>
      <c r="W146" s="129">
        <f>IF(PositionA[[#This Row],[HP A]]="","",MAX(PositionA[[#This Row],[P1 A]:[P6 A]]))</f>
        <v>3</v>
      </c>
      <c r="X146"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[5]</v>
      </c>
      <c r="Y146" s="172">
        <f>IF(PositionA[[#This Row],[Spiele A]]="","",MAX(PositionA[[#This Row],[P1 % A]:[P6 % A]]))</f>
        <v>0.5</v>
      </c>
    </row>
    <row r="147" spans="2:25" x14ac:dyDescent="0.3">
      <c r="B147" s="129" t="str">
        <f t="shared" si="2"/>
        <v>Pia Wätzig</v>
      </c>
      <c r="C147" s="129">
        <f>VLOOKUP(PositionA[[#This Row],[Name A]],AuswertungA[],4,FALSE)</f>
        <v>2</v>
      </c>
      <c r="D147" s="129">
        <f>IF(PositionA[[#This Row],[Spiele A]]="","",COUNTIFS(Eingabe[Name],PositionA[[#This Row],[Name A]],Eingabe[Position],1,Eingabe[Wo],"A"))</f>
        <v>1</v>
      </c>
      <c r="E147" s="129">
        <f>IF(PositionA[[#This Row],[Spiele A]]="","",COUNTIFS(Eingabe[Name],PositionA[[#This Row],[Name A]],Eingabe[Position],2,Eingabe[Wo],"A"))</f>
        <v>0</v>
      </c>
      <c r="F147" s="129">
        <f>IF(PositionA[[#This Row],[Spiele A]]="","",COUNTIFS(Eingabe[Name],PositionA[[#This Row],[Name A]],Eingabe[Position],3,Eingabe[Wo],"A"))</f>
        <v>1</v>
      </c>
      <c r="G147" s="129">
        <f>IF(PositionA[[#This Row],[Spiele A]]="","",COUNTIFS(Eingabe[Name],PositionA[[#This Row],[Name A]],Eingabe[Position],4,Eingabe[Wo],"A"))</f>
        <v>0</v>
      </c>
      <c r="H147" s="129">
        <f>IF(PositionA[[#This Row],[Spiele A]]="","",COUNTIFS(Eingabe[Name],PositionA[[#This Row],[Name A]],Eingabe[Position],5,Eingabe[Wo],"A"))</f>
        <v>0</v>
      </c>
      <c r="I147" s="129">
        <f>IF(PositionA[[#This Row],[Spiele A]]="","",COUNTIFS(Eingabe[Name],PositionA[[#This Row],[Name A]],Eingabe[Position],6,Eingabe[Wo],"A"))</f>
        <v>0</v>
      </c>
      <c r="J147" s="129">
        <f>IF(PositionA[[#This Row],[P1 A]]="","",COUNTIFS(Eingabe[Position],1,Eingabe[MP],1,Eingabe[Name],PositionA[[#This Row],[Name A]],Eingabe[Wo],"A"))</f>
        <v>0</v>
      </c>
      <c r="K147" s="129">
        <f>IF(PositionA[[#This Row],[P2 A]]="","",COUNTIFS(Eingabe[Position],2,Eingabe[MP],1,Eingabe[Name],PositionA[[#This Row],[Name A]],Eingabe[Wo],"A"))</f>
        <v>0</v>
      </c>
      <c r="L147" s="129">
        <f>IF(PositionA[[#This Row],[P3 A]]="","",COUNTIFS(Eingabe[Position],3,Eingabe[MP],1,Eingabe[Name],PositionA[[#This Row],[Name A]],Eingabe[Wo],"A"))</f>
        <v>0</v>
      </c>
      <c r="M147" s="129">
        <f>IF(PositionA[[#This Row],[P4 A]]="","",COUNTIFS(Eingabe[Position],4,Eingabe[MP],1,Eingabe[Name],PositionA[[#This Row],[Name A]],Eingabe[Wo],"A"))</f>
        <v>0</v>
      </c>
      <c r="N147" s="129">
        <f>IF(PositionA[[#This Row],[P5 A]]="","",COUNTIFS(Eingabe[Position],5,Eingabe[MP],1,Eingabe[Name],PositionA[[#This Row],[Name A]],Eingabe[Wo],"A"))</f>
        <v>0</v>
      </c>
      <c r="O147" s="129">
        <f>IF(PositionA[[#This Row],[P6 A]]="","",COUNTIFS(Eingabe[Position],6,Eingabe[MP],1,Eingabe[Name],PositionA[[#This Row],[Name A]],Eingabe[Wo],"A"))</f>
        <v>0</v>
      </c>
      <c r="P147" s="172">
        <f>IF(PositionA[[#This Row],[P1 A]]=0,"",IF(PositionA[[#This Row],[P1 A]]="","",PositionA[[#This Row],[P1 S A]]/PositionA[[#This Row],[P1 A]]))</f>
        <v>0</v>
      </c>
      <c r="Q147" s="172" t="str">
        <f>IF(PositionA[[#This Row],[P2 A]]=0,"",IF(PositionA[[#This Row],[P2 A]]="","",PositionA[[#This Row],[P2 S A]]/PositionA[[#This Row],[P2 A]]))</f>
        <v/>
      </c>
      <c r="R147" s="172">
        <f>IF(PositionA[[#This Row],[P3 A]]=0,"",IF(PositionA[[#This Row],[P3 A]]="","",PositionA[[#This Row],[P3 S A]]/PositionA[[#This Row],[P3 A]]))</f>
        <v>0</v>
      </c>
      <c r="S147" s="172" t="str">
        <f>IF(PositionA[[#This Row],[P4 A]]=0,"",IF(PositionA[[#This Row],[P4 A]]="","",PositionA[[#This Row],[P4 S A]]/PositionA[[#This Row],[P4 A]]))</f>
        <v/>
      </c>
      <c r="T147" s="172" t="str">
        <f>IF(PositionA[[#This Row],[P5 A]]=0,"",IF(PositionA[[#This Row],[P5 A]]="","",PositionA[[#This Row],[P5 S A]]/PositionA[[#This Row],[P5 A]]))</f>
        <v/>
      </c>
      <c r="U147" s="172" t="str">
        <f>IF(PositionA[[#This Row],[P6 A]]=0,"",IF(PositionA[[#This Row],[P6 A]]="","",PositionA[[#This Row],[P6 S A]]/PositionA[[#This Row],[P6 A]]))</f>
        <v/>
      </c>
      <c r="V147"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[1][3]</v>
      </c>
      <c r="W147" s="129">
        <f>IF(PositionA[[#This Row],[HP A]]="","",MAX(PositionA[[#This Row],[P1 A]:[P6 A]]))</f>
        <v>1</v>
      </c>
      <c r="X147"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[1][3]</v>
      </c>
      <c r="Y147" s="172">
        <f>IF(PositionA[[#This Row],[Spiele A]]="","",MAX(PositionA[[#This Row],[P1 % A]:[P6 % A]]))</f>
        <v>0</v>
      </c>
    </row>
    <row r="148" spans="2:25" x14ac:dyDescent="0.3">
      <c r="B148" s="129" t="str">
        <f t="shared" si="2"/>
        <v>Sophia Stirl</v>
      </c>
      <c r="C148" s="129" t="str">
        <f>VLOOKUP(PositionA[[#This Row],[Name A]],AuswertungA[],4,FALSE)</f>
        <v/>
      </c>
      <c r="D148" s="129" t="str">
        <f>IF(PositionA[[#This Row],[Spiele A]]="","",COUNTIFS(Eingabe[Name],PositionA[[#This Row],[Name A]],Eingabe[Position],1,Eingabe[Wo],"A"))</f>
        <v/>
      </c>
      <c r="E148" s="129" t="str">
        <f>IF(PositionA[[#This Row],[Spiele A]]="","",COUNTIFS(Eingabe[Name],PositionA[[#This Row],[Name A]],Eingabe[Position],2,Eingabe[Wo],"A"))</f>
        <v/>
      </c>
      <c r="F148" s="129" t="str">
        <f>IF(PositionA[[#This Row],[Spiele A]]="","",COUNTIFS(Eingabe[Name],PositionA[[#This Row],[Name A]],Eingabe[Position],3,Eingabe[Wo],"A"))</f>
        <v/>
      </c>
      <c r="G148" s="129" t="str">
        <f>IF(PositionA[[#This Row],[Spiele A]]="","",COUNTIFS(Eingabe[Name],PositionA[[#This Row],[Name A]],Eingabe[Position],4,Eingabe[Wo],"A"))</f>
        <v/>
      </c>
      <c r="H148" s="129" t="str">
        <f>IF(PositionA[[#This Row],[Spiele A]]="","",COUNTIFS(Eingabe[Name],PositionA[[#This Row],[Name A]],Eingabe[Position],5,Eingabe[Wo],"A"))</f>
        <v/>
      </c>
      <c r="I148" s="129" t="str">
        <f>IF(PositionA[[#This Row],[Spiele A]]="","",COUNTIFS(Eingabe[Name],PositionA[[#This Row],[Name A]],Eingabe[Position],6,Eingabe[Wo],"A"))</f>
        <v/>
      </c>
      <c r="J148" s="129" t="str">
        <f>IF(PositionA[[#This Row],[P1 A]]="","",COUNTIFS(Eingabe[Position],1,Eingabe[MP],1,Eingabe[Name],PositionA[[#This Row],[Name A]],Eingabe[Wo],"A"))</f>
        <v/>
      </c>
      <c r="K148" s="129" t="str">
        <f>IF(PositionA[[#This Row],[P2 A]]="","",COUNTIFS(Eingabe[Position],2,Eingabe[MP],1,Eingabe[Name],PositionA[[#This Row],[Name A]],Eingabe[Wo],"A"))</f>
        <v/>
      </c>
      <c r="L148" s="129" t="str">
        <f>IF(PositionA[[#This Row],[P3 A]]="","",COUNTIFS(Eingabe[Position],3,Eingabe[MP],1,Eingabe[Name],PositionA[[#This Row],[Name A]],Eingabe[Wo],"A"))</f>
        <v/>
      </c>
      <c r="M148" s="129" t="str">
        <f>IF(PositionA[[#This Row],[P4 A]]="","",COUNTIFS(Eingabe[Position],4,Eingabe[MP],1,Eingabe[Name],PositionA[[#This Row],[Name A]],Eingabe[Wo],"A"))</f>
        <v/>
      </c>
      <c r="N148" s="129" t="str">
        <f>IF(PositionA[[#This Row],[P5 A]]="","",COUNTIFS(Eingabe[Position],5,Eingabe[MP],1,Eingabe[Name],PositionA[[#This Row],[Name A]],Eingabe[Wo],"A"))</f>
        <v/>
      </c>
      <c r="O148" s="129" t="str">
        <f>IF(PositionA[[#This Row],[P6 A]]="","",COUNTIFS(Eingabe[Position],6,Eingabe[MP],1,Eingabe[Name],PositionA[[#This Row],[Name A]],Eingabe[Wo],"A"))</f>
        <v/>
      </c>
      <c r="P148" s="172" t="str">
        <f>IF(PositionA[[#This Row],[P1 A]]=0,"",IF(PositionA[[#This Row],[P1 A]]="","",PositionA[[#This Row],[P1 S A]]/PositionA[[#This Row],[P1 A]]))</f>
        <v/>
      </c>
      <c r="Q148" s="172" t="str">
        <f>IF(PositionA[[#This Row],[P2 A]]=0,"",IF(PositionA[[#This Row],[P2 A]]="","",PositionA[[#This Row],[P2 S A]]/PositionA[[#This Row],[P2 A]]))</f>
        <v/>
      </c>
      <c r="R148" s="172" t="str">
        <f>IF(PositionA[[#This Row],[P3 A]]=0,"",IF(PositionA[[#This Row],[P3 A]]="","",PositionA[[#This Row],[P3 S A]]/PositionA[[#This Row],[P3 A]]))</f>
        <v/>
      </c>
      <c r="S148" s="172" t="str">
        <f>IF(PositionA[[#This Row],[P4 A]]=0,"",IF(PositionA[[#This Row],[P4 A]]="","",PositionA[[#This Row],[P4 S A]]/PositionA[[#This Row],[P4 A]]))</f>
        <v/>
      </c>
      <c r="T148" s="172" t="str">
        <f>IF(PositionA[[#This Row],[P5 A]]=0,"",IF(PositionA[[#This Row],[P5 A]]="","",PositionA[[#This Row],[P5 S A]]/PositionA[[#This Row],[P5 A]]))</f>
        <v/>
      </c>
      <c r="U148" s="172" t="str">
        <f>IF(PositionA[[#This Row],[P6 A]]=0,"",IF(PositionA[[#This Row],[P6 A]]="","",PositionA[[#This Row],[P6 S A]]/PositionA[[#This Row],[P6 A]]))</f>
        <v/>
      </c>
      <c r="V148"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48" s="129" t="str">
        <f>IF(PositionA[[#This Row],[HP A]]="","",MAX(PositionA[[#This Row],[P1 A]:[P6 A]]))</f>
        <v/>
      </c>
      <c r="X148"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48" s="172" t="str">
        <f>IF(PositionA[[#This Row],[Spiele A]]="","",MAX(PositionA[[#This Row],[P1 % A]:[P6 % A]]))</f>
        <v/>
      </c>
    </row>
    <row r="149" spans="2:25" x14ac:dyDescent="0.3">
      <c r="B149" s="129" t="str">
        <f t="shared" si="2"/>
        <v>Stefan Teuber</v>
      </c>
      <c r="C149" s="129">
        <f>VLOOKUP(PositionA[[#This Row],[Name A]],AuswertungA[],4,FALSE)</f>
        <v>5</v>
      </c>
      <c r="D149" s="129">
        <f>IF(PositionA[[#This Row],[Spiele A]]="","",COUNTIFS(Eingabe[Name],PositionA[[#This Row],[Name A]],Eingabe[Position],1,Eingabe[Wo],"A"))</f>
        <v>1</v>
      </c>
      <c r="E149" s="129">
        <f>IF(PositionA[[#This Row],[Spiele A]]="","",COUNTIFS(Eingabe[Name],PositionA[[#This Row],[Name A]],Eingabe[Position],2,Eingabe[Wo],"A"))</f>
        <v>2</v>
      </c>
      <c r="F149" s="129">
        <f>IF(PositionA[[#This Row],[Spiele A]]="","",COUNTIFS(Eingabe[Name],PositionA[[#This Row],[Name A]],Eingabe[Position],3,Eingabe[Wo],"A"))</f>
        <v>0</v>
      </c>
      <c r="G149" s="129">
        <f>IF(PositionA[[#This Row],[Spiele A]]="","",COUNTIFS(Eingabe[Name],PositionA[[#This Row],[Name A]],Eingabe[Position],4,Eingabe[Wo],"A"))</f>
        <v>2</v>
      </c>
      <c r="H149" s="129">
        <f>IF(PositionA[[#This Row],[Spiele A]]="","",COUNTIFS(Eingabe[Name],PositionA[[#This Row],[Name A]],Eingabe[Position],5,Eingabe[Wo],"A"))</f>
        <v>0</v>
      </c>
      <c r="I149" s="129">
        <f>IF(PositionA[[#This Row],[Spiele A]]="","",COUNTIFS(Eingabe[Name],PositionA[[#This Row],[Name A]],Eingabe[Position],6,Eingabe[Wo],"A"))</f>
        <v>0</v>
      </c>
      <c r="J149" s="129">
        <f>IF(PositionA[[#This Row],[P1 A]]="","",COUNTIFS(Eingabe[Position],1,Eingabe[MP],1,Eingabe[Name],PositionA[[#This Row],[Name A]],Eingabe[Wo],"A"))</f>
        <v>1</v>
      </c>
      <c r="K149" s="129">
        <f>IF(PositionA[[#This Row],[P2 A]]="","",COUNTIFS(Eingabe[Position],2,Eingabe[MP],1,Eingabe[Name],PositionA[[#This Row],[Name A]],Eingabe[Wo],"A"))</f>
        <v>0</v>
      </c>
      <c r="L149" s="129">
        <f>IF(PositionA[[#This Row],[P3 A]]="","",COUNTIFS(Eingabe[Position],3,Eingabe[MP],1,Eingabe[Name],PositionA[[#This Row],[Name A]],Eingabe[Wo],"A"))</f>
        <v>0</v>
      </c>
      <c r="M149" s="129">
        <f>IF(PositionA[[#This Row],[P4 A]]="","",COUNTIFS(Eingabe[Position],4,Eingabe[MP],1,Eingabe[Name],PositionA[[#This Row],[Name A]],Eingabe[Wo],"A"))</f>
        <v>1</v>
      </c>
      <c r="N149" s="129">
        <f>IF(PositionA[[#This Row],[P5 A]]="","",COUNTIFS(Eingabe[Position],5,Eingabe[MP],1,Eingabe[Name],PositionA[[#This Row],[Name A]],Eingabe[Wo],"A"))</f>
        <v>0</v>
      </c>
      <c r="O149" s="129">
        <f>IF(PositionA[[#This Row],[P6 A]]="","",COUNTIFS(Eingabe[Position],6,Eingabe[MP],1,Eingabe[Name],PositionA[[#This Row],[Name A]],Eingabe[Wo],"A"))</f>
        <v>0</v>
      </c>
      <c r="P149" s="172">
        <f>IF(PositionA[[#This Row],[P1 A]]=0,"",IF(PositionA[[#This Row],[P1 A]]="","",PositionA[[#This Row],[P1 S A]]/PositionA[[#This Row],[P1 A]]))</f>
        <v>1</v>
      </c>
      <c r="Q149" s="172">
        <f>IF(PositionA[[#This Row],[P2 A]]=0,"",IF(PositionA[[#This Row],[P2 A]]="","",PositionA[[#This Row],[P2 S A]]/PositionA[[#This Row],[P2 A]]))</f>
        <v>0</v>
      </c>
      <c r="R149" s="172" t="str">
        <f>IF(PositionA[[#This Row],[P3 A]]=0,"",IF(PositionA[[#This Row],[P3 A]]="","",PositionA[[#This Row],[P3 S A]]/PositionA[[#This Row],[P3 A]]))</f>
        <v/>
      </c>
      <c r="S149" s="172">
        <f>IF(PositionA[[#This Row],[P4 A]]=0,"",IF(PositionA[[#This Row],[P4 A]]="","",PositionA[[#This Row],[P4 S A]]/PositionA[[#This Row],[P4 A]]))</f>
        <v>0.5</v>
      </c>
      <c r="T149" s="172" t="str">
        <f>IF(PositionA[[#This Row],[P5 A]]=0,"",IF(PositionA[[#This Row],[P5 A]]="","",PositionA[[#This Row],[P5 S A]]/PositionA[[#This Row],[P5 A]]))</f>
        <v/>
      </c>
      <c r="U149" s="172" t="str">
        <f>IF(PositionA[[#This Row],[P6 A]]=0,"",IF(PositionA[[#This Row],[P6 A]]="","",PositionA[[#This Row],[P6 S A]]/PositionA[[#This Row],[P6 A]]))</f>
        <v/>
      </c>
      <c r="V149"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[2][4]</v>
      </c>
      <c r="W149" s="129">
        <f>IF(PositionA[[#This Row],[HP A]]="","",MAX(PositionA[[#This Row],[P1 A]:[P6 A]]))</f>
        <v>2</v>
      </c>
      <c r="X149"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[1]</v>
      </c>
      <c r="Y149" s="172">
        <f>IF(PositionA[[#This Row],[Spiele A]]="","",MAX(PositionA[[#This Row],[P1 % A]:[P6 % A]]))</f>
        <v>1</v>
      </c>
    </row>
    <row r="150" spans="2:25" x14ac:dyDescent="0.3">
      <c r="B150" s="129" t="str">
        <f t="shared" si="2"/>
        <v>Stefan Ulbricht</v>
      </c>
      <c r="C150" s="129">
        <f>VLOOKUP(PositionA[[#This Row],[Name A]],AuswertungA[],4,FALSE)</f>
        <v>4</v>
      </c>
      <c r="D150" s="129">
        <f>IF(PositionA[[#This Row],[Spiele A]]="","",COUNTIFS(Eingabe[Name],PositionA[[#This Row],[Name A]],Eingabe[Position],1,Eingabe[Wo],"A"))</f>
        <v>0</v>
      </c>
      <c r="E150" s="129">
        <f>IF(PositionA[[#This Row],[Spiele A]]="","",COUNTIFS(Eingabe[Name],PositionA[[#This Row],[Name A]],Eingabe[Position],2,Eingabe[Wo],"A"))</f>
        <v>0</v>
      </c>
      <c r="F150" s="129">
        <f>IF(PositionA[[#This Row],[Spiele A]]="","",COUNTIFS(Eingabe[Name],PositionA[[#This Row],[Name A]],Eingabe[Position],3,Eingabe[Wo],"A"))</f>
        <v>1</v>
      </c>
      <c r="G150" s="129">
        <f>IF(PositionA[[#This Row],[Spiele A]]="","",COUNTIFS(Eingabe[Name],PositionA[[#This Row],[Name A]],Eingabe[Position],4,Eingabe[Wo],"A"))</f>
        <v>3</v>
      </c>
      <c r="H150" s="129">
        <f>IF(PositionA[[#This Row],[Spiele A]]="","",COUNTIFS(Eingabe[Name],PositionA[[#This Row],[Name A]],Eingabe[Position],5,Eingabe[Wo],"A"))</f>
        <v>0</v>
      </c>
      <c r="I150" s="129">
        <f>IF(PositionA[[#This Row],[Spiele A]]="","",COUNTIFS(Eingabe[Name],PositionA[[#This Row],[Name A]],Eingabe[Position],6,Eingabe[Wo],"A"))</f>
        <v>0</v>
      </c>
      <c r="J150" s="129">
        <f>IF(PositionA[[#This Row],[P1 A]]="","",COUNTIFS(Eingabe[Position],1,Eingabe[MP],1,Eingabe[Name],PositionA[[#This Row],[Name A]],Eingabe[Wo],"A"))</f>
        <v>0</v>
      </c>
      <c r="K150" s="129">
        <f>IF(PositionA[[#This Row],[P2 A]]="","",COUNTIFS(Eingabe[Position],2,Eingabe[MP],1,Eingabe[Name],PositionA[[#This Row],[Name A]],Eingabe[Wo],"A"))</f>
        <v>0</v>
      </c>
      <c r="L150" s="129">
        <f>IF(PositionA[[#This Row],[P3 A]]="","",COUNTIFS(Eingabe[Position],3,Eingabe[MP],1,Eingabe[Name],PositionA[[#This Row],[Name A]],Eingabe[Wo],"A"))</f>
        <v>0</v>
      </c>
      <c r="M150" s="129">
        <f>IF(PositionA[[#This Row],[P4 A]]="","",COUNTIFS(Eingabe[Position],4,Eingabe[MP],1,Eingabe[Name],PositionA[[#This Row],[Name A]],Eingabe[Wo],"A"))</f>
        <v>3</v>
      </c>
      <c r="N150" s="129">
        <f>IF(PositionA[[#This Row],[P5 A]]="","",COUNTIFS(Eingabe[Position],5,Eingabe[MP],1,Eingabe[Name],PositionA[[#This Row],[Name A]],Eingabe[Wo],"A"))</f>
        <v>0</v>
      </c>
      <c r="O150" s="129">
        <f>IF(PositionA[[#This Row],[P6 A]]="","",COUNTIFS(Eingabe[Position],6,Eingabe[MP],1,Eingabe[Name],PositionA[[#This Row],[Name A]],Eingabe[Wo],"A"))</f>
        <v>0</v>
      </c>
      <c r="P150" s="172" t="str">
        <f>IF(PositionA[[#This Row],[P1 A]]=0,"",IF(PositionA[[#This Row],[P1 A]]="","",PositionA[[#This Row],[P1 S A]]/PositionA[[#This Row],[P1 A]]))</f>
        <v/>
      </c>
      <c r="Q150" s="172" t="str">
        <f>IF(PositionA[[#This Row],[P2 A]]=0,"",IF(PositionA[[#This Row],[P2 A]]="","",PositionA[[#This Row],[P2 S A]]/PositionA[[#This Row],[P2 A]]))</f>
        <v/>
      </c>
      <c r="R150" s="172">
        <f>IF(PositionA[[#This Row],[P3 A]]=0,"",IF(PositionA[[#This Row],[P3 A]]="","",PositionA[[#This Row],[P3 S A]]/PositionA[[#This Row],[P3 A]]))</f>
        <v>0</v>
      </c>
      <c r="S150" s="172">
        <f>IF(PositionA[[#This Row],[P4 A]]=0,"",IF(PositionA[[#This Row],[P4 A]]="","",PositionA[[#This Row],[P4 S A]]/PositionA[[#This Row],[P4 A]]))</f>
        <v>1</v>
      </c>
      <c r="T150" s="172" t="str">
        <f>IF(PositionA[[#This Row],[P5 A]]=0,"",IF(PositionA[[#This Row],[P5 A]]="","",PositionA[[#This Row],[P5 S A]]/PositionA[[#This Row],[P5 A]]))</f>
        <v/>
      </c>
      <c r="U150" s="172" t="str">
        <f>IF(PositionA[[#This Row],[P6 A]]=0,"",IF(PositionA[[#This Row],[P6 A]]="","",PositionA[[#This Row],[P6 S A]]/PositionA[[#This Row],[P6 A]]))</f>
        <v/>
      </c>
      <c r="V150"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[4]</v>
      </c>
      <c r="W150" s="129">
        <f>IF(PositionA[[#This Row],[HP A]]="","",MAX(PositionA[[#This Row],[P1 A]:[P6 A]]))</f>
        <v>3</v>
      </c>
      <c r="X150"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[4]</v>
      </c>
      <c r="Y150" s="172">
        <f>IF(PositionA[[#This Row],[Spiele A]]="","",MAX(PositionA[[#This Row],[P1 % A]:[P6 % A]]))</f>
        <v>1</v>
      </c>
    </row>
    <row r="151" spans="2:25" x14ac:dyDescent="0.3">
      <c r="B151" s="129" t="str">
        <f t="shared" si="2"/>
        <v>Sylke Schmidt</v>
      </c>
      <c r="C151" s="129">
        <f>VLOOKUP(PositionA[[#This Row],[Name A]],AuswertungA[],4,FALSE)</f>
        <v>4</v>
      </c>
      <c r="D151" s="129">
        <f>IF(PositionA[[#This Row],[Spiele A]]="","",COUNTIFS(Eingabe[Name],PositionA[[#This Row],[Name A]],Eingabe[Position],1,Eingabe[Wo],"A"))</f>
        <v>0</v>
      </c>
      <c r="E151" s="129">
        <f>IF(PositionA[[#This Row],[Spiele A]]="","",COUNTIFS(Eingabe[Name],PositionA[[#This Row],[Name A]],Eingabe[Position],2,Eingabe[Wo],"A"))</f>
        <v>0</v>
      </c>
      <c r="F151" s="129">
        <f>IF(PositionA[[#This Row],[Spiele A]]="","",COUNTIFS(Eingabe[Name],PositionA[[#This Row],[Name A]],Eingabe[Position],3,Eingabe[Wo],"A"))</f>
        <v>0</v>
      </c>
      <c r="G151" s="129">
        <f>IF(PositionA[[#This Row],[Spiele A]]="","",COUNTIFS(Eingabe[Name],PositionA[[#This Row],[Name A]],Eingabe[Position],4,Eingabe[Wo],"A"))</f>
        <v>0</v>
      </c>
      <c r="H151" s="129">
        <f>IF(PositionA[[#This Row],[Spiele A]]="","",COUNTIFS(Eingabe[Name],PositionA[[#This Row],[Name A]],Eingabe[Position],5,Eingabe[Wo],"A"))</f>
        <v>2</v>
      </c>
      <c r="I151" s="129">
        <f>IF(PositionA[[#This Row],[Spiele A]]="","",COUNTIFS(Eingabe[Name],PositionA[[#This Row],[Name A]],Eingabe[Position],6,Eingabe[Wo],"A"))</f>
        <v>2</v>
      </c>
      <c r="J151" s="129">
        <f>IF(PositionA[[#This Row],[P1 A]]="","",COUNTIFS(Eingabe[Position],1,Eingabe[MP],1,Eingabe[Name],PositionA[[#This Row],[Name A]],Eingabe[Wo],"A"))</f>
        <v>0</v>
      </c>
      <c r="K151" s="129">
        <f>IF(PositionA[[#This Row],[P2 A]]="","",COUNTIFS(Eingabe[Position],2,Eingabe[MP],1,Eingabe[Name],PositionA[[#This Row],[Name A]],Eingabe[Wo],"A"))</f>
        <v>0</v>
      </c>
      <c r="L151" s="129">
        <f>IF(PositionA[[#This Row],[P3 A]]="","",COUNTIFS(Eingabe[Position],3,Eingabe[MP],1,Eingabe[Name],PositionA[[#This Row],[Name A]],Eingabe[Wo],"A"))</f>
        <v>0</v>
      </c>
      <c r="M151" s="129">
        <f>IF(PositionA[[#This Row],[P4 A]]="","",COUNTIFS(Eingabe[Position],4,Eingabe[MP],1,Eingabe[Name],PositionA[[#This Row],[Name A]],Eingabe[Wo],"A"))</f>
        <v>0</v>
      </c>
      <c r="N151" s="129">
        <f>IF(PositionA[[#This Row],[P5 A]]="","",COUNTIFS(Eingabe[Position],5,Eingabe[MP],1,Eingabe[Name],PositionA[[#This Row],[Name A]],Eingabe[Wo],"A"))</f>
        <v>1</v>
      </c>
      <c r="O151" s="129">
        <f>IF(PositionA[[#This Row],[P6 A]]="","",COUNTIFS(Eingabe[Position],6,Eingabe[MP],1,Eingabe[Name],PositionA[[#This Row],[Name A]],Eingabe[Wo],"A"))</f>
        <v>2</v>
      </c>
      <c r="P151" s="172" t="str">
        <f>IF(PositionA[[#This Row],[P1 A]]=0,"",IF(PositionA[[#This Row],[P1 A]]="","",PositionA[[#This Row],[P1 S A]]/PositionA[[#This Row],[P1 A]]))</f>
        <v/>
      </c>
      <c r="Q151" s="172" t="str">
        <f>IF(PositionA[[#This Row],[P2 A]]=0,"",IF(PositionA[[#This Row],[P2 A]]="","",PositionA[[#This Row],[P2 S A]]/PositionA[[#This Row],[P2 A]]))</f>
        <v/>
      </c>
      <c r="R151" s="172" t="str">
        <f>IF(PositionA[[#This Row],[P3 A]]=0,"",IF(PositionA[[#This Row],[P3 A]]="","",PositionA[[#This Row],[P3 S A]]/PositionA[[#This Row],[P3 A]]))</f>
        <v/>
      </c>
      <c r="S151" s="172" t="str">
        <f>IF(PositionA[[#This Row],[P4 A]]=0,"",IF(PositionA[[#This Row],[P4 A]]="","",PositionA[[#This Row],[P4 S A]]/PositionA[[#This Row],[P4 A]]))</f>
        <v/>
      </c>
      <c r="T151" s="172">
        <f>IF(PositionA[[#This Row],[P5 A]]=0,"",IF(PositionA[[#This Row],[P5 A]]="","",PositionA[[#This Row],[P5 S A]]/PositionA[[#This Row],[P5 A]]))</f>
        <v>0.5</v>
      </c>
      <c r="U151" s="172">
        <f>IF(PositionA[[#This Row],[P6 A]]=0,"",IF(PositionA[[#This Row],[P6 A]]="","",PositionA[[#This Row],[P6 S A]]/PositionA[[#This Row],[P6 A]]))</f>
        <v>1</v>
      </c>
      <c r="V151"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[5][6]</v>
      </c>
      <c r="W151" s="129">
        <f>IF(PositionA[[#This Row],[HP A]]="","",MAX(PositionA[[#This Row],[P1 A]:[P6 A]]))</f>
        <v>2</v>
      </c>
      <c r="X151"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[6]</v>
      </c>
      <c r="Y151" s="172">
        <f>IF(PositionA[[#This Row],[Spiele A]]="","",MAX(PositionA[[#This Row],[P1 % A]:[P6 % A]]))</f>
        <v>1</v>
      </c>
    </row>
    <row r="152" spans="2:25" x14ac:dyDescent="0.3">
      <c r="B152" s="129" t="str">
        <f t="shared" si="2"/>
        <v>Tim Becker</v>
      </c>
      <c r="C152" s="129">
        <f>VLOOKUP(PositionA[[#This Row],[Name A]],AuswertungA[],4,FALSE)</f>
        <v>3</v>
      </c>
      <c r="D152" s="129">
        <f>IF(PositionA[[#This Row],[Spiele A]]="","",COUNTIFS(Eingabe[Name],PositionA[[#This Row],[Name A]],Eingabe[Position],1,Eingabe[Wo],"A"))</f>
        <v>0</v>
      </c>
      <c r="E152" s="129">
        <f>IF(PositionA[[#This Row],[Spiele A]]="","",COUNTIFS(Eingabe[Name],PositionA[[#This Row],[Name A]],Eingabe[Position],2,Eingabe[Wo],"A"))</f>
        <v>0</v>
      </c>
      <c r="F152" s="129">
        <f>IF(PositionA[[#This Row],[Spiele A]]="","",COUNTIFS(Eingabe[Name],PositionA[[#This Row],[Name A]],Eingabe[Position],3,Eingabe[Wo],"A"))</f>
        <v>3</v>
      </c>
      <c r="G152" s="129">
        <f>IF(PositionA[[#This Row],[Spiele A]]="","",COUNTIFS(Eingabe[Name],PositionA[[#This Row],[Name A]],Eingabe[Position],4,Eingabe[Wo],"A"))</f>
        <v>0</v>
      </c>
      <c r="H152" s="129">
        <f>IF(PositionA[[#This Row],[Spiele A]]="","",COUNTIFS(Eingabe[Name],PositionA[[#This Row],[Name A]],Eingabe[Position],5,Eingabe[Wo],"A"))</f>
        <v>0</v>
      </c>
      <c r="I152" s="129">
        <f>IF(PositionA[[#This Row],[Spiele A]]="","",COUNTIFS(Eingabe[Name],PositionA[[#This Row],[Name A]],Eingabe[Position],6,Eingabe[Wo],"A"))</f>
        <v>0</v>
      </c>
      <c r="J152" s="129">
        <f>IF(PositionA[[#This Row],[P1 A]]="","",COUNTIFS(Eingabe[Position],1,Eingabe[MP],1,Eingabe[Name],PositionA[[#This Row],[Name A]],Eingabe[Wo],"A"))</f>
        <v>0</v>
      </c>
      <c r="K152" s="129">
        <f>IF(PositionA[[#This Row],[P2 A]]="","",COUNTIFS(Eingabe[Position],2,Eingabe[MP],1,Eingabe[Name],PositionA[[#This Row],[Name A]],Eingabe[Wo],"A"))</f>
        <v>0</v>
      </c>
      <c r="L152" s="129">
        <f>IF(PositionA[[#This Row],[P3 A]]="","",COUNTIFS(Eingabe[Position],3,Eingabe[MP],1,Eingabe[Name],PositionA[[#This Row],[Name A]],Eingabe[Wo],"A"))</f>
        <v>1</v>
      </c>
      <c r="M152" s="129">
        <f>IF(PositionA[[#This Row],[P4 A]]="","",COUNTIFS(Eingabe[Position],4,Eingabe[MP],1,Eingabe[Name],PositionA[[#This Row],[Name A]],Eingabe[Wo],"A"))</f>
        <v>0</v>
      </c>
      <c r="N152" s="129">
        <f>IF(PositionA[[#This Row],[P5 A]]="","",COUNTIFS(Eingabe[Position],5,Eingabe[MP],1,Eingabe[Name],PositionA[[#This Row],[Name A]],Eingabe[Wo],"A"))</f>
        <v>0</v>
      </c>
      <c r="O152" s="129">
        <f>IF(PositionA[[#This Row],[P6 A]]="","",COUNTIFS(Eingabe[Position],6,Eingabe[MP],1,Eingabe[Name],PositionA[[#This Row],[Name A]],Eingabe[Wo],"A"))</f>
        <v>0</v>
      </c>
      <c r="P152" s="172" t="str">
        <f>IF(PositionA[[#This Row],[P1 A]]=0,"",IF(PositionA[[#This Row],[P1 A]]="","",PositionA[[#This Row],[P1 S A]]/PositionA[[#This Row],[P1 A]]))</f>
        <v/>
      </c>
      <c r="Q152" s="172" t="str">
        <f>IF(PositionA[[#This Row],[P2 A]]=0,"",IF(PositionA[[#This Row],[P2 A]]="","",PositionA[[#This Row],[P2 S A]]/PositionA[[#This Row],[P2 A]]))</f>
        <v/>
      </c>
      <c r="R152" s="172">
        <f>IF(PositionA[[#This Row],[P3 A]]=0,"",IF(PositionA[[#This Row],[P3 A]]="","",PositionA[[#This Row],[P3 S A]]/PositionA[[#This Row],[P3 A]]))</f>
        <v>0.33333333333333331</v>
      </c>
      <c r="S152" s="172" t="str">
        <f>IF(PositionA[[#This Row],[P4 A]]=0,"",IF(PositionA[[#This Row],[P4 A]]="","",PositionA[[#This Row],[P4 S A]]/PositionA[[#This Row],[P4 A]]))</f>
        <v/>
      </c>
      <c r="T152" s="172" t="str">
        <f>IF(PositionA[[#This Row],[P5 A]]=0,"",IF(PositionA[[#This Row],[P5 A]]="","",PositionA[[#This Row],[P5 S A]]/PositionA[[#This Row],[P5 A]]))</f>
        <v/>
      </c>
      <c r="U152" s="172" t="str">
        <f>IF(PositionA[[#This Row],[P6 A]]=0,"",IF(PositionA[[#This Row],[P6 A]]="","",PositionA[[#This Row],[P6 S A]]/PositionA[[#This Row],[P6 A]]))</f>
        <v/>
      </c>
      <c r="V152"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[3]</v>
      </c>
      <c r="W152" s="129">
        <f>IF(PositionA[[#This Row],[HP A]]="","",MAX(PositionA[[#This Row],[P1 A]:[P6 A]]))</f>
        <v>3</v>
      </c>
      <c r="X152"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[3]</v>
      </c>
      <c r="Y152" s="172">
        <f>IF(PositionA[[#This Row],[Spiele A]]="","",MAX(PositionA[[#This Row],[P1 % A]:[P6 % A]]))</f>
        <v>0.33333333333333331</v>
      </c>
    </row>
    <row r="153" spans="2:25" x14ac:dyDescent="0.3">
      <c r="B153" s="129" t="str">
        <f t="shared" si="2"/>
        <v>Tim Beger</v>
      </c>
      <c r="C153" s="129">
        <f>VLOOKUP(PositionA[[#This Row],[Name A]],AuswertungA[],4,FALSE)</f>
        <v>5</v>
      </c>
      <c r="D153" s="129">
        <f>IF(PositionA[[#This Row],[Spiele A]]="","",COUNTIFS(Eingabe[Name],PositionA[[#This Row],[Name A]],Eingabe[Position],1,Eingabe[Wo],"A"))</f>
        <v>0</v>
      </c>
      <c r="E153" s="129">
        <f>IF(PositionA[[#This Row],[Spiele A]]="","",COUNTIFS(Eingabe[Name],PositionA[[#This Row],[Name A]],Eingabe[Position],2,Eingabe[Wo],"A"))</f>
        <v>1</v>
      </c>
      <c r="F153" s="129">
        <f>IF(PositionA[[#This Row],[Spiele A]]="","",COUNTIFS(Eingabe[Name],PositionA[[#This Row],[Name A]],Eingabe[Position],3,Eingabe[Wo],"A"))</f>
        <v>1</v>
      </c>
      <c r="G153" s="129">
        <f>IF(PositionA[[#This Row],[Spiele A]]="","",COUNTIFS(Eingabe[Name],PositionA[[#This Row],[Name A]],Eingabe[Position],4,Eingabe[Wo],"A"))</f>
        <v>0</v>
      </c>
      <c r="H153" s="129">
        <f>IF(PositionA[[#This Row],[Spiele A]]="","",COUNTIFS(Eingabe[Name],PositionA[[#This Row],[Name A]],Eingabe[Position],5,Eingabe[Wo],"A"))</f>
        <v>1</v>
      </c>
      <c r="I153" s="129">
        <f>IF(PositionA[[#This Row],[Spiele A]]="","",COUNTIFS(Eingabe[Name],PositionA[[#This Row],[Name A]],Eingabe[Position],6,Eingabe[Wo],"A"))</f>
        <v>2</v>
      </c>
      <c r="J153" s="129">
        <f>IF(PositionA[[#This Row],[P1 A]]="","",COUNTIFS(Eingabe[Position],1,Eingabe[MP],1,Eingabe[Name],PositionA[[#This Row],[Name A]],Eingabe[Wo],"A"))</f>
        <v>0</v>
      </c>
      <c r="K153" s="129">
        <f>IF(PositionA[[#This Row],[P2 A]]="","",COUNTIFS(Eingabe[Position],2,Eingabe[MP],1,Eingabe[Name],PositionA[[#This Row],[Name A]],Eingabe[Wo],"A"))</f>
        <v>1</v>
      </c>
      <c r="L153" s="129">
        <f>IF(PositionA[[#This Row],[P3 A]]="","",COUNTIFS(Eingabe[Position],3,Eingabe[MP],1,Eingabe[Name],PositionA[[#This Row],[Name A]],Eingabe[Wo],"A"))</f>
        <v>1</v>
      </c>
      <c r="M153" s="129">
        <f>IF(PositionA[[#This Row],[P4 A]]="","",COUNTIFS(Eingabe[Position],4,Eingabe[MP],1,Eingabe[Name],PositionA[[#This Row],[Name A]],Eingabe[Wo],"A"))</f>
        <v>0</v>
      </c>
      <c r="N153" s="129">
        <f>IF(PositionA[[#This Row],[P5 A]]="","",COUNTIFS(Eingabe[Position],5,Eingabe[MP],1,Eingabe[Name],PositionA[[#This Row],[Name A]],Eingabe[Wo],"A"))</f>
        <v>1</v>
      </c>
      <c r="O153" s="129">
        <f>IF(PositionA[[#This Row],[P6 A]]="","",COUNTIFS(Eingabe[Position],6,Eingabe[MP],1,Eingabe[Name],PositionA[[#This Row],[Name A]],Eingabe[Wo],"A"))</f>
        <v>0</v>
      </c>
      <c r="P153" s="172" t="str">
        <f>IF(PositionA[[#This Row],[P1 A]]=0,"",IF(PositionA[[#This Row],[P1 A]]="","",PositionA[[#This Row],[P1 S A]]/PositionA[[#This Row],[P1 A]]))</f>
        <v/>
      </c>
      <c r="Q153" s="172">
        <f>IF(PositionA[[#This Row],[P2 A]]=0,"",IF(PositionA[[#This Row],[P2 A]]="","",PositionA[[#This Row],[P2 S A]]/PositionA[[#This Row],[P2 A]]))</f>
        <v>1</v>
      </c>
      <c r="R153" s="172">
        <f>IF(PositionA[[#This Row],[P3 A]]=0,"",IF(PositionA[[#This Row],[P3 A]]="","",PositionA[[#This Row],[P3 S A]]/PositionA[[#This Row],[P3 A]]))</f>
        <v>1</v>
      </c>
      <c r="S153" s="172" t="str">
        <f>IF(PositionA[[#This Row],[P4 A]]=0,"",IF(PositionA[[#This Row],[P4 A]]="","",PositionA[[#This Row],[P4 S A]]/PositionA[[#This Row],[P4 A]]))</f>
        <v/>
      </c>
      <c r="T153" s="172">
        <f>IF(PositionA[[#This Row],[P5 A]]=0,"",IF(PositionA[[#This Row],[P5 A]]="","",PositionA[[#This Row],[P5 S A]]/PositionA[[#This Row],[P5 A]]))</f>
        <v>1</v>
      </c>
      <c r="U153" s="172">
        <f>IF(PositionA[[#This Row],[P6 A]]=0,"",IF(PositionA[[#This Row],[P6 A]]="","",PositionA[[#This Row],[P6 S A]]/PositionA[[#This Row],[P6 A]]))</f>
        <v>0</v>
      </c>
      <c r="V153"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[6]</v>
      </c>
      <c r="W153" s="129">
        <f>IF(PositionA[[#This Row],[HP A]]="","",MAX(PositionA[[#This Row],[P1 A]:[P6 A]]))</f>
        <v>2</v>
      </c>
      <c r="X153"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[2][3][5]</v>
      </c>
      <c r="Y153" s="172">
        <f>IF(PositionA[[#This Row],[Spiele A]]="","",MAX(PositionA[[#This Row],[P1 % A]:[P6 % A]]))</f>
        <v>1</v>
      </c>
    </row>
    <row r="154" spans="2:25" x14ac:dyDescent="0.3">
      <c r="B154" s="129" t="str">
        <f t="shared" si="2"/>
        <v>Ulli Baumgarten</v>
      </c>
      <c r="C154" s="129">
        <f>VLOOKUP(PositionA[[#This Row],[Name A]],AuswertungA[],4,FALSE)</f>
        <v>3</v>
      </c>
      <c r="D154" s="129">
        <f>IF(PositionA[[#This Row],[Spiele A]]="","",COUNTIFS(Eingabe[Name],PositionA[[#This Row],[Name A]],Eingabe[Position],1,Eingabe[Wo],"A"))</f>
        <v>0</v>
      </c>
      <c r="E154" s="129">
        <f>IF(PositionA[[#This Row],[Spiele A]]="","",COUNTIFS(Eingabe[Name],PositionA[[#This Row],[Name A]],Eingabe[Position],2,Eingabe[Wo],"A"))</f>
        <v>1</v>
      </c>
      <c r="F154" s="129">
        <f>IF(PositionA[[#This Row],[Spiele A]]="","",COUNTIFS(Eingabe[Name],PositionA[[#This Row],[Name A]],Eingabe[Position],3,Eingabe[Wo],"A"))</f>
        <v>1</v>
      </c>
      <c r="G154" s="129">
        <f>IF(PositionA[[#This Row],[Spiele A]]="","",COUNTIFS(Eingabe[Name],PositionA[[#This Row],[Name A]],Eingabe[Position],4,Eingabe[Wo],"A"))</f>
        <v>0</v>
      </c>
      <c r="H154" s="129">
        <f>IF(PositionA[[#This Row],[Spiele A]]="","",COUNTIFS(Eingabe[Name],PositionA[[#This Row],[Name A]],Eingabe[Position],5,Eingabe[Wo],"A"))</f>
        <v>1</v>
      </c>
      <c r="I154" s="129">
        <f>IF(PositionA[[#This Row],[Spiele A]]="","",COUNTIFS(Eingabe[Name],PositionA[[#This Row],[Name A]],Eingabe[Position],6,Eingabe[Wo],"A"))</f>
        <v>0</v>
      </c>
      <c r="J154" s="129">
        <f>IF(PositionA[[#This Row],[P1 A]]="","",COUNTIFS(Eingabe[Position],1,Eingabe[MP],1,Eingabe[Name],PositionA[[#This Row],[Name A]],Eingabe[Wo],"A"))</f>
        <v>0</v>
      </c>
      <c r="K154" s="129">
        <f>IF(PositionA[[#This Row],[P2 A]]="","",COUNTIFS(Eingabe[Position],2,Eingabe[MP],1,Eingabe[Name],PositionA[[#This Row],[Name A]],Eingabe[Wo],"A"))</f>
        <v>1</v>
      </c>
      <c r="L154" s="129">
        <f>IF(PositionA[[#This Row],[P3 A]]="","",COUNTIFS(Eingabe[Position],3,Eingabe[MP],1,Eingabe[Name],PositionA[[#This Row],[Name A]],Eingabe[Wo],"A"))</f>
        <v>1</v>
      </c>
      <c r="M154" s="129">
        <f>IF(PositionA[[#This Row],[P4 A]]="","",COUNTIFS(Eingabe[Position],4,Eingabe[MP],1,Eingabe[Name],PositionA[[#This Row],[Name A]],Eingabe[Wo],"A"))</f>
        <v>0</v>
      </c>
      <c r="N154" s="129">
        <f>IF(PositionA[[#This Row],[P5 A]]="","",COUNTIFS(Eingabe[Position],5,Eingabe[MP],1,Eingabe[Name],PositionA[[#This Row],[Name A]],Eingabe[Wo],"A"))</f>
        <v>0</v>
      </c>
      <c r="O154" s="129">
        <f>IF(PositionA[[#This Row],[P6 A]]="","",COUNTIFS(Eingabe[Position],6,Eingabe[MP],1,Eingabe[Name],PositionA[[#This Row],[Name A]],Eingabe[Wo],"A"))</f>
        <v>0</v>
      </c>
      <c r="P154" s="172" t="str">
        <f>IF(PositionA[[#This Row],[P1 A]]=0,"",IF(PositionA[[#This Row],[P1 A]]="","",PositionA[[#This Row],[P1 S A]]/PositionA[[#This Row],[P1 A]]))</f>
        <v/>
      </c>
      <c r="Q154" s="172">
        <f>IF(PositionA[[#This Row],[P2 A]]=0,"",IF(PositionA[[#This Row],[P2 A]]="","",PositionA[[#This Row],[P2 S A]]/PositionA[[#This Row],[P2 A]]))</f>
        <v>1</v>
      </c>
      <c r="R154" s="172">
        <f>IF(PositionA[[#This Row],[P3 A]]=0,"",IF(PositionA[[#This Row],[P3 A]]="","",PositionA[[#This Row],[P3 S A]]/PositionA[[#This Row],[P3 A]]))</f>
        <v>1</v>
      </c>
      <c r="S154" s="172" t="str">
        <f>IF(PositionA[[#This Row],[P4 A]]=0,"",IF(PositionA[[#This Row],[P4 A]]="","",PositionA[[#This Row],[P4 S A]]/PositionA[[#This Row],[P4 A]]))</f>
        <v/>
      </c>
      <c r="T154" s="172">
        <f>IF(PositionA[[#This Row],[P5 A]]=0,"",IF(PositionA[[#This Row],[P5 A]]="","",PositionA[[#This Row],[P5 S A]]/PositionA[[#This Row],[P5 A]]))</f>
        <v>0</v>
      </c>
      <c r="U154" s="172" t="str">
        <f>IF(PositionA[[#This Row],[P6 A]]=0,"",IF(PositionA[[#This Row],[P6 A]]="","",PositionA[[#This Row],[P6 S A]]/PositionA[[#This Row],[P6 A]]))</f>
        <v/>
      </c>
      <c r="V154"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[2][3][5]</v>
      </c>
      <c r="W154" s="129">
        <f>IF(PositionA[[#This Row],[HP A]]="","",MAX(PositionA[[#This Row],[P1 A]:[P6 A]]))</f>
        <v>1</v>
      </c>
      <c r="X154"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[2][3]</v>
      </c>
      <c r="Y154" s="172">
        <f>IF(PositionA[[#This Row],[Spiele A]]="","",MAX(PositionA[[#This Row],[P1 % A]:[P6 % A]]))</f>
        <v>1</v>
      </c>
    </row>
    <row r="155" spans="2:25" x14ac:dyDescent="0.3">
      <c r="B155" s="129" t="str">
        <f t="shared" si="2"/>
        <v>Uwe Zippack</v>
      </c>
      <c r="C155" s="129">
        <f>VLOOKUP(PositionA[[#This Row],[Name A]],AuswertungA[],4,FALSE)</f>
        <v>5</v>
      </c>
      <c r="D155" s="129">
        <f>IF(PositionA[[#This Row],[Spiele A]]="","",COUNTIFS(Eingabe[Name],PositionA[[#This Row],[Name A]],Eingabe[Position],1,Eingabe[Wo],"A"))</f>
        <v>0</v>
      </c>
      <c r="E155" s="129">
        <f>IF(PositionA[[#This Row],[Spiele A]]="","",COUNTIFS(Eingabe[Name],PositionA[[#This Row],[Name A]],Eingabe[Position],2,Eingabe[Wo],"A"))</f>
        <v>2</v>
      </c>
      <c r="F155" s="129">
        <f>IF(PositionA[[#This Row],[Spiele A]]="","",COUNTIFS(Eingabe[Name],PositionA[[#This Row],[Name A]],Eingabe[Position],3,Eingabe[Wo],"A"))</f>
        <v>0</v>
      </c>
      <c r="G155" s="129">
        <f>IF(PositionA[[#This Row],[Spiele A]]="","",COUNTIFS(Eingabe[Name],PositionA[[#This Row],[Name A]],Eingabe[Position],4,Eingabe[Wo],"A"))</f>
        <v>1</v>
      </c>
      <c r="H155" s="129">
        <f>IF(PositionA[[#This Row],[Spiele A]]="","",COUNTIFS(Eingabe[Name],PositionA[[#This Row],[Name A]],Eingabe[Position],5,Eingabe[Wo],"A"))</f>
        <v>1</v>
      </c>
      <c r="I155" s="129">
        <f>IF(PositionA[[#This Row],[Spiele A]]="","",COUNTIFS(Eingabe[Name],PositionA[[#This Row],[Name A]],Eingabe[Position],6,Eingabe[Wo],"A"))</f>
        <v>1</v>
      </c>
      <c r="J155" s="129">
        <f>IF(PositionA[[#This Row],[P1 A]]="","",COUNTIFS(Eingabe[Position],1,Eingabe[MP],1,Eingabe[Name],PositionA[[#This Row],[Name A]],Eingabe[Wo],"A"))</f>
        <v>0</v>
      </c>
      <c r="K155" s="129">
        <f>IF(PositionA[[#This Row],[P2 A]]="","",COUNTIFS(Eingabe[Position],2,Eingabe[MP],1,Eingabe[Name],PositionA[[#This Row],[Name A]],Eingabe[Wo],"A"))</f>
        <v>1</v>
      </c>
      <c r="L155" s="129">
        <f>IF(PositionA[[#This Row],[P3 A]]="","",COUNTIFS(Eingabe[Position],3,Eingabe[MP],1,Eingabe[Name],PositionA[[#This Row],[Name A]],Eingabe[Wo],"A"))</f>
        <v>0</v>
      </c>
      <c r="M155" s="129">
        <f>IF(PositionA[[#This Row],[P4 A]]="","",COUNTIFS(Eingabe[Position],4,Eingabe[MP],1,Eingabe[Name],PositionA[[#This Row],[Name A]],Eingabe[Wo],"A"))</f>
        <v>1</v>
      </c>
      <c r="N155" s="129">
        <f>IF(PositionA[[#This Row],[P5 A]]="","",COUNTIFS(Eingabe[Position],5,Eingabe[MP],1,Eingabe[Name],PositionA[[#This Row],[Name A]],Eingabe[Wo],"A"))</f>
        <v>0</v>
      </c>
      <c r="O155" s="129">
        <f>IF(PositionA[[#This Row],[P6 A]]="","",COUNTIFS(Eingabe[Position],6,Eingabe[MP],1,Eingabe[Name],PositionA[[#This Row],[Name A]],Eingabe[Wo],"A"))</f>
        <v>1</v>
      </c>
      <c r="P155" s="172" t="str">
        <f>IF(PositionA[[#This Row],[P1 A]]=0,"",IF(PositionA[[#This Row],[P1 A]]="","",PositionA[[#This Row],[P1 S A]]/PositionA[[#This Row],[P1 A]]))</f>
        <v/>
      </c>
      <c r="Q155" s="172">
        <f>IF(PositionA[[#This Row],[P2 A]]=0,"",IF(PositionA[[#This Row],[P2 A]]="","",PositionA[[#This Row],[P2 S A]]/PositionA[[#This Row],[P2 A]]))</f>
        <v>0.5</v>
      </c>
      <c r="R155" s="172" t="str">
        <f>IF(PositionA[[#This Row],[P3 A]]=0,"",IF(PositionA[[#This Row],[P3 A]]="","",PositionA[[#This Row],[P3 S A]]/PositionA[[#This Row],[P3 A]]))</f>
        <v/>
      </c>
      <c r="S155" s="172">
        <f>IF(PositionA[[#This Row],[P4 A]]=0,"",IF(PositionA[[#This Row],[P4 A]]="","",PositionA[[#This Row],[P4 S A]]/PositionA[[#This Row],[P4 A]]))</f>
        <v>1</v>
      </c>
      <c r="T155" s="172">
        <f>IF(PositionA[[#This Row],[P5 A]]=0,"",IF(PositionA[[#This Row],[P5 A]]="","",PositionA[[#This Row],[P5 S A]]/PositionA[[#This Row],[P5 A]]))</f>
        <v>0</v>
      </c>
      <c r="U155" s="172">
        <f>IF(PositionA[[#This Row],[P6 A]]=0,"",IF(PositionA[[#This Row],[P6 A]]="","",PositionA[[#This Row],[P6 S A]]/PositionA[[#This Row],[P6 A]]))</f>
        <v>1</v>
      </c>
      <c r="V155"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[2]</v>
      </c>
      <c r="W155" s="129">
        <f>IF(PositionA[[#This Row],[HP A]]="","",MAX(PositionA[[#This Row],[P1 A]:[P6 A]]))</f>
        <v>2</v>
      </c>
      <c r="X155"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[4][6]</v>
      </c>
      <c r="Y155" s="172">
        <f>IF(PositionA[[#This Row],[Spiele A]]="","",MAX(PositionA[[#This Row],[P1 % A]:[P6 % A]]))</f>
        <v>1</v>
      </c>
    </row>
  </sheetData>
  <conditionalFormatting sqref="B2:Y51 B106:Y155">
    <cfRule type="containsBlanks" dxfId="135" priority="3">
      <formula>LEN(TRIM(B2))=0</formula>
    </cfRule>
  </conditionalFormatting>
  <conditionalFormatting sqref="B54:Y103">
    <cfRule type="containsBlanks" dxfId="134" priority="2">
      <formula>LEN(TRIM(B54))=0</formula>
    </cfRule>
  </conditionalFormatting>
  <pageMargins left="0.7" right="0.7" top="0.78740157499999996" bottom="0.78740157499999996" header="0.3" footer="0.3"/>
  <pageSetup paperSize="9" orientation="portrait" horizontalDpi="4294967293" verticalDpi="0" r:id="rId1"/>
  <tableParts count="3">
    <tablePart r:id="rId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B1488-0B66-403A-95B1-8D660DFA0FE7}">
  <dimension ref="A1:AX50"/>
  <sheetViews>
    <sheetView workbookViewId="0">
      <selection activeCell="U4" sqref="U4"/>
    </sheetView>
  </sheetViews>
  <sheetFormatPr baseColWidth="10" defaultRowHeight="14.4" x14ac:dyDescent="0.3"/>
  <cols>
    <col min="1" max="1" width="8.88671875" bestFit="1" customWidth="1"/>
    <col min="2" max="2" width="21.88671875" style="185" bestFit="1" customWidth="1"/>
    <col min="3" max="3" width="6.5546875" style="185" bestFit="1" customWidth="1"/>
    <col min="4" max="9" width="4.6640625" bestFit="1" customWidth="1"/>
    <col min="10" max="10" width="1.6640625" customWidth="1"/>
    <col min="11" max="11" width="6.44140625" bestFit="1" customWidth="1"/>
    <col min="12" max="12" width="21.88671875" bestFit="1" customWidth="1"/>
    <col min="13" max="13" width="6.5546875" bestFit="1" customWidth="1"/>
    <col min="14" max="19" width="4.6640625" bestFit="1" customWidth="1"/>
    <col min="20" max="20" width="3.21875" customWidth="1"/>
    <col min="21" max="21" width="10.33203125" bestFit="1" customWidth="1"/>
    <col min="22" max="22" width="21.88671875" bestFit="1" customWidth="1"/>
    <col min="23" max="23" width="6.5546875" bestFit="1" customWidth="1"/>
    <col min="24" max="29" width="4.6640625" bestFit="1" customWidth="1"/>
    <col min="31" max="31" width="3.88671875" customWidth="1"/>
    <col min="32" max="32" width="19.109375" bestFit="1" customWidth="1"/>
    <col min="33" max="50" width="4.6640625" bestFit="1" customWidth="1"/>
  </cols>
  <sheetData>
    <row r="1" spans="1:50" ht="15.6" x14ac:dyDescent="0.3">
      <c r="A1" s="186" t="s">
        <v>26</v>
      </c>
      <c r="B1" s="165" t="s">
        <v>13</v>
      </c>
      <c r="C1" s="165" t="s">
        <v>0</v>
      </c>
      <c r="D1" s="165" t="s">
        <v>422</v>
      </c>
      <c r="E1" s="165" t="s">
        <v>423</v>
      </c>
      <c r="F1" s="165" t="s">
        <v>424</v>
      </c>
      <c r="G1" s="165" t="s">
        <v>425</v>
      </c>
      <c r="H1" s="165" t="s">
        <v>426</v>
      </c>
      <c r="I1" s="165" t="s">
        <v>427</v>
      </c>
      <c r="K1" s="187" t="s">
        <v>118</v>
      </c>
      <c r="L1" s="165" t="s">
        <v>13</v>
      </c>
      <c r="M1" s="165" t="s">
        <v>0</v>
      </c>
      <c r="N1" s="165" t="s">
        <v>422</v>
      </c>
      <c r="O1" s="165" t="s">
        <v>423</v>
      </c>
      <c r="P1" s="165" t="s">
        <v>424</v>
      </c>
      <c r="Q1" s="165" t="s">
        <v>425</v>
      </c>
      <c r="R1" s="165" t="s">
        <v>426</v>
      </c>
      <c r="S1" s="165" t="s">
        <v>427</v>
      </c>
      <c r="U1" s="190" t="s">
        <v>119</v>
      </c>
      <c r="V1" s="165" t="s">
        <v>13</v>
      </c>
      <c r="W1" s="165" t="s">
        <v>0</v>
      </c>
      <c r="X1" s="165" t="s">
        <v>422</v>
      </c>
      <c r="Y1" s="165" t="s">
        <v>423</v>
      </c>
      <c r="Z1" s="165" t="s">
        <v>424</v>
      </c>
      <c r="AA1" s="165" t="s">
        <v>425</v>
      </c>
      <c r="AB1" s="165" t="s">
        <v>426</v>
      </c>
      <c r="AC1" s="165" t="s">
        <v>427</v>
      </c>
      <c r="AF1" s="480"/>
      <c r="AG1" s="474" t="s">
        <v>26</v>
      </c>
      <c r="AH1" s="475"/>
      <c r="AI1" s="475"/>
      <c r="AJ1" s="475"/>
      <c r="AK1" s="475"/>
      <c r="AL1" s="476"/>
      <c r="AM1" s="474" t="s">
        <v>118</v>
      </c>
      <c r="AN1" s="475"/>
      <c r="AO1" s="475"/>
      <c r="AP1" s="475"/>
      <c r="AQ1" s="475"/>
      <c r="AR1" s="476"/>
      <c r="AS1" s="474" t="s">
        <v>119</v>
      </c>
      <c r="AT1" s="475"/>
      <c r="AU1" s="475"/>
      <c r="AV1" s="475"/>
      <c r="AW1" s="475"/>
      <c r="AX1" s="476"/>
    </row>
    <row r="2" spans="1:50" ht="15.6" x14ac:dyDescent="0.3">
      <c r="B2" s="188" t="str">
        <f>Übersicht!B3</f>
        <v>Anastasia Landau</v>
      </c>
      <c r="C2" s="188" t="str">
        <f>VLOOKUP(ErgebnisPosition[[#This Row],[Name]],Teamzuordnung[[Name]:[Team]],2,FALSE)</f>
        <v>F</v>
      </c>
      <c r="D2" s="189" t="str">
        <f>IF(COUNTIFS(Eingabe[Name],ErgebnisPosition[[#This Row],[Name]],Eingabe[Position],ErgebnisPosition[[#Headers],[1]])=0,"",ROUND(AVERAGEIFS(Eingabe[GES],Eingabe[Name],ErgebnisPosition[[#This Row],[Name]],Eingabe[Position],ErgebnisPosition[[#Headers],[1]]),0))</f>
        <v/>
      </c>
      <c r="E2" s="189" t="str">
        <f>IF(COUNTIFS(Eingabe[Name],ErgebnisPosition[[#This Row],[Name]],Eingabe[Position],ErgebnisPosition[[#Headers],[2]])=0,"",ROUND(AVERAGEIFS(Eingabe[GES],Eingabe[Name],ErgebnisPosition[[#This Row],[Name]],Eingabe[Position],ErgebnisPosition[[#Headers],[2]]),0))</f>
        <v/>
      </c>
      <c r="F2" s="189" t="str">
        <f>IF(COUNTIFS(Eingabe[Name],ErgebnisPosition[[#This Row],[Name]],Eingabe[Position],ErgebnisPosition[[#Headers],[3]])=0,"",ROUND(AVERAGEIFS(Eingabe[GES],Eingabe[Name],ErgebnisPosition[[#This Row],[Name]],Eingabe[Position],ErgebnisPosition[[#Headers],[3]]),0))</f>
        <v/>
      </c>
      <c r="G2" s="189" t="str">
        <f>IF(COUNTIFS(Eingabe[Name],ErgebnisPosition[[#This Row],[Name]],Eingabe[Position],ErgebnisPosition[[#Headers],[4]])=0,"",ROUND(AVERAGEIFS(Eingabe[GES],Eingabe[Name],ErgebnisPosition[[#This Row],[Name]],Eingabe[Position],ErgebnisPosition[[#Headers],[4]]),0))</f>
        <v/>
      </c>
      <c r="H2" s="189" t="str">
        <f>IF(COUNTIFS(Eingabe[Name],ErgebnisPosition[[#This Row],[Name]],Eingabe[Position],ErgebnisPosition[[#Headers],[5]])=0,"",ROUND(AVERAGEIFS(Eingabe[GES],Eingabe[Name],ErgebnisPosition[[#This Row],[Name]],Eingabe[Position],ErgebnisPosition[[#Headers],[5]]),0))</f>
        <v/>
      </c>
      <c r="I2" s="189" t="str">
        <f>IF(COUNTIFS(Eingabe[Name],ErgebnisPosition[[#This Row],[Name]],Eingabe[Position],ErgebnisPosition[[#Headers],[6]])=0,"",ROUND(AVERAGEIFS(Eingabe[GES],Eingabe[Name],ErgebnisPosition[[#This Row],[Name]],Eingabe[Position],ErgebnisPosition[[#Headers],[6]]),0))</f>
        <v/>
      </c>
      <c r="L2" s="188" t="str">
        <f>ErgebnisPosition[[#This Row],[Name]]</f>
        <v>Anastasia Landau</v>
      </c>
      <c r="M2" s="188" t="str">
        <f>VLOOKUP(ErgebnisPositionH[[#This Row],[Name]],Teamzuordnung[[Name]:[Team]],2,FALSE)</f>
        <v>F</v>
      </c>
      <c r="N2" s="189" t="str">
        <f>IF(COUNTIFS(Eingabe[Name],ErgebnisPositionH[[#This Row],[Name]],Eingabe[Position],ErgebnisPositionH[[#Headers],[1]],Eingabe[Wo],"H")=0,"",ROUND(AVERAGEIFS(Eingabe[GES],Eingabe[Name],ErgebnisPositionH[[#This Row],[Name]],Eingabe[Position],ErgebnisPositionH[[#Headers],[1]],Eingabe[Wo],"H"),0))</f>
        <v/>
      </c>
      <c r="O2" s="189" t="str">
        <f>IF(COUNTIFS(Eingabe[Name],ErgebnisPositionH[[#This Row],[Name]],Eingabe[Position],ErgebnisPositionH[[#Headers],[2]],Eingabe[Wo],"H")=0,"",ROUND(AVERAGEIFS(Eingabe[GES],Eingabe[Name],ErgebnisPositionH[[#This Row],[Name]],Eingabe[Position],ErgebnisPositionH[[#Headers],[2]],Eingabe[Wo],"H"),0))</f>
        <v/>
      </c>
      <c r="P2" s="189" t="str">
        <f>IF(COUNTIFS(Eingabe[Name],ErgebnisPositionH[[#This Row],[Name]],Eingabe[Position],ErgebnisPositionH[[#Headers],[3]],Eingabe[Wo],"H")=0,"",ROUND(AVERAGEIFS(Eingabe[GES],Eingabe[Name],ErgebnisPositionH[[#This Row],[Name]],Eingabe[Position],ErgebnisPositionH[[#Headers],[3]],Eingabe[Wo],"H"),0))</f>
        <v/>
      </c>
      <c r="Q2" s="189" t="str">
        <f>IF(COUNTIFS(Eingabe[Name],ErgebnisPositionH[[#This Row],[Name]],Eingabe[Position],ErgebnisPositionH[[#Headers],[4]],Eingabe[Wo],"H")=0,"",ROUND(AVERAGEIFS(Eingabe[GES],Eingabe[Name],ErgebnisPositionH[[#This Row],[Name]],Eingabe[Position],ErgebnisPositionH[[#Headers],[4]],Eingabe[Wo],"H"),0))</f>
        <v/>
      </c>
      <c r="R2" s="189" t="str">
        <f>IF(COUNTIFS(Eingabe[Name],ErgebnisPositionH[[#This Row],[Name]],Eingabe[Position],ErgebnisPositionH[[#Headers],[5]],Eingabe[Wo],"H")=0,"",ROUND(AVERAGEIFS(Eingabe[GES],Eingabe[Name],ErgebnisPositionH[[#This Row],[Name]],Eingabe[Position],ErgebnisPositionH[[#Headers],[5]],Eingabe[Wo],"H"),0))</f>
        <v/>
      </c>
      <c r="S2" s="189" t="str">
        <f>IF(COUNTIFS(Eingabe[Name],ErgebnisPositionH[[#This Row],[Name]],Eingabe[Position],ErgebnisPositionH[[#Headers],[6]],Eingabe[Wo],"H")=0,"",ROUND(AVERAGEIFS(Eingabe[GES],Eingabe[Name],ErgebnisPositionH[[#This Row],[Name]],Eingabe[Position],ErgebnisPositionH[[#Headers],[6]],Eingabe[Wo],"H"),0))</f>
        <v/>
      </c>
      <c r="V2" s="188" t="str">
        <f>ErgebnisPosition[[#This Row],[Name]]</f>
        <v>Anastasia Landau</v>
      </c>
      <c r="W2" s="188" t="str">
        <f>VLOOKUP(ErgebnisPositionA[[#This Row],[Name]],Teamzuordnung[[Name]:[Team]],2,FALSE)</f>
        <v>F</v>
      </c>
      <c r="X2" s="189" t="str">
        <f>IF(COUNTIFS(Eingabe[Name],ErgebnisPositionA[[#This Row],[Name]],Eingabe[Position],ErgebnisPositionA[[#Headers],[1]],Eingabe[Wo],"A")=0,"",ROUND(AVERAGEIFS(Eingabe[GES],Eingabe[Name],ErgebnisPositionA[[#This Row],[Name]],Eingabe[Position],ErgebnisPositionA[[#Headers],[1]],Eingabe[Wo],"A"),0))</f>
        <v/>
      </c>
      <c r="Y2" s="189" t="str">
        <f>IF(COUNTIFS(Eingabe[Name],ErgebnisPositionA[[#This Row],[Name]],Eingabe[Position],ErgebnisPositionA[[#Headers],[2]],Eingabe[Wo],"A")=0,"",ROUND(AVERAGEIFS(Eingabe[GES],Eingabe[Name],ErgebnisPositionA[[#This Row],[Name]],Eingabe[Position],ErgebnisPositionA[[#Headers],[2]],Eingabe[Wo],"A"),0))</f>
        <v/>
      </c>
      <c r="Z2" s="189" t="str">
        <f>IF(COUNTIFS(Eingabe[Name],ErgebnisPositionA[[#This Row],[Name]],Eingabe[Position],ErgebnisPositionA[[#Headers],[3]],Eingabe[Wo],"A")=0,"",ROUND(AVERAGEIFS(Eingabe[GES],Eingabe[Name],ErgebnisPositionA[[#This Row],[Name]],Eingabe[Position],ErgebnisPositionA[[#Headers],[3]],Eingabe[Wo],"A"),0))</f>
        <v/>
      </c>
      <c r="AA2" s="189" t="str">
        <f>IF(COUNTIFS(Eingabe[Name],ErgebnisPositionA[[#This Row],[Name]],Eingabe[Position],ErgebnisPositionA[[#Headers],[4]],Eingabe[Wo],"A")=0,"",ROUND(AVERAGEIFS(Eingabe[GES],Eingabe[Name],ErgebnisPositionA[[#This Row],[Name]],Eingabe[Position],ErgebnisPositionA[[#Headers],[4]],Eingabe[Wo],"A"),0))</f>
        <v/>
      </c>
      <c r="AB2" s="189" t="str">
        <f>IF(COUNTIFS(Eingabe[Name],ErgebnisPositionA[[#This Row],[Name]],Eingabe[Position],ErgebnisPositionA[[#Headers],[5]],Eingabe[Wo],"A")=0,"",ROUND(AVERAGEIFS(Eingabe[GES],Eingabe[Name],ErgebnisPositionA[[#This Row],[Name]],Eingabe[Position],ErgebnisPositionA[[#Headers],[5]],Eingabe[Wo],"A"),0))</f>
        <v/>
      </c>
      <c r="AC2" s="189" t="str">
        <f>IF(COUNTIFS(Eingabe[Name],ErgebnisPositionA[[#This Row],[Name]],Eingabe[Position],ErgebnisPositionA[[#Headers],[6]],Eingabe[Wo],"A")=0,"",ROUND(AVERAGEIFS(Eingabe[GES],Eingabe[Name],ErgebnisPositionA[[#This Row],[Name]],Eingabe[Position],ErgebnisPositionA[[#Headers],[6]],Eingabe[Wo],"A"),0))</f>
        <v/>
      </c>
      <c r="AF2" s="481"/>
      <c r="AG2" s="477" t="s">
        <v>66</v>
      </c>
      <c r="AH2" s="478"/>
      <c r="AI2" s="478"/>
      <c r="AJ2" s="478"/>
      <c r="AK2" s="478"/>
      <c r="AL2" s="479"/>
      <c r="AM2" s="477" t="s">
        <v>66</v>
      </c>
      <c r="AN2" s="478"/>
      <c r="AO2" s="478"/>
      <c r="AP2" s="478"/>
      <c r="AQ2" s="478"/>
      <c r="AR2" s="479"/>
      <c r="AS2" s="477" t="s">
        <v>66</v>
      </c>
      <c r="AT2" s="478"/>
      <c r="AU2" s="478"/>
      <c r="AV2" s="478"/>
      <c r="AW2" s="478"/>
      <c r="AX2" s="479"/>
    </row>
    <row r="3" spans="1:50" ht="15.6" x14ac:dyDescent="0.3">
      <c r="B3" s="188" t="str">
        <f>Übersicht!B4</f>
        <v>Andreas Ehrlich</v>
      </c>
      <c r="C3" s="188" t="str">
        <f>VLOOKUP(ErgebnisPosition[[#This Row],[Name]],Teamzuordnung[[Name]:[Team]],2,FALSE)</f>
        <v>D</v>
      </c>
      <c r="D3" s="189" t="str">
        <f>IF(COUNTIFS(Eingabe[Name],ErgebnisPosition[[#This Row],[Name]],Eingabe[Position],ErgebnisPosition[[#Headers],[1]])=0,"",ROUND(AVERAGEIFS(Eingabe[GES],Eingabe[Name],ErgebnisPosition[[#This Row],[Name]],Eingabe[Position],ErgebnisPosition[[#Headers],[1]]),0))</f>
        <v/>
      </c>
      <c r="E3" s="189" t="str">
        <f>IF(COUNTIFS(Eingabe[Name],ErgebnisPosition[[#This Row],[Name]],Eingabe[Position],ErgebnisPosition[[#Headers],[2]])=0,"",ROUND(AVERAGEIFS(Eingabe[GES],Eingabe[Name],ErgebnisPosition[[#This Row],[Name]],Eingabe[Position],ErgebnisPosition[[#Headers],[2]]),0))</f>
        <v/>
      </c>
      <c r="F3" s="189">
        <f>IF(COUNTIFS(Eingabe[Name],ErgebnisPosition[[#This Row],[Name]],Eingabe[Position],ErgebnisPosition[[#Headers],[3]])=0,"",ROUND(AVERAGEIFS(Eingabe[GES],Eingabe[Name],ErgebnisPosition[[#This Row],[Name]],Eingabe[Position],ErgebnisPosition[[#Headers],[3]]),0))</f>
        <v>529</v>
      </c>
      <c r="G3" s="189" t="str">
        <f>IF(COUNTIFS(Eingabe[Name],ErgebnisPosition[[#This Row],[Name]],Eingabe[Position],ErgebnisPosition[[#Headers],[4]])=0,"",ROUND(AVERAGEIFS(Eingabe[GES],Eingabe[Name],ErgebnisPosition[[#This Row],[Name]],Eingabe[Position],ErgebnisPosition[[#Headers],[4]]),0))</f>
        <v/>
      </c>
      <c r="H3" s="189" t="str">
        <f>IF(COUNTIFS(Eingabe[Name],ErgebnisPosition[[#This Row],[Name]],Eingabe[Position],ErgebnisPosition[[#Headers],[5]])=0,"",ROUND(AVERAGEIFS(Eingabe[GES],Eingabe[Name],ErgebnisPosition[[#This Row],[Name]],Eingabe[Position],ErgebnisPosition[[#Headers],[5]]),0))</f>
        <v/>
      </c>
      <c r="I3" s="189" t="str">
        <f>IF(COUNTIFS(Eingabe[Name],ErgebnisPosition[[#This Row],[Name]],Eingabe[Position],ErgebnisPosition[[#Headers],[6]])=0,"",ROUND(AVERAGEIFS(Eingabe[GES],Eingabe[Name],ErgebnisPosition[[#This Row],[Name]],Eingabe[Position],ErgebnisPosition[[#Headers],[6]]),0))</f>
        <v/>
      </c>
      <c r="L3" s="188" t="str">
        <f>ErgebnisPosition[[#This Row],[Name]]</f>
        <v>Andreas Ehrlich</v>
      </c>
      <c r="M3" s="188" t="str">
        <f>VLOOKUP(ErgebnisPositionH[[#This Row],[Name]],Teamzuordnung[[Name]:[Team]],2,FALSE)</f>
        <v>D</v>
      </c>
      <c r="N3" s="189" t="str">
        <f>IF(COUNTIFS(Eingabe[Name],ErgebnisPositionH[[#This Row],[Name]],Eingabe[Position],ErgebnisPositionH[[#Headers],[1]],Eingabe[Wo],"H")=0,"",ROUND(AVERAGEIFS(Eingabe[GES],Eingabe[Name],ErgebnisPositionH[[#This Row],[Name]],Eingabe[Position],ErgebnisPositionH[[#Headers],[1]],Eingabe[Wo],"H"),0))</f>
        <v/>
      </c>
      <c r="O3" s="189" t="str">
        <f>IF(COUNTIFS(Eingabe[Name],ErgebnisPositionH[[#This Row],[Name]],Eingabe[Position],ErgebnisPositionH[[#Headers],[2]],Eingabe[Wo],"H")=0,"",ROUND(AVERAGEIFS(Eingabe[GES],Eingabe[Name],ErgebnisPositionH[[#This Row],[Name]],Eingabe[Position],ErgebnisPositionH[[#Headers],[2]],Eingabe[Wo],"H"),0))</f>
        <v/>
      </c>
      <c r="P3" s="189">
        <f>IF(COUNTIFS(Eingabe[Name],ErgebnisPositionH[[#This Row],[Name]],Eingabe[Position],ErgebnisPositionH[[#Headers],[3]],Eingabe[Wo],"H")=0,"",ROUND(AVERAGEIFS(Eingabe[GES],Eingabe[Name],ErgebnisPositionH[[#This Row],[Name]],Eingabe[Position],ErgebnisPositionH[[#Headers],[3]],Eingabe[Wo],"H"),0))</f>
        <v>529</v>
      </c>
      <c r="Q3" s="189" t="str">
        <f>IF(COUNTIFS(Eingabe[Name],ErgebnisPositionH[[#This Row],[Name]],Eingabe[Position],ErgebnisPositionH[[#Headers],[4]],Eingabe[Wo],"H")=0,"",ROUND(AVERAGEIFS(Eingabe[GES],Eingabe[Name],ErgebnisPositionH[[#This Row],[Name]],Eingabe[Position],ErgebnisPositionH[[#Headers],[4]],Eingabe[Wo],"H"),0))</f>
        <v/>
      </c>
      <c r="R3" s="189" t="str">
        <f>IF(COUNTIFS(Eingabe[Name],ErgebnisPositionH[[#This Row],[Name]],Eingabe[Position],ErgebnisPositionH[[#Headers],[5]],Eingabe[Wo],"H")=0,"",ROUND(AVERAGEIFS(Eingabe[GES],Eingabe[Name],ErgebnisPositionH[[#This Row],[Name]],Eingabe[Position],ErgebnisPositionH[[#Headers],[5]],Eingabe[Wo],"H"),0))</f>
        <v/>
      </c>
      <c r="S3" s="189" t="str">
        <f>IF(COUNTIFS(Eingabe[Name],ErgebnisPositionH[[#This Row],[Name]],Eingabe[Position],ErgebnisPositionH[[#Headers],[6]],Eingabe[Wo],"H")=0,"",ROUND(AVERAGEIFS(Eingabe[GES],Eingabe[Name],ErgebnisPositionH[[#This Row],[Name]],Eingabe[Position],ErgebnisPositionH[[#Headers],[6]],Eingabe[Wo],"H"),0))</f>
        <v/>
      </c>
      <c r="V3" s="188" t="str">
        <f>ErgebnisPosition[[#This Row],[Name]]</f>
        <v>Andreas Ehrlich</v>
      </c>
      <c r="W3" s="188" t="str">
        <f>VLOOKUP(ErgebnisPositionA[[#This Row],[Name]],Teamzuordnung[[Name]:[Team]],2,FALSE)</f>
        <v>D</v>
      </c>
      <c r="X3" s="189" t="str">
        <f>IF(COUNTIFS(Eingabe[Name],ErgebnisPositionA[[#This Row],[Name]],Eingabe[Position],ErgebnisPositionA[[#Headers],[1]],Eingabe[Wo],"A")=0,"",ROUND(AVERAGEIFS(Eingabe[GES],Eingabe[Name],ErgebnisPositionA[[#This Row],[Name]],Eingabe[Position],ErgebnisPositionA[[#Headers],[1]],Eingabe[Wo],"A"),0))</f>
        <v/>
      </c>
      <c r="Y3" s="189" t="str">
        <f>IF(COUNTIFS(Eingabe[Name],ErgebnisPositionA[[#This Row],[Name]],Eingabe[Position],ErgebnisPositionA[[#Headers],[2]],Eingabe[Wo],"A")=0,"",ROUND(AVERAGEIFS(Eingabe[GES],Eingabe[Name],ErgebnisPositionA[[#This Row],[Name]],Eingabe[Position],ErgebnisPositionA[[#Headers],[2]],Eingabe[Wo],"A"),0))</f>
        <v/>
      </c>
      <c r="Z3" s="189" t="str">
        <f>IF(COUNTIFS(Eingabe[Name],ErgebnisPositionA[[#This Row],[Name]],Eingabe[Position],ErgebnisPositionA[[#Headers],[3]],Eingabe[Wo],"A")=0,"",ROUND(AVERAGEIFS(Eingabe[GES],Eingabe[Name],ErgebnisPositionA[[#This Row],[Name]],Eingabe[Position],ErgebnisPositionA[[#Headers],[3]],Eingabe[Wo],"A"),0))</f>
        <v/>
      </c>
      <c r="AA3" s="189" t="str">
        <f>IF(COUNTIFS(Eingabe[Name],ErgebnisPositionA[[#This Row],[Name]],Eingabe[Position],ErgebnisPositionA[[#Headers],[4]],Eingabe[Wo],"A")=0,"",ROUND(AVERAGEIFS(Eingabe[GES],Eingabe[Name],ErgebnisPositionA[[#This Row],[Name]],Eingabe[Position],ErgebnisPositionA[[#Headers],[4]],Eingabe[Wo],"A"),0))</f>
        <v/>
      </c>
      <c r="AB3" s="189" t="str">
        <f>IF(COUNTIFS(Eingabe[Name],ErgebnisPositionA[[#This Row],[Name]],Eingabe[Position],ErgebnisPositionA[[#Headers],[5]],Eingabe[Wo],"A")=0,"",ROUND(AVERAGEIFS(Eingabe[GES],Eingabe[Name],ErgebnisPositionA[[#This Row],[Name]],Eingabe[Position],ErgebnisPositionA[[#Headers],[5]],Eingabe[Wo],"A"),0))</f>
        <v/>
      </c>
      <c r="AC3" s="189" t="str">
        <f>IF(COUNTIFS(Eingabe[Name],ErgebnisPositionA[[#This Row],[Name]],Eingabe[Position],ErgebnisPositionA[[#Headers],[6]],Eingabe[Wo],"A")=0,"",ROUND(AVERAGEIFS(Eingabe[GES],Eingabe[Name],ErgebnisPositionA[[#This Row],[Name]],Eingabe[Position],ErgebnisPositionA[[#Headers],[6]],Eingabe[Wo],"A"),0))</f>
        <v/>
      </c>
      <c r="AE3" s="304" t="s">
        <v>16</v>
      </c>
      <c r="AF3" s="219" t="s">
        <v>13</v>
      </c>
      <c r="AG3" s="212">
        <v>1</v>
      </c>
      <c r="AH3" s="211">
        <v>2</v>
      </c>
      <c r="AI3" s="211">
        <v>3</v>
      </c>
      <c r="AJ3" s="211">
        <v>4</v>
      </c>
      <c r="AK3" s="211">
        <v>5</v>
      </c>
      <c r="AL3" s="213">
        <v>6</v>
      </c>
      <c r="AM3" s="212">
        <v>1</v>
      </c>
      <c r="AN3" s="211">
        <v>2</v>
      </c>
      <c r="AO3" s="211">
        <v>3</v>
      </c>
      <c r="AP3" s="211">
        <v>4</v>
      </c>
      <c r="AQ3" s="211">
        <v>5</v>
      </c>
      <c r="AR3" s="213">
        <v>6</v>
      </c>
      <c r="AS3" s="212">
        <v>1</v>
      </c>
      <c r="AT3" s="211">
        <v>2</v>
      </c>
      <c r="AU3" s="211">
        <v>3</v>
      </c>
      <c r="AV3" s="211">
        <v>4</v>
      </c>
      <c r="AW3" s="211">
        <v>5</v>
      </c>
      <c r="AX3" s="213">
        <v>6</v>
      </c>
    </row>
    <row r="4" spans="1:50" ht="15.6" x14ac:dyDescent="0.3">
      <c r="B4" s="188" t="str">
        <f>Übersicht!B5</f>
        <v>Andreas Rippin</v>
      </c>
      <c r="C4" s="188" t="str">
        <f>VLOOKUP(ErgebnisPosition[[#This Row],[Name]],Teamzuordnung[[Name]:[Team]],2,FALSE)</f>
        <v>E</v>
      </c>
      <c r="D4" s="189">
        <f>IF(COUNTIFS(Eingabe[Name],ErgebnisPosition[[#This Row],[Name]],Eingabe[Position],ErgebnisPosition[[#Headers],[1]])=0,"",ROUND(AVERAGEIFS(Eingabe[GES],Eingabe[Name],ErgebnisPosition[[#This Row],[Name]],Eingabe[Position],ErgebnisPosition[[#Headers],[1]]),0))</f>
        <v>523</v>
      </c>
      <c r="E4" s="189">
        <f>IF(COUNTIFS(Eingabe[Name],ErgebnisPosition[[#This Row],[Name]],Eingabe[Position],ErgebnisPosition[[#Headers],[2]])=0,"",ROUND(AVERAGEIFS(Eingabe[GES],Eingabe[Name],ErgebnisPosition[[#This Row],[Name]],Eingabe[Position],ErgebnisPosition[[#Headers],[2]]),0))</f>
        <v>508</v>
      </c>
      <c r="F4" s="189">
        <f>IF(COUNTIFS(Eingabe[Name],ErgebnisPosition[[#This Row],[Name]],Eingabe[Position],ErgebnisPosition[[#Headers],[3]])=0,"",ROUND(AVERAGEIFS(Eingabe[GES],Eingabe[Name],ErgebnisPosition[[#This Row],[Name]],Eingabe[Position],ErgebnisPosition[[#Headers],[3]]),0))</f>
        <v>507</v>
      </c>
      <c r="G4" s="189" t="str">
        <f>IF(COUNTIFS(Eingabe[Name],ErgebnisPosition[[#This Row],[Name]],Eingabe[Position],ErgebnisPosition[[#Headers],[4]])=0,"",ROUND(AVERAGEIFS(Eingabe[GES],Eingabe[Name],ErgebnisPosition[[#This Row],[Name]],Eingabe[Position],ErgebnisPosition[[#Headers],[4]]),0))</f>
        <v/>
      </c>
      <c r="H4" s="189">
        <f>IF(COUNTIFS(Eingabe[Name],ErgebnisPosition[[#This Row],[Name]],Eingabe[Position],ErgebnisPosition[[#Headers],[5]])=0,"",ROUND(AVERAGEIFS(Eingabe[GES],Eingabe[Name],ErgebnisPosition[[#This Row],[Name]],Eingabe[Position],ErgebnisPosition[[#Headers],[5]]),0))</f>
        <v>479</v>
      </c>
      <c r="I4" s="189" t="str">
        <f>IF(COUNTIFS(Eingabe[Name],ErgebnisPosition[[#This Row],[Name]],Eingabe[Position],ErgebnisPosition[[#Headers],[6]])=0,"",ROUND(AVERAGEIFS(Eingabe[GES],Eingabe[Name],ErgebnisPosition[[#This Row],[Name]],Eingabe[Position],ErgebnisPosition[[#Headers],[6]]),0))</f>
        <v/>
      </c>
      <c r="L4" s="188" t="str">
        <f>ErgebnisPosition[[#This Row],[Name]]</f>
        <v>Andreas Rippin</v>
      </c>
      <c r="M4" s="188" t="str">
        <f>VLOOKUP(ErgebnisPositionH[[#This Row],[Name]],Teamzuordnung[[Name]:[Team]],2,FALSE)</f>
        <v>E</v>
      </c>
      <c r="N4" s="189">
        <f>IF(COUNTIFS(Eingabe[Name],ErgebnisPositionH[[#This Row],[Name]],Eingabe[Position],ErgebnisPositionH[[#Headers],[1]],Eingabe[Wo],"H")=0,"",ROUND(AVERAGEIFS(Eingabe[GES],Eingabe[Name],ErgebnisPositionH[[#This Row],[Name]],Eingabe[Position],ErgebnisPositionH[[#Headers],[1]],Eingabe[Wo],"H"),0))</f>
        <v>499</v>
      </c>
      <c r="O4" s="189">
        <f>IF(COUNTIFS(Eingabe[Name],ErgebnisPositionH[[#This Row],[Name]],Eingabe[Position],ErgebnisPositionH[[#Headers],[2]],Eingabe[Wo],"H")=0,"",ROUND(AVERAGEIFS(Eingabe[GES],Eingabe[Name],ErgebnisPositionH[[#This Row],[Name]],Eingabe[Position],ErgebnisPositionH[[#Headers],[2]],Eingabe[Wo],"H"),0))</f>
        <v>513</v>
      </c>
      <c r="P4" s="189">
        <f>IF(COUNTIFS(Eingabe[Name],ErgebnisPositionH[[#This Row],[Name]],Eingabe[Position],ErgebnisPositionH[[#Headers],[3]],Eingabe[Wo],"H")=0,"",ROUND(AVERAGEIFS(Eingabe[GES],Eingabe[Name],ErgebnisPositionH[[#This Row],[Name]],Eingabe[Position],ErgebnisPositionH[[#Headers],[3]],Eingabe[Wo],"H"),0))</f>
        <v>507</v>
      </c>
      <c r="Q4" s="189" t="str">
        <f>IF(COUNTIFS(Eingabe[Name],ErgebnisPositionH[[#This Row],[Name]],Eingabe[Position],ErgebnisPositionH[[#Headers],[4]],Eingabe[Wo],"H")=0,"",ROUND(AVERAGEIFS(Eingabe[GES],Eingabe[Name],ErgebnisPositionH[[#This Row],[Name]],Eingabe[Position],ErgebnisPositionH[[#Headers],[4]],Eingabe[Wo],"H"),0))</f>
        <v/>
      </c>
      <c r="R4" s="189" t="str">
        <f>IF(COUNTIFS(Eingabe[Name],ErgebnisPositionH[[#This Row],[Name]],Eingabe[Position],ErgebnisPositionH[[#Headers],[5]],Eingabe[Wo],"H")=0,"",ROUND(AVERAGEIFS(Eingabe[GES],Eingabe[Name],ErgebnisPositionH[[#This Row],[Name]],Eingabe[Position],ErgebnisPositionH[[#Headers],[5]],Eingabe[Wo],"H"),0))</f>
        <v/>
      </c>
      <c r="S4" s="189" t="str">
        <f>IF(COUNTIFS(Eingabe[Name],ErgebnisPositionH[[#This Row],[Name]],Eingabe[Position],ErgebnisPositionH[[#Headers],[6]],Eingabe[Wo],"H")=0,"",ROUND(AVERAGEIFS(Eingabe[GES],Eingabe[Name],ErgebnisPositionH[[#This Row],[Name]],Eingabe[Position],ErgebnisPositionH[[#Headers],[6]],Eingabe[Wo],"H"),0))</f>
        <v/>
      </c>
      <c r="V4" s="188" t="str">
        <f>ErgebnisPosition[[#This Row],[Name]]</f>
        <v>Andreas Rippin</v>
      </c>
      <c r="W4" s="188" t="str">
        <f>VLOOKUP(ErgebnisPositionA[[#This Row],[Name]],Teamzuordnung[[Name]:[Team]],2,FALSE)</f>
        <v>E</v>
      </c>
      <c r="X4" s="189">
        <f>IF(COUNTIFS(Eingabe[Name],ErgebnisPositionA[[#This Row],[Name]],Eingabe[Position],ErgebnisPositionA[[#Headers],[1]],Eingabe[Wo],"A")=0,"",ROUND(AVERAGEIFS(Eingabe[GES],Eingabe[Name],ErgebnisPositionA[[#This Row],[Name]],Eingabe[Position],ErgebnisPositionA[[#Headers],[1]],Eingabe[Wo],"A"),0))</f>
        <v>546</v>
      </c>
      <c r="Y4" s="189">
        <f>IF(COUNTIFS(Eingabe[Name],ErgebnisPositionA[[#This Row],[Name]],Eingabe[Position],ErgebnisPositionA[[#Headers],[2]],Eingabe[Wo],"A")=0,"",ROUND(AVERAGEIFS(Eingabe[GES],Eingabe[Name],ErgebnisPositionA[[#This Row],[Name]],Eingabe[Position],ErgebnisPositionA[[#Headers],[2]],Eingabe[Wo],"A"),0))</f>
        <v>506</v>
      </c>
      <c r="Z4" s="189" t="str">
        <f>IF(COUNTIFS(Eingabe[Name],ErgebnisPositionA[[#This Row],[Name]],Eingabe[Position],ErgebnisPositionA[[#Headers],[3]],Eingabe[Wo],"A")=0,"",ROUND(AVERAGEIFS(Eingabe[GES],Eingabe[Name],ErgebnisPositionA[[#This Row],[Name]],Eingabe[Position],ErgebnisPositionA[[#Headers],[3]],Eingabe[Wo],"A"),0))</f>
        <v/>
      </c>
      <c r="AA4" s="189" t="str">
        <f>IF(COUNTIFS(Eingabe[Name],ErgebnisPositionA[[#This Row],[Name]],Eingabe[Position],ErgebnisPositionA[[#Headers],[4]],Eingabe[Wo],"A")=0,"",ROUND(AVERAGEIFS(Eingabe[GES],Eingabe[Name],ErgebnisPositionA[[#This Row],[Name]],Eingabe[Position],ErgebnisPositionA[[#Headers],[4]],Eingabe[Wo],"A"),0))</f>
        <v/>
      </c>
      <c r="AB4" s="189">
        <f>IF(COUNTIFS(Eingabe[Name],ErgebnisPositionA[[#This Row],[Name]],Eingabe[Position],ErgebnisPositionA[[#Headers],[5]],Eingabe[Wo],"A")=0,"",ROUND(AVERAGEIFS(Eingabe[GES],Eingabe[Name],ErgebnisPositionA[[#This Row],[Name]],Eingabe[Position],ErgebnisPositionA[[#Headers],[5]],Eingabe[Wo],"A"),0))</f>
        <v>479</v>
      </c>
      <c r="AC4" s="189" t="str">
        <f>IF(COUNTIFS(Eingabe[Name],ErgebnisPositionA[[#This Row],[Name]],Eingabe[Position],ErgebnisPositionA[[#Headers],[6]],Eingabe[Wo],"A")=0,"",ROUND(AVERAGEIFS(Eingabe[GES],Eingabe[Name],ErgebnisPositionA[[#This Row],[Name]],Eingabe[Position],ErgebnisPositionA[[#Headers],[6]],Eingabe[Wo],"A"),0))</f>
        <v/>
      </c>
      <c r="AF4" s="220" t="str" cm="1">
        <f t="array" ref="AF4:AF11">_xlfn._xlws.FILTER(ErgebnisPosition[Name],ErgebnisPosition[Team]=AE3,"")</f>
        <v>Anastasia Landau</v>
      </c>
      <c r="AG4" s="214" t="str" cm="1">
        <f t="array" ref="AG4:AL11">_xlfn._xlws.FILTER(ErgebnisPosition[[1]:[6]],ErgebnisPosition[Team]=AE3,"")</f>
        <v/>
      </c>
      <c r="AH4" s="210" t="str">
        <v/>
      </c>
      <c r="AI4" s="210" t="str">
        <v/>
      </c>
      <c r="AJ4" s="210" t="str">
        <v/>
      </c>
      <c r="AK4" s="210" t="str">
        <v/>
      </c>
      <c r="AL4" s="215" t="str">
        <v/>
      </c>
      <c r="AM4" s="214" t="str" cm="1">
        <f t="array" ref="AM4:AR11">_xlfn._xlws.FILTER(ErgebnisPositionH[[1]:[6]],ErgebnisPositionH[Team]=AE3,"")</f>
        <v/>
      </c>
      <c r="AN4" s="210" t="str">
        <v/>
      </c>
      <c r="AO4" s="210" t="str">
        <v/>
      </c>
      <c r="AP4" s="210" t="str">
        <v/>
      </c>
      <c r="AQ4" s="210" t="str">
        <v/>
      </c>
      <c r="AR4" s="215" t="str">
        <v/>
      </c>
      <c r="AS4" s="214" t="str" cm="1">
        <f t="array" ref="AS4:AX11">_xlfn._xlws.FILTER(ErgebnisPositionA[[1]:[6]],ErgebnisPositionA[Team]=AE3,"")</f>
        <v/>
      </c>
      <c r="AT4" s="210" t="str">
        <v/>
      </c>
      <c r="AU4" s="210" t="str">
        <v/>
      </c>
      <c r="AV4" s="210" t="str">
        <v/>
      </c>
      <c r="AW4" s="210" t="str">
        <v/>
      </c>
      <c r="AX4" s="215" t="str">
        <v/>
      </c>
    </row>
    <row r="5" spans="1:50" ht="15.6" x14ac:dyDescent="0.3">
      <c r="B5" s="188" t="str">
        <f>Übersicht!B6</f>
        <v>Anna Müller</v>
      </c>
      <c r="C5" s="188" t="str">
        <f>VLOOKUP(ErgebnisPosition[[#This Row],[Name]],Teamzuordnung[[Name]:[Team]],2,FALSE)</f>
        <v>U19</v>
      </c>
      <c r="D5" s="189">
        <f>IF(COUNTIFS(Eingabe[Name],ErgebnisPosition[[#This Row],[Name]],Eingabe[Position],ErgebnisPosition[[#Headers],[1]])=0,"",ROUND(AVERAGEIFS(Eingabe[GES],Eingabe[Name],ErgebnisPosition[[#This Row],[Name]],Eingabe[Position],ErgebnisPosition[[#Headers],[1]]),0))</f>
        <v>506</v>
      </c>
      <c r="E5" s="189" t="str">
        <f>IF(COUNTIFS(Eingabe[Name],ErgebnisPosition[[#This Row],[Name]],Eingabe[Position],ErgebnisPosition[[#Headers],[2]])=0,"",ROUND(AVERAGEIFS(Eingabe[GES],Eingabe[Name],ErgebnisPosition[[#This Row],[Name]],Eingabe[Position],ErgebnisPosition[[#Headers],[2]]),0))</f>
        <v/>
      </c>
      <c r="F5" s="189">
        <f>IF(COUNTIFS(Eingabe[Name],ErgebnisPosition[[#This Row],[Name]],Eingabe[Position],ErgebnisPosition[[#Headers],[3]])=0,"",ROUND(AVERAGEIFS(Eingabe[GES],Eingabe[Name],ErgebnisPosition[[#This Row],[Name]],Eingabe[Position],ErgebnisPosition[[#Headers],[3]]),0))</f>
        <v>506</v>
      </c>
      <c r="G5" s="189" t="str">
        <f>IF(COUNTIFS(Eingabe[Name],ErgebnisPosition[[#This Row],[Name]],Eingabe[Position],ErgebnisPosition[[#Headers],[4]])=0,"",ROUND(AVERAGEIFS(Eingabe[GES],Eingabe[Name],ErgebnisPosition[[#This Row],[Name]],Eingabe[Position],ErgebnisPosition[[#Headers],[4]]),0))</f>
        <v/>
      </c>
      <c r="H5" s="189" t="str">
        <f>IF(COUNTIFS(Eingabe[Name],ErgebnisPosition[[#This Row],[Name]],Eingabe[Position],ErgebnisPosition[[#Headers],[5]])=0,"",ROUND(AVERAGEIFS(Eingabe[GES],Eingabe[Name],ErgebnisPosition[[#This Row],[Name]],Eingabe[Position],ErgebnisPosition[[#Headers],[5]]),0))</f>
        <v/>
      </c>
      <c r="I5" s="189" t="str">
        <f>IF(COUNTIFS(Eingabe[Name],ErgebnisPosition[[#This Row],[Name]],Eingabe[Position],ErgebnisPosition[[#Headers],[6]])=0,"",ROUND(AVERAGEIFS(Eingabe[GES],Eingabe[Name],ErgebnisPosition[[#This Row],[Name]],Eingabe[Position],ErgebnisPosition[[#Headers],[6]]),0))</f>
        <v/>
      </c>
      <c r="L5" s="188" t="str">
        <f>ErgebnisPosition[[#This Row],[Name]]</f>
        <v>Anna Müller</v>
      </c>
      <c r="M5" s="188" t="str">
        <f>VLOOKUP(ErgebnisPositionH[[#This Row],[Name]],Teamzuordnung[[Name]:[Team]],2,FALSE)</f>
        <v>U19</v>
      </c>
      <c r="N5" s="189">
        <f>IF(COUNTIFS(Eingabe[Name],ErgebnisPositionH[[#This Row],[Name]],Eingabe[Position],ErgebnisPositionH[[#Headers],[1]],Eingabe[Wo],"H")=0,"",ROUND(AVERAGEIFS(Eingabe[GES],Eingabe[Name],ErgebnisPositionH[[#This Row],[Name]],Eingabe[Position],ErgebnisPositionH[[#Headers],[1]],Eingabe[Wo],"H"),0))</f>
        <v>506</v>
      </c>
      <c r="O5" s="189" t="str">
        <f>IF(COUNTIFS(Eingabe[Name],ErgebnisPositionH[[#This Row],[Name]],Eingabe[Position],ErgebnisPositionH[[#Headers],[2]],Eingabe[Wo],"H")=0,"",ROUND(AVERAGEIFS(Eingabe[GES],Eingabe[Name],ErgebnisPositionH[[#This Row],[Name]],Eingabe[Position],ErgebnisPositionH[[#Headers],[2]],Eingabe[Wo],"H"),0))</f>
        <v/>
      </c>
      <c r="P5" s="189">
        <f>IF(COUNTIFS(Eingabe[Name],ErgebnisPositionH[[#This Row],[Name]],Eingabe[Position],ErgebnisPositionH[[#Headers],[3]],Eingabe[Wo],"H")=0,"",ROUND(AVERAGEIFS(Eingabe[GES],Eingabe[Name],ErgebnisPositionH[[#This Row],[Name]],Eingabe[Position],ErgebnisPositionH[[#Headers],[3]],Eingabe[Wo],"H"),0))</f>
        <v>506</v>
      </c>
      <c r="Q5" s="189" t="str">
        <f>IF(COUNTIFS(Eingabe[Name],ErgebnisPositionH[[#This Row],[Name]],Eingabe[Position],ErgebnisPositionH[[#Headers],[4]],Eingabe[Wo],"H")=0,"",ROUND(AVERAGEIFS(Eingabe[GES],Eingabe[Name],ErgebnisPositionH[[#This Row],[Name]],Eingabe[Position],ErgebnisPositionH[[#Headers],[4]],Eingabe[Wo],"H"),0))</f>
        <v/>
      </c>
      <c r="R5" s="189" t="str">
        <f>IF(COUNTIFS(Eingabe[Name],ErgebnisPositionH[[#This Row],[Name]],Eingabe[Position],ErgebnisPositionH[[#Headers],[5]],Eingabe[Wo],"H")=0,"",ROUND(AVERAGEIFS(Eingabe[GES],Eingabe[Name],ErgebnisPositionH[[#This Row],[Name]],Eingabe[Position],ErgebnisPositionH[[#Headers],[5]],Eingabe[Wo],"H"),0))</f>
        <v/>
      </c>
      <c r="S5" s="189" t="str">
        <f>IF(COUNTIFS(Eingabe[Name],ErgebnisPositionH[[#This Row],[Name]],Eingabe[Position],ErgebnisPositionH[[#Headers],[6]],Eingabe[Wo],"H")=0,"",ROUND(AVERAGEIFS(Eingabe[GES],Eingabe[Name],ErgebnisPositionH[[#This Row],[Name]],Eingabe[Position],ErgebnisPositionH[[#Headers],[6]],Eingabe[Wo],"H"),0))</f>
        <v/>
      </c>
      <c r="V5" s="188" t="str">
        <f>ErgebnisPosition[[#This Row],[Name]]</f>
        <v>Anna Müller</v>
      </c>
      <c r="W5" s="188" t="str">
        <f>VLOOKUP(ErgebnisPositionA[[#This Row],[Name]],Teamzuordnung[[Name]:[Team]],2,FALSE)</f>
        <v>U19</v>
      </c>
      <c r="X5" s="189" t="str">
        <f>IF(COUNTIFS(Eingabe[Name],ErgebnisPositionA[[#This Row],[Name]],Eingabe[Position],ErgebnisPositionA[[#Headers],[1]],Eingabe[Wo],"A")=0,"",ROUND(AVERAGEIFS(Eingabe[GES],Eingabe[Name],ErgebnisPositionA[[#This Row],[Name]],Eingabe[Position],ErgebnisPositionA[[#Headers],[1]],Eingabe[Wo],"A"),0))</f>
        <v/>
      </c>
      <c r="Y5" s="189" t="str">
        <f>IF(COUNTIFS(Eingabe[Name],ErgebnisPositionA[[#This Row],[Name]],Eingabe[Position],ErgebnisPositionA[[#Headers],[2]],Eingabe[Wo],"A")=0,"",ROUND(AVERAGEIFS(Eingabe[GES],Eingabe[Name],ErgebnisPositionA[[#This Row],[Name]],Eingabe[Position],ErgebnisPositionA[[#Headers],[2]],Eingabe[Wo],"A"),0))</f>
        <v/>
      </c>
      <c r="Z5" s="189" t="str">
        <f>IF(COUNTIFS(Eingabe[Name],ErgebnisPositionA[[#This Row],[Name]],Eingabe[Position],ErgebnisPositionA[[#Headers],[3]],Eingabe[Wo],"A")=0,"",ROUND(AVERAGEIFS(Eingabe[GES],Eingabe[Name],ErgebnisPositionA[[#This Row],[Name]],Eingabe[Position],ErgebnisPositionA[[#Headers],[3]],Eingabe[Wo],"A"),0))</f>
        <v/>
      </c>
      <c r="AA5" s="189" t="str">
        <f>IF(COUNTIFS(Eingabe[Name],ErgebnisPositionA[[#This Row],[Name]],Eingabe[Position],ErgebnisPositionA[[#Headers],[4]],Eingabe[Wo],"A")=0,"",ROUND(AVERAGEIFS(Eingabe[GES],Eingabe[Name],ErgebnisPositionA[[#This Row],[Name]],Eingabe[Position],ErgebnisPositionA[[#Headers],[4]],Eingabe[Wo],"A"),0))</f>
        <v/>
      </c>
      <c r="AB5" s="189" t="str">
        <f>IF(COUNTIFS(Eingabe[Name],ErgebnisPositionA[[#This Row],[Name]],Eingabe[Position],ErgebnisPositionA[[#Headers],[5]],Eingabe[Wo],"A")=0,"",ROUND(AVERAGEIFS(Eingabe[GES],Eingabe[Name],ErgebnisPositionA[[#This Row],[Name]],Eingabe[Position],ErgebnisPositionA[[#Headers],[5]],Eingabe[Wo],"A"),0))</f>
        <v/>
      </c>
      <c r="AC5" s="189" t="str">
        <f>IF(COUNTIFS(Eingabe[Name],ErgebnisPositionA[[#This Row],[Name]],Eingabe[Position],ErgebnisPositionA[[#Headers],[6]],Eingabe[Wo],"A")=0,"",ROUND(AVERAGEIFS(Eingabe[GES],Eingabe[Name],ErgebnisPositionA[[#This Row],[Name]],Eingabe[Position],ErgebnisPositionA[[#Headers],[6]],Eingabe[Wo],"A"),0))</f>
        <v/>
      </c>
      <c r="AF5" s="220" t="str">
        <v>Heike Scholz</v>
      </c>
      <c r="AG5" s="214" t="str">
        <v/>
      </c>
      <c r="AH5" s="210">
        <v>505</v>
      </c>
      <c r="AI5" s="210">
        <v>540</v>
      </c>
      <c r="AJ5" s="210">
        <v>508</v>
      </c>
      <c r="AK5" s="210">
        <v>503</v>
      </c>
      <c r="AL5" s="215" t="str">
        <v/>
      </c>
      <c r="AM5" s="214" t="str">
        <v/>
      </c>
      <c r="AN5" s="210">
        <v>505</v>
      </c>
      <c r="AO5" s="210" t="str">
        <v/>
      </c>
      <c r="AP5" s="210">
        <v>506</v>
      </c>
      <c r="AQ5" s="210">
        <v>503</v>
      </c>
      <c r="AR5" s="215" t="str">
        <v/>
      </c>
      <c r="AS5" s="214" t="str">
        <v/>
      </c>
      <c r="AT5" s="210" t="str">
        <v/>
      </c>
      <c r="AU5" s="210">
        <v>540</v>
      </c>
      <c r="AV5" s="210">
        <v>509</v>
      </c>
      <c r="AW5" s="210" t="str">
        <v/>
      </c>
      <c r="AX5" s="215" t="str">
        <v/>
      </c>
    </row>
    <row r="6" spans="1:50" ht="15.6" x14ac:dyDescent="0.3">
      <c r="B6" s="188" t="str">
        <f>Übersicht!B7</f>
        <v>Ben Becker</v>
      </c>
      <c r="C6" s="188" t="str">
        <f>VLOOKUP(ErgebnisPosition[[#This Row],[Name]],Teamzuordnung[[Name]:[Team]],2,FALSE)</f>
        <v>D</v>
      </c>
      <c r="D6" s="189" t="str">
        <f>IF(COUNTIFS(Eingabe[Name],ErgebnisPosition[[#This Row],[Name]],Eingabe[Position],ErgebnisPosition[[#Headers],[1]])=0,"",ROUND(AVERAGEIFS(Eingabe[GES],Eingabe[Name],ErgebnisPosition[[#This Row],[Name]],Eingabe[Position],ErgebnisPosition[[#Headers],[1]]),0))</f>
        <v/>
      </c>
      <c r="E6" s="189" t="str">
        <f>IF(COUNTIFS(Eingabe[Name],ErgebnisPosition[[#This Row],[Name]],Eingabe[Position],ErgebnisPosition[[#Headers],[2]])=0,"",ROUND(AVERAGEIFS(Eingabe[GES],Eingabe[Name],ErgebnisPosition[[#This Row],[Name]],Eingabe[Position],ErgebnisPosition[[#Headers],[2]]),0))</f>
        <v/>
      </c>
      <c r="F6" s="189" t="str">
        <f>IF(COUNTIFS(Eingabe[Name],ErgebnisPosition[[#This Row],[Name]],Eingabe[Position],ErgebnisPosition[[#Headers],[3]])=0,"",ROUND(AVERAGEIFS(Eingabe[GES],Eingabe[Name],ErgebnisPosition[[#This Row],[Name]],Eingabe[Position],ErgebnisPosition[[#Headers],[3]]),0))</f>
        <v/>
      </c>
      <c r="G6" s="189" t="str">
        <f>IF(COUNTIFS(Eingabe[Name],ErgebnisPosition[[#This Row],[Name]],Eingabe[Position],ErgebnisPosition[[#Headers],[4]])=0,"",ROUND(AVERAGEIFS(Eingabe[GES],Eingabe[Name],ErgebnisPosition[[#This Row],[Name]],Eingabe[Position],ErgebnisPosition[[#Headers],[4]]),0))</f>
        <v/>
      </c>
      <c r="H6" s="189" t="str">
        <f>IF(COUNTIFS(Eingabe[Name],ErgebnisPosition[[#This Row],[Name]],Eingabe[Position],ErgebnisPosition[[#Headers],[5]])=0,"",ROUND(AVERAGEIFS(Eingabe[GES],Eingabe[Name],ErgebnisPosition[[#This Row],[Name]],Eingabe[Position],ErgebnisPosition[[#Headers],[5]]),0))</f>
        <v/>
      </c>
      <c r="I6" s="189" t="str">
        <f>IF(COUNTIFS(Eingabe[Name],ErgebnisPosition[[#This Row],[Name]],Eingabe[Position],ErgebnisPosition[[#Headers],[6]])=0,"",ROUND(AVERAGEIFS(Eingabe[GES],Eingabe[Name],ErgebnisPosition[[#This Row],[Name]],Eingabe[Position],ErgebnisPosition[[#Headers],[6]]),0))</f>
        <v/>
      </c>
      <c r="L6" s="188" t="str">
        <f>ErgebnisPosition[[#This Row],[Name]]</f>
        <v>Ben Becker</v>
      </c>
      <c r="M6" s="188" t="str">
        <f>VLOOKUP(ErgebnisPositionH[[#This Row],[Name]],Teamzuordnung[[Name]:[Team]],2,FALSE)</f>
        <v>D</v>
      </c>
      <c r="N6" s="189" t="str">
        <f>IF(COUNTIFS(Eingabe[Name],ErgebnisPositionH[[#This Row],[Name]],Eingabe[Position],ErgebnisPositionH[[#Headers],[1]],Eingabe[Wo],"H")=0,"",ROUND(AVERAGEIFS(Eingabe[GES],Eingabe[Name],ErgebnisPositionH[[#This Row],[Name]],Eingabe[Position],ErgebnisPositionH[[#Headers],[1]],Eingabe[Wo],"H"),0))</f>
        <v/>
      </c>
      <c r="O6" s="189" t="str">
        <f>IF(COUNTIFS(Eingabe[Name],ErgebnisPositionH[[#This Row],[Name]],Eingabe[Position],ErgebnisPositionH[[#Headers],[2]],Eingabe[Wo],"H")=0,"",ROUND(AVERAGEIFS(Eingabe[GES],Eingabe[Name],ErgebnisPositionH[[#This Row],[Name]],Eingabe[Position],ErgebnisPositionH[[#Headers],[2]],Eingabe[Wo],"H"),0))</f>
        <v/>
      </c>
      <c r="P6" s="189" t="str">
        <f>IF(COUNTIFS(Eingabe[Name],ErgebnisPositionH[[#This Row],[Name]],Eingabe[Position],ErgebnisPositionH[[#Headers],[3]],Eingabe[Wo],"H")=0,"",ROUND(AVERAGEIFS(Eingabe[GES],Eingabe[Name],ErgebnisPositionH[[#This Row],[Name]],Eingabe[Position],ErgebnisPositionH[[#Headers],[3]],Eingabe[Wo],"H"),0))</f>
        <v/>
      </c>
      <c r="Q6" s="189" t="str">
        <f>IF(COUNTIFS(Eingabe[Name],ErgebnisPositionH[[#This Row],[Name]],Eingabe[Position],ErgebnisPositionH[[#Headers],[4]],Eingabe[Wo],"H")=0,"",ROUND(AVERAGEIFS(Eingabe[GES],Eingabe[Name],ErgebnisPositionH[[#This Row],[Name]],Eingabe[Position],ErgebnisPositionH[[#Headers],[4]],Eingabe[Wo],"H"),0))</f>
        <v/>
      </c>
      <c r="R6" s="189" t="str">
        <f>IF(COUNTIFS(Eingabe[Name],ErgebnisPositionH[[#This Row],[Name]],Eingabe[Position],ErgebnisPositionH[[#Headers],[5]],Eingabe[Wo],"H")=0,"",ROUND(AVERAGEIFS(Eingabe[GES],Eingabe[Name],ErgebnisPositionH[[#This Row],[Name]],Eingabe[Position],ErgebnisPositionH[[#Headers],[5]],Eingabe[Wo],"H"),0))</f>
        <v/>
      </c>
      <c r="S6" s="189" t="str">
        <f>IF(COUNTIFS(Eingabe[Name],ErgebnisPositionH[[#This Row],[Name]],Eingabe[Position],ErgebnisPositionH[[#Headers],[6]],Eingabe[Wo],"H")=0,"",ROUND(AVERAGEIFS(Eingabe[GES],Eingabe[Name],ErgebnisPositionH[[#This Row],[Name]],Eingabe[Position],ErgebnisPositionH[[#Headers],[6]],Eingabe[Wo],"H"),0))</f>
        <v/>
      </c>
      <c r="V6" s="188" t="str">
        <f>ErgebnisPosition[[#This Row],[Name]]</f>
        <v>Ben Becker</v>
      </c>
      <c r="W6" s="188" t="str">
        <f>VLOOKUP(ErgebnisPositionA[[#This Row],[Name]],Teamzuordnung[[Name]:[Team]],2,FALSE)</f>
        <v>D</v>
      </c>
      <c r="X6" s="189" t="str">
        <f>IF(COUNTIFS(Eingabe[Name],ErgebnisPositionA[[#This Row],[Name]],Eingabe[Position],ErgebnisPositionA[[#Headers],[1]],Eingabe[Wo],"A")=0,"",ROUND(AVERAGEIFS(Eingabe[GES],Eingabe[Name],ErgebnisPositionA[[#This Row],[Name]],Eingabe[Position],ErgebnisPositionA[[#Headers],[1]],Eingabe[Wo],"A"),0))</f>
        <v/>
      </c>
      <c r="Y6" s="189" t="str">
        <f>IF(COUNTIFS(Eingabe[Name],ErgebnisPositionA[[#This Row],[Name]],Eingabe[Position],ErgebnisPositionA[[#Headers],[2]],Eingabe[Wo],"A")=0,"",ROUND(AVERAGEIFS(Eingabe[GES],Eingabe[Name],ErgebnisPositionA[[#This Row],[Name]],Eingabe[Position],ErgebnisPositionA[[#Headers],[2]],Eingabe[Wo],"A"),0))</f>
        <v/>
      </c>
      <c r="Z6" s="189" t="str">
        <f>IF(COUNTIFS(Eingabe[Name],ErgebnisPositionA[[#This Row],[Name]],Eingabe[Position],ErgebnisPositionA[[#Headers],[3]],Eingabe[Wo],"A")=0,"",ROUND(AVERAGEIFS(Eingabe[GES],Eingabe[Name],ErgebnisPositionA[[#This Row],[Name]],Eingabe[Position],ErgebnisPositionA[[#Headers],[3]],Eingabe[Wo],"A"),0))</f>
        <v/>
      </c>
      <c r="AA6" s="189" t="str">
        <f>IF(COUNTIFS(Eingabe[Name],ErgebnisPositionA[[#This Row],[Name]],Eingabe[Position],ErgebnisPositionA[[#Headers],[4]],Eingabe[Wo],"A")=0,"",ROUND(AVERAGEIFS(Eingabe[GES],Eingabe[Name],ErgebnisPositionA[[#This Row],[Name]],Eingabe[Position],ErgebnisPositionA[[#Headers],[4]],Eingabe[Wo],"A"),0))</f>
        <v/>
      </c>
      <c r="AB6" s="189" t="str">
        <f>IF(COUNTIFS(Eingabe[Name],ErgebnisPositionA[[#This Row],[Name]],Eingabe[Position],ErgebnisPositionA[[#Headers],[5]],Eingabe[Wo],"A")=0,"",ROUND(AVERAGEIFS(Eingabe[GES],Eingabe[Name],ErgebnisPositionA[[#This Row],[Name]],Eingabe[Position],ErgebnisPositionA[[#Headers],[5]],Eingabe[Wo],"A"),0))</f>
        <v/>
      </c>
      <c r="AC6" s="189" t="str">
        <f>IF(COUNTIFS(Eingabe[Name],ErgebnisPositionA[[#This Row],[Name]],Eingabe[Position],ErgebnisPositionA[[#Headers],[6]],Eingabe[Wo],"A")=0,"",ROUND(AVERAGEIFS(Eingabe[GES],Eingabe[Name],ErgebnisPositionA[[#This Row],[Name]],Eingabe[Position],ErgebnisPositionA[[#Headers],[6]],Eingabe[Wo],"A"),0))</f>
        <v/>
      </c>
      <c r="AF6" s="220" t="str">
        <v>Katrin Fiedler</v>
      </c>
      <c r="AG6" s="214" t="str">
        <v/>
      </c>
      <c r="AH6" s="210" t="str">
        <v/>
      </c>
      <c r="AI6" s="210" t="str">
        <v/>
      </c>
      <c r="AJ6" s="210">
        <v>539</v>
      </c>
      <c r="AK6" s="210" t="str">
        <v/>
      </c>
      <c r="AL6" s="215">
        <v>496</v>
      </c>
      <c r="AM6" s="214" t="str">
        <v/>
      </c>
      <c r="AN6" s="210" t="str">
        <v/>
      </c>
      <c r="AO6" s="210" t="str">
        <v/>
      </c>
      <c r="AP6" s="210" t="str">
        <v/>
      </c>
      <c r="AQ6" s="210" t="str">
        <v/>
      </c>
      <c r="AR6" s="215" t="str">
        <v/>
      </c>
      <c r="AS6" s="214" t="str">
        <v/>
      </c>
      <c r="AT6" s="210" t="str">
        <v/>
      </c>
      <c r="AU6" s="210" t="str">
        <v/>
      </c>
      <c r="AV6" s="210">
        <v>539</v>
      </c>
      <c r="AW6" s="210" t="str">
        <v/>
      </c>
      <c r="AX6" s="215">
        <v>496</v>
      </c>
    </row>
    <row r="7" spans="1:50" ht="15.6" x14ac:dyDescent="0.3">
      <c r="B7" s="188" t="str">
        <f>Übersicht!B8</f>
        <v>Ben Böhmer</v>
      </c>
      <c r="C7" s="188" t="str">
        <f>VLOOKUP(ErgebnisPosition[[#This Row],[Name]],Teamzuordnung[[Name]:[Team]],2,FALSE)</f>
        <v>U14</v>
      </c>
      <c r="D7" s="189" t="str">
        <f>IF(COUNTIFS(Eingabe[Name],ErgebnisPosition[[#This Row],[Name]],Eingabe[Position],ErgebnisPosition[[#Headers],[1]])=0,"",ROUND(AVERAGEIFS(Eingabe[GES],Eingabe[Name],ErgebnisPosition[[#This Row],[Name]],Eingabe[Position],ErgebnisPosition[[#Headers],[1]]),0))</f>
        <v/>
      </c>
      <c r="E7" s="189" t="str">
        <f>IF(COUNTIFS(Eingabe[Name],ErgebnisPosition[[#This Row],[Name]],Eingabe[Position],ErgebnisPosition[[#Headers],[2]])=0,"",ROUND(AVERAGEIFS(Eingabe[GES],Eingabe[Name],ErgebnisPosition[[#This Row],[Name]],Eingabe[Position],ErgebnisPosition[[#Headers],[2]]),0))</f>
        <v/>
      </c>
      <c r="F7" s="189" t="str">
        <f>IF(COUNTIFS(Eingabe[Name],ErgebnisPosition[[#This Row],[Name]],Eingabe[Position],ErgebnisPosition[[#Headers],[3]])=0,"",ROUND(AVERAGEIFS(Eingabe[GES],Eingabe[Name],ErgebnisPosition[[#This Row],[Name]],Eingabe[Position],ErgebnisPosition[[#Headers],[3]]),0))</f>
        <v/>
      </c>
      <c r="G7" s="189" t="str">
        <f>IF(COUNTIFS(Eingabe[Name],ErgebnisPosition[[#This Row],[Name]],Eingabe[Position],ErgebnisPosition[[#Headers],[4]])=0,"",ROUND(AVERAGEIFS(Eingabe[GES],Eingabe[Name],ErgebnisPosition[[#This Row],[Name]],Eingabe[Position],ErgebnisPosition[[#Headers],[4]]),0))</f>
        <v/>
      </c>
      <c r="H7" s="189" t="str">
        <f>IF(COUNTIFS(Eingabe[Name],ErgebnisPosition[[#This Row],[Name]],Eingabe[Position],ErgebnisPosition[[#Headers],[5]])=0,"",ROUND(AVERAGEIFS(Eingabe[GES],Eingabe[Name],ErgebnisPosition[[#This Row],[Name]],Eingabe[Position],ErgebnisPosition[[#Headers],[5]]),0))</f>
        <v/>
      </c>
      <c r="I7" s="189" t="str">
        <f>IF(COUNTIFS(Eingabe[Name],ErgebnisPosition[[#This Row],[Name]],Eingabe[Position],ErgebnisPosition[[#Headers],[6]])=0,"",ROUND(AVERAGEIFS(Eingabe[GES],Eingabe[Name],ErgebnisPosition[[#This Row],[Name]],Eingabe[Position],ErgebnisPosition[[#Headers],[6]]),0))</f>
        <v/>
      </c>
      <c r="L7" s="188" t="str">
        <f>ErgebnisPosition[[#This Row],[Name]]</f>
        <v>Ben Böhmer</v>
      </c>
      <c r="M7" s="188" t="str">
        <f>VLOOKUP(ErgebnisPositionH[[#This Row],[Name]],Teamzuordnung[[Name]:[Team]],2,FALSE)</f>
        <v>U14</v>
      </c>
      <c r="N7" s="189" t="str">
        <f>IF(COUNTIFS(Eingabe[Name],ErgebnisPositionH[[#This Row],[Name]],Eingabe[Position],ErgebnisPositionH[[#Headers],[1]],Eingabe[Wo],"H")=0,"",ROUND(AVERAGEIFS(Eingabe[GES],Eingabe[Name],ErgebnisPositionH[[#This Row],[Name]],Eingabe[Position],ErgebnisPositionH[[#Headers],[1]],Eingabe[Wo],"H"),0))</f>
        <v/>
      </c>
      <c r="O7" s="189" t="str">
        <f>IF(COUNTIFS(Eingabe[Name],ErgebnisPositionH[[#This Row],[Name]],Eingabe[Position],ErgebnisPositionH[[#Headers],[2]],Eingabe[Wo],"H")=0,"",ROUND(AVERAGEIFS(Eingabe[GES],Eingabe[Name],ErgebnisPositionH[[#This Row],[Name]],Eingabe[Position],ErgebnisPositionH[[#Headers],[2]],Eingabe[Wo],"H"),0))</f>
        <v/>
      </c>
      <c r="P7" s="189" t="str">
        <f>IF(COUNTIFS(Eingabe[Name],ErgebnisPositionH[[#This Row],[Name]],Eingabe[Position],ErgebnisPositionH[[#Headers],[3]],Eingabe[Wo],"H")=0,"",ROUND(AVERAGEIFS(Eingabe[GES],Eingabe[Name],ErgebnisPositionH[[#This Row],[Name]],Eingabe[Position],ErgebnisPositionH[[#Headers],[3]],Eingabe[Wo],"H"),0))</f>
        <v/>
      </c>
      <c r="Q7" s="189" t="str">
        <f>IF(COUNTIFS(Eingabe[Name],ErgebnisPositionH[[#This Row],[Name]],Eingabe[Position],ErgebnisPositionH[[#Headers],[4]],Eingabe[Wo],"H")=0,"",ROUND(AVERAGEIFS(Eingabe[GES],Eingabe[Name],ErgebnisPositionH[[#This Row],[Name]],Eingabe[Position],ErgebnisPositionH[[#Headers],[4]],Eingabe[Wo],"H"),0))</f>
        <v/>
      </c>
      <c r="R7" s="189" t="str">
        <f>IF(COUNTIFS(Eingabe[Name],ErgebnisPositionH[[#This Row],[Name]],Eingabe[Position],ErgebnisPositionH[[#Headers],[5]],Eingabe[Wo],"H")=0,"",ROUND(AVERAGEIFS(Eingabe[GES],Eingabe[Name],ErgebnisPositionH[[#This Row],[Name]],Eingabe[Position],ErgebnisPositionH[[#Headers],[5]],Eingabe[Wo],"H"),0))</f>
        <v/>
      </c>
      <c r="S7" s="189" t="str">
        <f>IF(COUNTIFS(Eingabe[Name],ErgebnisPositionH[[#This Row],[Name]],Eingabe[Position],ErgebnisPositionH[[#Headers],[6]],Eingabe[Wo],"H")=0,"",ROUND(AVERAGEIFS(Eingabe[GES],Eingabe[Name],ErgebnisPositionH[[#This Row],[Name]],Eingabe[Position],ErgebnisPositionH[[#Headers],[6]],Eingabe[Wo],"H"),0))</f>
        <v/>
      </c>
      <c r="V7" s="188" t="str">
        <f>ErgebnisPosition[[#This Row],[Name]]</f>
        <v>Ben Böhmer</v>
      </c>
      <c r="W7" s="188" t="str">
        <f>VLOOKUP(ErgebnisPositionA[[#This Row],[Name]],Teamzuordnung[[Name]:[Team]],2,FALSE)</f>
        <v>U14</v>
      </c>
      <c r="X7" s="189" t="str">
        <f>IF(COUNTIFS(Eingabe[Name],ErgebnisPositionA[[#This Row],[Name]],Eingabe[Position],ErgebnisPositionA[[#Headers],[1]],Eingabe[Wo],"A")=0,"",ROUND(AVERAGEIFS(Eingabe[GES],Eingabe[Name],ErgebnisPositionA[[#This Row],[Name]],Eingabe[Position],ErgebnisPositionA[[#Headers],[1]],Eingabe[Wo],"A"),0))</f>
        <v/>
      </c>
      <c r="Y7" s="189" t="str">
        <f>IF(COUNTIFS(Eingabe[Name],ErgebnisPositionA[[#This Row],[Name]],Eingabe[Position],ErgebnisPositionA[[#Headers],[2]],Eingabe[Wo],"A")=0,"",ROUND(AVERAGEIFS(Eingabe[GES],Eingabe[Name],ErgebnisPositionA[[#This Row],[Name]],Eingabe[Position],ErgebnisPositionA[[#Headers],[2]],Eingabe[Wo],"A"),0))</f>
        <v/>
      </c>
      <c r="Z7" s="189" t="str">
        <f>IF(COUNTIFS(Eingabe[Name],ErgebnisPositionA[[#This Row],[Name]],Eingabe[Position],ErgebnisPositionA[[#Headers],[3]],Eingabe[Wo],"A")=0,"",ROUND(AVERAGEIFS(Eingabe[GES],Eingabe[Name],ErgebnisPositionA[[#This Row],[Name]],Eingabe[Position],ErgebnisPositionA[[#Headers],[3]],Eingabe[Wo],"A"),0))</f>
        <v/>
      </c>
      <c r="AA7" s="189" t="str">
        <f>IF(COUNTIFS(Eingabe[Name],ErgebnisPositionA[[#This Row],[Name]],Eingabe[Position],ErgebnisPositionA[[#Headers],[4]],Eingabe[Wo],"A")=0,"",ROUND(AVERAGEIFS(Eingabe[GES],Eingabe[Name],ErgebnisPositionA[[#This Row],[Name]],Eingabe[Position],ErgebnisPositionA[[#Headers],[4]],Eingabe[Wo],"A"),0))</f>
        <v/>
      </c>
      <c r="AB7" s="189" t="str">
        <f>IF(COUNTIFS(Eingabe[Name],ErgebnisPositionA[[#This Row],[Name]],Eingabe[Position],ErgebnisPositionA[[#Headers],[5]],Eingabe[Wo],"A")=0,"",ROUND(AVERAGEIFS(Eingabe[GES],Eingabe[Name],ErgebnisPositionA[[#This Row],[Name]],Eingabe[Position],ErgebnisPositionA[[#Headers],[5]],Eingabe[Wo],"A"),0))</f>
        <v/>
      </c>
      <c r="AC7" s="189" t="str">
        <f>IF(COUNTIFS(Eingabe[Name],ErgebnisPositionA[[#This Row],[Name]],Eingabe[Position],ErgebnisPositionA[[#Headers],[6]],Eingabe[Wo],"A")=0,"",ROUND(AVERAGEIFS(Eingabe[GES],Eingabe[Name],ErgebnisPositionA[[#This Row],[Name]],Eingabe[Position],ErgebnisPositionA[[#Headers],[6]],Eingabe[Wo],"A"),0))</f>
        <v/>
      </c>
      <c r="AF7" s="220" t="str">
        <v>Katrin Keller</v>
      </c>
      <c r="AG7" s="214">
        <v>498</v>
      </c>
      <c r="AH7" s="210">
        <v>470</v>
      </c>
      <c r="AI7" s="210">
        <v>479</v>
      </c>
      <c r="AJ7" s="210">
        <v>508</v>
      </c>
      <c r="AK7" s="210" t="str">
        <v/>
      </c>
      <c r="AL7" s="215" t="str">
        <v/>
      </c>
      <c r="AM7" s="214">
        <v>498</v>
      </c>
      <c r="AN7" s="210" t="str">
        <v/>
      </c>
      <c r="AO7" s="210">
        <v>537</v>
      </c>
      <c r="AP7" s="210" t="str">
        <v/>
      </c>
      <c r="AQ7" s="210" t="str">
        <v/>
      </c>
      <c r="AR7" s="215" t="str">
        <v/>
      </c>
      <c r="AS7" s="214" t="str">
        <v/>
      </c>
      <c r="AT7" s="210">
        <v>470</v>
      </c>
      <c r="AU7" s="210">
        <v>451</v>
      </c>
      <c r="AV7" s="210">
        <v>508</v>
      </c>
      <c r="AW7" s="210" t="str">
        <v/>
      </c>
      <c r="AX7" s="215" t="str">
        <v/>
      </c>
    </row>
    <row r="8" spans="1:50" ht="15.6" x14ac:dyDescent="0.3">
      <c r="B8" s="188" t="str">
        <f>Übersicht!B9</f>
        <v>Bruno Bergelt</v>
      </c>
      <c r="C8" s="188" t="str">
        <f>VLOOKUP(ErgebnisPosition[[#This Row],[Name]],Teamzuordnung[[Name]:[Team]],2,FALSE)</f>
        <v>U14</v>
      </c>
      <c r="D8" s="189" t="str">
        <f>IF(COUNTIFS(Eingabe[Name],ErgebnisPosition[[#This Row],[Name]],Eingabe[Position],ErgebnisPosition[[#Headers],[1]])=0,"",ROUND(AVERAGEIFS(Eingabe[GES],Eingabe[Name],ErgebnisPosition[[#This Row],[Name]],Eingabe[Position],ErgebnisPosition[[#Headers],[1]]),0))</f>
        <v/>
      </c>
      <c r="E8" s="189" t="str">
        <f>IF(COUNTIFS(Eingabe[Name],ErgebnisPosition[[#This Row],[Name]],Eingabe[Position],ErgebnisPosition[[#Headers],[2]])=0,"",ROUND(AVERAGEIFS(Eingabe[GES],Eingabe[Name],ErgebnisPosition[[#This Row],[Name]],Eingabe[Position],ErgebnisPosition[[#Headers],[2]]),0))</f>
        <v/>
      </c>
      <c r="F8" s="189" t="str">
        <f>IF(COUNTIFS(Eingabe[Name],ErgebnisPosition[[#This Row],[Name]],Eingabe[Position],ErgebnisPosition[[#Headers],[3]])=0,"",ROUND(AVERAGEIFS(Eingabe[GES],Eingabe[Name],ErgebnisPosition[[#This Row],[Name]],Eingabe[Position],ErgebnisPosition[[#Headers],[3]]),0))</f>
        <v/>
      </c>
      <c r="G8" s="189" t="str">
        <f>IF(COUNTIFS(Eingabe[Name],ErgebnisPosition[[#This Row],[Name]],Eingabe[Position],ErgebnisPosition[[#Headers],[4]])=0,"",ROUND(AVERAGEIFS(Eingabe[GES],Eingabe[Name],ErgebnisPosition[[#This Row],[Name]],Eingabe[Position],ErgebnisPosition[[#Headers],[4]]),0))</f>
        <v/>
      </c>
      <c r="H8" s="189" t="str">
        <f>IF(COUNTIFS(Eingabe[Name],ErgebnisPosition[[#This Row],[Name]],Eingabe[Position],ErgebnisPosition[[#Headers],[5]])=0,"",ROUND(AVERAGEIFS(Eingabe[GES],Eingabe[Name],ErgebnisPosition[[#This Row],[Name]],Eingabe[Position],ErgebnisPosition[[#Headers],[5]]),0))</f>
        <v/>
      </c>
      <c r="I8" s="189" t="str">
        <f>IF(COUNTIFS(Eingabe[Name],ErgebnisPosition[[#This Row],[Name]],Eingabe[Position],ErgebnisPosition[[#Headers],[6]])=0,"",ROUND(AVERAGEIFS(Eingabe[GES],Eingabe[Name],ErgebnisPosition[[#This Row],[Name]],Eingabe[Position],ErgebnisPosition[[#Headers],[6]]),0))</f>
        <v/>
      </c>
      <c r="L8" s="188" t="str">
        <f>ErgebnisPosition[[#This Row],[Name]]</f>
        <v>Bruno Bergelt</v>
      </c>
      <c r="M8" s="188" t="str">
        <f>VLOOKUP(ErgebnisPositionH[[#This Row],[Name]],Teamzuordnung[[Name]:[Team]],2,FALSE)</f>
        <v>U14</v>
      </c>
      <c r="N8" s="189" t="str">
        <f>IF(COUNTIFS(Eingabe[Name],ErgebnisPositionH[[#This Row],[Name]],Eingabe[Position],ErgebnisPositionH[[#Headers],[1]],Eingabe[Wo],"H")=0,"",ROUND(AVERAGEIFS(Eingabe[GES],Eingabe[Name],ErgebnisPositionH[[#This Row],[Name]],Eingabe[Position],ErgebnisPositionH[[#Headers],[1]],Eingabe[Wo],"H"),0))</f>
        <v/>
      </c>
      <c r="O8" s="189" t="str">
        <f>IF(COUNTIFS(Eingabe[Name],ErgebnisPositionH[[#This Row],[Name]],Eingabe[Position],ErgebnisPositionH[[#Headers],[2]],Eingabe[Wo],"H")=0,"",ROUND(AVERAGEIFS(Eingabe[GES],Eingabe[Name],ErgebnisPositionH[[#This Row],[Name]],Eingabe[Position],ErgebnisPositionH[[#Headers],[2]],Eingabe[Wo],"H"),0))</f>
        <v/>
      </c>
      <c r="P8" s="189" t="str">
        <f>IF(COUNTIFS(Eingabe[Name],ErgebnisPositionH[[#This Row],[Name]],Eingabe[Position],ErgebnisPositionH[[#Headers],[3]],Eingabe[Wo],"H")=0,"",ROUND(AVERAGEIFS(Eingabe[GES],Eingabe[Name],ErgebnisPositionH[[#This Row],[Name]],Eingabe[Position],ErgebnisPositionH[[#Headers],[3]],Eingabe[Wo],"H"),0))</f>
        <v/>
      </c>
      <c r="Q8" s="189" t="str">
        <f>IF(COUNTIFS(Eingabe[Name],ErgebnisPositionH[[#This Row],[Name]],Eingabe[Position],ErgebnisPositionH[[#Headers],[4]],Eingabe[Wo],"H")=0,"",ROUND(AVERAGEIFS(Eingabe[GES],Eingabe[Name],ErgebnisPositionH[[#This Row],[Name]],Eingabe[Position],ErgebnisPositionH[[#Headers],[4]],Eingabe[Wo],"H"),0))</f>
        <v/>
      </c>
      <c r="R8" s="189" t="str">
        <f>IF(COUNTIFS(Eingabe[Name],ErgebnisPositionH[[#This Row],[Name]],Eingabe[Position],ErgebnisPositionH[[#Headers],[5]],Eingabe[Wo],"H")=0,"",ROUND(AVERAGEIFS(Eingabe[GES],Eingabe[Name],ErgebnisPositionH[[#This Row],[Name]],Eingabe[Position],ErgebnisPositionH[[#Headers],[5]],Eingabe[Wo],"H"),0))</f>
        <v/>
      </c>
      <c r="S8" s="189" t="str">
        <f>IF(COUNTIFS(Eingabe[Name],ErgebnisPositionH[[#This Row],[Name]],Eingabe[Position],ErgebnisPositionH[[#Headers],[6]],Eingabe[Wo],"H")=0,"",ROUND(AVERAGEIFS(Eingabe[GES],Eingabe[Name],ErgebnisPositionH[[#This Row],[Name]],Eingabe[Position],ErgebnisPositionH[[#Headers],[6]],Eingabe[Wo],"H"),0))</f>
        <v/>
      </c>
      <c r="V8" s="188" t="str">
        <f>ErgebnisPosition[[#This Row],[Name]]</f>
        <v>Bruno Bergelt</v>
      </c>
      <c r="W8" s="188" t="str">
        <f>VLOOKUP(ErgebnisPositionA[[#This Row],[Name]],Teamzuordnung[[Name]:[Team]],2,FALSE)</f>
        <v>U14</v>
      </c>
      <c r="X8" s="189" t="str">
        <f>IF(COUNTIFS(Eingabe[Name],ErgebnisPositionA[[#This Row],[Name]],Eingabe[Position],ErgebnisPositionA[[#Headers],[1]],Eingabe[Wo],"A")=0,"",ROUND(AVERAGEIFS(Eingabe[GES],Eingabe[Name],ErgebnisPositionA[[#This Row],[Name]],Eingabe[Position],ErgebnisPositionA[[#Headers],[1]],Eingabe[Wo],"A"),0))</f>
        <v/>
      </c>
      <c r="Y8" s="189" t="str">
        <f>IF(COUNTIFS(Eingabe[Name],ErgebnisPositionA[[#This Row],[Name]],Eingabe[Position],ErgebnisPositionA[[#Headers],[2]],Eingabe[Wo],"A")=0,"",ROUND(AVERAGEIFS(Eingabe[GES],Eingabe[Name],ErgebnisPositionA[[#This Row],[Name]],Eingabe[Position],ErgebnisPositionA[[#Headers],[2]],Eingabe[Wo],"A"),0))</f>
        <v/>
      </c>
      <c r="Z8" s="189" t="str">
        <f>IF(COUNTIFS(Eingabe[Name],ErgebnisPositionA[[#This Row],[Name]],Eingabe[Position],ErgebnisPositionA[[#Headers],[3]],Eingabe[Wo],"A")=0,"",ROUND(AVERAGEIFS(Eingabe[GES],Eingabe[Name],ErgebnisPositionA[[#This Row],[Name]],Eingabe[Position],ErgebnisPositionA[[#Headers],[3]],Eingabe[Wo],"A"),0))</f>
        <v/>
      </c>
      <c r="AA8" s="189" t="str">
        <f>IF(COUNTIFS(Eingabe[Name],ErgebnisPositionA[[#This Row],[Name]],Eingabe[Position],ErgebnisPositionA[[#Headers],[4]],Eingabe[Wo],"A")=0,"",ROUND(AVERAGEIFS(Eingabe[GES],Eingabe[Name],ErgebnisPositionA[[#This Row],[Name]],Eingabe[Position],ErgebnisPositionA[[#Headers],[4]],Eingabe[Wo],"A"),0))</f>
        <v/>
      </c>
      <c r="AB8" s="189" t="str">
        <f>IF(COUNTIFS(Eingabe[Name],ErgebnisPositionA[[#This Row],[Name]],Eingabe[Position],ErgebnisPositionA[[#Headers],[5]],Eingabe[Wo],"A")=0,"",ROUND(AVERAGEIFS(Eingabe[GES],Eingabe[Name],ErgebnisPositionA[[#This Row],[Name]],Eingabe[Position],ErgebnisPositionA[[#Headers],[5]],Eingabe[Wo],"A"),0))</f>
        <v/>
      </c>
      <c r="AC8" s="189" t="str">
        <f>IF(COUNTIFS(Eingabe[Name],ErgebnisPositionA[[#This Row],[Name]],Eingabe[Position],ErgebnisPositionA[[#Headers],[6]],Eingabe[Wo],"A")=0,"",ROUND(AVERAGEIFS(Eingabe[GES],Eingabe[Name],ErgebnisPositionA[[#This Row],[Name]],Eingabe[Position],ErgebnisPositionA[[#Headers],[6]],Eingabe[Wo],"A"),0))</f>
        <v/>
      </c>
      <c r="AF8" s="220" t="str">
        <v>Lea Meinert</v>
      </c>
      <c r="AG8" s="214">
        <v>482</v>
      </c>
      <c r="AH8" s="210">
        <v>495</v>
      </c>
      <c r="AI8" s="210" t="str">
        <v/>
      </c>
      <c r="AJ8" s="210">
        <v>497</v>
      </c>
      <c r="AK8" s="210" t="str">
        <v/>
      </c>
      <c r="AL8" s="215" t="str">
        <v/>
      </c>
      <c r="AM8" s="214" t="str">
        <v/>
      </c>
      <c r="AN8" s="210">
        <v>550</v>
      </c>
      <c r="AO8" s="210" t="str">
        <v/>
      </c>
      <c r="AP8" s="210">
        <v>497</v>
      </c>
      <c r="AQ8" s="210" t="str">
        <v/>
      </c>
      <c r="AR8" s="215" t="str">
        <v/>
      </c>
      <c r="AS8" s="214">
        <v>482</v>
      </c>
      <c r="AT8" s="210">
        <v>439</v>
      </c>
      <c r="AU8" s="210" t="str">
        <v/>
      </c>
      <c r="AV8" s="210" t="str">
        <v/>
      </c>
      <c r="AW8" s="210" t="str">
        <v/>
      </c>
      <c r="AX8" s="215" t="str">
        <v/>
      </c>
    </row>
    <row r="9" spans="1:50" ht="15.6" x14ac:dyDescent="0.3">
      <c r="B9" s="188" t="str">
        <f>Übersicht!B10</f>
        <v>Cora Keller</v>
      </c>
      <c r="C9" s="188" t="str">
        <f>VLOOKUP(ErgebnisPosition[[#This Row],[Name]],Teamzuordnung[[Name]:[Team]],2,FALSE)</f>
        <v>U19</v>
      </c>
      <c r="D9" s="189">
        <f>IF(COUNTIFS(Eingabe[Name],ErgebnisPosition[[#This Row],[Name]],Eingabe[Position],ErgebnisPosition[[#Headers],[1]])=0,"",ROUND(AVERAGEIFS(Eingabe[GES],Eingabe[Name],ErgebnisPosition[[#This Row],[Name]],Eingabe[Position],ErgebnisPosition[[#Headers],[1]]),0))</f>
        <v>469</v>
      </c>
      <c r="E9" s="189">
        <f>IF(COUNTIFS(Eingabe[Name],ErgebnisPosition[[#This Row],[Name]],Eingabe[Position],ErgebnisPosition[[#Headers],[2]])=0,"",ROUND(AVERAGEIFS(Eingabe[GES],Eingabe[Name],ErgebnisPosition[[#This Row],[Name]],Eingabe[Position],ErgebnisPosition[[#Headers],[2]]),0))</f>
        <v>484</v>
      </c>
      <c r="F9" s="189">
        <f>IF(COUNTIFS(Eingabe[Name],ErgebnisPosition[[#This Row],[Name]],Eingabe[Position],ErgebnisPosition[[#Headers],[3]])=0,"",ROUND(AVERAGEIFS(Eingabe[GES],Eingabe[Name],ErgebnisPosition[[#This Row],[Name]],Eingabe[Position],ErgebnisPosition[[#Headers],[3]]),0))</f>
        <v>553</v>
      </c>
      <c r="G9" s="189" t="str">
        <f>IF(COUNTIFS(Eingabe[Name],ErgebnisPosition[[#This Row],[Name]],Eingabe[Position],ErgebnisPosition[[#Headers],[4]])=0,"",ROUND(AVERAGEIFS(Eingabe[GES],Eingabe[Name],ErgebnisPosition[[#This Row],[Name]],Eingabe[Position],ErgebnisPosition[[#Headers],[4]]),0))</f>
        <v/>
      </c>
      <c r="H9" s="189" t="str">
        <f>IF(COUNTIFS(Eingabe[Name],ErgebnisPosition[[#This Row],[Name]],Eingabe[Position],ErgebnisPosition[[#Headers],[5]])=0,"",ROUND(AVERAGEIFS(Eingabe[GES],Eingabe[Name],ErgebnisPosition[[#This Row],[Name]],Eingabe[Position],ErgebnisPosition[[#Headers],[5]]),0))</f>
        <v/>
      </c>
      <c r="I9" s="189" t="str">
        <f>IF(COUNTIFS(Eingabe[Name],ErgebnisPosition[[#This Row],[Name]],Eingabe[Position],ErgebnisPosition[[#Headers],[6]])=0,"",ROUND(AVERAGEIFS(Eingabe[GES],Eingabe[Name],ErgebnisPosition[[#This Row],[Name]],Eingabe[Position],ErgebnisPosition[[#Headers],[6]]),0))</f>
        <v/>
      </c>
      <c r="L9" s="188" t="str">
        <f>ErgebnisPosition[[#This Row],[Name]]</f>
        <v>Cora Keller</v>
      </c>
      <c r="M9" s="188" t="str">
        <f>VLOOKUP(ErgebnisPositionH[[#This Row],[Name]],Teamzuordnung[[Name]:[Team]],2,FALSE)</f>
        <v>U19</v>
      </c>
      <c r="N9" s="189">
        <f>IF(COUNTIFS(Eingabe[Name],ErgebnisPositionH[[#This Row],[Name]],Eingabe[Position],ErgebnisPositionH[[#Headers],[1]],Eingabe[Wo],"H")=0,"",ROUND(AVERAGEIFS(Eingabe[GES],Eingabe[Name],ErgebnisPositionH[[#This Row],[Name]],Eingabe[Position],ErgebnisPositionH[[#Headers],[1]],Eingabe[Wo],"H"),0))</f>
        <v>490</v>
      </c>
      <c r="O9" s="189">
        <f>IF(COUNTIFS(Eingabe[Name],ErgebnisPositionH[[#This Row],[Name]],Eingabe[Position],ErgebnisPositionH[[#Headers],[2]],Eingabe[Wo],"H")=0,"",ROUND(AVERAGEIFS(Eingabe[GES],Eingabe[Name],ErgebnisPositionH[[#This Row],[Name]],Eingabe[Position],ErgebnisPositionH[[#Headers],[2]],Eingabe[Wo],"H"),0))</f>
        <v>456</v>
      </c>
      <c r="P9" s="189" t="str">
        <f>IF(COUNTIFS(Eingabe[Name],ErgebnisPositionH[[#This Row],[Name]],Eingabe[Position],ErgebnisPositionH[[#Headers],[3]],Eingabe[Wo],"H")=0,"",ROUND(AVERAGEIFS(Eingabe[GES],Eingabe[Name],ErgebnisPositionH[[#This Row],[Name]],Eingabe[Position],ErgebnisPositionH[[#Headers],[3]],Eingabe[Wo],"H"),0))</f>
        <v/>
      </c>
      <c r="Q9" s="189" t="str">
        <f>IF(COUNTIFS(Eingabe[Name],ErgebnisPositionH[[#This Row],[Name]],Eingabe[Position],ErgebnisPositionH[[#Headers],[4]],Eingabe[Wo],"H")=0,"",ROUND(AVERAGEIFS(Eingabe[GES],Eingabe[Name],ErgebnisPositionH[[#This Row],[Name]],Eingabe[Position],ErgebnisPositionH[[#Headers],[4]],Eingabe[Wo],"H"),0))</f>
        <v/>
      </c>
      <c r="R9" s="189" t="str">
        <f>IF(COUNTIFS(Eingabe[Name],ErgebnisPositionH[[#This Row],[Name]],Eingabe[Position],ErgebnisPositionH[[#Headers],[5]],Eingabe[Wo],"H")=0,"",ROUND(AVERAGEIFS(Eingabe[GES],Eingabe[Name],ErgebnisPositionH[[#This Row],[Name]],Eingabe[Position],ErgebnisPositionH[[#Headers],[5]],Eingabe[Wo],"H"),0))</f>
        <v/>
      </c>
      <c r="S9" s="189" t="str">
        <f>IF(COUNTIFS(Eingabe[Name],ErgebnisPositionH[[#This Row],[Name]],Eingabe[Position],ErgebnisPositionH[[#Headers],[6]],Eingabe[Wo],"H")=0,"",ROUND(AVERAGEIFS(Eingabe[GES],Eingabe[Name],ErgebnisPositionH[[#This Row],[Name]],Eingabe[Position],ErgebnisPositionH[[#Headers],[6]],Eingabe[Wo],"H"),0))</f>
        <v/>
      </c>
      <c r="V9" s="188" t="str">
        <f>ErgebnisPosition[[#This Row],[Name]]</f>
        <v>Cora Keller</v>
      </c>
      <c r="W9" s="188" t="str">
        <f>VLOOKUP(ErgebnisPositionA[[#This Row],[Name]],Teamzuordnung[[Name]:[Team]],2,FALSE)</f>
        <v>U19</v>
      </c>
      <c r="X9" s="189">
        <f>IF(COUNTIFS(Eingabe[Name],ErgebnisPositionA[[#This Row],[Name]],Eingabe[Position],ErgebnisPositionA[[#Headers],[1]],Eingabe[Wo],"A")=0,"",ROUND(AVERAGEIFS(Eingabe[GES],Eingabe[Name],ErgebnisPositionA[[#This Row],[Name]],Eingabe[Position],ErgebnisPositionA[[#Headers],[1]],Eingabe[Wo],"A"),0))</f>
        <v>447</v>
      </c>
      <c r="Y9" s="189">
        <f>IF(COUNTIFS(Eingabe[Name],ErgebnisPositionA[[#This Row],[Name]],Eingabe[Position],ErgebnisPositionA[[#Headers],[2]],Eingabe[Wo],"A")=0,"",ROUND(AVERAGEIFS(Eingabe[GES],Eingabe[Name],ErgebnisPositionA[[#This Row],[Name]],Eingabe[Position],ErgebnisPositionA[[#Headers],[2]],Eingabe[Wo],"A"),0))</f>
        <v>512</v>
      </c>
      <c r="Z9" s="189">
        <f>IF(COUNTIFS(Eingabe[Name],ErgebnisPositionA[[#This Row],[Name]],Eingabe[Position],ErgebnisPositionA[[#Headers],[3]],Eingabe[Wo],"A")=0,"",ROUND(AVERAGEIFS(Eingabe[GES],Eingabe[Name],ErgebnisPositionA[[#This Row],[Name]],Eingabe[Position],ErgebnisPositionA[[#Headers],[3]],Eingabe[Wo],"A"),0))</f>
        <v>553</v>
      </c>
      <c r="AA9" s="189" t="str">
        <f>IF(COUNTIFS(Eingabe[Name],ErgebnisPositionA[[#This Row],[Name]],Eingabe[Position],ErgebnisPositionA[[#Headers],[4]],Eingabe[Wo],"A")=0,"",ROUND(AVERAGEIFS(Eingabe[GES],Eingabe[Name],ErgebnisPositionA[[#This Row],[Name]],Eingabe[Position],ErgebnisPositionA[[#Headers],[4]],Eingabe[Wo],"A"),0))</f>
        <v/>
      </c>
      <c r="AB9" s="189" t="str">
        <f>IF(COUNTIFS(Eingabe[Name],ErgebnisPositionA[[#This Row],[Name]],Eingabe[Position],ErgebnisPositionA[[#Headers],[5]],Eingabe[Wo],"A")=0,"",ROUND(AVERAGEIFS(Eingabe[GES],Eingabe[Name],ErgebnisPositionA[[#This Row],[Name]],Eingabe[Position],ErgebnisPositionA[[#Headers],[5]],Eingabe[Wo],"A"),0))</f>
        <v/>
      </c>
      <c r="AC9" s="189" t="str">
        <f>IF(COUNTIFS(Eingabe[Name],ErgebnisPositionA[[#This Row],[Name]],Eingabe[Position],ErgebnisPositionA[[#Headers],[6]],Eingabe[Wo],"A")=0,"",ROUND(AVERAGEIFS(Eingabe[GES],Eingabe[Name],ErgebnisPositionA[[#This Row],[Name]],Eingabe[Position],ErgebnisPositionA[[#Headers],[6]],Eingabe[Wo],"A"),0))</f>
        <v/>
      </c>
      <c r="AF9" s="220" t="str">
        <v>Madlen Baumgarten</v>
      </c>
      <c r="AG9" s="214" t="str">
        <v/>
      </c>
      <c r="AH9" s="210">
        <v>536</v>
      </c>
      <c r="AI9" s="210" t="str">
        <v/>
      </c>
      <c r="AJ9" s="210" t="str">
        <v/>
      </c>
      <c r="AK9" s="210">
        <v>506</v>
      </c>
      <c r="AL9" s="215">
        <v>508</v>
      </c>
      <c r="AM9" s="214" t="str">
        <v/>
      </c>
      <c r="AN9" s="210" t="str">
        <v/>
      </c>
      <c r="AO9" s="210" t="str">
        <v/>
      </c>
      <c r="AP9" s="210" t="str">
        <v/>
      </c>
      <c r="AQ9" s="210">
        <v>473</v>
      </c>
      <c r="AR9" s="215" t="str">
        <v/>
      </c>
      <c r="AS9" s="214" t="str">
        <v/>
      </c>
      <c r="AT9" s="210">
        <v>536</v>
      </c>
      <c r="AU9" s="210" t="str">
        <v/>
      </c>
      <c r="AV9" s="210" t="str">
        <v/>
      </c>
      <c r="AW9" s="210">
        <v>528</v>
      </c>
      <c r="AX9" s="215">
        <v>508</v>
      </c>
    </row>
    <row r="10" spans="1:50" ht="15.6" x14ac:dyDescent="0.3">
      <c r="B10" s="188" t="str">
        <f>Übersicht!B11</f>
        <v>Dietmar Klose</v>
      </c>
      <c r="C10" s="188" t="str">
        <f>VLOOKUP(ErgebnisPosition[[#This Row],[Name]],Teamzuordnung[[Name]:[Team]],2,FALSE)</f>
        <v>D</v>
      </c>
      <c r="D10" s="189" t="str">
        <f>IF(COUNTIFS(Eingabe[Name],ErgebnisPosition[[#This Row],[Name]],Eingabe[Position],ErgebnisPosition[[#Headers],[1]])=0,"",ROUND(AVERAGEIFS(Eingabe[GES],Eingabe[Name],ErgebnisPosition[[#This Row],[Name]],Eingabe[Position],ErgebnisPosition[[#Headers],[1]]),0))</f>
        <v/>
      </c>
      <c r="E10" s="189" t="str">
        <f>IF(COUNTIFS(Eingabe[Name],ErgebnisPosition[[#This Row],[Name]],Eingabe[Position],ErgebnisPosition[[#Headers],[2]])=0,"",ROUND(AVERAGEIFS(Eingabe[GES],Eingabe[Name],ErgebnisPosition[[#This Row],[Name]],Eingabe[Position],ErgebnisPosition[[#Headers],[2]]),0))</f>
        <v/>
      </c>
      <c r="F10" s="189" t="str">
        <f>IF(COUNTIFS(Eingabe[Name],ErgebnisPosition[[#This Row],[Name]],Eingabe[Position],ErgebnisPosition[[#Headers],[3]])=0,"",ROUND(AVERAGEIFS(Eingabe[GES],Eingabe[Name],ErgebnisPosition[[#This Row],[Name]],Eingabe[Position],ErgebnisPosition[[#Headers],[3]]),0))</f>
        <v/>
      </c>
      <c r="G10" s="189" t="str">
        <f>IF(COUNTIFS(Eingabe[Name],ErgebnisPosition[[#This Row],[Name]],Eingabe[Position],ErgebnisPosition[[#Headers],[4]])=0,"",ROUND(AVERAGEIFS(Eingabe[GES],Eingabe[Name],ErgebnisPosition[[#This Row],[Name]],Eingabe[Position],ErgebnisPosition[[#Headers],[4]]),0))</f>
        <v/>
      </c>
      <c r="H10" s="189" t="str">
        <f>IF(COUNTIFS(Eingabe[Name],ErgebnisPosition[[#This Row],[Name]],Eingabe[Position],ErgebnisPosition[[#Headers],[5]])=0,"",ROUND(AVERAGEIFS(Eingabe[GES],Eingabe[Name],ErgebnisPosition[[#This Row],[Name]],Eingabe[Position],ErgebnisPosition[[#Headers],[5]]),0))</f>
        <v/>
      </c>
      <c r="I10" s="189" t="str">
        <f>IF(COUNTIFS(Eingabe[Name],ErgebnisPosition[[#This Row],[Name]],Eingabe[Position],ErgebnisPosition[[#Headers],[6]])=0,"",ROUND(AVERAGEIFS(Eingabe[GES],Eingabe[Name],ErgebnisPosition[[#This Row],[Name]],Eingabe[Position],ErgebnisPosition[[#Headers],[6]]),0))</f>
        <v/>
      </c>
      <c r="L10" s="188" t="str">
        <f>ErgebnisPosition[[#This Row],[Name]]</f>
        <v>Dietmar Klose</v>
      </c>
      <c r="M10" s="188" t="str">
        <f>VLOOKUP(ErgebnisPositionH[[#This Row],[Name]],Teamzuordnung[[Name]:[Team]],2,FALSE)</f>
        <v>D</v>
      </c>
      <c r="N10" s="189" t="str">
        <f>IF(COUNTIFS(Eingabe[Name],ErgebnisPositionH[[#This Row],[Name]],Eingabe[Position],ErgebnisPositionH[[#Headers],[1]],Eingabe[Wo],"H")=0,"",ROUND(AVERAGEIFS(Eingabe[GES],Eingabe[Name],ErgebnisPositionH[[#This Row],[Name]],Eingabe[Position],ErgebnisPositionH[[#Headers],[1]],Eingabe[Wo],"H"),0))</f>
        <v/>
      </c>
      <c r="O10" s="189" t="str">
        <f>IF(COUNTIFS(Eingabe[Name],ErgebnisPositionH[[#This Row],[Name]],Eingabe[Position],ErgebnisPositionH[[#Headers],[2]],Eingabe[Wo],"H")=0,"",ROUND(AVERAGEIFS(Eingabe[GES],Eingabe[Name],ErgebnisPositionH[[#This Row],[Name]],Eingabe[Position],ErgebnisPositionH[[#Headers],[2]],Eingabe[Wo],"H"),0))</f>
        <v/>
      </c>
      <c r="P10" s="189" t="str">
        <f>IF(COUNTIFS(Eingabe[Name],ErgebnisPositionH[[#This Row],[Name]],Eingabe[Position],ErgebnisPositionH[[#Headers],[3]],Eingabe[Wo],"H")=0,"",ROUND(AVERAGEIFS(Eingabe[GES],Eingabe[Name],ErgebnisPositionH[[#This Row],[Name]],Eingabe[Position],ErgebnisPositionH[[#Headers],[3]],Eingabe[Wo],"H"),0))</f>
        <v/>
      </c>
      <c r="Q10" s="189" t="str">
        <f>IF(COUNTIFS(Eingabe[Name],ErgebnisPositionH[[#This Row],[Name]],Eingabe[Position],ErgebnisPositionH[[#Headers],[4]],Eingabe[Wo],"H")=0,"",ROUND(AVERAGEIFS(Eingabe[GES],Eingabe[Name],ErgebnisPositionH[[#This Row],[Name]],Eingabe[Position],ErgebnisPositionH[[#Headers],[4]],Eingabe[Wo],"H"),0))</f>
        <v/>
      </c>
      <c r="R10" s="189" t="str">
        <f>IF(COUNTIFS(Eingabe[Name],ErgebnisPositionH[[#This Row],[Name]],Eingabe[Position],ErgebnisPositionH[[#Headers],[5]],Eingabe[Wo],"H")=0,"",ROUND(AVERAGEIFS(Eingabe[GES],Eingabe[Name],ErgebnisPositionH[[#This Row],[Name]],Eingabe[Position],ErgebnisPositionH[[#Headers],[5]],Eingabe[Wo],"H"),0))</f>
        <v/>
      </c>
      <c r="S10" s="189" t="str">
        <f>IF(COUNTIFS(Eingabe[Name],ErgebnisPositionH[[#This Row],[Name]],Eingabe[Position],ErgebnisPositionH[[#Headers],[6]],Eingabe[Wo],"H")=0,"",ROUND(AVERAGEIFS(Eingabe[GES],Eingabe[Name],ErgebnisPositionH[[#This Row],[Name]],Eingabe[Position],ErgebnisPositionH[[#Headers],[6]],Eingabe[Wo],"H"),0))</f>
        <v/>
      </c>
      <c r="V10" s="188" t="str">
        <f>ErgebnisPosition[[#This Row],[Name]]</f>
        <v>Dietmar Klose</v>
      </c>
      <c r="W10" s="188" t="str">
        <f>VLOOKUP(ErgebnisPositionA[[#This Row],[Name]],Teamzuordnung[[Name]:[Team]],2,FALSE)</f>
        <v>D</v>
      </c>
      <c r="X10" s="189" t="str">
        <f>IF(COUNTIFS(Eingabe[Name],ErgebnisPositionA[[#This Row],[Name]],Eingabe[Position],ErgebnisPositionA[[#Headers],[1]],Eingabe[Wo],"A")=0,"",ROUND(AVERAGEIFS(Eingabe[GES],Eingabe[Name],ErgebnisPositionA[[#This Row],[Name]],Eingabe[Position],ErgebnisPositionA[[#Headers],[1]],Eingabe[Wo],"A"),0))</f>
        <v/>
      </c>
      <c r="Y10" s="189" t="str">
        <f>IF(COUNTIFS(Eingabe[Name],ErgebnisPositionA[[#This Row],[Name]],Eingabe[Position],ErgebnisPositionA[[#Headers],[2]],Eingabe[Wo],"A")=0,"",ROUND(AVERAGEIFS(Eingabe[GES],Eingabe[Name],ErgebnisPositionA[[#This Row],[Name]],Eingabe[Position],ErgebnisPositionA[[#Headers],[2]],Eingabe[Wo],"A"),0))</f>
        <v/>
      </c>
      <c r="Z10" s="189" t="str">
        <f>IF(COUNTIFS(Eingabe[Name],ErgebnisPositionA[[#This Row],[Name]],Eingabe[Position],ErgebnisPositionA[[#Headers],[3]],Eingabe[Wo],"A")=0,"",ROUND(AVERAGEIFS(Eingabe[GES],Eingabe[Name],ErgebnisPositionA[[#This Row],[Name]],Eingabe[Position],ErgebnisPositionA[[#Headers],[3]],Eingabe[Wo],"A"),0))</f>
        <v/>
      </c>
      <c r="AA10" s="189" t="str">
        <f>IF(COUNTIFS(Eingabe[Name],ErgebnisPositionA[[#This Row],[Name]],Eingabe[Position],ErgebnisPositionA[[#Headers],[4]],Eingabe[Wo],"A")=0,"",ROUND(AVERAGEIFS(Eingabe[GES],Eingabe[Name],ErgebnisPositionA[[#This Row],[Name]],Eingabe[Position],ErgebnisPositionA[[#Headers],[4]],Eingabe[Wo],"A"),0))</f>
        <v/>
      </c>
      <c r="AB10" s="189" t="str">
        <f>IF(COUNTIFS(Eingabe[Name],ErgebnisPositionA[[#This Row],[Name]],Eingabe[Position],ErgebnisPositionA[[#Headers],[5]],Eingabe[Wo],"A")=0,"",ROUND(AVERAGEIFS(Eingabe[GES],Eingabe[Name],ErgebnisPositionA[[#This Row],[Name]],Eingabe[Position],ErgebnisPositionA[[#Headers],[5]],Eingabe[Wo],"A"),0))</f>
        <v/>
      </c>
      <c r="AC10" s="189" t="str">
        <f>IF(COUNTIFS(Eingabe[Name],ErgebnisPositionA[[#This Row],[Name]],Eingabe[Position],ErgebnisPositionA[[#Headers],[6]],Eingabe[Wo],"A")=0,"",ROUND(AVERAGEIFS(Eingabe[GES],Eingabe[Name],ErgebnisPositionA[[#This Row],[Name]],Eingabe[Position],ErgebnisPositionA[[#Headers],[6]],Eingabe[Wo],"A"),0))</f>
        <v/>
      </c>
      <c r="AF10" s="220" t="str">
        <v>Petra Kubon</v>
      </c>
      <c r="AG10" s="214" t="str">
        <v/>
      </c>
      <c r="AH10" s="210" t="str">
        <v/>
      </c>
      <c r="AI10" s="210" t="str">
        <v/>
      </c>
      <c r="AJ10" s="210">
        <v>477</v>
      </c>
      <c r="AK10" s="210" t="str">
        <v/>
      </c>
      <c r="AL10" s="215" t="str">
        <v/>
      </c>
      <c r="AM10" s="214" t="str">
        <v/>
      </c>
      <c r="AN10" s="210" t="str">
        <v/>
      </c>
      <c r="AO10" s="210" t="str">
        <v/>
      </c>
      <c r="AP10" s="210">
        <v>477</v>
      </c>
      <c r="AQ10" s="210" t="str">
        <v/>
      </c>
      <c r="AR10" s="215" t="str">
        <v/>
      </c>
      <c r="AS10" s="214" t="str">
        <v/>
      </c>
      <c r="AT10" s="210" t="str">
        <v/>
      </c>
      <c r="AU10" s="210" t="str">
        <v/>
      </c>
      <c r="AV10" s="210" t="str">
        <v/>
      </c>
      <c r="AW10" s="210" t="str">
        <v/>
      </c>
      <c r="AX10" s="215" t="str">
        <v/>
      </c>
    </row>
    <row r="11" spans="1:50" ht="15.6" x14ac:dyDescent="0.3">
      <c r="B11" s="188" t="str">
        <f>Übersicht!B12</f>
        <v>Emelie Schiffel</v>
      </c>
      <c r="C11" s="188" t="str">
        <f>VLOOKUP(ErgebnisPosition[[#This Row],[Name]],Teamzuordnung[[Name]:[Team]],2,FALSE)</f>
        <v>U14</v>
      </c>
      <c r="D11" s="189" t="str">
        <f>IF(COUNTIFS(Eingabe[Name],ErgebnisPosition[[#This Row],[Name]],Eingabe[Position],ErgebnisPosition[[#Headers],[1]])=0,"",ROUND(AVERAGEIFS(Eingabe[GES],Eingabe[Name],ErgebnisPosition[[#This Row],[Name]],Eingabe[Position],ErgebnisPosition[[#Headers],[1]]),0))</f>
        <v/>
      </c>
      <c r="E11" s="189" t="str">
        <f>IF(COUNTIFS(Eingabe[Name],ErgebnisPosition[[#This Row],[Name]],Eingabe[Position],ErgebnisPosition[[#Headers],[2]])=0,"",ROUND(AVERAGEIFS(Eingabe[GES],Eingabe[Name],ErgebnisPosition[[#This Row],[Name]],Eingabe[Position],ErgebnisPosition[[#Headers],[2]]),0))</f>
        <v/>
      </c>
      <c r="F11" s="189" t="str">
        <f>IF(COUNTIFS(Eingabe[Name],ErgebnisPosition[[#This Row],[Name]],Eingabe[Position],ErgebnisPosition[[#Headers],[3]])=0,"",ROUND(AVERAGEIFS(Eingabe[GES],Eingabe[Name],ErgebnisPosition[[#This Row],[Name]],Eingabe[Position],ErgebnisPosition[[#Headers],[3]]),0))</f>
        <v/>
      </c>
      <c r="G11" s="189" t="str">
        <f>IF(COUNTIFS(Eingabe[Name],ErgebnisPosition[[#This Row],[Name]],Eingabe[Position],ErgebnisPosition[[#Headers],[4]])=0,"",ROUND(AVERAGEIFS(Eingabe[GES],Eingabe[Name],ErgebnisPosition[[#This Row],[Name]],Eingabe[Position],ErgebnisPosition[[#Headers],[4]]),0))</f>
        <v/>
      </c>
      <c r="H11" s="189" t="str">
        <f>IF(COUNTIFS(Eingabe[Name],ErgebnisPosition[[#This Row],[Name]],Eingabe[Position],ErgebnisPosition[[#Headers],[5]])=0,"",ROUND(AVERAGEIFS(Eingabe[GES],Eingabe[Name],ErgebnisPosition[[#This Row],[Name]],Eingabe[Position],ErgebnisPosition[[#Headers],[5]]),0))</f>
        <v/>
      </c>
      <c r="I11" s="189" t="str">
        <f>IF(COUNTIFS(Eingabe[Name],ErgebnisPosition[[#This Row],[Name]],Eingabe[Position],ErgebnisPosition[[#Headers],[6]])=0,"",ROUND(AVERAGEIFS(Eingabe[GES],Eingabe[Name],ErgebnisPosition[[#This Row],[Name]],Eingabe[Position],ErgebnisPosition[[#Headers],[6]]),0))</f>
        <v/>
      </c>
      <c r="L11" s="188" t="str">
        <f>ErgebnisPosition[[#This Row],[Name]]</f>
        <v>Emelie Schiffel</v>
      </c>
      <c r="M11" s="188" t="str">
        <f>VLOOKUP(ErgebnisPositionH[[#This Row],[Name]],Teamzuordnung[[Name]:[Team]],2,FALSE)</f>
        <v>U14</v>
      </c>
      <c r="N11" s="189" t="str">
        <f>IF(COUNTIFS(Eingabe[Name],ErgebnisPositionH[[#This Row],[Name]],Eingabe[Position],ErgebnisPositionH[[#Headers],[1]],Eingabe[Wo],"H")=0,"",ROUND(AVERAGEIFS(Eingabe[GES],Eingabe[Name],ErgebnisPositionH[[#This Row],[Name]],Eingabe[Position],ErgebnisPositionH[[#Headers],[1]],Eingabe[Wo],"H"),0))</f>
        <v/>
      </c>
      <c r="O11" s="189" t="str">
        <f>IF(COUNTIFS(Eingabe[Name],ErgebnisPositionH[[#This Row],[Name]],Eingabe[Position],ErgebnisPositionH[[#Headers],[2]],Eingabe[Wo],"H")=0,"",ROUND(AVERAGEIFS(Eingabe[GES],Eingabe[Name],ErgebnisPositionH[[#This Row],[Name]],Eingabe[Position],ErgebnisPositionH[[#Headers],[2]],Eingabe[Wo],"H"),0))</f>
        <v/>
      </c>
      <c r="P11" s="189" t="str">
        <f>IF(COUNTIFS(Eingabe[Name],ErgebnisPositionH[[#This Row],[Name]],Eingabe[Position],ErgebnisPositionH[[#Headers],[3]],Eingabe[Wo],"H")=0,"",ROUND(AVERAGEIFS(Eingabe[GES],Eingabe[Name],ErgebnisPositionH[[#This Row],[Name]],Eingabe[Position],ErgebnisPositionH[[#Headers],[3]],Eingabe[Wo],"H"),0))</f>
        <v/>
      </c>
      <c r="Q11" s="189" t="str">
        <f>IF(COUNTIFS(Eingabe[Name],ErgebnisPositionH[[#This Row],[Name]],Eingabe[Position],ErgebnisPositionH[[#Headers],[4]],Eingabe[Wo],"H")=0,"",ROUND(AVERAGEIFS(Eingabe[GES],Eingabe[Name],ErgebnisPositionH[[#This Row],[Name]],Eingabe[Position],ErgebnisPositionH[[#Headers],[4]],Eingabe[Wo],"H"),0))</f>
        <v/>
      </c>
      <c r="R11" s="189" t="str">
        <f>IF(COUNTIFS(Eingabe[Name],ErgebnisPositionH[[#This Row],[Name]],Eingabe[Position],ErgebnisPositionH[[#Headers],[5]],Eingabe[Wo],"H")=0,"",ROUND(AVERAGEIFS(Eingabe[GES],Eingabe[Name],ErgebnisPositionH[[#This Row],[Name]],Eingabe[Position],ErgebnisPositionH[[#Headers],[5]],Eingabe[Wo],"H"),0))</f>
        <v/>
      </c>
      <c r="S11" s="189" t="str">
        <f>IF(COUNTIFS(Eingabe[Name],ErgebnisPositionH[[#This Row],[Name]],Eingabe[Position],ErgebnisPositionH[[#Headers],[6]],Eingabe[Wo],"H")=0,"",ROUND(AVERAGEIFS(Eingabe[GES],Eingabe[Name],ErgebnisPositionH[[#This Row],[Name]],Eingabe[Position],ErgebnisPositionH[[#Headers],[6]],Eingabe[Wo],"H"),0))</f>
        <v/>
      </c>
      <c r="V11" s="188" t="str">
        <f>ErgebnisPosition[[#This Row],[Name]]</f>
        <v>Emelie Schiffel</v>
      </c>
      <c r="W11" s="188" t="str">
        <f>VLOOKUP(ErgebnisPositionA[[#This Row],[Name]],Teamzuordnung[[Name]:[Team]],2,FALSE)</f>
        <v>U14</v>
      </c>
      <c r="X11" s="189" t="str">
        <f>IF(COUNTIFS(Eingabe[Name],ErgebnisPositionA[[#This Row],[Name]],Eingabe[Position],ErgebnisPositionA[[#Headers],[1]],Eingabe[Wo],"A")=0,"",ROUND(AVERAGEIFS(Eingabe[GES],Eingabe[Name],ErgebnisPositionA[[#This Row],[Name]],Eingabe[Position],ErgebnisPositionA[[#Headers],[1]],Eingabe[Wo],"A"),0))</f>
        <v/>
      </c>
      <c r="Y11" s="189" t="str">
        <f>IF(COUNTIFS(Eingabe[Name],ErgebnisPositionA[[#This Row],[Name]],Eingabe[Position],ErgebnisPositionA[[#Headers],[2]],Eingabe[Wo],"A")=0,"",ROUND(AVERAGEIFS(Eingabe[GES],Eingabe[Name],ErgebnisPositionA[[#This Row],[Name]],Eingabe[Position],ErgebnisPositionA[[#Headers],[2]],Eingabe[Wo],"A"),0))</f>
        <v/>
      </c>
      <c r="Z11" s="189" t="str">
        <f>IF(COUNTIFS(Eingabe[Name],ErgebnisPositionA[[#This Row],[Name]],Eingabe[Position],ErgebnisPositionA[[#Headers],[3]],Eingabe[Wo],"A")=0,"",ROUND(AVERAGEIFS(Eingabe[GES],Eingabe[Name],ErgebnisPositionA[[#This Row],[Name]],Eingabe[Position],ErgebnisPositionA[[#Headers],[3]],Eingabe[Wo],"A"),0))</f>
        <v/>
      </c>
      <c r="AA11" s="189" t="str">
        <f>IF(COUNTIFS(Eingabe[Name],ErgebnisPositionA[[#This Row],[Name]],Eingabe[Position],ErgebnisPositionA[[#Headers],[4]],Eingabe[Wo],"A")=0,"",ROUND(AVERAGEIFS(Eingabe[GES],Eingabe[Name],ErgebnisPositionA[[#This Row],[Name]],Eingabe[Position],ErgebnisPositionA[[#Headers],[4]],Eingabe[Wo],"A"),0))</f>
        <v/>
      </c>
      <c r="AB11" s="189" t="str">
        <f>IF(COUNTIFS(Eingabe[Name],ErgebnisPositionA[[#This Row],[Name]],Eingabe[Position],ErgebnisPositionA[[#Headers],[5]],Eingabe[Wo],"A")=0,"",ROUND(AVERAGEIFS(Eingabe[GES],Eingabe[Name],ErgebnisPositionA[[#This Row],[Name]],Eingabe[Position],ErgebnisPositionA[[#Headers],[5]],Eingabe[Wo],"A"),0))</f>
        <v/>
      </c>
      <c r="AC11" s="189" t="str">
        <f>IF(COUNTIFS(Eingabe[Name],ErgebnisPositionA[[#This Row],[Name]],Eingabe[Position],ErgebnisPositionA[[#Headers],[6]],Eingabe[Wo],"A")=0,"",ROUND(AVERAGEIFS(Eingabe[GES],Eingabe[Name],ErgebnisPositionA[[#This Row],[Name]],Eingabe[Position],ErgebnisPositionA[[#Headers],[6]],Eingabe[Wo],"A"),0))</f>
        <v/>
      </c>
      <c r="AF11" s="220" t="str">
        <v>Sylke Schmidt</v>
      </c>
      <c r="AG11" s="214" t="str">
        <v/>
      </c>
      <c r="AH11" s="210" t="str">
        <v/>
      </c>
      <c r="AI11" s="210" t="str">
        <v/>
      </c>
      <c r="AJ11" s="210" t="str">
        <v/>
      </c>
      <c r="AK11" s="210">
        <v>521</v>
      </c>
      <c r="AL11" s="215">
        <v>520</v>
      </c>
      <c r="AM11" s="214" t="str">
        <v/>
      </c>
      <c r="AN11" s="210" t="str">
        <v/>
      </c>
      <c r="AO11" s="210" t="str">
        <v/>
      </c>
      <c r="AP11" s="210" t="str">
        <v/>
      </c>
      <c r="AQ11" s="210" t="str">
        <v/>
      </c>
      <c r="AR11" s="215">
        <v>515</v>
      </c>
      <c r="AS11" s="214" t="str">
        <v/>
      </c>
      <c r="AT11" s="210" t="str">
        <v/>
      </c>
      <c r="AU11" s="210" t="str">
        <v/>
      </c>
      <c r="AV11" s="210" t="str">
        <v/>
      </c>
      <c r="AW11" s="210">
        <v>521</v>
      </c>
      <c r="AX11" s="215">
        <v>528</v>
      </c>
    </row>
    <row r="12" spans="1:50" ht="15.6" x14ac:dyDescent="0.3">
      <c r="B12" s="188" t="str">
        <f>Übersicht!B13</f>
        <v>Emma Hettmann</v>
      </c>
      <c r="C12" s="188" t="str">
        <f>VLOOKUP(ErgebnisPosition[[#This Row],[Name]],Teamzuordnung[[Name]:[Team]],2,FALSE)</f>
        <v>U19</v>
      </c>
      <c r="D12" s="189" t="str">
        <f>IF(COUNTIFS(Eingabe[Name],ErgebnisPosition[[#This Row],[Name]],Eingabe[Position],ErgebnisPosition[[#Headers],[1]])=0,"",ROUND(AVERAGEIFS(Eingabe[GES],Eingabe[Name],ErgebnisPosition[[#This Row],[Name]],Eingabe[Position],ErgebnisPosition[[#Headers],[1]]),0))</f>
        <v/>
      </c>
      <c r="E12" s="189" t="str">
        <f>IF(COUNTIFS(Eingabe[Name],ErgebnisPosition[[#This Row],[Name]],Eingabe[Position],ErgebnisPosition[[#Headers],[2]])=0,"",ROUND(AVERAGEIFS(Eingabe[GES],Eingabe[Name],ErgebnisPosition[[#This Row],[Name]],Eingabe[Position],ErgebnisPosition[[#Headers],[2]]),0))</f>
        <v/>
      </c>
      <c r="F12" s="189">
        <f>IF(COUNTIFS(Eingabe[Name],ErgebnisPosition[[#This Row],[Name]],Eingabe[Position],ErgebnisPosition[[#Headers],[3]])=0,"",ROUND(AVERAGEIFS(Eingabe[GES],Eingabe[Name],ErgebnisPosition[[#This Row],[Name]],Eingabe[Position],ErgebnisPosition[[#Headers],[3]]),0))</f>
        <v>564</v>
      </c>
      <c r="G12" s="189" t="str">
        <f>IF(COUNTIFS(Eingabe[Name],ErgebnisPosition[[#This Row],[Name]],Eingabe[Position],ErgebnisPosition[[#Headers],[4]])=0,"",ROUND(AVERAGEIFS(Eingabe[GES],Eingabe[Name],ErgebnisPosition[[#This Row],[Name]],Eingabe[Position],ErgebnisPosition[[#Headers],[4]]),0))</f>
        <v/>
      </c>
      <c r="H12" s="189" t="str">
        <f>IF(COUNTIFS(Eingabe[Name],ErgebnisPosition[[#This Row],[Name]],Eingabe[Position],ErgebnisPosition[[#Headers],[5]])=0,"",ROUND(AVERAGEIFS(Eingabe[GES],Eingabe[Name],ErgebnisPosition[[#This Row],[Name]],Eingabe[Position],ErgebnisPosition[[#Headers],[5]]),0))</f>
        <v/>
      </c>
      <c r="I12" s="189" t="str">
        <f>IF(COUNTIFS(Eingabe[Name],ErgebnisPosition[[#This Row],[Name]],Eingabe[Position],ErgebnisPosition[[#Headers],[6]])=0,"",ROUND(AVERAGEIFS(Eingabe[GES],Eingabe[Name],ErgebnisPosition[[#This Row],[Name]],Eingabe[Position],ErgebnisPosition[[#Headers],[6]]),0))</f>
        <v/>
      </c>
      <c r="L12" s="188" t="str">
        <f>ErgebnisPosition[[#This Row],[Name]]</f>
        <v>Emma Hettmann</v>
      </c>
      <c r="M12" s="188" t="str">
        <f>VLOOKUP(ErgebnisPositionH[[#This Row],[Name]],Teamzuordnung[[Name]:[Team]],2,FALSE)</f>
        <v>U19</v>
      </c>
      <c r="N12" s="189" t="str">
        <f>IF(COUNTIFS(Eingabe[Name],ErgebnisPositionH[[#This Row],[Name]],Eingabe[Position],ErgebnisPositionH[[#Headers],[1]],Eingabe[Wo],"H")=0,"",ROUND(AVERAGEIFS(Eingabe[GES],Eingabe[Name],ErgebnisPositionH[[#This Row],[Name]],Eingabe[Position],ErgebnisPositionH[[#Headers],[1]],Eingabe[Wo],"H"),0))</f>
        <v/>
      </c>
      <c r="O12" s="189" t="str">
        <f>IF(COUNTIFS(Eingabe[Name],ErgebnisPositionH[[#This Row],[Name]],Eingabe[Position],ErgebnisPositionH[[#Headers],[2]],Eingabe[Wo],"H")=0,"",ROUND(AVERAGEIFS(Eingabe[GES],Eingabe[Name],ErgebnisPositionH[[#This Row],[Name]],Eingabe[Position],ErgebnisPositionH[[#Headers],[2]],Eingabe[Wo],"H"),0))</f>
        <v/>
      </c>
      <c r="P12" s="189">
        <f>IF(COUNTIFS(Eingabe[Name],ErgebnisPositionH[[#This Row],[Name]],Eingabe[Position],ErgebnisPositionH[[#Headers],[3]],Eingabe[Wo],"H")=0,"",ROUND(AVERAGEIFS(Eingabe[GES],Eingabe[Name],ErgebnisPositionH[[#This Row],[Name]],Eingabe[Position],ErgebnisPositionH[[#Headers],[3]],Eingabe[Wo],"H"),0))</f>
        <v>564</v>
      </c>
      <c r="Q12" s="189" t="str">
        <f>IF(COUNTIFS(Eingabe[Name],ErgebnisPositionH[[#This Row],[Name]],Eingabe[Position],ErgebnisPositionH[[#Headers],[4]],Eingabe[Wo],"H")=0,"",ROUND(AVERAGEIFS(Eingabe[GES],Eingabe[Name],ErgebnisPositionH[[#This Row],[Name]],Eingabe[Position],ErgebnisPositionH[[#Headers],[4]],Eingabe[Wo],"H"),0))</f>
        <v/>
      </c>
      <c r="R12" s="189" t="str">
        <f>IF(COUNTIFS(Eingabe[Name],ErgebnisPositionH[[#This Row],[Name]],Eingabe[Position],ErgebnisPositionH[[#Headers],[5]],Eingabe[Wo],"H")=0,"",ROUND(AVERAGEIFS(Eingabe[GES],Eingabe[Name],ErgebnisPositionH[[#This Row],[Name]],Eingabe[Position],ErgebnisPositionH[[#Headers],[5]],Eingabe[Wo],"H"),0))</f>
        <v/>
      </c>
      <c r="S12" s="189" t="str">
        <f>IF(COUNTIFS(Eingabe[Name],ErgebnisPositionH[[#This Row],[Name]],Eingabe[Position],ErgebnisPositionH[[#Headers],[6]],Eingabe[Wo],"H")=0,"",ROUND(AVERAGEIFS(Eingabe[GES],Eingabe[Name],ErgebnisPositionH[[#This Row],[Name]],Eingabe[Position],ErgebnisPositionH[[#Headers],[6]],Eingabe[Wo],"H"),0))</f>
        <v/>
      </c>
      <c r="V12" s="188" t="str">
        <f>ErgebnisPosition[[#This Row],[Name]]</f>
        <v>Emma Hettmann</v>
      </c>
      <c r="W12" s="188" t="str">
        <f>VLOOKUP(ErgebnisPositionA[[#This Row],[Name]],Teamzuordnung[[Name]:[Team]],2,FALSE)</f>
        <v>U19</v>
      </c>
      <c r="X12" s="189" t="str">
        <f>IF(COUNTIFS(Eingabe[Name],ErgebnisPositionA[[#This Row],[Name]],Eingabe[Position],ErgebnisPositionA[[#Headers],[1]],Eingabe[Wo],"A")=0,"",ROUND(AVERAGEIFS(Eingabe[GES],Eingabe[Name],ErgebnisPositionA[[#This Row],[Name]],Eingabe[Position],ErgebnisPositionA[[#Headers],[1]],Eingabe[Wo],"A"),0))</f>
        <v/>
      </c>
      <c r="Y12" s="189" t="str">
        <f>IF(COUNTIFS(Eingabe[Name],ErgebnisPositionA[[#This Row],[Name]],Eingabe[Position],ErgebnisPositionA[[#Headers],[2]],Eingabe[Wo],"A")=0,"",ROUND(AVERAGEIFS(Eingabe[GES],Eingabe[Name],ErgebnisPositionA[[#This Row],[Name]],Eingabe[Position],ErgebnisPositionA[[#Headers],[2]],Eingabe[Wo],"A"),0))</f>
        <v/>
      </c>
      <c r="Z12" s="189" t="str">
        <f>IF(COUNTIFS(Eingabe[Name],ErgebnisPositionA[[#This Row],[Name]],Eingabe[Position],ErgebnisPositionA[[#Headers],[3]],Eingabe[Wo],"A")=0,"",ROUND(AVERAGEIFS(Eingabe[GES],Eingabe[Name],ErgebnisPositionA[[#This Row],[Name]],Eingabe[Position],ErgebnisPositionA[[#Headers],[3]],Eingabe[Wo],"A"),0))</f>
        <v/>
      </c>
      <c r="AA12" s="189" t="str">
        <f>IF(COUNTIFS(Eingabe[Name],ErgebnisPositionA[[#This Row],[Name]],Eingabe[Position],ErgebnisPositionA[[#Headers],[4]],Eingabe[Wo],"A")=0,"",ROUND(AVERAGEIFS(Eingabe[GES],Eingabe[Name],ErgebnisPositionA[[#This Row],[Name]],Eingabe[Position],ErgebnisPositionA[[#Headers],[4]],Eingabe[Wo],"A"),0))</f>
        <v/>
      </c>
      <c r="AB12" s="189" t="str">
        <f>IF(COUNTIFS(Eingabe[Name],ErgebnisPositionA[[#This Row],[Name]],Eingabe[Position],ErgebnisPositionA[[#Headers],[5]],Eingabe[Wo],"A")=0,"",ROUND(AVERAGEIFS(Eingabe[GES],Eingabe[Name],ErgebnisPositionA[[#This Row],[Name]],Eingabe[Position],ErgebnisPositionA[[#Headers],[5]],Eingabe[Wo],"A"),0))</f>
        <v/>
      </c>
      <c r="AC12" s="189" t="str">
        <f>IF(COUNTIFS(Eingabe[Name],ErgebnisPositionA[[#This Row],[Name]],Eingabe[Position],ErgebnisPositionA[[#Headers],[6]],Eingabe[Wo],"A")=0,"",ROUND(AVERAGEIFS(Eingabe[GES],Eingabe[Name],ErgebnisPositionA[[#This Row],[Name]],Eingabe[Position],ErgebnisPositionA[[#Headers],[6]],Eingabe[Wo],"A"),0))</f>
        <v/>
      </c>
      <c r="AF12" s="220"/>
      <c r="AG12" s="214"/>
      <c r="AH12" s="210"/>
      <c r="AI12" s="210"/>
      <c r="AJ12" s="210"/>
      <c r="AK12" s="210"/>
      <c r="AL12" s="215"/>
      <c r="AM12" s="214"/>
      <c r="AN12" s="210"/>
      <c r="AO12" s="210"/>
      <c r="AP12" s="210"/>
      <c r="AQ12" s="210"/>
      <c r="AR12" s="215"/>
      <c r="AS12" s="214"/>
      <c r="AT12" s="210"/>
      <c r="AU12" s="210"/>
      <c r="AV12" s="210"/>
      <c r="AW12" s="210"/>
      <c r="AX12" s="215"/>
    </row>
    <row r="13" spans="1:50" ht="16.2" thickBot="1" x14ac:dyDescent="0.35">
      <c r="B13" s="188" t="str">
        <f>Übersicht!B14</f>
        <v>Erik Krutak</v>
      </c>
      <c r="C13" s="188" t="str">
        <f>VLOOKUP(ErgebnisPosition[[#This Row],[Name]],Teamzuordnung[[Name]:[Team]],2,FALSE)</f>
        <v>Z</v>
      </c>
      <c r="D13" s="189" t="str">
        <f>IF(COUNTIFS(Eingabe[Name],ErgebnisPosition[[#This Row],[Name]],Eingabe[Position],ErgebnisPosition[[#Headers],[1]])=0,"",ROUND(AVERAGEIFS(Eingabe[GES],Eingabe[Name],ErgebnisPosition[[#This Row],[Name]],Eingabe[Position],ErgebnisPosition[[#Headers],[1]]),0))</f>
        <v/>
      </c>
      <c r="E13" s="189">
        <f>IF(COUNTIFS(Eingabe[Name],ErgebnisPosition[[#This Row],[Name]],Eingabe[Position],ErgebnisPosition[[#Headers],[2]])=0,"",ROUND(AVERAGEIFS(Eingabe[GES],Eingabe[Name],ErgebnisPosition[[#This Row],[Name]],Eingabe[Position],ErgebnisPosition[[#Headers],[2]]),0))</f>
        <v>506</v>
      </c>
      <c r="F13" s="189">
        <f>IF(COUNTIFS(Eingabe[Name],ErgebnisPosition[[#This Row],[Name]],Eingabe[Position],ErgebnisPosition[[#Headers],[3]])=0,"",ROUND(AVERAGEIFS(Eingabe[GES],Eingabe[Name],ErgebnisPosition[[#This Row],[Name]],Eingabe[Position],ErgebnisPosition[[#Headers],[3]]),0))</f>
        <v>514</v>
      </c>
      <c r="G13" s="189" t="str">
        <f>IF(COUNTIFS(Eingabe[Name],ErgebnisPosition[[#This Row],[Name]],Eingabe[Position],ErgebnisPosition[[#Headers],[4]])=0,"",ROUND(AVERAGEIFS(Eingabe[GES],Eingabe[Name],ErgebnisPosition[[#This Row],[Name]],Eingabe[Position],ErgebnisPosition[[#Headers],[4]]),0))</f>
        <v/>
      </c>
      <c r="H13" s="189">
        <f>IF(COUNTIFS(Eingabe[Name],ErgebnisPosition[[#This Row],[Name]],Eingabe[Position],ErgebnisPosition[[#Headers],[5]])=0,"",ROUND(AVERAGEIFS(Eingabe[GES],Eingabe[Name],ErgebnisPosition[[#This Row],[Name]],Eingabe[Position],ErgebnisPosition[[#Headers],[5]]),0))</f>
        <v>530</v>
      </c>
      <c r="I13" s="189">
        <f>IF(COUNTIFS(Eingabe[Name],ErgebnisPosition[[#This Row],[Name]],Eingabe[Position],ErgebnisPosition[[#Headers],[6]])=0,"",ROUND(AVERAGEIFS(Eingabe[GES],Eingabe[Name],ErgebnisPosition[[#This Row],[Name]],Eingabe[Position],ErgebnisPosition[[#Headers],[6]]),0))</f>
        <v>535</v>
      </c>
      <c r="L13" s="188" t="str">
        <f>ErgebnisPosition[[#This Row],[Name]]</f>
        <v>Erik Krutak</v>
      </c>
      <c r="M13" s="188" t="str">
        <f>VLOOKUP(ErgebnisPositionH[[#This Row],[Name]],Teamzuordnung[[Name]:[Team]],2,FALSE)</f>
        <v>Z</v>
      </c>
      <c r="N13" s="189" t="str">
        <f>IF(COUNTIFS(Eingabe[Name],ErgebnisPositionH[[#This Row],[Name]],Eingabe[Position],ErgebnisPositionH[[#Headers],[1]],Eingabe[Wo],"H")=0,"",ROUND(AVERAGEIFS(Eingabe[GES],Eingabe[Name],ErgebnisPositionH[[#This Row],[Name]],Eingabe[Position],ErgebnisPositionH[[#Headers],[1]],Eingabe[Wo],"H"),0))</f>
        <v/>
      </c>
      <c r="O13" s="189">
        <f>IF(COUNTIFS(Eingabe[Name],ErgebnisPositionH[[#This Row],[Name]],Eingabe[Position],ErgebnisPositionH[[#Headers],[2]],Eingabe[Wo],"H")=0,"",ROUND(AVERAGEIFS(Eingabe[GES],Eingabe[Name],ErgebnisPositionH[[#This Row],[Name]],Eingabe[Position],ErgebnisPositionH[[#Headers],[2]],Eingabe[Wo],"H"),0))</f>
        <v>506</v>
      </c>
      <c r="P13" s="189">
        <f>IF(COUNTIFS(Eingabe[Name],ErgebnisPositionH[[#This Row],[Name]],Eingabe[Position],ErgebnisPositionH[[#Headers],[3]],Eingabe[Wo],"H")=0,"",ROUND(AVERAGEIFS(Eingabe[GES],Eingabe[Name],ErgebnisPositionH[[#This Row],[Name]],Eingabe[Position],ErgebnisPositionH[[#Headers],[3]],Eingabe[Wo],"H"),0))</f>
        <v>514</v>
      </c>
      <c r="Q13" s="189" t="str">
        <f>IF(COUNTIFS(Eingabe[Name],ErgebnisPositionH[[#This Row],[Name]],Eingabe[Position],ErgebnisPositionH[[#Headers],[4]],Eingabe[Wo],"H")=0,"",ROUND(AVERAGEIFS(Eingabe[GES],Eingabe[Name],ErgebnisPositionH[[#This Row],[Name]],Eingabe[Position],ErgebnisPositionH[[#Headers],[4]],Eingabe[Wo],"H"),0))</f>
        <v/>
      </c>
      <c r="R13" s="189" t="str">
        <f>IF(COUNTIFS(Eingabe[Name],ErgebnisPositionH[[#This Row],[Name]],Eingabe[Position],ErgebnisPositionH[[#Headers],[5]],Eingabe[Wo],"H")=0,"",ROUND(AVERAGEIFS(Eingabe[GES],Eingabe[Name],ErgebnisPositionH[[#This Row],[Name]],Eingabe[Position],ErgebnisPositionH[[#Headers],[5]],Eingabe[Wo],"H"),0))</f>
        <v/>
      </c>
      <c r="S13" s="189">
        <f>IF(COUNTIFS(Eingabe[Name],ErgebnisPositionH[[#This Row],[Name]],Eingabe[Position],ErgebnisPositionH[[#Headers],[6]],Eingabe[Wo],"H")=0,"",ROUND(AVERAGEIFS(Eingabe[GES],Eingabe[Name],ErgebnisPositionH[[#This Row],[Name]],Eingabe[Position],ErgebnisPositionH[[#Headers],[6]],Eingabe[Wo],"H"),0))</f>
        <v>532</v>
      </c>
      <c r="V13" s="188" t="str">
        <f>ErgebnisPosition[[#This Row],[Name]]</f>
        <v>Erik Krutak</v>
      </c>
      <c r="W13" s="188" t="str">
        <f>VLOOKUP(ErgebnisPositionA[[#This Row],[Name]],Teamzuordnung[[Name]:[Team]],2,FALSE)</f>
        <v>Z</v>
      </c>
      <c r="X13" s="189" t="str">
        <f>IF(COUNTIFS(Eingabe[Name],ErgebnisPositionA[[#This Row],[Name]],Eingabe[Position],ErgebnisPositionA[[#Headers],[1]],Eingabe[Wo],"A")=0,"",ROUND(AVERAGEIFS(Eingabe[GES],Eingabe[Name],ErgebnisPositionA[[#This Row],[Name]],Eingabe[Position],ErgebnisPositionA[[#Headers],[1]],Eingabe[Wo],"A"),0))</f>
        <v/>
      </c>
      <c r="Y13" s="189" t="str">
        <f>IF(COUNTIFS(Eingabe[Name],ErgebnisPositionA[[#This Row],[Name]],Eingabe[Position],ErgebnisPositionA[[#Headers],[2]],Eingabe[Wo],"A")=0,"",ROUND(AVERAGEIFS(Eingabe[GES],Eingabe[Name],ErgebnisPositionA[[#This Row],[Name]],Eingabe[Position],ErgebnisPositionA[[#Headers],[2]],Eingabe[Wo],"A"),0))</f>
        <v/>
      </c>
      <c r="Z13" s="189" t="str">
        <f>IF(COUNTIFS(Eingabe[Name],ErgebnisPositionA[[#This Row],[Name]],Eingabe[Position],ErgebnisPositionA[[#Headers],[3]],Eingabe[Wo],"A")=0,"",ROUND(AVERAGEIFS(Eingabe[GES],Eingabe[Name],ErgebnisPositionA[[#This Row],[Name]],Eingabe[Position],ErgebnisPositionA[[#Headers],[3]],Eingabe[Wo],"A"),0))</f>
        <v/>
      </c>
      <c r="AA13" s="189" t="str">
        <f>IF(COUNTIFS(Eingabe[Name],ErgebnisPositionA[[#This Row],[Name]],Eingabe[Position],ErgebnisPositionA[[#Headers],[4]],Eingabe[Wo],"A")=0,"",ROUND(AVERAGEIFS(Eingabe[GES],Eingabe[Name],ErgebnisPositionA[[#This Row],[Name]],Eingabe[Position],ErgebnisPositionA[[#Headers],[4]],Eingabe[Wo],"A"),0))</f>
        <v/>
      </c>
      <c r="AB13" s="189">
        <f>IF(COUNTIFS(Eingabe[Name],ErgebnisPositionA[[#This Row],[Name]],Eingabe[Position],ErgebnisPositionA[[#Headers],[5]],Eingabe[Wo],"A")=0,"",ROUND(AVERAGEIFS(Eingabe[GES],Eingabe[Name],ErgebnisPositionA[[#This Row],[Name]],Eingabe[Position],ErgebnisPositionA[[#Headers],[5]],Eingabe[Wo],"A"),0))</f>
        <v>530</v>
      </c>
      <c r="AC13" s="189">
        <f>IF(COUNTIFS(Eingabe[Name],ErgebnisPositionA[[#This Row],[Name]],Eingabe[Position],ErgebnisPositionA[[#Headers],[6]],Eingabe[Wo],"A")=0,"",ROUND(AVERAGEIFS(Eingabe[GES],Eingabe[Name],ErgebnisPositionA[[#This Row],[Name]],Eingabe[Position],ErgebnisPositionA[[#Headers],[6]],Eingabe[Wo],"A"),0))</f>
        <v>538</v>
      </c>
      <c r="AF13" s="221"/>
      <c r="AG13" s="216"/>
      <c r="AH13" s="217"/>
      <c r="AI13" s="217"/>
      <c r="AJ13" s="217"/>
      <c r="AK13" s="217"/>
      <c r="AL13" s="218"/>
      <c r="AM13" s="216"/>
      <c r="AN13" s="217"/>
      <c r="AO13" s="217"/>
      <c r="AP13" s="217"/>
      <c r="AQ13" s="217"/>
      <c r="AR13" s="218"/>
      <c r="AS13" s="216"/>
      <c r="AT13" s="217"/>
      <c r="AU13" s="217"/>
      <c r="AV13" s="217"/>
      <c r="AW13" s="217"/>
      <c r="AX13" s="218"/>
    </row>
    <row r="14" spans="1:50" ht="16.2" thickBot="1" x14ac:dyDescent="0.35">
      <c r="B14" s="188" t="str">
        <f>Übersicht!B15</f>
        <v>Florian Jäger</v>
      </c>
      <c r="C14" s="188" t="str">
        <f>VLOOKUP(ErgebnisPosition[[#This Row],[Name]],Teamzuordnung[[Name]:[Team]],2,FALSE)</f>
        <v>D</v>
      </c>
      <c r="D14" s="189" t="str">
        <f>IF(COUNTIFS(Eingabe[Name],ErgebnisPosition[[#This Row],[Name]],Eingabe[Position],ErgebnisPosition[[#Headers],[1]])=0,"",ROUND(AVERAGEIFS(Eingabe[GES],Eingabe[Name],ErgebnisPosition[[#This Row],[Name]],Eingabe[Position],ErgebnisPosition[[#Headers],[1]]),0))</f>
        <v/>
      </c>
      <c r="E14" s="189" t="str">
        <f>IF(COUNTIFS(Eingabe[Name],ErgebnisPosition[[#This Row],[Name]],Eingabe[Position],ErgebnisPosition[[#Headers],[2]])=0,"",ROUND(AVERAGEIFS(Eingabe[GES],Eingabe[Name],ErgebnisPosition[[#This Row],[Name]],Eingabe[Position],ErgebnisPosition[[#Headers],[2]]),0))</f>
        <v/>
      </c>
      <c r="F14" s="189" t="str">
        <f>IF(COUNTIFS(Eingabe[Name],ErgebnisPosition[[#This Row],[Name]],Eingabe[Position],ErgebnisPosition[[#Headers],[3]])=0,"",ROUND(AVERAGEIFS(Eingabe[GES],Eingabe[Name],ErgebnisPosition[[#This Row],[Name]],Eingabe[Position],ErgebnisPosition[[#Headers],[3]]),0))</f>
        <v/>
      </c>
      <c r="G14" s="189" t="str">
        <f>IF(COUNTIFS(Eingabe[Name],ErgebnisPosition[[#This Row],[Name]],Eingabe[Position],ErgebnisPosition[[#Headers],[4]])=0,"",ROUND(AVERAGEIFS(Eingabe[GES],Eingabe[Name],ErgebnisPosition[[#This Row],[Name]],Eingabe[Position],ErgebnisPosition[[#Headers],[4]]),0))</f>
        <v/>
      </c>
      <c r="H14" s="189" t="str">
        <f>IF(COUNTIFS(Eingabe[Name],ErgebnisPosition[[#This Row],[Name]],Eingabe[Position],ErgebnisPosition[[#Headers],[5]])=0,"",ROUND(AVERAGEIFS(Eingabe[GES],Eingabe[Name],ErgebnisPosition[[#This Row],[Name]],Eingabe[Position],ErgebnisPosition[[#Headers],[5]]),0))</f>
        <v/>
      </c>
      <c r="I14" s="189">
        <f>IF(COUNTIFS(Eingabe[Name],ErgebnisPosition[[#This Row],[Name]],Eingabe[Position],ErgebnisPosition[[#Headers],[6]])=0,"",ROUND(AVERAGEIFS(Eingabe[GES],Eingabe[Name],ErgebnisPosition[[#This Row],[Name]],Eingabe[Position],ErgebnisPosition[[#Headers],[6]]),0))</f>
        <v>492</v>
      </c>
      <c r="L14" s="188" t="str">
        <f>ErgebnisPosition[[#This Row],[Name]]</f>
        <v>Florian Jäger</v>
      </c>
      <c r="M14" s="188" t="str">
        <f>VLOOKUP(ErgebnisPositionH[[#This Row],[Name]],Teamzuordnung[[Name]:[Team]],2,FALSE)</f>
        <v>D</v>
      </c>
      <c r="N14" s="189" t="str">
        <f>IF(COUNTIFS(Eingabe[Name],ErgebnisPositionH[[#This Row],[Name]],Eingabe[Position],ErgebnisPositionH[[#Headers],[1]],Eingabe[Wo],"H")=0,"",ROUND(AVERAGEIFS(Eingabe[GES],Eingabe[Name],ErgebnisPositionH[[#This Row],[Name]],Eingabe[Position],ErgebnisPositionH[[#Headers],[1]],Eingabe[Wo],"H"),0))</f>
        <v/>
      </c>
      <c r="O14" s="189" t="str">
        <f>IF(COUNTIFS(Eingabe[Name],ErgebnisPositionH[[#This Row],[Name]],Eingabe[Position],ErgebnisPositionH[[#Headers],[2]],Eingabe[Wo],"H")=0,"",ROUND(AVERAGEIFS(Eingabe[GES],Eingabe[Name],ErgebnisPositionH[[#This Row],[Name]],Eingabe[Position],ErgebnisPositionH[[#Headers],[2]],Eingabe[Wo],"H"),0))</f>
        <v/>
      </c>
      <c r="P14" s="189" t="str">
        <f>IF(COUNTIFS(Eingabe[Name],ErgebnisPositionH[[#This Row],[Name]],Eingabe[Position],ErgebnisPositionH[[#Headers],[3]],Eingabe[Wo],"H")=0,"",ROUND(AVERAGEIFS(Eingabe[GES],Eingabe[Name],ErgebnisPositionH[[#This Row],[Name]],Eingabe[Position],ErgebnisPositionH[[#Headers],[3]],Eingabe[Wo],"H"),0))</f>
        <v/>
      </c>
      <c r="Q14" s="189" t="str">
        <f>IF(COUNTIFS(Eingabe[Name],ErgebnisPositionH[[#This Row],[Name]],Eingabe[Position],ErgebnisPositionH[[#Headers],[4]],Eingabe[Wo],"H")=0,"",ROUND(AVERAGEIFS(Eingabe[GES],Eingabe[Name],ErgebnisPositionH[[#This Row],[Name]],Eingabe[Position],ErgebnisPositionH[[#Headers],[4]],Eingabe[Wo],"H"),0))</f>
        <v/>
      </c>
      <c r="R14" s="189" t="str">
        <f>IF(COUNTIFS(Eingabe[Name],ErgebnisPositionH[[#This Row],[Name]],Eingabe[Position],ErgebnisPositionH[[#Headers],[5]],Eingabe[Wo],"H")=0,"",ROUND(AVERAGEIFS(Eingabe[GES],Eingabe[Name],ErgebnisPositionH[[#This Row],[Name]],Eingabe[Position],ErgebnisPositionH[[#Headers],[5]],Eingabe[Wo],"H"),0))</f>
        <v/>
      </c>
      <c r="S14" s="189">
        <f>IF(COUNTIFS(Eingabe[Name],ErgebnisPositionH[[#This Row],[Name]],Eingabe[Position],ErgebnisPositionH[[#Headers],[6]],Eingabe[Wo],"H")=0,"",ROUND(AVERAGEIFS(Eingabe[GES],Eingabe[Name],ErgebnisPositionH[[#This Row],[Name]],Eingabe[Position],ErgebnisPositionH[[#Headers],[6]],Eingabe[Wo],"H"),0))</f>
        <v>472</v>
      </c>
      <c r="V14" s="188" t="str">
        <f>ErgebnisPosition[[#This Row],[Name]]</f>
        <v>Florian Jäger</v>
      </c>
      <c r="W14" s="188" t="str">
        <f>VLOOKUP(ErgebnisPositionA[[#This Row],[Name]],Teamzuordnung[[Name]:[Team]],2,FALSE)</f>
        <v>D</v>
      </c>
      <c r="X14" s="189" t="str">
        <f>IF(COUNTIFS(Eingabe[Name],ErgebnisPositionA[[#This Row],[Name]],Eingabe[Position],ErgebnisPositionA[[#Headers],[1]],Eingabe[Wo],"A")=0,"",ROUND(AVERAGEIFS(Eingabe[GES],Eingabe[Name],ErgebnisPositionA[[#This Row],[Name]],Eingabe[Position],ErgebnisPositionA[[#Headers],[1]],Eingabe[Wo],"A"),0))</f>
        <v/>
      </c>
      <c r="Y14" s="189" t="str">
        <f>IF(COUNTIFS(Eingabe[Name],ErgebnisPositionA[[#This Row],[Name]],Eingabe[Position],ErgebnisPositionA[[#Headers],[2]],Eingabe[Wo],"A")=0,"",ROUND(AVERAGEIFS(Eingabe[GES],Eingabe[Name],ErgebnisPositionA[[#This Row],[Name]],Eingabe[Position],ErgebnisPositionA[[#Headers],[2]],Eingabe[Wo],"A"),0))</f>
        <v/>
      </c>
      <c r="Z14" s="189" t="str">
        <f>IF(COUNTIFS(Eingabe[Name],ErgebnisPositionA[[#This Row],[Name]],Eingabe[Position],ErgebnisPositionA[[#Headers],[3]],Eingabe[Wo],"A")=0,"",ROUND(AVERAGEIFS(Eingabe[GES],Eingabe[Name],ErgebnisPositionA[[#This Row],[Name]],Eingabe[Position],ErgebnisPositionA[[#Headers],[3]],Eingabe[Wo],"A"),0))</f>
        <v/>
      </c>
      <c r="AA14" s="189" t="str">
        <f>IF(COUNTIFS(Eingabe[Name],ErgebnisPositionA[[#This Row],[Name]],Eingabe[Position],ErgebnisPositionA[[#Headers],[4]],Eingabe[Wo],"A")=0,"",ROUND(AVERAGEIFS(Eingabe[GES],Eingabe[Name],ErgebnisPositionA[[#This Row],[Name]],Eingabe[Position],ErgebnisPositionA[[#Headers],[4]],Eingabe[Wo],"A"),0))</f>
        <v/>
      </c>
      <c r="AB14" s="189" t="str">
        <f>IF(COUNTIFS(Eingabe[Name],ErgebnisPositionA[[#This Row],[Name]],Eingabe[Position],ErgebnisPositionA[[#Headers],[5]],Eingabe[Wo],"A")=0,"",ROUND(AVERAGEIFS(Eingabe[GES],Eingabe[Name],ErgebnisPositionA[[#This Row],[Name]],Eingabe[Position],ErgebnisPositionA[[#Headers],[5]],Eingabe[Wo],"A"),0))</f>
        <v/>
      </c>
      <c r="AC14" s="189">
        <f>IF(COUNTIFS(Eingabe[Name],ErgebnisPositionA[[#This Row],[Name]],Eingabe[Position],ErgebnisPositionA[[#Headers],[6]],Eingabe[Wo],"A")=0,"",ROUND(AVERAGEIFS(Eingabe[GES],Eingabe[Name],ErgebnisPositionA[[#This Row],[Name]],Eingabe[Position],ErgebnisPositionA[[#Headers],[6]],Eingabe[Wo],"A"),0))</f>
        <v>511</v>
      </c>
      <c r="AF14" s="221"/>
      <c r="AG14" s="216"/>
      <c r="AH14" s="217"/>
      <c r="AI14" s="217"/>
      <c r="AJ14" s="217"/>
      <c r="AK14" s="217"/>
      <c r="AL14" s="218"/>
      <c r="AM14" s="216"/>
      <c r="AN14" s="217"/>
      <c r="AO14" s="217"/>
      <c r="AP14" s="217"/>
      <c r="AQ14" s="217"/>
      <c r="AR14" s="218"/>
      <c r="AS14" s="216"/>
      <c r="AT14" s="217"/>
      <c r="AU14" s="217"/>
      <c r="AV14" s="217"/>
      <c r="AW14" s="217"/>
      <c r="AX14" s="218"/>
    </row>
    <row r="15" spans="1:50" ht="15.6" x14ac:dyDescent="0.3">
      <c r="B15" s="188" t="str">
        <f>Übersicht!B16</f>
        <v>Heike Scholz</v>
      </c>
      <c r="C15" s="188" t="str">
        <f>VLOOKUP(ErgebnisPosition[[#This Row],[Name]],Teamzuordnung[[Name]:[Team]],2,FALSE)</f>
        <v>F</v>
      </c>
      <c r="D15" s="189" t="str">
        <f>IF(COUNTIFS(Eingabe[Name],ErgebnisPosition[[#This Row],[Name]],Eingabe[Position],ErgebnisPosition[[#Headers],[1]])=0,"",ROUND(AVERAGEIFS(Eingabe[GES],Eingabe[Name],ErgebnisPosition[[#This Row],[Name]],Eingabe[Position],ErgebnisPosition[[#Headers],[1]]),0))</f>
        <v/>
      </c>
      <c r="E15" s="189">
        <f>IF(COUNTIFS(Eingabe[Name],ErgebnisPosition[[#This Row],[Name]],Eingabe[Position],ErgebnisPosition[[#Headers],[2]])=0,"",ROUND(AVERAGEIFS(Eingabe[GES],Eingabe[Name],ErgebnisPosition[[#This Row],[Name]],Eingabe[Position],ErgebnisPosition[[#Headers],[2]]),0))</f>
        <v>505</v>
      </c>
      <c r="F15" s="189">
        <f>IF(COUNTIFS(Eingabe[Name],ErgebnisPosition[[#This Row],[Name]],Eingabe[Position],ErgebnisPosition[[#Headers],[3]])=0,"",ROUND(AVERAGEIFS(Eingabe[GES],Eingabe[Name],ErgebnisPosition[[#This Row],[Name]],Eingabe[Position],ErgebnisPosition[[#Headers],[3]]),0))</f>
        <v>540</v>
      </c>
      <c r="G15" s="189">
        <f>IF(COUNTIFS(Eingabe[Name],ErgebnisPosition[[#This Row],[Name]],Eingabe[Position],ErgebnisPosition[[#Headers],[4]])=0,"",ROUND(AVERAGEIFS(Eingabe[GES],Eingabe[Name],ErgebnisPosition[[#This Row],[Name]],Eingabe[Position],ErgebnisPosition[[#Headers],[4]]),0))</f>
        <v>508</v>
      </c>
      <c r="H15" s="189">
        <f>IF(COUNTIFS(Eingabe[Name],ErgebnisPosition[[#This Row],[Name]],Eingabe[Position],ErgebnisPosition[[#Headers],[5]])=0,"",ROUND(AVERAGEIFS(Eingabe[GES],Eingabe[Name],ErgebnisPosition[[#This Row],[Name]],Eingabe[Position],ErgebnisPosition[[#Headers],[5]]),0))</f>
        <v>503</v>
      </c>
      <c r="I15" s="189" t="str">
        <f>IF(COUNTIFS(Eingabe[Name],ErgebnisPosition[[#This Row],[Name]],Eingabe[Position],ErgebnisPosition[[#Headers],[6]])=0,"",ROUND(AVERAGEIFS(Eingabe[GES],Eingabe[Name],ErgebnisPosition[[#This Row],[Name]],Eingabe[Position],ErgebnisPosition[[#Headers],[6]]),0))</f>
        <v/>
      </c>
      <c r="L15" s="188" t="str">
        <f>ErgebnisPosition[[#This Row],[Name]]</f>
        <v>Heike Scholz</v>
      </c>
      <c r="M15" s="188" t="str">
        <f>VLOOKUP(ErgebnisPositionH[[#This Row],[Name]],Teamzuordnung[[Name]:[Team]],2,FALSE)</f>
        <v>F</v>
      </c>
      <c r="N15" s="189" t="str">
        <f>IF(COUNTIFS(Eingabe[Name],ErgebnisPositionH[[#This Row],[Name]],Eingabe[Position],ErgebnisPositionH[[#Headers],[1]],Eingabe[Wo],"H")=0,"",ROUND(AVERAGEIFS(Eingabe[GES],Eingabe[Name],ErgebnisPositionH[[#This Row],[Name]],Eingabe[Position],ErgebnisPositionH[[#Headers],[1]],Eingabe[Wo],"H"),0))</f>
        <v/>
      </c>
      <c r="O15" s="189">
        <f>IF(COUNTIFS(Eingabe[Name],ErgebnisPositionH[[#This Row],[Name]],Eingabe[Position],ErgebnisPositionH[[#Headers],[2]],Eingabe[Wo],"H")=0,"",ROUND(AVERAGEIFS(Eingabe[GES],Eingabe[Name],ErgebnisPositionH[[#This Row],[Name]],Eingabe[Position],ErgebnisPositionH[[#Headers],[2]],Eingabe[Wo],"H"),0))</f>
        <v>505</v>
      </c>
      <c r="P15" s="189" t="str">
        <f>IF(COUNTIFS(Eingabe[Name],ErgebnisPositionH[[#This Row],[Name]],Eingabe[Position],ErgebnisPositionH[[#Headers],[3]],Eingabe[Wo],"H")=0,"",ROUND(AVERAGEIFS(Eingabe[GES],Eingabe[Name],ErgebnisPositionH[[#This Row],[Name]],Eingabe[Position],ErgebnisPositionH[[#Headers],[3]],Eingabe[Wo],"H"),0))</f>
        <v/>
      </c>
      <c r="Q15" s="189">
        <f>IF(COUNTIFS(Eingabe[Name],ErgebnisPositionH[[#This Row],[Name]],Eingabe[Position],ErgebnisPositionH[[#Headers],[4]],Eingabe[Wo],"H")=0,"",ROUND(AVERAGEIFS(Eingabe[GES],Eingabe[Name],ErgebnisPositionH[[#This Row],[Name]],Eingabe[Position],ErgebnisPositionH[[#Headers],[4]],Eingabe[Wo],"H"),0))</f>
        <v>506</v>
      </c>
      <c r="R15" s="189">
        <f>IF(COUNTIFS(Eingabe[Name],ErgebnisPositionH[[#This Row],[Name]],Eingabe[Position],ErgebnisPositionH[[#Headers],[5]],Eingabe[Wo],"H")=0,"",ROUND(AVERAGEIFS(Eingabe[GES],Eingabe[Name],ErgebnisPositionH[[#This Row],[Name]],Eingabe[Position],ErgebnisPositionH[[#Headers],[5]],Eingabe[Wo],"H"),0))</f>
        <v>503</v>
      </c>
      <c r="S15" s="189" t="str">
        <f>IF(COUNTIFS(Eingabe[Name],ErgebnisPositionH[[#This Row],[Name]],Eingabe[Position],ErgebnisPositionH[[#Headers],[6]],Eingabe[Wo],"H")=0,"",ROUND(AVERAGEIFS(Eingabe[GES],Eingabe[Name],ErgebnisPositionH[[#This Row],[Name]],Eingabe[Position],ErgebnisPositionH[[#Headers],[6]],Eingabe[Wo],"H"),0))</f>
        <v/>
      </c>
      <c r="V15" s="188" t="str">
        <f>ErgebnisPosition[[#This Row],[Name]]</f>
        <v>Heike Scholz</v>
      </c>
      <c r="W15" s="188" t="str">
        <f>VLOOKUP(ErgebnisPositionA[[#This Row],[Name]],Teamzuordnung[[Name]:[Team]],2,FALSE)</f>
        <v>F</v>
      </c>
      <c r="X15" s="189" t="str">
        <f>IF(COUNTIFS(Eingabe[Name],ErgebnisPositionA[[#This Row],[Name]],Eingabe[Position],ErgebnisPositionA[[#Headers],[1]],Eingabe[Wo],"A")=0,"",ROUND(AVERAGEIFS(Eingabe[GES],Eingabe[Name],ErgebnisPositionA[[#This Row],[Name]],Eingabe[Position],ErgebnisPositionA[[#Headers],[1]],Eingabe[Wo],"A"),0))</f>
        <v/>
      </c>
      <c r="Y15" s="189" t="str">
        <f>IF(COUNTIFS(Eingabe[Name],ErgebnisPositionA[[#This Row],[Name]],Eingabe[Position],ErgebnisPositionA[[#Headers],[2]],Eingabe[Wo],"A")=0,"",ROUND(AVERAGEIFS(Eingabe[GES],Eingabe[Name],ErgebnisPositionA[[#This Row],[Name]],Eingabe[Position],ErgebnisPositionA[[#Headers],[2]],Eingabe[Wo],"A"),0))</f>
        <v/>
      </c>
      <c r="Z15" s="189">
        <f>IF(COUNTIFS(Eingabe[Name],ErgebnisPositionA[[#This Row],[Name]],Eingabe[Position],ErgebnisPositionA[[#Headers],[3]],Eingabe[Wo],"A")=0,"",ROUND(AVERAGEIFS(Eingabe[GES],Eingabe[Name],ErgebnisPositionA[[#This Row],[Name]],Eingabe[Position],ErgebnisPositionA[[#Headers],[3]],Eingabe[Wo],"A"),0))</f>
        <v>540</v>
      </c>
      <c r="AA15" s="189">
        <f>IF(COUNTIFS(Eingabe[Name],ErgebnisPositionA[[#This Row],[Name]],Eingabe[Position],ErgebnisPositionA[[#Headers],[4]],Eingabe[Wo],"A")=0,"",ROUND(AVERAGEIFS(Eingabe[GES],Eingabe[Name],ErgebnisPositionA[[#This Row],[Name]],Eingabe[Position],ErgebnisPositionA[[#Headers],[4]],Eingabe[Wo],"A"),0))</f>
        <v>509</v>
      </c>
      <c r="AB15" s="189" t="str">
        <f>IF(COUNTIFS(Eingabe[Name],ErgebnisPositionA[[#This Row],[Name]],Eingabe[Position],ErgebnisPositionA[[#Headers],[5]],Eingabe[Wo],"A")=0,"",ROUND(AVERAGEIFS(Eingabe[GES],Eingabe[Name],ErgebnisPositionA[[#This Row],[Name]],Eingabe[Position],ErgebnisPositionA[[#Headers],[5]],Eingabe[Wo],"A"),0))</f>
        <v/>
      </c>
      <c r="AC15" s="189" t="str">
        <f>IF(COUNTIFS(Eingabe[Name],ErgebnisPositionA[[#This Row],[Name]],Eingabe[Position],ErgebnisPositionA[[#Headers],[6]],Eingabe[Wo],"A")=0,"",ROUND(AVERAGEIFS(Eingabe[GES],Eingabe[Name],ErgebnisPositionA[[#This Row],[Name]],Eingabe[Position],ErgebnisPositionA[[#Headers],[6]],Eingabe[Wo],"A"),0))</f>
        <v/>
      </c>
    </row>
    <row r="16" spans="1:50" ht="15.6" x14ac:dyDescent="0.3">
      <c r="B16" s="188" t="str">
        <f>Übersicht!B17</f>
        <v>Heiko Fuhrmann</v>
      </c>
      <c r="C16" s="188" t="str">
        <f>VLOOKUP(ErgebnisPosition[[#This Row],[Name]],Teamzuordnung[[Name]:[Team]],2,FALSE)</f>
        <v>E</v>
      </c>
      <c r="D16" s="189" t="str">
        <f>IF(COUNTIFS(Eingabe[Name],ErgebnisPosition[[#This Row],[Name]],Eingabe[Position],ErgebnisPosition[[#Headers],[1]])=0,"",ROUND(AVERAGEIFS(Eingabe[GES],Eingabe[Name],ErgebnisPosition[[#This Row],[Name]],Eingabe[Position],ErgebnisPosition[[#Headers],[1]]),0))</f>
        <v/>
      </c>
      <c r="E16" s="189">
        <f>IF(COUNTIFS(Eingabe[Name],ErgebnisPosition[[#This Row],[Name]],Eingabe[Position],ErgebnisPosition[[#Headers],[2]])=0,"",ROUND(AVERAGEIFS(Eingabe[GES],Eingabe[Name],ErgebnisPosition[[#This Row],[Name]],Eingabe[Position],ErgebnisPosition[[#Headers],[2]]),0))</f>
        <v>526</v>
      </c>
      <c r="F16" s="189" t="str">
        <f>IF(COUNTIFS(Eingabe[Name],ErgebnisPosition[[#This Row],[Name]],Eingabe[Position],ErgebnisPosition[[#Headers],[3]])=0,"",ROUND(AVERAGEIFS(Eingabe[GES],Eingabe[Name],ErgebnisPosition[[#This Row],[Name]],Eingabe[Position],ErgebnisPosition[[#Headers],[3]]),0))</f>
        <v/>
      </c>
      <c r="G16" s="189">
        <f>IF(COUNTIFS(Eingabe[Name],ErgebnisPosition[[#This Row],[Name]],Eingabe[Position],ErgebnisPosition[[#Headers],[4]])=0,"",ROUND(AVERAGEIFS(Eingabe[GES],Eingabe[Name],ErgebnisPosition[[#This Row],[Name]],Eingabe[Position],ErgebnisPosition[[#Headers],[4]]),0))</f>
        <v>514</v>
      </c>
      <c r="H16" s="189">
        <f>IF(COUNTIFS(Eingabe[Name],ErgebnisPosition[[#This Row],[Name]],Eingabe[Position],ErgebnisPosition[[#Headers],[5]])=0,"",ROUND(AVERAGEIFS(Eingabe[GES],Eingabe[Name],ErgebnisPosition[[#This Row],[Name]],Eingabe[Position],ErgebnisPosition[[#Headers],[5]]),0))</f>
        <v>565</v>
      </c>
      <c r="I16" s="189">
        <f>IF(COUNTIFS(Eingabe[Name],ErgebnisPosition[[#This Row],[Name]],Eingabe[Position],ErgebnisPosition[[#Headers],[6]])=0,"",ROUND(AVERAGEIFS(Eingabe[GES],Eingabe[Name],ErgebnisPosition[[#This Row],[Name]],Eingabe[Position],ErgebnisPosition[[#Headers],[6]]),0))</f>
        <v>523</v>
      </c>
      <c r="L16" s="188" t="str">
        <f>ErgebnisPosition[[#This Row],[Name]]</f>
        <v>Heiko Fuhrmann</v>
      </c>
      <c r="M16" s="188" t="str">
        <f>VLOOKUP(ErgebnisPositionH[[#This Row],[Name]],Teamzuordnung[[Name]:[Team]],2,FALSE)</f>
        <v>E</v>
      </c>
      <c r="N16" s="189" t="str">
        <f>IF(COUNTIFS(Eingabe[Name],ErgebnisPositionH[[#This Row],[Name]],Eingabe[Position],ErgebnisPositionH[[#Headers],[1]],Eingabe[Wo],"H")=0,"",ROUND(AVERAGEIFS(Eingabe[GES],Eingabe[Name],ErgebnisPositionH[[#This Row],[Name]],Eingabe[Position],ErgebnisPositionH[[#Headers],[1]],Eingabe[Wo],"H"),0))</f>
        <v/>
      </c>
      <c r="O16" s="189">
        <f>IF(COUNTIFS(Eingabe[Name],ErgebnisPositionH[[#This Row],[Name]],Eingabe[Position],ErgebnisPositionH[[#Headers],[2]],Eingabe[Wo],"H")=0,"",ROUND(AVERAGEIFS(Eingabe[GES],Eingabe[Name],ErgebnisPositionH[[#This Row],[Name]],Eingabe[Position],ErgebnisPositionH[[#Headers],[2]],Eingabe[Wo],"H"),0))</f>
        <v>526</v>
      </c>
      <c r="P16" s="189" t="str">
        <f>IF(COUNTIFS(Eingabe[Name],ErgebnisPositionH[[#This Row],[Name]],Eingabe[Position],ErgebnisPositionH[[#Headers],[3]],Eingabe[Wo],"H")=0,"",ROUND(AVERAGEIFS(Eingabe[GES],Eingabe[Name],ErgebnisPositionH[[#This Row],[Name]],Eingabe[Position],ErgebnisPositionH[[#Headers],[3]],Eingabe[Wo],"H"),0))</f>
        <v/>
      </c>
      <c r="Q16" s="189" t="str">
        <f>IF(COUNTIFS(Eingabe[Name],ErgebnisPositionH[[#This Row],[Name]],Eingabe[Position],ErgebnisPositionH[[#Headers],[4]],Eingabe[Wo],"H")=0,"",ROUND(AVERAGEIFS(Eingabe[GES],Eingabe[Name],ErgebnisPositionH[[#This Row],[Name]],Eingabe[Position],ErgebnisPositionH[[#Headers],[4]],Eingabe[Wo],"H"),0))</f>
        <v/>
      </c>
      <c r="R16" s="189" t="str">
        <f>IF(COUNTIFS(Eingabe[Name],ErgebnisPositionH[[#This Row],[Name]],Eingabe[Position],ErgebnisPositionH[[#Headers],[5]],Eingabe[Wo],"H")=0,"",ROUND(AVERAGEIFS(Eingabe[GES],Eingabe[Name],ErgebnisPositionH[[#This Row],[Name]],Eingabe[Position],ErgebnisPositionH[[#Headers],[5]],Eingabe[Wo],"H"),0))</f>
        <v/>
      </c>
      <c r="S16" s="189">
        <f>IF(COUNTIFS(Eingabe[Name],ErgebnisPositionH[[#This Row],[Name]],Eingabe[Position],ErgebnisPositionH[[#Headers],[6]],Eingabe[Wo],"H")=0,"",ROUND(AVERAGEIFS(Eingabe[GES],Eingabe[Name],ErgebnisPositionH[[#This Row],[Name]],Eingabe[Position],ErgebnisPositionH[[#Headers],[6]],Eingabe[Wo],"H"),0))</f>
        <v>519</v>
      </c>
      <c r="V16" s="188" t="str">
        <f>ErgebnisPosition[[#This Row],[Name]]</f>
        <v>Heiko Fuhrmann</v>
      </c>
      <c r="W16" s="188" t="str">
        <f>VLOOKUP(ErgebnisPositionA[[#This Row],[Name]],Teamzuordnung[[Name]:[Team]],2,FALSE)</f>
        <v>E</v>
      </c>
      <c r="X16" s="189" t="str">
        <f>IF(COUNTIFS(Eingabe[Name],ErgebnisPositionA[[#This Row],[Name]],Eingabe[Position],ErgebnisPositionA[[#Headers],[1]],Eingabe[Wo],"A")=0,"",ROUND(AVERAGEIFS(Eingabe[GES],Eingabe[Name],ErgebnisPositionA[[#This Row],[Name]],Eingabe[Position],ErgebnisPositionA[[#Headers],[1]],Eingabe[Wo],"A"),0))</f>
        <v/>
      </c>
      <c r="Y16" s="189" t="str">
        <f>IF(COUNTIFS(Eingabe[Name],ErgebnisPositionA[[#This Row],[Name]],Eingabe[Position],ErgebnisPositionA[[#Headers],[2]],Eingabe[Wo],"A")=0,"",ROUND(AVERAGEIFS(Eingabe[GES],Eingabe[Name],ErgebnisPositionA[[#This Row],[Name]],Eingabe[Position],ErgebnisPositionA[[#Headers],[2]],Eingabe[Wo],"A"),0))</f>
        <v/>
      </c>
      <c r="Z16" s="189" t="str">
        <f>IF(COUNTIFS(Eingabe[Name],ErgebnisPositionA[[#This Row],[Name]],Eingabe[Position],ErgebnisPositionA[[#Headers],[3]],Eingabe[Wo],"A")=0,"",ROUND(AVERAGEIFS(Eingabe[GES],Eingabe[Name],ErgebnisPositionA[[#This Row],[Name]],Eingabe[Position],ErgebnisPositionA[[#Headers],[3]],Eingabe[Wo],"A"),0))</f>
        <v/>
      </c>
      <c r="AA16" s="189">
        <f>IF(COUNTIFS(Eingabe[Name],ErgebnisPositionA[[#This Row],[Name]],Eingabe[Position],ErgebnisPositionA[[#Headers],[4]],Eingabe[Wo],"A")=0,"",ROUND(AVERAGEIFS(Eingabe[GES],Eingabe[Name],ErgebnisPositionA[[#This Row],[Name]],Eingabe[Position],ErgebnisPositionA[[#Headers],[4]],Eingabe[Wo],"A"),0))</f>
        <v>514</v>
      </c>
      <c r="AB16" s="189">
        <f>IF(COUNTIFS(Eingabe[Name],ErgebnisPositionA[[#This Row],[Name]],Eingabe[Position],ErgebnisPositionA[[#Headers],[5]],Eingabe[Wo],"A")=0,"",ROUND(AVERAGEIFS(Eingabe[GES],Eingabe[Name],ErgebnisPositionA[[#This Row],[Name]],Eingabe[Position],ErgebnisPositionA[[#Headers],[5]],Eingabe[Wo],"A"),0))</f>
        <v>565</v>
      </c>
      <c r="AC16" s="189">
        <f>IF(COUNTIFS(Eingabe[Name],ErgebnisPositionA[[#This Row],[Name]],Eingabe[Position],ErgebnisPositionA[[#Headers],[6]],Eingabe[Wo],"A")=0,"",ROUND(AVERAGEIFS(Eingabe[GES],Eingabe[Name],ErgebnisPositionA[[#This Row],[Name]],Eingabe[Position],ErgebnisPositionA[[#Headers],[6]],Eingabe[Wo],"A"),0))</f>
        <v>538</v>
      </c>
    </row>
    <row r="17" spans="2:29" ht="15.6" x14ac:dyDescent="0.3">
      <c r="B17" s="188" t="str">
        <f>Übersicht!B18</f>
        <v>Heiko Wüstling</v>
      </c>
      <c r="C17" s="188" t="str">
        <f>VLOOKUP(ErgebnisPosition[[#This Row],[Name]],Teamzuordnung[[Name]:[Team]],2,FALSE)</f>
        <v>D</v>
      </c>
      <c r="D17" s="189" t="str">
        <f>IF(COUNTIFS(Eingabe[Name],ErgebnisPosition[[#This Row],[Name]],Eingabe[Position],ErgebnisPosition[[#Headers],[1]])=0,"",ROUND(AVERAGEIFS(Eingabe[GES],Eingabe[Name],ErgebnisPosition[[#This Row],[Name]],Eingabe[Position],ErgebnisPosition[[#Headers],[1]]),0))</f>
        <v/>
      </c>
      <c r="E17" s="189" t="str">
        <f>IF(COUNTIFS(Eingabe[Name],ErgebnisPosition[[#This Row],[Name]],Eingabe[Position],ErgebnisPosition[[#Headers],[2]])=0,"",ROUND(AVERAGEIFS(Eingabe[GES],Eingabe[Name],ErgebnisPosition[[#This Row],[Name]],Eingabe[Position],ErgebnisPosition[[#Headers],[2]]),0))</f>
        <v/>
      </c>
      <c r="F17" s="189" t="str">
        <f>IF(COUNTIFS(Eingabe[Name],ErgebnisPosition[[#This Row],[Name]],Eingabe[Position],ErgebnisPosition[[#Headers],[3]])=0,"",ROUND(AVERAGEIFS(Eingabe[GES],Eingabe[Name],ErgebnisPosition[[#This Row],[Name]],Eingabe[Position],ErgebnisPosition[[#Headers],[3]]),0))</f>
        <v/>
      </c>
      <c r="G17" s="189" t="str">
        <f>IF(COUNTIFS(Eingabe[Name],ErgebnisPosition[[#This Row],[Name]],Eingabe[Position],ErgebnisPosition[[#Headers],[4]])=0,"",ROUND(AVERAGEIFS(Eingabe[GES],Eingabe[Name],ErgebnisPosition[[#This Row],[Name]],Eingabe[Position],ErgebnisPosition[[#Headers],[4]]),0))</f>
        <v/>
      </c>
      <c r="H17" s="189" t="str">
        <f>IF(COUNTIFS(Eingabe[Name],ErgebnisPosition[[#This Row],[Name]],Eingabe[Position],ErgebnisPosition[[#Headers],[5]])=0,"",ROUND(AVERAGEIFS(Eingabe[GES],Eingabe[Name],ErgebnisPosition[[#This Row],[Name]],Eingabe[Position],ErgebnisPosition[[#Headers],[5]]),0))</f>
        <v/>
      </c>
      <c r="I17" s="189" t="str">
        <f>IF(COUNTIFS(Eingabe[Name],ErgebnisPosition[[#This Row],[Name]],Eingabe[Position],ErgebnisPosition[[#Headers],[6]])=0,"",ROUND(AVERAGEIFS(Eingabe[GES],Eingabe[Name],ErgebnisPosition[[#This Row],[Name]],Eingabe[Position],ErgebnisPosition[[#Headers],[6]]),0))</f>
        <v/>
      </c>
      <c r="L17" s="188" t="str">
        <f>ErgebnisPosition[[#This Row],[Name]]</f>
        <v>Heiko Wüstling</v>
      </c>
      <c r="M17" s="188" t="str">
        <f>VLOOKUP(ErgebnisPositionH[[#This Row],[Name]],Teamzuordnung[[Name]:[Team]],2,FALSE)</f>
        <v>D</v>
      </c>
      <c r="N17" s="189" t="str">
        <f>IF(COUNTIFS(Eingabe[Name],ErgebnisPositionH[[#This Row],[Name]],Eingabe[Position],ErgebnisPositionH[[#Headers],[1]],Eingabe[Wo],"H")=0,"",ROUND(AVERAGEIFS(Eingabe[GES],Eingabe[Name],ErgebnisPositionH[[#This Row],[Name]],Eingabe[Position],ErgebnisPositionH[[#Headers],[1]],Eingabe[Wo],"H"),0))</f>
        <v/>
      </c>
      <c r="O17" s="189" t="str">
        <f>IF(COUNTIFS(Eingabe[Name],ErgebnisPositionH[[#This Row],[Name]],Eingabe[Position],ErgebnisPositionH[[#Headers],[2]],Eingabe[Wo],"H")=0,"",ROUND(AVERAGEIFS(Eingabe[GES],Eingabe[Name],ErgebnisPositionH[[#This Row],[Name]],Eingabe[Position],ErgebnisPositionH[[#Headers],[2]],Eingabe[Wo],"H"),0))</f>
        <v/>
      </c>
      <c r="P17" s="189" t="str">
        <f>IF(COUNTIFS(Eingabe[Name],ErgebnisPositionH[[#This Row],[Name]],Eingabe[Position],ErgebnisPositionH[[#Headers],[3]],Eingabe[Wo],"H")=0,"",ROUND(AVERAGEIFS(Eingabe[GES],Eingabe[Name],ErgebnisPositionH[[#This Row],[Name]],Eingabe[Position],ErgebnisPositionH[[#Headers],[3]],Eingabe[Wo],"H"),0))</f>
        <v/>
      </c>
      <c r="Q17" s="189" t="str">
        <f>IF(COUNTIFS(Eingabe[Name],ErgebnisPositionH[[#This Row],[Name]],Eingabe[Position],ErgebnisPositionH[[#Headers],[4]],Eingabe[Wo],"H")=0,"",ROUND(AVERAGEIFS(Eingabe[GES],Eingabe[Name],ErgebnisPositionH[[#This Row],[Name]],Eingabe[Position],ErgebnisPositionH[[#Headers],[4]],Eingabe[Wo],"H"),0))</f>
        <v/>
      </c>
      <c r="R17" s="189" t="str">
        <f>IF(COUNTIFS(Eingabe[Name],ErgebnisPositionH[[#This Row],[Name]],Eingabe[Position],ErgebnisPositionH[[#Headers],[5]],Eingabe[Wo],"H")=0,"",ROUND(AVERAGEIFS(Eingabe[GES],Eingabe[Name],ErgebnisPositionH[[#This Row],[Name]],Eingabe[Position],ErgebnisPositionH[[#Headers],[5]],Eingabe[Wo],"H"),0))</f>
        <v/>
      </c>
      <c r="S17" s="189" t="str">
        <f>IF(COUNTIFS(Eingabe[Name],ErgebnisPositionH[[#This Row],[Name]],Eingabe[Position],ErgebnisPositionH[[#Headers],[6]],Eingabe[Wo],"H")=0,"",ROUND(AVERAGEIFS(Eingabe[GES],Eingabe[Name],ErgebnisPositionH[[#This Row],[Name]],Eingabe[Position],ErgebnisPositionH[[#Headers],[6]],Eingabe[Wo],"H"),0))</f>
        <v/>
      </c>
      <c r="V17" s="188" t="str">
        <f>ErgebnisPosition[[#This Row],[Name]]</f>
        <v>Heiko Wüstling</v>
      </c>
      <c r="W17" s="188" t="str">
        <f>VLOOKUP(ErgebnisPositionA[[#This Row],[Name]],Teamzuordnung[[Name]:[Team]],2,FALSE)</f>
        <v>D</v>
      </c>
      <c r="X17" s="189" t="str">
        <f>IF(COUNTIFS(Eingabe[Name],ErgebnisPositionA[[#This Row],[Name]],Eingabe[Position],ErgebnisPositionA[[#Headers],[1]],Eingabe[Wo],"A")=0,"",ROUND(AVERAGEIFS(Eingabe[GES],Eingabe[Name],ErgebnisPositionA[[#This Row],[Name]],Eingabe[Position],ErgebnisPositionA[[#Headers],[1]],Eingabe[Wo],"A"),0))</f>
        <v/>
      </c>
      <c r="Y17" s="189" t="str">
        <f>IF(COUNTIFS(Eingabe[Name],ErgebnisPositionA[[#This Row],[Name]],Eingabe[Position],ErgebnisPositionA[[#Headers],[2]],Eingabe[Wo],"A")=0,"",ROUND(AVERAGEIFS(Eingabe[GES],Eingabe[Name],ErgebnisPositionA[[#This Row],[Name]],Eingabe[Position],ErgebnisPositionA[[#Headers],[2]],Eingabe[Wo],"A"),0))</f>
        <v/>
      </c>
      <c r="Z17" s="189" t="str">
        <f>IF(COUNTIFS(Eingabe[Name],ErgebnisPositionA[[#This Row],[Name]],Eingabe[Position],ErgebnisPositionA[[#Headers],[3]],Eingabe[Wo],"A")=0,"",ROUND(AVERAGEIFS(Eingabe[GES],Eingabe[Name],ErgebnisPositionA[[#This Row],[Name]],Eingabe[Position],ErgebnisPositionA[[#Headers],[3]],Eingabe[Wo],"A"),0))</f>
        <v/>
      </c>
      <c r="AA17" s="189" t="str">
        <f>IF(COUNTIFS(Eingabe[Name],ErgebnisPositionA[[#This Row],[Name]],Eingabe[Position],ErgebnisPositionA[[#Headers],[4]],Eingabe[Wo],"A")=0,"",ROUND(AVERAGEIFS(Eingabe[GES],Eingabe[Name],ErgebnisPositionA[[#This Row],[Name]],Eingabe[Position],ErgebnisPositionA[[#Headers],[4]],Eingabe[Wo],"A"),0))</f>
        <v/>
      </c>
      <c r="AB17" s="189" t="str">
        <f>IF(COUNTIFS(Eingabe[Name],ErgebnisPositionA[[#This Row],[Name]],Eingabe[Position],ErgebnisPositionA[[#Headers],[5]],Eingabe[Wo],"A")=0,"",ROUND(AVERAGEIFS(Eingabe[GES],Eingabe[Name],ErgebnisPositionA[[#This Row],[Name]],Eingabe[Position],ErgebnisPositionA[[#Headers],[5]],Eingabe[Wo],"A"),0))</f>
        <v/>
      </c>
      <c r="AC17" s="189" t="str">
        <f>IF(COUNTIFS(Eingabe[Name],ErgebnisPositionA[[#This Row],[Name]],Eingabe[Position],ErgebnisPositionA[[#Headers],[6]],Eingabe[Wo],"A")=0,"",ROUND(AVERAGEIFS(Eingabe[GES],Eingabe[Name],ErgebnisPositionA[[#This Row],[Name]],Eingabe[Position],ErgebnisPositionA[[#Headers],[6]],Eingabe[Wo],"A"),0))</f>
        <v/>
      </c>
    </row>
    <row r="18" spans="2:29" ht="15.6" x14ac:dyDescent="0.3">
      <c r="B18" s="188" t="str">
        <f>Übersicht!B19</f>
        <v>Jens Starke</v>
      </c>
      <c r="C18" s="188" t="str">
        <f>VLOOKUP(ErgebnisPosition[[#This Row],[Name]],Teamzuordnung[[Name]:[Team]],2,FALSE)</f>
        <v>D</v>
      </c>
      <c r="D18" s="189">
        <f>IF(COUNTIFS(Eingabe[Name],ErgebnisPosition[[#This Row],[Name]],Eingabe[Position],ErgebnisPosition[[#Headers],[1]])=0,"",ROUND(AVERAGEIFS(Eingabe[GES],Eingabe[Name],ErgebnisPosition[[#This Row],[Name]],Eingabe[Position],ErgebnisPosition[[#Headers],[1]]),0))</f>
        <v>520</v>
      </c>
      <c r="E18" s="189">
        <f>IF(COUNTIFS(Eingabe[Name],ErgebnisPosition[[#This Row],[Name]],Eingabe[Position],ErgebnisPosition[[#Headers],[2]])=0,"",ROUND(AVERAGEIFS(Eingabe[GES],Eingabe[Name],ErgebnisPosition[[#This Row],[Name]],Eingabe[Position],ErgebnisPosition[[#Headers],[2]]),0))</f>
        <v>508</v>
      </c>
      <c r="F18" s="189">
        <f>IF(COUNTIFS(Eingabe[Name],ErgebnisPosition[[#This Row],[Name]],Eingabe[Position],ErgebnisPosition[[#Headers],[3]])=0,"",ROUND(AVERAGEIFS(Eingabe[GES],Eingabe[Name],ErgebnisPosition[[#This Row],[Name]],Eingabe[Position],ErgebnisPosition[[#Headers],[3]]),0))</f>
        <v>512</v>
      </c>
      <c r="G18" s="189">
        <f>IF(COUNTIFS(Eingabe[Name],ErgebnisPosition[[#This Row],[Name]],Eingabe[Position],ErgebnisPosition[[#Headers],[4]])=0,"",ROUND(AVERAGEIFS(Eingabe[GES],Eingabe[Name],ErgebnisPosition[[#This Row],[Name]],Eingabe[Position],ErgebnisPosition[[#Headers],[4]]),0))</f>
        <v>520</v>
      </c>
      <c r="H18" s="189" t="str">
        <f>IF(COUNTIFS(Eingabe[Name],ErgebnisPosition[[#This Row],[Name]],Eingabe[Position],ErgebnisPosition[[#Headers],[5]])=0,"",ROUND(AVERAGEIFS(Eingabe[GES],Eingabe[Name],ErgebnisPosition[[#This Row],[Name]],Eingabe[Position],ErgebnisPosition[[#Headers],[5]]),0))</f>
        <v/>
      </c>
      <c r="I18" s="189" t="str">
        <f>IF(COUNTIFS(Eingabe[Name],ErgebnisPosition[[#This Row],[Name]],Eingabe[Position],ErgebnisPosition[[#Headers],[6]])=0,"",ROUND(AVERAGEIFS(Eingabe[GES],Eingabe[Name],ErgebnisPosition[[#This Row],[Name]],Eingabe[Position],ErgebnisPosition[[#Headers],[6]]),0))</f>
        <v/>
      </c>
      <c r="L18" s="188" t="str">
        <f>ErgebnisPosition[[#This Row],[Name]]</f>
        <v>Jens Starke</v>
      </c>
      <c r="M18" s="188" t="str">
        <f>VLOOKUP(ErgebnisPositionH[[#This Row],[Name]],Teamzuordnung[[Name]:[Team]],2,FALSE)</f>
        <v>D</v>
      </c>
      <c r="N18" s="189" t="str">
        <f>IF(COUNTIFS(Eingabe[Name],ErgebnisPositionH[[#This Row],[Name]],Eingabe[Position],ErgebnisPositionH[[#Headers],[1]],Eingabe[Wo],"H")=0,"",ROUND(AVERAGEIFS(Eingabe[GES],Eingabe[Name],ErgebnisPositionH[[#This Row],[Name]],Eingabe[Position],ErgebnisPositionH[[#Headers],[1]],Eingabe[Wo],"H"),0))</f>
        <v/>
      </c>
      <c r="O18" s="189">
        <f>IF(COUNTIFS(Eingabe[Name],ErgebnisPositionH[[#This Row],[Name]],Eingabe[Position],ErgebnisPositionH[[#Headers],[2]],Eingabe[Wo],"H")=0,"",ROUND(AVERAGEIFS(Eingabe[GES],Eingabe[Name],ErgebnisPositionH[[#This Row],[Name]],Eingabe[Position],ErgebnisPositionH[[#Headers],[2]],Eingabe[Wo],"H"),0))</f>
        <v>508</v>
      </c>
      <c r="P18" s="189" t="str">
        <f>IF(COUNTIFS(Eingabe[Name],ErgebnisPositionH[[#This Row],[Name]],Eingabe[Position],ErgebnisPositionH[[#Headers],[3]],Eingabe[Wo],"H")=0,"",ROUND(AVERAGEIFS(Eingabe[GES],Eingabe[Name],ErgebnisPositionH[[#This Row],[Name]],Eingabe[Position],ErgebnisPositionH[[#Headers],[3]],Eingabe[Wo],"H"),0))</f>
        <v/>
      </c>
      <c r="Q18" s="189">
        <f>IF(COUNTIFS(Eingabe[Name],ErgebnisPositionH[[#This Row],[Name]],Eingabe[Position],ErgebnisPositionH[[#Headers],[4]],Eingabe[Wo],"H")=0,"",ROUND(AVERAGEIFS(Eingabe[GES],Eingabe[Name],ErgebnisPositionH[[#This Row],[Name]],Eingabe[Position],ErgebnisPositionH[[#Headers],[4]],Eingabe[Wo],"H"),0))</f>
        <v>549</v>
      </c>
      <c r="R18" s="189" t="str">
        <f>IF(COUNTIFS(Eingabe[Name],ErgebnisPositionH[[#This Row],[Name]],Eingabe[Position],ErgebnisPositionH[[#Headers],[5]],Eingabe[Wo],"H")=0,"",ROUND(AVERAGEIFS(Eingabe[GES],Eingabe[Name],ErgebnisPositionH[[#This Row],[Name]],Eingabe[Position],ErgebnisPositionH[[#Headers],[5]],Eingabe[Wo],"H"),0))</f>
        <v/>
      </c>
      <c r="S18" s="189" t="str">
        <f>IF(COUNTIFS(Eingabe[Name],ErgebnisPositionH[[#This Row],[Name]],Eingabe[Position],ErgebnisPositionH[[#Headers],[6]],Eingabe[Wo],"H")=0,"",ROUND(AVERAGEIFS(Eingabe[GES],Eingabe[Name],ErgebnisPositionH[[#This Row],[Name]],Eingabe[Position],ErgebnisPositionH[[#Headers],[6]],Eingabe[Wo],"H"),0))</f>
        <v/>
      </c>
      <c r="V18" s="188" t="str">
        <f>ErgebnisPosition[[#This Row],[Name]]</f>
        <v>Jens Starke</v>
      </c>
      <c r="W18" s="188" t="str">
        <f>VLOOKUP(ErgebnisPositionA[[#This Row],[Name]],Teamzuordnung[[Name]:[Team]],2,FALSE)</f>
        <v>D</v>
      </c>
      <c r="X18" s="189">
        <f>IF(COUNTIFS(Eingabe[Name],ErgebnisPositionA[[#This Row],[Name]],Eingabe[Position],ErgebnisPositionA[[#Headers],[1]],Eingabe[Wo],"A")=0,"",ROUND(AVERAGEIFS(Eingabe[GES],Eingabe[Name],ErgebnisPositionA[[#This Row],[Name]],Eingabe[Position],ErgebnisPositionA[[#Headers],[1]],Eingabe[Wo],"A"),0))</f>
        <v>520</v>
      </c>
      <c r="Y18" s="189" t="str">
        <f>IF(COUNTIFS(Eingabe[Name],ErgebnisPositionA[[#This Row],[Name]],Eingabe[Position],ErgebnisPositionA[[#Headers],[2]],Eingabe[Wo],"A")=0,"",ROUND(AVERAGEIFS(Eingabe[GES],Eingabe[Name],ErgebnisPositionA[[#This Row],[Name]],Eingabe[Position],ErgebnisPositionA[[#Headers],[2]],Eingabe[Wo],"A"),0))</f>
        <v/>
      </c>
      <c r="Z18" s="189">
        <f>IF(COUNTIFS(Eingabe[Name],ErgebnisPositionA[[#This Row],[Name]],Eingabe[Position],ErgebnisPositionA[[#Headers],[3]],Eingabe[Wo],"A")=0,"",ROUND(AVERAGEIFS(Eingabe[GES],Eingabe[Name],ErgebnisPositionA[[#This Row],[Name]],Eingabe[Position],ErgebnisPositionA[[#Headers],[3]],Eingabe[Wo],"A"),0))</f>
        <v>512</v>
      </c>
      <c r="AA18" s="189">
        <f>IF(COUNTIFS(Eingabe[Name],ErgebnisPositionA[[#This Row],[Name]],Eingabe[Position],ErgebnisPositionA[[#Headers],[4]],Eingabe[Wo],"A")=0,"",ROUND(AVERAGEIFS(Eingabe[GES],Eingabe[Name],ErgebnisPositionA[[#This Row],[Name]],Eingabe[Position],ErgebnisPositionA[[#Headers],[4]],Eingabe[Wo],"A"),0))</f>
        <v>490</v>
      </c>
      <c r="AB18" s="189" t="str">
        <f>IF(COUNTIFS(Eingabe[Name],ErgebnisPositionA[[#This Row],[Name]],Eingabe[Position],ErgebnisPositionA[[#Headers],[5]],Eingabe[Wo],"A")=0,"",ROUND(AVERAGEIFS(Eingabe[GES],Eingabe[Name],ErgebnisPositionA[[#This Row],[Name]],Eingabe[Position],ErgebnisPositionA[[#Headers],[5]],Eingabe[Wo],"A"),0))</f>
        <v/>
      </c>
      <c r="AC18" s="189" t="str">
        <f>IF(COUNTIFS(Eingabe[Name],ErgebnisPositionA[[#This Row],[Name]],Eingabe[Position],ErgebnisPositionA[[#Headers],[6]],Eingabe[Wo],"A")=0,"",ROUND(AVERAGEIFS(Eingabe[GES],Eingabe[Name],ErgebnisPositionA[[#This Row],[Name]],Eingabe[Position],ErgebnisPositionA[[#Headers],[6]],Eingabe[Wo],"A"),0))</f>
        <v/>
      </c>
    </row>
    <row r="19" spans="2:29" ht="15.6" x14ac:dyDescent="0.3">
      <c r="B19" s="188" t="str">
        <f>Übersicht!B20</f>
        <v>Jörg Nötzel</v>
      </c>
      <c r="C19" s="188" t="str">
        <f>VLOOKUP(ErgebnisPosition[[#This Row],[Name]],Teamzuordnung[[Name]:[Team]],2,FALSE)</f>
        <v>D</v>
      </c>
      <c r="D19" s="189" t="str">
        <f>IF(COUNTIFS(Eingabe[Name],ErgebnisPosition[[#This Row],[Name]],Eingabe[Position],ErgebnisPosition[[#Headers],[1]])=0,"",ROUND(AVERAGEIFS(Eingabe[GES],Eingabe[Name],ErgebnisPosition[[#This Row],[Name]],Eingabe[Position],ErgebnisPosition[[#Headers],[1]]),0))</f>
        <v/>
      </c>
      <c r="E19" s="189">
        <f>IF(COUNTIFS(Eingabe[Name],ErgebnisPosition[[#This Row],[Name]],Eingabe[Position],ErgebnisPosition[[#Headers],[2]])=0,"",ROUND(AVERAGEIFS(Eingabe[GES],Eingabe[Name],ErgebnisPosition[[#This Row],[Name]],Eingabe[Position],ErgebnisPosition[[#Headers],[2]]),0))</f>
        <v>507</v>
      </c>
      <c r="F19" s="189">
        <f>IF(COUNTIFS(Eingabe[Name],ErgebnisPosition[[#This Row],[Name]],Eingabe[Position],ErgebnisPosition[[#Headers],[3]])=0,"",ROUND(AVERAGEIFS(Eingabe[GES],Eingabe[Name],ErgebnisPosition[[#This Row],[Name]],Eingabe[Position],ErgebnisPosition[[#Headers],[3]]),0))</f>
        <v>503</v>
      </c>
      <c r="G19" s="189" t="str">
        <f>IF(COUNTIFS(Eingabe[Name],ErgebnisPosition[[#This Row],[Name]],Eingabe[Position],ErgebnisPosition[[#Headers],[4]])=0,"",ROUND(AVERAGEIFS(Eingabe[GES],Eingabe[Name],ErgebnisPosition[[#This Row],[Name]],Eingabe[Position],ErgebnisPosition[[#Headers],[4]]),0))</f>
        <v/>
      </c>
      <c r="H19" s="189" t="str">
        <f>IF(COUNTIFS(Eingabe[Name],ErgebnisPosition[[#This Row],[Name]],Eingabe[Position],ErgebnisPosition[[#Headers],[5]])=0,"",ROUND(AVERAGEIFS(Eingabe[GES],Eingabe[Name],ErgebnisPosition[[#This Row],[Name]],Eingabe[Position],ErgebnisPosition[[#Headers],[5]]),0))</f>
        <v/>
      </c>
      <c r="I19" s="189">
        <f>IF(COUNTIFS(Eingabe[Name],ErgebnisPosition[[#This Row],[Name]],Eingabe[Position],ErgebnisPosition[[#Headers],[6]])=0,"",ROUND(AVERAGEIFS(Eingabe[GES],Eingabe[Name],ErgebnisPosition[[#This Row],[Name]],Eingabe[Position],ErgebnisPosition[[#Headers],[6]]),0))</f>
        <v>538</v>
      </c>
      <c r="L19" s="188" t="str">
        <f>ErgebnisPosition[[#This Row],[Name]]</f>
        <v>Jörg Nötzel</v>
      </c>
      <c r="M19" s="188" t="str">
        <f>VLOOKUP(ErgebnisPositionH[[#This Row],[Name]],Teamzuordnung[[Name]:[Team]],2,FALSE)</f>
        <v>D</v>
      </c>
      <c r="N19" s="189" t="str">
        <f>IF(COUNTIFS(Eingabe[Name],ErgebnisPositionH[[#This Row],[Name]],Eingabe[Position],ErgebnisPositionH[[#Headers],[1]],Eingabe[Wo],"H")=0,"",ROUND(AVERAGEIFS(Eingabe[GES],Eingabe[Name],ErgebnisPositionH[[#This Row],[Name]],Eingabe[Position],ErgebnisPositionH[[#Headers],[1]],Eingabe[Wo],"H"),0))</f>
        <v/>
      </c>
      <c r="O19" s="189" t="str">
        <f>IF(COUNTIFS(Eingabe[Name],ErgebnisPositionH[[#This Row],[Name]],Eingabe[Position],ErgebnisPositionH[[#Headers],[2]],Eingabe[Wo],"H")=0,"",ROUND(AVERAGEIFS(Eingabe[GES],Eingabe[Name],ErgebnisPositionH[[#This Row],[Name]],Eingabe[Position],ErgebnisPositionH[[#Headers],[2]],Eingabe[Wo],"H"),0))</f>
        <v/>
      </c>
      <c r="P19" s="189" t="str">
        <f>IF(COUNTIFS(Eingabe[Name],ErgebnisPositionH[[#This Row],[Name]],Eingabe[Position],ErgebnisPositionH[[#Headers],[3]],Eingabe[Wo],"H")=0,"",ROUND(AVERAGEIFS(Eingabe[GES],Eingabe[Name],ErgebnisPositionH[[#This Row],[Name]],Eingabe[Position],ErgebnisPositionH[[#Headers],[3]],Eingabe[Wo],"H"),0))</f>
        <v/>
      </c>
      <c r="Q19" s="189" t="str">
        <f>IF(COUNTIFS(Eingabe[Name],ErgebnisPositionH[[#This Row],[Name]],Eingabe[Position],ErgebnisPositionH[[#Headers],[4]],Eingabe[Wo],"H")=0,"",ROUND(AVERAGEIFS(Eingabe[GES],Eingabe[Name],ErgebnisPositionH[[#This Row],[Name]],Eingabe[Position],ErgebnisPositionH[[#Headers],[4]],Eingabe[Wo],"H"),0))</f>
        <v/>
      </c>
      <c r="R19" s="189" t="str">
        <f>IF(COUNTIFS(Eingabe[Name],ErgebnisPositionH[[#This Row],[Name]],Eingabe[Position],ErgebnisPositionH[[#Headers],[5]],Eingabe[Wo],"H")=0,"",ROUND(AVERAGEIFS(Eingabe[GES],Eingabe[Name],ErgebnisPositionH[[#This Row],[Name]],Eingabe[Position],ErgebnisPositionH[[#Headers],[5]],Eingabe[Wo],"H"),0))</f>
        <v/>
      </c>
      <c r="S19" s="189">
        <f>IF(COUNTIFS(Eingabe[Name],ErgebnisPositionH[[#This Row],[Name]],Eingabe[Position],ErgebnisPositionH[[#Headers],[6]],Eingabe[Wo],"H")=0,"",ROUND(AVERAGEIFS(Eingabe[GES],Eingabe[Name],ErgebnisPositionH[[#This Row],[Name]],Eingabe[Position],ErgebnisPositionH[[#Headers],[6]],Eingabe[Wo],"H"),0))</f>
        <v>538</v>
      </c>
      <c r="V19" s="188" t="str">
        <f>ErgebnisPosition[[#This Row],[Name]]</f>
        <v>Jörg Nötzel</v>
      </c>
      <c r="W19" s="188" t="str">
        <f>VLOOKUP(ErgebnisPositionA[[#This Row],[Name]],Teamzuordnung[[Name]:[Team]],2,FALSE)</f>
        <v>D</v>
      </c>
      <c r="X19" s="189" t="str">
        <f>IF(COUNTIFS(Eingabe[Name],ErgebnisPositionA[[#This Row],[Name]],Eingabe[Position],ErgebnisPositionA[[#Headers],[1]],Eingabe[Wo],"A")=0,"",ROUND(AVERAGEIFS(Eingabe[GES],Eingabe[Name],ErgebnisPositionA[[#This Row],[Name]],Eingabe[Position],ErgebnisPositionA[[#Headers],[1]],Eingabe[Wo],"A"),0))</f>
        <v/>
      </c>
      <c r="Y19" s="189">
        <f>IF(COUNTIFS(Eingabe[Name],ErgebnisPositionA[[#This Row],[Name]],Eingabe[Position],ErgebnisPositionA[[#Headers],[2]],Eingabe[Wo],"A")=0,"",ROUND(AVERAGEIFS(Eingabe[GES],Eingabe[Name],ErgebnisPositionA[[#This Row],[Name]],Eingabe[Position],ErgebnisPositionA[[#Headers],[2]],Eingabe[Wo],"A"),0))</f>
        <v>507</v>
      </c>
      <c r="Z19" s="189">
        <f>IF(COUNTIFS(Eingabe[Name],ErgebnisPositionA[[#This Row],[Name]],Eingabe[Position],ErgebnisPositionA[[#Headers],[3]],Eingabe[Wo],"A")=0,"",ROUND(AVERAGEIFS(Eingabe[GES],Eingabe[Name],ErgebnisPositionA[[#This Row],[Name]],Eingabe[Position],ErgebnisPositionA[[#Headers],[3]],Eingabe[Wo],"A"),0))</f>
        <v>503</v>
      </c>
      <c r="AA19" s="189" t="str">
        <f>IF(COUNTIFS(Eingabe[Name],ErgebnisPositionA[[#This Row],[Name]],Eingabe[Position],ErgebnisPositionA[[#Headers],[4]],Eingabe[Wo],"A")=0,"",ROUND(AVERAGEIFS(Eingabe[GES],Eingabe[Name],ErgebnisPositionA[[#This Row],[Name]],Eingabe[Position],ErgebnisPositionA[[#Headers],[4]],Eingabe[Wo],"A"),0))</f>
        <v/>
      </c>
      <c r="AB19" s="189" t="str">
        <f>IF(COUNTIFS(Eingabe[Name],ErgebnisPositionA[[#This Row],[Name]],Eingabe[Position],ErgebnisPositionA[[#Headers],[5]],Eingabe[Wo],"A")=0,"",ROUND(AVERAGEIFS(Eingabe[GES],Eingabe[Name],ErgebnisPositionA[[#This Row],[Name]],Eingabe[Position],ErgebnisPositionA[[#Headers],[5]],Eingabe[Wo],"A"),0))</f>
        <v/>
      </c>
      <c r="AC19" s="189" t="str">
        <f>IF(COUNTIFS(Eingabe[Name],ErgebnisPositionA[[#This Row],[Name]],Eingabe[Position],ErgebnisPositionA[[#Headers],[6]],Eingabe[Wo],"A")=0,"",ROUND(AVERAGEIFS(Eingabe[GES],Eingabe[Name],ErgebnisPositionA[[#This Row],[Name]],Eingabe[Position],ErgebnisPositionA[[#Headers],[6]],Eingabe[Wo],"A"),0))</f>
        <v/>
      </c>
    </row>
    <row r="20" spans="2:29" ht="15.6" x14ac:dyDescent="0.3">
      <c r="B20" s="188" t="str">
        <f>Übersicht!B21</f>
        <v>Katrin Fiedler</v>
      </c>
      <c r="C20" s="188" t="str">
        <f>VLOOKUP(ErgebnisPosition[[#This Row],[Name]],Teamzuordnung[[Name]:[Team]],2,FALSE)</f>
        <v>F</v>
      </c>
      <c r="D20" s="189" t="str">
        <f>IF(COUNTIFS(Eingabe[Name],ErgebnisPosition[[#This Row],[Name]],Eingabe[Position],ErgebnisPosition[[#Headers],[1]])=0,"",ROUND(AVERAGEIFS(Eingabe[GES],Eingabe[Name],ErgebnisPosition[[#This Row],[Name]],Eingabe[Position],ErgebnisPosition[[#Headers],[1]]),0))</f>
        <v/>
      </c>
      <c r="E20" s="189" t="str">
        <f>IF(COUNTIFS(Eingabe[Name],ErgebnisPosition[[#This Row],[Name]],Eingabe[Position],ErgebnisPosition[[#Headers],[2]])=0,"",ROUND(AVERAGEIFS(Eingabe[GES],Eingabe[Name],ErgebnisPosition[[#This Row],[Name]],Eingabe[Position],ErgebnisPosition[[#Headers],[2]]),0))</f>
        <v/>
      </c>
      <c r="F20" s="189" t="str">
        <f>IF(COUNTIFS(Eingabe[Name],ErgebnisPosition[[#This Row],[Name]],Eingabe[Position],ErgebnisPosition[[#Headers],[3]])=0,"",ROUND(AVERAGEIFS(Eingabe[GES],Eingabe[Name],ErgebnisPosition[[#This Row],[Name]],Eingabe[Position],ErgebnisPosition[[#Headers],[3]]),0))</f>
        <v/>
      </c>
      <c r="G20" s="189">
        <f>IF(COUNTIFS(Eingabe[Name],ErgebnisPosition[[#This Row],[Name]],Eingabe[Position],ErgebnisPosition[[#Headers],[4]])=0,"",ROUND(AVERAGEIFS(Eingabe[GES],Eingabe[Name],ErgebnisPosition[[#This Row],[Name]],Eingabe[Position],ErgebnisPosition[[#Headers],[4]]),0))</f>
        <v>539</v>
      </c>
      <c r="H20" s="189" t="str">
        <f>IF(COUNTIFS(Eingabe[Name],ErgebnisPosition[[#This Row],[Name]],Eingabe[Position],ErgebnisPosition[[#Headers],[5]])=0,"",ROUND(AVERAGEIFS(Eingabe[GES],Eingabe[Name],ErgebnisPosition[[#This Row],[Name]],Eingabe[Position],ErgebnisPosition[[#Headers],[5]]),0))</f>
        <v/>
      </c>
      <c r="I20" s="189">
        <f>IF(COUNTIFS(Eingabe[Name],ErgebnisPosition[[#This Row],[Name]],Eingabe[Position],ErgebnisPosition[[#Headers],[6]])=0,"",ROUND(AVERAGEIFS(Eingabe[GES],Eingabe[Name],ErgebnisPosition[[#This Row],[Name]],Eingabe[Position],ErgebnisPosition[[#Headers],[6]]),0))</f>
        <v>496</v>
      </c>
      <c r="L20" s="188" t="str">
        <f>ErgebnisPosition[[#This Row],[Name]]</f>
        <v>Katrin Fiedler</v>
      </c>
      <c r="M20" s="188" t="str">
        <f>VLOOKUP(ErgebnisPositionH[[#This Row],[Name]],Teamzuordnung[[Name]:[Team]],2,FALSE)</f>
        <v>F</v>
      </c>
      <c r="N20" s="189" t="str">
        <f>IF(COUNTIFS(Eingabe[Name],ErgebnisPositionH[[#This Row],[Name]],Eingabe[Position],ErgebnisPositionH[[#Headers],[1]],Eingabe[Wo],"H")=0,"",ROUND(AVERAGEIFS(Eingabe[GES],Eingabe[Name],ErgebnisPositionH[[#This Row],[Name]],Eingabe[Position],ErgebnisPositionH[[#Headers],[1]],Eingabe[Wo],"H"),0))</f>
        <v/>
      </c>
      <c r="O20" s="189" t="str">
        <f>IF(COUNTIFS(Eingabe[Name],ErgebnisPositionH[[#This Row],[Name]],Eingabe[Position],ErgebnisPositionH[[#Headers],[2]],Eingabe[Wo],"H")=0,"",ROUND(AVERAGEIFS(Eingabe[GES],Eingabe[Name],ErgebnisPositionH[[#This Row],[Name]],Eingabe[Position],ErgebnisPositionH[[#Headers],[2]],Eingabe[Wo],"H"),0))</f>
        <v/>
      </c>
      <c r="P20" s="189" t="str">
        <f>IF(COUNTIFS(Eingabe[Name],ErgebnisPositionH[[#This Row],[Name]],Eingabe[Position],ErgebnisPositionH[[#Headers],[3]],Eingabe[Wo],"H")=0,"",ROUND(AVERAGEIFS(Eingabe[GES],Eingabe[Name],ErgebnisPositionH[[#This Row],[Name]],Eingabe[Position],ErgebnisPositionH[[#Headers],[3]],Eingabe[Wo],"H"),0))</f>
        <v/>
      </c>
      <c r="Q20" s="189" t="str">
        <f>IF(COUNTIFS(Eingabe[Name],ErgebnisPositionH[[#This Row],[Name]],Eingabe[Position],ErgebnisPositionH[[#Headers],[4]],Eingabe[Wo],"H")=0,"",ROUND(AVERAGEIFS(Eingabe[GES],Eingabe[Name],ErgebnisPositionH[[#This Row],[Name]],Eingabe[Position],ErgebnisPositionH[[#Headers],[4]],Eingabe[Wo],"H"),0))</f>
        <v/>
      </c>
      <c r="R20" s="189" t="str">
        <f>IF(COUNTIFS(Eingabe[Name],ErgebnisPositionH[[#This Row],[Name]],Eingabe[Position],ErgebnisPositionH[[#Headers],[5]],Eingabe[Wo],"H")=0,"",ROUND(AVERAGEIFS(Eingabe[GES],Eingabe[Name],ErgebnisPositionH[[#This Row],[Name]],Eingabe[Position],ErgebnisPositionH[[#Headers],[5]],Eingabe[Wo],"H"),0))</f>
        <v/>
      </c>
      <c r="S20" s="189" t="str">
        <f>IF(COUNTIFS(Eingabe[Name],ErgebnisPositionH[[#This Row],[Name]],Eingabe[Position],ErgebnisPositionH[[#Headers],[6]],Eingabe[Wo],"H")=0,"",ROUND(AVERAGEIFS(Eingabe[GES],Eingabe[Name],ErgebnisPositionH[[#This Row],[Name]],Eingabe[Position],ErgebnisPositionH[[#Headers],[6]],Eingabe[Wo],"H"),0))</f>
        <v/>
      </c>
      <c r="V20" s="188" t="str">
        <f>ErgebnisPosition[[#This Row],[Name]]</f>
        <v>Katrin Fiedler</v>
      </c>
      <c r="W20" s="188" t="str">
        <f>VLOOKUP(ErgebnisPositionA[[#This Row],[Name]],Teamzuordnung[[Name]:[Team]],2,FALSE)</f>
        <v>F</v>
      </c>
      <c r="X20" s="189" t="str">
        <f>IF(COUNTIFS(Eingabe[Name],ErgebnisPositionA[[#This Row],[Name]],Eingabe[Position],ErgebnisPositionA[[#Headers],[1]],Eingabe[Wo],"A")=0,"",ROUND(AVERAGEIFS(Eingabe[GES],Eingabe[Name],ErgebnisPositionA[[#This Row],[Name]],Eingabe[Position],ErgebnisPositionA[[#Headers],[1]],Eingabe[Wo],"A"),0))</f>
        <v/>
      </c>
      <c r="Y20" s="189" t="str">
        <f>IF(COUNTIFS(Eingabe[Name],ErgebnisPositionA[[#This Row],[Name]],Eingabe[Position],ErgebnisPositionA[[#Headers],[2]],Eingabe[Wo],"A")=0,"",ROUND(AVERAGEIFS(Eingabe[GES],Eingabe[Name],ErgebnisPositionA[[#This Row],[Name]],Eingabe[Position],ErgebnisPositionA[[#Headers],[2]],Eingabe[Wo],"A"),0))</f>
        <v/>
      </c>
      <c r="Z20" s="189" t="str">
        <f>IF(COUNTIFS(Eingabe[Name],ErgebnisPositionA[[#This Row],[Name]],Eingabe[Position],ErgebnisPositionA[[#Headers],[3]],Eingabe[Wo],"A")=0,"",ROUND(AVERAGEIFS(Eingabe[GES],Eingabe[Name],ErgebnisPositionA[[#This Row],[Name]],Eingabe[Position],ErgebnisPositionA[[#Headers],[3]],Eingabe[Wo],"A"),0))</f>
        <v/>
      </c>
      <c r="AA20" s="189">
        <f>IF(COUNTIFS(Eingabe[Name],ErgebnisPositionA[[#This Row],[Name]],Eingabe[Position],ErgebnisPositionA[[#Headers],[4]],Eingabe[Wo],"A")=0,"",ROUND(AVERAGEIFS(Eingabe[GES],Eingabe[Name],ErgebnisPositionA[[#This Row],[Name]],Eingabe[Position],ErgebnisPositionA[[#Headers],[4]],Eingabe[Wo],"A"),0))</f>
        <v>539</v>
      </c>
      <c r="AB20" s="189" t="str">
        <f>IF(COUNTIFS(Eingabe[Name],ErgebnisPositionA[[#This Row],[Name]],Eingabe[Position],ErgebnisPositionA[[#Headers],[5]],Eingabe[Wo],"A")=0,"",ROUND(AVERAGEIFS(Eingabe[GES],Eingabe[Name],ErgebnisPositionA[[#This Row],[Name]],Eingabe[Position],ErgebnisPositionA[[#Headers],[5]],Eingabe[Wo],"A"),0))</f>
        <v/>
      </c>
      <c r="AC20" s="189">
        <f>IF(COUNTIFS(Eingabe[Name],ErgebnisPositionA[[#This Row],[Name]],Eingabe[Position],ErgebnisPositionA[[#Headers],[6]],Eingabe[Wo],"A")=0,"",ROUND(AVERAGEIFS(Eingabe[GES],Eingabe[Name],ErgebnisPositionA[[#This Row],[Name]],Eingabe[Position],ErgebnisPositionA[[#Headers],[6]],Eingabe[Wo],"A"),0))</f>
        <v>496</v>
      </c>
    </row>
    <row r="21" spans="2:29" ht="15.6" x14ac:dyDescent="0.3">
      <c r="B21" s="188" t="str">
        <f>Übersicht!B22</f>
        <v>Katrin Keller</v>
      </c>
      <c r="C21" s="188" t="str">
        <f>VLOOKUP(ErgebnisPosition[[#This Row],[Name]],Teamzuordnung[[Name]:[Team]],2,FALSE)</f>
        <v>F</v>
      </c>
      <c r="D21" s="189">
        <f>IF(COUNTIFS(Eingabe[Name],ErgebnisPosition[[#This Row],[Name]],Eingabe[Position],ErgebnisPosition[[#Headers],[1]])=0,"",ROUND(AVERAGEIFS(Eingabe[GES],Eingabe[Name],ErgebnisPosition[[#This Row],[Name]],Eingabe[Position],ErgebnisPosition[[#Headers],[1]]),0))</f>
        <v>498</v>
      </c>
      <c r="E21" s="189">
        <f>IF(COUNTIFS(Eingabe[Name],ErgebnisPosition[[#This Row],[Name]],Eingabe[Position],ErgebnisPosition[[#Headers],[2]])=0,"",ROUND(AVERAGEIFS(Eingabe[GES],Eingabe[Name],ErgebnisPosition[[#This Row],[Name]],Eingabe[Position],ErgebnisPosition[[#Headers],[2]]),0))</f>
        <v>470</v>
      </c>
      <c r="F21" s="189">
        <f>IF(COUNTIFS(Eingabe[Name],ErgebnisPosition[[#This Row],[Name]],Eingabe[Position],ErgebnisPosition[[#Headers],[3]])=0,"",ROUND(AVERAGEIFS(Eingabe[GES],Eingabe[Name],ErgebnisPosition[[#This Row],[Name]],Eingabe[Position],ErgebnisPosition[[#Headers],[3]]),0))</f>
        <v>479</v>
      </c>
      <c r="G21" s="189">
        <f>IF(COUNTIFS(Eingabe[Name],ErgebnisPosition[[#This Row],[Name]],Eingabe[Position],ErgebnisPosition[[#Headers],[4]])=0,"",ROUND(AVERAGEIFS(Eingabe[GES],Eingabe[Name],ErgebnisPosition[[#This Row],[Name]],Eingabe[Position],ErgebnisPosition[[#Headers],[4]]),0))</f>
        <v>508</v>
      </c>
      <c r="H21" s="189" t="str">
        <f>IF(COUNTIFS(Eingabe[Name],ErgebnisPosition[[#This Row],[Name]],Eingabe[Position],ErgebnisPosition[[#Headers],[5]])=0,"",ROUND(AVERAGEIFS(Eingabe[GES],Eingabe[Name],ErgebnisPosition[[#This Row],[Name]],Eingabe[Position],ErgebnisPosition[[#Headers],[5]]),0))</f>
        <v/>
      </c>
      <c r="I21" s="189" t="str">
        <f>IF(COUNTIFS(Eingabe[Name],ErgebnisPosition[[#This Row],[Name]],Eingabe[Position],ErgebnisPosition[[#Headers],[6]])=0,"",ROUND(AVERAGEIFS(Eingabe[GES],Eingabe[Name],ErgebnisPosition[[#This Row],[Name]],Eingabe[Position],ErgebnisPosition[[#Headers],[6]]),0))</f>
        <v/>
      </c>
      <c r="L21" s="188" t="str">
        <f>ErgebnisPosition[[#This Row],[Name]]</f>
        <v>Katrin Keller</v>
      </c>
      <c r="M21" s="188" t="str">
        <f>VLOOKUP(ErgebnisPositionH[[#This Row],[Name]],Teamzuordnung[[Name]:[Team]],2,FALSE)</f>
        <v>F</v>
      </c>
      <c r="N21" s="189">
        <f>IF(COUNTIFS(Eingabe[Name],ErgebnisPositionH[[#This Row],[Name]],Eingabe[Position],ErgebnisPositionH[[#Headers],[1]],Eingabe[Wo],"H")=0,"",ROUND(AVERAGEIFS(Eingabe[GES],Eingabe[Name],ErgebnisPositionH[[#This Row],[Name]],Eingabe[Position],ErgebnisPositionH[[#Headers],[1]],Eingabe[Wo],"H"),0))</f>
        <v>498</v>
      </c>
      <c r="O21" s="189" t="str">
        <f>IF(COUNTIFS(Eingabe[Name],ErgebnisPositionH[[#This Row],[Name]],Eingabe[Position],ErgebnisPositionH[[#Headers],[2]],Eingabe[Wo],"H")=0,"",ROUND(AVERAGEIFS(Eingabe[GES],Eingabe[Name],ErgebnisPositionH[[#This Row],[Name]],Eingabe[Position],ErgebnisPositionH[[#Headers],[2]],Eingabe[Wo],"H"),0))</f>
        <v/>
      </c>
      <c r="P21" s="189">
        <f>IF(COUNTIFS(Eingabe[Name],ErgebnisPositionH[[#This Row],[Name]],Eingabe[Position],ErgebnisPositionH[[#Headers],[3]],Eingabe[Wo],"H")=0,"",ROUND(AVERAGEIFS(Eingabe[GES],Eingabe[Name],ErgebnisPositionH[[#This Row],[Name]],Eingabe[Position],ErgebnisPositionH[[#Headers],[3]],Eingabe[Wo],"H"),0))</f>
        <v>537</v>
      </c>
      <c r="Q21" s="189" t="str">
        <f>IF(COUNTIFS(Eingabe[Name],ErgebnisPositionH[[#This Row],[Name]],Eingabe[Position],ErgebnisPositionH[[#Headers],[4]],Eingabe[Wo],"H")=0,"",ROUND(AVERAGEIFS(Eingabe[GES],Eingabe[Name],ErgebnisPositionH[[#This Row],[Name]],Eingabe[Position],ErgebnisPositionH[[#Headers],[4]],Eingabe[Wo],"H"),0))</f>
        <v/>
      </c>
      <c r="R21" s="189" t="str">
        <f>IF(COUNTIFS(Eingabe[Name],ErgebnisPositionH[[#This Row],[Name]],Eingabe[Position],ErgebnisPositionH[[#Headers],[5]],Eingabe[Wo],"H")=0,"",ROUND(AVERAGEIFS(Eingabe[GES],Eingabe[Name],ErgebnisPositionH[[#This Row],[Name]],Eingabe[Position],ErgebnisPositionH[[#Headers],[5]],Eingabe[Wo],"H"),0))</f>
        <v/>
      </c>
      <c r="S21" s="189" t="str">
        <f>IF(COUNTIFS(Eingabe[Name],ErgebnisPositionH[[#This Row],[Name]],Eingabe[Position],ErgebnisPositionH[[#Headers],[6]],Eingabe[Wo],"H")=0,"",ROUND(AVERAGEIFS(Eingabe[GES],Eingabe[Name],ErgebnisPositionH[[#This Row],[Name]],Eingabe[Position],ErgebnisPositionH[[#Headers],[6]],Eingabe[Wo],"H"),0))</f>
        <v/>
      </c>
      <c r="V21" s="188" t="str">
        <f>ErgebnisPosition[[#This Row],[Name]]</f>
        <v>Katrin Keller</v>
      </c>
      <c r="W21" s="188" t="str">
        <f>VLOOKUP(ErgebnisPositionA[[#This Row],[Name]],Teamzuordnung[[Name]:[Team]],2,FALSE)</f>
        <v>F</v>
      </c>
      <c r="X21" s="189" t="str">
        <f>IF(COUNTIFS(Eingabe[Name],ErgebnisPositionA[[#This Row],[Name]],Eingabe[Position],ErgebnisPositionA[[#Headers],[1]],Eingabe[Wo],"A")=0,"",ROUND(AVERAGEIFS(Eingabe[GES],Eingabe[Name],ErgebnisPositionA[[#This Row],[Name]],Eingabe[Position],ErgebnisPositionA[[#Headers],[1]],Eingabe[Wo],"A"),0))</f>
        <v/>
      </c>
      <c r="Y21" s="189">
        <f>IF(COUNTIFS(Eingabe[Name],ErgebnisPositionA[[#This Row],[Name]],Eingabe[Position],ErgebnisPositionA[[#Headers],[2]],Eingabe[Wo],"A")=0,"",ROUND(AVERAGEIFS(Eingabe[GES],Eingabe[Name],ErgebnisPositionA[[#This Row],[Name]],Eingabe[Position],ErgebnisPositionA[[#Headers],[2]],Eingabe[Wo],"A"),0))</f>
        <v>470</v>
      </c>
      <c r="Z21" s="189">
        <f>IF(COUNTIFS(Eingabe[Name],ErgebnisPositionA[[#This Row],[Name]],Eingabe[Position],ErgebnisPositionA[[#Headers],[3]],Eingabe[Wo],"A")=0,"",ROUND(AVERAGEIFS(Eingabe[GES],Eingabe[Name],ErgebnisPositionA[[#This Row],[Name]],Eingabe[Position],ErgebnisPositionA[[#Headers],[3]],Eingabe[Wo],"A"),0))</f>
        <v>451</v>
      </c>
      <c r="AA21" s="189">
        <f>IF(COUNTIFS(Eingabe[Name],ErgebnisPositionA[[#This Row],[Name]],Eingabe[Position],ErgebnisPositionA[[#Headers],[4]],Eingabe[Wo],"A")=0,"",ROUND(AVERAGEIFS(Eingabe[GES],Eingabe[Name],ErgebnisPositionA[[#This Row],[Name]],Eingabe[Position],ErgebnisPositionA[[#Headers],[4]],Eingabe[Wo],"A"),0))</f>
        <v>508</v>
      </c>
      <c r="AB21" s="189" t="str">
        <f>IF(COUNTIFS(Eingabe[Name],ErgebnisPositionA[[#This Row],[Name]],Eingabe[Position],ErgebnisPositionA[[#Headers],[5]],Eingabe[Wo],"A")=0,"",ROUND(AVERAGEIFS(Eingabe[GES],Eingabe[Name],ErgebnisPositionA[[#This Row],[Name]],Eingabe[Position],ErgebnisPositionA[[#Headers],[5]],Eingabe[Wo],"A"),0))</f>
        <v/>
      </c>
      <c r="AC21" s="189" t="str">
        <f>IF(COUNTIFS(Eingabe[Name],ErgebnisPositionA[[#This Row],[Name]],Eingabe[Position],ErgebnisPositionA[[#Headers],[6]],Eingabe[Wo],"A")=0,"",ROUND(AVERAGEIFS(Eingabe[GES],Eingabe[Name],ErgebnisPositionA[[#This Row],[Name]],Eingabe[Position],ErgebnisPositionA[[#Headers],[6]],Eingabe[Wo],"A"),0))</f>
        <v/>
      </c>
    </row>
    <row r="22" spans="2:29" ht="15.6" x14ac:dyDescent="0.3">
      <c r="B22" s="188" t="str">
        <f>Übersicht!B23</f>
        <v>Konrad Scheller</v>
      </c>
      <c r="C22" s="188" t="str">
        <f>VLOOKUP(ErgebnisPosition[[#This Row],[Name]],Teamzuordnung[[Name]:[Team]],2,FALSE)</f>
        <v>D</v>
      </c>
      <c r="D22" s="189" t="str">
        <f>IF(COUNTIFS(Eingabe[Name],ErgebnisPosition[[#This Row],[Name]],Eingabe[Position],ErgebnisPosition[[#Headers],[1]])=0,"",ROUND(AVERAGEIFS(Eingabe[GES],Eingabe[Name],ErgebnisPosition[[#This Row],[Name]],Eingabe[Position],ErgebnisPosition[[#Headers],[1]]),0))</f>
        <v/>
      </c>
      <c r="E22" s="189" t="str">
        <f>IF(COUNTIFS(Eingabe[Name],ErgebnisPosition[[#This Row],[Name]],Eingabe[Position],ErgebnisPosition[[#Headers],[2]])=0,"",ROUND(AVERAGEIFS(Eingabe[GES],Eingabe[Name],ErgebnisPosition[[#This Row],[Name]],Eingabe[Position],ErgebnisPosition[[#Headers],[2]]),0))</f>
        <v/>
      </c>
      <c r="F22" s="189" t="str">
        <f>IF(COUNTIFS(Eingabe[Name],ErgebnisPosition[[#This Row],[Name]],Eingabe[Position],ErgebnisPosition[[#Headers],[3]])=0,"",ROUND(AVERAGEIFS(Eingabe[GES],Eingabe[Name],ErgebnisPosition[[#This Row],[Name]],Eingabe[Position],ErgebnisPosition[[#Headers],[3]]),0))</f>
        <v/>
      </c>
      <c r="G22" s="189" t="str">
        <f>IF(COUNTIFS(Eingabe[Name],ErgebnisPosition[[#This Row],[Name]],Eingabe[Position],ErgebnisPosition[[#Headers],[4]])=0,"",ROUND(AVERAGEIFS(Eingabe[GES],Eingabe[Name],ErgebnisPosition[[#This Row],[Name]],Eingabe[Position],ErgebnisPosition[[#Headers],[4]]),0))</f>
        <v/>
      </c>
      <c r="H22" s="189" t="str">
        <f>IF(COUNTIFS(Eingabe[Name],ErgebnisPosition[[#This Row],[Name]],Eingabe[Position],ErgebnisPosition[[#Headers],[5]])=0,"",ROUND(AVERAGEIFS(Eingabe[GES],Eingabe[Name],ErgebnisPosition[[#This Row],[Name]],Eingabe[Position],ErgebnisPosition[[#Headers],[5]]),0))</f>
        <v/>
      </c>
      <c r="I22" s="189" t="str">
        <f>IF(COUNTIFS(Eingabe[Name],ErgebnisPosition[[#This Row],[Name]],Eingabe[Position],ErgebnisPosition[[#Headers],[6]])=0,"",ROUND(AVERAGEIFS(Eingabe[GES],Eingabe[Name],ErgebnisPosition[[#This Row],[Name]],Eingabe[Position],ErgebnisPosition[[#Headers],[6]]),0))</f>
        <v/>
      </c>
      <c r="L22" s="188" t="str">
        <f>ErgebnisPosition[[#This Row],[Name]]</f>
        <v>Konrad Scheller</v>
      </c>
      <c r="M22" s="188" t="str">
        <f>VLOOKUP(ErgebnisPositionH[[#This Row],[Name]],Teamzuordnung[[Name]:[Team]],2,FALSE)</f>
        <v>D</v>
      </c>
      <c r="N22" s="189" t="str">
        <f>IF(COUNTIFS(Eingabe[Name],ErgebnisPositionH[[#This Row],[Name]],Eingabe[Position],ErgebnisPositionH[[#Headers],[1]],Eingabe[Wo],"H")=0,"",ROUND(AVERAGEIFS(Eingabe[GES],Eingabe[Name],ErgebnisPositionH[[#This Row],[Name]],Eingabe[Position],ErgebnisPositionH[[#Headers],[1]],Eingabe[Wo],"H"),0))</f>
        <v/>
      </c>
      <c r="O22" s="189" t="str">
        <f>IF(COUNTIFS(Eingabe[Name],ErgebnisPositionH[[#This Row],[Name]],Eingabe[Position],ErgebnisPositionH[[#Headers],[2]],Eingabe[Wo],"H")=0,"",ROUND(AVERAGEIFS(Eingabe[GES],Eingabe[Name],ErgebnisPositionH[[#This Row],[Name]],Eingabe[Position],ErgebnisPositionH[[#Headers],[2]],Eingabe[Wo],"H"),0))</f>
        <v/>
      </c>
      <c r="P22" s="189" t="str">
        <f>IF(COUNTIFS(Eingabe[Name],ErgebnisPositionH[[#This Row],[Name]],Eingabe[Position],ErgebnisPositionH[[#Headers],[3]],Eingabe[Wo],"H")=0,"",ROUND(AVERAGEIFS(Eingabe[GES],Eingabe[Name],ErgebnisPositionH[[#This Row],[Name]],Eingabe[Position],ErgebnisPositionH[[#Headers],[3]],Eingabe[Wo],"H"),0))</f>
        <v/>
      </c>
      <c r="Q22" s="189" t="str">
        <f>IF(COUNTIFS(Eingabe[Name],ErgebnisPositionH[[#This Row],[Name]],Eingabe[Position],ErgebnisPositionH[[#Headers],[4]],Eingabe[Wo],"H")=0,"",ROUND(AVERAGEIFS(Eingabe[GES],Eingabe[Name],ErgebnisPositionH[[#This Row],[Name]],Eingabe[Position],ErgebnisPositionH[[#Headers],[4]],Eingabe[Wo],"H"),0))</f>
        <v/>
      </c>
      <c r="R22" s="189" t="str">
        <f>IF(COUNTIFS(Eingabe[Name],ErgebnisPositionH[[#This Row],[Name]],Eingabe[Position],ErgebnisPositionH[[#Headers],[5]],Eingabe[Wo],"H")=0,"",ROUND(AVERAGEIFS(Eingabe[GES],Eingabe[Name],ErgebnisPositionH[[#This Row],[Name]],Eingabe[Position],ErgebnisPositionH[[#Headers],[5]],Eingabe[Wo],"H"),0))</f>
        <v/>
      </c>
      <c r="S22" s="189" t="str">
        <f>IF(COUNTIFS(Eingabe[Name],ErgebnisPositionH[[#This Row],[Name]],Eingabe[Position],ErgebnisPositionH[[#Headers],[6]],Eingabe[Wo],"H")=0,"",ROUND(AVERAGEIFS(Eingabe[GES],Eingabe[Name],ErgebnisPositionH[[#This Row],[Name]],Eingabe[Position],ErgebnisPositionH[[#Headers],[6]],Eingabe[Wo],"H"),0))</f>
        <v/>
      </c>
      <c r="V22" s="188" t="str">
        <f>ErgebnisPosition[[#This Row],[Name]]</f>
        <v>Konrad Scheller</v>
      </c>
      <c r="W22" s="188" t="str">
        <f>VLOOKUP(ErgebnisPositionA[[#This Row],[Name]],Teamzuordnung[[Name]:[Team]],2,FALSE)</f>
        <v>D</v>
      </c>
      <c r="X22" s="189" t="str">
        <f>IF(COUNTIFS(Eingabe[Name],ErgebnisPositionA[[#This Row],[Name]],Eingabe[Position],ErgebnisPositionA[[#Headers],[1]],Eingabe[Wo],"A")=0,"",ROUND(AVERAGEIFS(Eingabe[GES],Eingabe[Name],ErgebnisPositionA[[#This Row],[Name]],Eingabe[Position],ErgebnisPositionA[[#Headers],[1]],Eingabe[Wo],"A"),0))</f>
        <v/>
      </c>
      <c r="Y22" s="189" t="str">
        <f>IF(COUNTIFS(Eingabe[Name],ErgebnisPositionA[[#This Row],[Name]],Eingabe[Position],ErgebnisPositionA[[#Headers],[2]],Eingabe[Wo],"A")=0,"",ROUND(AVERAGEIFS(Eingabe[GES],Eingabe[Name],ErgebnisPositionA[[#This Row],[Name]],Eingabe[Position],ErgebnisPositionA[[#Headers],[2]],Eingabe[Wo],"A"),0))</f>
        <v/>
      </c>
      <c r="Z22" s="189" t="str">
        <f>IF(COUNTIFS(Eingabe[Name],ErgebnisPositionA[[#This Row],[Name]],Eingabe[Position],ErgebnisPositionA[[#Headers],[3]],Eingabe[Wo],"A")=0,"",ROUND(AVERAGEIFS(Eingabe[GES],Eingabe[Name],ErgebnisPositionA[[#This Row],[Name]],Eingabe[Position],ErgebnisPositionA[[#Headers],[3]],Eingabe[Wo],"A"),0))</f>
        <v/>
      </c>
      <c r="AA22" s="189" t="str">
        <f>IF(COUNTIFS(Eingabe[Name],ErgebnisPositionA[[#This Row],[Name]],Eingabe[Position],ErgebnisPositionA[[#Headers],[4]],Eingabe[Wo],"A")=0,"",ROUND(AVERAGEIFS(Eingabe[GES],Eingabe[Name],ErgebnisPositionA[[#This Row],[Name]],Eingabe[Position],ErgebnisPositionA[[#Headers],[4]],Eingabe[Wo],"A"),0))</f>
        <v/>
      </c>
      <c r="AB22" s="189" t="str">
        <f>IF(COUNTIFS(Eingabe[Name],ErgebnisPositionA[[#This Row],[Name]],Eingabe[Position],ErgebnisPositionA[[#Headers],[5]],Eingabe[Wo],"A")=0,"",ROUND(AVERAGEIFS(Eingabe[GES],Eingabe[Name],ErgebnisPositionA[[#This Row],[Name]],Eingabe[Position],ErgebnisPositionA[[#Headers],[5]],Eingabe[Wo],"A"),0))</f>
        <v/>
      </c>
      <c r="AC22" s="189" t="str">
        <f>IF(COUNTIFS(Eingabe[Name],ErgebnisPositionA[[#This Row],[Name]],Eingabe[Position],ErgebnisPositionA[[#Headers],[6]],Eingabe[Wo],"A")=0,"",ROUND(AVERAGEIFS(Eingabe[GES],Eingabe[Name],ErgebnisPositionA[[#This Row],[Name]],Eingabe[Position],ErgebnisPositionA[[#Headers],[6]],Eingabe[Wo],"A"),0))</f>
        <v/>
      </c>
    </row>
    <row r="23" spans="2:29" ht="15.6" x14ac:dyDescent="0.3">
      <c r="B23" s="188" t="str">
        <f>Übersicht!B24</f>
        <v>Lea Meinert</v>
      </c>
      <c r="C23" s="188" t="str">
        <f>VLOOKUP(ErgebnisPosition[[#This Row],[Name]],Teamzuordnung[[Name]:[Team]],2,FALSE)</f>
        <v>F</v>
      </c>
      <c r="D23" s="189">
        <f>IF(COUNTIFS(Eingabe[Name],ErgebnisPosition[[#This Row],[Name]],Eingabe[Position],ErgebnisPosition[[#Headers],[1]])=0,"",ROUND(AVERAGEIFS(Eingabe[GES],Eingabe[Name],ErgebnisPosition[[#This Row],[Name]],Eingabe[Position],ErgebnisPosition[[#Headers],[1]]),0))</f>
        <v>482</v>
      </c>
      <c r="E23" s="189">
        <f>IF(COUNTIFS(Eingabe[Name],ErgebnisPosition[[#This Row],[Name]],Eingabe[Position],ErgebnisPosition[[#Headers],[2]])=0,"",ROUND(AVERAGEIFS(Eingabe[GES],Eingabe[Name],ErgebnisPosition[[#This Row],[Name]],Eingabe[Position],ErgebnisPosition[[#Headers],[2]]),0))</f>
        <v>495</v>
      </c>
      <c r="F23" s="189" t="str">
        <f>IF(COUNTIFS(Eingabe[Name],ErgebnisPosition[[#This Row],[Name]],Eingabe[Position],ErgebnisPosition[[#Headers],[3]])=0,"",ROUND(AVERAGEIFS(Eingabe[GES],Eingabe[Name],ErgebnisPosition[[#This Row],[Name]],Eingabe[Position],ErgebnisPosition[[#Headers],[3]]),0))</f>
        <v/>
      </c>
      <c r="G23" s="189">
        <f>IF(COUNTIFS(Eingabe[Name],ErgebnisPosition[[#This Row],[Name]],Eingabe[Position],ErgebnisPosition[[#Headers],[4]])=0,"",ROUND(AVERAGEIFS(Eingabe[GES],Eingabe[Name],ErgebnisPosition[[#This Row],[Name]],Eingabe[Position],ErgebnisPosition[[#Headers],[4]]),0))</f>
        <v>497</v>
      </c>
      <c r="H23" s="189" t="str">
        <f>IF(COUNTIFS(Eingabe[Name],ErgebnisPosition[[#This Row],[Name]],Eingabe[Position],ErgebnisPosition[[#Headers],[5]])=0,"",ROUND(AVERAGEIFS(Eingabe[GES],Eingabe[Name],ErgebnisPosition[[#This Row],[Name]],Eingabe[Position],ErgebnisPosition[[#Headers],[5]]),0))</f>
        <v/>
      </c>
      <c r="I23" s="189" t="str">
        <f>IF(COUNTIFS(Eingabe[Name],ErgebnisPosition[[#This Row],[Name]],Eingabe[Position],ErgebnisPosition[[#Headers],[6]])=0,"",ROUND(AVERAGEIFS(Eingabe[GES],Eingabe[Name],ErgebnisPosition[[#This Row],[Name]],Eingabe[Position],ErgebnisPosition[[#Headers],[6]]),0))</f>
        <v/>
      </c>
      <c r="L23" s="188" t="str">
        <f>ErgebnisPosition[[#This Row],[Name]]</f>
        <v>Lea Meinert</v>
      </c>
      <c r="M23" s="188" t="str">
        <f>VLOOKUP(ErgebnisPositionH[[#This Row],[Name]],Teamzuordnung[[Name]:[Team]],2,FALSE)</f>
        <v>F</v>
      </c>
      <c r="N23" s="189" t="str">
        <f>IF(COUNTIFS(Eingabe[Name],ErgebnisPositionH[[#This Row],[Name]],Eingabe[Position],ErgebnisPositionH[[#Headers],[1]],Eingabe[Wo],"H")=0,"",ROUND(AVERAGEIFS(Eingabe[GES],Eingabe[Name],ErgebnisPositionH[[#This Row],[Name]],Eingabe[Position],ErgebnisPositionH[[#Headers],[1]],Eingabe[Wo],"H"),0))</f>
        <v/>
      </c>
      <c r="O23" s="189">
        <f>IF(COUNTIFS(Eingabe[Name],ErgebnisPositionH[[#This Row],[Name]],Eingabe[Position],ErgebnisPositionH[[#Headers],[2]],Eingabe[Wo],"H")=0,"",ROUND(AVERAGEIFS(Eingabe[GES],Eingabe[Name],ErgebnisPositionH[[#This Row],[Name]],Eingabe[Position],ErgebnisPositionH[[#Headers],[2]],Eingabe[Wo],"H"),0))</f>
        <v>550</v>
      </c>
      <c r="P23" s="189" t="str">
        <f>IF(COUNTIFS(Eingabe[Name],ErgebnisPositionH[[#This Row],[Name]],Eingabe[Position],ErgebnisPositionH[[#Headers],[3]],Eingabe[Wo],"H")=0,"",ROUND(AVERAGEIFS(Eingabe[GES],Eingabe[Name],ErgebnisPositionH[[#This Row],[Name]],Eingabe[Position],ErgebnisPositionH[[#Headers],[3]],Eingabe[Wo],"H"),0))</f>
        <v/>
      </c>
      <c r="Q23" s="189">
        <f>IF(COUNTIFS(Eingabe[Name],ErgebnisPositionH[[#This Row],[Name]],Eingabe[Position],ErgebnisPositionH[[#Headers],[4]],Eingabe[Wo],"H")=0,"",ROUND(AVERAGEIFS(Eingabe[GES],Eingabe[Name],ErgebnisPositionH[[#This Row],[Name]],Eingabe[Position],ErgebnisPositionH[[#Headers],[4]],Eingabe[Wo],"H"),0))</f>
        <v>497</v>
      </c>
      <c r="R23" s="189" t="str">
        <f>IF(COUNTIFS(Eingabe[Name],ErgebnisPositionH[[#This Row],[Name]],Eingabe[Position],ErgebnisPositionH[[#Headers],[5]],Eingabe[Wo],"H")=0,"",ROUND(AVERAGEIFS(Eingabe[GES],Eingabe[Name],ErgebnisPositionH[[#This Row],[Name]],Eingabe[Position],ErgebnisPositionH[[#Headers],[5]],Eingabe[Wo],"H"),0))</f>
        <v/>
      </c>
      <c r="S23" s="189" t="str">
        <f>IF(COUNTIFS(Eingabe[Name],ErgebnisPositionH[[#This Row],[Name]],Eingabe[Position],ErgebnisPositionH[[#Headers],[6]],Eingabe[Wo],"H")=0,"",ROUND(AVERAGEIFS(Eingabe[GES],Eingabe[Name],ErgebnisPositionH[[#This Row],[Name]],Eingabe[Position],ErgebnisPositionH[[#Headers],[6]],Eingabe[Wo],"H"),0))</f>
        <v/>
      </c>
      <c r="V23" s="188" t="str">
        <f>ErgebnisPosition[[#This Row],[Name]]</f>
        <v>Lea Meinert</v>
      </c>
      <c r="W23" s="188" t="str">
        <f>VLOOKUP(ErgebnisPositionA[[#This Row],[Name]],Teamzuordnung[[Name]:[Team]],2,FALSE)</f>
        <v>F</v>
      </c>
      <c r="X23" s="189">
        <f>IF(COUNTIFS(Eingabe[Name],ErgebnisPositionA[[#This Row],[Name]],Eingabe[Position],ErgebnisPositionA[[#Headers],[1]],Eingabe[Wo],"A")=0,"",ROUND(AVERAGEIFS(Eingabe[GES],Eingabe[Name],ErgebnisPositionA[[#This Row],[Name]],Eingabe[Position],ErgebnisPositionA[[#Headers],[1]],Eingabe[Wo],"A"),0))</f>
        <v>482</v>
      </c>
      <c r="Y23" s="189">
        <f>IF(COUNTIFS(Eingabe[Name],ErgebnisPositionA[[#This Row],[Name]],Eingabe[Position],ErgebnisPositionA[[#Headers],[2]],Eingabe[Wo],"A")=0,"",ROUND(AVERAGEIFS(Eingabe[GES],Eingabe[Name],ErgebnisPositionA[[#This Row],[Name]],Eingabe[Position],ErgebnisPositionA[[#Headers],[2]],Eingabe[Wo],"A"),0))</f>
        <v>439</v>
      </c>
      <c r="Z23" s="189" t="str">
        <f>IF(COUNTIFS(Eingabe[Name],ErgebnisPositionA[[#This Row],[Name]],Eingabe[Position],ErgebnisPositionA[[#Headers],[3]],Eingabe[Wo],"A")=0,"",ROUND(AVERAGEIFS(Eingabe[GES],Eingabe[Name],ErgebnisPositionA[[#This Row],[Name]],Eingabe[Position],ErgebnisPositionA[[#Headers],[3]],Eingabe[Wo],"A"),0))</f>
        <v/>
      </c>
      <c r="AA23" s="189" t="str">
        <f>IF(COUNTIFS(Eingabe[Name],ErgebnisPositionA[[#This Row],[Name]],Eingabe[Position],ErgebnisPositionA[[#Headers],[4]],Eingabe[Wo],"A")=0,"",ROUND(AVERAGEIFS(Eingabe[GES],Eingabe[Name],ErgebnisPositionA[[#This Row],[Name]],Eingabe[Position],ErgebnisPositionA[[#Headers],[4]],Eingabe[Wo],"A"),0))</f>
        <v/>
      </c>
      <c r="AB23" s="189" t="str">
        <f>IF(COUNTIFS(Eingabe[Name],ErgebnisPositionA[[#This Row],[Name]],Eingabe[Position],ErgebnisPositionA[[#Headers],[5]],Eingabe[Wo],"A")=0,"",ROUND(AVERAGEIFS(Eingabe[GES],Eingabe[Name],ErgebnisPositionA[[#This Row],[Name]],Eingabe[Position],ErgebnisPositionA[[#Headers],[5]],Eingabe[Wo],"A"),0))</f>
        <v/>
      </c>
      <c r="AC23" s="189" t="str">
        <f>IF(COUNTIFS(Eingabe[Name],ErgebnisPositionA[[#This Row],[Name]],Eingabe[Position],ErgebnisPositionA[[#Headers],[6]],Eingabe[Wo],"A")=0,"",ROUND(AVERAGEIFS(Eingabe[GES],Eingabe[Name],ErgebnisPositionA[[#This Row],[Name]],Eingabe[Position],ErgebnisPositionA[[#Headers],[6]],Eingabe[Wo],"A"),0))</f>
        <v/>
      </c>
    </row>
    <row r="24" spans="2:29" ht="15.6" x14ac:dyDescent="0.3">
      <c r="B24" s="188" t="str">
        <f>Übersicht!B25</f>
        <v>Lisa Marutschke</v>
      </c>
      <c r="C24" s="188" t="str">
        <f>VLOOKUP(ErgebnisPosition[[#This Row],[Name]],Teamzuordnung[[Name]:[Team]],2,FALSE)</f>
        <v>U14</v>
      </c>
      <c r="D24" s="189" t="str">
        <f>IF(COUNTIFS(Eingabe[Name],ErgebnisPosition[[#This Row],[Name]],Eingabe[Position],ErgebnisPosition[[#Headers],[1]])=0,"",ROUND(AVERAGEIFS(Eingabe[GES],Eingabe[Name],ErgebnisPosition[[#This Row],[Name]],Eingabe[Position],ErgebnisPosition[[#Headers],[1]]),0))</f>
        <v/>
      </c>
      <c r="E24" s="189" t="str">
        <f>IF(COUNTIFS(Eingabe[Name],ErgebnisPosition[[#This Row],[Name]],Eingabe[Position],ErgebnisPosition[[#Headers],[2]])=0,"",ROUND(AVERAGEIFS(Eingabe[GES],Eingabe[Name],ErgebnisPosition[[#This Row],[Name]],Eingabe[Position],ErgebnisPosition[[#Headers],[2]]),0))</f>
        <v/>
      </c>
      <c r="F24" s="189" t="str">
        <f>IF(COUNTIFS(Eingabe[Name],ErgebnisPosition[[#This Row],[Name]],Eingabe[Position],ErgebnisPosition[[#Headers],[3]])=0,"",ROUND(AVERAGEIFS(Eingabe[GES],Eingabe[Name],ErgebnisPosition[[#This Row],[Name]],Eingabe[Position],ErgebnisPosition[[#Headers],[3]]),0))</f>
        <v/>
      </c>
      <c r="G24" s="189" t="str">
        <f>IF(COUNTIFS(Eingabe[Name],ErgebnisPosition[[#This Row],[Name]],Eingabe[Position],ErgebnisPosition[[#Headers],[4]])=0,"",ROUND(AVERAGEIFS(Eingabe[GES],Eingabe[Name],ErgebnisPosition[[#This Row],[Name]],Eingabe[Position],ErgebnisPosition[[#Headers],[4]]),0))</f>
        <v/>
      </c>
      <c r="H24" s="189" t="str">
        <f>IF(COUNTIFS(Eingabe[Name],ErgebnisPosition[[#This Row],[Name]],Eingabe[Position],ErgebnisPosition[[#Headers],[5]])=0,"",ROUND(AVERAGEIFS(Eingabe[GES],Eingabe[Name],ErgebnisPosition[[#This Row],[Name]],Eingabe[Position],ErgebnisPosition[[#Headers],[5]]),0))</f>
        <v/>
      </c>
      <c r="I24" s="189" t="str">
        <f>IF(COUNTIFS(Eingabe[Name],ErgebnisPosition[[#This Row],[Name]],Eingabe[Position],ErgebnisPosition[[#Headers],[6]])=0,"",ROUND(AVERAGEIFS(Eingabe[GES],Eingabe[Name],ErgebnisPosition[[#This Row],[Name]],Eingabe[Position],ErgebnisPosition[[#Headers],[6]]),0))</f>
        <v/>
      </c>
      <c r="L24" s="188" t="str">
        <f>ErgebnisPosition[[#This Row],[Name]]</f>
        <v>Lisa Marutschke</v>
      </c>
      <c r="M24" s="188" t="str">
        <f>VLOOKUP(ErgebnisPositionH[[#This Row],[Name]],Teamzuordnung[[Name]:[Team]],2,FALSE)</f>
        <v>U14</v>
      </c>
      <c r="N24" s="189" t="str">
        <f>IF(COUNTIFS(Eingabe[Name],ErgebnisPositionH[[#This Row],[Name]],Eingabe[Position],ErgebnisPositionH[[#Headers],[1]],Eingabe[Wo],"H")=0,"",ROUND(AVERAGEIFS(Eingabe[GES],Eingabe[Name],ErgebnisPositionH[[#This Row],[Name]],Eingabe[Position],ErgebnisPositionH[[#Headers],[1]],Eingabe[Wo],"H"),0))</f>
        <v/>
      </c>
      <c r="O24" s="189" t="str">
        <f>IF(COUNTIFS(Eingabe[Name],ErgebnisPositionH[[#This Row],[Name]],Eingabe[Position],ErgebnisPositionH[[#Headers],[2]],Eingabe[Wo],"H")=0,"",ROUND(AVERAGEIFS(Eingabe[GES],Eingabe[Name],ErgebnisPositionH[[#This Row],[Name]],Eingabe[Position],ErgebnisPositionH[[#Headers],[2]],Eingabe[Wo],"H"),0))</f>
        <v/>
      </c>
      <c r="P24" s="189" t="str">
        <f>IF(COUNTIFS(Eingabe[Name],ErgebnisPositionH[[#This Row],[Name]],Eingabe[Position],ErgebnisPositionH[[#Headers],[3]],Eingabe[Wo],"H")=0,"",ROUND(AVERAGEIFS(Eingabe[GES],Eingabe[Name],ErgebnisPositionH[[#This Row],[Name]],Eingabe[Position],ErgebnisPositionH[[#Headers],[3]],Eingabe[Wo],"H"),0))</f>
        <v/>
      </c>
      <c r="Q24" s="189" t="str">
        <f>IF(COUNTIFS(Eingabe[Name],ErgebnisPositionH[[#This Row],[Name]],Eingabe[Position],ErgebnisPositionH[[#Headers],[4]],Eingabe[Wo],"H")=0,"",ROUND(AVERAGEIFS(Eingabe[GES],Eingabe[Name],ErgebnisPositionH[[#This Row],[Name]],Eingabe[Position],ErgebnisPositionH[[#Headers],[4]],Eingabe[Wo],"H"),0))</f>
        <v/>
      </c>
      <c r="R24" s="189" t="str">
        <f>IF(COUNTIFS(Eingabe[Name],ErgebnisPositionH[[#This Row],[Name]],Eingabe[Position],ErgebnisPositionH[[#Headers],[5]],Eingabe[Wo],"H")=0,"",ROUND(AVERAGEIFS(Eingabe[GES],Eingabe[Name],ErgebnisPositionH[[#This Row],[Name]],Eingabe[Position],ErgebnisPositionH[[#Headers],[5]],Eingabe[Wo],"H"),0))</f>
        <v/>
      </c>
      <c r="S24" s="189" t="str">
        <f>IF(COUNTIFS(Eingabe[Name],ErgebnisPositionH[[#This Row],[Name]],Eingabe[Position],ErgebnisPositionH[[#Headers],[6]],Eingabe[Wo],"H")=0,"",ROUND(AVERAGEIFS(Eingabe[GES],Eingabe[Name],ErgebnisPositionH[[#This Row],[Name]],Eingabe[Position],ErgebnisPositionH[[#Headers],[6]],Eingabe[Wo],"H"),0))</f>
        <v/>
      </c>
      <c r="V24" s="188" t="str">
        <f>ErgebnisPosition[[#This Row],[Name]]</f>
        <v>Lisa Marutschke</v>
      </c>
      <c r="W24" s="188" t="str">
        <f>VLOOKUP(ErgebnisPositionA[[#This Row],[Name]],Teamzuordnung[[Name]:[Team]],2,FALSE)</f>
        <v>U14</v>
      </c>
      <c r="X24" s="189" t="str">
        <f>IF(COUNTIFS(Eingabe[Name],ErgebnisPositionA[[#This Row],[Name]],Eingabe[Position],ErgebnisPositionA[[#Headers],[1]],Eingabe[Wo],"A")=0,"",ROUND(AVERAGEIFS(Eingabe[GES],Eingabe[Name],ErgebnisPositionA[[#This Row],[Name]],Eingabe[Position],ErgebnisPositionA[[#Headers],[1]],Eingabe[Wo],"A"),0))</f>
        <v/>
      </c>
      <c r="Y24" s="189" t="str">
        <f>IF(COUNTIFS(Eingabe[Name],ErgebnisPositionA[[#This Row],[Name]],Eingabe[Position],ErgebnisPositionA[[#Headers],[2]],Eingabe[Wo],"A")=0,"",ROUND(AVERAGEIFS(Eingabe[GES],Eingabe[Name],ErgebnisPositionA[[#This Row],[Name]],Eingabe[Position],ErgebnisPositionA[[#Headers],[2]],Eingabe[Wo],"A"),0))</f>
        <v/>
      </c>
      <c r="Z24" s="189" t="str">
        <f>IF(COUNTIFS(Eingabe[Name],ErgebnisPositionA[[#This Row],[Name]],Eingabe[Position],ErgebnisPositionA[[#Headers],[3]],Eingabe[Wo],"A")=0,"",ROUND(AVERAGEIFS(Eingabe[GES],Eingabe[Name],ErgebnisPositionA[[#This Row],[Name]],Eingabe[Position],ErgebnisPositionA[[#Headers],[3]],Eingabe[Wo],"A"),0))</f>
        <v/>
      </c>
      <c r="AA24" s="189" t="str">
        <f>IF(COUNTIFS(Eingabe[Name],ErgebnisPositionA[[#This Row],[Name]],Eingabe[Position],ErgebnisPositionA[[#Headers],[4]],Eingabe[Wo],"A")=0,"",ROUND(AVERAGEIFS(Eingabe[GES],Eingabe[Name],ErgebnisPositionA[[#This Row],[Name]],Eingabe[Position],ErgebnisPositionA[[#Headers],[4]],Eingabe[Wo],"A"),0))</f>
        <v/>
      </c>
      <c r="AB24" s="189" t="str">
        <f>IF(COUNTIFS(Eingabe[Name],ErgebnisPositionA[[#This Row],[Name]],Eingabe[Position],ErgebnisPositionA[[#Headers],[5]],Eingabe[Wo],"A")=0,"",ROUND(AVERAGEIFS(Eingabe[GES],Eingabe[Name],ErgebnisPositionA[[#This Row],[Name]],Eingabe[Position],ErgebnisPositionA[[#Headers],[5]],Eingabe[Wo],"A"),0))</f>
        <v/>
      </c>
      <c r="AC24" s="189" t="str">
        <f>IF(COUNTIFS(Eingabe[Name],ErgebnisPositionA[[#This Row],[Name]],Eingabe[Position],ErgebnisPositionA[[#Headers],[6]],Eingabe[Wo],"A")=0,"",ROUND(AVERAGEIFS(Eingabe[GES],Eingabe[Name],ErgebnisPositionA[[#This Row],[Name]],Eingabe[Position],ErgebnisPositionA[[#Headers],[6]],Eingabe[Wo],"A"),0))</f>
        <v/>
      </c>
    </row>
    <row r="25" spans="2:29" ht="15.6" x14ac:dyDescent="0.3">
      <c r="B25" s="188" t="str">
        <f>Übersicht!B26</f>
        <v>Luca Landau</v>
      </c>
      <c r="C25" s="188" t="str">
        <f>VLOOKUP(ErgebnisPosition[[#This Row],[Name]],Teamzuordnung[[Name]:[Team]],2,FALSE)</f>
        <v>D</v>
      </c>
      <c r="D25" s="189" t="str">
        <f>IF(COUNTIFS(Eingabe[Name],ErgebnisPosition[[#This Row],[Name]],Eingabe[Position],ErgebnisPosition[[#Headers],[1]])=0,"",ROUND(AVERAGEIFS(Eingabe[GES],Eingabe[Name],ErgebnisPosition[[#This Row],[Name]],Eingabe[Position],ErgebnisPosition[[#Headers],[1]]),0))</f>
        <v/>
      </c>
      <c r="E25" s="189" t="str">
        <f>IF(COUNTIFS(Eingabe[Name],ErgebnisPosition[[#This Row],[Name]],Eingabe[Position],ErgebnisPosition[[#Headers],[2]])=0,"",ROUND(AVERAGEIFS(Eingabe[GES],Eingabe[Name],ErgebnisPosition[[#This Row],[Name]],Eingabe[Position],ErgebnisPosition[[#Headers],[2]]),0))</f>
        <v/>
      </c>
      <c r="F25" s="189" t="str">
        <f>IF(COUNTIFS(Eingabe[Name],ErgebnisPosition[[#This Row],[Name]],Eingabe[Position],ErgebnisPosition[[#Headers],[3]])=0,"",ROUND(AVERAGEIFS(Eingabe[GES],Eingabe[Name],ErgebnisPosition[[#This Row],[Name]],Eingabe[Position],ErgebnisPosition[[#Headers],[3]]),0))</f>
        <v/>
      </c>
      <c r="G25" s="189" t="str">
        <f>IF(COUNTIFS(Eingabe[Name],ErgebnisPosition[[#This Row],[Name]],Eingabe[Position],ErgebnisPosition[[#Headers],[4]])=0,"",ROUND(AVERAGEIFS(Eingabe[GES],Eingabe[Name],ErgebnisPosition[[#This Row],[Name]],Eingabe[Position],ErgebnisPosition[[#Headers],[4]]),0))</f>
        <v/>
      </c>
      <c r="H25" s="189" t="str">
        <f>IF(COUNTIFS(Eingabe[Name],ErgebnisPosition[[#This Row],[Name]],Eingabe[Position],ErgebnisPosition[[#Headers],[5]])=0,"",ROUND(AVERAGEIFS(Eingabe[GES],Eingabe[Name],ErgebnisPosition[[#This Row],[Name]],Eingabe[Position],ErgebnisPosition[[#Headers],[5]]),0))</f>
        <v/>
      </c>
      <c r="I25" s="189" t="str">
        <f>IF(COUNTIFS(Eingabe[Name],ErgebnisPosition[[#This Row],[Name]],Eingabe[Position],ErgebnisPosition[[#Headers],[6]])=0,"",ROUND(AVERAGEIFS(Eingabe[GES],Eingabe[Name],ErgebnisPosition[[#This Row],[Name]],Eingabe[Position],ErgebnisPosition[[#Headers],[6]]),0))</f>
        <v/>
      </c>
      <c r="L25" s="188" t="str">
        <f>ErgebnisPosition[[#This Row],[Name]]</f>
        <v>Luca Landau</v>
      </c>
      <c r="M25" s="188" t="str">
        <f>VLOOKUP(ErgebnisPositionH[[#This Row],[Name]],Teamzuordnung[[Name]:[Team]],2,FALSE)</f>
        <v>D</v>
      </c>
      <c r="N25" s="189" t="str">
        <f>IF(COUNTIFS(Eingabe[Name],ErgebnisPositionH[[#This Row],[Name]],Eingabe[Position],ErgebnisPositionH[[#Headers],[1]],Eingabe[Wo],"H")=0,"",ROUND(AVERAGEIFS(Eingabe[GES],Eingabe[Name],ErgebnisPositionH[[#This Row],[Name]],Eingabe[Position],ErgebnisPositionH[[#Headers],[1]],Eingabe[Wo],"H"),0))</f>
        <v/>
      </c>
      <c r="O25" s="189" t="str">
        <f>IF(COUNTIFS(Eingabe[Name],ErgebnisPositionH[[#This Row],[Name]],Eingabe[Position],ErgebnisPositionH[[#Headers],[2]],Eingabe[Wo],"H")=0,"",ROUND(AVERAGEIFS(Eingabe[GES],Eingabe[Name],ErgebnisPositionH[[#This Row],[Name]],Eingabe[Position],ErgebnisPositionH[[#Headers],[2]],Eingabe[Wo],"H"),0))</f>
        <v/>
      </c>
      <c r="P25" s="189" t="str">
        <f>IF(COUNTIFS(Eingabe[Name],ErgebnisPositionH[[#This Row],[Name]],Eingabe[Position],ErgebnisPositionH[[#Headers],[3]],Eingabe[Wo],"H")=0,"",ROUND(AVERAGEIFS(Eingabe[GES],Eingabe[Name],ErgebnisPositionH[[#This Row],[Name]],Eingabe[Position],ErgebnisPositionH[[#Headers],[3]],Eingabe[Wo],"H"),0))</f>
        <v/>
      </c>
      <c r="Q25" s="189" t="str">
        <f>IF(COUNTIFS(Eingabe[Name],ErgebnisPositionH[[#This Row],[Name]],Eingabe[Position],ErgebnisPositionH[[#Headers],[4]],Eingabe[Wo],"H")=0,"",ROUND(AVERAGEIFS(Eingabe[GES],Eingabe[Name],ErgebnisPositionH[[#This Row],[Name]],Eingabe[Position],ErgebnisPositionH[[#Headers],[4]],Eingabe[Wo],"H"),0))</f>
        <v/>
      </c>
      <c r="R25" s="189" t="str">
        <f>IF(COUNTIFS(Eingabe[Name],ErgebnisPositionH[[#This Row],[Name]],Eingabe[Position],ErgebnisPositionH[[#Headers],[5]],Eingabe[Wo],"H")=0,"",ROUND(AVERAGEIFS(Eingabe[GES],Eingabe[Name],ErgebnisPositionH[[#This Row],[Name]],Eingabe[Position],ErgebnisPositionH[[#Headers],[5]],Eingabe[Wo],"H"),0))</f>
        <v/>
      </c>
      <c r="S25" s="189" t="str">
        <f>IF(COUNTIFS(Eingabe[Name],ErgebnisPositionH[[#This Row],[Name]],Eingabe[Position],ErgebnisPositionH[[#Headers],[6]],Eingabe[Wo],"H")=0,"",ROUND(AVERAGEIFS(Eingabe[GES],Eingabe[Name],ErgebnisPositionH[[#This Row],[Name]],Eingabe[Position],ErgebnisPositionH[[#Headers],[6]],Eingabe[Wo],"H"),0))</f>
        <v/>
      </c>
      <c r="V25" s="188" t="str">
        <f>ErgebnisPosition[[#This Row],[Name]]</f>
        <v>Luca Landau</v>
      </c>
      <c r="W25" s="188" t="str">
        <f>VLOOKUP(ErgebnisPositionA[[#This Row],[Name]],Teamzuordnung[[Name]:[Team]],2,FALSE)</f>
        <v>D</v>
      </c>
      <c r="X25" s="189" t="str">
        <f>IF(COUNTIFS(Eingabe[Name],ErgebnisPositionA[[#This Row],[Name]],Eingabe[Position],ErgebnisPositionA[[#Headers],[1]],Eingabe[Wo],"A")=0,"",ROUND(AVERAGEIFS(Eingabe[GES],Eingabe[Name],ErgebnisPositionA[[#This Row],[Name]],Eingabe[Position],ErgebnisPositionA[[#Headers],[1]],Eingabe[Wo],"A"),0))</f>
        <v/>
      </c>
      <c r="Y25" s="189" t="str">
        <f>IF(COUNTIFS(Eingabe[Name],ErgebnisPositionA[[#This Row],[Name]],Eingabe[Position],ErgebnisPositionA[[#Headers],[2]],Eingabe[Wo],"A")=0,"",ROUND(AVERAGEIFS(Eingabe[GES],Eingabe[Name],ErgebnisPositionA[[#This Row],[Name]],Eingabe[Position],ErgebnisPositionA[[#Headers],[2]],Eingabe[Wo],"A"),0))</f>
        <v/>
      </c>
      <c r="Z25" s="189" t="str">
        <f>IF(COUNTIFS(Eingabe[Name],ErgebnisPositionA[[#This Row],[Name]],Eingabe[Position],ErgebnisPositionA[[#Headers],[3]],Eingabe[Wo],"A")=0,"",ROUND(AVERAGEIFS(Eingabe[GES],Eingabe[Name],ErgebnisPositionA[[#This Row],[Name]],Eingabe[Position],ErgebnisPositionA[[#Headers],[3]],Eingabe[Wo],"A"),0))</f>
        <v/>
      </c>
      <c r="AA25" s="189" t="str">
        <f>IF(COUNTIFS(Eingabe[Name],ErgebnisPositionA[[#This Row],[Name]],Eingabe[Position],ErgebnisPositionA[[#Headers],[4]],Eingabe[Wo],"A")=0,"",ROUND(AVERAGEIFS(Eingabe[GES],Eingabe[Name],ErgebnisPositionA[[#This Row],[Name]],Eingabe[Position],ErgebnisPositionA[[#Headers],[4]],Eingabe[Wo],"A"),0))</f>
        <v/>
      </c>
      <c r="AB25" s="189" t="str">
        <f>IF(COUNTIFS(Eingabe[Name],ErgebnisPositionA[[#This Row],[Name]],Eingabe[Position],ErgebnisPositionA[[#Headers],[5]],Eingabe[Wo],"A")=0,"",ROUND(AVERAGEIFS(Eingabe[GES],Eingabe[Name],ErgebnisPositionA[[#This Row],[Name]],Eingabe[Position],ErgebnisPositionA[[#Headers],[5]],Eingabe[Wo],"A"),0))</f>
        <v/>
      </c>
      <c r="AC25" s="189" t="str">
        <f>IF(COUNTIFS(Eingabe[Name],ErgebnisPositionA[[#This Row],[Name]],Eingabe[Position],ErgebnisPositionA[[#Headers],[6]],Eingabe[Wo],"A")=0,"",ROUND(AVERAGEIFS(Eingabe[GES],Eingabe[Name],ErgebnisPositionA[[#This Row],[Name]],Eingabe[Position],ErgebnisPositionA[[#Headers],[6]],Eingabe[Wo],"A"),0))</f>
        <v/>
      </c>
    </row>
    <row r="26" spans="2:29" ht="15.6" x14ac:dyDescent="0.3">
      <c r="B26" s="188" t="str">
        <f>Übersicht!B27</f>
        <v>Madlen Baumgarten</v>
      </c>
      <c r="C26" s="188" t="str">
        <f>VLOOKUP(ErgebnisPosition[[#This Row],[Name]],Teamzuordnung[[Name]:[Team]],2,FALSE)</f>
        <v>F</v>
      </c>
      <c r="D26" s="189" t="str">
        <f>IF(COUNTIFS(Eingabe[Name],ErgebnisPosition[[#This Row],[Name]],Eingabe[Position],ErgebnisPosition[[#Headers],[1]])=0,"",ROUND(AVERAGEIFS(Eingabe[GES],Eingabe[Name],ErgebnisPosition[[#This Row],[Name]],Eingabe[Position],ErgebnisPosition[[#Headers],[1]]),0))</f>
        <v/>
      </c>
      <c r="E26" s="189">
        <f>IF(COUNTIFS(Eingabe[Name],ErgebnisPosition[[#This Row],[Name]],Eingabe[Position],ErgebnisPosition[[#Headers],[2]])=0,"",ROUND(AVERAGEIFS(Eingabe[GES],Eingabe[Name],ErgebnisPosition[[#This Row],[Name]],Eingabe[Position],ErgebnisPosition[[#Headers],[2]]),0))</f>
        <v>536</v>
      </c>
      <c r="F26" s="189" t="str">
        <f>IF(COUNTIFS(Eingabe[Name],ErgebnisPosition[[#This Row],[Name]],Eingabe[Position],ErgebnisPosition[[#Headers],[3]])=0,"",ROUND(AVERAGEIFS(Eingabe[GES],Eingabe[Name],ErgebnisPosition[[#This Row],[Name]],Eingabe[Position],ErgebnisPosition[[#Headers],[3]]),0))</f>
        <v/>
      </c>
      <c r="G26" s="189" t="str">
        <f>IF(COUNTIFS(Eingabe[Name],ErgebnisPosition[[#This Row],[Name]],Eingabe[Position],ErgebnisPosition[[#Headers],[4]])=0,"",ROUND(AVERAGEIFS(Eingabe[GES],Eingabe[Name],ErgebnisPosition[[#This Row],[Name]],Eingabe[Position],ErgebnisPosition[[#Headers],[4]]),0))</f>
        <v/>
      </c>
      <c r="H26" s="189">
        <f>IF(COUNTIFS(Eingabe[Name],ErgebnisPosition[[#This Row],[Name]],Eingabe[Position],ErgebnisPosition[[#Headers],[5]])=0,"",ROUND(AVERAGEIFS(Eingabe[GES],Eingabe[Name],ErgebnisPosition[[#This Row],[Name]],Eingabe[Position],ErgebnisPosition[[#Headers],[5]]),0))</f>
        <v>506</v>
      </c>
      <c r="I26" s="189">
        <f>IF(COUNTIFS(Eingabe[Name],ErgebnisPosition[[#This Row],[Name]],Eingabe[Position],ErgebnisPosition[[#Headers],[6]])=0,"",ROUND(AVERAGEIFS(Eingabe[GES],Eingabe[Name],ErgebnisPosition[[#This Row],[Name]],Eingabe[Position],ErgebnisPosition[[#Headers],[6]]),0))</f>
        <v>508</v>
      </c>
      <c r="L26" s="188" t="str">
        <f>ErgebnisPosition[[#This Row],[Name]]</f>
        <v>Madlen Baumgarten</v>
      </c>
      <c r="M26" s="188" t="str">
        <f>VLOOKUP(ErgebnisPositionH[[#This Row],[Name]],Teamzuordnung[[Name]:[Team]],2,FALSE)</f>
        <v>F</v>
      </c>
      <c r="N26" s="189" t="str">
        <f>IF(COUNTIFS(Eingabe[Name],ErgebnisPositionH[[#This Row],[Name]],Eingabe[Position],ErgebnisPositionH[[#Headers],[1]],Eingabe[Wo],"H")=0,"",ROUND(AVERAGEIFS(Eingabe[GES],Eingabe[Name],ErgebnisPositionH[[#This Row],[Name]],Eingabe[Position],ErgebnisPositionH[[#Headers],[1]],Eingabe[Wo],"H"),0))</f>
        <v/>
      </c>
      <c r="O26" s="189" t="str">
        <f>IF(COUNTIFS(Eingabe[Name],ErgebnisPositionH[[#This Row],[Name]],Eingabe[Position],ErgebnisPositionH[[#Headers],[2]],Eingabe[Wo],"H")=0,"",ROUND(AVERAGEIFS(Eingabe[GES],Eingabe[Name],ErgebnisPositionH[[#This Row],[Name]],Eingabe[Position],ErgebnisPositionH[[#Headers],[2]],Eingabe[Wo],"H"),0))</f>
        <v/>
      </c>
      <c r="P26" s="189" t="str">
        <f>IF(COUNTIFS(Eingabe[Name],ErgebnisPositionH[[#This Row],[Name]],Eingabe[Position],ErgebnisPositionH[[#Headers],[3]],Eingabe[Wo],"H")=0,"",ROUND(AVERAGEIFS(Eingabe[GES],Eingabe[Name],ErgebnisPositionH[[#This Row],[Name]],Eingabe[Position],ErgebnisPositionH[[#Headers],[3]],Eingabe[Wo],"H"),0))</f>
        <v/>
      </c>
      <c r="Q26" s="189" t="str">
        <f>IF(COUNTIFS(Eingabe[Name],ErgebnisPositionH[[#This Row],[Name]],Eingabe[Position],ErgebnisPositionH[[#Headers],[4]],Eingabe[Wo],"H")=0,"",ROUND(AVERAGEIFS(Eingabe[GES],Eingabe[Name],ErgebnisPositionH[[#This Row],[Name]],Eingabe[Position],ErgebnisPositionH[[#Headers],[4]],Eingabe[Wo],"H"),0))</f>
        <v/>
      </c>
      <c r="R26" s="189">
        <f>IF(COUNTIFS(Eingabe[Name],ErgebnisPositionH[[#This Row],[Name]],Eingabe[Position],ErgebnisPositionH[[#Headers],[5]],Eingabe[Wo],"H")=0,"",ROUND(AVERAGEIFS(Eingabe[GES],Eingabe[Name],ErgebnisPositionH[[#This Row],[Name]],Eingabe[Position],ErgebnisPositionH[[#Headers],[5]],Eingabe[Wo],"H"),0))</f>
        <v>473</v>
      </c>
      <c r="S26" s="189" t="str">
        <f>IF(COUNTIFS(Eingabe[Name],ErgebnisPositionH[[#This Row],[Name]],Eingabe[Position],ErgebnisPositionH[[#Headers],[6]],Eingabe[Wo],"H")=0,"",ROUND(AVERAGEIFS(Eingabe[GES],Eingabe[Name],ErgebnisPositionH[[#This Row],[Name]],Eingabe[Position],ErgebnisPositionH[[#Headers],[6]],Eingabe[Wo],"H"),0))</f>
        <v/>
      </c>
      <c r="V26" s="188" t="str">
        <f>ErgebnisPosition[[#This Row],[Name]]</f>
        <v>Madlen Baumgarten</v>
      </c>
      <c r="W26" s="188" t="str">
        <f>VLOOKUP(ErgebnisPositionA[[#This Row],[Name]],Teamzuordnung[[Name]:[Team]],2,FALSE)</f>
        <v>F</v>
      </c>
      <c r="X26" s="189" t="str">
        <f>IF(COUNTIFS(Eingabe[Name],ErgebnisPositionA[[#This Row],[Name]],Eingabe[Position],ErgebnisPositionA[[#Headers],[1]],Eingabe[Wo],"A")=0,"",ROUND(AVERAGEIFS(Eingabe[GES],Eingabe[Name],ErgebnisPositionA[[#This Row],[Name]],Eingabe[Position],ErgebnisPositionA[[#Headers],[1]],Eingabe[Wo],"A"),0))</f>
        <v/>
      </c>
      <c r="Y26" s="189">
        <f>IF(COUNTIFS(Eingabe[Name],ErgebnisPositionA[[#This Row],[Name]],Eingabe[Position],ErgebnisPositionA[[#Headers],[2]],Eingabe[Wo],"A")=0,"",ROUND(AVERAGEIFS(Eingabe[GES],Eingabe[Name],ErgebnisPositionA[[#This Row],[Name]],Eingabe[Position],ErgebnisPositionA[[#Headers],[2]],Eingabe[Wo],"A"),0))</f>
        <v>536</v>
      </c>
      <c r="Z26" s="189" t="str">
        <f>IF(COUNTIFS(Eingabe[Name],ErgebnisPositionA[[#This Row],[Name]],Eingabe[Position],ErgebnisPositionA[[#Headers],[3]],Eingabe[Wo],"A")=0,"",ROUND(AVERAGEIFS(Eingabe[GES],Eingabe[Name],ErgebnisPositionA[[#This Row],[Name]],Eingabe[Position],ErgebnisPositionA[[#Headers],[3]],Eingabe[Wo],"A"),0))</f>
        <v/>
      </c>
      <c r="AA26" s="189" t="str">
        <f>IF(COUNTIFS(Eingabe[Name],ErgebnisPositionA[[#This Row],[Name]],Eingabe[Position],ErgebnisPositionA[[#Headers],[4]],Eingabe[Wo],"A")=0,"",ROUND(AVERAGEIFS(Eingabe[GES],Eingabe[Name],ErgebnisPositionA[[#This Row],[Name]],Eingabe[Position],ErgebnisPositionA[[#Headers],[4]],Eingabe[Wo],"A"),0))</f>
        <v/>
      </c>
      <c r="AB26" s="189">
        <f>IF(COUNTIFS(Eingabe[Name],ErgebnisPositionA[[#This Row],[Name]],Eingabe[Position],ErgebnisPositionA[[#Headers],[5]],Eingabe[Wo],"A")=0,"",ROUND(AVERAGEIFS(Eingabe[GES],Eingabe[Name],ErgebnisPositionA[[#This Row],[Name]],Eingabe[Position],ErgebnisPositionA[[#Headers],[5]],Eingabe[Wo],"A"),0))</f>
        <v>528</v>
      </c>
      <c r="AC26" s="189">
        <f>IF(COUNTIFS(Eingabe[Name],ErgebnisPositionA[[#This Row],[Name]],Eingabe[Position],ErgebnisPositionA[[#Headers],[6]],Eingabe[Wo],"A")=0,"",ROUND(AVERAGEIFS(Eingabe[GES],Eingabe[Name],ErgebnisPositionA[[#This Row],[Name]],Eingabe[Position],ErgebnisPositionA[[#Headers],[6]],Eingabe[Wo],"A"),0))</f>
        <v>508</v>
      </c>
    </row>
    <row r="27" spans="2:29" ht="15.6" x14ac:dyDescent="0.3">
      <c r="B27" s="188" t="str">
        <f>Übersicht!B28</f>
        <v>Maik Fuhrmann</v>
      </c>
      <c r="C27" s="188" t="str">
        <f>VLOOKUP(ErgebnisPosition[[#This Row],[Name]],Teamzuordnung[[Name]:[Team]],2,FALSE)</f>
        <v>E</v>
      </c>
      <c r="D27" s="189">
        <f>IF(COUNTIFS(Eingabe[Name],ErgebnisPosition[[#This Row],[Name]],Eingabe[Position],ErgebnisPosition[[#Headers],[1]])=0,"",ROUND(AVERAGEIFS(Eingabe[GES],Eingabe[Name],ErgebnisPosition[[#This Row],[Name]],Eingabe[Position],ErgebnisPosition[[#Headers],[1]]),0))</f>
        <v>552</v>
      </c>
      <c r="E27" s="189">
        <f>IF(COUNTIFS(Eingabe[Name],ErgebnisPosition[[#This Row],[Name]],Eingabe[Position],ErgebnisPosition[[#Headers],[2]])=0,"",ROUND(AVERAGEIFS(Eingabe[GES],Eingabe[Name],ErgebnisPosition[[#This Row],[Name]],Eingabe[Position],ErgebnisPosition[[#Headers],[2]]),0))</f>
        <v>575</v>
      </c>
      <c r="F27" s="189">
        <f>IF(COUNTIFS(Eingabe[Name],ErgebnisPosition[[#This Row],[Name]],Eingabe[Position],ErgebnisPosition[[#Headers],[3]])=0,"",ROUND(AVERAGEIFS(Eingabe[GES],Eingabe[Name],ErgebnisPosition[[#This Row],[Name]],Eingabe[Position],ErgebnisPosition[[#Headers],[3]]),0))</f>
        <v>546</v>
      </c>
      <c r="G27" s="189">
        <f>IF(COUNTIFS(Eingabe[Name],ErgebnisPosition[[#This Row],[Name]],Eingabe[Position],ErgebnisPosition[[#Headers],[4]])=0,"",ROUND(AVERAGEIFS(Eingabe[GES],Eingabe[Name],ErgebnisPosition[[#This Row],[Name]],Eingabe[Position],ErgebnisPosition[[#Headers],[4]]),0))</f>
        <v>527</v>
      </c>
      <c r="H27" s="189" t="str">
        <f>IF(COUNTIFS(Eingabe[Name],ErgebnisPosition[[#This Row],[Name]],Eingabe[Position],ErgebnisPosition[[#Headers],[5]])=0,"",ROUND(AVERAGEIFS(Eingabe[GES],Eingabe[Name],ErgebnisPosition[[#This Row],[Name]],Eingabe[Position],ErgebnisPosition[[#Headers],[5]]),0))</f>
        <v/>
      </c>
      <c r="I27" s="189" t="str">
        <f>IF(COUNTIFS(Eingabe[Name],ErgebnisPosition[[#This Row],[Name]],Eingabe[Position],ErgebnisPosition[[#Headers],[6]])=0,"",ROUND(AVERAGEIFS(Eingabe[GES],Eingabe[Name],ErgebnisPosition[[#This Row],[Name]],Eingabe[Position],ErgebnisPosition[[#Headers],[6]]),0))</f>
        <v/>
      </c>
      <c r="L27" s="188" t="str">
        <f>ErgebnisPosition[[#This Row],[Name]]</f>
        <v>Maik Fuhrmann</v>
      </c>
      <c r="M27" s="188" t="str">
        <f>VLOOKUP(ErgebnisPositionH[[#This Row],[Name]],Teamzuordnung[[Name]:[Team]],2,FALSE)</f>
        <v>E</v>
      </c>
      <c r="N27" s="189">
        <f>IF(COUNTIFS(Eingabe[Name],ErgebnisPositionH[[#This Row],[Name]],Eingabe[Position],ErgebnisPositionH[[#Headers],[1]],Eingabe[Wo],"H")=0,"",ROUND(AVERAGEIFS(Eingabe[GES],Eingabe[Name],ErgebnisPositionH[[#This Row],[Name]],Eingabe[Position],ErgebnisPositionH[[#Headers],[1]],Eingabe[Wo],"H"),0))</f>
        <v>547</v>
      </c>
      <c r="O27" s="189">
        <f>IF(COUNTIFS(Eingabe[Name],ErgebnisPositionH[[#This Row],[Name]],Eingabe[Position],ErgebnisPositionH[[#Headers],[2]],Eingabe[Wo],"H")=0,"",ROUND(AVERAGEIFS(Eingabe[GES],Eingabe[Name],ErgebnisPositionH[[#This Row],[Name]],Eingabe[Position],ErgebnisPositionH[[#Headers],[2]],Eingabe[Wo],"H"),0))</f>
        <v>528</v>
      </c>
      <c r="P27" s="189">
        <f>IF(COUNTIFS(Eingabe[Name],ErgebnisPositionH[[#This Row],[Name]],Eingabe[Position],ErgebnisPositionH[[#Headers],[3]],Eingabe[Wo],"H")=0,"",ROUND(AVERAGEIFS(Eingabe[GES],Eingabe[Name],ErgebnisPositionH[[#This Row],[Name]],Eingabe[Position],ErgebnisPositionH[[#Headers],[3]],Eingabe[Wo],"H"),0))</f>
        <v>500</v>
      </c>
      <c r="Q27" s="189" t="str">
        <f>IF(COUNTIFS(Eingabe[Name],ErgebnisPositionH[[#This Row],[Name]],Eingabe[Position],ErgebnisPositionH[[#Headers],[4]],Eingabe[Wo],"H")=0,"",ROUND(AVERAGEIFS(Eingabe[GES],Eingabe[Name],ErgebnisPositionH[[#This Row],[Name]],Eingabe[Position],ErgebnisPositionH[[#Headers],[4]],Eingabe[Wo],"H"),0))</f>
        <v/>
      </c>
      <c r="R27" s="189" t="str">
        <f>IF(COUNTIFS(Eingabe[Name],ErgebnisPositionH[[#This Row],[Name]],Eingabe[Position],ErgebnisPositionH[[#Headers],[5]],Eingabe[Wo],"H")=0,"",ROUND(AVERAGEIFS(Eingabe[GES],Eingabe[Name],ErgebnisPositionH[[#This Row],[Name]],Eingabe[Position],ErgebnisPositionH[[#Headers],[5]],Eingabe[Wo],"H"),0))</f>
        <v/>
      </c>
      <c r="S27" s="189" t="str">
        <f>IF(COUNTIFS(Eingabe[Name],ErgebnisPositionH[[#This Row],[Name]],Eingabe[Position],ErgebnisPositionH[[#Headers],[6]],Eingabe[Wo],"H")=0,"",ROUND(AVERAGEIFS(Eingabe[GES],Eingabe[Name],ErgebnisPositionH[[#This Row],[Name]],Eingabe[Position],ErgebnisPositionH[[#Headers],[6]],Eingabe[Wo],"H"),0))</f>
        <v/>
      </c>
      <c r="V27" s="188" t="str">
        <f>ErgebnisPosition[[#This Row],[Name]]</f>
        <v>Maik Fuhrmann</v>
      </c>
      <c r="W27" s="188" t="str">
        <f>VLOOKUP(ErgebnisPositionA[[#This Row],[Name]],Teamzuordnung[[Name]:[Team]],2,FALSE)</f>
        <v>E</v>
      </c>
      <c r="X27" s="189">
        <f>IF(COUNTIFS(Eingabe[Name],ErgebnisPositionA[[#This Row],[Name]],Eingabe[Position],ErgebnisPositionA[[#Headers],[1]],Eingabe[Wo],"A")=0,"",ROUND(AVERAGEIFS(Eingabe[GES],Eingabe[Name],ErgebnisPositionA[[#This Row],[Name]],Eingabe[Position],ErgebnisPositionA[[#Headers],[1]],Eingabe[Wo],"A"),0))</f>
        <v>565</v>
      </c>
      <c r="Y27" s="189">
        <f>IF(COUNTIFS(Eingabe[Name],ErgebnisPositionA[[#This Row],[Name]],Eingabe[Position],ErgebnisPositionA[[#Headers],[2]],Eingabe[Wo],"A")=0,"",ROUND(AVERAGEIFS(Eingabe[GES],Eingabe[Name],ErgebnisPositionA[[#This Row],[Name]],Eingabe[Position],ErgebnisPositionA[[#Headers],[2]],Eingabe[Wo],"A"),0))</f>
        <v>599</v>
      </c>
      <c r="Z27" s="189">
        <f>IF(COUNTIFS(Eingabe[Name],ErgebnisPositionA[[#This Row],[Name]],Eingabe[Position],ErgebnisPositionA[[#Headers],[3]],Eingabe[Wo],"A")=0,"",ROUND(AVERAGEIFS(Eingabe[GES],Eingabe[Name],ErgebnisPositionA[[#This Row],[Name]],Eingabe[Position],ErgebnisPositionA[[#Headers],[3]],Eingabe[Wo],"A"),0))</f>
        <v>592</v>
      </c>
      <c r="AA27" s="189">
        <f>IF(COUNTIFS(Eingabe[Name],ErgebnisPositionA[[#This Row],[Name]],Eingabe[Position],ErgebnisPositionA[[#Headers],[4]],Eingabe[Wo],"A")=0,"",ROUND(AVERAGEIFS(Eingabe[GES],Eingabe[Name],ErgebnisPositionA[[#This Row],[Name]],Eingabe[Position],ErgebnisPositionA[[#Headers],[4]],Eingabe[Wo],"A"),0))</f>
        <v>527</v>
      </c>
      <c r="AB27" s="189" t="str">
        <f>IF(COUNTIFS(Eingabe[Name],ErgebnisPositionA[[#This Row],[Name]],Eingabe[Position],ErgebnisPositionA[[#Headers],[5]],Eingabe[Wo],"A")=0,"",ROUND(AVERAGEIFS(Eingabe[GES],Eingabe[Name],ErgebnisPositionA[[#This Row],[Name]],Eingabe[Position],ErgebnisPositionA[[#Headers],[5]],Eingabe[Wo],"A"),0))</f>
        <v/>
      </c>
      <c r="AC27" s="189" t="str">
        <f>IF(COUNTIFS(Eingabe[Name],ErgebnisPositionA[[#This Row],[Name]],Eingabe[Position],ErgebnisPositionA[[#Headers],[6]],Eingabe[Wo],"A")=0,"",ROUND(AVERAGEIFS(Eingabe[GES],Eingabe[Name],ErgebnisPositionA[[#This Row],[Name]],Eingabe[Position],ErgebnisPositionA[[#Headers],[6]],Eingabe[Wo],"A"),0))</f>
        <v/>
      </c>
    </row>
    <row r="28" spans="2:29" ht="15.6" x14ac:dyDescent="0.3">
      <c r="B28" s="188" t="str">
        <f>Übersicht!B29</f>
        <v>Marcel Giese</v>
      </c>
      <c r="C28" s="188" t="str">
        <f>VLOOKUP(ErgebnisPosition[[#This Row],[Name]],Teamzuordnung[[Name]:[Team]],2,FALSE)</f>
        <v>D</v>
      </c>
      <c r="D28" s="189">
        <f>IF(COUNTIFS(Eingabe[Name],ErgebnisPosition[[#This Row],[Name]],Eingabe[Position],ErgebnisPosition[[#Headers],[1]])=0,"",ROUND(AVERAGEIFS(Eingabe[GES],Eingabe[Name],ErgebnisPosition[[#This Row],[Name]],Eingabe[Position],ErgebnisPosition[[#Headers],[1]]),0))</f>
        <v>491</v>
      </c>
      <c r="E28" s="189">
        <f>IF(COUNTIFS(Eingabe[Name],ErgebnisPosition[[#This Row],[Name]],Eingabe[Position],ErgebnisPosition[[#Headers],[2]])=0,"",ROUND(AVERAGEIFS(Eingabe[GES],Eingabe[Name],ErgebnisPosition[[#This Row],[Name]],Eingabe[Position],ErgebnisPosition[[#Headers],[2]]),0))</f>
        <v>454</v>
      </c>
      <c r="F28" s="189" t="str">
        <f>IF(COUNTIFS(Eingabe[Name],ErgebnisPosition[[#This Row],[Name]],Eingabe[Position],ErgebnisPosition[[#Headers],[3]])=0,"",ROUND(AVERAGEIFS(Eingabe[GES],Eingabe[Name],ErgebnisPosition[[#This Row],[Name]],Eingabe[Position],ErgebnisPosition[[#Headers],[3]]),0))</f>
        <v/>
      </c>
      <c r="G28" s="189" t="str">
        <f>IF(COUNTIFS(Eingabe[Name],ErgebnisPosition[[#This Row],[Name]],Eingabe[Position],ErgebnisPosition[[#Headers],[4]])=0,"",ROUND(AVERAGEIFS(Eingabe[GES],Eingabe[Name],ErgebnisPosition[[#This Row],[Name]],Eingabe[Position],ErgebnisPosition[[#Headers],[4]]),0))</f>
        <v/>
      </c>
      <c r="H28" s="189" t="str">
        <f>IF(COUNTIFS(Eingabe[Name],ErgebnisPosition[[#This Row],[Name]],Eingabe[Position],ErgebnisPosition[[#Headers],[5]])=0,"",ROUND(AVERAGEIFS(Eingabe[GES],Eingabe[Name],ErgebnisPosition[[#This Row],[Name]],Eingabe[Position],ErgebnisPosition[[#Headers],[5]]),0))</f>
        <v/>
      </c>
      <c r="I28" s="189" t="str">
        <f>IF(COUNTIFS(Eingabe[Name],ErgebnisPosition[[#This Row],[Name]],Eingabe[Position],ErgebnisPosition[[#Headers],[6]])=0,"",ROUND(AVERAGEIFS(Eingabe[GES],Eingabe[Name],ErgebnisPosition[[#This Row],[Name]],Eingabe[Position],ErgebnisPosition[[#Headers],[6]]),0))</f>
        <v/>
      </c>
      <c r="L28" s="188" t="str">
        <f>ErgebnisPosition[[#This Row],[Name]]</f>
        <v>Marcel Giese</v>
      </c>
      <c r="M28" s="188" t="str">
        <f>VLOOKUP(ErgebnisPositionH[[#This Row],[Name]],Teamzuordnung[[Name]:[Team]],2,FALSE)</f>
        <v>D</v>
      </c>
      <c r="N28" s="189" t="str">
        <f>IF(COUNTIFS(Eingabe[Name],ErgebnisPositionH[[#This Row],[Name]],Eingabe[Position],ErgebnisPositionH[[#Headers],[1]],Eingabe[Wo],"H")=0,"",ROUND(AVERAGEIFS(Eingabe[GES],Eingabe[Name],ErgebnisPositionH[[#This Row],[Name]],Eingabe[Position],ErgebnisPositionH[[#Headers],[1]],Eingabe[Wo],"H"),0))</f>
        <v/>
      </c>
      <c r="O28" s="189">
        <f>IF(COUNTIFS(Eingabe[Name],ErgebnisPositionH[[#This Row],[Name]],Eingabe[Position],ErgebnisPositionH[[#Headers],[2]],Eingabe[Wo],"H")=0,"",ROUND(AVERAGEIFS(Eingabe[GES],Eingabe[Name],ErgebnisPositionH[[#This Row],[Name]],Eingabe[Position],ErgebnisPositionH[[#Headers],[2]],Eingabe[Wo],"H"),0))</f>
        <v>454</v>
      </c>
      <c r="P28" s="189" t="str">
        <f>IF(COUNTIFS(Eingabe[Name],ErgebnisPositionH[[#This Row],[Name]],Eingabe[Position],ErgebnisPositionH[[#Headers],[3]],Eingabe[Wo],"H")=0,"",ROUND(AVERAGEIFS(Eingabe[GES],Eingabe[Name],ErgebnisPositionH[[#This Row],[Name]],Eingabe[Position],ErgebnisPositionH[[#Headers],[3]],Eingabe[Wo],"H"),0))</f>
        <v/>
      </c>
      <c r="Q28" s="189" t="str">
        <f>IF(COUNTIFS(Eingabe[Name],ErgebnisPositionH[[#This Row],[Name]],Eingabe[Position],ErgebnisPositionH[[#Headers],[4]],Eingabe[Wo],"H")=0,"",ROUND(AVERAGEIFS(Eingabe[GES],Eingabe[Name],ErgebnisPositionH[[#This Row],[Name]],Eingabe[Position],ErgebnisPositionH[[#Headers],[4]],Eingabe[Wo],"H"),0))</f>
        <v/>
      </c>
      <c r="R28" s="189" t="str">
        <f>IF(COUNTIFS(Eingabe[Name],ErgebnisPositionH[[#This Row],[Name]],Eingabe[Position],ErgebnisPositionH[[#Headers],[5]],Eingabe[Wo],"H")=0,"",ROUND(AVERAGEIFS(Eingabe[GES],Eingabe[Name],ErgebnisPositionH[[#This Row],[Name]],Eingabe[Position],ErgebnisPositionH[[#Headers],[5]],Eingabe[Wo],"H"),0))</f>
        <v/>
      </c>
      <c r="S28" s="189" t="str">
        <f>IF(COUNTIFS(Eingabe[Name],ErgebnisPositionH[[#This Row],[Name]],Eingabe[Position],ErgebnisPositionH[[#Headers],[6]],Eingabe[Wo],"H")=0,"",ROUND(AVERAGEIFS(Eingabe[GES],Eingabe[Name],ErgebnisPositionH[[#This Row],[Name]],Eingabe[Position],ErgebnisPositionH[[#Headers],[6]],Eingabe[Wo],"H"),0))</f>
        <v/>
      </c>
      <c r="V28" s="188" t="str">
        <f>ErgebnisPosition[[#This Row],[Name]]</f>
        <v>Marcel Giese</v>
      </c>
      <c r="W28" s="188" t="str">
        <f>VLOOKUP(ErgebnisPositionA[[#This Row],[Name]],Teamzuordnung[[Name]:[Team]],2,FALSE)</f>
        <v>D</v>
      </c>
      <c r="X28" s="189">
        <f>IF(COUNTIFS(Eingabe[Name],ErgebnisPositionA[[#This Row],[Name]],Eingabe[Position],ErgebnisPositionA[[#Headers],[1]],Eingabe[Wo],"A")=0,"",ROUND(AVERAGEIFS(Eingabe[GES],Eingabe[Name],ErgebnisPositionA[[#This Row],[Name]],Eingabe[Position],ErgebnisPositionA[[#Headers],[1]],Eingabe[Wo],"A"),0))</f>
        <v>491</v>
      </c>
      <c r="Y28" s="189" t="str">
        <f>IF(COUNTIFS(Eingabe[Name],ErgebnisPositionA[[#This Row],[Name]],Eingabe[Position],ErgebnisPositionA[[#Headers],[2]],Eingabe[Wo],"A")=0,"",ROUND(AVERAGEIFS(Eingabe[GES],Eingabe[Name],ErgebnisPositionA[[#This Row],[Name]],Eingabe[Position],ErgebnisPositionA[[#Headers],[2]],Eingabe[Wo],"A"),0))</f>
        <v/>
      </c>
      <c r="Z28" s="189" t="str">
        <f>IF(COUNTIFS(Eingabe[Name],ErgebnisPositionA[[#This Row],[Name]],Eingabe[Position],ErgebnisPositionA[[#Headers],[3]],Eingabe[Wo],"A")=0,"",ROUND(AVERAGEIFS(Eingabe[GES],Eingabe[Name],ErgebnisPositionA[[#This Row],[Name]],Eingabe[Position],ErgebnisPositionA[[#Headers],[3]],Eingabe[Wo],"A"),0))</f>
        <v/>
      </c>
      <c r="AA28" s="189" t="str">
        <f>IF(COUNTIFS(Eingabe[Name],ErgebnisPositionA[[#This Row],[Name]],Eingabe[Position],ErgebnisPositionA[[#Headers],[4]],Eingabe[Wo],"A")=0,"",ROUND(AVERAGEIFS(Eingabe[GES],Eingabe[Name],ErgebnisPositionA[[#This Row],[Name]],Eingabe[Position],ErgebnisPositionA[[#Headers],[4]],Eingabe[Wo],"A"),0))</f>
        <v/>
      </c>
      <c r="AB28" s="189" t="str">
        <f>IF(COUNTIFS(Eingabe[Name],ErgebnisPositionA[[#This Row],[Name]],Eingabe[Position],ErgebnisPositionA[[#Headers],[5]],Eingabe[Wo],"A")=0,"",ROUND(AVERAGEIFS(Eingabe[GES],Eingabe[Name],ErgebnisPositionA[[#This Row],[Name]],Eingabe[Position],ErgebnisPositionA[[#Headers],[5]],Eingabe[Wo],"A"),0))</f>
        <v/>
      </c>
      <c r="AC28" s="189" t="str">
        <f>IF(COUNTIFS(Eingabe[Name],ErgebnisPositionA[[#This Row],[Name]],Eingabe[Position],ErgebnisPositionA[[#Headers],[6]],Eingabe[Wo],"A")=0,"",ROUND(AVERAGEIFS(Eingabe[GES],Eingabe[Name],ErgebnisPositionA[[#This Row],[Name]],Eingabe[Position],ErgebnisPositionA[[#Headers],[6]],Eingabe[Wo],"A"),0))</f>
        <v/>
      </c>
    </row>
    <row r="29" spans="2:29" ht="15.6" x14ac:dyDescent="0.3">
      <c r="B29" s="188" t="str">
        <f>Übersicht!B30</f>
        <v>Mario Hägemann</v>
      </c>
      <c r="C29" s="188" t="str">
        <f>VLOOKUP(ErgebnisPosition[[#This Row],[Name]],Teamzuordnung[[Name]:[Team]],2,FALSE)</f>
        <v>Z</v>
      </c>
      <c r="D29" s="189">
        <f>IF(COUNTIFS(Eingabe[Name],ErgebnisPosition[[#This Row],[Name]],Eingabe[Position],ErgebnisPosition[[#Headers],[1]])=0,"",ROUND(AVERAGEIFS(Eingabe[GES],Eingabe[Name],ErgebnisPosition[[#This Row],[Name]],Eingabe[Position],ErgebnisPosition[[#Headers],[1]]),0))</f>
        <v>528</v>
      </c>
      <c r="E29" s="189">
        <f>IF(COUNTIFS(Eingabe[Name],ErgebnisPosition[[#This Row],[Name]],Eingabe[Position],ErgebnisPosition[[#Headers],[2]])=0,"",ROUND(AVERAGEIFS(Eingabe[GES],Eingabe[Name],ErgebnisPosition[[#This Row],[Name]],Eingabe[Position],ErgebnisPosition[[#Headers],[2]]),0))</f>
        <v>486</v>
      </c>
      <c r="F29" s="189">
        <f>IF(COUNTIFS(Eingabe[Name],ErgebnisPosition[[#This Row],[Name]],Eingabe[Position],ErgebnisPosition[[#Headers],[3]])=0,"",ROUND(AVERAGEIFS(Eingabe[GES],Eingabe[Name],ErgebnisPosition[[#This Row],[Name]],Eingabe[Position],ErgebnisPosition[[#Headers],[3]]),0))</f>
        <v>554</v>
      </c>
      <c r="G29" s="189">
        <f>IF(COUNTIFS(Eingabe[Name],ErgebnisPosition[[#This Row],[Name]],Eingabe[Position],ErgebnisPosition[[#Headers],[4]])=0,"",ROUND(AVERAGEIFS(Eingabe[GES],Eingabe[Name],ErgebnisPosition[[#This Row],[Name]],Eingabe[Position],ErgebnisPosition[[#Headers],[4]]),0))</f>
        <v>529</v>
      </c>
      <c r="H29" s="189">
        <f>IF(COUNTIFS(Eingabe[Name],ErgebnisPosition[[#This Row],[Name]],Eingabe[Position],ErgebnisPosition[[#Headers],[5]])=0,"",ROUND(AVERAGEIFS(Eingabe[GES],Eingabe[Name],ErgebnisPosition[[#This Row],[Name]],Eingabe[Position],ErgebnisPosition[[#Headers],[5]]),0))</f>
        <v>496</v>
      </c>
      <c r="I29" s="189" t="str">
        <f>IF(COUNTIFS(Eingabe[Name],ErgebnisPosition[[#This Row],[Name]],Eingabe[Position],ErgebnisPosition[[#Headers],[6]])=0,"",ROUND(AVERAGEIFS(Eingabe[GES],Eingabe[Name],ErgebnisPosition[[#This Row],[Name]],Eingabe[Position],ErgebnisPosition[[#Headers],[6]]),0))</f>
        <v/>
      </c>
      <c r="L29" s="188" t="str">
        <f>ErgebnisPosition[[#This Row],[Name]]</f>
        <v>Mario Hägemann</v>
      </c>
      <c r="M29" s="188" t="str">
        <f>VLOOKUP(ErgebnisPositionH[[#This Row],[Name]],Teamzuordnung[[Name]:[Team]],2,FALSE)</f>
        <v>Z</v>
      </c>
      <c r="N29" s="189">
        <f>IF(COUNTIFS(Eingabe[Name],ErgebnisPositionH[[#This Row],[Name]],Eingabe[Position],ErgebnisPositionH[[#Headers],[1]],Eingabe[Wo],"H")=0,"",ROUND(AVERAGEIFS(Eingabe[GES],Eingabe[Name],ErgebnisPositionH[[#This Row],[Name]],Eingabe[Position],ErgebnisPositionH[[#Headers],[1]],Eingabe[Wo],"H"),0))</f>
        <v>532</v>
      </c>
      <c r="O29" s="189">
        <f>IF(COUNTIFS(Eingabe[Name],ErgebnisPositionH[[#This Row],[Name]],Eingabe[Position],ErgebnisPositionH[[#Headers],[2]],Eingabe[Wo],"H")=0,"",ROUND(AVERAGEIFS(Eingabe[GES],Eingabe[Name],ErgebnisPositionH[[#This Row],[Name]],Eingabe[Position],ErgebnisPositionH[[#Headers],[2]],Eingabe[Wo],"H"),0))</f>
        <v>468</v>
      </c>
      <c r="P29" s="189" t="str">
        <f>IF(COUNTIFS(Eingabe[Name],ErgebnisPositionH[[#This Row],[Name]],Eingabe[Position],ErgebnisPositionH[[#Headers],[3]],Eingabe[Wo],"H")=0,"",ROUND(AVERAGEIFS(Eingabe[GES],Eingabe[Name],ErgebnisPositionH[[#This Row],[Name]],Eingabe[Position],ErgebnisPositionH[[#Headers],[3]],Eingabe[Wo],"H"),0))</f>
        <v/>
      </c>
      <c r="Q29" s="189">
        <f>IF(COUNTIFS(Eingabe[Name],ErgebnisPositionH[[#This Row],[Name]],Eingabe[Position],ErgebnisPositionH[[#Headers],[4]],Eingabe[Wo],"H")=0,"",ROUND(AVERAGEIFS(Eingabe[GES],Eingabe[Name],ErgebnisPositionH[[#This Row],[Name]],Eingabe[Position],ErgebnisPositionH[[#Headers],[4]],Eingabe[Wo],"H"),0))</f>
        <v>529</v>
      </c>
      <c r="R29" s="189">
        <f>IF(COUNTIFS(Eingabe[Name],ErgebnisPositionH[[#This Row],[Name]],Eingabe[Position],ErgebnisPositionH[[#Headers],[5]],Eingabe[Wo],"H")=0,"",ROUND(AVERAGEIFS(Eingabe[GES],Eingabe[Name],ErgebnisPositionH[[#This Row],[Name]],Eingabe[Position],ErgebnisPositionH[[#Headers],[5]],Eingabe[Wo],"H"),0))</f>
        <v>496</v>
      </c>
      <c r="S29" s="189" t="str">
        <f>IF(COUNTIFS(Eingabe[Name],ErgebnisPositionH[[#This Row],[Name]],Eingabe[Position],ErgebnisPositionH[[#Headers],[6]],Eingabe[Wo],"H")=0,"",ROUND(AVERAGEIFS(Eingabe[GES],Eingabe[Name],ErgebnisPositionH[[#This Row],[Name]],Eingabe[Position],ErgebnisPositionH[[#Headers],[6]],Eingabe[Wo],"H"),0))</f>
        <v/>
      </c>
      <c r="V29" s="188" t="str">
        <f>ErgebnisPosition[[#This Row],[Name]]</f>
        <v>Mario Hägemann</v>
      </c>
      <c r="W29" s="188" t="str">
        <f>VLOOKUP(ErgebnisPositionA[[#This Row],[Name]],Teamzuordnung[[Name]:[Team]],2,FALSE)</f>
        <v>Z</v>
      </c>
      <c r="X29" s="189">
        <f>IF(COUNTIFS(Eingabe[Name],ErgebnisPositionA[[#This Row],[Name]],Eingabe[Position],ErgebnisPositionA[[#Headers],[1]],Eingabe[Wo],"A")=0,"",ROUND(AVERAGEIFS(Eingabe[GES],Eingabe[Name],ErgebnisPositionA[[#This Row],[Name]],Eingabe[Position],ErgebnisPositionA[[#Headers],[1]],Eingabe[Wo],"A"),0))</f>
        <v>523</v>
      </c>
      <c r="Y29" s="189">
        <f>IF(COUNTIFS(Eingabe[Name],ErgebnisPositionA[[#This Row],[Name]],Eingabe[Position],ErgebnisPositionA[[#Headers],[2]],Eingabe[Wo],"A")=0,"",ROUND(AVERAGEIFS(Eingabe[GES],Eingabe[Name],ErgebnisPositionA[[#This Row],[Name]],Eingabe[Position],ErgebnisPositionA[[#Headers],[2]],Eingabe[Wo],"A"),0))</f>
        <v>504</v>
      </c>
      <c r="Z29" s="189">
        <f>IF(COUNTIFS(Eingabe[Name],ErgebnisPositionA[[#This Row],[Name]],Eingabe[Position],ErgebnisPositionA[[#Headers],[3]],Eingabe[Wo],"A")=0,"",ROUND(AVERAGEIFS(Eingabe[GES],Eingabe[Name],ErgebnisPositionA[[#This Row],[Name]],Eingabe[Position],ErgebnisPositionA[[#Headers],[3]],Eingabe[Wo],"A"),0))</f>
        <v>554</v>
      </c>
      <c r="AA29" s="189" t="str">
        <f>IF(COUNTIFS(Eingabe[Name],ErgebnisPositionA[[#This Row],[Name]],Eingabe[Position],ErgebnisPositionA[[#Headers],[4]],Eingabe[Wo],"A")=0,"",ROUND(AVERAGEIFS(Eingabe[GES],Eingabe[Name],ErgebnisPositionA[[#This Row],[Name]],Eingabe[Position],ErgebnisPositionA[[#Headers],[4]],Eingabe[Wo],"A"),0))</f>
        <v/>
      </c>
      <c r="AB29" s="189" t="str">
        <f>IF(COUNTIFS(Eingabe[Name],ErgebnisPositionA[[#This Row],[Name]],Eingabe[Position],ErgebnisPositionA[[#Headers],[5]],Eingabe[Wo],"A")=0,"",ROUND(AVERAGEIFS(Eingabe[GES],Eingabe[Name],ErgebnisPositionA[[#This Row],[Name]],Eingabe[Position],ErgebnisPositionA[[#Headers],[5]],Eingabe[Wo],"A"),0))</f>
        <v/>
      </c>
      <c r="AC29" s="189" t="str">
        <f>IF(COUNTIFS(Eingabe[Name],ErgebnisPositionA[[#This Row],[Name]],Eingabe[Position],ErgebnisPositionA[[#Headers],[6]],Eingabe[Wo],"A")=0,"",ROUND(AVERAGEIFS(Eingabe[GES],Eingabe[Name],ErgebnisPositionA[[#This Row],[Name]],Eingabe[Position],ErgebnisPositionA[[#Headers],[6]],Eingabe[Wo],"A"),0))</f>
        <v/>
      </c>
    </row>
    <row r="30" spans="2:29" ht="15.6" x14ac:dyDescent="0.3">
      <c r="B30" s="188" t="str">
        <f>Übersicht!B31</f>
        <v>Markus Unvericht</v>
      </c>
      <c r="C30" s="188" t="str">
        <f>VLOOKUP(ErgebnisPosition[[#This Row],[Name]],Teamzuordnung[[Name]:[Team]],2,FALSE)</f>
        <v>D</v>
      </c>
      <c r="D30" s="189" t="str">
        <f>IF(COUNTIFS(Eingabe[Name],ErgebnisPosition[[#This Row],[Name]],Eingabe[Position],ErgebnisPosition[[#Headers],[1]])=0,"",ROUND(AVERAGEIFS(Eingabe[GES],Eingabe[Name],ErgebnisPosition[[#This Row],[Name]],Eingabe[Position],ErgebnisPosition[[#Headers],[1]]),0))</f>
        <v/>
      </c>
      <c r="E30" s="189" t="str">
        <f>IF(COUNTIFS(Eingabe[Name],ErgebnisPosition[[#This Row],[Name]],Eingabe[Position],ErgebnisPosition[[#Headers],[2]])=0,"",ROUND(AVERAGEIFS(Eingabe[GES],Eingabe[Name],ErgebnisPosition[[#This Row],[Name]],Eingabe[Position],ErgebnisPosition[[#Headers],[2]]),0))</f>
        <v/>
      </c>
      <c r="F30" s="189" t="str">
        <f>IF(COUNTIFS(Eingabe[Name],ErgebnisPosition[[#This Row],[Name]],Eingabe[Position],ErgebnisPosition[[#Headers],[3]])=0,"",ROUND(AVERAGEIFS(Eingabe[GES],Eingabe[Name],ErgebnisPosition[[#This Row],[Name]],Eingabe[Position],ErgebnisPosition[[#Headers],[3]]),0))</f>
        <v/>
      </c>
      <c r="G30" s="189" t="str">
        <f>IF(COUNTIFS(Eingabe[Name],ErgebnisPosition[[#This Row],[Name]],Eingabe[Position],ErgebnisPosition[[#Headers],[4]])=0,"",ROUND(AVERAGEIFS(Eingabe[GES],Eingabe[Name],ErgebnisPosition[[#This Row],[Name]],Eingabe[Position],ErgebnisPosition[[#Headers],[4]]),0))</f>
        <v/>
      </c>
      <c r="H30" s="189" t="str">
        <f>IF(COUNTIFS(Eingabe[Name],ErgebnisPosition[[#This Row],[Name]],Eingabe[Position],ErgebnisPosition[[#Headers],[5]])=0,"",ROUND(AVERAGEIFS(Eingabe[GES],Eingabe[Name],ErgebnisPosition[[#This Row],[Name]],Eingabe[Position],ErgebnisPosition[[#Headers],[5]]),0))</f>
        <v/>
      </c>
      <c r="I30" s="189" t="str">
        <f>IF(COUNTIFS(Eingabe[Name],ErgebnisPosition[[#This Row],[Name]],Eingabe[Position],ErgebnisPosition[[#Headers],[6]])=0,"",ROUND(AVERAGEIFS(Eingabe[GES],Eingabe[Name],ErgebnisPosition[[#This Row],[Name]],Eingabe[Position],ErgebnisPosition[[#Headers],[6]]),0))</f>
        <v/>
      </c>
      <c r="L30" s="188" t="str">
        <f>ErgebnisPosition[[#This Row],[Name]]</f>
        <v>Markus Unvericht</v>
      </c>
      <c r="M30" s="188" t="str">
        <f>VLOOKUP(ErgebnisPositionH[[#This Row],[Name]],Teamzuordnung[[Name]:[Team]],2,FALSE)</f>
        <v>D</v>
      </c>
      <c r="N30" s="189" t="str">
        <f>IF(COUNTIFS(Eingabe[Name],ErgebnisPositionH[[#This Row],[Name]],Eingabe[Position],ErgebnisPositionH[[#Headers],[1]],Eingabe[Wo],"H")=0,"",ROUND(AVERAGEIFS(Eingabe[GES],Eingabe[Name],ErgebnisPositionH[[#This Row],[Name]],Eingabe[Position],ErgebnisPositionH[[#Headers],[1]],Eingabe[Wo],"H"),0))</f>
        <v/>
      </c>
      <c r="O30" s="189" t="str">
        <f>IF(COUNTIFS(Eingabe[Name],ErgebnisPositionH[[#This Row],[Name]],Eingabe[Position],ErgebnisPositionH[[#Headers],[2]],Eingabe[Wo],"H")=0,"",ROUND(AVERAGEIFS(Eingabe[GES],Eingabe[Name],ErgebnisPositionH[[#This Row],[Name]],Eingabe[Position],ErgebnisPositionH[[#Headers],[2]],Eingabe[Wo],"H"),0))</f>
        <v/>
      </c>
      <c r="P30" s="189" t="str">
        <f>IF(COUNTIFS(Eingabe[Name],ErgebnisPositionH[[#This Row],[Name]],Eingabe[Position],ErgebnisPositionH[[#Headers],[3]],Eingabe[Wo],"H")=0,"",ROUND(AVERAGEIFS(Eingabe[GES],Eingabe[Name],ErgebnisPositionH[[#This Row],[Name]],Eingabe[Position],ErgebnisPositionH[[#Headers],[3]],Eingabe[Wo],"H"),0))</f>
        <v/>
      </c>
      <c r="Q30" s="189" t="str">
        <f>IF(COUNTIFS(Eingabe[Name],ErgebnisPositionH[[#This Row],[Name]],Eingabe[Position],ErgebnisPositionH[[#Headers],[4]],Eingabe[Wo],"H")=0,"",ROUND(AVERAGEIFS(Eingabe[GES],Eingabe[Name],ErgebnisPositionH[[#This Row],[Name]],Eingabe[Position],ErgebnisPositionH[[#Headers],[4]],Eingabe[Wo],"H"),0))</f>
        <v/>
      </c>
      <c r="R30" s="189" t="str">
        <f>IF(COUNTIFS(Eingabe[Name],ErgebnisPositionH[[#This Row],[Name]],Eingabe[Position],ErgebnisPositionH[[#Headers],[5]],Eingabe[Wo],"H")=0,"",ROUND(AVERAGEIFS(Eingabe[GES],Eingabe[Name],ErgebnisPositionH[[#This Row],[Name]],Eingabe[Position],ErgebnisPositionH[[#Headers],[5]],Eingabe[Wo],"H"),0))</f>
        <v/>
      </c>
      <c r="S30" s="189" t="str">
        <f>IF(COUNTIFS(Eingabe[Name],ErgebnisPositionH[[#This Row],[Name]],Eingabe[Position],ErgebnisPositionH[[#Headers],[6]],Eingabe[Wo],"H")=0,"",ROUND(AVERAGEIFS(Eingabe[GES],Eingabe[Name],ErgebnisPositionH[[#This Row],[Name]],Eingabe[Position],ErgebnisPositionH[[#Headers],[6]],Eingabe[Wo],"H"),0))</f>
        <v/>
      </c>
      <c r="V30" s="188" t="str">
        <f>ErgebnisPosition[[#This Row],[Name]]</f>
        <v>Markus Unvericht</v>
      </c>
      <c r="W30" s="188" t="str">
        <f>VLOOKUP(ErgebnisPositionA[[#This Row],[Name]],Teamzuordnung[[Name]:[Team]],2,FALSE)</f>
        <v>D</v>
      </c>
      <c r="X30" s="189" t="str">
        <f>IF(COUNTIFS(Eingabe[Name],ErgebnisPositionA[[#This Row],[Name]],Eingabe[Position],ErgebnisPositionA[[#Headers],[1]],Eingabe[Wo],"A")=0,"",ROUND(AVERAGEIFS(Eingabe[GES],Eingabe[Name],ErgebnisPositionA[[#This Row],[Name]],Eingabe[Position],ErgebnisPositionA[[#Headers],[1]],Eingabe[Wo],"A"),0))</f>
        <v/>
      </c>
      <c r="Y30" s="189" t="str">
        <f>IF(COUNTIFS(Eingabe[Name],ErgebnisPositionA[[#This Row],[Name]],Eingabe[Position],ErgebnisPositionA[[#Headers],[2]],Eingabe[Wo],"A")=0,"",ROUND(AVERAGEIFS(Eingabe[GES],Eingabe[Name],ErgebnisPositionA[[#This Row],[Name]],Eingabe[Position],ErgebnisPositionA[[#Headers],[2]],Eingabe[Wo],"A"),0))</f>
        <v/>
      </c>
      <c r="Z30" s="189" t="str">
        <f>IF(COUNTIFS(Eingabe[Name],ErgebnisPositionA[[#This Row],[Name]],Eingabe[Position],ErgebnisPositionA[[#Headers],[3]],Eingabe[Wo],"A")=0,"",ROUND(AVERAGEIFS(Eingabe[GES],Eingabe[Name],ErgebnisPositionA[[#This Row],[Name]],Eingabe[Position],ErgebnisPositionA[[#Headers],[3]],Eingabe[Wo],"A"),0))</f>
        <v/>
      </c>
      <c r="AA30" s="189" t="str">
        <f>IF(COUNTIFS(Eingabe[Name],ErgebnisPositionA[[#This Row],[Name]],Eingabe[Position],ErgebnisPositionA[[#Headers],[4]],Eingabe[Wo],"A")=0,"",ROUND(AVERAGEIFS(Eingabe[GES],Eingabe[Name],ErgebnisPositionA[[#This Row],[Name]],Eingabe[Position],ErgebnisPositionA[[#Headers],[4]],Eingabe[Wo],"A"),0))</f>
        <v/>
      </c>
      <c r="AB30" s="189" t="str">
        <f>IF(COUNTIFS(Eingabe[Name],ErgebnisPositionA[[#This Row],[Name]],Eingabe[Position],ErgebnisPositionA[[#Headers],[5]],Eingabe[Wo],"A")=0,"",ROUND(AVERAGEIFS(Eingabe[GES],Eingabe[Name],ErgebnisPositionA[[#This Row],[Name]],Eingabe[Position],ErgebnisPositionA[[#Headers],[5]],Eingabe[Wo],"A"),0))</f>
        <v/>
      </c>
      <c r="AC30" s="189" t="str">
        <f>IF(COUNTIFS(Eingabe[Name],ErgebnisPositionA[[#This Row],[Name]],Eingabe[Position],ErgebnisPositionA[[#Headers],[6]],Eingabe[Wo],"A")=0,"",ROUND(AVERAGEIFS(Eingabe[GES],Eingabe[Name],ErgebnisPositionA[[#This Row],[Name]],Eingabe[Position],ErgebnisPositionA[[#Headers],[6]],Eingabe[Wo],"A"),0))</f>
        <v/>
      </c>
    </row>
    <row r="31" spans="2:29" ht="15.6" x14ac:dyDescent="0.3">
      <c r="B31" s="188" t="str">
        <f>Übersicht!B32</f>
        <v>Martin Börner</v>
      </c>
      <c r="C31" s="188" t="str">
        <f>VLOOKUP(ErgebnisPosition[[#This Row],[Name]],Teamzuordnung[[Name]:[Team]],2,FALSE)</f>
        <v>Z</v>
      </c>
      <c r="D31" s="189" t="str">
        <f>IF(COUNTIFS(Eingabe[Name],ErgebnisPosition[[#This Row],[Name]],Eingabe[Position],ErgebnisPosition[[#Headers],[1]])=0,"",ROUND(AVERAGEIFS(Eingabe[GES],Eingabe[Name],ErgebnisPosition[[#This Row],[Name]],Eingabe[Position],ErgebnisPosition[[#Headers],[1]]),0))</f>
        <v/>
      </c>
      <c r="E31" s="189" t="str">
        <f>IF(COUNTIFS(Eingabe[Name],ErgebnisPosition[[#This Row],[Name]],Eingabe[Position],ErgebnisPosition[[#Headers],[2]])=0,"",ROUND(AVERAGEIFS(Eingabe[GES],Eingabe[Name],ErgebnisPosition[[#This Row],[Name]],Eingabe[Position],ErgebnisPosition[[#Headers],[2]]),0))</f>
        <v/>
      </c>
      <c r="F31" s="189" t="str">
        <f>IF(COUNTIFS(Eingabe[Name],ErgebnisPosition[[#This Row],[Name]],Eingabe[Position],ErgebnisPosition[[#Headers],[3]])=0,"",ROUND(AVERAGEIFS(Eingabe[GES],Eingabe[Name],ErgebnisPosition[[#This Row],[Name]],Eingabe[Position],ErgebnisPosition[[#Headers],[3]]),0))</f>
        <v/>
      </c>
      <c r="G31" s="189" t="str">
        <f>IF(COUNTIFS(Eingabe[Name],ErgebnisPosition[[#This Row],[Name]],Eingabe[Position],ErgebnisPosition[[#Headers],[4]])=0,"",ROUND(AVERAGEIFS(Eingabe[GES],Eingabe[Name],ErgebnisPosition[[#This Row],[Name]],Eingabe[Position],ErgebnisPosition[[#Headers],[4]]),0))</f>
        <v/>
      </c>
      <c r="H31" s="189" t="str">
        <f>IF(COUNTIFS(Eingabe[Name],ErgebnisPosition[[#This Row],[Name]],Eingabe[Position],ErgebnisPosition[[#Headers],[5]])=0,"",ROUND(AVERAGEIFS(Eingabe[GES],Eingabe[Name],ErgebnisPosition[[#This Row],[Name]],Eingabe[Position],ErgebnisPosition[[#Headers],[5]]),0))</f>
        <v/>
      </c>
      <c r="I31" s="189" t="str">
        <f>IF(COUNTIFS(Eingabe[Name],ErgebnisPosition[[#This Row],[Name]],Eingabe[Position],ErgebnisPosition[[#Headers],[6]])=0,"",ROUND(AVERAGEIFS(Eingabe[GES],Eingabe[Name],ErgebnisPosition[[#This Row],[Name]],Eingabe[Position],ErgebnisPosition[[#Headers],[6]]),0))</f>
        <v/>
      </c>
      <c r="L31" s="188" t="str">
        <f>ErgebnisPosition[[#This Row],[Name]]</f>
        <v>Martin Börner</v>
      </c>
      <c r="M31" s="188" t="str">
        <f>VLOOKUP(ErgebnisPositionH[[#This Row],[Name]],Teamzuordnung[[Name]:[Team]],2,FALSE)</f>
        <v>Z</v>
      </c>
      <c r="N31" s="189" t="str">
        <f>IF(COUNTIFS(Eingabe[Name],ErgebnisPositionH[[#This Row],[Name]],Eingabe[Position],ErgebnisPositionH[[#Headers],[1]],Eingabe[Wo],"H")=0,"",ROUND(AVERAGEIFS(Eingabe[GES],Eingabe[Name],ErgebnisPositionH[[#This Row],[Name]],Eingabe[Position],ErgebnisPositionH[[#Headers],[1]],Eingabe[Wo],"H"),0))</f>
        <v/>
      </c>
      <c r="O31" s="189" t="str">
        <f>IF(COUNTIFS(Eingabe[Name],ErgebnisPositionH[[#This Row],[Name]],Eingabe[Position],ErgebnisPositionH[[#Headers],[2]],Eingabe[Wo],"H")=0,"",ROUND(AVERAGEIFS(Eingabe[GES],Eingabe[Name],ErgebnisPositionH[[#This Row],[Name]],Eingabe[Position],ErgebnisPositionH[[#Headers],[2]],Eingabe[Wo],"H"),0))</f>
        <v/>
      </c>
      <c r="P31" s="189" t="str">
        <f>IF(COUNTIFS(Eingabe[Name],ErgebnisPositionH[[#This Row],[Name]],Eingabe[Position],ErgebnisPositionH[[#Headers],[3]],Eingabe[Wo],"H")=0,"",ROUND(AVERAGEIFS(Eingabe[GES],Eingabe[Name],ErgebnisPositionH[[#This Row],[Name]],Eingabe[Position],ErgebnisPositionH[[#Headers],[3]],Eingabe[Wo],"H"),0))</f>
        <v/>
      </c>
      <c r="Q31" s="189" t="str">
        <f>IF(COUNTIFS(Eingabe[Name],ErgebnisPositionH[[#This Row],[Name]],Eingabe[Position],ErgebnisPositionH[[#Headers],[4]],Eingabe[Wo],"H")=0,"",ROUND(AVERAGEIFS(Eingabe[GES],Eingabe[Name],ErgebnisPositionH[[#This Row],[Name]],Eingabe[Position],ErgebnisPositionH[[#Headers],[4]],Eingabe[Wo],"H"),0))</f>
        <v/>
      </c>
      <c r="R31" s="189" t="str">
        <f>IF(COUNTIFS(Eingabe[Name],ErgebnisPositionH[[#This Row],[Name]],Eingabe[Position],ErgebnisPositionH[[#Headers],[5]],Eingabe[Wo],"H")=0,"",ROUND(AVERAGEIFS(Eingabe[GES],Eingabe[Name],ErgebnisPositionH[[#This Row],[Name]],Eingabe[Position],ErgebnisPositionH[[#Headers],[5]],Eingabe[Wo],"H"),0))</f>
        <v/>
      </c>
      <c r="S31" s="189" t="str">
        <f>IF(COUNTIFS(Eingabe[Name],ErgebnisPositionH[[#This Row],[Name]],Eingabe[Position],ErgebnisPositionH[[#Headers],[6]],Eingabe[Wo],"H")=0,"",ROUND(AVERAGEIFS(Eingabe[GES],Eingabe[Name],ErgebnisPositionH[[#This Row],[Name]],Eingabe[Position],ErgebnisPositionH[[#Headers],[6]],Eingabe[Wo],"H"),0))</f>
        <v/>
      </c>
      <c r="V31" s="188" t="str">
        <f>ErgebnisPosition[[#This Row],[Name]]</f>
        <v>Martin Börner</v>
      </c>
      <c r="W31" s="188" t="str">
        <f>VLOOKUP(ErgebnisPositionA[[#This Row],[Name]],Teamzuordnung[[Name]:[Team]],2,FALSE)</f>
        <v>Z</v>
      </c>
      <c r="X31" s="189" t="str">
        <f>IF(COUNTIFS(Eingabe[Name],ErgebnisPositionA[[#This Row],[Name]],Eingabe[Position],ErgebnisPositionA[[#Headers],[1]],Eingabe[Wo],"A")=0,"",ROUND(AVERAGEIFS(Eingabe[GES],Eingabe[Name],ErgebnisPositionA[[#This Row],[Name]],Eingabe[Position],ErgebnisPositionA[[#Headers],[1]],Eingabe[Wo],"A"),0))</f>
        <v/>
      </c>
      <c r="Y31" s="189" t="str">
        <f>IF(COUNTIFS(Eingabe[Name],ErgebnisPositionA[[#This Row],[Name]],Eingabe[Position],ErgebnisPositionA[[#Headers],[2]],Eingabe[Wo],"A")=0,"",ROUND(AVERAGEIFS(Eingabe[GES],Eingabe[Name],ErgebnisPositionA[[#This Row],[Name]],Eingabe[Position],ErgebnisPositionA[[#Headers],[2]],Eingabe[Wo],"A"),0))</f>
        <v/>
      </c>
      <c r="Z31" s="189" t="str">
        <f>IF(COUNTIFS(Eingabe[Name],ErgebnisPositionA[[#This Row],[Name]],Eingabe[Position],ErgebnisPositionA[[#Headers],[3]],Eingabe[Wo],"A")=0,"",ROUND(AVERAGEIFS(Eingabe[GES],Eingabe[Name],ErgebnisPositionA[[#This Row],[Name]],Eingabe[Position],ErgebnisPositionA[[#Headers],[3]],Eingabe[Wo],"A"),0))</f>
        <v/>
      </c>
      <c r="AA31" s="189" t="str">
        <f>IF(COUNTIFS(Eingabe[Name],ErgebnisPositionA[[#This Row],[Name]],Eingabe[Position],ErgebnisPositionA[[#Headers],[4]],Eingabe[Wo],"A")=0,"",ROUND(AVERAGEIFS(Eingabe[GES],Eingabe[Name],ErgebnisPositionA[[#This Row],[Name]],Eingabe[Position],ErgebnisPositionA[[#Headers],[4]],Eingabe[Wo],"A"),0))</f>
        <v/>
      </c>
      <c r="AB31" s="189" t="str">
        <f>IF(COUNTIFS(Eingabe[Name],ErgebnisPositionA[[#This Row],[Name]],Eingabe[Position],ErgebnisPositionA[[#Headers],[5]],Eingabe[Wo],"A")=0,"",ROUND(AVERAGEIFS(Eingabe[GES],Eingabe[Name],ErgebnisPositionA[[#This Row],[Name]],Eingabe[Position],ErgebnisPositionA[[#Headers],[5]],Eingabe[Wo],"A"),0))</f>
        <v/>
      </c>
      <c r="AC31" s="189" t="str">
        <f>IF(COUNTIFS(Eingabe[Name],ErgebnisPositionA[[#This Row],[Name]],Eingabe[Position],ErgebnisPositionA[[#Headers],[6]],Eingabe[Wo],"A")=0,"",ROUND(AVERAGEIFS(Eingabe[GES],Eingabe[Name],ErgebnisPositionA[[#This Row],[Name]],Eingabe[Position],ErgebnisPositionA[[#Headers],[6]],Eingabe[Wo],"A"),0))</f>
        <v/>
      </c>
    </row>
    <row r="32" spans="2:29" ht="15.6" x14ac:dyDescent="0.3">
      <c r="B32" s="188" t="str">
        <f>Übersicht!B33</f>
        <v>Max Dost</v>
      </c>
      <c r="C32" s="188" t="str">
        <f>VLOOKUP(ErgebnisPosition[[#This Row],[Name]],Teamzuordnung[[Name]:[Team]],2,FALSE)</f>
        <v>D</v>
      </c>
      <c r="D32" s="189" t="str">
        <f>IF(COUNTIFS(Eingabe[Name],ErgebnisPosition[[#This Row],[Name]],Eingabe[Position],ErgebnisPosition[[#Headers],[1]])=0,"",ROUND(AVERAGEIFS(Eingabe[GES],Eingabe[Name],ErgebnisPosition[[#This Row],[Name]],Eingabe[Position],ErgebnisPosition[[#Headers],[1]]),0))</f>
        <v/>
      </c>
      <c r="E32" s="189" t="str">
        <f>IF(COUNTIFS(Eingabe[Name],ErgebnisPosition[[#This Row],[Name]],Eingabe[Position],ErgebnisPosition[[#Headers],[2]])=0,"",ROUND(AVERAGEIFS(Eingabe[GES],Eingabe[Name],ErgebnisPosition[[#This Row],[Name]],Eingabe[Position],ErgebnisPosition[[#Headers],[2]]),0))</f>
        <v/>
      </c>
      <c r="F32" s="189" t="str">
        <f>IF(COUNTIFS(Eingabe[Name],ErgebnisPosition[[#This Row],[Name]],Eingabe[Position],ErgebnisPosition[[#Headers],[3]])=0,"",ROUND(AVERAGEIFS(Eingabe[GES],Eingabe[Name],ErgebnisPosition[[#This Row],[Name]],Eingabe[Position],ErgebnisPosition[[#Headers],[3]]),0))</f>
        <v/>
      </c>
      <c r="G32" s="189" t="str">
        <f>IF(COUNTIFS(Eingabe[Name],ErgebnisPosition[[#This Row],[Name]],Eingabe[Position],ErgebnisPosition[[#Headers],[4]])=0,"",ROUND(AVERAGEIFS(Eingabe[GES],Eingabe[Name],ErgebnisPosition[[#This Row],[Name]],Eingabe[Position],ErgebnisPosition[[#Headers],[4]]),0))</f>
        <v/>
      </c>
      <c r="H32" s="189" t="str">
        <f>IF(COUNTIFS(Eingabe[Name],ErgebnisPosition[[#This Row],[Name]],Eingabe[Position],ErgebnisPosition[[#Headers],[5]])=0,"",ROUND(AVERAGEIFS(Eingabe[GES],Eingabe[Name],ErgebnisPosition[[#This Row],[Name]],Eingabe[Position],ErgebnisPosition[[#Headers],[5]]),0))</f>
        <v/>
      </c>
      <c r="I32" s="189" t="str">
        <f>IF(COUNTIFS(Eingabe[Name],ErgebnisPosition[[#This Row],[Name]],Eingabe[Position],ErgebnisPosition[[#Headers],[6]])=0,"",ROUND(AVERAGEIFS(Eingabe[GES],Eingabe[Name],ErgebnisPosition[[#This Row],[Name]],Eingabe[Position],ErgebnisPosition[[#Headers],[6]]),0))</f>
        <v/>
      </c>
      <c r="L32" s="188" t="str">
        <f>ErgebnisPosition[[#This Row],[Name]]</f>
        <v>Max Dost</v>
      </c>
      <c r="M32" s="188" t="str">
        <f>VLOOKUP(ErgebnisPositionH[[#This Row],[Name]],Teamzuordnung[[Name]:[Team]],2,FALSE)</f>
        <v>D</v>
      </c>
      <c r="N32" s="189" t="str">
        <f>IF(COUNTIFS(Eingabe[Name],ErgebnisPositionH[[#This Row],[Name]],Eingabe[Position],ErgebnisPositionH[[#Headers],[1]],Eingabe[Wo],"H")=0,"",ROUND(AVERAGEIFS(Eingabe[GES],Eingabe[Name],ErgebnisPositionH[[#This Row],[Name]],Eingabe[Position],ErgebnisPositionH[[#Headers],[1]],Eingabe[Wo],"H"),0))</f>
        <v/>
      </c>
      <c r="O32" s="189" t="str">
        <f>IF(COUNTIFS(Eingabe[Name],ErgebnisPositionH[[#This Row],[Name]],Eingabe[Position],ErgebnisPositionH[[#Headers],[2]],Eingabe[Wo],"H")=0,"",ROUND(AVERAGEIFS(Eingabe[GES],Eingabe[Name],ErgebnisPositionH[[#This Row],[Name]],Eingabe[Position],ErgebnisPositionH[[#Headers],[2]],Eingabe[Wo],"H"),0))</f>
        <v/>
      </c>
      <c r="P32" s="189" t="str">
        <f>IF(COUNTIFS(Eingabe[Name],ErgebnisPositionH[[#This Row],[Name]],Eingabe[Position],ErgebnisPositionH[[#Headers],[3]],Eingabe[Wo],"H")=0,"",ROUND(AVERAGEIFS(Eingabe[GES],Eingabe[Name],ErgebnisPositionH[[#This Row],[Name]],Eingabe[Position],ErgebnisPositionH[[#Headers],[3]],Eingabe[Wo],"H"),0))</f>
        <v/>
      </c>
      <c r="Q32" s="189" t="str">
        <f>IF(COUNTIFS(Eingabe[Name],ErgebnisPositionH[[#This Row],[Name]],Eingabe[Position],ErgebnisPositionH[[#Headers],[4]],Eingabe[Wo],"H")=0,"",ROUND(AVERAGEIFS(Eingabe[GES],Eingabe[Name],ErgebnisPositionH[[#This Row],[Name]],Eingabe[Position],ErgebnisPositionH[[#Headers],[4]],Eingabe[Wo],"H"),0))</f>
        <v/>
      </c>
      <c r="R32" s="189" t="str">
        <f>IF(COUNTIFS(Eingabe[Name],ErgebnisPositionH[[#This Row],[Name]],Eingabe[Position],ErgebnisPositionH[[#Headers],[5]],Eingabe[Wo],"H")=0,"",ROUND(AVERAGEIFS(Eingabe[GES],Eingabe[Name],ErgebnisPositionH[[#This Row],[Name]],Eingabe[Position],ErgebnisPositionH[[#Headers],[5]],Eingabe[Wo],"H"),0))</f>
        <v/>
      </c>
      <c r="S32" s="189" t="str">
        <f>IF(COUNTIFS(Eingabe[Name],ErgebnisPositionH[[#This Row],[Name]],Eingabe[Position],ErgebnisPositionH[[#Headers],[6]],Eingabe[Wo],"H")=0,"",ROUND(AVERAGEIFS(Eingabe[GES],Eingabe[Name],ErgebnisPositionH[[#This Row],[Name]],Eingabe[Position],ErgebnisPositionH[[#Headers],[6]],Eingabe[Wo],"H"),0))</f>
        <v/>
      </c>
      <c r="V32" s="188" t="str">
        <f>ErgebnisPosition[[#This Row],[Name]]</f>
        <v>Max Dost</v>
      </c>
      <c r="W32" s="188" t="str">
        <f>VLOOKUP(ErgebnisPositionA[[#This Row],[Name]],Teamzuordnung[[Name]:[Team]],2,FALSE)</f>
        <v>D</v>
      </c>
      <c r="X32" s="189" t="str">
        <f>IF(COUNTIFS(Eingabe[Name],ErgebnisPositionA[[#This Row],[Name]],Eingabe[Position],ErgebnisPositionA[[#Headers],[1]],Eingabe[Wo],"A")=0,"",ROUND(AVERAGEIFS(Eingabe[GES],Eingabe[Name],ErgebnisPositionA[[#This Row],[Name]],Eingabe[Position],ErgebnisPositionA[[#Headers],[1]],Eingabe[Wo],"A"),0))</f>
        <v/>
      </c>
      <c r="Y32" s="189" t="str">
        <f>IF(COUNTIFS(Eingabe[Name],ErgebnisPositionA[[#This Row],[Name]],Eingabe[Position],ErgebnisPositionA[[#Headers],[2]],Eingabe[Wo],"A")=0,"",ROUND(AVERAGEIFS(Eingabe[GES],Eingabe[Name],ErgebnisPositionA[[#This Row],[Name]],Eingabe[Position],ErgebnisPositionA[[#Headers],[2]],Eingabe[Wo],"A"),0))</f>
        <v/>
      </c>
      <c r="Z32" s="189" t="str">
        <f>IF(COUNTIFS(Eingabe[Name],ErgebnisPositionA[[#This Row],[Name]],Eingabe[Position],ErgebnisPositionA[[#Headers],[3]],Eingabe[Wo],"A")=0,"",ROUND(AVERAGEIFS(Eingabe[GES],Eingabe[Name],ErgebnisPositionA[[#This Row],[Name]],Eingabe[Position],ErgebnisPositionA[[#Headers],[3]],Eingabe[Wo],"A"),0))</f>
        <v/>
      </c>
      <c r="AA32" s="189" t="str">
        <f>IF(COUNTIFS(Eingabe[Name],ErgebnisPositionA[[#This Row],[Name]],Eingabe[Position],ErgebnisPositionA[[#Headers],[4]],Eingabe[Wo],"A")=0,"",ROUND(AVERAGEIFS(Eingabe[GES],Eingabe[Name],ErgebnisPositionA[[#This Row],[Name]],Eingabe[Position],ErgebnisPositionA[[#Headers],[4]],Eingabe[Wo],"A"),0))</f>
        <v/>
      </c>
      <c r="AB32" s="189" t="str">
        <f>IF(COUNTIFS(Eingabe[Name],ErgebnisPositionA[[#This Row],[Name]],Eingabe[Position],ErgebnisPositionA[[#Headers],[5]],Eingabe[Wo],"A")=0,"",ROUND(AVERAGEIFS(Eingabe[GES],Eingabe[Name],ErgebnisPositionA[[#This Row],[Name]],Eingabe[Position],ErgebnisPositionA[[#Headers],[5]],Eingabe[Wo],"A"),0))</f>
        <v/>
      </c>
      <c r="AC32" s="189" t="str">
        <f>IF(COUNTIFS(Eingabe[Name],ErgebnisPositionA[[#This Row],[Name]],Eingabe[Position],ErgebnisPositionA[[#Headers],[6]],Eingabe[Wo],"A")=0,"",ROUND(AVERAGEIFS(Eingabe[GES],Eingabe[Name],ErgebnisPositionA[[#This Row],[Name]],Eingabe[Position],ErgebnisPositionA[[#Headers],[6]],Eingabe[Wo],"A"),0))</f>
        <v/>
      </c>
    </row>
    <row r="33" spans="2:29" ht="15.6" x14ac:dyDescent="0.3">
      <c r="B33" s="188" t="str">
        <f>Übersicht!B34</f>
        <v>Michael Becker</v>
      </c>
      <c r="C33" s="188" t="str">
        <f>VLOOKUP(ErgebnisPosition[[#This Row],[Name]],Teamzuordnung[[Name]:[Team]],2,FALSE)</f>
        <v>D</v>
      </c>
      <c r="D33" s="189" t="str">
        <f>IF(COUNTIFS(Eingabe[Name],ErgebnisPosition[[#This Row],[Name]],Eingabe[Position],ErgebnisPosition[[#Headers],[1]])=0,"",ROUND(AVERAGEIFS(Eingabe[GES],Eingabe[Name],ErgebnisPosition[[#This Row],[Name]],Eingabe[Position],ErgebnisPosition[[#Headers],[1]]),0))</f>
        <v/>
      </c>
      <c r="E33" s="189" t="str">
        <f>IF(COUNTIFS(Eingabe[Name],ErgebnisPosition[[#This Row],[Name]],Eingabe[Position],ErgebnisPosition[[#Headers],[2]])=0,"",ROUND(AVERAGEIFS(Eingabe[GES],Eingabe[Name],ErgebnisPosition[[#This Row],[Name]],Eingabe[Position],ErgebnisPosition[[#Headers],[2]]),0))</f>
        <v/>
      </c>
      <c r="F33" s="189" t="str">
        <f>IF(COUNTIFS(Eingabe[Name],ErgebnisPosition[[#This Row],[Name]],Eingabe[Position],ErgebnisPosition[[#Headers],[3]])=0,"",ROUND(AVERAGEIFS(Eingabe[GES],Eingabe[Name],ErgebnisPosition[[#This Row],[Name]],Eingabe[Position],ErgebnisPosition[[#Headers],[3]]),0))</f>
        <v/>
      </c>
      <c r="G33" s="189" t="str">
        <f>IF(COUNTIFS(Eingabe[Name],ErgebnisPosition[[#This Row],[Name]],Eingabe[Position],ErgebnisPosition[[#Headers],[4]])=0,"",ROUND(AVERAGEIFS(Eingabe[GES],Eingabe[Name],ErgebnisPosition[[#This Row],[Name]],Eingabe[Position],ErgebnisPosition[[#Headers],[4]]),0))</f>
        <v/>
      </c>
      <c r="H33" s="189">
        <f>IF(COUNTIFS(Eingabe[Name],ErgebnisPosition[[#This Row],[Name]],Eingabe[Position],ErgebnisPosition[[#Headers],[5]])=0,"",ROUND(AVERAGEIFS(Eingabe[GES],Eingabe[Name],ErgebnisPosition[[#This Row],[Name]],Eingabe[Position],ErgebnisPosition[[#Headers],[5]]),0))</f>
        <v>494</v>
      </c>
      <c r="I33" s="189" t="str">
        <f>IF(COUNTIFS(Eingabe[Name],ErgebnisPosition[[#This Row],[Name]],Eingabe[Position],ErgebnisPosition[[#Headers],[6]])=0,"",ROUND(AVERAGEIFS(Eingabe[GES],Eingabe[Name],ErgebnisPosition[[#This Row],[Name]],Eingabe[Position],ErgebnisPosition[[#Headers],[6]]),0))</f>
        <v/>
      </c>
      <c r="L33" s="188" t="str">
        <f>ErgebnisPosition[[#This Row],[Name]]</f>
        <v>Michael Becker</v>
      </c>
      <c r="M33" s="188" t="str">
        <f>VLOOKUP(ErgebnisPositionH[[#This Row],[Name]],Teamzuordnung[[Name]:[Team]],2,FALSE)</f>
        <v>D</v>
      </c>
      <c r="N33" s="189" t="str">
        <f>IF(COUNTIFS(Eingabe[Name],ErgebnisPositionH[[#This Row],[Name]],Eingabe[Position],ErgebnisPositionH[[#Headers],[1]],Eingabe[Wo],"H")=0,"",ROUND(AVERAGEIFS(Eingabe[GES],Eingabe[Name],ErgebnisPositionH[[#This Row],[Name]],Eingabe[Position],ErgebnisPositionH[[#Headers],[1]],Eingabe[Wo],"H"),0))</f>
        <v/>
      </c>
      <c r="O33" s="189" t="str">
        <f>IF(COUNTIFS(Eingabe[Name],ErgebnisPositionH[[#This Row],[Name]],Eingabe[Position],ErgebnisPositionH[[#Headers],[2]],Eingabe[Wo],"H")=0,"",ROUND(AVERAGEIFS(Eingabe[GES],Eingabe[Name],ErgebnisPositionH[[#This Row],[Name]],Eingabe[Position],ErgebnisPositionH[[#Headers],[2]],Eingabe[Wo],"H"),0))</f>
        <v/>
      </c>
      <c r="P33" s="189" t="str">
        <f>IF(COUNTIFS(Eingabe[Name],ErgebnisPositionH[[#This Row],[Name]],Eingabe[Position],ErgebnisPositionH[[#Headers],[3]],Eingabe[Wo],"H")=0,"",ROUND(AVERAGEIFS(Eingabe[GES],Eingabe[Name],ErgebnisPositionH[[#This Row],[Name]],Eingabe[Position],ErgebnisPositionH[[#Headers],[3]],Eingabe[Wo],"H"),0))</f>
        <v/>
      </c>
      <c r="Q33" s="189" t="str">
        <f>IF(COUNTIFS(Eingabe[Name],ErgebnisPositionH[[#This Row],[Name]],Eingabe[Position],ErgebnisPositionH[[#Headers],[4]],Eingabe[Wo],"H")=0,"",ROUND(AVERAGEIFS(Eingabe[GES],Eingabe[Name],ErgebnisPositionH[[#This Row],[Name]],Eingabe[Position],ErgebnisPositionH[[#Headers],[4]],Eingabe[Wo],"H"),0))</f>
        <v/>
      </c>
      <c r="R33" s="189">
        <f>IF(COUNTIFS(Eingabe[Name],ErgebnisPositionH[[#This Row],[Name]],Eingabe[Position],ErgebnisPositionH[[#Headers],[5]],Eingabe[Wo],"H")=0,"",ROUND(AVERAGEIFS(Eingabe[GES],Eingabe[Name],ErgebnisPositionH[[#This Row],[Name]],Eingabe[Position],ErgebnisPositionH[[#Headers],[5]],Eingabe[Wo],"H"),0))</f>
        <v>494</v>
      </c>
      <c r="S33" s="189" t="str">
        <f>IF(COUNTIFS(Eingabe[Name],ErgebnisPositionH[[#This Row],[Name]],Eingabe[Position],ErgebnisPositionH[[#Headers],[6]],Eingabe[Wo],"H")=0,"",ROUND(AVERAGEIFS(Eingabe[GES],Eingabe[Name],ErgebnisPositionH[[#This Row],[Name]],Eingabe[Position],ErgebnisPositionH[[#Headers],[6]],Eingabe[Wo],"H"),0))</f>
        <v/>
      </c>
      <c r="V33" s="188" t="str">
        <f>ErgebnisPosition[[#This Row],[Name]]</f>
        <v>Michael Becker</v>
      </c>
      <c r="W33" s="188" t="str">
        <f>VLOOKUP(ErgebnisPositionA[[#This Row],[Name]],Teamzuordnung[[Name]:[Team]],2,FALSE)</f>
        <v>D</v>
      </c>
      <c r="X33" s="189" t="str">
        <f>IF(COUNTIFS(Eingabe[Name],ErgebnisPositionA[[#This Row],[Name]],Eingabe[Position],ErgebnisPositionA[[#Headers],[1]],Eingabe[Wo],"A")=0,"",ROUND(AVERAGEIFS(Eingabe[GES],Eingabe[Name],ErgebnisPositionA[[#This Row],[Name]],Eingabe[Position],ErgebnisPositionA[[#Headers],[1]],Eingabe[Wo],"A"),0))</f>
        <v/>
      </c>
      <c r="Y33" s="189" t="str">
        <f>IF(COUNTIFS(Eingabe[Name],ErgebnisPositionA[[#This Row],[Name]],Eingabe[Position],ErgebnisPositionA[[#Headers],[2]],Eingabe[Wo],"A")=0,"",ROUND(AVERAGEIFS(Eingabe[GES],Eingabe[Name],ErgebnisPositionA[[#This Row],[Name]],Eingabe[Position],ErgebnisPositionA[[#Headers],[2]],Eingabe[Wo],"A"),0))</f>
        <v/>
      </c>
      <c r="Z33" s="189" t="str">
        <f>IF(COUNTIFS(Eingabe[Name],ErgebnisPositionA[[#This Row],[Name]],Eingabe[Position],ErgebnisPositionA[[#Headers],[3]],Eingabe[Wo],"A")=0,"",ROUND(AVERAGEIFS(Eingabe[GES],Eingabe[Name],ErgebnisPositionA[[#This Row],[Name]],Eingabe[Position],ErgebnisPositionA[[#Headers],[3]],Eingabe[Wo],"A"),0))</f>
        <v/>
      </c>
      <c r="AA33" s="189" t="str">
        <f>IF(COUNTIFS(Eingabe[Name],ErgebnisPositionA[[#This Row],[Name]],Eingabe[Position],ErgebnisPositionA[[#Headers],[4]],Eingabe[Wo],"A")=0,"",ROUND(AVERAGEIFS(Eingabe[GES],Eingabe[Name],ErgebnisPositionA[[#This Row],[Name]],Eingabe[Position],ErgebnisPositionA[[#Headers],[4]],Eingabe[Wo],"A"),0))</f>
        <v/>
      </c>
      <c r="AB33" s="189" t="str">
        <f>IF(COUNTIFS(Eingabe[Name],ErgebnisPositionA[[#This Row],[Name]],Eingabe[Position],ErgebnisPositionA[[#Headers],[5]],Eingabe[Wo],"A")=0,"",ROUND(AVERAGEIFS(Eingabe[GES],Eingabe[Name],ErgebnisPositionA[[#This Row],[Name]],Eingabe[Position],ErgebnisPositionA[[#Headers],[5]],Eingabe[Wo],"A"),0))</f>
        <v/>
      </c>
      <c r="AC33" s="189" t="str">
        <f>IF(COUNTIFS(Eingabe[Name],ErgebnisPositionA[[#This Row],[Name]],Eingabe[Position],ErgebnisPositionA[[#Headers],[6]],Eingabe[Wo],"A")=0,"",ROUND(AVERAGEIFS(Eingabe[GES],Eingabe[Name],ErgebnisPositionA[[#This Row],[Name]],Eingabe[Position],ErgebnisPositionA[[#Headers],[6]],Eingabe[Wo],"A"),0))</f>
        <v/>
      </c>
    </row>
    <row r="34" spans="2:29" ht="15.6" x14ac:dyDescent="0.3">
      <c r="B34" s="188" t="str">
        <f>Übersicht!B35</f>
        <v>Michael Klose</v>
      </c>
      <c r="C34" s="188" t="str">
        <f>VLOOKUP(ErgebnisPosition[[#This Row],[Name]],Teamzuordnung[[Name]:[Team]],2,FALSE)</f>
        <v>D</v>
      </c>
      <c r="D34" s="189" t="str">
        <f>IF(COUNTIFS(Eingabe[Name],ErgebnisPosition[[#This Row],[Name]],Eingabe[Position],ErgebnisPosition[[#Headers],[1]])=0,"",ROUND(AVERAGEIFS(Eingabe[GES],Eingabe[Name],ErgebnisPosition[[#This Row],[Name]],Eingabe[Position],ErgebnisPosition[[#Headers],[1]]),0))</f>
        <v/>
      </c>
      <c r="E34" s="189" t="str">
        <f>IF(COUNTIFS(Eingabe[Name],ErgebnisPosition[[#This Row],[Name]],Eingabe[Position],ErgebnisPosition[[#Headers],[2]])=0,"",ROUND(AVERAGEIFS(Eingabe[GES],Eingabe[Name],ErgebnisPosition[[#This Row],[Name]],Eingabe[Position],ErgebnisPosition[[#Headers],[2]]),0))</f>
        <v/>
      </c>
      <c r="F34" s="189" t="str">
        <f>IF(COUNTIFS(Eingabe[Name],ErgebnisPosition[[#This Row],[Name]],Eingabe[Position],ErgebnisPosition[[#Headers],[3]])=0,"",ROUND(AVERAGEIFS(Eingabe[GES],Eingabe[Name],ErgebnisPosition[[#This Row],[Name]],Eingabe[Position],ErgebnisPosition[[#Headers],[3]]),0))</f>
        <v/>
      </c>
      <c r="G34" s="189" t="str">
        <f>IF(COUNTIFS(Eingabe[Name],ErgebnisPosition[[#This Row],[Name]],Eingabe[Position],ErgebnisPosition[[#Headers],[4]])=0,"",ROUND(AVERAGEIFS(Eingabe[GES],Eingabe[Name],ErgebnisPosition[[#This Row],[Name]],Eingabe[Position],ErgebnisPosition[[#Headers],[4]]),0))</f>
        <v/>
      </c>
      <c r="H34" s="189" t="str">
        <f>IF(COUNTIFS(Eingabe[Name],ErgebnisPosition[[#This Row],[Name]],Eingabe[Position],ErgebnisPosition[[#Headers],[5]])=0,"",ROUND(AVERAGEIFS(Eingabe[GES],Eingabe[Name],ErgebnisPosition[[#This Row],[Name]],Eingabe[Position],ErgebnisPosition[[#Headers],[5]]),0))</f>
        <v/>
      </c>
      <c r="I34" s="189" t="str">
        <f>IF(COUNTIFS(Eingabe[Name],ErgebnisPosition[[#This Row],[Name]],Eingabe[Position],ErgebnisPosition[[#Headers],[6]])=0,"",ROUND(AVERAGEIFS(Eingabe[GES],Eingabe[Name],ErgebnisPosition[[#This Row],[Name]],Eingabe[Position],ErgebnisPosition[[#Headers],[6]]),0))</f>
        <v/>
      </c>
      <c r="L34" s="188" t="str">
        <f>ErgebnisPosition[[#This Row],[Name]]</f>
        <v>Michael Klose</v>
      </c>
      <c r="M34" s="188" t="str">
        <f>VLOOKUP(ErgebnisPositionH[[#This Row],[Name]],Teamzuordnung[[Name]:[Team]],2,FALSE)</f>
        <v>D</v>
      </c>
      <c r="N34" s="189" t="str">
        <f>IF(COUNTIFS(Eingabe[Name],ErgebnisPositionH[[#This Row],[Name]],Eingabe[Position],ErgebnisPositionH[[#Headers],[1]],Eingabe[Wo],"H")=0,"",ROUND(AVERAGEIFS(Eingabe[GES],Eingabe[Name],ErgebnisPositionH[[#This Row],[Name]],Eingabe[Position],ErgebnisPositionH[[#Headers],[1]],Eingabe[Wo],"H"),0))</f>
        <v/>
      </c>
      <c r="O34" s="189" t="str">
        <f>IF(COUNTIFS(Eingabe[Name],ErgebnisPositionH[[#This Row],[Name]],Eingabe[Position],ErgebnisPositionH[[#Headers],[2]],Eingabe[Wo],"H")=0,"",ROUND(AVERAGEIFS(Eingabe[GES],Eingabe[Name],ErgebnisPositionH[[#This Row],[Name]],Eingabe[Position],ErgebnisPositionH[[#Headers],[2]],Eingabe[Wo],"H"),0))</f>
        <v/>
      </c>
      <c r="P34" s="189" t="str">
        <f>IF(COUNTIFS(Eingabe[Name],ErgebnisPositionH[[#This Row],[Name]],Eingabe[Position],ErgebnisPositionH[[#Headers],[3]],Eingabe[Wo],"H")=0,"",ROUND(AVERAGEIFS(Eingabe[GES],Eingabe[Name],ErgebnisPositionH[[#This Row],[Name]],Eingabe[Position],ErgebnisPositionH[[#Headers],[3]],Eingabe[Wo],"H"),0))</f>
        <v/>
      </c>
      <c r="Q34" s="189" t="str">
        <f>IF(COUNTIFS(Eingabe[Name],ErgebnisPositionH[[#This Row],[Name]],Eingabe[Position],ErgebnisPositionH[[#Headers],[4]],Eingabe[Wo],"H")=0,"",ROUND(AVERAGEIFS(Eingabe[GES],Eingabe[Name],ErgebnisPositionH[[#This Row],[Name]],Eingabe[Position],ErgebnisPositionH[[#Headers],[4]],Eingabe[Wo],"H"),0))</f>
        <v/>
      </c>
      <c r="R34" s="189" t="str">
        <f>IF(COUNTIFS(Eingabe[Name],ErgebnisPositionH[[#This Row],[Name]],Eingabe[Position],ErgebnisPositionH[[#Headers],[5]],Eingabe[Wo],"H")=0,"",ROUND(AVERAGEIFS(Eingabe[GES],Eingabe[Name],ErgebnisPositionH[[#This Row],[Name]],Eingabe[Position],ErgebnisPositionH[[#Headers],[5]],Eingabe[Wo],"H"),0))</f>
        <v/>
      </c>
      <c r="S34" s="189" t="str">
        <f>IF(COUNTIFS(Eingabe[Name],ErgebnisPositionH[[#This Row],[Name]],Eingabe[Position],ErgebnisPositionH[[#Headers],[6]],Eingabe[Wo],"H")=0,"",ROUND(AVERAGEIFS(Eingabe[GES],Eingabe[Name],ErgebnisPositionH[[#This Row],[Name]],Eingabe[Position],ErgebnisPositionH[[#Headers],[6]],Eingabe[Wo],"H"),0))</f>
        <v/>
      </c>
      <c r="V34" s="188" t="str">
        <f>ErgebnisPosition[[#This Row],[Name]]</f>
        <v>Michael Klose</v>
      </c>
      <c r="W34" s="188" t="str">
        <f>VLOOKUP(ErgebnisPositionA[[#This Row],[Name]],Teamzuordnung[[Name]:[Team]],2,FALSE)</f>
        <v>D</v>
      </c>
      <c r="X34" s="189" t="str">
        <f>IF(COUNTIFS(Eingabe[Name],ErgebnisPositionA[[#This Row],[Name]],Eingabe[Position],ErgebnisPositionA[[#Headers],[1]],Eingabe[Wo],"A")=0,"",ROUND(AVERAGEIFS(Eingabe[GES],Eingabe[Name],ErgebnisPositionA[[#This Row],[Name]],Eingabe[Position],ErgebnisPositionA[[#Headers],[1]],Eingabe[Wo],"A"),0))</f>
        <v/>
      </c>
      <c r="Y34" s="189" t="str">
        <f>IF(COUNTIFS(Eingabe[Name],ErgebnisPositionA[[#This Row],[Name]],Eingabe[Position],ErgebnisPositionA[[#Headers],[2]],Eingabe[Wo],"A")=0,"",ROUND(AVERAGEIFS(Eingabe[GES],Eingabe[Name],ErgebnisPositionA[[#This Row],[Name]],Eingabe[Position],ErgebnisPositionA[[#Headers],[2]],Eingabe[Wo],"A"),0))</f>
        <v/>
      </c>
      <c r="Z34" s="189" t="str">
        <f>IF(COUNTIFS(Eingabe[Name],ErgebnisPositionA[[#This Row],[Name]],Eingabe[Position],ErgebnisPositionA[[#Headers],[3]],Eingabe[Wo],"A")=0,"",ROUND(AVERAGEIFS(Eingabe[GES],Eingabe[Name],ErgebnisPositionA[[#This Row],[Name]],Eingabe[Position],ErgebnisPositionA[[#Headers],[3]],Eingabe[Wo],"A"),0))</f>
        <v/>
      </c>
      <c r="AA34" s="189" t="str">
        <f>IF(COUNTIFS(Eingabe[Name],ErgebnisPositionA[[#This Row],[Name]],Eingabe[Position],ErgebnisPositionA[[#Headers],[4]],Eingabe[Wo],"A")=0,"",ROUND(AVERAGEIFS(Eingabe[GES],Eingabe[Name],ErgebnisPositionA[[#This Row],[Name]],Eingabe[Position],ErgebnisPositionA[[#Headers],[4]],Eingabe[Wo],"A"),0))</f>
        <v/>
      </c>
      <c r="AB34" s="189" t="str">
        <f>IF(COUNTIFS(Eingabe[Name],ErgebnisPositionA[[#This Row],[Name]],Eingabe[Position],ErgebnisPositionA[[#Headers],[5]],Eingabe[Wo],"A")=0,"",ROUND(AVERAGEIFS(Eingabe[GES],Eingabe[Name],ErgebnisPositionA[[#This Row],[Name]],Eingabe[Position],ErgebnisPositionA[[#Headers],[5]],Eingabe[Wo],"A"),0))</f>
        <v/>
      </c>
      <c r="AC34" s="189" t="str">
        <f>IF(COUNTIFS(Eingabe[Name],ErgebnisPositionA[[#This Row],[Name]],Eingabe[Position],ErgebnisPositionA[[#Headers],[6]],Eingabe[Wo],"A")=0,"",ROUND(AVERAGEIFS(Eingabe[GES],Eingabe[Name],ErgebnisPositionA[[#This Row],[Name]],Eingabe[Position],ErgebnisPositionA[[#Headers],[6]],Eingabe[Wo],"A"),0))</f>
        <v/>
      </c>
    </row>
    <row r="35" spans="2:29" ht="15.6" x14ac:dyDescent="0.3">
      <c r="B35" s="188" t="str">
        <f>Übersicht!B36</f>
        <v>Mick Becker</v>
      </c>
      <c r="C35" s="188" t="str">
        <f>VLOOKUP(ErgebnisPosition[[#This Row],[Name]],Teamzuordnung[[Name]:[Team]],2,FALSE)</f>
        <v>Z</v>
      </c>
      <c r="D35" s="189" t="str">
        <f>IF(COUNTIFS(Eingabe[Name],ErgebnisPosition[[#This Row],[Name]],Eingabe[Position],ErgebnisPosition[[#Headers],[1]])=0,"",ROUND(AVERAGEIFS(Eingabe[GES],Eingabe[Name],ErgebnisPosition[[#This Row],[Name]],Eingabe[Position],ErgebnisPosition[[#Headers],[1]]),0))</f>
        <v/>
      </c>
      <c r="E35" s="189" t="str">
        <f>IF(COUNTIFS(Eingabe[Name],ErgebnisPosition[[#This Row],[Name]],Eingabe[Position],ErgebnisPosition[[#Headers],[2]])=0,"",ROUND(AVERAGEIFS(Eingabe[GES],Eingabe[Name],ErgebnisPosition[[#This Row],[Name]],Eingabe[Position],ErgebnisPosition[[#Headers],[2]]),0))</f>
        <v/>
      </c>
      <c r="F35" s="189" t="str">
        <f>IF(COUNTIFS(Eingabe[Name],ErgebnisPosition[[#This Row],[Name]],Eingabe[Position],ErgebnisPosition[[#Headers],[3]])=0,"",ROUND(AVERAGEIFS(Eingabe[GES],Eingabe[Name],ErgebnisPosition[[#This Row],[Name]],Eingabe[Position],ErgebnisPosition[[#Headers],[3]]),0))</f>
        <v/>
      </c>
      <c r="G35" s="189">
        <f>IF(COUNTIFS(Eingabe[Name],ErgebnisPosition[[#This Row],[Name]],Eingabe[Position],ErgebnisPosition[[#Headers],[4]])=0,"",ROUND(AVERAGEIFS(Eingabe[GES],Eingabe[Name],ErgebnisPosition[[#This Row],[Name]],Eingabe[Position],ErgebnisPosition[[#Headers],[4]]),0))</f>
        <v>545</v>
      </c>
      <c r="H35" s="189" t="str">
        <f>IF(COUNTIFS(Eingabe[Name],ErgebnisPosition[[#This Row],[Name]],Eingabe[Position],ErgebnisPosition[[#Headers],[5]])=0,"",ROUND(AVERAGEIFS(Eingabe[GES],Eingabe[Name],ErgebnisPosition[[#This Row],[Name]],Eingabe[Position],ErgebnisPosition[[#Headers],[5]]),0))</f>
        <v/>
      </c>
      <c r="I35" s="189" t="str">
        <f>IF(COUNTIFS(Eingabe[Name],ErgebnisPosition[[#This Row],[Name]],Eingabe[Position],ErgebnisPosition[[#Headers],[6]])=0,"",ROUND(AVERAGEIFS(Eingabe[GES],Eingabe[Name],ErgebnisPosition[[#This Row],[Name]],Eingabe[Position],ErgebnisPosition[[#Headers],[6]]),0))</f>
        <v/>
      </c>
      <c r="L35" s="188" t="str">
        <f>ErgebnisPosition[[#This Row],[Name]]</f>
        <v>Mick Becker</v>
      </c>
      <c r="M35" s="188" t="str">
        <f>VLOOKUP(ErgebnisPositionH[[#This Row],[Name]],Teamzuordnung[[Name]:[Team]],2,FALSE)</f>
        <v>Z</v>
      </c>
      <c r="N35" s="189" t="str">
        <f>IF(COUNTIFS(Eingabe[Name],ErgebnisPositionH[[#This Row],[Name]],Eingabe[Position],ErgebnisPositionH[[#Headers],[1]],Eingabe[Wo],"H")=0,"",ROUND(AVERAGEIFS(Eingabe[GES],Eingabe[Name],ErgebnisPositionH[[#This Row],[Name]],Eingabe[Position],ErgebnisPositionH[[#Headers],[1]],Eingabe[Wo],"H"),0))</f>
        <v/>
      </c>
      <c r="O35" s="189" t="str">
        <f>IF(COUNTIFS(Eingabe[Name],ErgebnisPositionH[[#This Row],[Name]],Eingabe[Position],ErgebnisPositionH[[#Headers],[2]],Eingabe[Wo],"H")=0,"",ROUND(AVERAGEIFS(Eingabe[GES],Eingabe[Name],ErgebnisPositionH[[#This Row],[Name]],Eingabe[Position],ErgebnisPositionH[[#Headers],[2]],Eingabe[Wo],"H"),0))</f>
        <v/>
      </c>
      <c r="P35" s="189" t="str">
        <f>IF(COUNTIFS(Eingabe[Name],ErgebnisPositionH[[#This Row],[Name]],Eingabe[Position],ErgebnisPositionH[[#Headers],[3]],Eingabe[Wo],"H")=0,"",ROUND(AVERAGEIFS(Eingabe[GES],Eingabe[Name],ErgebnisPositionH[[#This Row],[Name]],Eingabe[Position],ErgebnisPositionH[[#Headers],[3]],Eingabe[Wo],"H"),0))</f>
        <v/>
      </c>
      <c r="Q35" s="189">
        <f>IF(COUNTIFS(Eingabe[Name],ErgebnisPositionH[[#This Row],[Name]],Eingabe[Position],ErgebnisPositionH[[#Headers],[4]],Eingabe[Wo],"H")=0,"",ROUND(AVERAGEIFS(Eingabe[GES],Eingabe[Name],ErgebnisPositionH[[#This Row],[Name]],Eingabe[Position],ErgebnisPositionH[[#Headers],[4]],Eingabe[Wo],"H"),0))</f>
        <v>545</v>
      </c>
      <c r="R35" s="189" t="str">
        <f>IF(COUNTIFS(Eingabe[Name],ErgebnisPositionH[[#This Row],[Name]],Eingabe[Position],ErgebnisPositionH[[#Headers],[5]],Eingabe[Wo],"H")=0,"",ROUND(AVERAGEIFS(Eingabe[GES],Eingabe[Name],ErgebnisPositionH[[#This Row],[Name]],Eingabe[Position],ErgebnisPositionH[[#Headers],[5]],Eingabe[Wo],"H"),0))</f>
        <v/>
      </c>
      <c r="S35" s="189" t="str">
        <f>IF(COUNTIFS(Eingabe[Name],ErgebnisPositionH[[#This Row],[Name]],Eingabe[Position],ErgebnisPositionH[[#Headers],[6]],Eingabe[Wo],"H")=0,"",ROUND(AVERAGEIFS(Eingabe[GES],Eingabe[Name],ErgebnisPositionH[[#This Row],[Name]],Eingabe[Position],ErgebnisPositionH[[#Headers],[6]],Eingabe[Wo],"H"),0))</f>
        <v/>
      </c>
      <c r="V35" s="188" t="str">
        <f>ErgebnisPosition[[#This Row],[Name]]</f>
        <v>Mick Becker</v>
      </c>
      <c r="W35" s="188" t="str">
        <f>VLOOKUP(ErgebnisPositionA[[#This Row],[Name]],Teamzuordnung[[Name]:[Team]],2,FALSE)</f>
        <v>Z</v>
      </c>
      <c r="X35" s="189" t="str">
        <f>IF(COUNTIFS(Eingabe[Name],ErgebnisPositionA[[#This Row],[Name]],Eingabe[Position],ErgebnisPositionA[[#Headers],[1]],Eingabe[Wo],"A")=0,"",ROUND(AVERAGEIFS(Eingabe[GES],Eingabe[Name],ErgebnisPositionA[[#This Row],[Name]],Eingabe[Position],ErgebnisPositionA[[#Headers],[1]],Eingabe[Wo],"A"),0))</f>
        <v/>
      </c>
      <c r="Y35" s="189" t="str">
        <f>IF(COUNTIFS(Eingabe[Name],ErgebnisPositionA[[#This Row],[Name]],Eingabe[Position],ErgebnisPositionA[[#Headers],[2]],Eingabe[Wo],"A")=0,"",ROUND(AVERAGEIFS(Eingabe[GES],Eingabe[Name],ErgebnisPositionA[[#This Row],[Name]],Eingabe[Position],ErgebnisPositionA[[#Headers],[2]],Eingabe[Wo],"A"),0))</f>
        <v/>
      </c>
      <c r="Z35" s="189" t="str">
        <f>IF(COUNTIFS(Eingabe[Name],ErgebnisPositionA[[#This Row],[Name]],Eingabe[Position],ErgebnisPositionA[[#Headers],[3]],Eingabe[Wo],"A")=0,"",ROUND(AVERAGEIFS(Eingabe[GES],Eingabe[Name],ErgebnisPositionA[[#This Row],[Name]],Eingabe[Position],ErgebnisPositionA[[#Headers],[3]],Eingabe[Wo],"A"),0))</f>
        <v/>
      </c>
      <c r="AA35" s="189" t="str">
        <f>IF(COUNTIFS(Eingabe[Name],ErgebnisPositionA[[#This Row],[Name]],Eingabe[Position],ErgebnisPositionA[[#Headers],[4]],Eingabe[Wo],"A")=0,"",ROUND(AVERAGEIFS(Eingabe[GES],Eingabe[Name],ErgebnisPositionA[[#This Row],[Name]],Eingabe[Position],ErgebnisPositionA[[#Headers],[4]],Eingabe[Wo],"A"),0))</f>
        <v/>
      </c>
      <c r="AB35" s="189" t="str">
        <f>IF(COUNTIFS(Eingabe[Name],ErgebnisPositionA[[#This Row],[Name]],Eingabe[Position],ErgebnisPositionA[[#Headers],[5]],Eingabe[Wo],"A")=0,"",ROUND(AVERAGEIFS(Eingabe[GES],Eingabe[Name],ErgebnisPositionA[[#This Row],[Name]],Eingabe[Position],ErgebnisPositionA[[#Headers],[5]],Eingabe[Wo],"A"),0))</f>
        <v/>
      </c>
      <c r="AC35" s="189" t="str">
        <f>IF(COUNTIFS(Eingabe[Name],ErgebnisPositionA[[#This Row],[Name]],Eingabe[Position],ErgebnisPositionA[[#Headers],[6]],Eingabe[Wo],"A")=0,"",ROUND(AVERAGEIFS(Eingabe[GES],Eingabe[Name],ErgebnisPositionA[[#This Row],[Name]],Eingabe[Position],ErgebnisPositionA[[#Headers],[6]],Eingabe[Wo],"A"),0))</f>
        <v/>
      </c>
    </row>
    <row r="36" spans="2:29" ht="15.6" x14ac:dyDescent="0.3">
      <c r="B36" s="188" t="str">
        <f>Übersicht!B37</f>
        <v>Olaf Kurtze</v>
      </c>
      <c r="C36" s="188" t="str">
        <f>VLOOKUP(ErgebnisPosition[[#This Row],[Name]],Teamzuordnung[[Name]:[Team]],2,FALSE)</f>
        <v>Z</v>
      </c>
      <c r="D36" s="189">
        <f>IF(COUNTIFS(Eingabe[Name],ErgebnisPosition[[#This Row],[Name]],Eingabe[Position],ErgebnisPosition[[#Headers],[1]])=0,"",ROUND(AVERAGEIFS(Eingabe[GES],Eingabe[Name],ErgebnisPosition[[#This Row],[Name]],Eingabe[Position],ErgebnisPosition[[#Headers],[1]]),0))</f>
        <v>525</v>
      </c>
      <c r="E36" s="189">
        <f>IF(COUNTIFS(Eingabe[Name],ErgebnisPosition[[#This Row],[Name]],Eingabe[Position],ErgebnisPosition[[#Headers],[2]])=0,"",ROUND(AVERAGEIFS(Eingabe[GES],Eingabe[Name],ErgebnisPosition[[#This Row],[Name]],Eingabe[Position],ErgebnisPosition[[#Headers],[2]]),0))</f>
        <v>532</v>
      </c>
      <c r="F36" s="189">
        <f>IF(COUNTIFS(Eingabe[Name],ErgebnisPosition[[#This Row],[Name]],Eingabe[Position],ErgebnisPosition[[#Headers],[3]])=0,"",ROUND(AVERAGEIFS(Eingabe[GES],Eingabe[Name],ErgebnisPosition[[#This Row],[Name]],Eingabe[Position],ErgebnisPosition[[#Headers],[3]]),0))</f>
        <v>520</v>
      </c>
      <c r="G36" s="189" t="str">
        <f>IF(COUNTIFS(Eingabe[Name],ErgebnisPosition[[#This Row],[Name]],Eingabe[Position],ErgebnisPosition[[#Headers],[4]])=0,"",ROUND(AVERAGEIFS(Eingabe[GES],Eingabe[Name],ErgebnisPosition[[#This Row],[Name]],Eingabe[Position],ErgebnisPosition[[#Headers],[4]]),0))</f>
        <v/>
      </c>
      <c r="H36" s="189">
        <f>IF(COUNTIFS(Eingabe[Name],ErgebnisPosition[[#This Row],[Name]],Eingabe[Position],ErgebnisPosition[[#Headers],[5]])=0,"",ROUND(AVERAGEIFS(Eingabe[GES],Eingabe[Name],ErgebnisPosition[[#This Row],[Name]],Eingabe[Position],ErgebnisPosition[[#Headers],[5]]),0))</f>
        <v>529</v>
      </c>
      <c r="I36" s="189" t="str">
        <f>IF(COUNTIFS(Eingabe[Name],ErgebnisPosition[[#This Row],[Name]],Eingabe[Position],ErgebnisPosition[[#Headers],[6]])=0,"",ROUND(AVERAGEIFS(Eingabe[GES],Eingabe[Name],ErgebnisPosition[[#This Row],[Name]],Eingabe[Position],ErgebnisPosition[[#Headers],[6]]),0))</f>
        <v/>
      </c>
      <c r="L36" s="188" t="str">
        <f>ErgebnisPosition[[#This Row],[Name]]</f>
        <v>Olaf Kurtze</v>
      </c>
      <c r="M36" s="188" t="str">
        <f>VLOOKUP(ErgebnisPositionH[[#This Row],[Name]],Teamzuordnung[[Name]:[Team]],2,FALSE)</f>
        <v>Z</v>
      </c>
      <c r="N36" s="189">
        <f>IF(COUNTIFS(Eingabe[Name],ErgebnisPositionH[[#This Row],[Name]],Eingabe[Position],ErgebnisPositionH[[#Headers],[1]],Eingabe[Wo],"H")=0,"",ROUND(AVERAGEIFS(Eingabe[GES],Eingabe[Name],ErgebnisPositionH[[#This Row],[Name]],Eingabe[Position],ErgebnisPositionH[[#Headers],[1]],Eingabe[Wo],"H"),0))</f>
        <v>514</v>
      </c>
      <c r="O36" s="189">
        <f>IF(COUNTIFS(Eingabe[Name],ErgebnisPositionH[[#This Row],[Name]],Eingabe[Position],ErgebnisPositionH[[#Headers],[2]],Eingabe[Wo],"H")=0,"",ROUND(AVERAGEIFS(Eingabe[GES],Eingabe[Name],ErgebnisPositionH[[#This Row],[Name]],Eingabe[Position],ErgebnisPositionH[[#Headers],[2]],Eingabe[Wo],"H"),0))</f>
        <v>535</v>
      </c>
      <c r="P36" s="189">
        <f>IF(COUNTIFS(Eingabe[Name],ErgebnisPositionH[[#This Row],[Name]],Eingabe[Position],ErgebnisPositionH[[#Headers],[3]],Eingabe[Wo],"H")=0,"",ROUND(AVERAGEIFS(Eingabe[GES],Eingabe[Name],ErgebnisPositionH[[#This Row],[Name]],Eingabe[Position],ErgebnisPositionH[[#Headers],[3]],Eingabe[Wo],"H"),0))</f>
        <v>520</v>
      </c>
      <c r="Q36" s="189" t="str">
        <f>IF(COUNTIFS(Eingabe[Name],ErgebnisPositionH[[#This Row],[Name]],Eingabe[Position],ErgebnisPositionH[[#Headers],[4]],Eingabe[Wo],"H")=0,"",ROUND(AVERAGEIFS(Eingabe[GES],Eingabe[Name],ErgebnisPositionH[[#This Row],[Name]],Eingabe[Position],ErgebnisPositionH[[#Headers],[4]],Eingabe[Wo],"H"),0))</f>
        <v/>
      </c>
      <c r="R36" s="189">
        <f>IF(COUNTIFS(Eingabe[Name],ErgebnisPositionH[[#This Row],[Name]],Eingabe[Position],ErgebnisPositionH[[#Headers],[5]],Eingabe[Wo],"H")=0,"",ROUND(AVERAGEIFS(Eingabe[GES],Eingabe[Name],ErgebnisPositionH[[#This Row],[Name]],Eingabe[Position],ErgebnisPositionH[[#Headers],[5]],Eingabe[Wo],"H"),0))</f>
        <v>529</v>
      </c>
      <c r="S36" s="189" t="str">
        <f>IF(COUNTIFS(Eingabe[Name],ErgebnisPositionH[[#This Row],[Name]],Eingabe[Position],ErgebnisPositionH[[#Headers],[6]],Eingabe[Wo],"H")=0,"",ROUND(AVERAGEIFS(Eingabe[GES],Eingabe[Name],ErgebnisPositionH[[#This Row],[Name]],Eingabe[Position],ErgebnisPositionH[[#Headers],[6]],Eingabe[Wo],"H"),0))</f>
        <v/>
      </c>
      <c r="V36" s="188" t="str">
        <f>ErgebnisPosition[[#This Row],[Name]]</f>
        <v>Olaf Kurtze</v>
      </c>
      <c r="W36" s="188" t="str">
        <f>VLOOKUP(ErgebnisPositionA[[#This Row],[Name]],Teamzuordnung[[Name]:[Team]],2,FALSE)</f>
        <v>Z</v>
      </c>
      <c r="X36" s="189">
        <f>IF(COUNTIFS(Eingabe[Name],ErgebnisPositionA[[#This Row],[Name]],Eingabe[Position],ErgebnisPositionA[[#Headers],[1]],Eingabe[Wo],"A")=0,"",ROUND(AVERAGEIFS(Eingabe[GES],Eingabe[Name],ErgebnisPositionA[[#This Row],[Name]],Eingabe[Position],ErgebnisPositionA[[#Headers],[1]],Eingabe[Wo],"A"),0))</f>
        <v>532</v>
      </c>
      <c r="Y36" s="189">
        <f>IF(COUNTIFS(Eingabe[Name],ErgebnisPositionA[[#This Row],[Name]],Eingabe[Position],ErgebnisPositionA[[#Headers],[2]],Eingabe[Wo],"A")=0,"",ROUND(AVERAGEIFS(Eingabe[GES],Eingabe[Name],ErgebnisPositionA[[#This Row],[Name]],Eingabe[Position],ErgebnisPositionA[[#Headers],[2]],Eingabe[Wo],"A"),0))</f>
        <v>528</v>
      </c>
      <c r="Z36" s="189" t="str">
        <f>IF(COUNTIFS(Eingabe[Name],ErgebnisPositionA[[#This Row],[Name]],Eingabe[Position],ErgebnisPositionA[[#Headers],[3]],Eingabe[Wo],"A")=0,"",ROUND(AVERAGEIFS(Eingabe[GES],Eingabe[Name],ErgebnisPositionA[[#This Row],[Name]],Eingabe[Position],ErgebnisPositionA[[#Headers],[3]],Eingabe[Wo],"A"),0))</f>
        <v/>
      </c>
      <c r="AA36" s="189" t="str">
        <f>IF(COUNTIFS(Eingabe[Name],ErgebnisPositionA[[#This Row],[Name]],Eingabe[Position],ErgebnisPositionA[[#Headers],[4]],Eingabe[Wo],"A")=0,"",ROUND(AVERAGEIFS(Eingabe[GES],Eingabe[Name],ErgebnisPositionA[[#This Row],[Name]],Eingabe[Position],ErgebnisPositionA[[#Headers],[4]],Eingabe[Wo],"A"),0))</f>
        <v/>
      </c>
      <c r="AB36" s="189" t="str">
        <f>IF(COUNTIFS(Eingabe[Name],ErgebnisPositionA[[#This Row],[Name]],Eingabe[Position],ErgebnisPositionA[[#Headers],[5]],Eingabe[Wo],"A")=0,"",ROUND(AVERAGEIFS(Eingabe[GES],Eingabe[Name],ErgebnisPositionA[[#This Row],[Name]],Eingabe[Position],ErgebnisPositionA[[#Headers],[5]],Eingabe[Wo],"A"),0))</f>
        <v/>
      </c>
      <c r="AC36" s="189" t="str">
        <f>IF(COUNTIFS(Eingabe[Name],ErgebnisPositionA[[#This Row],[Name]],Eingabe[Position],ErgebnisPositionA[[#Headers],[6]],Eingabe[Wo],"A")=0,"",ROUND(AVERAGEIFS(Eingabe[GES],Eingabe[Name],ErgebnisPositionA[[#This Row],[Name]],Eingabe[Position],ErgebnisPositionA[[#Headers],[6]],Eingabe[Wo],"A"),0))</f>
        <v/>
      </c>
    </row>
    <row r="37" spans="2:29" ht="15.6" x14ac:dyDescent="0.3">
      <c r="B37" s="188" t="str">
        <f>Übersicht!B38</f>
        <v>Patrick Frenzel</v>
      </c>
      <c r="C37" s="188" t="str">
        <f>VLOOKUP(ErgebnisPosition[[#This Row],[Name]],Teamzuordnung[[Name]:[Team]],2,FALSE)</f>
        <v>D</v>
      </c>
      <c r="D37" s="189">
        <f>IF(COUNTIFS(Eingabe[Name],ErgebnisPosition[[#This Row],[Name]],Eingabe[Position],ErgebnisPosition[[#Headers],[1]])=0,"",ROUND(AVERAGEIFS(Eingabe[GES],Eingabe[Name],ErgebnisPosition[[#This Row],[Name]],Eingabe[Position],ErgebnisPosition[[#Headers],[1]]),0))</f>
        <v>497</v>
      </c>
      <c r="E37" s="189" t="str">
        <f>IF(COUNTIFS(Eingabe[Name],ErgebnisPosition[[#This Row],[Name]],Eingabe[Position],ErgebnisPosition[[#Headers],[2]])=0,"",ROUND(AVERAGEIFS(Eingabe[GES],Eingabe[Name],ErgebnisPosition[[#This Row],[Name]],Eingabe[Position],ErgebnisPosition[[#Headers],[2]]),0))</f>
        <v/>
      </c>
      <c r="F37" s="189">
        <f>IF(COUNTIFS(Eingabe[Name],ErgebnisPosition[[#This Row],[Name]],Eingabe[Position],ErgebnisPosition[[#Headers],[3]])=0,"",ROUND(AVERAGEIFS(Eingabe[GES],Eingabe[Name],ErgebnisPosition[[#This Row],[Name]],Eingabe[Position],ErgebnisPosition[[#Headers],[3]]),0))</f>
        <v>490</v>
      </c>
      <c r="G37" s="189">
        <f>IF(COUNTIFS(Eingabe[Name],ErgebnisPosition[[#This Row],[Name]],Eingabe[Position],ErgebnisPosition[[#Headers],[4]])=0,"",ROUND(AVERAGEIFS(Eingabe[GES],Eingabe[Name],ErgebnisPosition[[#This Row],[Name]],Eingabe[Position],ErgebnisPosition[[#Headers],[4]]),0))</f>
        <v>542</v>
      </c>
      <c r="H37" s="189" t="str">
        <f>IF(COUNTIFS(Eingabe[Name],ErgebnisPosition[[#This Row],[Name]],Eingabe[Position],ErgebnisPosition[[#Headers],[5]])=0,"",ROUND(AVERAGEIFS(Eingabe[GES],Eingabe[Name],ErgebnisPosition[[#This Row],[Name]],Eingabe[Position],ErgebnisPosition[[#Headers],[5]]),0))</f>
        <v/>
      </c>
      <c r="I37" s="189" t="str">
        <f>IF(COUNTIFS(Eingabe[Name],ErgebnisPosition[[#This Row],[Name]],Eingabe[Position],ErgebnisPosition[[#Headers],[6]])=0,"",ROUND(AVERAGEIFS(Eingabe[GES],Eingabe[Name],ErgebnisPosition[[#This Row],[Name]],Eingabe[Position],ErgebnisPosition[[#Headers],[6]]),0))</f>
        <v/>
      </c>
      <c r="L37" s="188" t="str">
        <f>ErgebnisPosition[[#This Row],[Name]]</f>
        <v>Patrick Frenzel</v>
      </c>
      <c r="M37" s="188" t="str">
        <f>VLOOKUP(ErgebnisPositionH[[#This Row],[Name]],Teamzuordnung[[Name]:[Team]],2,FALSE)</f>
        <v>D</v>
      </c>
      <c r="N37" s="189">
        <f>IF(COUNTIFS(Eingabe[Name],ErgebnisPositionH[[#This Row],[Name]],Eingabe[Position],ErgebnisPositionH[[#Headers],[1]],Eingabe[Wo],"H")=0,"",ROUND(AVERAGEIFS(Eingabe[GES],Eingabe[Name],ErgebnisPositionH[[#This Row],[Name]],Eingabe[Position],ErgebnisPositionH[[#Headers],[1]],Eingabe[Wo],"H"),0))</f>
        <v>497</v>
      </c>
      <c r="O37" s="189" t="str">
        <f>IF(COUNTIFS(Eingabe[Name],ErgebnisPositionH[[#This Row],[Name]],Eingabe[Position],ErgebnisPositionH[[#Headers],[2]],Eingabe[Wo],"H")=0,"",ROUND(AVERAGEIFS(Eingabe[GES],Eingabe[Name],ErgebnisPositionH[[#This Row],[Name]],Eingabe[Position],ErgebnisPositionH[[#Headers],[2]],Eingabe[Wo],"H"),0))</f>
        <v/>
      </c>
      <c r="P37" s="189">
        <f>IF(COUNTIFS(Eingabe[Name],ErgebnisPositionH[[#This Row],[Name]],Eingabe[Position],ErgebnisPositionH[[#Headers],[3]],Eingabe[Wo],"H")=0,"",ROUND(AVERAGEIFS(Eingabe[GES],Eingabe[Name],ErgebnisPositionH[[#This Row],[Name]],Eingabe[Position],ErgebnisPositionH[[#Headers],[3]],Eingabe[Wo],"H"),0))</f>
        <v>490</v>
      </c>
      <c r="Q37" s="189" t="str">
        <f>IF(COUNTIFS(Eingabe[Name],ErgebnisPositionH[[#This Row],[Name]],Eingabe[Position],ErgebnisPositionH[[#Headers],[4]],Eingabe[Wo],"H")=0,"",ROUND(AVERAGEIFS(Eingabe[GES],Eingabe[Name],ErgebnisPositionH[[#This Row],[Name]],Eingabe[Position],ErgebnisPositionH[[#Headers],[4]],Eingabe[Wo],"H"),0))</f>
        <v/>
      </c>
      <c r="R37" s="189" t="str">
        <f>IF(COUNTIFS(Eingabe[Name],ErgebnisPositionH[[#This Row],[Name]],Eingabe[Position],ErgebnisPositionH[[#Headers],[5]],Eingabe[Wo],"H")=0,"",ROUND(AVERAGEIFS(Eingabe[GES],Eingabe[Name],ErgebnisPositionH[[#This Row],[Name]],Eingabe[Position],ErgebnisPositionH[[#Headers],[5]],Eingabe[Wo],"H"),0))</f>
        <v/>
      </c>
      <c r="S37" s="189" t="str">
        <f>IF(COUNTIFS(Eingabe[Name],ErgebnisPositionH[[#This Row],[Name]],Eingabe[Position],ErgebnisPositionH[[#Headers],[6]],Eingabe[Wo],"H")=0,"",ROUND(AVERAGEIFS(Eingabe[GES],Eingabe[Name],ErgebnisPositionH[[#This Row],[Name]],Eingabe[Position],ErgebnisPositionH[[#Headers],[6]],Eingabe[Wo],"H"),0))</f>
        <v/>
      </c>
      <c r="V37" s="188" t="str">
        <f>ErgebnisPosition[[#This Row],[Name]]</f>
        <v>Patrick Frenzel</v>
      </c>
      <c r="W37" s="188" t="str">
        <f>VLOOKUP(ErgebnisPositionA[[#This Row],[Name]],Teamzuordnung[[Name]:[Team]],2,FALSE)</f>
        <v>D</v>
      </c>
      <c r="X37" s="189" t="str">
        <f>IF(COUNTIFS(Eingabe[Name],ErgebnisPositionA[[#This Row],[Name]],Eingabe[Position],ErgebnisPositionA[[#Headers],[1]],Eingabe[Wo],"A")=0,"",ROUND(AVERAGEIFS(Eingabe[GES],Eingabe[Name],ErgebnisPositionA[[#This Row],[Name]],Eingabe[Position],ErgebnisPositionA[[#Headers],[1]],Eingabe[Wo],"A"),0))</f>
        <v/>
      </c>
      <c r="Y37" s="189" t="str">
        <f>IF(COUNTIFS(Eingabe[Name],ErgebnisPositionA[[#This Row],[Name]],Eingabe[Position],ErgebnisPositionA[[#Headers],[2]],Eingabe[Wo],"A")=0,"",ROUND(AVERAGEIFS(Eingabe[GES],Eingabe[Name],ErgebnisPositionA[[#This Row],[Name]],Eingabe[Position],ErgebnisPositionA[[#Headers],[2]],Eingabe[Wo],"A"),0))</f>
        <v/>
      </c>
      <c r="Z37" s="189" t="str">
        <f>IF(COUNTIFS(Eingabe[Name],ErgebnisPositionA[[#This Row],[Name]],Eingabe[Position],ErgebnisPositionA[[#Headers],[3]],Eingabe[Wo],"A")=0,"",ROUND(AVERAGEIFS(Eingabe[GES],Eingabe[Name],ErgebnisPositionA[[#This Row],[Name]],Eingabe[Position],ErgebnisPositionA[[#Headers],[3]],Eingabe[Wo],"A"),0))</f>
        <v/>
      </c>
      <c r="AA37" s="189">
        <f>IF(COUNTIFS(Eingabe[Name],ErgebnisPositionA[[#This Row],[Name]],Eingabe[Position],ErgebnisPositionA[[#Headers],[4]],Eingabe[Wo],"A")=0,"",ROUND(AVERAGEIFS(Eingabe[GES],Eingabe[Name],ErgebnisPositionA[[#This Row],[Name]],Eingabe[Position],ErgebnisPositionA[[#Headers],[4]],Eingabe[Wo],"A"),0))</f>
        <v>542</v>
      </c>
      <c r="AB37" s="189" t="str">
        <f>IF(COUNTIFS(Eingabe[Name],ErgebnisPositionA[[#This Row],[Name]],Eingabe[Position],ErgebnisPositionA[[#Headers],[5]],Eingabe[Wo],"A")=0,"",ROUND(AVERAGEIFS(Eingabe[GES],Eingabe[Name],ErgebnisPositionA[[#This Row],[Name]],Eingabe[Position],ErgebnisPositionA[[#Headers],[5]],Eingabe[Wo],"A"),0))</f>
        <v/>
      </c>
      <c r="AC37" s="189" t="str">
        <f>IF(COUNTIFS(Eingabe[Name],ErgebnisPositionA[[#This Row],[Name]],Eingabe[Position],ErgebnisPositionA[[#Headers],[6]],Eingabe[Wo],"A")=0,"",ROUND(AVERAGEIFS(Eingabe[GES],Eingabe[Name],ErgebnisPositionA[[#This Row],[Name]],Eingabe[Position],ErgebnisPositionA[[#Headers],[6]],Eingabe[Wo],"A"),0))</f>
        <v/>
      </c>
    </row>
    <row r="38" spans="2:29" ht="15.6" x14ac:dyDescent="0.3">
      <c r="B38" s="188" t="str">
        <f>Übersicht!B39</f>
        <v>Patrick Hohmann</v>
      </c>
      <c r="C38" s="188" t="str">
        <f>VLOOKUP(ErgebnisPosition[[#This Row],[Name]],Teamzuordnung[[Name]:[Team]],2,FALSE)</f>
        <v>E</v>
      </c>
      <c r="D38" s="189">
        <f>IF(COUNTIFS(Eingabe[Name],ErgebnisPosition[[#This Row],[Name]],Eingabe[Position],ErgebnisPosition[[#Headers],[1]])=0,"",ROUND(AVERAGEIFS(Eingabe[GES],Eingabe[Name],ErgebnisPosition[[#This Row],[Name]],Eingabe[Position],ErgebnisPosition[[#Headers],[1]]),0))</f>
        <v>531</v>
      </c>
      <c r="E38" s="189" t="str">
        <f>IF(COUNTIFS(Eingabe[Name],ErgebnisPosition[[#This Row],[Name]],Eingabe[Position],ErgebnisPosition[[#Headers],[2]])=0,"",ROUND(AVERAGEIFS(Eingabe[GES],Eingabe[Name],ErgebnisPosition[[#This Row],[Name]],Eingabe[Position],ErgebnisPosition[[#Headers],[2]]),0))</f>
        <v/>
      </c>
      <c r="F38" s="189">
        <f>IF(COUNTIFS(Eingabe[Name],ErgebnisPosition[[#This Row],[Name]],Eingabe[Position],ErgebnisPosition[[#Headers],[3]])=0,"",ROUND(AVERAGEIFS(Eingabe[GES],Eingabe[Name],ErgebnisPosition[[#This Row],[Name]],Eingabe[Position],ErgebnisPosition[[#Headers],[3]]),0))</f>
        <v>537</v>
      </c>
      <c r="G38" s="189">
        <f>IF(COUNTIFS(Eingabe[Name],ErgebnisPosition[[#This Row],[Name]],Eingabe[Position],ErgebnisPosition[[#Headers],[4]])=0,"",ROUND(AVERAGEIFS(Eingabe[GES],Eingabe[Name],ErgebnisPosition[[#This Row],[Name]],Eingabe[Position],ErgebnisPosition[[#Headers],[4]]),0))</f>
        <v>511</v>
      </c>
      <c r="H38" s="189">
        <f>IF(COUNTIFS(Eingabe[Name],ErgebnisPosition[[#This Row],[Name]],Eingabe[Position],ErgebnisPosition[[#Headers],[5]])=0,"",ROUND(AVERAGEIFS(Eingabe[GES],Eingabe[Name],ErgebnisPosition[[#This Row],[Name]],Eingabe[Position],ErgebnisPosition[[#Headers],[5]]),0))</f>
        <v>531</v>
      </c>
      <c r="I38" s="189">
        <f>IF(COUNTIFS(Eingabe[Name],ErgebnisPosition[[#This Row],[Name]],Eingabe[Position],ErgebnisPosition[[#Headers],[6]])=0,"",ROUND(AVERAGEIFS(Eingabe[GES],Eingabe[Name],ErgebnisPosition[[#This Row],[Name]],Eingabe[Position],ErgebnisPosition[[#Headers],[6]]),0))</f>
        <v>528</v>
      </c>
      <c r="L38" s="188" t="str">
        <f>ErgebnisPosition[[#This Row],[Name]]</f>
        <v>Patrick Hohmann</v>
      </c>
      <c r="M38" s="188" t="str">
        <f>VLOOKUP(ErgebnisPositionH[[#This Row],[Name]],Teamzuordnung[[Name]:[Team]],2,FALSE)</f>
        <v>E</v>
      </c>
      <c r="N38" s="189">
        <f>IF(COUNTIFS(Eingabe[Name],ErgebnisPositionH[[#This Row],[Name]],Eingabe[Position],ErgebnisPositionH[[#Headers],[1]],Eingabe[Wo],"H")=0,"",ROUND(AVERAGEIFS(Eingabe[GES],Eingabe[Name],ErgebnisPositionH[[#This Row],[Name]],Eingabe[Position],ErgebnisPositionH[[#Headers],[1]],Eingabe[Wo],"H"),0))</f>
        <v>541</v>
      </c>
      <c r="O38" s="189" t="str">
        <f>IF(COUNTIFS(Eingabe[Name],ErgebnisPositionH[[#This Row],[Name]],Eingabe[Position],ErgebnisPositionH[[#Headers],[2]],Eingabe[Wo],"H")=0,"",ROUND(AVERAGEIFS(Eingabe[GES],Eingabe[Name],ErgebnisPositionH[[#This Row],[Name]],Eingabe[Position],ErgebnisPositionH[[#Headers],[2]],Eingabe[Wo],"H"),0))</f>
        <v/>
      </c>
      <c r="P38" s="189">
        <f>IF(COUNTIFS(Eingabe[Name],ErgebnisPositionH[[#This Row],[Name]],Eingabe[Position],ErgebnisPositionH[[#Headers],[3]],Eingabe[Wo],"H")=0,"",ROUND(AVERAGEIFS(Eingabe[GES],Eingabe[Name],ErgebnisPositionH[[#This Row],[Name]],Eingabe[Position],ErgebnisPositionH[[#Headers],[3]],Eingabe[Wo],"H"),0))</f>
        <v>533</v>
      </c>
      <c r="Q38" s="189" t="str">
        <f>IF(COUNTIFS(Eingabe[Name],ErgebnisPositionH[[#This Row],[Name]],Eingabe[Position],ErgebnisPositionH[[#Headers],[4]],Eingabe[Wo],"H")=0,"",ROUND(AVERAGEIFS(Eingabe[GES],Eingabe[Name],ErgebnisPositionH[[#This Row],[Name]],Eingabe[Position],ErgebnisPositionH[[#Headers],[4]],Eingabe[Wo],"H"),0))</f>
        <v/>
      </c>
      <c r="R38" s="189">
        <f>IF(COUNTIFS(Eingabe[Name],ErgebnisPositionH[[#This Row],[Name]],Eingabe[Position],ErgebnisPositionH[[#Headers],[5]],Eingabe[Wo],"H")=0,"",ROUND(AVERAGEIFS(Eingabe[GES],Eingabe[Name],ErgebnisPositionH[[#This Row],[Name]],Eingabe[Position],ErgebnisPositionH[[#Headers],[5]],Eingabe[Wo],"H"),0))</f>
        <v>531</v>
      </c>
      <c r="S38" s="189" t="str">
        <f>IF(COUNTIFS(Eingabe[Name],ErgebnisPositionH[[#This Row],[Name]],Eingabe[Position],ErgebnisPositionH[[#Headers],[6]],Eingabe[Wo],"H")=0,"",ROUND(AVERAGEIFS(Eingabe[GES],Eingabe[Name],ErgebnisPositionH[[#This Row],[Name]],Eingabe[Position],ErgebnisPositionH[[#Headers],[6]],Eingabe[Wo],"H"),0))</f>
        <v/>
      </c>
      <c r="V38" s="188" t="str">
        <f>ErgebnisPosition[[#This Row],[Name]]</f>
        <v>Patrick Hohmann</v>
      </c>
      <c r="W38" s="188" t="str">
        <f>VLOOKUP(ErgebnisPositionA[[#This Row],[Name]],Teamzuordnung[[Name]:[Team]],2,FALSE)</f>
        <v>E</v>
      </c>
      <c r="X38" s="189">
        <f>IF(COUNTIFS(Eingabe[Name],ErgebnisPositionA[[#This Row],[Name]],Eingabe[Position],ErgebnisPositionA[[#Headers],[1]],Eingabe[Wo],"A")=0,"",ROUND(AVERAGEIFS(Eingabe[GES],Eingabe[Name],ErgebnisPositionA[[#This Row],[Name]],Eingabe[Position],ErgebnisPositionA[[#Headers],[1]],Eingabe[Wo],"A"),0))</f>
        <v>520</v>
      </c>
      <c r="Y38" s="189" t="str">
        <f>IF(COUNTIFS(Eingabe[Name],ErgebnisPositionA[[#This Row],[Name]],Eingabe[Position],ErgebnisPositionA[[#Headers],[2]],Eingabe[Wo],"A")=0,"",ROUND(AVERAGEIFS(Eingabe[GES],Eingabe[Name],ErgebnisPositionA[[#This Row],[Name]],Eingabe[Position],ErgebnisPositionA[[#Headers],[2]],Eingabe[Wo],"A"),0))</f>
        <v/>
      </c>
      <c r="Z38" s="189">
        <f>IF(COUNTIFS(Eingabe[Name],ErgebnisPositionA[[#This Row],[Name]],Eingabe[Position],ErgebnisPositionA[[#Headers],[3]],Eingabe[Wo],"A")=0,"",ROUND(AVERAGEIFS(Eingabe[GES],Eingabe[Name],ErgebnisPositionA[[#This Row],[Name]],Eingabe[Position],ErgebnisPositionA[[#Headers],[3]],Eingabe[Wo],"A"),0))</f>
        <v>560</v>
      </c>
      <c r="AA38" s="189">
        <f>IF(COUNTIFS(Eingabe[Name],ErgebnisPositionA[[#This Row],[Name]],Eingabe[Position],ErgebnisPositionA[[#Headers],[4]],Eingabe[Wo],"A")=0,"",ROUND(AVERAGEIFS(Eingabe[GES],Eingabe[Name],ErgebnisPositionA[[#This Row],[Name]],Eingabe[Position],ErgebnisPositionA[[#Headers],[4]],Eingabe[Wo],"A"),0))</f>
        <v>511</v>
      </c>
      <c r="AB38" s="189" t="str">
        <f>IF(COUNTIFS(Eingabe[Name],ErgebnisPositionA[[#This Row],[Name]],Eingabe[Position],ErgebnisPositionA[[#Headers],[5]],Eingabe[Wo],"A")=0,"",ROUND(AVERAGEIFS(Eingabe[GES],Eingabe[Name],ErgebnisPositionA[[#This Row],[Name]],Eingabe[Position],ErgebnisPositionA[[#Headers],[5]],Eingabe[Wo],"A"),0))</f>
        <v/>
      </c>
      <c r="AC38" s="189">
        <f>IF(COUNTIFS(Eingabe[Name],ErgebnisPositionA[[#This Row],[Name]],Eingabe[Position],ErgebnisPositionA[[#Headers],[6]],Eingabe[Wo],"A")=0,"",ROUND(AVERAGEIFS(Eingabe[GES],Eingabe[Name],ErgebnisPositionA[[#This Row],[Name]],Eingabe[Position],ErgebnisPositionA[[#Headers],[6]],Eingabe[Wo],"A"),0))</f>
        <v>528</v>
      </c>
    </row>
    <row r="39" spans="2:29" ht="15.6" x14ac:dyDescent="0.3">
      <c r="B39" s="188" t="str">
        <f>Übersicht!B40</f>
        <v>Peter Paulmann</v>
      </c>
      <c r="C39" s="188" t="str">
        <f>VLOOKUP(ErgebnisPosition[[#This Row],[Name]],Teamzuordnung[[Name]:[Team]],2,FALSE)</f>
        <v>D</v>
      </c>
      <c r="D39" s="189">
        <f>IF(COUNTIFS(Eingabe[Name],ErgebnisPosition[[#This Row],[Name]],Eingabe[Position],ErgebnisPosition[[#Headers],[1]])=0,"",ROUND(AVERAGEIFS(Eingabe[GES],Eingabe[Name],ErgebnisPosition[[#This Row],[Name]],Eingabe[Position],ErgebnisPosition[[#Headers],[1]]),0))</f>
        <v>469</v>
      </c>
      <c r="E39" s="189" t="str">
        <f>IF(COUNTIFS(Eingabe[Name],ErgebnisPosition[[#This Row],[Name]],Eingabe[Position],ErgebnisPosition[[#Headers],[2]])=0,"",ROUND(AVERAGEIFS(Eingabe[GES],Eingabe[Name],ErgebnisPosition[[#This Row],[Name]],Eingabe[Position],ErgebnisPosition[[#Headers],[2]]),0))</f>
        <v/>
      </c>
      <c r="F39" s="189" t="str">
        <f>IF(COUNTIFS(Eingabe[Name],ErgebnisPosition[[#This Row],[Name]],Eingabe[Position],ErgebnisPosition[[#Headers],[3]])=0,"",ROUND(AVERAGEIFS(Eingabe[GES],Eingabe[Name],ErgebnisPosition[[#This Row],[Name]],Eingabe[Position],ErgebnisPosition[[#Headers],[3]]),0))</f>
        <v/>
      </c>
      <c r="G39" s="189" t="str">
        <f>IF(COUNTIFS(Eingabe[Name],ErgebnisPosition[[#This Row],[Name]],Eingabe[Position],ErgebnisPosition[[#Headers],[4]])=0,"",ROUND(AVERAGEIFS(Eingabe[GES],Eingabe[Name],ErgebnisPosition[[#This Row],[Name]],Eingabe[Position],ErgebnisPosition[[#Headers],[4]]),0))</f>
        <v/>
      </c>
      <c r="H39" s="189">
        <f>IF(COUNTIFS(Eingabe[Name],ErgebnisPosition[[#This Row],[Name]],Eingabe[Position],ErgebnisPosition[[#Headers],[5]])=0,"",ROUND(AVERAGEIFS(Eingabe[GES],Eingabe[Name],ErgebnisPosition[[#This Row],[Name]],Eingabe[Position],ErgebnisPosition[[#Headers],[5]]),0))</f>
        <v>498</v>
      </c>
      <c r="I39" s="189">
        <f>IF(COUNTIFS(Eingabe[Name],ErgebnisPosition[[#This Row],[Name]],Eingabe[Position],ErgebnisPosition[[#Headers],[6]])=0,"",ROUND(AVERAGEIFS(Eingabe[GES],Eingabe[Name],ErgebnisPosition[[#This Row],[Name]],Eingabe[Position],ErgebnisPosition[[#Headers],[6]]),0))</f>
        <v>561</v>
      </c>
      <c r="L39" s="188" t="str">
        <f>ErgebnisPosition[[#This Row],[Name]]</f>
        <v>Peter Paulmann</v>
      </c>
      <c r="M39" s="188" t="str">
        <f>VLOOKUP(ErgebnisPositionH[[#This Row],[Name]],Teamzuordnung[[Name]:[Team]],2,FALSE)</f>
        <v>D</v>
      </c>
      <c r="N39" s="189">
        <f>IF(COUNTIFS(Eingabe[Name],ErgebnisPositionH[[#This Row],[Name]],Eingabe[Position],ErgebnisPositionH[[#Headers],[1]],Eingabe[Wo],"H")=0,"",ROUND(AVERAGEIFS(Eingabe[GES],Eingabe[Name],ErgebnisPositionH[[#This Row],[Name]],Eingabe[Position],ErgebnisPositionH[[#Headers],[1]],Eingabe[Wo],"H"),0))</f>
        <v>469</v>
      </c>
      <c r="O39" s="189" t="str">
        <f>IF(COUNTIFS(Eingabe[Name],ErgebnisPositionH[[#This Row],[Name]],Eingabe[Position],ErgebnisPositionH[[#Headers],[2]],Eingabe[Wo],"H")=0,"",ROUND(AVERAGEIFS(Eingabe[GES],Eingabe[Name],ErgebnisPositionH[[#This Row],[Name]],Eingabe[Position],ErgebnisPositionH[[#Headers],[2]],Eingabe[Wo],"H"),0))</f>
        <v/>
      </c>
      <c r="P39" s="189" t="str">
        <f>IF(COUNTIFS(Eingabe[Name],ErgebnisPositionH[[#This Row],[Name]],Eingabe[Position],ErgebnisPositionH[[#Headers],[3]],Eingabe[Wo],"H")=0,"",ROUND(AVERAGEIFS(Eingabe[GES],Eingabe[Name],ErgebnisPositionH[[#This Row],[Name]],Eingabe[Position],ErgebnisPositionH[[#Headers],[3]],Eingabe[Wo],"H"),0))</f>
        <v/>
      </c>
      <c r="Q39" s="189" t="str">
        <f>IF(COUNTIFS(Eingabe[Name],ErgebnisPositionH[[#This Row],[Name]],Eingabe[Position],ErgebnisPositionH[[#Headers],[4]],Eingabe[Wo],"H")=0,"",ROUND(AVERAGEIFS(Eingabe[GES],Eingabe[Name],ErgebnisPositionH[[#This Row],[Name]],Eingabe[Position],ErgebnisPositionH[[#Headers],[4]],Eingabe[Wo],"H"),0))</f>
        <v/>
      </c>
      <c r="R39" s="189" t="str">
        <f>IF(COUNTIFS(Eingabe[Name],ErgebnisPositionH[[#This Row],[Name]],Eingabe[Position],ErgebnisPositionH[[#Headers],[5]],Eingabe[Wo],"H")=0,"",ROUND(AVERAGEIFS(Eingabe[GES],Eingabe[Name],ErgebnisPositionH[[#This Row],[Name]],Eingabe[Position],ErgebnisPositionH[[#Headers],[5]],Eingabe[Wo],"H"),0))</f>
        <v/>
      </c>
      <c r="S39" s="189" t="str">
        <f>IF(COUNTIFS(Eingabe[Name],ErgebnisPositionH[[#This Row],[Name]],Eingabe[Position],ErgebnisPositionH[[#Headers],[6]],Eingabe[Wo],"H")=0,"",ROUND(AVERAGEIFS(Eingabe[GES],Eingabe[Name],ErgebnisPositionH[[#This Row],[Name]],Eingabe[Position],ErgebnisPositionH[[#Headers],[6]],Eingabe[Wo],"H"),0))</f>
        <v/>
      </c>
      <c r="V39" s="188" t="str">
        <f>ErgebnisPosition[[#This Row],[Name]]</f>
        <v>Peter Paulmann</v>
      </c>
      <c r="W39" s="188" t="str">
        <f>VLOOKUP(ErgebnisPositionA[[#This Row],[Name]],Teamzuordnung[[Name]:[Team]],2,FALSE)</f>
        <v>D</v>
      </c>
      <c r="X39" s="189" t="str">
        <f>IF(COUNTIFS(Eingabe[Name],ErgebnisPositionA[[#This Row],[Name]],Eingabe[Position],ErgebnisPositionA[[#Headers],[1]],Eingabe[Wo],"A")=0,"",ROUND(AVERAGEIFS(Eingabe[GES],Eingabe[Name],ErgebnisPositionA[[#This Row],[Name]],Eingabe[Position],ErgebnisPositionA[[#Headers],[1]],Eingabe[Wo],"A"),0))</f>
        <v/>
      </c>
      <c r="Y39" s="189" t="str">
        <f>IF(COUNTIFS(Eingabe[Name],ErgebnisPositionA[[#This Row],[Name]],Eingabe[Position],ErgebnisPositionA[[#Headers],[2]],Eingabe[Wo],"A")=0,"",ROUND(AVERAGEIFS(Eingabe[GES],Eingabe[Name],ErgebnisPositionA[[#This Row],[Name]],Eingabe[Position],ErgebnisPositionA[[#Headers],[2]],Eingabe[Wo],"A"),0))</f>
        <v/>
      </c>
      <c r="Z39" s="189" t="str">
        <f>IF(COUNTIFS(Eingabe[Name],ErgebnisPositionA[[#This Row],[Name]],Eingabe[Position],ErgebnisPositionA[[#Headers],[3]],Eingabe[Wo],"A")=0,"",ROUND(AVERAGEIFS(Eingabe[GES],Eingabe[Name],ErgebnisPositionA[[#This Row],[Name]],Eingabe[Position],ErgebnisPositionA[[#Headers],[3]],Eingabe[Wo],"A"),0))</f>
        <v/>
      </c>
      <c r="AA39" s="189" t="str">
        <f>IF(COUNTIFS(Eingabe[Name],ErgebnisPositionA[[#This Row],[Name]],Eingabe[Position],ErgebnisPositionA[[#Headers],[4]],Eingabe[Wo],"A")=0,"",ROUND(AVERAGEIFS(Eingabe[GES],Eingabe[Name],ErgebnisPositionA[[#This Row],[Name]],Eingabe[Position],ErgebnisPositionA[[#Headers],[4]],Eingabe[Wo],"A"),0))</f>
        <v/>
      </c>
      <c r="AB39" s="189">
        <f>IF(COUNTIFS(Eingabe[Name],ErgebnisPositionA[[#This Row],[Name]],Eingabe[Position],ErgebnisPositionA[[#Headers],[5]],Eingabe[Wo],"A")=0,"",ROUND(AVERAGEIFS(Eingabe[GES],Eingabe[Name],ErgebnisPositionA[[#This Row],[Name]],Eingabe[Position],ErgebnisPositionA[[#Headers],[5]],Eingabe[Wo],"A"),0))</f>
        <v>498</v>
      </c>
      <c r="AC39" s="189">
        <f>IF(COUNTIFS(Eingabe[Name],ErgebnisPositionA[[#This Row],[Name]],Eingabe[Position],ErgebnisPositionA[[#Headers],[6]],Eingabe[Wo],"A")=0,"",ROUND(AVERAGEIFS(Eingabe[GES],Eingabe[Name],ErgebnisPositionA[[#This Row],[Name]],Eingabe[Position],ErgebnisPositionA[[#Headers],[6]],Eingabe[Wo],"A"),0))</f>
        <v>561</v>
      </c>
    </row>
    <row r="40" spans="2:29" ht="15.6" x14ac:dyDescent="0.3">
      <c r="B40" s="188" t="str">
        <f>Übersicht!B41</f>
        <v>Peter Weißling</v>
      </c>
      <c r="C40" s="188" t="str">
        <f>VLOOKUP(ErgebnisPosition[[#This Row],[Name]],Teamzuordnung[[Name]:[Team]],2,FALSE)</f>
        <v>D</v>
      </c>
      <c r="D40" s="189" t="str">
        <f>IF(COUNTIFS(Eingabe[Name],ErgebnisPosition[[#This Row],[Name]],Eingabe[Position],ErgebnisPosition[[#Headers],[1]])=0,"",ROUND(AVERAGEIFS(Eingabe[GES],Eingabe[Name],ErgebnisPosition[[#This Row],[Name]],Eingabe[Position],ErgebnisPosition[[#Headers],[1]]),0))</f>
        <v/>
      </c>
      <c r="E40" s="189" t="str">
        <f>IF(COUNTIFS(Eingabe[Name],ErgebnisPosition[[#This Row],[Name]],Eingabe[Position],ErgebnisPosition[[#Headers],[2]])=0,"",ROUND(AVERAGEIFS(Eingabe[GES],Eingabe[Name],ErgebnisPosition[[#This Row],[Name]],Eingabe[Position],ErgebnisPosition[[#Headers],[2]]),0))</f>
        <v/>
      </c>
      <c r="F40" s="189">
        <f>IF(COUNTIFS(Eingabe[Name],ErgebnisPosition[[#This Row],[Name]],Eingabe[Position],ErgebnisPosition[[#Headers],[3]])=0,"",ROUND(AVERAGEIFS(Eingabe[GES],Eingabe[Name],ErgebnisPosition[[#This Row],[Name]],Eingabe[Position],ErgebnisPosition[[#Headers],[3]]),0))</f>
        <v>487</v>
      </c>
      <c r="G40" s="189" t="str">
        <f>IF(COUNTIFS(Eingabe[Name],ErgebnisPosition[[#This Row],[Name]],Eingabe[Position],ErgebnisPosition[[#Headers],[4]])=0,"",ROUND(AVERAGEIFS(Eingabe[GES],Eingabe[Name],ErgebnisPosition[[#This Row],[Name]],Eingabe[Position],ErgebnisPosition[[#Headers],[4]]),0))</f>
        <v/>
      </c>
      <c r="H40" s="189" t="str">
        <f>IF(COUNTIFS(Eingabe[Name],ErgebnisPosition[[#This Row],[Name]],Eingabe[Position],ErgebnisPosition[[#Headers],[5]])=0,"",ROUND(AVERAGEIFS(Eingabe[GES],Eingabe[Name],ErgebnisPosition[[#This Row],[Name]],Eingabe[Position],ErgebnisPosition[[#Headers],[5]]),0))</f>
        <v/>
      </c>
      <c r="I40" s="189" t="str">
        <f>IF(COUNTIFS(Eingabe[Name],ErgebnisPosition[[#This Row],[Name]],Eingabe[Position],ErgebnisPosition[[#Headers],[6]])=0,"",ROUND(AVERAGEIFS(Eingabe[GES],Eingabe[Name],ErgebnisPosition[[#This Row],[Name]],Eingabe[Position],ErgebnisPosition[[#Headers],[6]]),0))</f>
        <v/>
      </c>
      <c r="L40" s="188" t="str">
        <f>ErgebnisPosition[[#This Row],[Name]]</f>
        <v>Peter Weißling</v>
      </c>
      <c r="M40" s="188" t="str">
        <f>VLOOKUP(ErgebnisPositionH[[#This Row],[Name]],Teamzuordnung[[Name]:[Team]],2,FALSE)</f>
        <v>D</v>
      </c>
      <c r="N40" s="189" t="str">
        <f>IF(COUNTIFS(Eingabe[Name],ErgebnisPositionH[[#This Row],[Name]],Eingabe[Position],ErgebnisPositionH[[#Headers],[1]],Eingabe[Wo],"H")=0,"",ROUND(AVERAGEIFS(Eingabe[GES],Eingabe[Name],ErgebnisPositionH[[#This Row],[Name]],Eingabe[Position],ErgebnisPositionH[[#Headers],[1]],Eingabe[Wo],"H"),0))</f>
        <v/>
      </c>
      <c r="O40" s="189" t="str">
        <f>IF(COUNTIFS(Eingabe[Name],ErgebnisPositionH[[#This Row],[Name]],Eingabe[Position],ErgebnisPositionH[[#Headers],[2]],Eingabe[Wo],"H")=0,"",ROUND(AVERAGEIFS(Eingabe[GES],Eingabe[Name],ErgebnisPositionH[[#This Row],[Name]],Eingabe[Position],ErgebnisPositionH[[#Headers],[2]],Eingabe[Wo],"H"),0))</f>
        <v/>
      </c>
      <c r="P40" s="189" t="str">
        <f>IF(COUNTIFS(Eingabe[Name],ErgebnisPositionH[[#This Row],[Name]],Eingabe[Position],ErgebnisPositionH[[#Headers],[3]],Eingabe[Wo],"H")=0,"",ROUND(AVERAGEIFS(Eingabe[GES],Eingabe[Name],ErgebnisPositionH[[#This Row],[Name]],Eingabe[Position],ErgebnisPositionH[[#Headers],[3]],Eingabe[Wo],"H"),0))</f>
        <v/>
      </c>
      <c r="Q40" s="189" t="str">
        <f>IF(COUNTIFS(Eingabe[Name],ErgebnisPositionH[[#This Row],[Name]],Eingabe[Position],ErgebnisPositionH[[#Headers],[4]],Eingabe[Wo],"H")=0,"",ROUND(AVERAGEIFS(Eingabe[GES],Eingabe[Name],ErgebnisPositionH[[#This Row],[Name]],Eingabe[Position],ErgebnisPositionH[[#Headers],[4]],Eingabe[Wo],"H"),0))</f>
        <v/>
      </c>
      <c r="R40" s="189" t="str">
        <f>IF(COUNTIFS(Eingabe[Name],ErgebnisPositionH[[#This Row],[Name]],Eingabe[Position],ErgebnisPositionH[[#Headers],[5]],Eingabe[Wo],"H")=0,"",ROUND(AVERAGEIFS(Eingabe[GES],Eingabe[Name],ErgebnisPositionH[[#This Row],[Name]],Eingabe[Position],ErgebnisPositionH[[#Headers],[5]],Eingabe[Wo],"H"),0))</f>
        <v/>
      </c>
      <c r="S40" s="189" t="str">
        <f>IF(COUNTIFS(Eingabe[Name],ErgebnisPositionH[[#This Row],[Name]],Eingabe[Position],ErgebnisPositionH[[#Headers],[6]],Eingabe[Wo],"H")=0,"",ROUND(AVERAGEIFS(Eingabe[GES],Eingabe[Name],ErgebnisPositionH[[#This Row],[Name]],Eingabe[Position],ErgebnisPositionH[[#Headers],[6]],Eingabe[Wo],"H"),0))</f>
        <v/>
      </c>
      <c r="V40" s="188" t="str">
        <f>ErgebnisPosition[[#This Row],[Name]]</f>
        <v>Peter Weißling</v>
      </c>
      <c r="W40" s="188" t="str">
        <f>VLOOKUP(ErgebnisPositionA[[#This Row],[Name]],Teamzuordnung[[Name]:[Team]],2,FALSE)</f>
        <v>D</v>
      </c>
      <c r="X40" s="189" t="str">
        <f>IF(COUNTIFS(Eingabe[Name],ErgebnisPositionA[[#This Row],[Name]],Eingabe[Position],ErgebnisPositionA[[#Headers],[1]],Eingabe[Wo],"A")=0,"",ROUND(AVERAGEIFS(Eingabe[GES],Eingabe[Name],ErgebnisPositionA[[#This Row],[Name]],Eingabe[Position],ErgebnisPositionA[[#Headers],[1]],Eingabe[Wo],"A"),0))</f>
        <v/>
      </c>
      <c r="Y40" s="189" t="str">
        <f>IF(COUNTIFS(Eingabe[Name],ErgebnisPositionA[[#This Row],[Name]],Eingabe[Position],ErgebnisPositionA[[#Headers],[2]],Eingabe[Wo],"A")=0,"",ROUND(AVERAGEIFS(Eingabe[GES],Eingabe[Name],ErgebnisPositionA[[#This Row],[Name]],Eingabe[Position],ErgebnisPositionA[[#Headers],[2]],Eingabe[Wo],"A"),0))</f>
        <v/>
      </c>
      <c r="Z40" s="189">
        <f>IF(COUNTIFS(Eingabe[Name],ErgebnisPositionA[[#This Row],[Name]],Eingabe[Position],ErgebnisPositionA[[#Headers],[3]],Eingabe[Wo],"A")=0,"",ROUND(AVERAGEIFS(Eingabe[GES],Eingabe[Name],ErgebnisPositionA[[#This Row],[Name]],Eingabe[Position],ErgebnisPositionA[[#Headers],[3]],Eingabe[Wo],"A"),0))</f>
        <v>487</v>
      </c>
      <c r="AA40" s="189" t="str">
        <f>IF(COUNTIFS(Eingabe[Name],ErgebnisPositionA[[#This Row],[Name]],Eingabe[Position],ErgebnisPositionA[[#Headers],[4]],Eingabe[Wo],"A")=0,"",ROUND(AVERAGEIFS(Eingabe[GES],Eingabe[Name],ErgebnisPositionA[[#This Row],[Name]],Eingabe[Position],ErgebnisPositionA[[#Headers],[4]],Eingabe[Wo],"A"),0))</f>
        <v/>
      </c>
      <c r="AB40" s="189" t="str">
        <f>IF(COUNTIFS(Eingabe[Name],ErgebnisPositionA[[#This Row],[Name]],Eingabe[Position],ErgebnisPositionA[[#Headers],[5]],Eingabe[Wo],"A")=0,"",ROUND(AVERAGEIFS(Eingabe[GES],Eingabe[Name],ErgebnisPositionA[[#This Row],[Name]],Eingabe[Position],ErgebnisPositionA[[#Headers],[5]],Eingabe[Wo],"A"),0))</f>
        <v/>
      </c>
      <c r="AC40" s="189" t="str">
        <f>IF(COUNTIFS(Eingabe[Name],ErgebnisPositionA[[#This Row],[Name]],Eingabe[Position],ErgebnisPositionA[[#Headers],[6]],Eingabe[Wo],"A")=0,"",ROUND(AVERAGEIFS(Eingabe[GES],Eingabe[Name],ErgebnisPositionA[[#This Row],[Name]],Eingabe[Position],ErgebnisPositionA[[#Headers],[6]],Eingabe[Wo],"A"),0))</f>
        <v/>
      </c>
    </row>
    <row r="41" spans="2:29" ht="15.6" x14ac:dyDescent="0.3">
      <c r="B41" s="188" t="str">
        <f>Übersicht!B42</f>
        <v>Petra Kubon</v>
      </c>
      <c r="C41" s="188" t="str">
        <f>VLOOKUP(ErgebnisPosition[[#This Row],[Name]],Teamzuordnung[[Name]:[Team]],2,FALSE)</f>
        <v>F</v>
      </c>
      <c r="D41" s="189" t="str">
        <f>IF(COUNTIFS(Eingabe[Name],ErgebnisPosition[[#This Row],[Name]],Eingabe[Position],ErgebnisPosition[[#Headers],[1]])=0,"",ROUND(AVERAGEIFS(Eingabe[GES],Eingabe[Name],ErgebnisPosition[[#This Row],[Name]],Eingabe[Position],ErgebnisPosition[[#Headers],[1]]),0))</f>
        <v/>
      </c>
      <c r="E41" s="189" t="str">
        <f>IF(COUNTIFS(Eingabe[Name],ErgebnisPosition[[#This Row],[Name]],Eingabe[Position],ErgebnisPosition[[#Headers],[2]])=0,"",ROUND(AVERAGEIFS(Eingabe[GES],Eingabe[Name],ErgebnisPosition[[#This Row],[Name]],Eingabe[Position],ErgebnisPosition[[#Headers],[2]]),0))</f>
        <v/>
      </c>
      <c r="F41" s="189" t="str">
        <f>IF(COUNTIFS(Eingabe[Name],ErgebnisPosition[[#This Row],[Name]],Eingabe[Position],ErgebnisPosition[[#Headers],[3]])=0,"",ROUND(AVERAGEIFS(Eingabe[GES],Eingabe[Name],ErgebnisPosition[[#This Row],[Name]],Eingabe[Position],ErgebnisPosition[[#Headers],[3]]),0))</f>
        <v/>
      </c>
      <c r="G41" s="189">
        <f>IF(COUNTIFS(Eingabe[Name],ErgebnisPosition[[#This Row],[Name]],Eingabe[Position],ErgebnisPosition[[#Headers],[4]])=0,"",ROUND(AVERAGEIFS(Eingabe[GES],Eingabe[Name],ErgebnisPosition[[#This Row],[Name]],Eingabe[Position],ErgebnisPosition[[#Headers],[4]]),0))</f>
        <v>477</v>
      </c>
      <c r="H41" s="189" t="str">
        <f>IF(COUNTIFS(Eingabe[Name],ErgebnisPosition[[#This Row],[Name]],Eingabe[Position],ErgebnisPosition[[#Headers],[5]])=0,"",ROUND(AVERAGEIFS(Eingabe[GES],Eingabe[Name],ErgebnisPosition[[#This Row],[Name]],Eingabe[Position],ErgebnisPosition[[#Headers],[5]]),0))</f>
        <v/>
      </c>
      <c r="I41" s="189" t="str">
        <f>IF(COUNTIFS(Eingabe[Name],ErgebnisPosition[[#This Row],[Name]],Eingabe[Position],ErgebnisPosition[[#Headers],[6]])=0,"",ROUND(AVERAGEIFS(Eingabe[GES],Eingabe[Name],ErgebnisPosition[[#This Row],[Name]],Eingabe[Position],ErgebnisPosition[[#Headers],[6]]),0))</f>
        <v/>
      </c>
      <c r="L41" s="188" t="str">
        <f>ErgebnisPosition[[#This Row],[Name]]</f>
        <v>Petra Kubon</v>
      </c>
      <c r="M41" s="188" t="str">
        <f>VLOOKUP(ErgebnisPositionH[[#This Row],[Name]],Teamzuordnung[[Name]:[Team]],2,FALSE)</f>
        <v>F</v>
      </c>
      <c r="N41" s="189" t="str">
        <f>IF(COUNTIFS(Eingabe[Name],ErgebnisPositionH[[#This Row],[Name]],Eingabe[Position],ErgebnisPositionH[[#Headers],[1]],Eingabe[Wo],"H")=0,"",ROUND(AVERAGEIFS(Eingabe[GES],Eingabe[Name],ErgebnisPositionH[[#This Row],[Name]],Eingabe[Position],ErgebnisPositionH[[#Headers],[1]],Eingabe[Wo],"H"),0))</f>
        <v/>
      </c>
      <c r="O41" s="189" t="str">
        <f>IF(COUNTIFS(Eingabe[Name],ErgebnisPositionH[[#This Row],[Name]],Eingabe[Position],ErgebnisPositionH[[#Headers],[2]],Eingabe[Wo],"H")=0,"",ROUND(AVERAGEIFS(Eingabe[GES],Eingabe[Name],ErgebnisPositionH[[#This Row],[Name]],Eingabe[Position],ErgebnisPositionH[[#Headers],[2]],Eingabe[Wo],"H"),0))</f>
        <v/>
      </c>
      <c r="P41" s="189" t="str">
        <f>IF(COUNTIFS(Eingabe[Name],ErgebnisPositionH[[#This Row],[Name]],Eingabe[Position],ErgebnisPositionH[[#Headers],[3]],Eingabe[Wo],"H")=0,"",ROUND(AVERAGEIFS(Eingabe[GES],Eingabe[Name],ErgebnisPositionH[[#This Row],[Name]],Eingabe[Position],ErgebnisPositionH[[#Headers],[3]],Eingabe[Wo],"H"),0))</f>
        <v/>
      </c>
      <c r="Q41" s="189">
        <f>IF(COUNTIFS(Eingabe[Name],ErgebnisPositionH[[#This Row],[Name]],Eingabe[Position],ErgebnisPositionH[[#Headers],[4]],Eingabe[Wo],"H")=0,"",ROUND(AVERAGEIFS(Eingabe[GES],Eingabe[Name],ErgebnisPositionH[[#This Row],[Name]],Eingabe[Position],ErgebnisPositionH[[#Headers],[4]],Eingabe[Wo],"H"),0))</f>
        <v>477</v>
      </c>
      <c r="R41" s="189" t="str">
        <f>IF(COUNTIFS(Eingabe[Name],ErgebnisPositionH[[#This Row],[Name]],Eingabe[Position],ErgebnisPositionH[[#Headers],[5]],Eingabe[Wo],"H")=0,"",ROUND(AVERAGEIFS(Eingabe[GES],Eingabe[Name],ErgebnisPositionH[[#This Row],[Name]],Eingabe[Position],ErgebnisPositionH[[#Headers],[5]],Eingabe[Wo],"H"),0))</f>
        <v/>
      </c>
      <c r="S41" s="189" t="str">
        <f>IF(COUNTIFS(Eingabe[Name],ErgebnisPositionH[[#This Row],[Name]],Eingabe[Position],ErgebnisPositionH[[#Headers],[6]],Eingabe[Wo],"H")=0,"",ROUND(AVERAGEIFS(Eingabe[GES],Eingabe[Name],ErgebnisPositionH[[#This Row],[Name]],Eingabe[Position],ErgebnisPositionH[[#Headers],[6]],Eingabe[Wo],"H"),0))</f>
        <v/>
      </c>
      <c r="V41" s="188" t="str">
        <f>ErgebnisPosition[[#This Row],[Name]]</f>
        <v>Petra Kubon</v>
      </c>
      <c r="W41" s="188" t="str">
        <f>VLOOKUP(ErgebnisPositionA[[#This Row],[Name]],Teamzuordnung[[Name]:[Team]],2,FALSE)</f>
        <v>F</v>
      </c>
      <c r="X41" s="189" t="str">
        <f>IF(COUNTIFS(Eingabe[Name],ErgebnisPositionA[[#This Row],[Name]],Eingabe[Position],ErgebnisPositionA[[#Headers],[1]],Eingabe[Wo],"A")=0,"",ROUND(AVERAGEIFS(Eingabe[GES],Eingabe[Name],ErgebnisPositionA[[#This Row],[Name]],Eingabe[Position],ErgebnisPositionA[[#Headers],[1]],Eingabe[Wo],"A"),0))</f>
        <v/>
      </c>
      <c r="Y41" s="189" t="str">
        <f>IF(COUNTIFS(Eingabe[Name],ErgebnisPositionA[[#This Row],[Name]],Eingabe[Position],ErgebnisPositionA[[#Headers],[2]],Eingabe[Wo],"A")=0,"",ROUND(AVERAGEIFS(Eingabe[GES],Eingabe[Name],ErgebnisPositionA[[#This Row],[Name]],Eingabe[Position],ErgebnisPositionA[[#Headers],[2]],Eingabe[Wo],"A"),0))</f>
        <v/>
      </c>
      <c r="Z41" s="189" t="str">
        <f>IF(COUNTIFS(Eingabe[Name],ErgebnisPositionA[[#This Row],[Name]],Eingabe[Position],ErgebnisPositionA[[#Headers],[3]],Eingabe[Wo],"A")=0,"",ROUND(AVERAGEIFS(Eingabe[GES],Eingabe[Name],ErgebnisPositionA[[#This Row],[Name]],Eingabe[Position],ErgebnisPositionA[[#Headers],[3]],Eingabe[Wo],"A"),0))</f>
        <v/>
      </c>
      <c r="AA41" s="189" t="str">
        <f>IF(COUNTIFS(Eingabe[Name],ErgebnisPositionA[[#This Row],[Name]],Eingabe[Position],ErgebnisPositionA[[#Headers],[4]],Eingabe[Wo],"A")=0,"",ROUND(AVERAGEIFS(Eingabe[GES],Eingabe[Name],ErgebnisPositionA[[#This Row],[Name]],Eingabe[Position],ErgebnisPositionA[[#Headers],[4]],Eingabe[Wo],"A"),0))</f>
        <v/>
      </c>
      <c r="AB41" s="189" t="str">
        <f>IF(COUNTIFS(Eingabe[Name],ErgebnisPositionA[[#This Row],[Name]],Eingabe[Position],ErgebnisPositionA[[#Headers],[5]],Eingabe[Wo],"A")=0,"",ROUND(AVERAGEIFS(Eingabe[GES],Eingabe[Name],ErgebnisPositionA[[#This Row],[Name]],Eingabe[Position],ErgebnisPositionA[[#Headers],[5]],Eingabe[Wo],"A"),0))</f>
        <v/>
      </c>
      <c r="AC41" s="189" t="str">
        <f>IF(COUNTIFS(Eingabe[Name],ErgebnisPositionA[[#This Row],[Name]],Eingabe[Position],ErgebnisPositionA[[#Headers],[6]],Eingabe[Wo],"A")=0,"",ROUND(AVERAGEIFS(Eingabe[GES],Eingabe[Name],ErgebnisPositionA[[#This Row],[Name]],Eingabe[Position],ErgebnisPositionA[[#Headers],[6]],Eingabe[Wo],"A"),0))</f>
        <v/>
      </c>
    </row>
    <row r="42" spans="2:29" ht="15.6" x14ac:dyDescent="0.3">
      <c r="B42" s="188" t="str">
        <f>Übersicht!B43</f>
        <v>Philipp Paulmann</v>
      </c>
      <c r="C42" s="188" t="str">
        <f>VLOOKUP(ErgebnisPosition[[#This Row],[Name]],Teamzuordnung[[Name]:[Team]],2,FALSE)</f>
        <v>E</v>
      </c>
      <c r="D42" s="189">
        <f>IF(COUNTIFS(Eingabe[Name],ErgebnisPosition[[#This Row],[Name]],Eingabe[Position],ErgebnisPosition[[#Headers],[1]])=0,"",ROUND(AVERAGEIFS(Eingabe[GES],Eingabe[Name],ErgebnisPosition[[#This Row],[Name]],Eingabe[Position],ErgebnisPosition[[#Headers],[1]]),0))</f>
        <v>540</v>
      </c>
      <c r="E42" s="189" t="str">
        <f>IF(COUNTIFS(Eingabe[Name],ErgebnisPosition[[#This Row],[Name]],Eingabe[Position],ErgebnisPosition[[#Headers],[2]])=0,"",ROUND(AVERAGEIFS(Eingabe[GES],Eingabe[Name],ErgebnisPosition[[#This Row],[Name]],Eingabe[Position],ErgebnisPosition[[#Headers],[2]]),0))</f>
        <v/>
      </c>
      <c r="F42" s="189">
        <f>IF(COUNTIFS(Eingabe[Name],ErgebnisPosition[[#This Row],[Name]],Eingabe[Position],ErgebnisPosition[[#Headers],[3]])=0,"",ROUND(AVERAGEIFS(Eingabe[GES],Eingabe[Name],ErgebnisPosition[[#This Row],[Name]],Eingabe[Position],ErgebnisPosition[[#Headers],[3]]),0))</f>
        <v>519</v>
      </c>
      <c r="G42" s="189" t="str">
        <f>IF(COUNTIFS(Eingabe[Name],ErgebnisPosition[[#This Row],[Name]],Eingabe[Position],ErgebnisPosition[[#Headers],[4]])=0,"",ROUND(AVERAGEIFS(Eingabe[GES],Eingabe[Name],ErgebnisPosition[[#This Row],[Name]],Eingabe[Position],ErgebnisPosition[[#Headers],[4]]),0))</f>
        <v/>
      </c>
      <c r="H42" s="189">
        <f>IF(COUNTIFS(Eingabe[Name],ErgebnisPosition[[#This Row],[Name]],Eingabe[Position],ErgebnisPosition[[#Headers],[5]])=0,"",ROUND(AVERAGEIFS(Eingabe[GES],Eingabe[Name],ErgebnisPosition[[#This Row],[Name]],Eingabe[Position],ErgebnisPosition[[#Headers],[5]]),0))</f>
        <v>579</v>
      </c>
      <c r="I42" s="189">
        <f>IF(COUNTIFS(Eingabe[Name],ErgebnisPosition[[#This Row],[Name]],Eingabe[Position],ErgebnisPosition[[#Headers],[6]])=0,"",ROUND(AVERAGEIFS(Eingabe[GES],Eingabe[Name],ErgebnisPosition[[#This Row],[Name]],Eingabe[Position],ErgebnisPosition[[#Headers],[6]]),0))</f>
        <v>567</v>
      </c>
      <c r="L42" s="188" t="str">
        <f>ErgebnisPosition[[#This Row],[Name]]</f>
        <v>Philipp Paulmann</v>
      </c>
      <c r="M42" s="188" t="str">
        <f>VLOOKUP(ErgebnisPositionH[[#This Row],[Name]],Teamzuordnung[[Name]:[Team]],2,FALSE)</f>
        <v>E</v>
      </c>
      <c r="N42" s="189">
        <f>IF(COUNTIFS(Eingabe[Name],ErgebnisPositionH[[#This Row],[Name]],Eingabe[Position],ErgebnisPositionH[[#Headers],[1]],Eingabe[Wo],"H")=0,"",ROUND(AVERAGEIFS(Eingabe[GES],Eingabe[Name],ErgebnisPositionH[[#This Row],[Name]],Eingabe[Position],ErgebnisPositionH[[#Headers],[1]],Eingabe[Wo],"H"),0))</f>
        <v>540</v>
      </c>
      <c r="O42" s="189" t="str">
        <f>IF(COUNTIFS(Eingabe[Name],ErgebnisPositionH[[#This Row],[Name]],Eingabe[Position],ErgebnisPositionH[[#Headers],[2]],Eingabe[Wo],"H")=0,"",ROUND(AVERAGEIFS(Eingabe[GES],Eingabe[Name],ErgebnisPositionH[[#This Row],[Name]],Eingabe[Position],ErgebnisPositionH[[#Headers],[2]],Eingabe[Wo],"H"),0))</f>
        <v/>
      </c>
      <c r="P42" s="189">
        <f>IF(COUNTIFS(Eingabe[Name],ErgebnisPositionH[[#This Row],[Name]],Eingabe[Position],ErgebnisPositionH[[#Headers],[3]],Eingabe[Wo],"H")=0,"",ROUND(AVERAGEIFS(Eingabe[GES],Eingabe[Name],ErgebnisPositionH[[#This Row],[Name]],Eingabe[Position],ErgebnisPositionH[[#Headers],[3]],Eingabe[Wo],"H"),0))</f>
        <v>519</v>
      </c>
      <c r="Q42" s="189" t="str">
        <f>IF(COUNTIFS(Eingabe[Name],ErgebnisPositionH[[#This Row],[Name]],Eingabe[Position],ErgebnisPositionH[[#Headers],[4]],Eingabe[Wo],"H")=0,"",ROUND(AVERAGEIFS(Eingabe[GES],Eingabe[Name],ErgebnisPositionH[[#This Row],[Name]],Eingabe[Position],ErgebnisPositionH[[#Headers],[4]],Eingabe[Wo],"H"),0))</f>
        <v/>
      </c>
      <c r="R42" s="189">
        <f>IF(COUNTIFS(Eingabe[Name],ErgebnisPositionH[[#This Row],[Name]],Eingabe[Position],ErgebnisPositionH[[#Headers],[5]],Eingabe[Wo],"H")=0,"",ROUND(AVERAGEIFS(Eingabe[GES],Eingabe[Name],ErgebnisPositionH[[#This Row],[Name]],Eingabe[Position],ErgebnisPositionH[[#Headers],[5]],Eingabe[Wo],"H"),0))</f>
        <v>584</v>
      </c>
      <c r="S42" s="189" t="str">
        <f>IF(COUNTIFS(Eingabe[Name],ErgebnisPositionH[[#This Row],[Name]],Eingabe[Position],ErgebnisPositionH[[#Headers],[6]],Eingabe[Wo],"H")=0,"",ROUND(AVERAGEIFS(Eingabe[GES],Eingabe[Name],ErgebnisPositionH[[#This Row],[Name]],Eingabe[Position],ErgebnisPositionH[[#Headers],[6]],Eingabe[Wo],"H"),0))</f>
        <v/>
      </c>
      <c r="V42" s="188" t="str">
        <f>ErgebnisPosition[[#This Row],[Name]]</f>
        <v>Philipp Paulmann</v>
      </c>
      <c r="W42" s="188" t="str">
        <f>VLOOKUP(ErgebnisPositionA[[#This Row],[Name]],Teamzuordnung[[Name]:[Team]],2,FALSE)</f>
        <v>E</v>
      </c>
      <c r="X42" s="189" t="str">
        <f>IF(COUNTIFS(Eingabe[Name],ErgebnisPositionA[[#This Row],[Name]],Eingabe[Position],ErgebnisPositionA[[#Headers],[1]],Eingabe[Wo],"A")=0,"",ROUND(AVERAGEIFS(Eingabe[GES],Eingabe[Name],ErgebnisPositionA[[#This Row],[Name]],Eingabe[Position],ErgebnisPositionA[[#Headers],[1]],Eingabe[Wo],"A"),0))</f>
        <v/>
      </c>
      <c r="Y42" s="189" t="str">
        <f>IF(COUNTIFS(Eingabe[Name],ErgebnisPositionA[[#This Row],[Name]],Eingabe[Position],ErgebnisPositionA[[#Headers],[2]],Eingabe[Wo],"A")=0,"",ROUND(AVERAGEIFS(Eingabe[GES],Eingabe[Name],ErgebnisPositionA[[#This Row],[Name]],Eingabe[Position],ErgebnisPositionA[[#Headers],[2]],Eingabe[Wo],"A"),0))</f>
        <v/>
      </c>
      <c r="Z42" s="189" t="str">
        <f>IF(COUNTIFS(Eingabe[Name],ErgebnisPositionA[[#This Row],[Name]],Eingabe[Position],ErgebnisPositionA[[#Headers],[3]],Eingabe[Wo],"A")=0,"",ROUND(AVERAGEIFS(Eingabe[GES],Eingabe[Name],ErgebnisPositionA[[#This Row],[Name]],Eingabe[Position],ErgebnisPositionA[[#Headers],[3]],Eingabe[Wo],"A"),0))</f>
        <v/>
      </c>
      <c r="AA42" s="189" t="str">
        <f>IF(COUNTIFS(Eingabe[Name],ErgebnisPositionA[[#This Row],[Name]],Eingabe[Position],ErgebnisPositionA[[#Headers],[4]],Eingabe[Wo],"A")=0,"",ROUND(AVERAGEIFS(Eingabe[GES],Eingabe[Name],ErgebnisPositionA[[#This Row],[Name]],Eingabe[Position],ErgebnisPositionA[[#Headers],[4]],Eingabe[Wo],"A"),0))</f>
        <v/>
      </c>
      <c r="AB42" s="189">
        <f>IF(COUNTIFS(Eingabe[Name],ErgebnisPositionA[[#This Row],[Name]],Eingabe[Position],ErgebnisPositionA[[#Headers],[5]],Eingabe[Wo],"A")=0,"",ROUND(AVERAGEIFS(Eingabe[GES],Eingabe[Name],ErgebnisPositionA[[#This Row],[Name]],Eingabe[Position],ErgebnisPositionA[[#Headers],[5]],Eingabe[Wo],"A"),0))</f>
        <v>564</v>
      </c>
      <c r="AC42" s="189">
        <f>IF(COUNTIFS(Eingabe[Name],ErgebnisPositionA[[#This Row],[Name]],Eingabe[Position],ErgebnisPositionA[[#Headers],[6]],Eingabe[Wo],"A")=0,"",ROUND(AVERAGEIFS(Eingabe[GES],Eingabe[Name],ErgebnisPositionA[[#This Row],[Name]],Eingabe[Position],ErgebnisPositionA[[#Headers],[6]],Eingabe[Wo],"A"),0))</f>
        <v>567</v>
      </c>
    </row>
    <row r="43" spans="2:29" ht="15.6" x14ac:dyDescent="0.3">
      <c r="B43" s="188" t="str">
        <f>Übersicht!B44</f>
        <v>Pia Wätzig</v>
      </c>
      <c r="C43" s="188" t="str">
        <f>VLOOKUP(ErgebnisPosition[[#This Row],[Name]],Teamzuordnung[[Name]:[Team]],2,FALSE)</f>
        <v>U19</v>
      </c>
      <c r="D43" s="189">
        <f>IF(COUNTIFS(Eingabe[Name],ErgebnisPosition[[#This Row],[Name]],Eingabe[Position],ErgebnisPosition[[#Headers],[1]])=0,"",ROUND(AVERAGEIFS(Eingabe[GES],Eingabe[Name],ErgebnisPosition[[#This Row],[Name]],Eingabe[Position],ErgebnisPosition[[#Headers],[1]]),0))</f>
        <v>492</v>
      </c>
      <c r="E43" s="189" t="str">
        <f>IF(COUNTIFS(Eingabe[Name],ErgebnisPosition[[#This Row],[Name]],Eingabe[Position],ErgebnisPosition[[#Headers],[2]])=0,"",ROUND(AVERAGEIFS(Eingabe[GES],Eingabe[Name],ErgebnisPosition[[#This Row],[Name]],Eingabe[Position],ErgebnisPosition[[#Headers],[2]]),0))</f>
        <v/>
      </c>
      <c r="F43" s="189">
        <f>IF(COUNTIFS(Eingabe[Name],ErgebnisPosition[[#This Row],[Name]],Eingabe[Position],ErgebnisPosition[[#Headers],[3]])=0,"",ROUND(AVERAGEIFS(Eingabe[GES],Eingabe[Name],ErgebnisPosition[[#This Row],[Name]],Eingabe[Position],ErgebnisPosition[[#Headers],[3]]),0))</f>
        <v>488</v>
      </c>
      <c r="G43" s="189" t="str">
        <f>IF(COUNTIFS(Eingabe[Name],ErgebnisPosition[[#This Row],[Name]],Eingabe[Position],ErgebnisPosition[[#Headers],[4]])=0,"",ROUND(AVERAGEIFS(Eingabe[GES],Eingabe[Name],ErgebnisPosition[[#This Row],[Name]],Eingabe[Position],ErgebnisPosition[[#Headers],[4]]),0))</f>
        <v/>
      </c>
      <c r="H43" s="189" t="str">
        <f>IF(COUNTIFS(Eingabe[Name],ErgebnisPosition[[#This Row],[Name]],Eingabe[Position],ErgebnisPosition[[#Headers],[5]])=0,"",ROUND(AVERAGEIFS(Eingabe[GES],Eingabe[Name],ErgebnisPosition[[#This Row],[Name]],Eingabe[Position],ErgebnisPosition[[#Headers],[5]]),0))</f>
        <v/>
      </c>
      <c r="I43" s="189" t="str">
        <f>IF(COUNTIFS(Eingabe[Name],ErgebnisPosition[[#This Row],[Name]],Eingabe[Position],ErgebnisPosition[[#Headers],[6]])=0,"",ROUND(AVERAGEIFS(Eingabe[GES],Eingabe[Name],ErgebnisPosition[[#This Row],[Name]],Eingabe[Position],ErgebnisPosition[[#Headers],[6]]),0))</f>
        <v/>
      </c>
      <c r="L43" s="188" t="str">
        <f>ErgebnisPosition[[#This Row],[Name]]</f>
        <v>Pia Wätzig</v>
      </c>
      <c r="M43" s="188" t="str">
        <f>VLOOKUP(ErgebnisPositionH[[#This Row],[Name]],Teamzuordnung[[Name]:[Team]],2,FALSE)</f>
        <v>U19</v>
      </c>
      <c r="N43" s="189" t="str">
        <f>IF(COUNTIFS(Eingabe[Name],ErgebnisPositionH[[#This Row],[Name]],Eingabe[Position],ErgebnisPositionH[[#Headers],[1]],Eingabe[Wo],"H")=0,"",ROUND(AVERAGEIFS(Eingabe[GES],Eingabe[Name],ErgebnisPositionH[[#This Row],[Name]],Eingabe[Position],ErgebnisPositionH[[#Headers],[1]],Eingabe[Wo],"H"),0))</f>
        <v/>
      </c>
      <c r="O43" s="189" t="str">
        <f>IF(COUNTIFS(Eingabe[Name],ErgebnisPositionH[[#This Row],[Name]],Eingabe[Position],ErgebnisPositionH[[#Headers],[2]],Eingabe[Wo],"H")=0,"",ROUND(AVERAGEIFS(Eingabe[GES],Eingabe[Name],ErgebnisPositionH[[#This Row],[Name]],Eingabe[Position],ErgebnisPositionH[[#Headers],[2]],Eingabe[Wo],"H"),0))</f>
        <v/>
      </c>
      <c r="P43" s="189" t="str">
        <f>IF(COUNTIFS(Eingabe[Name],ErgebnisPositionH[[#This Row],[Name]],Eingabe[Position],ErgebnisPositionH[[#Headers],[3]],Eingabe[Wo],"H")=0,"",ROUND(AVERAGEIFS(Eingabe[GES],Eingabe[Name],ErgebnisPositionH[[#This Row],[Name]],Eingabe[Position],ErgebnisPositionH[[#Headers],[3]],Eingabe[Wo],"H"),0))</f>
        <v/>
      </c>
      <c r="Q43" s="189" t="str">
        <f>IF(COUNTIFS(Eingabe[Name],ErgebnisPositionH[[#This Row],[Name]],Eingabe[Position],ErgebnisPositionH[[#Headers],[4]],Eingabe[Wo],"H")=0,"",ROUND(AVERAGEIFS(Eingabe[GES],Eingabe[Name],ErgebnisPositionH[[#This Row],[Name]],Eingabe[Position],ErgebnisPositionH[[#Headers],[4]],Eingabe[Wo],"H"),0))</f>
        <v/>
      </c>
      <c r="R43" s="189" t="str">
        <f>IF(COUNTIFS(Eingabe[Name],ErgebnisPositionH[[#This Row],[Name]],Eingabe[Position],ErgebnisPositionH[[#Headers],[5]],Eingabe[Wo],"H")=0,"",ROUND(AVERAGEIFS(Eingabe[GES],Eingabe[Name],ErgebnisPositionH[[#This Row],[Name]],Eingabe[Position],ErgebnisPositionH[[#Headers],[5]],Eingabe[Wo],"H"),0))</f>
        <v/>
      </c>
      <c r="S43" s="189" t="str">
        <f>IF(COUNTIFS(Eingabe[Name],ErgebnisPositionH[[#This Row],[Name]],Eingabe[Position],ErgebnisPositionH[[#Headers],[6]],Eingabe[Wo],"H")=0,"",ROUND(AVERAGEIFS(Eingabe[GES],Eingabe[Name],ErgebnisPositionH[[#This Row],[Name]],Eingabe[Position],ErgebnisPositionH[[#Headers],[6]],Eingabe[Wo],"H"),0))</f>
        <v/>
      </c>
      <c r="V43" s="188" t="str">
        <f>ErgebnisPosition[[#This Row],[Name]]</f>
        <v>Pia Wätzig</v>
      </c>
      <c r="W43" s="188" t="str">
        <f>VLOOKUP(ErgebnisPositionA[[#This Row],[Name]],Teamzuordnung[[Name]:[Team]],2,FALSE)</f>
        <v>U19</v>
      </c>
      <c r="X43" s="189">
        <f>IF(COUNTIFS(Eingabe[Name],ErgebnisPositionA[[#This Row],[Name]],Eingabe[Position],ErgebnisPositionA[[#Headers],[1]],Eingabe[Wo],"A")=0,"",ROUND(AVERAGEIFS(Eingabe[GES],Eingabe[Name],ErgebnisPositionA[[#This Row],[Name]],Eingabe[Position],ErgebnisPositionA[[#Headers],[1]],Eingabe[Wo],"A"),0))</f>
        <v>492</v>
      </c>
      <c r="Y43" s="189" t="str">
        <f>IF(COUNTIFS(Eingabe[Name],ErgebnisPositionA[[#This Row],[Name]],Eingabe[Position],ErgebnisPositionA[[#Headers],[2]],Eingabe[Wo],"A")=0,"",ROUND(AVERAGEIFS(Eingabe[GES],Eingabe[Name],ErgebnisPositionA[[#This Row],[Name]],Eingabe[Position],ErgebnisPositionA[[#Headers],[2]],Eingabe[Wo],"A"),0))</f>
        <v/>
      </c>
      <c r="Z43" s="189">
        <f>IF(COUNTIFS(Eingabe[Name],ErgebnisPositionA[[#This Row],[Name]],Eingabe[Position],ErgebnisPositionA[[#Headers],[3]],Eingabe[Wo],"A")=0,"",ROUND(AVERAGEIFS(Eingabe[GES],Eingabe[Name],ErgebnisPositionA[[#This Row],[Name]],Eingabe[Position],ErgebnisPositionA[[#Headers],[3]],Eingabe[Wo],"A"),0))</f>
        <v>488</v>
      </c>
      <c r="AA43" s="189" t="str">
        <f>IF(COUNTIFS(Eingabe[Name],ErgebnisPositionA[[#This Row],[Name]],Eingabe[Position],ErgebnisPositionA[[#Headers],[4]],Eingabe[Wo],"A")=0,"",ROUND(AVERAGEIFS(Eingabe[GES],Eingabe[Name],ErgebnisPositionA[[#This Row],[Name]],Eingabe[Position],ErgebnisPositionA[[#Headers],[4]],Eingabe[Wo],"A"),0))</f>
        <v/>
      </c>
      <c r="AB43" s="189" t="str">
        <f>IF(COUNTIFS(Eingabe[Name],ErgebnisPositionA[[#This Row],[Name]],Eingabe[Position],ErgebnisPositionA[[#Headers],[5]],Eingabe[Wo],"A")=0,"",ROUND(AVERAGEIFS(Eingabe[GES],Eingabe[Name],ErgebnisPositionA[[#This Row],[Name]],Eingabe[Position],ErgebnisPositionA[[#Headers],[5]],Eingabe[Wo],"A"),0))</f>
        <v/>
      </c>
      <c r="AC43" s="189" t="str">
        <f>IF(COUNTIFS(Eingabe[Name],ErgebnisPositionA[[#This Row],[Name]],Eingabe[Position],ErgebnisPositionA[[#Headers],[6]],Eingabe[Wo],"A")=0,"",ROUND(AVERAGEIFS(Eingabe[GES],Eingabe[Name],ErgebnisPositionA[[#This Row],[Name]],Eingabe[Position],ErgebnisPositionA[[#Headers],[6]],Eingabe[Wo],"A"),0))</f>
        <v/>
      </c>
    </row>
    <row r="44" spans="2:29" ht="15.6" x14ac:dyDescent="0.3">
      <c r="B44" s="188" t="str">
        <f>Übersicht!B45</f>
        <v>Sophia Stirl</v>
      </c>
      <c r="C44" s="188" t="str">
        <f>VLOOKUP(ErgebnisPosition[[#This Row],[Name]],Teamzuordnung[[Name]:[Team]],2,FALSE)</f>
        <v>U14</v>
      </c>
      <c r="D44" s="189" t="str">
        <f>IF(COUNTIFS(Eingabe[Name],ErgebnisPosition[[#This Row],[Name]],Eingabe[Position],ErgebnisPosition[[#Headers],[1]])=0,"",ROUND(AVERAGEIFS(Eingabe[GES],Eingabe[Name],ErgebnisPosition[[#This Row],[Name]],Eingabe[Position],ErgebnisPosition[[#Headers],[1]]),0))</f>
        <v/>
      </c>
      <c r="E44" s="189" t="str">
        <f>IF(COUNTIFS(Eingabe[Name],ErgebnisPosition[[#This Row],[Name]],Eingabe[Position],ErgebnisPosition[[#Headers],[2]])=0,"",ROUND(AVERAGEIFS(Eingabe[GES],Eingabe[Name],ErgebnisPosition[[#This Row],[Name]],Eingabe[Position],ErgebnisPosition[[#Headers],[2]]),0))</f>
        <v/>
      </c>
      <c r="F44" s="189" t="str">
        <f>IF(COUNTIFS(Eingabe[Name],ErgebnisPosition[[#This Row],[Name]],Eingabe[Position],ErgebnisPosition[[#Headers],[3]])=0,"",ROUND(AVERAGEIFS(Eingabe[GES],Eingabe[Name],ErgebnisPosition[[#This Row],[Name]],Eingabe[Position],ErgebnisPosition[[#Headers],[3]]),0))</f>
        <v/>
      </c>
      <c r="G44" s="189" t="str">
        <f>IF(COUNTIFS(Eingabe[Name],ErgebnisPosition[[#This Row],[Name]],Eingabe[Position],ErgebnisPosition[[#Headers],[4]])=0,"",ROUND(AVERAGEIFS(Eingabe[GES],Eingabe[Name],ErgebnisPosition[[#This Row],[Name]],Eingabe[Position],ErgebnisPosition[[#Headers],[4]]),0))</f>
        <v/>
      </c>
      <c r="H44" s="189" t="str">
        <f>IF(COUNTIFS(Eingabe[Name],ErgebnisPosition[[#This Row],[Name]],Eingabe[Position],ErgebnisPosition[[#Headers],[5]])=0,"",ROUND(AVERAGEIFS(Eingabe[GES],Eingabe[Name],ErgebnisPosition[[#This Row],[Name]],Eingabe[Position],ErgebnisPosition[[#Headers],[5]]),0))</f>
        <v/>
      </c>
      <c r="I44" s="189" t="str">
        <f>IF(COUNTIFS(Eingabe[Name],ErgebnisPosition[[#This Row],[Name]],Eingabe[Position],ErgebnisPosition[[#Headers],[6]])=0,"",ROUND(AVERAGEIFS(Eingabe[GES],Eingabe[Name],ErgebnisPosition[[#This Row],[Name]],Eingabe[Position],ErgebnisPosition[[#Headers],[6]]),0))</f>
        <v/>
      </c>
      <c r="L44" s="188" t="str">
        <f>ErgebnisPosition[[#This Row],[Name]]</f>
        <v>Sophia Stirl</v>
      </c>
      <c r="M44" s="188" t="str">
        <f>VLOOKUP(ErgebnisPositionH[[#This Row],[Name]],Teamzuordnung[[Name]:[Team]],2,FALSE)</f>
        <v>U14</v>
      </c>
      <c r="N44" s="189" t="str">
        <f>IF(COUNTIFS(Eingabe[Name],ErgebnisPositionH[[#This Row],[Name]],Eingabe[Position],ErgebnisPositionH[[#Headers],[1]],Eingabe[Wo],"H")=0,"",ROUND(AVERAGEIFS(Eingabe[GES],Eingabe[Name],ErgebnisPositionH[[#This Row],[Name]],Eingabe[Position],ErgebnisPositionH[[#Headers],[1]],Eingabe[Wo],"H"),0))</f>
        <v/>
      </c>
      <c r="O44" s="189" t="str">
        <f>IF(COUNTIFS(Eingabe[Name],ErgebnisPositionH[[#This Row],[Name]],Eingabe[Position],ErgebnisPositionH[[#Headers],[2]],Eingabe[Wo],"H")=0,"",ROUND(AVERAGEIFS(Eingabe[GES],Eingabe[Name],ErgebnisPositionH[[#This Row],[Name]],Eingabe[Position],ErgebnisPositionH[[#Headers],[2]],Eingabe[Wo],"H"),0))</f>
        <v/>
      </c>
      <c r="P44" s="189" t="str">
        <f>IF(COUNTIFS(Eingabe[Name],ErgebnisPositionH[[#This Row],[Name]],Eingabe[Position],ErgebnisPositionH[[#Headers],[3]],Eingabe[Wo],"H")=0,"",ROUND(AVERAGEIFS(Eingabe[GES],Eingabe[Name],ErgebnisPositionH[[#This Row],[Name]],Eingabe[Position],ErgebnisPositionH[[#Headers],[3]],Eingabe[Wo],"H"),0))</f>
        <v/>
      </c>
      <c r="Q44" s="189" t="str">
        <f>IF(COUNTIFS(Eingabe[Name],ErgebnisPositionH[[#This Row],[Name]],Eingabe[Position],ErgebnisPositionH[[#Headers],[4]],Eingabe[Wo],"H")=0,"",ROUND(AVERAGEIFS(Eingabe[GES],Eingabe[Name],ErgebnisPositionH[[#This Row],[Name]],Eingabe[Position],ErgebnisPositionH[[#Headers],[4]],Eingabe[Wo],"H"),0))</f>
        <v/>
      </c>
      <c r="R44" s="189" t="str">
        <f>IF(COUNTIFS(Eingabe[Name],ErgebnisPositionH[[#This Row],[Name]],Eingabe[Position],ErgebnisPositionH[[#Headers],[5]],Eingabe[Wo],"H")=0,"",ROUND(AVERAGEIFS(Eingabe[GES],Eingabe[Name],ErgebnisPositionH[[#This Row],[Name]],Eingabe[Position],ErgebnisPositionH[[#Headers],[5]],Eingabe[Wo],"H"),0))</f>
        <v/>
      </c>
      <c r="S44" s="189" t="str">
        <f>IF(COUNTIFS(Eingabe[Name],ErgebnisPositionH[[#This Row],[Name]],Eingabe[Position],ErgebnisPositionH[[#Headers],[6]],Eingabe[Wo],"H")=0,"",ROUND(AVERAGEIFS(Eingabe[GES],Eingabe[Name],ErgebnisPositionH[[#This Row],[Name]],Eingabe[Position],ErgebnisPositionH[[#Headers],[6]],Eingabe[Wo],"H"),0))</f>
        <v/>
      </c>
      <c r="V44" s="188" t="str">
        <f>ErgebnisPosition[[#This Row],[Name]]</f>
        <v>Sophia Stirl</v>
      </c>
      <c r="W44" s="188" t="str">
        <f>VLOOKUP(ErgebnisPositionA[[#This Row],[Name]],Teamzuordnung[[Name]:[Team]],2,FALSE)</f>
        <v>U14</v>
      </c>
      <c r="X44" s="189" t="str">
        <f>IF(COUNTIFS(Eingabe[Name],ErgebnisPositionA[[#This Row],[Name]],Eingabe[Position],ErgebnisPositionA[[#Headers],[1]],Eingabe[Wo],"A")=0,"",ROUND(AVERAGEIFS(Eingabe[GES],Eingabe[Name],ErgebnisPositionA[[#This Row],[Name]],Eingabe[Position],ErgebnisPositionA[[#Headers],[1]],Eingabe[Wo],"A"),0))</f>
        <v/>
      </c>
      <c r="Y44" s="189" t="str">
        <f>IF(COUNTIFS(Eingabe[Name],ErgebnisPositionA[[#This Row],[Name]],Eingabe[Position],ErgebnisPositionA[[#Headers],[2]],Eingabe[Wo],"A")=0,"",ROUND(AVERAGEIFS(Eingabe[GES],Eingabe[Name],ErgebnisPositionA[[#This Row],[Name]],Eingabe[Position],ErgebnisPositionA[[#Headers],[2]],Eingabe[Wo],"A"),0))</f>
        <v/>
      </c>
      <c r="Z44" s="189" t="str">
        <f>IF(COUNTIFS(Eingabe[Name],ErgebnisPositionA[[#This Row],[Name]],Eingabe[Position],ErgebnisPositionA[[#Headers],[3]],Eingabe[Wo],"A")=0,"",ROUND(AVERAGEIFS(Eingabe[GES],Eingabe[Name],ErgebnisPositionA[[#This Row],[Name]],Eingabe[Position],ErgebnisPositionA[[#Headers],[3]],Eingabe[Wo],"A"),0))</f>
        <v/>
      </c>
      <c r="AA44" s="189" t="str">
        <f>IF(COUNTIFS(Eingabe[Name],ErgebnisPositionA[[#This Row],[Name]],Eingabe[Position],ErgebnisPositionA[[#Headers],[4]],Eingabe[Wo],"A")=0,"",ROUND(AVERAGEIFS(Eingabe[GES],Eingabe[Name],ErgebnisPositionA[[#This Row],[Name]],Eingabe[Position],ErgebnisPositionA[[#Headers],[4]],Eingabe[Wo],"A"),0))</f>
        <v/>
      </c>
      <c r="AB44" s="189" t="str">
        <f>IF(COUNTIFS(Eingabe[Name],ErgebnisPositionA[[#This Row],[Name]],Eingabe[Position],ErgebnisPositionA[[#Headers],[5]],Eingabe[Wo],"A")=0,"",ROUND(AVERAGEIFS(Eingabe[GES],Eingabe[Name],ErgebnisPositionA[[#This Row],[Name]],Eingabe[Position],ErgebnisPositionA[[#Headers],[5]],Eingabe[Wo],"A"),0))</f>
        <v/>
      </c>
      <c r="AC44" s="189" t="str">
        <f>IF(COUNTIFS(Eingabe[Name],ErgebnisPositionA[[#This Row],[Name]],Eingabe[Position],ErgebnisPositionA[[#Headers],[6]],Eingabe[Wo],"A")=0,"",ROUND(AVERAGEIFS(Eingabe[GES],Eingabe[Name],ErgebnisPositionA[[#This Row],[Name]],Eingabe[Position],ErgebnisPositionA[[#Headers],[6]],Eingabe[Wo],"A"),0))</f>
        <v/>
      </c>
    </row>
    <row r="45" spans="2:29" ht="15.6" x14ac:dyDescent="0.3">
      <c r="B45" s="188" t="str">
        <f>Übersicht!B46</f>
        <v>Stefan Teuber</v>
      </c>
      <c r="C45" s="188" t="str">
        <f>VLOOKUP(ErgebnisPosition[[#This Row],[Name]],Teamzuordnung[[Name]:[Team]],2,FALSE)</f>
        <v>E</v>
      </c>
      <c r="D45" s="189">
        <f>IF(COUNTIFS(Eingabe[Name],ErgebnisPosition[[#This Row],[Name]],Eingabe[Position],ErgebnisPosition[[#Headers],[1]])=0,"",ROUND(AVERAGEIFS(Eingabe[GES],Eingabe[Name],ErgebnisPosition[[#This Row],[Name]],Eingabe[Position],ErgebnisPosition[[#Headers],[1]]),0))</f>
        <v>511</v>
      </c>
      <c r="E45" s="189">
        <f>IF(COUNTIFS(Eingabe[Name],ErgebnisPosition[[#This Row],[Name]],Eingabe[Position],ErgebnisPosition[[#Headers],[2]])=0,"",ROUND(AVERAGEIFS(Eingabe[GES],Eingabe[Name],ErgebnisPosition[[#This Row],[Name]],Eingabe[Position],ErgebnisPosition[[#Headers],[2]]),0))</f>
        <v>516</v>
      </c>
      <c r="F45" s="189" t="str">
        <f>IF(COUNTIFS(Eingabe[Name],ErgebnisPosition[[#This Row],[Name]],Eingabe[Position],ErgebnisPosition[[#Headers],[3]])=0,"",ROUND(AVERAGEIFS(Eingabe[GES],Eingabe[Name],ErgebnisPosition[[#This Row],[Name]],Eingabe[Position],ErgebnisPosition[[#Headers],[3]]),0))</f>
        <v/>
      </c>
      <c r="G45" s="189">
        <f>IF(COUNTIFS(Eingabe[Name],ErgebnisPosition[[#This Row],[Name]],Eingabe[Position],ErgebnisPosition[[#Headers],[4]])=0,"",ROUND(AVERAGEIFS(Eingabe[GES],Eingabe[Name],ErgebnisPosition[[#This Row],[Name]],Eingabe[Position],ErgebnisPosition[[#Headers],[4]]),0))</f>
        <v>547</v>
      </c>
      <c r="H45" s="189" t="str">
        <f>IF(COUNTIFS(Eingabe[Name],ErgebnisPosition[[#This Row],[Name]],Eingabe[Position],ErgebnisPosition[[#Headers],[5]])=0,"",ROUND(AVERAGEIFS(Eingabe[GES],Eingabe[Name],ErgebnisPosition[[#This Row],[Name]],Eingabe[Position],ErgebnisPosition[[#Headers],[5]]),0))</f>
        <v/>
      </c>
      <c r="I45" s="189" t="str">
        <f>IF(COUNTIFS(Eingabe[Name],ErgebnisPosition[[#This Row],[Name]],Eingabe[Position],ErgebnisPosition[[#Headers],[6]])=0,"",ROUND(AVERAGEIFS(Eingabe[GES],Eingabe[Name],ErgebnisPosition[[#This Row],[Name]],Eingabe[Position],ErgebnisPosition[[#Headers],[6]]),0))</f>
        <v/>
      </c>
      <c r="L45" s="188" t="str">
        <f>ErgebnisPosition[[#This Row],[Name]]</f>
        <v>Stefan Teuber</v>
      </c>
      <c r="M45" s="188" t="str">
        <f>VLOOKUP(ErgebnisPositionH[[#This Row],[Name]],Teamzuordnung[[Name]:[Team]],2,FALSE)</f>
        <v>E</v>
      </c>
      <c r="N45" s="189">
        <f>IF(COUNTIFS(Eingabe[Name],ErgebnisPositionH[[#This Row],[Name]],Eingabe[Position],ErgebnisPositionH[[#Headers],[1]],Eingabe[Wo],"H")=0,"",ROUND(AVERAGEIFS(Eingabe[GES],Eingabe[Name],ErgebnisPositionH[[#This Row],[Name]],Eingabe[Position],ErgebnisPositionH[[#Headers],[1]],Eingabe[Wo],"H"),0))</f>
        <v>490</v>
      </c>
      <c r="O45" s="189">
        <f>IF(COUNTIFS(Eingabe[Name],ErgebnisPositionH[[#This Row],[Name]],Eingabe[Position],ErgebnisPositionH[[#Headers],[2]],Eingabe[Wo],"H")=0,"",ROUND(AVERAGEIFS(Eingabe[GES],Eingabe[Name],ErgebnisPositionH[[#This Row],[Name]],Eingabe[Position],ErgebnisPositionH[[#Headers],[2]],Eingabe[Wo],"H"),0))</f>
        <v>511</v>
      </c>
      <c r="P45" s="189" t="str">
        <f>IF(COUNTIFS(Eingabe[Name],ErgebnisPositionH[[#This Row],[Name]],Eingabe[Position],ErgebnisPositionH[[#Headers],[3]],Eingabe[Wo],"H")=0,"",ROUND(AVERAGEIFS(Eingabe[GES],Eingabe[Name],ErgebnisPositionH[[#This Row],[Name]],Eingabe[Position],ErgebnisPositionH[[#Headers],[3]],Eingabe[Wo],"H"),0))</f>
        <v/>
      </c>
      <c r="Q45" s="189">
        <f>IF(COUNTIFS(Eingabe[Name],ErgebnisPositionH[[#This Row],[Name]],Eingabe[Position],ErgebnisPositionH[[#Headers],[4]],Eingabe[Wo],"H")=0,"",ROUND(AVERAGEIFS(Eingabe[GES],Eingabe[Name],ErgebnisPositionH[[#This Row],[Name]],Eingabe[Position],ErgebnisPositionH[[#Headers],[4]],Eingabe[Wo],"H"),0))</f>
        <v>533</v>
      </c>
      <c r="R45" s="189" t="str">
        <f>IF(COUNTIFS(Eingabe[Name],ErgebnisPositionH[[#This Row],[Name]],Eingabe[Position],ErgebnisPositionH[[#Headers],[5]],Eingabe[Wo],"H")=0,"",ROUND(AVERAGEIFS(Eingabe[GES],Eingabe[Name],ErgebnisPositionH[[#This Row],[Name]],Eingabe[Position],ErgebnisPositionH[[#Headers],[5]],Eingabe[Wo],"H"),0))</f>
        <v/>
      </c>
      <c r="S45" s="189" t="str">
        <f>IF(COUNTIFS(Eingabe[Name],ErgebnisPositionH[[#This Row],[Name]],Eingabe[Position],ErgebnisPositionH[[#Headers],[6]],Eingabe[Wo],"H")=0,"",ROUND(AVERAGEIFS(Eingabe[GES],Eingabe[Name],ErgebnisPositionH[[#This Row],[Name]],Eingabe[Position],ErgebnisPositionH[[#Headers],[6]],Eingabe[Wo],"H"),0))</f>
        <v/>
      </c>
      <c r="V45" s="188" t="str">
        <f>ErgebnisPosition[[#This Row],[Name]]</f>
        <v>Stefan Teuber</v>
      </c>
      <c r="W45" s="188" t="str">
        <f>VLOOKUP(ErgebnisPositionA[[#This Row],[Name]],Teamzuordnung[[Name]:[Team]],2,FALSE)</f>
        <v>E</v>
      </c>
      <c r="X45" s="189">
        <f>IF(COUNTIFS(Eingabe[Name],ErgebnisPositionA[[#This Row],[Name]],Eingabe[Position],ErgebnisPositionA[[#Headers],[1]],Eingabe[Wo],"A")=0,"",ROUND(AVERAGEIFS(Eingabe[GES],Eingabe[Name],ErgebnisPositionA[[#This Row],[Name]],Eingabe[Position],ErgebnisPositionA[[#Headers],[1]],Eingabe[Wo],"A"),0))</f>
        <v>531</v>
      </c>
      <c r="Y45" s="189">
        <f>IF(COUNTIFS(Eingabe[Name],ErgebnisPositionA[[#This Row],[Name]],Eingabe[Position],ErgebnisPositionA[[#Headers],[2]],Eingabe[Wo],"A")=0,"",ROUND(AVERAGEIFS(Eingabe[GES],Eingabe[Name],ErgebnisPositionA[[#This Row],[Name]],Eingabe[Position],ErgebnisPositionA[[#Headers],[2]],Eingabe[Wo],"A"),0))</f>
        <v>530</v>
      </c>
      <c r="Z45" s="189" t="str">
        <f>IF(COUNTIFS(Eingabe[Name],ErgebnisPositionA[[#This Row],[Name]],Eingabe[Position],ErgebnisPositionA[[#Headers],[3]],Eingabe[Wo],"A")=0,"",ROUND(AVERAGEIFS(Eingabe[GES],Eingabe[Name],ErgebnisPositionA[[#This Row],[Name]],Eingabe[Position],ErgebnisPositionA[[#Headers],[3]],Eingabe[Wo],"A"),0))</f>
        <v/>
      </c>
      <c r="AA45" s="189">
        <f>IF(COUNTIFS(Eingabe[Name],ErgebnisPositionA[[#This Row],[Name]],Eingabe[Position],ErgebnisPositionA[[#Headers],[4]],Eingabe[Wo],"A")=0,"",ROUND(AVERAGEIFS(Eingabe[GES],Eingabe[Name],ErgebnisPositionA[[#This Row],[Name]],Eingabe[Position],ErgebnisPositionA[[#Headers],[4]],Eingabe[Wo],"A"),0))</f>
        <v>569</v>
      </c>
      <c r="AB45" s="189" t="str">
        <f>IF(COUNTIFS(Eingabe[Name],ErgebnisPositionA[[#This Row],[Name]],Eingabe[Position],ErgebnisPositionA[[#Headers],[5]],Eingabe[Wo],"A")=0,"",ROUND(AVERAGEIFS(Eingabe[GES],Eingabe[Name],ErgebnisPositionA[[#This Row],[Name]],Eingabe[Position],ErgebnisPositionA[[#Headers],[5]],Eingabe[Wo],"A"),0))</f>
        <v/>
      </c>
      <c r="AC45" s="189" t="str">
        <f>IF(COUNTIFS(Eingabe[Name],ErgebnisPositionA[[#This Row],[Name]],Eingabe[Position],ErgebnisPositionA[[#Headers],[6]],Eingabe[Wo],"A")=0,"",ROUND(AVERAGEIFS(Eingabe[GES],Eingabe[Name],ErgebnisPositionA[[#This Row],[Name]],Eingabe[Position],ErgebnisPositionA[[#Headers],[6]],Eingabe[Wo],"A"),0))</f>
        <v/>
      </c>
    </row>
    <row r="46" spans="2:29" ht="15.6" x14ac:dyDescent="0.3">
      <c r="B46" s="188" t="str">
        <f>Übersicht!B47</f>
        <v>Stefan Ulbricht</v>
      </c>
      <c r="C46" s="188" t="str">
        <f>VLOOKUP(ErgebnisPosition[[#This Row],[Name]],Teamzuordnung[[Name]:[Team]],2,FALSE)</f>
        <v>Z</v>
      </c>
      <c r="D46" s="189" t="str">
        <f>IF(COUNTIFS(Eingabe[Name],ErgebnisPosition[[#This Row],[Name]],Eingabe[Position],ErgebnisPosition[[#Headers],[1]])=0,"",ROUND(AVERAGEIFS(Eingabe[GES],Eingabe[Name],ErgebnisPosition[[#This Row],[Name]],Eingabe[Position],ErgebnisPosition[[#Headers],[1]]),0))</f>
        <v/>
      </c>
      <c r="E46" s="189" t="str">
        <f>IF(COUNTIFS(Eingabe[Name],ErgebnisPosition[[#This Row],[Name]],Eingabe[Position],ErgebnisPosition[[#Headers],[2]])=0,"",ROUND(AVERAGEIFS(Eingabe[GES],Eingabe[Name],ErgebnisPosition[[#This Row],[Name]],Eingabe[Position],ErgebnisPosition[[#Headers],[2]]),0))</f>
        <v/>
      </c>
      <c r="F46" s="189">
        <f>IF(COUNTIFS(Eingabe[Name],ErgebnisPosition[[#This Row],[Name]],Eingabe[Position],ErgebnisPosition[[#Headers],[3]])=0,"",ROUND(AVERAGEIFS(Eingabe[GES],Eingabe[Name],ErgebnisPosition[[#This Row],[Name]],Eingabe[Position],ErgebnisPosition[[#Headers],[3]]),0))</f>
        <v>493</v>
      </c>
      <c r="G46" s="189">
        <f>IF(COUNTIFS(Eingabe[Name],ErgebnisPosition[[#This Row],[Name]],Eingabe[Position],ErgebnisPosition[[#Headers],[4]])=0,"",ROUND(AVERAGEIFS(Eingabe[GES],Eingabe[Name],ErgebnisPosition[[#This Row],[Name]],Eingabe[Position],ErgebnisPosition[[#Headers],[4]]),0))</f>
        <v>523</v>
      </c>
      <c r="H46" s="189" t="str">
        <f>IF(COUNTIFS(Eingabe[Name],ErgebnisPosition[[#This Row],[Name]],Eingabe[Position],ErgebnisPosition[[#Headers],[5]])=0,"",ROUND(AVERAGEIFS(Eingabe[GES],Eingabe[Name],ErgebnisPosition[[#This Row],[Name]],Eingabe[Position],ErgebnisPosition[[#Headers],[5]]),0))</f>
        <v/>
      </c>
      <c r="I46" s="189" t="str">
        <f>IF(COUNTIFS(Eingabe[Name],ErgebnisPosition[[#This Row],[Name]],Eingabe[Position],ErgebnisPosition[[#Headers],[6]])=0,"",ROUND(AVERAGEIFS(Eingabe[GES],Eingabe[Name],ErgebnisPosition[[#This Row],[Name]],Eingabe[Position],ErgebnisPosition[[#Headers],[6]]),0))</f>
        <v/>
      </c>
      <c r="L46" s="188" t="str">
        <f>ErgebnisPosition[[#This Row],[Name]]</f>
        <v>Stefan Ulbricht</v>
      </c>
      <c r="M46" s="188" t="str">
        <f>VLOOKUP(ErgebnisPositionH[[#This Row],[Name]],Teamzuordnung[[Name]:[Team]],2,FALSE)</f>
        <v>Z</v>
      </c>
      <c r="N46" s="189" t="str">
        <f>IF(COUNTIFS(Eingabe[Name],ErgebnisPositionH[[#This Row],[Name]],Eingabe[Position],ErgebnisPositionH[[#Headers],[1]],Eingabe[Wo],"H")=0,"",ROUND(AVERAGEIFS(Eingabe[GES],Eingabe[Name],ErgebnisPositionH[[#This Row],[Name]],Eingabe[Position],ErgebnisPositionH[[#Headers],[1]],Eingabe[Wo],"H"),0))</f>
        <v/>
      </c>
      <c r="O46" s="189" t="str">
        <f>IF(COUNTIFS(Eingabe[Name],ErgebnisPositionH[[#This Row],[Name]],Eingabe[Position],ErgebnisPositionH[[#Headers],[2]],Eingabe[Wo],"H")=0,"",ROUND(AVERAGEIFS(Eingabe[GES],Eingabe[Name],ErgebnisPositionH[[#This Row],[Name]],Eingabe[Position],ErgebnisPositionH[[#Headers],[2]],Eingabe[Wo],"H"),0))</f>
        <v/>
      </c>
      <c r="P46" s="189">
        <f>IF(COUNTIFS(Eingabe[Name],ErgebnisPositionH[[#This Row],[Name]],Eingabe[Position],ErgebnisPositionH[[#Headers],[3]],Eingabe[Wo],"H")=0,"",ROUND(AVERAGEIFS(Eingabe[GES],Eingabe[Name],ErgebnisPositionH[[#This Row],[Name]],Eingabe[Position],ErgebnisPositionH[[#Headers],[3]],Eingabe[Wo],"H"),0))</f>
        <v>496</v>
      </c>
      <c r="Q46" s="189">
        <f>IF(COUNTIFS(Eingabe[Name],ErgebnisPositionH[[#This Row],[Name]],Eingabe[Position],ErgebnisPositionH[[#Headers],[4]],Eingabe[Wo],"H")=0,"",ROUND(AVERAGEIFS(Eingabe[GES],Eingabe[Name],ErgebnisPositionH[[#This Row],[Name]],Eingabe[Position],ErgebnisPositionH[[#Headers],[4]],Eingabe[Wo],"H"),0))</f>
        <v>470</v>
      </c>
      <c r="R46" s="189" t="str">
        <f>IF(COUNTIFS(Eingabe[Name],ErgebnisPositionH[[#This Row],[Name]],Eingabe[Position],ErgebnisPositionH[[#Headers],[5]],Eingabe[Wo],"H")=0,"",ROUND(AVERAGEIFS(Eingabe[GES],Eingabe[Name],ErgebnisPositionH[[#This Row],[Name]],Eingabe[Position],ErgebnisPositionH[[#Headers],[5]],Eingabe[Wo],"H"),0))</f>
        <v/>
      </c>
      <c r="S46" s="189" t="str">
        <f>IF(COUNTIFS(Eingabe[Name],ErgebnisPositionH[[#This Row],[Name]],Eingabe[Position],ErgebnisPositionH[[#Headers],[6]],Eingabe[Wo],"H")=0,"",ROUND(AVERAGEIFS(Eingabe[GES],Eingabe[Name],ErgebnisPositionH[[#This Row],[Name]],Eingabe[Position],ErgebnisPositionH[[#Headers],[6]],Eingabe[Wo],"H"),0))</f>
        <v/>
      </c>
      <c r="V46" s="188" t="str">
        <f>ErgebnisPosition[[#This Row],[Name]]</f>
        <v>Stefan Ulbricht</v>
      </c>
      <c r="W46" s="188" t="str">
        <f>VLOOKUP(ErgebnisPositionA[[#This Row],[Name]],Teamzuordnung[[Name]:[Team]],2,FALSE)</f>
        <v>Z</v>
      </c>
      <c r="X46" s="189" t="str">
        <f>IF(COUNTIFS(Eingabe[Name],ErgebnisPositionA[[#This Row],[Name]],Eingabe[Position],ErgebnisPositionA[[#Headers],[1]],Eingabe[Wo],"A")=0,"",ROUND(AVERAGEIFS(Eingabe[GES],Eingabe[Name],ErgebnisPositionA[[#This Row],[Name]],Eingabe[Position],ErgebnisPositionA[[#Headers],[1]],Eingabe[Wo],"A"),0))</f>
        <v/>
      </c>
      <c r="Y46" s="189" t="str">
        <f>IF(COUNTIFS(Eingabe[Name],ErgebnisPositionA[[#This Row],[Name]],Eingabe[Position],ErgebnisPositionA[[#Headers],[2]],Eingabe[Wo],"A")=0,"",ROUND(AVERAGEIFS(Eingabe[GES],Eingabe[Name],ErgebnisPositionA[[#This Row],[Name]],Eingabe[Position],ErgebnisPositionA[[#Headers],[2]],Eingabe[Wo],"A"),0))</f>
        <v/>
      </c>
      <c r="Z46" s="189">
        <f>IF(COUNTIFS(Eingabe[Name],ErgebnisPositionA[[#This Row],[Name]],Eingabe[Position],ErgebnisPositionA[[#Headers],[3]],Eingabe[Wo],"A")=0,"",ROUND(AVERAGEIFS(Eingabe[GES],Eingabe[Name],ErgebnisPositionA[[#This Row],[Name]],Eingabe[Position],ErgebnisPositionA[[#Headers],[3]],Eingabe[Wo],"A"),0))</f>
        <v>490</v>
      </c>
      <c r="AA46" s="189">
        <f>IF(COUNTIFS(Eingabe[Name],ErgebnisPositionA[[#This Row],[Name]],Eingabe[Position],ErgebnisPositionA[[#Headers],[4]],Eingabe[Wo],"A")=0,"",ROUND(AVERAGEIFS(Eingabe[GES],Eingabe[Name],ErgebnisPositionA[[#This Row],[Name]],Eingabe[Position],ErgebnisPositionA[[#Headers],[4]],Eingabe[Wo],"A"),0))</f>
        <v>559</v>
      </c>
      <c r="AB46" s="189" t="str">
        <f>IF(COUNTIFS(Eingabe[Name],ErgebnisPositionA[[#This Row],[Name]],Eingabe[Position],ErgebnisPositionA[[#Headers],[5]],Eingabe[Wo],"A")=0,"",ROUND(AVERAGEIFS(Eingabe[GES],Eingabe[Name],ErgebnisPositionA[[#This Row],[Name]],Eingabe[Position],ErgebnisPositionA[[#Headers],[5]],Eingabe[Wo],"A"),0))</f>
        <v/>
      </c>
      <c r="AC46" s="189" t="str">
        <f>IF(COUNTIFS(Eingabe[Name],ErgebnisPositionA[[#This Row],[Name]],Eingabe[Position],ErgebnisPositionA[[#Headers],[6]],Eingabe[Wo],"A")=0,"",ROUND(AVERAGEIFS(Eingabe[GES],Eingabe[Name],ErgebnisPositionA[[#This Row],[Name]],Eingabe[Position],ErgebnisPositionA[[#Headers],[6]],Eingabe[Wo],"A"),0))</f>
        <v/>
      </c>
    </row>
    <row r="47" spans="2:29" ht="15.6" x14ac:dyDescent="0.3">
      <c r="B47" s="188" t="str">
        <f>Übersicht!B48</f>
        <v>Sylke Schmidt</v>
      </c>
      <c r="C47" s="188" t="str">
        <f>VLOOKUP(ErgebnisPosition[[#This Row],[Name]],Teamzuordnung[[Name]:[Team]],2,FALSE)</f>
        <v>F</v>
      </c>
      <c r="D47" s="189" t="str">
        <f>IF(COUNTIFS(Eingabe[Name],ErgebnisPosition[[#This Row],[Name]],Eingabe[Position],ErgebnisPosition[[#Headers],[1]])=0,"",ROUND(AVERAGEIFS(Eingabe[GES],Eingabe[Name],ErgebnisPosition[[#This Row],[Name]],Eingabe[Position],ErgebnisPosition[[#Headers],[1]]),0))</f>
        <v/>
      </c>
      <c r="E47" s="189" t="str">
        <f>IF(COUNTIFS(Eingabe[Name],ErgebnisPosition[[#This Row],[Name]],Eingabe[Position],ErgebnisPosition[[#Headers],[2]])=0,"",ROUND(AVERAGEIFS(Eingabe[GES],Eingabe[Name],ErgebnisPosition[[#This Row],[Name]],Eingabe[Position],ErgebnisPosition[[#Headers],[2]]),0))</f>
        <v/>
      </c>
      <c r="F47" s="189" t="str">
        <f>IF(COUNTIFS(Eingabe[Name],ErgebnisPosition[[#This Row],[Name]],Eingabe[Position],ErgebnisPosition[[#Headers],[3]])=0,"",ROUND(AVERAGEIFS(Eingabe[GES],Eingabe[Name],ErgebnisPosition[[#This Row],[Name]],Eingabe[Position],ErgebnisPosition[[#Headers],[3]]),0))</f>
        <v/>
      </c>
      <c r="G47" s="189" t="str">
        <f>IF(COUNTIFS(Eingabe[Name],ErgebnisPosition[[#This Row],[Name]],Eingabe[Position],ErgebnisPosition[[#Headers],[4]])=0,"",ROUND(AVERAGEIFS(Eingabe[GES],Eingabe[Name],ErgebnisPosition[[#This Row],[Name]],Eingabe[Position],ErgebnisPosition[[#Headers],[4]]),0))</f>
        <v/>
      </c>
      <c r="H47" s="189">
        <f>IF(COUNTIFS(Eingabe[Name],ErgebnisPosition[[#This Row],[Name]],Eingabe[Position],ErgebnisPosition[[#Headers],[5]])=0,"",ROUND(AVERAGEIFS(Eingabe[GES],Eingabe[Name],ErgebnisPosition[[#This Row],[Name]],Eingabe[Position],ErgebnisPosition[[#Headers],[5]]),0))</f>
        <v>521</v>
      </c>
      <c r="I47" s="189">
        <f>IF(COUNTIFS(Eingabe[Name],ErgebnisPosition[[#This Row],[Name]],Eingabe[Position],ErgebnisPosition[[#Headers],[6]])=0,"",ROUND(AVERAGEIFS(Eingabe[GES],Eingabe[Name],ErgebnisPosition[[#This Row],[Name]],Eingabe[Position],ErgebnisPosition[[#Headers],[6]]),0))</f>
        <v>520</v>
      </c>
      <c r="L47" s="188" t="str">
        <f>ErgebnisPosition[[#This Row],[Name]]</f>
        <v>Sylke Schmidt</v>
      </c>
      <c r="M47" s="188" t="str">
        <f>VLOOKUP(ErgebnisPositionH[[#This Row],[Name]],Teamzuordnung[[Name]:[Team]],2,FALSE)</f>
        <v>F</v>
      </c>
      <c r="N47" s="189" t="str">
        <f>IF(COUNTIFS(Eingabe[Name],ErgebnisPositionH[[#This Row],[Name]],Eingabe[Position],ErgebnisPositionH[[#Headers],[1]],Eingabe[Wo],"H")=0,"",ROUND(AVERAGEIFS(Eingabe[GES],Eingabe[Name],ErgebnisPositionH[[#This Row],[Name]],Eingabe[Position],ErgebnisPositionH[[#Headers],[1]],Eingabe[Wo],"H"),0))</f>
        <v/>
      </c>
      <c r="O47" s="189" t="str">
        <f>IF(COUNTIFS(Eingabe[Name],ErgebnisPositionH[[#This Row],[Name]],Eingabe[Position],ErgebnisPositionH[[#Headers],[2]],Eingabe[Wo],"H")=0,"",ROUND(AVERAGEIFS(Eingabe[GES],Eingabe[Name],ErgebnisPositionH[[#This Row],[Name]],Eingabe[Position],ErgebnisPositionH[[#Headers],[2]],Eingabe[Wo],"H"),0))</f>
        <v/>
      </c>
      <c r="P47" s="189" t="str">
        <f>IF(COUNTIFS(Eingabe[Name],ErgebnisPositionH[[#This Row],[Name]],Eingabe[Position],ErgebnisPositionH[[#Headers],[3]],Eingabe[Wo],"H")=0,"",ROUND(AVERAGEIFS(Eingabe[GES],Eingabe[Name],ErgebnisPositionH[[#This Row],[Name]],Eingabe[Position],ErgebnisPositionH[[#Headers],[3]],Eingabe[Wo],"H"),0))</f>
        <v/>
      </c>
      <c r="Q47" s="189" t="str">
        <f>IF(COUNTIFS(Eingabe[Name],ErgebnisPositionH[[#This Row],[Name]],Eingabe[Position],ErgebnisPositionH[[#Headers],[4]],Eingabe[Wo],"H")=0,"",ROUND(AVERAGEIFS(Eingabe[GES],Eingabe[Name],ErgebnisPositionH[[#This Row],[Name]],Eingabe[Position],ErgebnisPositionH[[#Headers],[4]],Eingabe[Wo],"H"),0))</f>
        <v/>
      </c>
      <c r="R47" s="189" t="str">
        <f>IF(COUNTIFS(Eingabe[Name],ErgebnisPositionH[[#This Row],[Name]],Eingabe[Position],ErgebnisPositionH[[#Headers],[5]],Eingabe[Wo],"H")=0,"",ROUND(AVERAGEIFS(Eingabe[GES],Eingabe[Name],ErgebnisPositionH[[#This Row],[Name]],Eingabe[Position],ErgebnisPositionH[[#Headers],[5]],Eingabe[Wo],"H"),0))</f>
        <v/>
      </c>
      <c r="S47" s="189">
        <f>IF(COUNTIFS(Eingabe[Name],ErgebnisPositionH[[#This Row],[Name]],Eingabe[Position],ErgebnisPositionH[[#Headers],[6]],Eingabe[Wo],"H")=0,"",ROUND(AVERAGEIFS(Eingabe[GES],Eingabe[Name],ErgebnisPositionH[[#This Row],[Name]],Eingabe[Position],ErgebnisPositionH[[#Headers],[6]],Eingabe[Wo],"H"),0))</f>
        <v>515</v>
      </c>
      <c r="V47" s="188" t="str">
        <f>ErgebnisPosition[[#This Row],[Name]]</f>
        <v>Sylke Schmidt</v>
      </c>
      <c r="W47" s="188" t="str">
        <f>VLOOKUP(ErgebnisPositionA[[#This Row],[Name]],Teamzuordnung[[Name]:[Team]],2,FALSE)</f>
        <v>F</v>
      </c>
      <c r="X47" s="189" t="str">
        <f>IF(COUNTIFS(Eingabe[Name],ErgebnisPositionA[[#This Row],[Name]],Eingabe[Position],ErgebnisPositionA[[#Headers],[1]],Eingabe[Wo],"A")=0,"",ROUND(AVERAGEIFS(Eingabe[GES],Eingabe[Name],ErgebnisPositionA[[#This Row],[Name]],Eingabe[Position],ErgebnisPositionA[[#Headers],[1]],Eingabe[Wo],"A"),0))</f>
        <v/>
      </c>
      <c r="Y47" s="189" t="str">
        <f>IF(COUNTIFS(Eingabe[Name],ErgebnisPositionA[[#This Row],[Name]],Eingabe[Position],ErgebnisPositionA[[#Headers],[2]],Eingabe[Wo],"A")=0,"",ROUND(AVERAGEIFS(Eingabe[GES],Eingabe[Name],ErgebnisPositionA[[#This Row],[Name]],Eingabe[Position],ErgebnisPositionA[[#Headers],[2]],Eingabe[Wo],"A"),0))</f>
        <v/>
      </c>
      <c r="Z47" s="189" t="str">
        <f>IF(COUNTIFS(Eingabe[Name],ErgebnisPositionA[[#This Row],[Name]],Eingabe[Position],ErgebnisPositionA[[#Headers],[3]],Eingabe[Wo],"A")=0,"",ROUND(AVERAGEIFS(Eingabe[GES],Eingabe[Name],ErgebnisPositionA[[#This Row],[Name]],Eingabe[Position],ErgebnisPositionA[[#Headers],[3]],Eingabe[Wo],"A"),0))</f>
        <v/>
      </c>
      <c r="AA47" s="189" t="str">
        <f>IF(COUNTIFS(Eingabe[Name],ErgebnisPositionA[[#This Row],[Name]],Eingabe[Position],ErgebnisPositionA[[#Headers],[4]],Eingabe[Wo],"A")=0,"",ROUND(AVERAGEIFS(Eingabe[GES],Eingabe[Name],ErgebnisPositionA[[#This Row],[Name]],Eingabe[Position],ErgebnisPositionA[[#Headers],[4]],Eingabe[Wo],"A"),0))</f>
        <v/>
      </c>
      <c r="AB47" s="189">
        <f>IF(COUNTIFS(Eingabe[Name],ErgebnisPositionA[[#This Row],[Name]],Eingabe[Position],ErgebnisPositionA[[#Headers],[5]],Eingabe[Wo],"A")=0,"",ROUND(AVERAGEIFS(Eingabe[GES],Eingabe[Name],ErgebnisPositionA[[#This Row],[Name]],Eingabe[Position],ErgebnisPositionA[[#Headers],[5]],Eingabe[Wo],"A"),0))</f>
        <v>521</v>
      </c>
      <c r="AC47" s="189">
        <f>IF(COUNTIFS(Eingabe[Name],ErgebnisPositionA[[#This Row],[Name]],Eingabe[Position],ErgebnisPositionA[[#Headers],[6]],Eingabe[Wo],"A")=0,"",ROUND(AVERAGEIFS(Eingabe[GES],Eingabe[Name],ErgebnisPositionA[[#This Row],[Name]],Eingabe[Position],ErgebnisPositionA[[#Headers],[6]],Eingabe[Wo],"A"),0))</f>
        <v>528</v>
      </c>
    </row>
    <row r="48" spans="2:29" ht="15.6" x14ac:dyDescent="0.3">
      <c r="B48" s="188" t="str">
        <f>Übersicht!B49</f>
        <v>Tim Becker</v>
      </c>
      <c r="C48" s="188" t="str">
        <f>VLOOKUP(ErgebnisPosition[[#This Row],[Name]],Teamzuordnung[[Name]:[Team]],2,FALSE)</f>
        <v>E</v>
      </c>
      <c r="D48" s="189" t="str">
        <f>IF(COUNTIFS(Eingabe[Name],ErgebnisPosition[[#This Row],[Name]],Eingabe[Position],ErgebnisPosition[[#Headers],[1]])=0,"",ROUND(AVERAGEIFS(Eingabe[GES],Eingabe[Name],ErgebnisPosition[[#This Row],[Name]],Eingabe[Position],ErgebnisPosition[[#Headers],[1]]),0))</f>
        <v/>
      </c>
      <c r="E48" s="189">
        <f>IF(COUNTIFS(Eingabe[Name],ErgebnisPosition[[#This Row],[Name]],Eingabe[Position],ErgebnisPosition[[#Headers],[2]])=0,"",ROUND(AVERAGEIFS(Eingabe[GES],Eingabe[Name],ErgebnisPosition[[#This Row],[Name]],Eingabe[Position],ErgebnisPosition[[#Headers],[2]]),0))</f>
        <v>523</v>
      </c>
      <c r="F48" s="189">
        <f>IF(COUNTIFS(Eingabe[Name],ErgebnisPosition[[#This Row],[Name]],Eingabe[Position],ErgebnisPosition[[#Headers],[3]])=0,"",ROUND(AVERAGEIFS(Eingabe[GES],Eingabe[Name],ErgebnisPosition[[#This Row],[Name]],Eingabe[Position],ErgebnisPosition[[#Headers],[3]]),0))</f>
        <v>527</v>
      </c>
      <c r="G48" s="189">
        <f>IF(COUNTIFS(Eingabe[Name],ErgebnisPosition[[#This Row],[Name]],Eingabe[Position],ErgebnisPosition[[#Headers],[4]])=0,"",ROUND(AVERAGEIFS(Eingabe[GES],Eingabe[Name],ErgebnisPosition[[#This Row],[Name]],Eingabe[Position],ErgebnisPosition[[#Headers],[4]]),0))</f>
        <v>531</v>
      </c>
      <c r="H48" s="189" t="str">
        <f>IF(COUNTIFS(Eingabe[Name],ErgebnisPosition[[#This Row],[Name]],Eingabe[Position],ErgebnisPosition[[#Headers],[5]])=0,"",ROUND(AVERAGEIFS(Eingabe[GES],Eingabe[Name],ErgebnisPosition[[#This Row],[Name]],Eingabe[Position],ErgebnisPosition[[#Headers],[5]]),0))</f>
        <v/>
      </c>
      <c r="I48" s="189">
        <f>IF(COUNTIFS(Eingabe[Name],ErgebnisPosition[[#This Row],[Name]],Eingabe[Position],ErgebnisPosition[[#Headers],[6]])=0,"",ROUND(AVERAGEIFS(Eingabe[GES],Eingabe[Name],ErgebnisPosition[[#This Row],[Name]],Eingabe[Position],ErgebnisPosition[[#Headers],[6]]),0))</f>
        <v>528</v>
      </c>
      <c r="L48" s="188" t="str">
        <f>ErgebnisPosition[[#This Row],[Name]]</f>
        <v>Tim Becker</v>
      </c>
      <c r="M48" s="188" t="str">
        <f>VLOOKUP(ErgebnisPositionH[[#This Row],[Name]],Teamzuordnung[[Name]:[Team]],2,FALSE)</f>
        <v>E</v>
      </c>
      <c r="N48" s="189" t="str">
        <f>IF(COUNTIFS(Eingabe[Name],ErgebnisPositionH[[#This Row],[Name]],Eingabe[Position],ErgebnisPositionH[[#Headers],[1]],Eingabe[Wo],"H")=0,"",ROUND(AVERAGEIFS(Eingabe[GES],Eingabe[Name],ErgebnisPositionH[[#This Row],[Name]],Eingabe[Position],ErgebnisPositionH[[#Headers],[1]],Eingabe[Wo],"H"),0))</f>
        <v/>
      </c>
      <c r="O48" s="189">
        <f>IF(COUNTIFS(Eingabe[Name],ErgebnisPositionH[[#This Row],[Name]],Eingabe[Position],ErgebnisPositionH[[#Headers],[2]],Eingabe[Wo],"H")=0,"",ROUND(AVERAGEIFS(Eingabe[GES],Eingabe[Name],ErgebnisPositionH[[#This Row],[Name]],Eingabe[Position],ErgebnisPositionH[[#Headers],[2]],Eingabe[Wo],"H"),0))</f>
        <v>523</v>
      </c>
      <c r="P48" s="189" t="str">
        <f>IF(COUNTIFS(Eingabe[Name],ErgebnisPositionH[[#This Row],[Name]],Eingabe[Position],ErgebnisPositionH[[#Headers],[3]],Eingabe[Wo],"H")=0,"",ROUND(AVERAGEIFS(Eingabe[GES],Eingabe[Name],ErgebnisPositionH[[#This Row],[Name]],Eingabe[Position],ErgebnisPositionH[[#Headers],[3]],Eingabe[Wo],"H"),0))</f>
        <v/>
      </c>
      <c r="Q48" s="189">
        <f>IF(COUNTIFS(Eingabe[Name],ErgebnisPositionH[[#This Row],[Name]],Eingabe[Position],ErgebnisPositionH[[#Headers],[4]],Eingabe[Wo],"H")=0,"",ROUND(AVERAGEIFS(Eingabe[GES],Eingabe[Name],ErgebnisPositionH[[#This Row],[Name]],Eingabe[Position],ErgebnisPositionH[[#Headers],[4]],Eingabe[Wo],"H"),0))</f>
        <v>531</v>
      </c>
      <c r="R48" s="189" t="str">
        <f>IF(COUNTIFS(Eingabe[Name],ErgebnisPositionH[[#This Row],[Name]],Eingabe[Position],ErgebnisPositionH[[#Headers],[5]],Eingabe[Wo],"H")=0,"",ROUND(AVERAGEIFS(Eingabe[GES],Eingabe[Name],ErgebnisPositionH[[#This Row],[Name]],Eingabe[Position],ErgebnisPositionH[[#Headers],[5]],Eingabe[Wo],"H"),0))</f>
        <v/>
      </c>
      <c r="S48" s="189">
        <f>IF(COUNTIFS(Eingabe[Name],ErgebnisPositionH[[#This Row],[Name]],Eingabe[Position],ErgebnisPositionH[[#Headers],[6]],Eingabe[Wo],"H")=0,"",ROUND(AVERAGEIFS(Eingabe[GES],Eingabe[Name],ErgebnisPositionH[[#This Row],[Name]],Eingabe[Position],ErgebnisPositionH[[#Headers],[6]],Eingabe[Wo],"H"),0))</f>
        <v>528</v>
      </c>
      <c r="V48" s="188" t="str">
        <f>ErgebnisPosition[[#This Row],[Name]]</f>
        <v>Tim Becker</v>
      </c>
      <c r="W48" s="188" t="str">
        <f>VLOOKUP(ErgebnisPositionA[[#This Row],[Name]],Teamzuordnung[[Name]:[Team]],2,FALSE)</f>
        <v>E</v>
      </c>
      <c r="X48" s="189" t="str">
        <f>IF(COUNTIFS(Eingabe[Name],ErgebnisPositionA[[#This Row],[Name]],Eingabe[Position],ErgebnisPositionA[[#Headers],[1]],Eingabe[Wo],"A")=0,"",ROUND(AVERAGEIFS(Eingabe[GES],Eingabe[Name],ErgebnisPositionA[[#This Row],[Name]],Eingabe[Position],ErgebnisPositionA[[#Headers],[1]],Eingabe[Wo],"A"),0))</f>
        <v/>
      </c>
      <c r="Y48" s="189" t="str">
        <f>IF(COUNTIFS(Eingabe[Name],ErgebnisPositionA[[#This Row],[Name]],Eingabe[Position],ErgebnisPositionA[[#Headers],[2]],Eingabe[Wo],"A")=0,"",ROUND(AVERAGEIFS(Eingabe[GES],Eingabe[Name],ErgebnisPositionA[[#This Row],[Name]],Eingabe[Position],ErgebnisPositionA[[#Headers],[2]],Eingabe[Wo],"A"),0))</f>
        <v/>
      </c>
      <c r="Z48" s="189">
        <f>IF(COUNTIFS(Eingabe[Name],ErgebnisPositionA[[#This Row],[Name]],Eingabe[Position],ErgebnisPositionA[[#Headers],[3]],Eingabe[Wo],"A")=0,"",ROUND(AVERAGEIFS(Eingabe[GES],Eingabe[Name],ErgebnisPositionA[[#This Row],[Name]],Eingabe[Position],ErgebnisPositionA[[#Headers],[3]],Eingabe[Wo],"A"),0))</f>
        <v>527</v>
      </c>
      <c r="AA48" s="189" t="str">
        <f>IF(COUNTIFS(Eingabe[Name],ErgebnisPositionA[[#This Row],[Name]],Eingabe[Position],ErgebnisPositionA[[#Headers],[4]],Eingabe[Wo],"A")=0,"",ROUND(AVERAGEIFS(Eingabe[GES],Eingabe[Name],ErgebnisPositionA[[#This Row],[Name]],Eingabe[Position],ErgebnisPositionA[[#Headers],[4]],Eingabe[Wo],"A"),0))</f>
        <v/>
      </c>
      <c r="AB48" s="189" t="str">
        <f>IF(COUNTIFS(Eingabe[Name],ErgebnisPositionA[[#This Row],[Name]],Eingabe[Position],ErgebnisPositionA[[#Headers],[5]],Eingabe[Wo],"A")=0,"",ROUND(AVERAGEIFS(Eingabe[GES],Eingabe[Name],ErgebnisPositionA[[#This Row],[Name]],Eingabe[Position],ErgebnisPositionA[[#Headers],[5]],Eingabe[Wo],"A"),0))</f>
        <v/>
      </c>
      <c r="AC48" s="189" t="str">
        <f>IF(COUNTIFS(Eingabe[Name],ErgebnisPositionA[[#This Row],[Name]],Eingabe[Position],ErgebnisPositionA[[#Headers],[6]],Eingabe[Wo],"A")=0,"",ROUND(AVERAGEIFS(Eingabe[GES],Eingabe[Name],ErgebnisPositionA[[#This Row],[Name]],Eingabe[Position],ErgebnisPositionA[[#Headers],[6]],Eingabe[Wo],"A"),0))</f>
        <v/>
      </c>
    </row>
    <row r="49" spans="2:29" ht="15.6" x14ac:dyDescent="0.3">
      <c r="B49" s="188" t="str">
        <f>Übersicht!B50</f>
        <v>Tim Beger</v>
      </c>
      <c r="C49" s="188" t="str">
        <f>VLOOKUP(ErgebnisPosition[[#This Row],[Name]],Teamzuordnung[[Name]:[Team]],2,FALSE)</f>
        <v>Z</v>
      </c>
      <c r="D49" s="189" t="str">
        <f>IF(COUNTIFS(Eingabe[Name],ErgebnisPosition[[#This Row],[Name]],Eingabe[Position],ErgebnisPosition[[#Headers],[1]])=0,"",ROUND(AVERAGEIFS(Eingabe[GES],Eingabe[Name],ErgebnisPosition[[#This Row],[Name]],Eingabe[Position],ErgebnisPosition[[#Headers],[1]]),0))</f>
        <v/>
      </c>
      <c r="E49" s="189">
        <f>IF(COUNTIFS(Eingabe[Name],ErgebnisPosition[[#This Row],[Name]],Eingabe[Position],ErgebnisPosition[[#Headers],[2]])=0,"",ROUND(AVERAGEIFS(Eingabe[GES],Eingabe[Name],ErgebnisPosition[[#This Row],[Name]],Eingabe[Position],ErgebnisPosition[[#Headers],[2]]),0))</f>
        <v>532</v>
      </c>
      <c r="F49" s="189">
        <f>IF(COUNTIFS(Eingabe[Name],ErgebnisPosition[[#This Row],[Name]],Eingabe[Position],ErgebnisPosition[[#Headers],[3]])=0,"",ROUND(AVERAGEIFS(Eingabe[GES],Eingabe[Name],ErgebnisPosition[[#This Row],[Name]],Eingabe[Position],ErgebnisPosition[[#Headers],[3]]),0))</f>
        <v>577</v>
      </c>
      <c r="G49" s="189" t="str">
        <f>IF(COUNTIFS(Eingabe[Name],ErgebnisPosition[[#This Row],[Name]],Eingabe[Position],ErgebnisPosition[[#Headers],[4]])=0,"",ROUND(AVERAGEIFS(Eingabe[GES],Eingabe[Name],ErgebnisPosition[[#This Row],[Name]],Eingabe[Position],ErgebnisPosition[[#Headers],[4]]),0))</f>
        <v/>
      </c>
      <c r="H49" s="189">
        <f>IF(COUNTIFS(Eingabe[Name],ErgebnisPosition[[#This Row],[Name]],Eingabe[Position],ErgebnisPosition[[#Headers],[5]])=0,"",ROUND(AVERAGEIFS(Eingabe[GES],Eingabe[Name],ErgebnisPosition[[#This Row],[Name]],Eingabe[Position],ErgebnisPosition[[#Headers],[5]]),0))</f>
        <v>516</v>
      </c>
      <c r="I49" s="189">
        <f>IF(COUNTIFS(Eingabe[Name],ErgebnisPosition[[#This Row],[Name]],Eingabe[Position],ErgebnisPosition[[#Headers],[6]])=0,"",ROUND(AVERAGEIFS(Eingabe[GES],Eingabe[Name],ErgebnisPosition[[#This Row],[Name]],Eingabe[Position],ErgebnisPosition[[#Headers],[6]]),0))</f>
        <v>537</v>
      </c>
      <c r="L49" s="188" t="str">
        <f>ErgebnisPosition[[#This Row],[Name]]</f>
        <v>Tim Beger</v>
      </c>
      <c r="M49" s="188" t="str">
        <f>VLOOKUP(ErgebnisPositionH[[#This Row],[Name]],Teamzuordnung[[Name]:[Team]],2,FALSE)</f>
        <v>Z</v>
      </c>
      <c r="N49" s="189" t="str">
        <f>IF(COUNTIFS(Eingabe[Name],ErgebnisPositionH[[#This Row],[Name]],Eingabe[Position],ErgebnisPositionH[[#Headers],[1]],Eingabe[Wo],"H")=0,"",ROUND(AVERAGEIFS(Eingabe[GES],Eingabe[Name],ErgebnisPositionH[[#This Row],[Name]],Eingabe[Position],ErgebnisPositionH[[#Headers],[1]],Eingabe[Wo],"H"),0))</f>
        <v/>
      </c>
      <c r="O49" s="189" t="str">
        <f>IF(COUNTIFS(Eingabe[Name],ErgebnisPositionH[[#This Row],[Name]],Eingabe[Position],ErgebnisPositionH[[#Headers],[2]],Eingabe[Wo],"H")=0,"",ROUND(AVERAGEIFS(Eingabe[GES],Eingabe[Name],ErgebnisPositionH[[#This Row],[Name]],Eingabe[Position],ErgebnisPositionH[[#Headers],[2]],Eingabe[Wo],"H"),0))</f>
        <v/>
      </c>
      <c r="P49" s="189" t="str">
        <f>IF(COUNTIFS(Eingabe[Name],ErgebnisPositionH[[#This Row],[Name]],Eingabe[Position],ErgebnisPositionH[[#Headers],[3]],Eingabe[Wo],"H")=0,"",ROUND(AVERAGEIFS(Eingabe[GES],Eingabe[Name],ErgebnisPositionH[[#This Row],[Name]],Eingabe[Position],ErgebnisPositionH[[#Headers],[3]],Eingabe[Wo],"H"),0))</f>
        <v/>
      </c>
      <c r="Q49" s="189" t="str">
        <f>IF(COUNTIFS(Eingabe[Name],ErgebnisPositionH[[#This Row],[Name]],Eingabe[Position],ErgebnisPositionH[[#Headers],[4]],Eingabe[Wo],"H")=0,"",ROUND(AVERAGEIFS(Eingabe[GES],Eingabe[Name],ErgebnisPositionH[[#This Row],[Name]],Eingabe[Position],ErgebnisPositionH[[#Headers],[4]],Eingabe[Wo],"H"),0))</f>
        <v/>
      </c>
      <c r="R49" s="189">
        <f>IF(COUNTIFS(Eingabe[Name],ErgebnisPositionH[[#This Row],[Name]],Eingabe[Position],ErgebnisPositionH[[#Headers],[5]],Eingabe[Wo],"H")=0,"",ROUND(AVERAGEIFS(Eingabe[GES],Eingabe[Name],ErgebnisPositionH[[#This Row],[Name]],Eingabe[Position],ErgebnisPositionH[[#Headers],[5]],Eingabe[Wo],"H"),0))</f>
        <v>511</v>
      </c>
      <c r="S49" s="189">
        <f>IF(COUNTIFS(Eingabe[Name],ErgebnisPositionH[[#This Row],[Name]],Eingabe[Position],ErgebnisPositionH[[#Headers],[6]],Eingabe[Wo],"H")=0,"",ROUND(AVERAGEIFS(Eingabe[GES],Eingabe[Name],ErgebnisPositionH[[#This Row],[Name]],Eingabe[Position],ErgebnisPositionH[[#Headers],[6]],Eingabe[Wo],"H"),0))</f>
        <v>516</v>
      </c>
      <c r="V49" s="188" t="str">
        <f>ErgebnisPosition[[#This Row],[Name]]</f>
        <v>Tim Beger</v>
      </c>
      <c r="W49" s="188" t="str">
        <f>VLOOKUP(ErgebnisPositionA[[#This Row],[Name]],Teamzuordnung[[Name]:[Team]],2,FALSE)</f>
        <v>Z</v>
      </c>
      <c r="X49" s="189" t="str">
        <f>IF(COUNTIFS(Eingabe[Name],ErgebnisPositionA[[#This Row],[Name]],Eingabe[Position],ErgebnisPositionA[[#Headers],[1]],Eingabe[Wo],"A")=0,"",ROUND(AVERAGEIFS(Eingabe[GES],Eingabe[Name],ErgebnisPositionA[[#This Row],[Name]],Eingabe[Position],ErgebnisPositionA[[#Headers],[1]],Eingabe[Wo],"A"),0))</f>
        <v/>
      </c>
      <c r="Y49" s="189">
        <f>IF(COUNTIFS(Eingabe[Name],ErgebnisPositionA[[#This Row],[Name]],Eingabe[Position],ErgebnisPositionA[[#Headers],[2]],Eingabe[Wo],"A")=0,"",ROUND(AVERAGEIFS(Eingabe[GES],Eingabe[Name],ErgebnisPositionA[[#This Row],[Name]],Eingabe[Position],ErgebnisPositionA[[#Headers],[2]],Eingabe[Wo],"A"),0))</f>
        <v>532</v>
      </c>
      <c r="Z49" s="189">
        <f>IF(COUNTIFS(Eingabe[Name],ErgebnisPositionA[[#This Row],[Name]],Eingabe[Position],ErgebnisPositionA[[#Headers],[3]],Eingabe[Wo],"A")=0,"",ROUND(AVERAGEIFS(Eingabe[GES],Eingabe[Name],ErgebnisPositionA[[#This Row],[Name]],Eingabe[Position],ErgebnisPositionA[[#Headers],[3]],Eingabe[Wo],"A"),0))</f>
        <v>577</v>
      </c>
      <c r="AA49" s="189" t="str">
        <f>IF(COUNTIFS(Eingabe[Name],ErgebnisPositionA[[#This Row],[Name]],Eingabe[Position],ErgebnisPositionA[[#Headers],[4]],Eingabe[Wo],"A")=0,"",ROUND(AVERAGEIFS(Eingabe[GES],Eingabe[Name],ErgebnisPositionA[[#This Row],[Name]],Eingabe[Position],ErgebnisPositionA[[#Headers],[4]],Eingabe[Wo],"A"),0))</f>
        <v/>
      </c>
      <c r="AB49" s="189">
        <f>IF(COUNTIFS(Eingabe[Name],ErgebnisPositionA[[#This Row],[Name]],Eingabe[Position],ErgebnisPositionA[[#Headers],[5]],Eingabe[Wo],"A")=0,"",ROUND(AVERAGEIFS(Eingabe[GES],Eingabe[Name],ErgebnisPositionA[[#This Row],[Name]],Eingabe[Position],ErgebnisPositionA[[#Headers],[5]],Eingabe[Wo],"A"),0))</f>
        <v>532</v>
      </c>
      <c r="AC49" s="189">
        <f>IF(COUNTIFS(Eingabe[Name],ErgebnisPositionA[[#This Row],[Name]],Eingabe[Position],ErgebnisPositionA[[#Headers],[6]],Eingabe[Wo],"A")=0,"",ROUND(AVERAGEIFS(Eingabe[GES],Eingabe[Name],ErgebnisPositionA[[#This Row],[Name]],Eingabe[Position],ErgebnisPositionA[[#Headers],[6]],Eingabe[Wo],"A"),0))</f>
        <v>558</v>
      </c>
    </row>
    <row r="50" spans="2:29" ht="15.6" x14ac:dyDescent="0.3">
      <c r="B50" s="188" t="str">
        <f>Übersicht!B52</f>
        <v>Uwe Zippack</v>
      </c>
      <c r="C50" s="188" t="str">
        <f>VLOOKUP(ErgebnisPosition[[#This Row],[Name]],Teamzuordnung[[Name]:[Team]],2,FALSE)</f>
        <v>Z</v>
      </c>
      <c r="D50" s="189" t="str">
        <f>IF(COUNTIFS(Eingabe[Name],ErgebnisPosition[[#This Row],[Name]],Eingabe[Position],ErgebnisPosition[[#Headers],[1]])=0,"",ROUND(AVERAGEIFS(Eingabe[GES],Eingabe[Name],ErgebnisPosition[[#This Row],[Name]],Eingabe[Position],ErgebnisPosition[[#Headers],[1]]),0))</f>
        <v/>
      </c>
      <c r="E50" s="189">
        <f>IF(COUNTIFS(Eingabe[Name],ErgebnisPosition[[#This Row],[Name]],Eingabe[Position],ErgebnisPosition[[#Headers],[2]])=0,"",ROUND(AVERAGEIFS(Eingabe[GES],Eingabe[Name],ErgebnisPosition[[#This Row],[Name]],Eingabe[Position],ErgebnisPosition[[#Headers],[2]]),0))</f>
        <v>532</v>
      </c>
      <c r="F50" s="189">
        <f>IF(COUNTIFS(Eingabe[Name],ErgebnisPosition[[#This Row],[Name]],Eingabe[Position],ErgebnisPosition[[#Headers],[3]])=0,"",ROUND(AVERAGEIFS(Eingabe[GES],Eingabe[Name],ErgebnisPosition[[#This Row],[Name]],Eingabe[Position],ErgebnisPosition[[#Headers],[3]]),0))</f>
        <v>507</v>
      </c>
      <c r="G50" s="189">
        <f>IF(COUNTIFS(Eingabe[Name],ErgebnisPosition[[#This Row],[Name]],Eingabe[Position],ErgebnisPosition[[#Headers],[4]])=0,"",ROUND(AVERAGEIFS(Eingabe[GES],Eingabe[Name],ErgebnisPosition[[#This Row],[Name]],Eingabe[Position],ErgebnisPosition[[#Headers],[4]]),0))</f>
        <v>538</v>
      </c>
      <c r="H50" s="189">
        <f>IF(COUNTIFS(Eingabe[Name],ErgebnisPosition[[#This Row],[Name]],Eingabe[Position],ErgebnisPosition[[#Headers],[5]])=0,"",ROUND(AVERAGEIFS(Eingabe[GES],Eingabe[Name],ErgebnisPosition[[#This Row],[Name]],Eingabe[Position],ErgebnisPosition[[#Headers],[5]]),0))</f>
        <v>534</v>
      </c>
      <c r="I50" s="189">
        <f>IF(COUNTIFS(Eingabe[Name],ErgebnisPosition[[#This Row],[Name]],Eingabe[Position],ErgebnisPosition[[#Headers],[6]])=0,"",ROUND(AVERAGEIFS(Eingabe[GES],Eingabe[Name],ErgebnisPosition[[#This Row],[Name]],Eingabe[Position],ErgebnisPosition[[#Headers],[6]]),0))</f>
        <v>501</v>
      </c>
      <c r="L50" s="188" t="str">
        <f>ErgebnisPosition[[#This Row],[Name]]</f>
        <v>Uwe Zippack</v>
      </c>
      <c r="M50" s="332" t="str">
        <f>VLOOKUP(ErgebnisPositionH[[#This Row],[Name]],Teamzuordnung[[Name]:[Team]],2,FALSE)</f>
        <v>Z</v>
      </c>
      <c r="N50" s="333" t="str">
        <f>IF(COUNTIFS(Eingabe[Name],ErgebnisPositionH[[#This Row],[Name]],Eingabe[Position],ErgebnisPositionH[[#Headers],[1]],Eingabe[Wo],"H")=0,"",ROUND(AVERAGEIFS(Eingabe[GES],Eingabe[Name],ErgebnisPositionH[[#This Row],[Name]],Eingabe[Position],ErgebnisPositionH[[#Headers],[1]],Eingabe[Wo],"H"),0))</f>
        <v/>
      </c>
      <c r="O50" s="333">
        <f>IF(COUNTIFS(Eingabe[Name],ErgebnisPositionH[[#This Row],[Name]],Eingabe[Position],ErgebnisPositionH[[#Headers],[2]],Eingabe[Wo],"H")=0,"",ROUND(AVERAGEIFS(Eingabe[GES],Eingabe[Name],ErgebnisPositionH[[#This Row],[Name]],Eingabe[Position],ErgebnisPositionH[[#Headers],[2]],Eingabe[Wo],"H"),0))</f>
        <v>535</v>
      </c>
      <c r="P50" s="333">
        <f>IF(COUNTIFS(Eingabe[Name],ErgebnisPositionH[[#This Row],[Name]],Eingabe[Position],ErgebnisPositionH[[#Headers],[3]],Eingabe[Wo],"H")=0,"",ROUND(AVERAGEIFS(Eingabe[GES],Eingabe[Name],ErgebnisPositionH[[#This Row],[Name]],Eingabe[Position],ErgebnisPositionH[[#Headers],[3]],Eingabe[Wo],"H"),0))</f>
        <v>507</v>
      </c>
      <c r="Q50" s="333">
        <f>IF(COUNTIFS(Eingabe[Name],ErgebnisPositionH[[#This Row],[Name]],Eingabe[Position],ErgebnisPositionH[[#Headers],[4]],Eingabe[Wo],"H")=0,"",ROUND(AVERAGEIFS(Eingabe[GES],Eingabe[Name],ErgebnisPositionH[[#This Row],[Name]],Eingabe[Position],ErgebnisPositionH[[#Headers],[4]],Eingabe[Wo],"H"),0))</f>
        <v>512</v>
      </c>
      <c r="R50" s="333" t="str">
        <f>IF(COUNTIFS(Eingabe[Name],ErgebnisPositionH[[#This Row],[Name]],Eingabe[Position],ErgebnisPositionH[[#Headers],[5]],Eingabe[Wo],"H")=0,"",ROUND(AVERAGEIFS(Eingabe[GES],Eingabe[Name],ErgebnisPositionH[[#This Row],[Name]],Eingabe[Position],ErgebnisPositionH[[#Headers],[5]],Eingabe[Wo],"H"),0))</f>
        <v/>
      </c>
      <c r="S50" s="333">
        <f>IF(COUNTIFS(Eingabe[Name],ErgebnisPositionH[[#This Row],[Name]],Eingabe[Position],ErgebnisPositionH[[#Headers],[6]],Eingabe[Wo],"H")=0,"",ROUND(AVERAGEIFS(Eingabe[GES],Eingabe[Name],ErgebnisPositionH[[#This Row],[Name]],Eingabe[Position],ErgebnisPositionH[[#Headers],[6]],Eingabe[Wo],"H"),0))</f>
        <v>468</v>
      </c>
      <c r="V50" s="188" t="str">
        <f>ErgebnisPosition[[#This Row],[Name]]</f>
        <v>Uwe Zippack</v>
      </c>
      <c r="W50" s="332" t="str">
        <f>VLOOKUP(ErgebnisPositionA[[#This Row],[Name]],Teamzuordnung[[Name]:[Team]],2,FALSE)</f>
        <v>Z</v>
      </c>
      <c r="X50" s="333" t="str">
        <f>IF(COUNTIFS(Eingabe[Name],ErgebnisPositionA[[#This Row],[Name]],Eingabe[Position],ErgebnisPositionA[[#Headers],[1]],Eingabe[Wo],"A")=0,"",ROUND(AVERAGEIFS(Eingabe[GES],Eingabe[Name],ErgebnisPositionA[[#This Row],[Name]],Eingabe[Position],ErgebnisPositionA[[#Headers],[1]],Eingabe[Wo],"A"),0))</f>
        <v/>
      </c>
      <c r="Y50" s="333">
        <f>IF(COUNTIFS(Eingabe[Name],ErgebnisPositionA[[#This Row],[Name]],Eingabe[Position],ErgebnisPositionA[[#Headers],[2]],Eingabe[Wo],"A")=0,"",ROUND(AVERAGEIFS(Eingabe[GES],Eingabe[Name],ErgebnisPositionA[[#This Row],[Name]],Eingabe[Position],ErgebnisPositionA[[#Headers],[2]],Eingabe[Wo],"A"),0))</f>
        <v>530</v>
      </c>
      <c r="Z50" s="333" t="str">
        <f>IF(COUNTIFS(Eingabe[Name],ErgebnisPositionA[[#This Row],[Name]],Eingabe[Position],ErgebnisPositionA[[#Headers],[3]],Eingabe[Wo],"A")=0,"",ROUND(AVERAGEIFS(Eingabe[GES],Eingabe[Name],ErgebnisPositionA[[#This Row],[Name]],Eingabe[Position],ErgebnisPositionA[[#Headers],[3]],Eingabe[Wo],"A"),0))</f>
        <v/>
      </c>
      <c r="AA50" s="333">
        <f>IF(COUNTIFS(Eingabe[Name],ErgebnisPositionA[[#This Row],[Name]],Eingabe[Position],ErgebnisPositionA[[#Headers],[4]],Eingabe[Wo],"A")=0,"",ROUND(AVERAGEIFS(Eingabe[GES],Eingabe[Name],ErgebnisPositionA[[#This Row],[Name]],Eingabe[Position],ErgebnisPositionA[[#Headers],[4]],Eingabe[Wo],"A"),0))</f>
        <v>564</v>
      </c>
      <c r="AB50" s="333">
        <f>IF(COUNTIFS(Eingabe[Name],ErgebnisPositionA[[#This Row],[Name]],Eingabe[Position],ErgebnisPositionA[[#Headers],[5]],Eingabe[Wo],"A")=0,"",ROUND(AVERAGEIFS(Eingabe[GES],Eingabe[Name],ErgebnisPositionA[[#This Row],[Name]],Eingabe[Position],ErgebnisPositionA[[#Headers],[5]],Eingabe[Wo],"A"),0))</f>
        <v>534</v>
      </c>
      <c r="AC50" s="333">
        <f>IF(COUNTIFS(Eingabe[Name],ErgebnisPositionA[[#This Row],[Name]],Eingabe[Position],ErgebnisPositionA[[#Headers],[6]],Eingabe[Wo],"A")=0,"",ROUND(AVERAGEIFS(Eingabe[GES],Eingabe[Name],ErgebnisPositionA[[#This Row],[Name]],Eingabe[Position],ErgebnisPositionA[[#Headers],[6]],Eingabe[Wo],"A"),0))</f>
        <v>533</v>
      </c>
    </row>
  </sheetData>
  <mergeCells count="7">
    <mergeCell ref="AS1:AX1"/>
    <mergeCell ref="AS2:AX2"/>
    <mergeCell ref="AF1:AF2"/>
    <mergeCell ref="AG1:AL1"/>
    <mergeCell ref="AG2:AL2"/>
    <mergeCell ref="AM1:AR1"/>
    <mergeCell ref="AM2:AR2"/>
  </mergeCells>
  <phoneticPr fontId="1" type="noConversion"/>
  <conditionalFormatting sqref="B2:I50 L2:S50 V2:AC50">
    <cfRule type="containsBlanks" dxfId="133" priority="67">
      <formula>LEN(TRIM(B2))=0</formula>
    </cfRule>
  </conditionalFormatting>
  <conditionalFormatting sqref="D2:I2">
    <cfRule type="top10" dxfId="132" priority="210" rank="1"/>
  </conditionalFormatting>
  <conditionalFormatting sqref="D3:I3">
    <cfRule type="top10" dxfId="131" priority="208" rank="1"/>
  </conditionalFormatting>
  <conditionalFormatting sqref="D4:I4">
    <cfRule type="top10" dxfId="130" priority="207" rank="1"/>
  </conditionalFormatting>
  <conditionalFormatting sqref="D5:I5">
    <cfRule type="top10" dxfId="129" priority="205" rank="1"/>
  </conditionalFormatting>
  <conditionalFormatting sqref="D6:I6">
    <cfRule type="top10" dxfId="128" priority="203" rank="1"/>
  </conditionalFormatting>
  <conditionalFormatting sqref="D7:I7">
    <cfRule type="top10" dxfId="127" priority="200" rank="1"/>
  </conditionalFormatting>
  <conditionalFormatting sqref="D8:I8">
    <cfRule type="top10" dxfId="126" priority="199" rank="1"/>
  </conditionalFormatting>
  <conditionalFormatting sqref="D9:I9">
    <cfRule type="top10" dxfId="125" priority="197" rank="1"/>
  </conditionalFormatting>
  <conditionalFormatting sqref="D10:I10">
    <cfRule type="top10" dxfId="124" priority="196" rank="1"/>
  </conditionalFormatting>
  <conditionalFormatting sqref="D11:I11">
    <cfRule type="top10" dxfId="123" priority="195" rank="1"/>
  </conditionalFormatting>
  <conditionalFormatting sqref="D12:I12">
    <cfRule type="top10" dxfId="122" priority="194" rank="1"/>
  </conditionalFormatting>
  <conditionalFormatting sqref="D13:I13">
    <cfRule type="top10" dxfId="121" priority="193" rank="1"/>
  </conditionalFormatting>
  <conditionalFormatting sqref="D14:I14">
    <cfRule type="top10" dxfId="120" priority="192" rank="1"/>
  </conditionalFormatting>
  <conditionalFormatting sqref="D15:I15">
    <cfRule type="top10" dxfId="119" priority="191" rank="1"/>
  </conditionalFormatting>
  <conditionalFormatting sqref="D16:I16">
    <cfRule type="top10" dxfId="118" priority="190" rank="1"/>
  </conditionalFormatting>
  <conditionalFormatting sqref="D17:I17">
    <cfRule type="top10" dxfId="117" priority="189" rank="1"/>
  </conditionalFormatting>
  <conditionalFormatting sqref="D18:I18">
    <cfRule type="top10" dxfId="116" priority="188" rank="1"/>
  </conditionalFormatting>
  <conditionalFormatting sqref="D19:I19">
    <cfRule type="top10" dxfId="115" priority="187" rank="1"/>
  </conditionalFormatting>
  <conditionalFormatting sqref="D20:I20">
    <cfRule type="top10" dxfId="114" priority="186" rank="1"/>
  </conditionalFormatting>
  <conditionalFormatting sqref="D21:I21">
    <cfRule type="top10" dxfId="113" priority="185" rank="1"/>
  </conditionalFormatting>
  <conditionalFormatting sqref="D22:I22">
    <cfRule type="top10" dxfId="112" priority="184" rank="1"/>
  </conditionalFormatting>
  <conditionalFormatting sqref="D23:I23">
    <cfRule type="top10" dxfId="111" priority="183" rank="1"/>
  </conditionalFormatting>
  <conditionalFormatting sqref="D24:I24">
    <cfRule type="top10" dxfId="110" priority="182" rank="1"/>
  </conditionalFormatting>
  <conditionalFormatting sqref="D25:I25">
    <cfRule type="top10" dxfId="109" priority="181" rank="1"/>
  </conditionalFormatting>
  <conditionalFormatting sqref="D26:I26">
    <cfRule type="top10" dxfId="108" priority="180" rank="1"/>
  </conditionalFormatting>
  <conditionalFormatting sqref="D27:I27">
    <cfRule type="top10" dxfId="107" priority="179" rank="1"/>
  </conditionalFormatting>
  <conditionalFormatting sqref="D28:I28">
    <cfRule type="top10" dxfId="106" priority="178" rank="1"/>
  </conditionalFormatting>
  <conditionalFormatting sqref="D29:I29">
    <cfRule type="top10" dxfId="105" priority="175" rank="1"/>
  </conditionalFormatting>
  <conditionalFormatting sqref="D30:I30">
    <cfRule type="top10" dxfId="104" priority="174" rank="1"/>
  </conditionalFormatting>
  <conditionalFormatting sqref="D31:I31">
    <cfRule type="top10" dxfId="103" priority="173" rank="1"/>
  </conditionalFormatting>
  <conditionalFormatting sqref="D32:I32">
    <cfRule type="top10" dxfId="102" priority="171" rank="1"/>
  </conditionalFormatting>
  <conditionalFormatting sqref="D33:I33">
    <cfRule type="top10" dxfId="101" priority="170" rank="1"/>
  </conditionalFormatting>
  <conditionalFormatting sqref="D34:I34">
    <cfRule type="top10" dxfId="100" priority="169" rank="1"/>
  </conditionalFormatting>
  <conditionalFormatting sqref="D35:I35">
    <cfRule type="top10" dxfId="99" priority="168" rank="1"/>
  </conditionalFormatting>
  <conditionalFormatting sqref="N2:S2">
    <cfRule type="top10" dxfId="98" priority="111" rank="1"/>
  </conditionalFormatting>
  <conditionalFormatting sqref="N3:S3">
    <cfRule type="top10" dxfId="97" priority="109" rank="1"/>
  </conditionalFormatting>
  <conditionalFormatting sqref="N4:S4">
    <cfRule type="top10" dxfId="96" priority="108" rank="1"/>
  </conditionalFormatting>
  <conditionalFormatting sqref="N5:S5">
    <cfRule type="top10" dxfId="95" priority="106" rank="1"/>
  </conditionalFormatting>
  <conditionalFormatting sqref="N6:S6">
    <cfRule type="top10" dxfId="94" priority="104" rank="1"/>
  </conditionalFormatting>
  <conditionalFormatting sqref="N7:S7">
    <cfRule type="top10" dxfId="93" priority="101" rank="1"/>
  </conditionalFormatting>
  <conditionalFormatting sqref="N8:S8">
    <cfRule type="top10" dxfId="92" priority="100" rank="1"/>
  </conditionalFormatting>
  <conditionalFormatting sqref="N9:S9">
    <cfRule type="top10" dxfId="91" priority="98" rank="1"/>
  </conditionalFormatting>
  <conditionalFormatting sqref="N10:S10">
    <cfRule type="top10" dxfId="90" priority="97" rank="1"/>
  </conditionalFormatting>
  <conditionalFormatting sqref="N11:S11">
    <cfRule type="top10" dxfId="89" priority="96" rank="1"/>
  </conditionalFormatting>
  <conditionalFormatting sqref="N12:S12">
    <cfRule type="top10" dxfId="88" priority="95" rank="1"/>
  </conditionalFormatting>
  <conditionalFormatting sqref="N13:S13">
    <cfRule type="top10" dxfId="87" priority="94" rank="1"/>
  </conditionalFormatting>
  <conditionalFormatting sqref="N14:S14">
    <cfRule type="top10" dxfId="86" priority="93" rank="1"/>
  </conditionalFormatting>
  <conditionalFormatting sqref="N15:S15">
    <cfRule type="top10" dxfId="85" priority="92" rank="1"/>
  </conditionalFormatting>
  <conditionalFormatting sqref="N16:S16">
    <cfRule type="top10" dxfId="84" priority="91" rank="1"/>
  </conditionalFormatting>
  <conditionalFormatting sqref="N17:S17">
    <cfRule type="top10" dxfId="83" priority="90" rank="1"/>
  </conditionalFormatting>
  <conditionalFormatting sqref="N18:S18">
    <cfRule type="top10" dxfId="82" priority="89" rank="1"/>
  </conditionalFormatting>
  <conditionalFormatting sqref="N19:S19">
    <cfRule type="top10" dxfId="81" priority="88" rank="1"/>
  </conditionalFormatting>
  <conditionalFormatting sqref="N20:S20">
    <cfRule type="top10" dxfId="80" priority="87" rank="1"/>
  </conditionalFormatting>
  <conditionalFormatting sqref="N21:S21">
    <cfRule type="top10" dxfId="79" priority="86" rank="1"/>
  </conditionalFormatting>
  <conditionalFormatting sqref="N22:S22">
    <cfRule type="top10" dxfId="78" priority="85" rank="1"/>
  </conditionalFormatting>
  <conditionalFormatting sqref="N23:S23">
    <cfRule type="top10" dxfId="77" priority="84" rank="1"/>
  </conditionalFormatting>
  <conditionalFormatting sqref="N24:S24">
    <cfRule type="top10" dxfId="76" priority="83" rank="1"/>
  </conditionalFormatting>
  <conditionalFormatting sqref="N25:S25">
    <cfRule type="top10" dxfId="75" priority="82" rank="1"/>
  </conditionalFormatting>
  <conditionalFormatting sqref="N26:S26">
    <cfRule type="top10" dxfId="74" priority="81" rank="1"/>
  </conditionalFormatting>
  <conditionalFormatting sqref="N27:S27">
    <cfRule type="top10" dxfId="73" priority="80" rank="1"/>
  </conditionalFormatting>
  <conditionalFormatting sqref="N28:S28">
    <cfRule type="top10" dxfId="72" priority="79" rank="1"/>
  </conditionalFormatting>
  <conditionalFormatting sqref="N29:S29">
    <cfRule type="top10" dxfId="71" priority="76" rank="1"/>
  </conditionalFormatting>
  <conditionalFormatting sqref="N30:S30">
    <cfRule type="top10" dxfId="70" priority="75" rank="1"/>
  </conditionalFormatting>
  <conditionalFormatting sqref="N31:S31">
    <cfRule type="top10" dxfId="69" priority="74" rank="1"/>
  </conditionalFormatting>
  <conditionalFormatting sqref="N32:S32">
    <cfRule type="top10" dxfId="68" priority="72" rank="1"/>
  </conditionalFormatting>
  <conditionalFormatting sqref="N33:S33">
    <cfRule type="top10" dxfId="67" priority="71" rank="1"/>
  </conditionalFormatting>
  <conditionalFormatting sqref="N34:S34">
    <cfRule type="top10" dxfId="66" priority="70" rank="1"/>
  </conditionalFormatting>
  <conditionalFormatting sqref="N35:S35">
    <cfRule type="top10" dxfId="65" priority="69" rank="1"/>
  </conditionalFormatting>
  <conditionalFormatting sqref="X2:AC2">
    <cfRule type="top10" dxfId="64" priority="65" rank="1"/>
  </conditionalFormatting>
  <conditionalFormatting sqref="X3:AC3">
    <cfRule type="top10" dxfId="63" priority="63" rank="1"/>
  </conditionalFormatting>
  <conditionalFormatting sqref="X4:AC4">
    <cfRule type="top10" dxfId="62" priority="62" rank="1"/>
  </conditionalFormatting>
  <conditionalFormatting sqref="X5:AC5">
    <cfRule type="top10" dxfId="61" priority="60" rank="1"/>
  </conditionalFormatting>
  <conditionalFormatting sqref="X6:AC6">
    <cfRule type="top10" dxfId="60" priority="58" rank="1"/>
  </conditionalFormatting>
  <conditionalFormatting sqref="X7:AC7">
    <cfRule type="top10" dxfId="59" priority="55" rank="1"/>
  </conditionalFormatting>
  <conditionalFormatting sqref="X8:AC8">
    <cfRule type="top10" dxfId="58" priority="54" rank="1"/>
  </conditionalFormatting>
  <conditionalFormatting sqref="X9:AC9">
    <cfRule type="top10" dxfId="57" priority="52" rank="1"/>
  </conditionalFormatting>
  <conditionalFormatting sqref="X10:AC10">
    <cfRule type="top10" dxfId="56" priority="51" rank="1"/>
  </conditionalFormatting>
  <conditionalFormatting sqref="X11:AC11">
    <cfRule type="top10" dxfId="55" priority="50" rank="1"/>
  </conditionalFormatting>
  <conditionalFormatting sqref="X12:AC12">
    <cfRule type="top10" dxfId="54" priority="49" rank="1"/>
  </conditionalFormatting>
  <conditionalFormatting sqref="X13:AC13">
    <cfRule type="top10" dxfId="53" priority="48" rank="1"/>
  </conditionalFormatting>
  <conditionalFormatting sqref="X14:AC14">
    <cfRule type="top10" dxfId="52" priority="47" rank="1"/>
  </conditionalFormatting>
  <conditionalFormatting sqref="X15:AC15">
    <cfRule type="top10" dxfId="51" priority="46" rank="1"/>
  </conditionalFormatting>
  <conditionalFormatting sqref="X16:AC16">
    <cfRule type="top10" dxfId="50" priority="45" rank="1"/>
  </conditionalFormatting>
  <conditionalFormatting sqref="X17:AC17">
    <cfRule type="top10" dxfId="49" priority="44" rank="1"/>
  </conditionalFormatting>
  <conditionalFormatting sqref="X18:AC18">
    <cfRule type="top10" dxfId="48" priority="43" rank="1"/>
  </conditionalFormatting>
  <conditionalFormatting sqref="X19:AC19">
    <cfRule type="top10" dxfId="47" priority="42" rank="1"/>
  </conditionalFormatting>
  <conditionalFormatting sqref="X20:AC20">
    <cfRule type="top10" dxfId="46" priority="41" rank="1"/>
  </conditionalFormatting>
  <conditionalFormatting sqref="X21:AC21">
    <cfRule type="top10" dxfId="45" priority="40" rank="1"/>
  </conditionalFormatting>
  <conditionalFormatting sqref="X22:AC22">
    <cfRule type="top10" dxfId="44" priority="39" rank="1"/>
  </conditionalFormatting>
  <conditionalFormatting sqref="X23:AC23">
    <cfRule type="top10" dxfId="43" priority="38" rank="1"/>
  </conditionalFormatting>
  <conditionalFormatting sqref="X24:AC24">
    <cfRule type="top10" dxfId="42" priority="37" rank="1"/>
  </conditionalFormatting>
  <conditionalFormatting sqref="X25:AC25">
    <cfRule type="top10" dxfId="41" priority="36" rank="1"/>
  </conditionalFormatting>
  <conditionalFormatting sqref="X26:AC26">
    <cfRule type="top10" dxfId="40" priority="35" rank="1"/>
  </conditionalFormatting>
  <conditionalFormatting sqref="X27:AC27">
    <cfRule type="top10" dxfId="39" priority="34" rank="1"/>
  </conditionalFormatting>
  <conditionalFormatting sqref="X28:AC28">
    <cfRule type="top10" dxfId="38" priority="33" rank="1"/>
  </conditionalFormatting>
  <conditionalFormatting sqref="X29:AC29">
    <cfRule type="top10" dxfId="37" priority="30" rank="1"/>
  </conditionalFormatting>
  <conditionalFormatting sqref="X30:AC30">
    <cfRule type="top10" dxfId="36" priority="29" rank="1"/>
  </conditionalFormatting>
  <conditionalFormatting sqref="X31:AC31">
    <cfRule type="top10" dxfId="35" priority="28" rank="1"/>
  </conditionalFormatting>
  <conditionalFormatting sqref="X32:AC32">
    <cfRule type="top10" dxfId="34" priority="26" rank="1"/>
  </conditionalFormatting>
  <conditionalFormatting sqref="X33:AC33">
    <cfRule type="top10" dxfId="33" priority="25" rank="1"/>
  </conditionalFormatting>
  <conditionalFormatting sqref="X34:AC34">
    <cfRule type="top10" dxfId="32" priority="24" rank="1"/>
  </conditionalFormatting>
  <conditionalFormatting sqref="X35:AC35">
    <cfRule type="top10" dxfId="31" priority="23" rank="1"/>
  </conditionalFormatting>
  <conditionalFormatting sqref="AG4:AG14">
    <cfRule type="top10" dxfId="30" priority="18" rank="1"/>
  </conditionalFormatting>
  <conditionalFormatting sqref="AG4:AX14">
    <cfRule type="containsBlanks" dxfId="29" priority="19">
      <formula>LEN(TRIM(AG4))=0</formula>
    </cfRule>
  </conditionalFormatting>
  <conditionalFormatting sqref="AH4:AH14">
    <cfRule type="top10" dxfId="28" priority="17" rank="1"/>
  </conditionalFormatting>
  <conditionalFormatting sqref="AI4:AI14">
    <cfRule type="top10" dxfId="27" priority="16" rank="1"/>
  </conditionalFormatting>
  <conditionalFormatting sqref="AJ4:AJ14">
    <cfRule type="top10" dxfId="26" priority="15" rank="1"/>
  </conditionalFormatting>
  <conditionalFormatting sqref="AK4:AK14">
    <cfRule type="top10" dxfId="25" priority="14" rank="1"/>
  </conditionalFormatting>
  <conditionalFormatting sqref="AL4:AL14">
    <cfRule type="top10" dxfId="24" priority="13" rank="1"/>
  </conditionalFormatting>
  <conditionalFormatting sqref="AM4:AM14">
    <cfRule type="top10" dxfId="23" priority="12" rank="1"/>
  </conditionalFormatting>
  <conditionalFormatting sqref="AN4:AN14">
    <cfRule type="top10" dxfId="22" priority="11" rank="1"/>
  </conditionalFormatting>
  <conditionalFormatting sqref="AO4:AO14">
    <cfRule type="top10" dxfId="21" priority="10" rank="1"/>
  </conditionalFormatting>
  <conditionalFormatting sqref="AP4:AP14">
    <cfRule type="top10" dxfId="20" priority="9" rank="1"/>
  </conditionalFormatting>
  <conditionalFormatting sqref="AQ4:AQ14">
    <cfRule type="top10" dxfId="19" priority="8" rank="1"/>
  </conditionalFormatting>
  <conditionalFormatting sqref="AR4:AR14">
    <cfRule type="top10" dxfId="18" priority="7" rank="1"/>
  </conditionalFormatting>
  <conditionalFormatting sqref="AS4:AS14">
    <cfRule type="top10" dxfId="17" priority="6" rank="1"/>
  </conditionalFormatting>
  <conditionalFormatting sqref="AT4:AT14">
    <cfRule type="top10" dxfId="16" priority="5" rank="1"/>
  </conditionalFormatting>
  <conditionalFormatting sqref="AU4:AU14">
    <cfRule type="top10" dxfId="15" priority="4" rank="1"/>
  </conditionalFormatting>
  <conditionalFormatting sqref="AV4:AV14">
    <cfRule type="top10" dxfId="14" priority="3" rank="1"/>
  </conditionalFormatting>
  <conditionalFormatting sqref="AW4:AW14">
    <cfRule type="top10" dxfId="13" priority="2" rank="1"/>
  </conditionalFormatting>
  <conditionalFormatting sqref="AX4:AX14">
    <cfRule type="top10" dxfId="12" priority="1" rank="1"/>
  </conditionalFormatting>
  <pageMargins left="0.7" right="0.7" top="0.78740157499999996" bottom="0.78740157499999996" header="0.3" footer="0.3"/>
  <pageSetup paperSize="9" orientation="portrait" horizontalDpi="4294967293" verticalDpi="0" r:id="rId1"/>
  <tableParts count="3">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B030A-021D-44A2-A6EA-18E84EF37B54}">
  <dimension ref="B2:G52"/>
  <sheetViews>
    <sheetView workbookViewId="0">
      <selection activeCell="B3" sqref="B3"/>
    </sheetView>
  </sheetViews>
  <sheetFormatPr baseColWidth="10" defaultRowHeight="14.4" x14ac:dyDescent="0.3"/>
  <cols>
    <col min="1" max="1" width="11.5546875" style="15"/>
    <col min="2" max="2" width="16.5546875" style="15" bestFit="1" customWidth="1"/>
    <col min="3" max="16384" width="11.5546875" style="15"/>
  </cols>
  <sheetData>
    <row r="2" spans="2:7" ht="16.2" thickBot="1" x14ac:dyDescent="0.35">
      <c r="B2" s="24" t="s">
        <v>13</v>
      </c>
      <c r="C2" s="26" t="s">
        <v>4</v>
      </c>
      <c r="D2" s="26" t="s">
        <v>9</v>
      </c>
      <c r="E2" s="41" t="s">
        <v>10</v>
      </c>
      <c r="F2" s="44" t="s">
        <v>16</v>
      </c>
      <c r="G2" s="41" t="s">
        <v>18</v>
      </c>
    </row>
    <row r="3" spans="2:7" ht="15.6" x14ac:dyDescent="0.3">
      <c r="B3" s="42" t="s">
        <v>457</v>
      </c>
      <c r="C3" s="17" t="e">
        <f>IF(SUMIFS(Eingabe[MP],Eingabe[Name],Tabelle4[[#This Row],[Name]],Eingabe[Team],C$2)=0,#N/A,SUMIFS(Eingabe[MP],Eingabe[Name],Tabelle4[[#This Row],[Name]],Eingabe[Team],C$2))</f>
        <v>#N/A</v>
      </c>
      <c r="D3" s="17" t="e">
        <f>IF(SUMIFS(Eingabe[MP],Eingabe[Name],Tabelle4[[#This Row],[Name]],Eingabe[Team],D$2)=0,#N/A,SUMIFS(Eingabe[MP],Eingabe[Name],Tabelle4[[#This Row],[Name]],Eingabe[Team],D$2))</f>
        <v>#N/A</v>
      </c>
      <c r="E3" s="17" t="e">
        <f>IF(SUMIFS(Eingabe[MP],Eingabe[Name],Tabelle4[[#This Row],[Name]],Eingabe[Team],E$2)=0,#N/A,SUMIFS(Eingabe[MP],Eingabe[Name],Tabelle4[[#This Row],[Name]],Eingabe[Team],E$2))</f>
        <v>#N/A</v>
      </c>
      <c r="F3" s="43" t="e">
        <f>IF(SUMIFS(Eingabe[MP],Eingabe[Name],Tabelle4[[#This Row],[Name]],Eingabe[Team],F$2)=0,#N/A,SUMIFS(Eingabe[MP],Eingabe[Name],Tabelle4[[#This Row],[Name]],Eingabe[Team],F$2))</f>
        <v>#N/A</v>
      </c>
      <c r="G3" s="17"/>
    </row>
    <row r="4" spans="2:7" ht="15.6" x14ac:dyDescent="0.3">
      <c r="B4" s="42" t="s">
        <v>495</v>
      </c>
      <c r="C4" s="17" t="e">
        <f>IF(SUMIFS(Eingabe[MP],Eingabe[Name],Tabelle4[[#This Row],[Name]],Eingabe[Team],C$2)=0,#N/A,SUMIFS(Eingabe[MP],Eingabe[Name],Tabelle4[[#This Row],[Name]],Eingabe[Team],C$2))</f>
        <v>#N/A</v>
      </c>
      <c r="D4" s="17" t="e">
        <f>IF(SUMIFS(Eingabe[MP],Eingabe[Name],Tabelle4[[#This Row],[Name]],Eingabe[Team],D$2)=0,#N/A,SUMIFS(Eingabe[MP],Eingabe[Name],Tabelle4[[#This Row],[Name]],Eingabe[Team],D$2))</f>
        <v>#N/A</v>
      </c>
      <c r="E4" s="17">
        <f>IF(SUMIFS(Eingabe[MP],Eingabe[Name],Tabelle4[[#This Row],[Name]],Eingabe[Team],E$2)=0,#N/A,SUMIFS(Eingabe[MP],Eingabe[Name],Tabelle4[[#This Row],[Name]],Eingabe[Team],E$2))</f>
        <v>1</v>
      </c>
      <c r="F4" s="43" t="e">
        <f>IF(SUMIFS(Eingabe[MP],Eingabe[Name],Tabelle4[[#This Row],[Name]],Eingabe[Team],F$2)=0,#N/A,SUMIFS(Eingabe[MP],Eingabe[Name],Tabelle4[[#This Row],[Name]],Eingabe[Team],F$2))</f>
        <v>#N/A</v>
      </c>
      <c r="G4" s="17"/>
    </row>
    <row r="5" spans="2:7" ht="15.6" x14ac:dyDescent="0.3">
      <c r="B5" s="42" t="s">
        <v>458</v>
      </c>
      <c r="C5" s="17" t="e">
        <f>IF(SUMIFS(Eingabe[MP],Eingabe[Name],Tabelle4[[#This Row],[Name]],Eingabe[Team],C$2)=0,#N/A,SUMIFS(Eingabe[MP],Eingabe[Name],Tabelle4[[#This Row],[Name]],Eingabe[Team],C$2))</f>
        <v>#N/A</v>
      </c>
      <c r="D5" s="17" t="e">
        <f>IF(SUMIFS(Eingabe[MP],Eingabe[Name],Tabelle4[[#This Row],[Name]],Eingabe[Team],D$2)=0,#N/A,SUMIFS(Eingabe[MP],Eingabe[Name],Tabelle4[[#This Row],[Name]],Eingabe[Team],D$2))</f>
        <v>#N/A</v>
      </c>
      <c r="E5" s="17" t="e">
        <f>IF(SUMIFS(Eingabe[MP],Eingabe[Name],Tabelle4[[#This Row],[Name]],Eingabe[Team],E$2)=0,#N/A,SUMIFS(Eingabe[MP],Eingabe[Name],Tabelle4[[#This Row],[Name]],Eingabe[Team],E$2))</f>
        <v>#N/A</v>
      </c>
      <c r="F5" s="43">
        <f>IF(SUMIFS(Eingabe[MP],Eingabe[Name],Tabelle4[[#This Row],[Name]],Eingabe[Team],F$2)=0,#N/A,SUMIFS(Eingabe[MP],Eingabe[Name],Tabelle4[[#This Row],[Name]],Eingabe[Team],F$2))</f>
        <v>2</v>
      </c>
      <c r="G5" s="17"/>
    </row>
    <row r="6" spans="2:7" ht="15.6" x14ac:dyDescent="0.3">
      <c r="B6" s="42" t="s">
        <v>459</v>
      </c>
      <c r="C6" s="17" t="e">
        <f>IF(SUMIFS(Eingabe[MP],Eingabe[Name],Tabelle4[[#This Row],[Name]],Eingabe[Team],C$2)=0,#N/A,SUMIFS(Eingabe[MP],Eingabe[Name],Tabelle4[[#This Row],[Name]],Eingabe[Team],C$2))</f>
        <v>#N/A</v>
      </c>
      <c r="D6" s="17" t="e">
        <f>IF(SUMIFS(Eingabe[MP],Eingabe[Name],Tabelle4[[#This Row],[Name]],Eingabe[Team],D$2)=0,#N/A,SUMIFS(Eingabe[MP],Eingabe[Name],Tabelle4[[#This Row],[Name]],Eingabe[Team],D$2))</f>
        <v>#N/A</v>
      </c>
      <c r="E6" s="17" t="e">
        <f>IF(SUMIFS(Eingabe[MP],Eingabe[Name],Tabelle4[[#This Row],[Name]],Eingabe[Team],E$2)=0,#N/A,SUMIFS(Eingabe[MP],Eingabe[Name],Tabelle4[[#This Row],[Name]],Eingabe[Team],E$2))</f>
        <v>#N/A</v>
      </c>
      <c r="F6" s="43" t="e">
        <f>IF(SUMIFS(Eingabe[MP],Eingabe[Name],Tabelle4[[#This Row],[Name]],Eingabe[Team],F$2)=0,#N/A,SUMIFS(Eingabe[MP],Eingabe[Name],Tabelle4[[#This Row],[Name]],Eingabe[Team],F$2))</f>
        <v>#N/A</v>
      </c>
      <c r="G6" s="17"/>
    </row>
    <row r="7" spans="2:7" ht="15.6" x14ac:dyDescent="0.3">
      <c r="B7" s="42" t="s">
        <v>591</v>
      </c>
      <c r="C7" s="17" t="e">
        <f>IF(SUMIFS(Eingabe[MP],Eingabe[Name],Tabelle4[[#This Row],[Name]],Eingabe[Team],C$2)=0,#N/A,SUMIFS(Eingabe[MP],Eingabe[Name],Tabelle4[[#This Row],[Name]],Eingabe[Team],C$2))</f>
        <v>#N/A</v>
      </c>
      <c r="D7" s="17" t="e">
        <f>IF(SUMIFS(Eingabe[MP],Eingabe[Name],Tabelle4[[#This Row],[Name]],Eingabe[Team],D$2)=0,#N/A,SUMIFS(Eingabe[MP],Eingabe[Name],Tabelle4[[#This Row],[Name]],Eingabe[Team],D$2))</f>
        <v>#N/A</v>
      </c>
      <c r="E7" s="17" t="e">
        <f>IF(SUMIFS(Eingabe[MP],Eingabe[Name],Tabelle4[[#This Row],[Name]],Eingabe[Team],E$2)=0,#N/A,SUMIFS(Eingabe[MP],Eingabe[Name],Tabelle4[[#This Row],[Name]],Eingabe[Team],E$2))</f>
        <v>#N/A</v>
      </c>
      <c r="F7" s="43" t="e">
        <f>IF(SUMIFS(Eingabe[MP],Eingabe[Name],Tabelle4[[#This Row],[Name]],Eingabe[Team],F$2)=0,#N/A,SUMIFS(Eingabe[MP],Eingabe[Name],Tabelle4[[#This Row],[Name]],Eingabe[Team],F$2))</f>
        <v>#N/A</v>
      </c>
      <c r="G7" s="17"/>
    </row>
    <row r="8" spans="2:7" ht="15.6" x14ac:dyDescent="0.3">
      <c r="B8" s="42" t="s">
        <v>473</v>
      </c>
      <c r="C8" s="17" t="e">
        <f>IF(SUMIFS(Eingabe[MP],Eingabe[Name],Tabelle4[[#This Row],[Name]],Eingabe[Team],C$2)=0,#N/A,SUMIFS(Eingabe[MP],Eingabe[Name],Tabelle4[[#This Row],[Name]],Eingabe[Team],C$2))</f>
        <v>#N/A</v>
      </c>
      <c r="D8" s="17" t="e">
        <f>IF(SUMIFS(Eingabe[MP],Eingabe[Name],Tabelle4[[#This Row],[Name]],Eingabe[Team],D$2)=0,#N/A,SUMIFS(Eingabe[MP],Eingabe[Name],Tabelle4[[#This Row],[Name]],Eingabe[Team],D$2))</f>
        <v>#N/A</v>
      </c>
      <c r="E8" s="17" t="e">
        <f>IF(SUMIFS(Eingabe[MP],Eingabe[Name],Tabelle4[[#This Row],[Name]],Eingabe[Team],E$2)=0,#N/A,SUMIFS(Eingabe[MP],Eingabe[Name],Tabelle4[[#This Row],[Name]],Eingabe[Team],E$2))</f>
        <v>#N/A</v>
      </c>
      <c r="F8" s="43" t="e">
        <f>IF(SUMIFS(Eingabe[MP],Eingabe[Name],Tabelle4[[#This Row],[Name]],Eingabe[Team],F$2)=0,#N/A,SUMIFS(Eingabe[MP],Eingabe[Name],Tabelle4[[#This Row],[Name]],Eingabe[Team],F$2))</f>
        <v>#N/A</v>
      </c>
      <c r="G8" s="17"/>
    </row>
    <row r="9" spans="2:7" ht="15.6" x14ac:dyDescent="0.3">
      <c r="B9" s="42" t="s">
        <v>472</v>
      </c>
      <c r="C9" s="17" t="e">
        <f>IF(SUMIFS(Eingabe[MP],Eingabe[Name],Tabelle4[[#This Row],[Name]],Eingabe[Team],C$2)=0,#N/A,SUMIFS(Eingabe[MP],Eingabe[Name],Tabelle4[[#This Row],[Name]],Eingabe[Team],C$2))</f>
        <v>#N/A</v>
      </c>
      <c r="D9" s="17" t="e">
        <f>IF(SUMIFS(Eingabe[MP],Eingabe[Name],Tabelle4[[#This Row],[Name]],Eingabe[Team],D$2)=0,#N/A,SUMIFS(Eingabe[MP],Eingabe[Name],Tabelle4[[#This Row],[Name]],Eingabe[Team],D$2))</f>
        <v>#N/A</v>
      </c>
      <c r="E9" s="17" t="e">
        <f>IF(SUMIFS(Eingabe[MP],Eingabe[Name],Tabelle4[[#This Row],[Name]],Eingabe[Team],E$2)=0,#N/A,SUMIFS(Eingabe[MP],Eingabe[Name],Tabelle4[[#This Row],[Name]],Eingabe[Team],E$2))</f>
        <v>#N/A</v>
      </c>
      <c r="F9" s="43" t="e">
        <f>IF(SUMIFS(Eingabe[MP],Eingabe[Name],Tabelle4[[#This Row],[Name]],Eingabe[Team],F$2)=0,#N/A,SUMIFS(Eingabe[MP],Eingabe[Name],Tabelle4[[#This Row],[Name]],Eingabe[Team],F$2))</f>
        <v>#N/A</v>
      </c>
      <c r="G9" s="17"/>
    </row>
    <row r="10" spans="2:7" ht="15.6" x14ac:dyDescent="0.3">
      <c r="B10" s="42" t="s">
        <v>474</v>
      </c>
      <c r="C10" s="17" t="e">
        <f>IF(SUMIFS(Eingabe[MP],Eingabe[Name],Tabelle4[[#This Row],[Name]],Eingabe[Team],C$2)=0,#N/A,SUMIFS(Eingabe[MP],Eingabe[Name],Tabelle4[[#This Row],[Name]],Eingabe[Team],C$2))</f>
        <v>#N/A</v>
      </c>
      <c r="D10" s="17" t="e">
        <f>IF(SUMIFS(Eingabe[MP],Eingabe[Name],Tabelle4[[#This Row],[Name]],Eingabe[Team],D$2)=0,#N/A,SUMIFS(Eingabe[MP],Eingabe[Name],Tabelle4[[#This Row],[Name]],Eingabe[Team],D$2))</f>
        <v>#N/A</v>
      </c>
      <c r="E10" s="17" t="e">
        <f>IF(SUMIFS(Eingabe[MP],Eingabe[Name],Tabelle4[[#This Row],[Name]],Eingabe[Team],E$2)=0,#N/A,SUMIFS(Eingabe[MP],Eingabe[Name],Tabelle4[[#This Row],[Name]],Eingabe[Team],E$2))</f>
        <v>#N/A</v>
      </c>
      <c r="F10" s="43">
        <f>IF(SUMIFS(Eingabe[MP],Eingabe[Name],Tabelle4[[#This Row],[Name]],Eingabe[Team],F$2)=0,#N/A,SUMIFS(Eingabe[MP],Eingabe[Name],Tabelle4[[#This Row],[Name]],Eingabe[Team],F$2))</f>
        <v>3</v>
      </c>
      <c r="G10" s="17"/>
    </row>
    <row r="11" spans="2:7" ht="15.6" x14ac:dyDescent="0.3">
      <c r="B11" s="42" t="s">
        <v>475</v>
      </c>
      <c r="C11" s="17" t="e">
        <f>IF(SUMIFS(Eingabe[MP],Eingabe[Name],Tabelle4[[#This Row],[Name]],Eingabe[Team],C$2)=0,#N/A,SUMIFS(Eingabe[MP],Eingabe[Name],Tabelle4[[#This Row],[Name]],Eingabe[Team],C$2))</f>
        <v>#N/A</v>
      </c>
      <c r="D11" s="17" t="e">
        <f>IF(SUMIFS(Eingabe[MP],Eingabe[Name],Tabelle4[[#This Row],[Name]],Eingabe[Team],D$2)=0,#N/A,SUMIFS(Eingabe[MP],Eingabe[Name],Tabelle4[[#This Row],[Name]],Eingabe[Team],D$2))</f>
        <v>#N/A</v>
      </c>
      <c r="E11" s="17" t="e">
        <f>IF(SUMIFS(Eingabe[MP],Eingabe[Name],Tabelle4[[#This Row],[Name]],Eingabe[Team],E$2)=0,#N/A,SUMIFS(Eingabe[MP],Eingabe[Name],Tabelle4[[#This Row],[Name]],Eingabe[Team],E$2))</f>
        <v>#N/A</v>
      </c>
      <c r="F11" s="43" t="e">
        <f>IF(SUMIFS(Eingabe[MP],Eingabe[Name],Tabelle4[[#This Row],[Name]],Eingabe[Team],F$2)=0,#N/A,SUMIFS(Eingabe[MP],Eingabe[Name],Tabelle4[[#This Row],[Name]],Eingabe[Team],F$2))</f>
        <v>#N/A</v>
      </c>
      <c r="G11" s="17"/>
    </row>
    <row r="12" spans="2:7" ht="15.6" x14ac:dyDescent="0.3">
      <c r="B12" s="42" t="s">
        <v>476</v>
      </c>
      <c r="C12" s="17" t="e">
        <f>IF(SUMIFS(Eingabe[MP],Eingabe[Name],Tabelle4[[#This Row],[Name]],Eingabe[Team],C$2)=0,#N/A,SUMIFS(Eingabe[MP],Eingabe[Name],Tabelle4[[#This Row],[Name]],Eingabe[Team],C$2))</f>
        <v>#N/A</v>
      </c>
      <c r="D12" s="17" t="e">
        <f>IF(SUMIFS(Eingabe[MP],Eingabe[Name],Tabelle4[[#This Row],[Name]],Eingabe[Team],D$2)=0,#N/A,SUMIFS(Eingabe[MP],Eingabe[Name],Tabelle4[[#This Row],[Name]],Eingabe[Team],D$2))</f>
        <v>#N/A</v>
      </c>
      <c r="E12" s="17" t="e">
        <f>IF(SUMIFS(Eingabe[MP],Eingabe[Name],Tabelle4[[#This Row],[Name]],Eingabe[Team],E$2)=0,#N/A,SUMIFS(Eingabe[MP],Eingabe[Name],Tabelle4[[#This Row],[Name]],Eingabe[Team],E$2))</f>
        <v>#N/A</v>
      </c>
      <c r="F12" s="43" t="e">
        <f>IF(SUMIFS(Eingabe[MP],Eingabe[Name],Tabelle4[[#This Row],[Name]],Eingabe[Team],F$2)=0,#N/A,SUMIFS(Eingabe[MP],Eingabe[Name],Tabelle4[[#This Row],[Name]],Eingabe[Team],F$2))</f>
        <v>#N/A</v>
      </c>
      <c r="G12" s="17"/>
    </row>
    <row r="13" spans="2:7" ht="15.6" x14ac:dyDescent="0.3">
      <c r="B13" s="42" t="s">
        <v>477</v>
      </c>
      <c r="C13" s="17" t="e">
        <f>IF(SUMIFS(Eingabe[MP],Eingabe[Name],Tabelle4[[#This Row],[Name]],Eingabe[Team],C$2)=0,#N/A,SUMIFS(Eingabe[MP],Eingabe[Name],Tabelle4[[#This Row],[Name]],Eingabe[Team],C$2))</f>
        <v>#N/A</v>
      </c>
      <c r="D13" s="17" t="e">
        <f>IF(SUMIFS(Eingabe[MP],Eingabe[Name],Tabelle4[[#This Row],[Name]],Eingabe[Team],D$2)=0,#N/A,SUMIFS(Eingabe[MP],Eingabe[Name],Tabelle4[[#This Row],[Name]],Eingabe[Team],D$2))</f>
        <v>#N/A</v>
      </c>
      <c r="E13" s="17" t="e">
        <f>IF(SUMIFS(Eingabe[MP],Eingabe[Name],Tabelle4[[#This Row],[Name]],Eingabe[Team],E$2)=0,#N/A,SUMIFS(Eingabe[MP],Eingabe[Name],Tabelle4[[#This Row],[Name]],Eingabe[Team],E$2))</f>
        <v>#N/A</v>
      </c>
      <c r="F13" s="43">
        <f>IF(SUMIFS(Eingabe[MP],Eingabe[Name],Tabelle4[[#This Row],[Name]],Eingabe[Team],F$2)=0,#N/A,SUMIFS(Eingabe[MP],Eingabe[Name],Tabelle4[[#This Row],[Name]],Eingabe[Team],F$2))</f>
        <v>1</v>
      </c>
      <c r="G13" s="17"/>
    </row>
    <row r="14" spans="2:7" ht="15.6" x14ac:dyDescent="0.3">
      <c r="B14" s="42" t="s">
        <v>478</v>
      </c>
      <c r="C14" s="17" t="e">
        <f>IF(SUMIFS(Eingabe[MP],Eingabe[Name],Tabelle4[[#This Row],[Name]],Eingabe[Team],C$2)=0,#N/A,SUMIFS(Eingabe[MP],Eingabe[Name],Tabelle4[[#This Row],[Name]],Eingabe[Team],C$2))</f>
        <v>#N/A</v>
      </c>
      <c r="D14" s="17">
        <f>IF(SUMIFS(Eingabe[MP],Eingabe[Name],Tabelle4[[#This Row],[Name]],Eingabe[Team],D$2)=0,#N/A,SUMIFS(Eingabe[MP],Eingabe[Name],Tabelle4[[#This Row],[Name]],Eingabe[Team],D$2))</f>
        <v>3</v>
      </c>
      <c r="E14" s="17" t="e">
        <f>IF(SUMIFS(Eingabe[MP],Eingabe[Name],Tabelle4[[#This Row],[Name]],Eingabe[Team],E$2)=0,#N/A,SUMIFS(Eingabe[MP],Eingabe[Name],Tabelle4[[#This Row],[Name]],Eingabe[Team],E$2))</f>
        <v>#N/A</v>
      </c>
      <c r="F14" s="43" t="e">
        <f>IF(SUMIFS(Eingabe[MP],Eingabe[Name],Tabelle4[[#This Row],[Name]],Eingabe[Team],F$2)=0,#N/A,SUMIFS(Eingabe[MP],Eingabe[Name],Tabelle4[[#This Row],[Name]],Eingabe[Team],F$2))</f>
        <v>#N/A</v>
      </c>
      <c r="G14" s="17"/>
    </row>
    <row r="15" spans="2:7" ht="15.6" x14ac:dyDescent="0.3">
      <c r="B15" s="42" t="s">
        <v>479</v>
      </c>
      <c r="C15" s="17" t="e">
        <f>IF(SUMIFS(Eingabe[MP],Eingabe[Name],Tabelle4[[#This Row],[Name]],Eingabe[Team],C$2)=0,#N/A,SUMIFS(Eingabe[MP],Eingabe[Name],Tabelle4[[#This Row],[Name]],Eingabe[Team],C$2))</f>
        <v>#N/A</v>
      </c>
      <c r="D15" s="17" t="e">
        <f>IF(SUMIFS(Eingabe[MP],Eingabe[Name],Tabelle4[[#This Row],[Name]],Eingabe[Team],D$2)=0,#N/A,SUMIFS(Eingabe[MP],Eingabe[Name],Tabelle4[[#This Row],[Name]],Eingabe[Team],D$2))</f>
        <v>#N/A</v>
      </c>
      <c r="E15" s="17">
        <f>IF(SUMIFS(Eingabe[MP],Eingabe[Name],Tabelle4[[#This Row],[Name]],Eingabe[Team],E$2)=0,#N/A,SUMIFS(Eingabe[MP],Eingabe[Name],Tabelle4[[#This Row],[Name]],Eingabe[Team],E$2))</f>
        <v>2</v>
      </c>
      <c r="F15" s="43" t="e">
        <f>IF(SUMIFS(Eingabe[MP],Eingabe[Name],Tabelle4[[#This Row],[Name]],Eingabe[Team],F$2)=0,#N/A,SUMIFS(Eingabe[MP],Eingabe[Name],Tabelle4[[#This Row],[Name]],Eingabe[Team],F$2))</f>
        <v>#N/A</v>
      </c>
      <c r="G15" s="17"/>
    </row>
    <row r="16" spans="2:7" ht="15.6" x14ac:dyDescent="0.3">
      <c r="B16" s="42" t="s">
        <v>471</v>
      </c>
      <c r="C16" s="17" t="e">
        <f>IF(SUMIFS(Eingabe[MP],Eingabe[Name],Tabelle4[[#This Row],[Name]],Eingabe[Team],C$2)=0,#N/A,SUMIFS(Eingabe[MP],Eingabe[Name],Tabelle4[[#This Row],[Name]],Eingabe[Team],C$2))</f>
        <v>#N/A</v>
      </c>
      <c r="D16" s="17" t="e">
        <f>IF(SUMIFS(Eingabe[MP],Eingabe[Name],Tabelle4[[#This Row],[Name]],Eingabe[Team],D$2)=0,#N/A,SUMIFS(Eingabe[MP],Eingabe[Name],Tabelle4[[#This Row],[Name]],Eingabe[Team],D$2))</f>
        <v>#N/A</v>
      </c>
      <c r="E16" s="17" t="e">
        <f>IF(SUMIFS(Eingabe[MP],Eingabe[Name],Tabelle4[[#This Row],[Name]],Eingabe[Team],E$2)=0,#N/A,SUMIFS(Eingabe[MP],Eingabe[Name],Tabelle4[[#This Row],[Name]],Eingabe[Team],E$2))</f>
        <v>#N/A</v>
      </c>
      <c r="F16" s="43" t="e">
        <f>IF(SUMIFS(Eingabe[MP],Eingabe[Name],Tabelle4[[#This Row],[Name]],Eingabe[Team],F$2)=0,#N/A,SUMIFS(Eingabe[MP],Eingabe[Name],Tabelle4[[#This Row],[Name]],Eingabe[Team],F$2))</f>
        <v>#N/A</v>
      </c>
      <c r="G16" s="17"/>
    </row>
    <row r="17" spans="2:7" ht="15.6" x14ac:dyDescent="0.3">
      <c r="B17" s="42" t="s">
        <v>480</v>
      </c>
      <c r="C17" s="17" t="e">
        <f>IF(SUMIFS(Eingabe[MP],Eingabe[Name],Tabelle4[[#This Row],[Name]],Eingabe[Team],C$2)=0,#N/A,SUMIFS(Eingabe[MP],Eingabe[Name],Tabelle4[[#This Row],[Name]],Eingabe[Team],C$2))</f>
        <v>#N/A</v>
      </c>
      <c r="D17" s="17" t="e">
        <f>IF(SUMIFS(Eingabe[MP],Eingabe[Name],Tabelle4[[#This Row],[Name]],Eingabe[Team],D$2)=0,#N/A,SUMIFS(Eingabe[MP],Eingabe[Name],Tabelle4[[#This Row],[Name]],Eingabe[Team],D$2))</f>
        <v>#N/A</v>
      </c>
      <c r="E17" s="17" t="e">
        <f>IF(SUMIFS(Eingabe[MP],Eingabe[Name],Tabelle4[[#This Row],[Name]],Eingabe[Team],E$2)=0,#N/A,SUMIFS(Eingabe[MP],Eingabe[Name],Tabelle4[[#This Row],[Name]],Eingabe[Team],E$2))</f>
        <v>#N/A</v>
      </c>
      <c r="F17" s="43">
        <f>IF(SUMIFS(Eingabe[MP],Eingabe[Name],Tabelle4[[#This Row],[Name]],Eingabe[Team],F$2)=0,#N/A,SUMIFS(Eingabe[MP],Eingabe[Name],Tabelle4[[#This Row],[Name]],Eingabe[Team],F$2))</f>
        <v>5</v>
      </c>
      <c r="G17" s="17"/>
    </row>
    <row r="18" spans="2:7" ht="15.6" x14ac:dyDescent="0.3">
      <c r="B18" s="42" t="s">
        <v>456</v>
      </c>
      <c r="C18" s="17" t="e">
        <f>IF(SUMIFS(Eingabe[MP],Eingabe[Name],Tabelle4[[#This Row],[Name]],Eingabe[Team],C$2)=0,#N/A,SUMIFS(Eingabe[MP],Eingabe[Name],Tabelle4[[#This Row],[Name]],Eingabe[Team],C$2))</f>
        <v>#N/A</v>
      </c>
      <c r="D18" s="17" t="e">
        <f>IF(SUMIFS(Eingabe[MP],Eingabe[Name],Tabelle4[[#This Row],[Name]],Eingabe[Team],D$2)=0,#N/A,SUMIFS(Eingabe[MP],Eingabe[Name],Tabelle4[[#This Row],[Name]],Eingabe[Team],D$2))</f>
        <v>#N/A</v>
      </c>
      <c r="E18" s="17" t="e">
        <f>IF(SUMIFS(Eingabe[MP],Eingabe[Name],Tabelle4[[#This Row],[Name]],Eingabe[Team],E$2)=0,#N/A,SUMIFS(Eingabe[MP],Eingabe[Name],Tabelle4[[#This Row],[Name]],Eingabe[Team],E$2))</f>
        <v>#N/A</v>
      </c>
      <c r="F18" s="43" t="e">
        <f>IF(SUMIFS(Eingabe[MP],Eingabe[Name],Tabelle4[[#This Row],[Name]],Eingabe[Team],F$2)=0,#N/A,SUMIFS(Eingabe[MP],Eingabe[Name],Tabelle4[[#This Row],[Name]],Eingabe[Team],F$2))</f>
        <v>#N/A</v>
      </c>
      <c r="G18" s="17"/>
    </row>
    <row r="19" spans="2:7" ht="15.6" x14ac:dyDescent="0.3">
      <c r="B19" s="42" t="s">
        <v>467</v>
      </c>
      <c r="C19" s="17" t="e">
        <f>IF(SUMIFS(Eingabe[MP],Eingabe[Name],Tabelle4[[#This Row],[Name]],Eingabe[Team],C$2)=0,#N/A,SUMIFS(Eingabe[MP],Eingabe[Name],Tabelle4[[#This Row],[Name]],Eingabe[Team],C$2))</f>
        <v>#N/A</v>
      </c>
      <c r="D19" s="17" t="e">
        <f>IF(SUMIFS(Eingabe[MP],Eingabe[Name],Tabelle4[[#This Row],[Name]],Eingabe[Team],D$2)=0,#N/A,SUMIFS(Eingabe[MP],Eingabe[Name],Tabelle4[[#This Row],[Name]],Eingabe[Team],D$2))</f>
        <v>#N/A</v>
      </c>
      <c r="E19" s="17">
        <f>IF(SUMIFS(Eingabe[MP],Eingabe[Name],Tabelle4[[#This Row],[Name]],Eingabe[Team],E$2)=0,#N/A,SUMIFS(Eingabe[MP],Eingabe[Name],Tabelle4[[#This Row],[Name]],Eingabe[Team],E$2))</f>
        <v>2</v>
      </c>
      <c r="F19" s="43" t="e">
        <f>IF(SUMIFS(Eingabe[MP],Eingabe[Name],Tabelle4[[#This Row],[Name]],Eingabe[Team],F$2)=0,#N/A,SUMIFS(Eingabe[MP],Eingabe[Name],Tabelle4[[#This Row],[Name]],Eingabe[Team],F$2))</f>
        <v>#N/A</v>
      </c>
      <c r="G19" s="17"/>
    </row>
    <row r="20" spans="2:7" ht="15.6" x14ac:dyDescent="0.3">
      <c r="B20" s="42" t="s">
        <v>14</v>
      </c>
      <c r="C20" s="17" t="e">
        <f>IF(SUMIFS(Eingabe[MP],Eingabe[Name],Tabelle4[[#This Row],[Name]],Eingabe[Team],C$2)=0,#N/A,SUMIFS(Eingabe[MP],Eingabe[Name],Tabelle4[[#This Row],[Name]],Eingabe[Team],C$2))</f>
        <v>#N/A</v>
      </c>
      <c r="D20" s="17" t="e">
        <f>IF(SUMIFS(Eingabe[MP],Eingabe[Name],Tabelle4[[#This Row],[Name]],Eingabe[Team],D$2)=0,#N/A,SUMIFS(Eingabe[MP],Eingabe[Name],Tabelle4[[#This Row],[Name]],Eingabe[Team],D$2))</f>
        <v>#N/A</v>
      </c>
      <c r="E20" s="17" t="e">
        <f>IF(SUMIFS(Eingabe[MP],Eingabe[Name],Tabelle4[[#This Row],[Name]],Eingabe[Team],E$2)=0,#N/A,SUMIFS(Eingabe[MP],Eingabe[Name],Tabelle4[[#This Row],[Name]],Eingabe[Team],E$2))</f>
        <v>#N/A</v>
      </c>
      <c r="F20" s="43">
        <f>IF(SUMIFS(Eingabe[MP],Eingabe[Name],Tabelle4[[#This Row],[Name]],Eingabe[Team],F$2)=0,#N/A,SUMIFS(Eingabe[MP],Eingabe[Name],Tabelle4[[#This Row],[Name]],Eingabe[Team],F$2))</f>
        <v>1</v>
      </c>
      <c r="G20" s="17"/>
    </row>
    <row r="21" spans="2:7" ht="15.6" x14ac:dyDescent="0.3">
      <c r="B21" s="42" t="s">
        <v>15</v>
      </c>
      <c r="C21" s="17" t="e">
        <f>IF(SUMIFS(Eingabe[MP],Eingabe[Name],Tabelle4[[#This Row],[Name]],Eingabe[Team],C$2)=0,#N/A,SUMIFS(Eingabe[MP],Eingabe[Name],Tabelle4[[#This Row],[Name]],Eingabe[Team],C$2))</f>
        <v>#N/A</v>
      </c>
      <c r="D21" s="17" t="e">
        <f>IF(SUMIFS(Eingabe[MP],Eingabe[Name],Tabelle4[[#This Row],[Name]],Eingabe[Team],D$2)=0,#N/A,SUMIFS(Eingabe[MP],Eingabe[Name],Tabelle4[[#This Row],[Name]],Eingabe[Team],D$2))</f>
        <v>#N/A</v>
      </c>
      <c r="E21" s="17" t="e">
        <f>IF(SUMIFS(Eingabe[MP],Eingabe[Name],Tabelle4[[#This Row],[Name]],Eingabe[Team],E$2)=0,#N/A,SUMIFS(Eingabe[MP],Eingabe[Name],Tabelle4[[#This Row],[Name]],Eingabe[Team],E$2))</f>
        <v>#N/A</v>
      </c>
      <c r="F21" s="43">
        <f>IF(SUMIFS(Eingabe[MP],Eingabe[Name],Tabelle4[[#This Row],[Name]],Eingabe[Team],F$2)=0,#N/A,SUMIFS(Eingabe[MP],Eingabe[Name],Tabelle4[[#This Row],[Name]],Eingabe[Team],F$2))</f>
        <v>4</v>
      </c>
      <c r="G21" s="17"/>
    </row>
    <row r="22" spans="2:7" ht="15.6" x14ac:dyDescent="0.3">
      <c r="B22" s="42" t="s">
        <v>496</v>
      </c>
      <c r="C22" s="17" t="e">
        <f>IF(SUMIFS(Eingabe[MP],Eingabe[Name],Tabelle4[[#This Row],[Name]],Eingabe[Team],C$2)=0,#N/A,SUMIFS(Eingabe[MP],Eingabe[Name],Tabelle4[[#This Row],[Name]],Eingabe[Team],C$2))</f>
        <v>#N/A</v>
      </c>
      <c r="D22" s="17" t="e">
        <f>IF(SUMIFS(Eingabe[MP],Eingabe[Name],Tabelle4[[#This Row],[Name]],Eingabe[Team],D$2)=0,#N/A,SUMIFS(Eingabe[MP],Eingabe[Name],Tabelle4[[#This Row],[Name]],Eingabe[Team],D$2))</f>
        <v>#N/A</v>
      </c>
      <c r="E22" s="17" t="e">
        <f>IF(SUMIFS(Eingabe[MP],Eingabe[Name],Tabelle4[[#This Row],[Name]],Eingabe[Team],E$2)=0,#N/A,SUMIFS(Eingabe[MP],Eingabe[Name],Tabelle4[[#This Row],[Name]],Eingabe[Team],E$2))</f>
        <v>#N/A</v>
      </c>
      <c r="F22" s="43" t="e">
        <f>IF(SUMIFS(Eingabe[MP],Eingabe[Name],Tabelle4[[#This Row],[Name]],Eingabe[Team],F$2)=0,#N/A,SUMIFS(Eingabe[MP],Eingabe[Name],Tabelle4[[#This Row],[Name]],Eingabe[Team],F$2))</f>
        <v>#N/A</v>
      </c>
      <c r="G22" s="17"/>
    </row>
    <row r="23" spans="2:7" ht="15.6" x14ac:dyDescent="0.3">
      <c r="B23" s="42" t="s">
        <v>464</v>
      </c>
      <c r="C23" s="17" t="e">
        <f>IF(SUMIFS(Eingabe[MP],Eingabe[Name],Tabelle4[[#This Row],[Name]],Eingabe[Team],C$2)=0,#N/A,SUMIFS(Eingabe[MP],Eingabe[Name],Tabelle4[[#This Row],[Name]],Eingabe[Team],C$2))</f>
        <v>#N/A</v>
      </c>
      <c r="D23" s="17" t="e">
        <f>IF(SUMIFS(Eingabe[MP],Eingabe[Name],Tabelle4[[#This Row],[Name]],Eingabe[Team],D$2)=0,#N/A,SUMIFS(Eingabe[MP],Eingabe[Name],Tabelle4[[#This Row],[Name]],Eingabe[Team],D$2))</f>
        <v>#N/A</v>
      </c>
      <c r="E23" s="17" t="e">
        <f>IF(SUMIFS(Eingabe[MP],Eingabe[Name],Tabelle4[[#This Row],[Name]],Eingabe[Team],E$2)=0,#N/A,SUMIFS(Eingabe[MP],Eingabe[Name],Tabelle4[[#This Row],[Name]],Eingabe[Team],E$2))</f>
        <v>#N/A</v>
      </c>
      <c r="F23" s="43">
        <f>IF(SUMIFS(Eingabe[MP],Eingabe[Name],Tabelle4[[#This Row],[Name]],Eingabe[Team],F$2)=0,#N/A,SUMIFS(Eingabe[MP],Eingabe[Name],Tabelle4[[#This Row],[Name]],Eingabe[Team],F$2))</f>
        <v>2</v>
      </c>
      <c r="G23" s="17"/>
    </row>
    <row r="24" spans="2:7" ht="15.6" x14ac:dyDescent="0.3">
      <c r="B24" s="42" t="s">
        <v>599</v>
      </c>
      <c r="C24" s="17" t="e">
        <f>IF(SUMIFS(Eingabe[MP],Eingabe[Name],Tabelle4[[#This Row],[Name]],Eingabe[Team],C$2)=0,#N/A,SUMIFS(Eingabe[MP],Eingabe[Name],Tabelle4[[#This Row],[Name]],Eingabe[Team],C$2))</f>
        <v>#N/A</v>
      </c>
      <c r="D24" s="17" t="e">
        <f>IF(SUMIFS(Eingabe[MP],Eingabe[Name],Tabelle4[[#This Row],[Name]],Eingabe[Team],D$2)=0,#N/A,SUMIFS(Eingabe[MP],Eingabe[Name],Tabelle4[[#This Row],[Name]],Eingabe[Team],D$2))</f>
        <v>#N/A</v>
      </c>
      <c r="E24" s="17" t="e">
        <f>IF(SUMIFS(Eingabe[MP],Eingabe[Name],Tabelle4[[#This Row],[Name]],Eingabe[Team],E$2)=0,#N/A,SUMIFS(Eingabe[MP],Eingabe[Name],Tabelle4[[#This Row],[Name]],Eingabe[Team],E$2))</f>
        <v>#N/A</v>
      </c>
      <c r="F24" s="43" t="e">
        <f>IF(SUMIFS(Eingabe[MP],Eingabe[Name],Tabelle4[[#This Row],[Name]],Eingabe[Team],F$2)=0,#N/A,SUMIFS(Eingabe[MP],Eingabe[Name],Tabelle4[[#This Row],[Name]],Eingabe[Team],F$2))</f>
        <v>#N/A</v>
      </c>
      <c r="G24" s="17"/>
    </row>
    <row r="25" spans="2:7" ht="15.6" x14ac:dyDescent="0.3">
      <c r="B25" s="42" t="s">
        <v>468</v>
      </c>
      <c r="C25" s="17" t="e">
        <f>IF(SUMIFS(Eingabe[MP],Eingabe[Name],Tabelle4[[#This Row],[Name]],Eingabe[Team],C$2)=0,#N/A,SUMIFS(Eingabe[MP],Eingabe[Name],Tabelle4[[#This Row],[Name]],Eingabe[Team],C$2))</f>
        <v>#N/A</v>
      </c>
      <c r="D25" s="17" t="e">
        <f>IF(SUMIFS(Eingabe[MP],Eingabe[Name],Tabelle4[[#This Row],[Name]],Eingabe[Team],D$2)=0,#N/A,SUMIFS(Eingabe[MP],Eingabe[Name],Tabelle4[[#This Row],[Name]],Eingabe[Team],D$2))</f>
        <v>#N/A</v>
      </c>
      <c r="E25" s="17" t="e">
        <f>IF(SUMIFS(Eingabe[MP],Eingabe[Name],Tabelle4[[#This Row],[Name]],Eingabe[Team],E$2)=0,#N/A,SUMIFS(Eingabe[MP],Eingabe[Name],Tabelle4[[#This Row],[Name]],Eingabe[Team],E$2))</f>
        <v>#N/A</v>
      </c>
      <c r="F25" s="43" t="e">
        <f>IF(SUMIFS(Eingabe[MP],Eingabe[Name],Tabelle4[[#This Row],[Name]],Eingabe[Team],F$2)=0,#N/A,SUMIFS(Eingabe[MP],Eingabe[Name],Tabelle4[[#This Row],[Name]],Eingabe[Team],F$2))</f>
        <v>#N/A</v>
      </c>
      <c r="G25" s="17"/>
    </row>
    <row r="26" spans="2:7" ht="15.6" x14ac:dyDescent="0.3">
      <c r="B26" s="42" t="s">
        <v>481</v>
      </c>
      <c r="C26" s="17" t="e">
        <f>IF(SUMIFS(Eingabe[MP],Eingabe[Name],Tabelle4[[#This Row],[Name]],Eingabe[Team],C$2)=0,#N/A,SUMIFS(Eingabe[MP],Eingabe[Name],Tabelle4[[#This Row],[Name]],Eingabe[Team],C$2))</f>
        <v>#N/A</v>
      </c>
      <c r="D26" s="17" t="e">
        <f>IF(SUMIFS(Eingabe[MP],Eingabe[Name],Tabelle4[[#This Row],[Name]],Eingabe[Team],D$2)=0,#N/A,SUMIFS(Eingabe[MP],Eingabe[Name],Tabelle4[[#This Row],[Name]],Eingabe[Team],D$2))</f>
        <v>#N/A</v>
      </c>
      <c r="E26" s="17" t="e">
        <f>IF(SUMIFS(Eingabe[MP],Eingabe[Name],Tabelle4[[#This Row],[Name]],Eingabe[Team],E$2)=0,#N/A,SUMIFS(Eingabe[MP],Eingabe[Name],Tabelle4[[#This Row],[Name]],Eingabe[Team],E$2))</f>
        <v>#N/A</v>
      </c>
      <c r="F26" s="43" t="e">
        <f>IF(SUMIFS(Eingabe[MP],Eingabe[Name],Tabelle4[[#This Row],[Name]],Eingabe[Team],F$2)=0,#N/A,SUMIFS(Eingabe[MP],Eingabe[Name],Tabelle4[[#This Row],[Name]],Eingabe[Team],F$2))</f>
        <v>#N/A</v>
      </c>
      <c r="G26" s="17"/>
    </row>
    <row r="27" spans="2:7" ht="15.6" x14ac:dyDescent="0.3">
      <c r="B27" s="42" t="s">
        <v>592</v>
      </c>
      <c r="C27" s="17" t="e">
        <f>IF(SUMIFS(Eingabe[MP],Eingabe[Name],Tabelle4[[#This Row],[Name]],Eingabe[Team],C$2)=0,#N/A,SUMIFS(Eingabe[MP],Eingabe[Name],Tabelle4[[#This Row],[Name]],Eingabe[Team],C$2))</f>
        <v>#N/A</v>
      </c>
      <c r="D27" s="17" t="e">
        <f>IF(SUMIFS(Eingabe[MP],Eingabe[Name],Tabelle4[[#This Row],[Name]],Eingabe[Team],D$2)=0,#N/A,SUMIFS(Eingabe[MP],Eingabe[Name],Tabelle4[[#This Row],[Name]],Eingabe[Team],D$2))</f>
        <v>#N/A</v>
      </c>
      <c r="E27" s="17" t="e">
        <f>IF(SUMIFS(Eingabe[MP],Eingabe[Name],Tabelle4[[#This Row],[Name]],Eingabe[Team],E$2)=0,#N/A,SUMIFS(Eingabe[MP],Eingabe[Name],Tabelle4[[#This Row],[Name]],Eingabe[Team],E$2))</f>
        <v>#N/A</v>
      </c>
      <c r="F27" s="43">
        <f>IF(SUMIFS(Eingabe[MP],Eingabe[Name],Tabelle4[[#This Row],[Name]],Eingabe[Team],F$2)=0,#N/A,SUMIFS(Eingabe[MP],Eingabe[Name],Tabelle4[[#This Row],[Name]],Eingabe[Team],F$2))</f>
        <v>4</v>
      </c>
      <c r="G27" s="17"/>
    </row>
    <row r="28" spans="2:7" ht="15.6" x14ac:dyDescent="0.3">
      <c r="B28" s="42" t="s">
        <v>470</v>
      </c>
      <c r="C28" s="17" t="e">
        <f>IF(SUMIFS(Eingabe[MP],Eingabe[Name],Tabelle4[[#This Row],[Name]],Eingabe[Team],C$2)=0,#N/A,SUMIFS(Eingabe[MP],Eingabe[Name],Tabelle4[[#This Row],[Name]],Eingabe[Team],C$2))</f>
        <v>#N/A</v>
      </c>
      <c r="D28" s="17" t="e">
        <f>IF(SUMIFS(Eingabe[MP],Eingabe[Name],Tabelle4[[#This Row],[Name]],Eingabe[Team],D$2)=0,#N/A,SUMIFS(Eingabe[MP],Eingabe[Name],Tabelle4[[#This Row],[Name]],Eingabe[Team],D$2))</f>
        <v>#N/A</v>
      </c>
      <c r="E28" s="17">
        <f>IF(SUMIFS(Eingabe[MP],Eingabe[Name],Tabelle4[[#This Row],[Name]],Eingabe[Team],E$2)=0,#N/A,SUMIFS(Eingabe[MP],Eingabe[Name],Tabelle4[[#This Row],[Name]],Eingabe[Team],E$2))</f>
        <v>1</v>
      </c>
      <c r="F28" s="43" t="e">
        <f>IF(SUMIFS(Eingabe[MP],Eingabe[Name],Tabelle4[[#This Row],[Name]],Eingabe[Team],F$2)=0,#N/A,SUMIFS(Eingabe[MP],Eingabe[Name],Tabelle4[[#This Row],[Name]],Eingabe[Team],F$2))</f>
        <v>#N/A</v>
      </c>
      <c r="G28" s="17"/>
    </row>
    <row r="29" spans="2:7" ht="15.6" x14ac:dyDescent="0.3">
      <c r="B29" s="42" t="s">
        <v>487</v>
      </c>
      <c r="C29" s="17" t="e">
        <f>IF(SUMIFS(Eingabe[MP],Eingabe[Name],Tabelle4[[#This Row],[Name]],Eingabe[Team],C$2)=0,#N/A,SUMIFS(Eingabe[MP],Eingabe[Name],Tabelle4[[#This Row],[Name]],Eingabe[Team],C$2))</f>
        <v>#N/A</v>
      </c>
      <c r="D29" s="17" t="e">
        <f>IF(SUMIFS(Eingabe[MP],Eingabe[Name],Tabelle4[[#This Row],[Name]],Eingabe[Team],D$2)=0,#N/A,SUMIFS(Eingabe[MP],Eingabe[Name],Tabelle4[[#This Row],[Name]],Eingabe[Team],D$2))</f>
        <v>#N/A</v>
      </c>
      <c r="E29" s="17" t="e">
        <f>IF(SUMIFS(Eingabe[MP],Eingabe[Name],Tabelle4[[#This Row],[Name]],Eingabe[Team],E$2)=0,#N/A,SUMIFS(Eingabe[MP],Eingabe[Name],Tabelle4[[#This Row],[Name]],Eingabe[Team],E$2))</f>
        <v>#N/A</v>
      </c>
      <c r="F29" s="43" t="e">
        <f>IF(SUMIFS(Eingabe[MP],Eingabe[Name],Tabelle4[[#This Row],[Name]],Eingabe[Team],F$2)=0,#N/A,SUMIFS(Eingabe[MP],Eingabe[Name],Tabelle4[[#This Row],[Name]],Eingabe[Team],F$2))</f>
        <v>#N/A</v>
      </c>
      <c r="G29" s="17"/>
    </row>
    <row r="30" spans="2:7" ht="15.6" x14ac:dyDescent="0.3">
      <c r="B30" s="42" t="s">
        <v>466</v>
      </c>
      <c r="C30" s="17" t="e">
        <f>IF(SUMIFS(Eingabe[MP],Eingabe[Name],Tabelle4[[#This Row],[Name]],Eingabe[Team],C$2)=0,#N/A,SUMIFS(Eingabe[MP],Eingabe[Name],Tabelle4[[#This Row],[Name]],Eingabe[Team],C$2))</f>
        <v>#N/A</v>
      </c>
      <c r="D30" s="17" t="e">
        <f>IF(SUMIFS(Eingabe[MP],Eingabe[Name],Tabelle4[[#This Row],[Name]],Eingabe[Team],D$2)=0,#N/A,SUMIFS(Eingabe[MP],Eingabe[Name],Tabelle4[[#This Row],[Name]],Eingabe[Team],D$2))</f>
        <v>#N/A</v>
      </c>
      <c r="E30" s="17" t="e">
        <f>IF(SUMIFS(Eingabe[MP],Eingabe[Name],Tabelle4[[#This Row],[Name]],Eingabe[Team],E$2)=0,#N/A,SUMIFS(Eingabe[MP],Eingabe[Name],Tabelle4[[#This Row],[Name]],Eingabe[Team],E$2))</f>
        <v>#N/A</v>
      </c>
      <c r="F30" s="43" t="e">
        <f>IF(SUMIFS(Eingabe[MP],Eingabe[Name],Tabelle4[[#This Row],[Name]],Eingabe[Team],F$2)=0,#N/A,SUMIFS(Eingabe[MP],Eingabe[Name],Tabelle4[[#This Row],[Name]],Eingabe[Team],F$2))</f>
        <v>#N/A</v>
      </c>
      <c r="G30" s="17"/>
    </row>
    <row r="31" spans="2:7" ht="15.6" x14ac:dyDescent="0.3">
      <c r="B31" s="42" t="s">
        <v>482</v>
      </c>
      <c r="C31" s="17" t="e">
        <f>IF(SUMIFS(Eingabe[MP],Eingabe[Name],Tabelle4[[#This Row],[Name]],Eingabe[Team],C$2)=0,#N/A,SUMIFS(Eingabe[MP],Eingabe[Name],Tabelle4[[#This Row],[Name]],Eingabe[Team],C$2))</f>
        <v>#N/A</v>
      </c>
      <c r="D31" s="17" t="e">
        <f>IF(SUMIFS(Eingabe[MP],Eingabe[Name],Tabelle4[[#This Row],[Name]],Eingabe[Team],D$2)=0,#N/A,SUMIFS(Eingabe[MP],Eingabe[Name],Tabelle4[[#This Row],[Name]],Eingabe[Team],D$2))</f>
        <v>#N/A</v>
      </c>
      <c r="E31" s="17" t="e">
        <f>IF(SUMIFS(Eingabe[MP],Eingabe[Name],Tabelle4[[#This Row],[Name]],Eingabe[Team],E$2)=0,#N/A,SUMIFS(Eingabe[MP],Eingabe[Name],Tabelle4[[#This Row],[Name]],Eingabe[Team],E$2))</f>
        <v>#N/A</v>
      </c>
      <c r="F31" s="43" t="e">
        <f>IF(SUMIFS(Eingabe[MP],Eingabe[Name],Tabelle4[[#This Row],[Name]],Eingabe[Team],F$2)=0,#N/A,SUMIFS(Eingabe[MP],Eingabe[Name],Tabelle4[[#This Row],[Name]],Eingabe[Team],F$2))</f>
        <v>#N/A</v>
      </c>
      <c r="G31" s="17"/>
    </row>
    <row r="32" spans="2:7" ht="15.6" x14ac:dyDescent="0.3">
      <c r="B32" s="42" t="s">
        <v>461</v>
      </c>
      <c r="C32" s="17" t="e">
        <f>IF(SUMIFS(Eingabe[MP],Eingabe[Name],Tabelle4[[#This Row],[Name]],Eingabe[Team],C$2)=0,#N/A,SUMIFS(Eingabe[MP],Eingabe[Name],Tabelle4[[#This Row],[Name]],Eingabe[Team],C$2))</f>
        <v>#N/A</v>
      </c>
      <c r="D32" s="17" t="e">
        <f>IF(SUMIFS(Eingabe[MP],Eingabe[Name],Tabelle4[[#This Row],[Name]],Eingabe[Team],D$2)=0,#N/A,SUMIFS(Eingabe[MP],Eingabe[Name],Tabelle4[[#This Row],[Name]],Eingabe[Team],D$2))</f>
        <v>#N/A</v>
      </c>
      <c r="E32" s="17">
        <f>IF(SUMIFS(Eingabe[MP],Eingabe[Name],Tabelle4[[#This Row],[Name]],Eingabe[Team],E$2)=0,#N/A,SUMIFS(Eingabe[MP],Eingabe[Name],Tabelle4[[#This Row],[Name]],Eingabe[Team],E$2))</f>
        <v>1</v>
      </c>
      <c r="F32" s="43" t="e">
        <f>IF(SUMIFS(Eingabe[MP],Eingabe[Name],Tabelle4[[#This Row],[Name]],Eingabe[Team],F$2)=0,#N/A,SUMIFS(Eingabe[MP],Eingabe[Name],Tabelle4[[#This Row],[Name]],Eingabe[Team],F$2))</f>
        <v>#N/A</v>
      </c>
      <c r="G32" s="17"/>
    </row>
    <row r="33" spans="2:7" ht="15.6" x14ac:dyDescent="0.3">
      <c r="B33" s="42" t="s">
        <v>483</v>
      </c>
      <c r="C33" s="17" t="e">
        <f>IF(SUMIFS(Eingabe[MP],Eingabe[Name],Tabelle4[[#This Row],[Name]],Eingabe[Team],C$2)=0,#N/A,SUMIFS(Eingabe[MP],Eingabe[Name],Tabelle4[[#This Row],[Name]],Eingabe[Team],C$2))</f>
        <v>#N/A</v>
      </c>
      <c r="D33" s="17" t="e">
        <f>IF(SUMIFS(Eingabe[MP],Eingabe[Name],Tabelle4[[#This Row],[Name]],Eingabe[Team],D$2)=0,#N/A,SUMIFS(Eingabe[MP],Eingabe[Name],Tabelle4[[#This Row],[Name]],Eingabe[Team],D$2))</f>
        <v>#N/A</v>
      </c>
      <c r="E33" s="17" t="e">
        <f>IF(SUMIFS(Eingabe[MP],Eingabe[Name],Tabelle4[[#This Row],[Name]],Eingabe[Team],E$2)=0,#N/A,SUMIFS(Eingabe[MP],Eingabe[Name],Tabelle4[[#This Row],[Name]],Eingabe[Team],E$2))</f>
        <v>#N/A</v>
      </c>
      <c r="F33" s="71" t="e">
        <f>IF(SUMIFS(Eingabe[MP],Eingabe[Name],Tabelle4[[#This Row],[Name]],Eingabe[Team],F$2)=0,#N/A,SUMIFS(Eingabe[MP],Eingabe[Name],Tabelle4[[#This Row],[Name]],Eingabe[Team],F$2))</f>
        <v>#N/A</v>
      </c>
      <c r="G33" s="17"/>
    </row>
    <row r="34" spans="2:7" ht="15.6" x14ac:dyDescent="0.3">
      <c r="B34" s="42" t="s">
        <v>460</v>
      </c>
      <c r="C34" s="17" t="e">
        <f>IF(SUMIFS(Eingabe[MP],Eingabe[Name],Tabelle4[[#This Row],[Name]],Eingabe[Team],C$2)=0,#N/A,SUMIFS(Eingabe[MP],Eingabe[Name],Tabelle4[[#This Row],[Name]],Eingabe[Team],C$2))</f>
        <v>#N/A</v>
      </c>
      <c r="D34" s="17">
        <f>IF(SUMIFS(Eingabe[MP],Eingabe[Name],Tabelle4[[#This Row],[Name]],Eingabe[Team],D$2)=0,#N/A,SUMIFS(Eingabe[MP],Eingabe[Name],Tabelle4[[#This Row],[Name]],Eingabe[Team],D$2))</f>
        <v>1</v>
      </c>
      <c r="E34" s="17" t="e">
        <f>IF(SUMIFS(Eingabe[MP],Eingabe[Name],Tabelle4[[#This Row],[Name]],Eingabe[Team],E$2)=0,#N/A,SUMIFS(Eingabe[MP],Eingabe[Name],Tabelle4[[#This Row],[Name]],Eingabe[Team],E$2))</f>
        <v>#N/A</v>
      </c>
      <c r="F34" s="71" t="e">
        <f>IF(SUMIFS(Eingabe[MP],Eingabe[Name],Tabelle4[[#This Row],[Name]],Eingabe[Team],F$2)=0,#N/A,SUMIFS(Eingabe[MP],Eingabe[Name],Tabelle4[[#This Row],[Name]],Eingabe[Team],F$2))</f>
        <v>#N/A</v>
      </c>
      <c r="G34" s="17"/>
    </row>
    <row r="35" spans="2:7" ht="15.6" x14ac:dyDescent="0.3">
      <c r="B35" s="42" t="s">
        <v>465</v>
      </c>
      <c r="C35" s="17" t="e">
        <f>IF(SUMIFS(Eingabe[MP],Eingabe[Name],Tabelle4[[#This Row],[Name]],Eingabe[Team],C$2)=0,#N/A,SUMIFS(Eingabe[MP],Eingabe[Name],Tabelle4[[#This Row],[Name]],Eingabe[Team],C$2))</f>
        <v>#N/A</v>
      </c>
      <c r="D35" s="17">
        <f>IF(SUMIFS(Eingabe[MP],Eingabe[Name],Tabelle4[[#This Row],[Name]],Eingabe[Team],D$2)=0,#N/A,SUMIFS(Eingabe[MP],Eingabe[Name],Tabelle4[[#This Row],[Name]],Eingabe[Team],D$2))</f>
        <v>4</v>
      </c>
      <c r="E35" s="17" t="e">
        <f>IF(SUMIFS(Eingabe[MP],Eingabe[Name],Tabelle4[[#This Row],[Name]],Eingabe[Team],E$2)=0,#N/A,SUMIFS(Eingabe[MP],Eingabe[Name],Tabelle4[[#This Row],[Name]],Eingabe[Team],E$2))</f>
        <v>#N/A</v>
      </c>
      <c r="F35" s="71" t="e">
        <f>IF(SUMIFS(Eingabe[MP],Eingabe[Name],Tabelle4[[#This Row],[Name]],Eingabe[Team],F$2)=0,#N/A,SUMIFS(Eingabe[MP],Eingabe[Name],Tabelle4[[#This Row],[Name]],Eingabe[Team],F$2))</f>
        <v>#N/A</v>
      </c>
      <c r="G35" s="17"/>
    </row>
    <row r="36" spans="2:7" ht="15.6" x14ac:dyDescent="0.3">
      <c r="B36" s="42" t="s">
        <v>493</v>
      </c>
      <c r="C36" s="17" t="e">
        <f>IF(SUMIFS(Eingabe[MP],Eingabe[Name],Tabelle4[[#This Row],[Name]],Eingabe[Team],C$2)=0,#N/A,SUMIFS(Eingabe[MP],Eingabe[Name],Tabelle4[[#This Row],[Name]],Eingabe[Team],C$2))</f>
        <v>#N/A</v>
      </c>
      <c r="D36" s="17" t="e">
        <f>IF(SUMIFS(Eingabe[MP],Eingabe[Name],Tabelle4[[#This Row],[Name]],Eingabe[Team],D$2)=0,#N/A,SUMIFS(Eingabe[MP],Eingabe[Name],Tabelle4[[#This Row],[Name]],Eingabe[Team],D$2))</f>
        <v>#N/A</v>
      </c>
      <c r="E36" s="17">
        <f>IF(SUMIFS(Eingabe[MP],Eingabe[Name],Tabelle4[[#This Row],[Name]],Eingabe[Team],E$2)=0,#N/A,SUMIFS(Eingabe[MP],Eingabe[Name],Tabelle4[[#This Row],[Name]],Eingabe[Team],E$2))</f>
        <v>2</v>
      </c>
      <c r="F36" s="71" t="e">
        <f>IF(SUMIFS(Eingabe[MP],Eingabe[Name],Tabelle4[[#This Row],[Name]],Eingabe[Team],F$2)=0,#N/A,SUMIFS(Eingabe[MP],Eingabe[Name],Tabelle4[[#This Row],[Name]],Eingabe[Team],F$2))</f>
        <v>#N/A</v>
      </c>
      <c r="G36" s="17"/>
    </row>
    <row r="37" spans="2:7" ht="15.6" x14ac:dyDescent="0.3">
      <c r="B37" s="42" t="s">
        <v>469</v>
      </c>
      <c r="C37" s="17">
        <f>IF(SUMIFS(Eingabe[MP],Eingabe[Name],Tabelle4[[#This Row],[Name]],Eingabe[Team],C$2)=0,#N/A,SUMIFS(Eingabe[MP],Eingabe[Name],Tabelle4[[#This Row],[Name]],Eingabe[Team],C$2))</f>
        <v>7.5</v>
      </c>
      <c r="D37" s="17" t="e">
        <f>IF(SUMIFS(Eingabe[MP],Eingabe[Name],Tabelle4[[#This Row],[Name]],Eingabe[Team],D$2)=0,#N/A,SUMIFS(Eingabe[MP],Eingabe[Name],Tabelle4[[#This Row],[Name]],Eingabe[Team],D$2))</f>
        <v>#N/A</v>
      </c>
      <c r="E37" s="17" t="e">
        <f>IF(SUMIFS(Eingabe[MP],Eingabe[Name],Tabelle4[[#This Row],[Name]],Eingabe[Team],E$2)=0,#N/A,SUMIFS(Eingabe[MP],Eingabe[Name],Tabelle4[[#This Row],[Name]],Eingabe[Team],E$2))</f>
        <v>#N/A</v>
      </c>
      <c r="F37" s="71" t="e">
        <f>IF(SUMIFS(Eingabe[MP],Eingabe[Name],Tabelle4[[#This Row],[Name]],Eingabe[Team],F$2)=0,#N/A,SUMIFS(Eingabe[MP],Eingabe[Name],Tabelle4[[#This Row],[Name]],Eingabe[Team],F$2))</f>
        <v>#N/A</v>
      </c>
      <c r="G37" s="17"/>
    </row>
    <row r="38" spans="2:7" ht="15.6" x14ac:dyDescent="0.3">
      <c r="B38" s="42" t="s">
        <v>463</v>
      </c>
      <c r="C38" s="17" t="e">
        <f>IF(SUMIFS(Eingabe[MP],Eingabe[Name],Tabelle4[[#This Row],[Name]],Eingabe[Team],C$2)=0,#N/A,SUMIFS(Eingabe[MP],Eingabe[Name],Tabelle4[[#This Row],[Name]],Eingabe[Team],C$2))</f>
        <v>#N/A</v>
      </c>
      <c r="D38" s="17">
        <f>IF(SUMIFS(Eingabe[MP],Eingabe[Name],Tabelle4[[#This Row],[Name]],Eingabe[Team],D$2)=0,#N/A,SUMIFS(Eingabe[MP],Eingabe[Name],Tabelle4[[#This Row],[Name]],Eingabe[Team],D$2))</f>
        <v>1</v>
      </c>
      <c r="E38" s="17">
        <f>IF(SUMIFS(Eingabe[MP],Eingabe[Name],Tabelle4[[#This Row],[Name]],Eingabe[Team],E$2)=0,#N/A,SUMIFS(Eingabe[MP],Eingabe[Name],Tabelle4[[#This Row],[Name]],Eingabe[Team],E$2))</f>
        <v>1</v>
      </c>
      <c r="F38" s="71" t="e">
        <f>IF(SUMIFS(Eingabe[MP],Eingabe[Name],Tabelle4[[#This Row],[Name]],Eingabe[Team],F$2)=0,#N/A,SUMIFS(Eingabe[MP],Eingabe[Name],Tabelle4[[#This Row],[Name]],Eingabe[Team],F$2))</f>
        <v>#N/A</v>
      </c>
      <c r="G38" s="17"/>
    </row>
    <row r="39" spans="2:7" ht="15.6" x14ac:dyDescent="0.3">
      <c r="B39" s="42" t="s">
        <v>462</v>
      </c>
      <c r="C39" s="17" t="e">
        <f>IF(SUMIFS(Eingabe[MP],Eingabe[Name],Tabelle4[[#This Row],[Name]],Eingabe[Team],C$2)=0,#N/A,SUMIFS(Eingabe[MP],Eingabe[Name],Tabelle4[[#This Row],[Name]],Eingabe[Team],C$2))</f>
        <v>#N/A</v>
      </c>
      <c r="D39" s="17" t="e">
        <f>IF(SUMIFS(Eingabe[MP],Eingabe[Name],Tabelle4[[#This Row],[Name]],Eingabe[Team],D$2)=0,#N/A,SUMIFS(Eingabe[MP],Eingabe[Name],Tabelle4[[#This Row],[Name]],Eingabe[Team],D$2))</f>
        <v>#N/A</v>
      </c>
      <c r="E39" s="17">
        <f>IF(SUMIFS(Eingabe[MP],Eingabe[Name],Tabelle4[[#This Row],[Name]],Eingabe[Team],E$2)=0,#N/A,SUMIFS(Eingabe[MP],Eingabe[Name],Tabelle4[[#This Row],[Name]],Eingabe[Team],E$2))</f>
        <v>1</v>
      </c>
      <c r="F39" s="71" t="e">
        <f>IF(SUMIFS(Eingabe[MP],Eingabe[Name],Tabelle4[[#This Row],[Name]],Eingabe[Team],F$2)=0,#N/A,SUMIFS(Eingabe[MP],Eingabe[Name],Tabelle4[[#This Row],[Name]],Eingabe[Team],F$2))</f>
        <v>#N/A</v>
      </c>
      <c r="G39" s="17"/>
    </row>
    <row r="40" spans="2:7" ht="15.6" x14ac:dyDescent="0.3">
      <c r="B40" s="42" t="s">
        <v>494</v>
      </c>
      <c r="C40" s="17" t="e">
        <f>IF(SUMIFS(Eingabe[MP],Eingabe[Name],Tabelle4[[#This Row],[Name]],Eingabe[Team],C$2)=0,#N/A,SUMIFS(Eingabe[MP],Eingabe[Name],Tabelle4[[#This Row],[Name]],Eingabe[Team],C$2))</f>
        <v>#N/A</v>
      </c>
      <c r="D40" s="17" t="e">
        <f>IF(SUMIFS(Eingabe[MP],Eingabe[Name],Tabelle4[[#This Row],[Name]],Eingabe[Team],D$2)=0,#N/A,SUMIFS(Eingabe[MP],Eingabe[Name],Tabelle4[[#This Row],[Name]],Eingabe[Team],D$2))</f>
        <v>#N/A</v>
      </c>
      <c r="E40" s="17" t="e">
        <f>IF(SUMIFS(Eingabe[MP],Eingabe[Name],Tabelle4[[#This Row],[Name]],Eingabe[Team],E$2)=0,#N/A,SUMIFS(Eingabe[MP],Eingabe[Name],Tabelle4[[#This Row],[Name]],Eingabe[Team],E$2))</f>
        <v>#N/A</v>
      </c>
      <c r="F40" s="71" t="e">
        <f>IF(SUMIFS(Eingabe[MP],Eingabe[Name],Tabelle4[[#This Row],[Name]],Eingabe[Team],F$2)=0,#N/A,SUMIFS(Eingabe[MP],Eingabe[Name],Tabelle4[[#This Row],[Name]],Eingabe[Team],F$2))</f>
        <v>#N/A</v>
      </c>
      <c r="G40" s="17"/>
    </row>
    <row r="41" spans="2:7" ht="15.6" x14ac:dyDescent="0.3">
      <c r="B41" s="42" t="s">
        <v>455</v>
      </c>
      <c r="C41" s="17">
        <f>IF(SUMIFS(Eingabe[MP],Eingabe[Name],Tabelle4[[#This Row],[Name]],Eingabe[Team],C$2)=0,#N/A,SUMIFS(Eingabe[MP],Eingabe[Name],Tabelle4[[#This Row],[Name]],Eingabe[Team],C$2))</f>
        <v>8</v>
      </c>
      <c r="D41" s="17" t="e">
        <f>IF(SUMIFS(Eingabe[MP],Eingabe[Name],Tabelle4[[#This Row],[Name]],Eingabe[Team],D$2)=0,#N/A,SUMIFS(Eingabe[MP],Eingabe[Name],Tabelle4[[#This Row],[Name]],Eingabe[Team],D$2))</f>
        <v>#N/A</v>
      </c>
      <c r="E41" s="17" t="e">
        <f>IF(SUMIFS(Eingabe[MP],Eingabe[Name],Tabelle4[[#This Row],[Name]],Eingabe[Team],E$2)=0,#N/A,SUMIFS(Eingabe[MP],Eingabe[Name],Tabelle4[[#This Row],[Name]],Eingabe[Team],E$2))</f>
        <v>#N/A</v>
      </c>
      <c r="F41" s="71" t="e">
        <f>IF(SUMIFS(Eingabe[MP],Eingabe[Name],Tabelle4[[#This Row],[Name]],Eingabe[Team],F$2)=0,#N/A,SUMIFS(Eingabe[MP],Eingabe[Name],Tabelle4[[#This Row],[Name]],Eingabe[Team],F$2))</f>
        <v>#N/A</v>
      </c>
      <c r="G41" s="17"/>
    </row>
    <row r="42" spans="2:7" ht="15.6" x14ac:dyDescent="0.3">
      <c r="B42" s="42" t="s">
        <v>485</v>
      </c>
      <c r="C42" s="17" t="e">
        <f>IF(SUMIFS(Eingabe[MP],Eingabe[Name],Tabelle4[[#This Row],[Name]],Eingabe[Team],C$2)=0,#N/A,SUMIFS(Eingabe[MP],Eingabe[Name],Tabelle4[[#This Row],[Name]],Eingabe[Team],C$2))</f>
        <v>#N/A</v>
      </c>
      <c r="D42" s="17" t="e">
        <f>IF(SUMIFS(Eingabe[MP],Eingabe[Name],Tabelle4[[#This Row],[Name]],Eingabe[Team],D$2)=0,#N/A,SUMIFS(Eingabe[MP],Eingabe[Name],Tabelle4[[#This Row],[Name]],Eingabe[Team],D$2))</f>
        <v>#N/A</v>
      </c>
      <c r="E42" s="17" t="e">
        <f>IF(SUMIFS(Eingabe[MP],Eingabe[Name],Tabelle4[[#This Row],[Name]],Eingabe[Team],E$2)=0,#N/A,SUMIFS(Eingabe[MP],Eingabe[Name],Tabelle4[[#This Row],[Name]],Eingabe[Team],E$2))</f>
        <v>#N/A</v>
      </c>
      <c r="F42" s="71" t="e">
        <f>IF(SUMIFS(Eingabe[MP],Eingabe[Name],Tabelle4[[#This Row],[Name]],Eingabe[Team],F$2)=0,#N/A,SUMIFS(Eingabe[MP],Eingabe[Name],Tabelle4[[#This Row],[Name]],Eingabe[Team],F$2))</f>
        <v>#N/A</v>
      </c>
      <c r="G42" s="17"/>
    </row>
    <row r="43" spans="2:7" ht="15.6" x14ac:dyDescent="0.3">
      <c r="B43" s="42" t="s">
        <v>484</v>
      </c>
      <c r="C43" s="17" t="e">
        <f>IF(SUMIFS(Eingabe[MP],Eingabe[Name],Tabelle4[[#This Row],[Name]],Eingabe[Team],C$2)=0,#N/A,SUMIFS(Eingabe[MP],Eingabe[Name],Tabelle4[[#This Row],[Name]],Eingabe[Team],C$2))</f>
        <v>#N/A</v>
      </c>
      <c r="D43" s="17" t="e">
        <f>IF(SUMIFS(Eingabe[MP],Eingabe[Name],Tabelle4[[#This Row],[Name]],Eingabe[Team],D$2)=0,#N/A,SUMIFS(Eingabe[MP],Eingabe[Name],Tabelle4[[#This Row],[Name]],Eingabe[Team],D$2))</f>
        <v>#N/A</v>
      </c>
      <c r="E43" s="17" t="e">
        <f>IF(SUMIFS(Eingabe[MP],Eingabe[Name],Tabelle4[[#This Row],[Name]],Eingabe[Team],E$2)=0,#N/A,SUMIFS(Eingabe[MP],Eingabe[Name],Tabelle4[[#This Row],[Name]],Eingabe[Team],E$2))</f>
        <v>#N/A</v>
      </c>
      <c r="F43" s="71" t="e">
        <f>IF(SUMIFS(Eingabe[MP],Eingabe[Name],Tabelle4[[#This Row],[Name]],Eingabe[Team],F$2)=0,#N/A,SUMIFS(Eingabe[MP],Eingabe[Name],Tabelle4[[#This Row],[Name]],Eingabe[Team],F$2))</f>
        <v>#N/A</v>
      </c>
      <c r="G43" s="17"/>
    </row>
    <row r="44" spans="2:7" ht="15.6" x14ac:dyDescent="0.3">
      <c r="B44" s="42" t="s">
        <v>489</v>
      </c>
      <c r="C44" s="17">
        <f>IF(SUMIFS(Eingabe[MP],Eingabe[Name],Tabelle4[[#This Row],[Name]],Eingabe[Team],C$2)=0,#N/A,SUMIFS(Eingabe[MP],Eingabe[Name],Tabelle4[[#This Row],[Name]],Eingabe[Team],C$2))</f>
        <v>4</v>
      </c>
      <c r="D44" s="17" t="e">
        <f>IF(SUMIFS(Eingabe[MP],Eingabe[Name],Tabelle4[[#This Row],[Name]],Eingabe[Team],D$2)=0,#N/A,SUMIFS(Eingabe[MP],Eingabe[Name],Tabelle4[[#This Row],[Name]],Eingabe[Team],D$2))</f>
        <v>#N/A</v>
      </c>
      <c r="E44" s="17" t="e">
        <f>IF(SUMIFS(Eingabe[MP],Eingabe[Name],Tabelle4[[#This Row],[Name]],Eingabe[Team],E$2)=0,#N/A,SUMIFS(Eingabe[MP],Eingabe[Name],Tabelle4[[#This Row],[Name]],Eingabe[Team],E$2))</f>
        <v>#N/A</v>
      </c>
      <c r="F44" s="71" t="e">
        <f>IF(SUMIFS(Eingabe[MP],Eingabe[Name],Tabelle4[[#This Row],[Name]],Eingabe[Team],F$2)=0,#N/A,SUMIFS(Eingabe[MP],Eingabe[Name],Tabelle4[[#This Row],[Name]],Eingabe[Team],F$2))</f>
        <v>#N/A</v>
      </c>
      <c r="G44" s="17"/>
    </row>
    <row r="45" spans="2:7" ht="15.6" x14ac:dyDescent="0.3">
      <c r="B45" s="42" t="s">
        <v>490</v>
      </c>
      <c r="C45" s="17" t="e">
        <f>IF(SUMIFS(Eingabe[MP],Eingabe[Name],Tabelle4[[#This Row],[Name]],Eingabe[Team],C$2)=0,#N/A,SUMIFS(Eingabe[MP],Eingabe[Name],Tabelle4[[#This Row],[Name]],Eingabe[Team],C$2))</f>
        <v>#N/A</v>
      </c>
      <c r="D45" s="17">
        <f>IF(SUMIFS(Eingabe[MP],Eingabe[Name],Tabelle4[[#This Row],[Name]],Eingabe[Team],D$2)=0,#N/A,SUMIFS(Eingabe[MP],Eingabe[Name],Tabelle4[[#This Row],[Name]],Eingabe[Team],D$2))</f>
        <v>3</v>
      </c>
      <c r="E45" s="17" t="e">
        <f>IF(SUMIFS(Eingabe[MP],Eingabe[Name],Tabelle4[[#This Row],[Name]],Eingabe[Team],E$2)=0,#N/A,SUMIFS(Eingabe[MP],Eingabe[Name],Tabelle4[[#This Row],[Name]],Eingabe[Team],E$2))</f>
        <v>#N/A</v>
      </c>
      <c r="F45" s="71" t="e">
        <f>IF(SUMIFS(Eingabe[MP],Eingabe[Name],Tabelle4[[#This Row],[Name]],Eingabe[Team],F$2)=0,#N/A,SUMIFS(Eingabe[MP],Eingabe[Name],Tabelle4[[#This Row],[Name]],Eingabe[Team],F$2))</f>
        <v>#N/A</v>
      </c>
      <c r="G45" s="17"/>
    </row>
    <row r="46" spans="2:7" ht="15.6" x14ac:dyDescent="0.3">
      <c r="B46" s="42" t="s">
        <v>492</v>
      </c>
      <c r="C46" s="17" t="e">
        <f>IF(SUMIFS(Eingabe[MP],Eingabe[Name],Tabelle4[[#This Row],[Name]],Eingabe[Team],C$2)=0,#N/A,SUMIFS(Eingabe[MP],Eingabe[Name],Tabelle4[[#This Row],[Name]],Eingabe[Team],C$2))</f>
        <v>#N/A</v>
      </c>
      <c r="D46" s="17" t="e">
        <f>IF(SUMIFS(Eingabe[MP],Eingabe[Name],Tabelle4[[#This Row],[Name]],Eingabe[Team],D$2)=0,#N/A,SUMIFS(Eingabe[MP],Eingabe[Name],Tabelle4[[#This Row],[Name]],Eingabe[Team],D$2))</f>
        <v>#N/A</v>
      </c>
      <c r="E46" s="17" t="e">
        <f>IF(SUMIFS(Eingabe[MP],Eingabe[Name],Tabelle4[[#This Row],[Name]],Eingabe[Team],E$2)=0,#N/A,SUMIFS(Eingabe[MP],Eingabe[Name],Tabelle4[[#This Row],[Name]],Eingabe[Team],E$2))</f>
        <v>#N/A</v>
      </c>
      <c r="F46" s="71">
        <f>IF(SUMIFS(Eingabe[MP],Eingabe[Name],Tabelle4[[#This Row],[Name]],Eingabe[Team],F$2)=0,#N/A,SUMIFS(Eingabe[MP],Eingabe[Name],Tabelle4[[#This Row],[Name]],Eingabe[Team],F$2))</f>
        <v>6</v>
      </c>
      <c r="G46" s="17"/>
    </row>
    <row r="47" spans="2:7" ht="15.6" x14ac:dyDescent="0.3">
      <c r="B47" s="42" t="s">
        <v>491</v>
      </c>
      <c r="C47" s="17" t="e">
        <f>IF(SUMIFS(Eingabe[MP],Eingabe[Name],Tabelle4[[#This Row],[Name]],Eingabe[Team],C$2)=0,#N/A,SUMIFS(Eingabe[MP],Eingabe[Name],Tabelle4[[#This Row],[Name]],Eingabe[Team],C$2))</f>
        <v>#N/A</v>
      </c>
      <c r="D47" s="17" t="e">
        <f>IF(SUMIFS(Eingabe[MP],Eingabe[Name],Tabelle4[[#This Row],[Name]],Eingabe[Team],D$2)=0,#N/A,SUMIFS(Eingabe[MP],Eingabe[Name],Tabelle4[[#This Row],[Name]],Eingabe[Team],D$2))</f>
        <v>#N/A</v>
      </c>
      <c r="E47" s="17" t="e">
        <f>IF(SUMIFS(Eingabe[MP],Eingabe[Name],Tabelle4[[#This Row],[Name]],Eingabe[Team],E$2)=0,#N/A,SUMIFS(Eingabe[MP],Eingabe[Name],Tabelle4[[#This Row],[Name]],Eingabe[Team],E$2))</f>
        <v>#N/A</v>
      </c>
      <c r="F47" s="71" t="e">
        <f>IF(SUMIFS(Eingabe[MP],Eingabe[Name],Tabelle4[[#This Row],[Name]],Eingabe[Team],F$2)=0,#N/A,SUMIFS(Eingabe[MP],Eingabe[Name],Tabelle4[[#This Row],[Name]],Eingabe[Team],F$2))</f>
        <v>#N/A</v>
      </c>
      <c r="G47" s="17"/>
    </row>
    <row r="48" spans="2:7" ht="15.6" x14ac:dyDescent="0.3">
      <c r="B48" s="42" t="s">
        <v>6</v>
      </c>
      <c r="C48" s="17">
        <f>IF(SUMIFS(Eingabe[MP],Eingabe[Name],Tabelle4[[#This Row],[Name]],Eingabe[Team],C$2)=0,#N/A,SUMIFS(Eingabe[MP],Eingabe[Name],Tabelle4[[#This Row],[Name]],Eingabe[Team],C$2))</f>
        <v>10</v>
      </c>
      <c r="D48" s="17" t="e">
        <f>IF(SUMIFS(Eingabe[MP],Eingabe[Name],Tabelle4[[#This Row],[Name]],Eingabe[Team],D$2)=0,#N/A,SUMIFS(Eingabe[MP],Eingabe[Name],Tabelle4[[#This Row],[Name]],Eingabe[Team],D$2))</f>
        <v>#N/A</v>
      </c>
      <c r="E48" s="17" t="e">
        <f>IF(SUMIFS(Eingabe[MP],Eingabe[Name],Tabelle4[[#This Row],[Name]],Eingabe[Team],E$2)=0,#N/A,SUMIFS(Eingabe[MP],Eingabe[Name],Tabelle4[[#This Row],[Name]],Eingabe[Team],E$2))</f>
        <v>#N/A</v>
      </c>
      <c r="F48" s="71" t="e">
        <f>IF(SUMIFS(Eingabe[MP],Eingabe[Name],Tabelle4[[#This Row],[Name]],Eingabe[Team],F$2)=0,#N/A,SUMIFS(Eingabe[MP],Eingabe[Name],Tabelle4[[#This Row],[Name]],Eingabe[Team],F$2))</f>
        <v>#N/A</v>
      </c>
      <c r="G48" s="17"/>
    </row>
    <row r="49" spans="2:7" ht="15.6" x14ac:dyDescent="0.3">
      <c r="B49" s="42" t="s">
        <v>12</v>
      </c>
      <c r="C49" s="17" t="e">
        <f>IF(SUMIFS(Eingabe[MP],Eingabe[Name],Tabelle4[[#This Row],[Name]],Eingabe[Team],C$2)=0,#N/A,SUMIFS(Eingabe[MP],Eingabe[Name],Tabelle4[[#This Row],[Name]],Eingabe[Team],C$2))</f>
        <v>#N/A</v>
      </c>
      <c r="D49" s="17">
        <f>IF(SUMIFS(Eingabe[MP],Eingabe[Name],Tabelle4[[#This Row],[Name]],Eingabe[Team],D$2)=0,#N/A,SUMIFS(Eingabe[MP],Eingabe[Name],Tabelle4[[#This Row],[Name]],Eingabe[Team],D$2))</f>
        <v>6</v>
      </c>
      <c r="E49" s="17" t="e">
        <f>IF(SUMIFS(Eingabe[MP],Eingabe[Name],Tabelle4[[#This Row],[Name]],Eingabe[Team],E$2)=0,#N/A,SUMIFS(Eingabe[MP],Eingabe[Name],Tabelle4[[#This Row],[Name]],Eingabe[Team],E$2))</f>
        <v>#N/A</v>
      </c>
      <c r="F49" s="71" t="e">
        <f>IF(SUMIFS(Eingabe[MP],Eingabe[Name],Tabelle4[[#This Row],[Name]],Eingabe[Team],F$2)=0,#N/A,SUMIFS(Eingabe[MP],Eingabe[Name],Tabelle4[[#This Row],[Name]],Eingabe[Team],F$2))</f>
        <v>#N/A</v>
      </c>
      <c r="G49" s="17"/>
    </row>
    <row r="50" spans="2:7" ht="15.6" x14ac:dyDescent="0.3">
      <c r="B50" s="42" t="s">
        <v>488</v>
      </c>
      <c r="C50" s="17">
        <f>IF(SUMIFS(Eingabe[MP],Eingabe[Name],Tabelle4[[#This Row],[Name]],Eingabe[Team],C$2)=0,#N/A,SUMIFS(Eingabe[MP],Eingabe[Name],Tabelle4[[#This Row],[Name]],Eingabe[Team],C$2))</f>
        <v>1</v>
      </c>
      <c r="D50" s="17" t="e">
        <f>IF(SUMIFS(Eingabe[MP],Eingabe[Name],Tabelle4[[#This Row],[Name]],Eingabe[Team],D$2)=0,#N/A,SUMIFS(Eingabe[MP],Eingabe[Name],Tabelle4[[#This Row],[Name]],Eingabe[Team],D$2))</f>
        <v>#N/A</v>
      </c>
      <c r="E50" s="17">
        <f>IF(SUMIFS(Eingabe[MP],Eingabe[Name],Tabelle4[[#This Row],[Name]],Eingabe[Team],E$2)=0,#N/A,SUMIFS(Eingabe[MP],Eingabe[Name],Tabelle4[[#This Row],[Name]],Eingabe[Team],E$2))</f>
        <v>1</v>
      </c>
      <c r="F50" s="71" t="e">
        <f>IF(SUMIFS(Eingabe[MP],Eingabe[Name],Tabelle4[[#This Row],[Name]],Eingabe[Team],F$2)=0,#N/A,SUMIFS(Eingabe[MP],Eingabe[Name],Tabelle4[[#This Row],[Name]],Eingabe[Team],F$2))</f>
        <v>#N/A</v>
      </c>
      <c r="G50" s="17"/>
    </row>
    <row r="51" spans="2:7" ht="15.6" x14ac:dyDescent="0.3">
      <c r="B51" s="42" t="s">
        <v>486</v>
      </c>
      <c r="C51" s="17" t="e">
        <f>IF(SUMIFS(Eingabe[MP],Eingabe[Name],Tabelle4[[#This Row],[Name]],Eingabe[Team],C$2)=0,#N/A,SUMIFS(Eingabe[MP],Eingabe[Name],Tabelle4[[#This Row],[Name]],Eingabe[Team],C$2))</f>
        <v>#N/A</v>
      </c>
      <c r="D51" s="17" t="e">
        <f>IF(SUMIFS(Eingabe[MP],Eingabe[Name],Tabelle4[[#This Row],[Name]],Eingabe[Team],D$2)=0,#N/A,SUMIFS(Eingabe[MP],Eingabe[Name],Tabelle4[[#This Row],[Name]],Eingabe[Team],D$2))</f>
        <v>#N/A</v>
      </c>
      <c r="E51" s="17" t="e">
        <f>IF(SUMIFS(Eingabe[MP],Eingabe[Name],Tabelle4[[#This Row],[Name]],Eingabe[Team],E$2)=0,#N/A,SUMIFS(Eingabe[MP],Eingabe[Name],Tabelle4[[#This Row],[Name]],Eingabe[Team],E$2))</f>
        <v>#N/A</v>
      </c>
      <c r="F51" s="43" t="e">
        <f>IF(SUMIFS(Eingabe[MP],Eingabe[Name],Tabelle4[[#This Row],[Name]],Eingabe[Team],F$2)=0,#N/A,SUMIFS(Eingabe[MP],Eingabe[Name],Tabelle4[[#This Row],[Name]],Eingabe[Team],F$2))</f>
        <v>#N/A</v>
      </c>
      <c r="G51" s="17"/>
    </row>
    <row r="52" spans="2:7" ht="15.6" x14ac:dyDescent="0.3">
      <c r="B52" s="32" t="s">
        <v>99</v>
      </c>
      <c r="C52" s="70" t="e">
        <f>SUBTOTAL(109,Tabelle4[E])</f>
        <v>#N/A</v>
      </c>
      <c r="D52" s="70" t="e">
        <f>SUBTOTAL(109,Tabelle4[Z])</f>
        <v>#N/A</v>
      </c>
      <c r="E52" s="70" t="e">
        <f>SUBTOTAL(109,Tabelle4[D])</f>
        <v>#N/A</v>
      </c>
      <c r="F52" s="71" t="e">
        <f>SUBTOTAL(109,Tabelle4[F])</f>
        <v>#N/A</v>
      </c>
      <c r="G52" s="70"/>
    </row>
  </sheetData>
  <conditionalFormatting sqref="B3:B14 C3:F51">
    <cfRule type="cellIs" dxfId="11" priority="5" operator="equal">
      <formula>0</formula>
    </cfRule>
  </conditionalFormatting>
  <conditionalFormatting sqref="B2:F51">
    <cfRule type="containsBlanks" dxfId="10" priority="3">
      <formula>LEN(TRIM(B2))=0</formula>
    </cfRule>
  </conditionalFormatting>
  <conditionalFormatting sqref="G3:G51">
    <cfRule type="containsBlanks" dxfId="9" priority="1">
      <formula>LEN(TRIM(G3))=0</formula>
    </cfRule>
    <cfRule type="cellIs" dxfId="8" priority="2" operator="equal">
      <formula>0</formula>
    </cfRule>
  </conditionalFormatting>
  <pageMargins left="0.7" right="0.7" top="0.78740157499999996" bottom="0.78740157499999996"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18537-7414-426C-B4EC-909E8CD6EB69}">
  <dimension ref="A1:T52"/>
  <sheetViews>
    <sheetView topLeftCell="A25" workbookViewId="0">
      <selection activeCell="F28" sqref="F28"/>
    </sheetView>
  </sheetViews>
  <sheetFormatPr baseColWidth="10" defaultRowHeight="15.6" x14ac:dyDescent="0.3"/>
  <cols>
    <col min="1" max="1" width="18.44140625" style="98" bestFit="1" customWidth="1"/>
    <col min="2" max="2" width="11" style="164" bestFit="1" customWidth="1"/>
    <col min="3" max="6" width="8" style="98" bestFit="1" customWidth="1"/>
    <col min="7" max="7" width="22.88671875" style="98" bestFit="1" customWidth="1"/>
    <col min="8" max="8" width="12.44140625" style="98" bestFit="1" customWidth="1"/>
    <col min="9" max="9" width="30" style="98" bestFit="1" customWidth="1"/>
    <col min="10" max="10" width="20.33203125" style="98" bestFit="1" customWidth="1"/>
    <col min="11" max="11" width="10.21875" style="98" bestFit="1" customWidth="1"/>
    <col min="12" max="12" width="11.5546875" style="98"/>
    <col min="13" max="13" width="23.77734375" style="98" bestFit="1" customWidth="1"/>
    <col min="14" max="14" width="22.21875" style="98" bestFit="1" customWidth="1"/>
    <col min="15" max="15" width="24" style="98" bestFit="1" customWidth="1"/>
    <col min="16" max="16" width="23.5546875" style="98" bestFit="1" customWidth="1"/>
    <col min="17" max="17" width="24" style="98" bestFit="1" customWidth="1"/>
    <col min="18" max="19" width="23.77734375" style="98" bestFit="1" customWidth="1"/>
    <col min="20" max="20" width="22.21875" style="98" bestFit="1" customWidth="1"/>
    <col min="21" max="16384" width="11.5546875" style="98"/>
  </cols>
  <sheetData>
    <row r="1" spans="1:20" x14ac:dyDescent="0.3">
      <c r="M1" s="482" t="s">
        <v>416</v>
      </c>
      <c r="N1" s="482"/>
      <c r="O1" s="482"/>
      <c r="P1" s="482"/>
      <c r="Q1" s="483" t="s">
        <v>418</v>
      </c>
      <c r="R1" s="483"/>
      <c r="S1" s="483"/>
      <c r="T1" s="483"/>
    </row>
    <row r="2" spans="1:20" x14ac:dyDescent="0.3">
      <c r="A2" s="245" t="s">
        <v>13</v>
      </c>
      <c r="B2" s="246" t="s">
        <v>42</v>
      </c>
      <c r="C2" s="246" t="s">
        <v>121</v>
      </c>
      <c r="D2" s="246" t="s">
        <v>122</v>
      </c>
      <c r="E2" s="246" t="s">
        <v>123</v>
      </c>
      <c r="F2" s="246" t="s">
        <v>124</v>
      </c>
      <c r="G2" s="246" t="s">
        <v>415</v>
      </c>
      <c r="H2" s="246" t="s">
        <v>416</v>
      </c>
      <c r="I2" s="246" t="s">
        <v>417</v>
      </c>
      <c r="J2" s="246" t="s">
        <v>418</v>
      </c>
      <c r="K2" s="247" t="s">
        <v>428</v>
      </c>
      <c r="M2" s="128" t="s">
        <v>121</v>
      </c>
      <c r="N2" s="128" t="s">
        <v>122</v>
      </c>
      <c r="O2" s="128" t="s">
        <v>123</v>
      </c>
      <c r="P2" s="128" t="s">
        <v>124</v>
      </c>
      <c r="Q2" s="128" t="s">
        <v>121</v>
      </c>
      <c r="R2" s="128" t="s">
        <v>122</v>
      </c>
      <c r="S2" s="128" t="s">
        <v>123</v>
      </c>
      <c r="T2" s="128" t="s">
        <v>124</v>
      </c>
    </row>
    <row r="3" spans="1:20" x14ac:dyDescent="0.3">
      <c r="A3" s="248" t="s">
        <v>457</v>
      </c>
      <c r="B3" s="249" t="str">
        <f>VLOOKUP(Heimbahn[[#This Row],[Name]],AuswertungH[],4,FALSE)</f>
        <v/>
      </c>
      <c r="C3" s="250" t="str">
        <f>IF(Heimbahn[[#This Row],[Spiele MP]]="","",AVERAGEIF(Eingabe[Name],Heimbahn[[#This Row],[Name]],Eingabe[Heimbahn 1]))</f>
        <v/>
      </c>
      <c r="D3" s="250" t="str">
        <f>IF(Heimbahn[[#This Row],[Spiele MP]]="","",AVERAGEIF(Eingabe[Name],Heimbahn[[#This Row],[Name]],Eingabe[Heimbahn 2]))</f>
        <v/>
      </c>
      <c r="E3" s="250" t="str">
        <f>IF(Heimbahn[[#This Row],[Spiele MP]]="","",AVERAGEIF(Eingabe[Name],Heimbahn[[#This Row],[Name]],Eingabe[Heimbahn 3]))</f>
        <v/>
      </c>
      <c r="F3" s="250" t="str">
        <f>IF(Heimbahn[[#This Row],[Spiele MP]]="","",AVERAGEIF(Eingabe[Name],Heimbahn[[#This Row],[Name]],Eingabe[Heimbahn 4]))</f>
        <v/>
      </c>
      <c r="G3" s="251" t="str">
        <f>IF(Heimbahn[[#This Row],[Spiele MP]]="","",MAX(Heimbahn[[#This Row],[Bahn 1]:[Bahn 4]]))</f>
        <v/>
      </c>
      <c r="H3"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3" s="251">
        <f>MIN(Heimbahn[[#This Row],[Bahn 1]:[Bahn 4]])</f>
        <v>0</v>
      </c>
      <c r="J3"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3" s="252" t="str">
        <f>IF(Heimbahn[[#This Row],[Bester Bahn (Schnitt)]]="","",Heimbahn[[#This Row],[Bester Bahn (Schnitt)]]-Heimbahn[[#This Row],[Schlechteste Bahn (Schnitt)]])</f>
        <v/>
      </c>
      <c r="M3" s="98" t="str" cm="1">
        <f t="array" ref="M3:M7">_xlfn._xlws.FILTER(Heimbahn[Name],Heimbahn[Beste Bahn]=1,"")&amp;" ["&amp;ROUND(_xlfn._xlws.FILTER(Heimbahn[Bester Bahn (Schnitt)],Heimbahn[Beste Bahn]=1,""),0)&amp;"]"</f>
        <v>Emma Hettmann [137]</v>
      </c>
      <c r="N3" s="98" t="str" cm="1">
        <f t="array" ref="N3:N14">_xlfn._xlws.FILTER(Heimbahn[Name],Heimbahn[Beste Bahn]=2,"")&amp;" ["&amp;ROUND(_xlfn._xlws.FILTER(Heimbahn[Bester Bahn (Schnitt)],Heimbahn[Beste Bahn]=2,""),0)&amp;"]"</f>
        <v>Andreas Rippin [131]</v>
      </c>
      <c r="O3" s="98" t="str" cm="1">
        <f t="array" ref="O3:O10">_xlfn._xlws.FILTER(Heimbahn[Name],Heimbahn[Beste Bahn]=3,"")&amp;" ["&amp;ROUND(_xlfn._xlws.FILTER(Heimbahn[Bester Bahn (Schnitt)],Heimbahn[Beste Bahn]=3,""),0)&amp;"]"</f>
        <v>Andreas Ehrlich [150]</v>
      </c>
      <c r="P3" s="98" t="str" cm="1">
        <f t="array" ref="P3:P8">_xlfn._xlws.FILTER(Heimbahn[Name],Heimbahn[Beste Bahn]=4,"")&amp;" ["&amp;ROUND(_xlfn._xlws.FILTER(Heimbahn[Bester Bahn (Schnitt)],Heimbahn[Beste Bahn]=4,""),0)&amp;"]"</f>
        <v>Florian Jäger [122]</v>
      </c>
      <c r="Q3" s="98" t="str" cm="1">
        <f t="array" ref="Q3:Q11">_xlfn._xlws.FILTER(Heimbahn[Name],Heimbahn[Schlechteste Bahn]=1,"")&amp;" ["&amp;ROUND(_xlfn._xlws.FILTER(Heimbahn[Schlechteste Bahn (Schnitt)],Heimbahn[Schlechteste Bahn]=1,""),0)&amp;"]"</f>
        <v>Florian Jäger [111]</v>
      </c>
      <c r="R3" s="98" t="str" cm="1">
        <f t="array" ref="R3:R8">_xlfn._xlws.FILTER(Heimbahn[Name],Heimbahn[Schlechteste Bahn]=2,"")&amp;" ["&amp;ROUND(_xlfn._xlws.FILTER(Heimbahn[Schlechteste Bahn (Schnitt)],Heimbahn[Schlechteste Bahn]=2,""),0)&amp;"]"</f>
        <v>Cora Keller [117]</v>
      </c>
      <c r="S3" s="98" t="str" cm="1">
        <f t="array" ref="S3:S7">_xlfn._xlws.FILTER(Heimbahn[Name],Heimbahn[Schlechteste Bahn]=3,"")&amp;" ["&amp;ROUND(_xlfn._xlws.FILTER(Heimbahn[Schlechteste Bahn (Schnitt)],Heimbahn[Schlechteste Bahn]=3,""),0)&amp;"]"</f>
        <v>Anna Müller [127]</v>
      </c>
      <c r="T3" s="98" t="str" cm="1">
        <f t="array" ref="T3:T13">_xlfn._xlws.FILTER(Heimbahn[Name],Heimbahn[Schlechteste Bahn]=4,"")&amp;" ["&amp;ROUND(_xlfn._xlws.FILTER(Heimbahn[Schlechteste Bahn (Schnitt)],Heimbahn[Schlechteste Bahn]=4,""),0)&amp;"]"</f>
        <v>Andreas Ehrlich [121]</v>
      </c>
    </row>
    <row r="4" spans="1:20" x14ac:dyDescent="0.3">
      <c r="A4" s="248" t="s">
        <v>495</v>
      </c>
      <c r="B4" s="249">
        <f>VLOOKUP(Heimbahn[[#This Row],[Name]],AuswertungH[],4,FALSE)</f>
        <v>1</v>
      </c>
      <c r="C4" s="251">
        <f>IF(Heimbahn[[#This Row],[Spiele MP]]="","",AVERAGEIF(Eingabe[Name],Heimbahn[[#This Row],[Name]],Eingabe[Heimbahn 1]))</f>
        <v>126</v>
      </c>
      <c r="D4" s="250">
        <f>IF(Heimbahn[[#This Row],[Spiele MP]]="","",AVERAGEIF(Eingabe[Name],Heimbahn[[#This Row],[Name]],Eingabe[Heimbahn 2]))</f>
        <v>132</v>
      </c>
      <c r="E4" s="250">
        <f>IF(Heimbahn[[#This Row],[Spiele MP]]="","",AVERAGEIF(Eingabe[Name],Heimbahn[[#This Row],[Name]],Eingabe[Heimbahn 3]))</f>
        <v>150</v>
      </c>
      <c r="F4" s="250">
        <f>IF(Heimbahn[[#This Row],[Spiele MP]]="","",AVERAGEIF(Eingabe[Name],Heimbahn[[#This Row],[Name]],Eingabe[Heimbahn 4]))</f>
        <v>121</v>
      </c>
      <c r="G4" s="251">
        <f>IF(Heimbahn[[#This Row],[Spiele MP]]="","",MAX(Heimbahn[[#This Row],[Bahn 1]:[Bahn 4]]))</f>
        <v>150</v>
      </c>
      <c r="H4" s="251">
        <f>IF(Heimbahn[[#This Row],[Spiele MP]]="","",IF(Heimbahn[[#This Row],[Bester Bahn (Schnitt)]]=Heimbahn[[#This Row],[Bahn 1]],1,IF(Heimbahn[[#This Row],[Bester Bahn (Schnitt)]]=Heimbahn[[#This Row],[Bahn 2]],2,IF(Heimbahn[[#This Row],[Bester Bahn (Schnitt)]]=Heimbahn[[#This Row],[Bahn 3]],3,IF(Heimbahn[[#This Row],[Bester Bahn (Schnitt)]]=Heimbahn[[#This Row],[Bahn 4]],4,"")))))</f>
        <v>3</v>
      </c>
      <c r="I4" s="251">
        <f>MIN(Heimbahn[[#This Row],[Bahn 1]:[Bahn 4]])</f>
        <v>121</v>
      </c>
      <c r="J4"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4</v>
      </c>
      <c r="K4" s="252">
        <f>IF(Heimbahn[[#This Row],[Bester Bahn (Schnitt)]]="","",Heimbahn[[#This Row],[Bester Bahn (Schnitt)]]-Heimbahn[[#This Row],[Schlechteste Bahn (Schnitt)]])</f>
        <v>29</v>
      </c>
      <c r="M4" s="98" t="str">
        <v>Jörg Nötzel [152]</v>
      </c>
      <c r="N4" s="98" t="str">
        <v>Anna Müller [135]</v>
      </c>
      <c r="O4" s="98" t="str">
        <v>Cora Keller [129]</v>
      </c>
      <c r="P4" s="98" t="str">
        <v>Heike Scholz [133]</v>
      </c>
      <c r="Q4" s="98" t="str">
        <v>Heike Scholz [118]</v>
      </c>
      <c r="R4" s="98" t="str">
        <v>Jens Starke [127]</v>
      </c>
      <c r="S4" s="98" t="str">
        <v>Maik Fuhrmann [128]</v>
      </c>
      <c r="T4" s="98" t="str">
        <v>Andreas Rippin [118]</v>
      </c>
    </row>
    <row r="5" spans="1:20" x14ac:dyDescent="0.3">
      <c r="A5" s="248" t="s">
        <v>660</v>
      </c>
      <c r="B5" s="249">
        <f>VLOOKUP(Heimbahn[[#This Row],[Name]],AuswertungH[],4,FALSE)</f>
        <v>3</v>
      </c>
      <c r="C5" s="251">
        <f>IF(Heimbahn[[#This Row],[Spiele MP]]="","",AVERAGEIF(Eingabe[Name],Heimbahn[[#This Row],[Name]],Eingabe[Heimbahn 1]))</f>
        <v>126.33333333333333</v>
      </c>
      <c r="D5" s="250">
        <f>IF(Heimbahn[[#This Row],[Spiele MP]]="","",AVERAGEIF(Eingabe[Name],Heimbahn[[#This Row],[Name]],Eingabe[Heimbahn 2]))</f>
        <v>131.33333333333334</v>
      </c>
      <c r="E5" s="250">
        <f>IF(Heimbahn[[#This Row],[Spiele MP]]="","",AVERAGEIF(Eingabe[Name],Heimbahn[[#This Row],[Name]],Eingabe[Heimbahn 3]))</f>
        <v>131</v>
      </c>
      <c r="F5" s="250">
        <f>IF(Heimbahn[[#This Row],[Spiele MP]]="","",AVERAGEIF(Eingabe[Name],Heimbahn[[#This Row],[Name]],Eingabe[Heimbahn 4]))</f>
        <v>117.66666666666667</v>
      </c>
      <c r="G5" s="251">
        <f>IF(Heimbahn[[#This Row],[Spiele MP]]="","",MAX(Heimbahn[[#This Row],[Bahn 1]:[Bahn 4]]))</f>
        <v>131.33333333333334</v>
      </c>
      <c r="H5" s="251">
        <f>IF(Heimbahn[[#This Row],[Spiele MP]]="","",IF(Heimbahn[[#This Row],[Bester Bahn (Schnitt)]]=Heimbahn[[#This Row],[Bahn 1]],1,IF(Heimbahn[[#This Row],[Bester Bahn (Schnitt)]]=Heimbahn[[#This Row],[Bahn 2]],2,IF(Heimbahn[[#This Row],[Bester Bahn (Schnitt)]]=Heimbahn[[#This Row],[Bahn 3]],3,IF(Heimbahn[[#This Row],[Bester Bahn (Schnitt)]]=Heimbahn[[#This Row],[Bahn 4]],4,"")))))</f>
        <v>2</v>
      </c>
      <c r="I5" s="251">
        <f>MIN(Heimbahn[[#This Row],[Bahn 1]:[Bahn 4]])</f>
        <v>117.66666666666667</v>
      </c>
      <c r="J5"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4</v>
      </c>
      <c r="K5" s="252">
        <f>IF(Heimbahn[[#This Row],[Bester Bahn (Schnitt)]]="","",Heimbahn[[#This Row],[Bester Bahn (Schnitt)]]-Heimbahn[[#This Row],[Schlechteste Bahn (Schnitt)]])</f>
        <v>13.666666666666671</v>
      </c>
      <c r="M5" s="98" t="str">
        <v>Olaf Kurtze [134]</v>
      </c>
      <c r="N5" s="98" t="str">
        <v>Erik Krutak [139]</v>
      </c>
      <c r="O5" s="98" t="str">
        <v>Heiko Fuhrmann [132]</v>
      </c>
      <c r="P5" s="98" t="str">
        <v>Mario Hägemann [132]</v>
      </c>
      <c r="Q5" s="98" t="str">
        <v>Heiko Fuhrmann [126]</v>
      </c>
      <c r="R5" s="98" t="str">
        <v>Mario Hägemann [121]</v>
      </c>
      <c r="S5" s="98" t="str">
        <v>Michael Becker [116]</v>
      </c>
      <c r="T5" s="98" t="str">
        <v>Emma Hettmann [136]</v>
      </c>
    </row>
    <row r="6" spans="1:20" x14ac:dyDescent="0.3">
      <c r="A6" s="248" t="s">
        <v>458</v>
      </c>
      <c r="B6" s="249">
        <f>VLOOKUP(Heimbahn[[#This Row],[Name]],AuswertungH[],4,FALSE)</f>
        <v>2</v>
      </c>
      <c r="C6" s="251">
        <f>IF(Heimbahn[[#This Row],[Spiele MP]]="","",AVERAGEIF(Eingabe[Name],Heimbahn[[#This Row],[Name]],Eingabe[Heimbahn 1]))</f>
        <v>127.5</v>
      </c>
      <c r="D6" s="250">
        <f>IF(Heimbahn[[#This Row],[Spiele MP]]="","",AVERAGEIF(Eingabe[Name],Heimbahn[[#This Row],[Name]],Eingabe[Heimbahn 2]))</f>
        <v>135</v>
      </c>
      <c r="E6" s="250">
        <f>IF(Heimbahn[[#This Row],[Spiele MP]]="","",AVERAGEIF(Eingabe[Name],Heimbahn[[#This Row],[Name]],Eingabe[Heimbahn 3]))</f>
        <v>126.8</v>
      </c>
      <c r="F6" s="250">
        <f>IF(Heimbahn[[#This Row],[Spiele MP]]="","",AVERAGEIF(Eingabe[Name],Heimbahn[[#This Row],[Name]],Eingabe[Heimbahn 4]))</f>
        <v>130</v>
      </c>
      <c r="G6" s="251">
        <f>IF(Heimbahn[[#This Row],[Spiele MP]]="","",MAX(Heimbahn[[#This Row],[Bahn 1]:[Bahn 4]]))</f>
        <v>135</v>
      </c>
      <c r="H6" s="251">
        <f>IF(Heimbahn[[#This Row],[Spiele MP]]="","",IF(Heimbahn[[#This Row],[Bester Bahn (Schnitt)]]=Heimbahn[[#This Row],[Bahn 1]],1,IF(Heimbahn[[#This Row],[Bester Bahn (Schnitt)]]=Heimbahn[[#This Row],[Bahn 2]],2,IF(Heimbahn[[#This Row],[Bester Bahn (Schnitt)]]=Heimbahn[[#This Row],[Bahn 3]],3,IF(Heimbahn[[#This Row],[Bester Bahn (Schnitt)]]=Heimbahn[[#This Row],[Bahn 4]],4,"")))))</f>
        <v>2</v>
      </c>
      <c r="I6" s="251">
        <f>MIN(Heimbahn[[#This Row],[Bahn 1]:[Bahn 4]])</f>
        <v>126.8</v>
      </c>
      <c r="J6"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3</v>
      </c>
      <c r="K6" s="252">
        <f>IF(Heimbahn[[#This Row],[Bester Bahn (Schnitt)]]="","",Heimbahn[[#This Row],[Bester Bahn (Schnitt)]]-Heimbahn[[#This Row],[Schlechteste Bahn (Schnitt)]])</f>
        <v>8.2000000000000028</v>
      </c>
      <c r="M6" s="98" t="str">
        <v>Sylke Schmidt [137]</v>
      </c>
      <c r="N6" s="98" t="str">
        <v>Lea Meinert [141]</v>
      </c>
      <c r="O6" s="98" t="str">
        <v>Jens Starke [142]</v>
      </c>
      <c r="P6" s="98" t="str">
        <v>Patrick Frenzel [131]</v>
      </c>
      <c r="Q6" s="98" t="str">
        <v>Katrin Keller [126]</v>
      </c>
      <c r="R6" s="98" t="str">
        <v>Patrick Hohmann [131]</v>
      </c>
      <c r="S6" s="98" t="str">
        <v>Peter Paulmann [106]</v>
      </c>
      <c r="T6" s="98" t="str">
        <v>Erik Krutak [126]</v>
      </c>
    </row>
    <row r="7" spans="1:20" x14ac:dyDescent="0.3">
      <c r="A7" s="248" t="s">
        <v>459</v>
      </c>
      <c r="B7" s="249" t="str">
        <f>VLOOKUP(Heimbahn[[#This Row],[Name]],AuswertungH[],4,FALSE)</f>
        <v/>
      </c>
      <c r="C7" s="251" t="str">
        <f>IF(Heimbahn[[#This Row],[Spiele MP]]="","",AVERAGEIF(Eingabe[Name],Heimbahn[[#This Row],[Name]],Eingabe[Heimbahn 1]))</f>
        <v/>
      </c>
      <c r="D7" s="250" t="str">
        <f>IF(Heimbahn[[#This Row],[Spiele MP]]="","",AVERAGEIF(Eingabe[Name],Heimbahn[[#This Row],[Name]],Eingabe[Heimbahn 2]))</f>
        <v/>
      </c>
      <c r="E7" s="250" t="str">
        <f>IF(Heimbahn[[#This Row],[Spiele MP]]="","",AVERAGEIF(Eingabe[Name],Heimbahn[[#This Row],[Name]],Eingabe[Heimbahn 3]))</f>
        <v/>
      </c>
      <c r="F7" s="250" t="str">
        <f>IF(Heimbahn[[#This Row],[Spiele MP]]="","",AVERAGEIF(Eingabe[Name],Heimbahn[[#This Row],[Name]],Eingabe[Heimbahn 4]))</f>
        <v/>
      </c>
      <c r="G7" s="251" t="str">
        <f>IF(Heimbahn[[#This Row],[Spiele MP]]="","",MAX(Heimbahn[[#This Row],[Bahn 1]:[Bahn 4]]))</f>
        <v/>
      </c>
      <c r="H7"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7" s="251">
        <f>MIN(Heimbahn[[#This Row],[Bahn 1]:[Bahn 4]])</f>
        <v>0</v>
      </c>
      <c r="J7"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7" s="252" t="str">
        <f>IF(Heimbahn[[#This Row],[Bester Bahn (Schnitt)]]="","",Heimbahn[[#This Row],[Bester Bahn (Schnitt)]]-Heimbahn[[#This Row],[Schlechteste Bahn (Schnitt)]])</f>
        <v/>
      </c>
      <c r="M7" s="98" t="str">
        <v>Tim Becker [137]</v>
      </c>
      <c r="N7" s="98" t="str">
        <v>Madlen Baumgarten [129]</v>
      </c>
      <c r="O7" s="98" t="str">
        <v>Katrin Keller [132]</v>
      </c>
      <c r="P7" s="98" t="str">
        <v>Patrick Hohmann [137]</v>
      </c>
      <c r="Q7" s="98" t="str">
        <v>Madlen Baumgarten [107]</v>
      </c>
      <c r="R7" s="98" t="str">
        <v>Petra Kubon [115]</v>
      </c>
      <c r="S7" s="98" t="str">
        <v>Stefan Ulbricht [114]</v>
      </c>
      <c r="T7" s="98" t="str">
        <v>Jörg Nötzel [119]</v>
      </c>
    </row>
    <row r="8" spans="1:20" x14ac:dyDescent="0.3">
      <c r="A8" s="248" t="s">
        <v>591</v>
      </c>
      <c r="B8" s="249" t="str">
        <f>VLOOKUP(Heimbahn[[#This Row],[Name]],AuswertungH[],4,FALSE)</f>
        <v/>
      </c>
      <c r="C8" s="251" t="str">
        <f>IF(Heimbahn[[#This Row],[Spiele MP]]="","",AVERAGEIF(Eingabe[Name],Heimbahn[[#This Row],[Name]],Eingabe[Heimbahn 1]))</f>
        <v/>
      </c>
      <c r="D8" s="250" t="str">
        <f>IF(Heimbahn[[#This Row],[Spiele MP]]="","",AVERAGEIF(Eingabe[Name],Heimbahn[[#This Row],[Name]],Eingabe[Heimbahn 2]))</f>
        <v/>
      </c>
      <c r="E8" s="250" t="str">
        <f>IF(Heimbahn[[#This Row],[Spiele MP]]="","",AVERAGEIF(Eingabe[Name],Heimbahn[[#This Row],[Name]],Eingabe[Heimbahn 3]))</f>
        <v/>
      </c>
      <c r="F8" s="250" t="str">
        <f>IF(Heimbahn[[#This Row],[Spiele MP]]="","",AVERAGEIF(Eingabe[Name],Heimbahn[[#This Row],[Name]],Eingabe[Heimbahn 4]))</f>
        <v/>
      </c>
      <c r="G8" s="251" t="str">
        <f>IF(Heimbahn[[#This Row],[Spiele MP]]="","",MAX(Heimbahn[[#This Row],[Bahn 1]:[Bahn 4]]))</f>
        <v/>
      </c>
      <c r="H8"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8" s="251">
        <f>MIN(Heimbahn[[#This Row],[Bahn 1]:[Bahn 4]])</f>
        <v>0</v>
      </c>
      <c r="J8"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8" s="252" t="str">
        <f>IF(Heimbahn[[#This Row],[Bester Bahn (Schnitt)]]="","",Heimbahn[[#This Row],[Bester Bahn (Schnitt)]]-Heimbahn[[#This Row],[Schlechteste Bahn (Schnitt)]])</f>
        <v/>
      </c>
      <c r="N8" s="98" t="str">
        <v>Maik Fuhrmann [142]</v>
      </c>
      <c r="O8" s="98" t="str">
        <v>Marcel Giese [123]</v>
      </c>
      <c r="P8" s="98" t="str">
        <v>Petra Kubon [127]</v>
      </c>
      <c r="Q8" s="98" t="str">
        <v>Marcel Giese [105]</v>
      </c>
      <c r="R8" s="98" t="str">
        <v>Philipp Paulmann [137]</v>
      </c>
      <c r="T8" s="98" t="str">
        <v>Lea Meinert [119]</v>
      </c>
    </row>
    <row r="9" spans="1:20" x14ac:dyDescent="0.3">
      <c r="A9" s="248" t="s">
        <v>473</v>
      </c>
      <c r="B9" s="249" t="str">
        <f>VLOOKUP(Heimbahn[[#This Row],[Name]],AuswertungH[],4,FALSE)</f>
        <v/>
      </c>
      <c r="C9" s="251" t="str">
        <f>IF(Heimbahn[[#This Row],[Spiele MP]]="","",AVERAGEIF(Eingabe[Name],Heimbahn[[#This Row],[Name]],Eingabe[Heimbahn 1]))</f>
        <v/>
      </c>
      <c r="D9" s="250" t="str">
        <f>IF(Heimbahn[[#This Row],[Spiele MP]]="","",AVERAGEIF(Eingabe[Name],Heimbahn[[#This Row],[Name]],Eingabe[Heimbahn 2]))</f>
        <v/>
      </c>
      <c r="E9" s="250" t="str">
        <f>IF(Heimbahn[[#This Row],[Spiele MP]]="","",AVERAGEIF(Eingabe[Name],Heimbahn[[#This Row],[Name]],Eingabe[Heimbahn 3]))</f>
        <v/>
      </c>
      <c r="F9" s="250" t="str">
        <f>IF(Heimbahn[[#This Row],[Spiele MP]]="","",AVERAGEIF(Eingabe[Name],Heimbahn[[#This Row],[Name]],Eingabe[Heimbahn 4]))</f>
        <v/>
      </c>
      <c r="G9" s="251" t="str">
        <f>IF(Heimbahn[[#This Row],[Spiele MP]]="","",MAX(Heimbahn[[#This Row],[Bahn 1]:[Bahn 4]]))</f>
        <v/>
      </c>
      <c r="H9"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9" s="251">
        <f>MIN(Heimbahn[[#This Row],[Bahn 1]:[Bahn 4]])</f>
        <v>0</v>
      </c>
      <c r="J9"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9" s="252" t="str">
        <f>IF(Heimbahn[[#This Row],[Bester Bahn (Schnitt)]]="","",Heimbahn[[#This Row],[Bester Bahn (Schnitt)]]-Heimbahn[[#This Row],[Schlechteste Bahn (Schnitt)]])</f>
        <v/>
      </c>
      <c r="N9" s="98" t="str">
        <v>Michael Becker [131]</v>
      </c>
      <c r="O9" s="98" t="str">
        <v>Philipp Paulmann [145]</v>
      </c>
      <c r="Q9" s="98" t="str">
        <v>Patrick Frenzel [112]</v>
      </c>
      <c r="T9" s="98" t="str">
        <v>Mick Becker [126]</v>
      </c>
    </row>
    <row r="10" spans="1:20" x14ac:dyDescent="0.3">
      <c r="A10" s="248" t="s">
        <v>474</v>
      </c>
      <c r="B10" s="249">
        <f>VLOOKUP(Heimbahn[[#This Row],[Name]],AuswertungH[],4,FALSE)</f>
        <v>2</v>
      </c>
      <c r="C10" s="251">
        <f>IF(Heimbahn[[#This Row],[Spiele MP]]="","",AVERAGEIF(Eingabe[Name],Heimbahn[[#This Row],[Name]],Eingabe[Heimbahn 1]))</f>
        <v>122.5</v>
      </c>
      <c r="D10" s="250">
        <f>IF(Heimbahn[[#This Row],[Spiele MP]]="","",AVERAGEIF(Eingabe[Name],Heimbahn[[#This Row],[Name]],Eingabe[Heimbahn 2]))</f>
        <v>116.5</v>
      </c>
      <c r="E10" s="250">
        <f>IF(Heimbahn[[#This Row],[Spiele MP]]="","",AVERAGEIF(Eingabe[Name],Heimbahn[[#This Row],[Name]],Eingabe[Heimbahn 3]))</f>
        <v>129.19999999999999</v>
      </c>
      <c r="F10" s="250">
        <f>IF(Heimbahn[[#This Row],[Spiele MP]]="","",AVERAGEIF(Eingabe[Name],Heimbahn[[#This Row],[Name]],Eingabe[Heimbahn 4]))</f>
        <v>120.8</v>
      </c>
      <c r="G10" s="251">
        <f>IF(Heimbahn[[#This Row],[Spiele MP]]="","",MAX(Heimbahn[[#This Row],[Bahn 1]:[Bahn 4]]))</f>
        <v>129.19999999999999</v>
      </c>
      <c r="H10" s="251">
        <f>IF(Heimbahn[[#This Row],[Spiele MP]]="","",IF(Heimbahn[[#This Row],[Bester Bahn (Schnitt)]]=Heimbahn[[#This Row],[Bahn 1]],1,IF(Heimbahn[[#This Row],[Bester Bahn (Schnitt)]]=Heimbahn[[#This Row],[Bahn 2]],2,IF(Heimbahn[[#This Row],[Bester Bahn (Schnitt)]]=Heimbahn[[#This Row],[Bahn 3]],3,IF(Heimbahn[[#This Row],[Bester Bahn (Schnitt)]]=Heimbahn[[#This Row],[Bahn 4]],4,"")))))</f>
        <v>3</v>
      </c>
      <c r="I10" s="251">
        <f>MIN(Heimbahn[[#This Row],[Bahn 1]:[Bahn 4]])</f>
        <v>116.5</v>
      </c>
      <c r="J10"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2</v>
      </c>
      <c r="K10" s="252">
        <f>IF(Heimbahn[[#This Row],[Bester Bahn (Schnitt)]]="","",Heimbahn[[#This Row],[Bester Bahn (Schnitt)]]-Heimbahn[[#This Row],[Schlechteste Bahn (Schnitt)]])</f>
        <v>12.699999999999989</v>
      </c>
      <c r="N10" s="98" t="str">
        <v>Mick Becker [147]</v>
      </c>
      <c r="O10" s="98" t="str">
        <v>Uwe Zippack [132]</v>
      </c>
      <c r="Q10" s="98" t="str">
        <v>Stefan Teuber [126]</v>
      </c>
      <c r="T10" s="98" t="str">
        <v>Olaf Kurtze [128]</v>
      </c>
    </row>
    <row r="11" spans="1:20" x14ac:dyDescent="0.3">
      <c r="A11" s="248" t="s">
        <v>475</v>
      </c>
      <c r="B11" s="249" t="str">
        <f>VLOOKUP(Heimbahn[[#This Row],[Name]],AuswertungH[],4,FALSE)</f>
        <v/>
      </c>
      <c r="C11" s="251" t="str">
        <f>IF(Heimbahn[[#This Row],[Spiele MP]]="","",AVERAGEIF(Eingabe[Name],Heimbahn[[#This Row],[Name]],Eingabe[Heimbahn 1]))</f>
        <v/>
      </c>
      <c r="D11" s="250" t="str">
        <f>IF(Heimbahn[[#This Row],[Spiele MP]]="","",AVERAGEIF(Eingabe[Name],Heimbahn[[#This Row],[Name]],Eingabe[Heimbahn 2]))</f>
        <v/>
      </c>
      <c r="E11" s="250" t="str">
        <f>IF(Heimbahn[[#This Row],[Spiele MP]]="","",AVERAGEIF(Eingabe[Name],Heimbahn[[#This Row],[Name]],Eingabe[Heimbahn 3]))</f>
        <v/>
      </c>
      <c r="F11" s="250" t="str">
        <f>IF(Heimbahn[[#This Row],[Spiele MP]]="","",AVERAGEIF(Eingabe[Name],Heimbahn[[#This Row],[Name]],Eingabe[Heimbahn 4]))</f>
        <v/>
      </c>
      <c r="G11" s="251" t="str">
        <f>IF(Heimbahn[[#This Row],[Spiele MP]]="","",MAX(Heimbahn[[#This Row],[Bahn 1]:[Bahn 4]]))</f>
        <v/>
      </c>
      <c r="H11"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11" s="251">
        <f>MIN(Heimbahn[[#This Row],[Bahn 1]:[Bahn 4]])</f>
        <v>0</v>
      </c>
      <c r="J11"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11" s="252" t="str">
        <f>IF(Heimbahn[[#This Row],[Bester Bahn (Schnitt)]]="","",Heimbahn[[#This Row],[Bester Bahn (Schnitt)]]-Heimbahn[[#This Row],[Schlechteste Bahn (Schnitt)]])</f>
        <v/>
      </c>
      <c r="N11" s="98" t="str">
        <v>Peter Paulmann [131]</v>
      </c>
      <c r="Q11" s="98" t="str">
        <v>Tim Beger [127]</v>
      </c>
      <c r="T11" s="98" t="str">
        <v>Sylke Schmidt [121]</v>
      </c>
    </row>
    <row r="12" spans="1:20" x14ac:dyDescent="0.3">
      <c r="A12" s="248" t="s">
        <v>476</v>
      </c>
      <c r="B12" s="249" t="str">
        <f>VLOOKUP(Heimbahn[[#This Row],[Name]],AuswertungH[],4,FALSE)</f>
        <v/>
      </c>
      <c r="C12" s="251" t="str">
        <f>IF(Heimbahn[[#This Row],[Spiele MP]]="","",AVERAGEIF(Eingabe[Name],Heimbahn[[#This Row],[Name]],Eingabe[Heimbahn 1]))</f>
        <v/>
      </c>
      <c r="D12" s="250" t="str">
        <f>IF(Heimbahn[[#This Row],[Spiele MP]]="","",AVERAGEIF(Eingabe[Name],Heimbahn[[#This Row],[Name]],Eingabe[Heimbahn 2]))</f>
        <v/>
      </c>
      <c r="E12" s="250" t="str">
        <f>IF(Heimbahn[[#This Row],[Spiele MP]]="","",AVERAGEIF(Eingabe[Name],Heimbahn[[#This Row],[Name]],Eingabe[Heimbahn 3]))</f>
        <v/>
      </c>
      <c r="F12" s="250" t="str">
        <f>IF(Heimbahn[[#This Row],[Spiele MP]]="","",AVERAGEIF(Eingabe[Name],Heimbahn[[#This Row],[Name]],Eingabe[Heimbahn 4]))</f>
        <v/>
      </c>
      <c r="G12" s="251" t="str">
        <f>IF(Heimbahn[[#This Row],[Spiele MP]]="","",MAX(Heimbahn[[#This Row],[Bahn 1]:[Bahn 4]]))</f>
        <v/>
      </c>
      <c r="H12"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12" s="251">
        <f>MIN(Heimbahn[[#This Row],[Bahn 1]:[Bahn 4]])</f>
        <v>0</v>
      </c>
      <c r="J12"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12" s="252" t="str">
        <f>IF(Heimbahn[[#This Row],[Bester Bahn (Schnitt)]]="","",Heimbahn[[#This Row],[Bester Bahn (Schnitt)]]-Heimbahn[[#This Row],[Schlechteste Bahn (Schnitt)]])</f>
        <v/>
      </c>
      <c r="N12" s="98" t="str">
        <v>Stefan Teuber [132]</v>
      </c>
      <c r="T12" s="98" t="str">
        <v>Tim Becker [127]</v>
      </c>
    </row>
    <row r="13" spans="1:20" x14ac:dyDescent="0.3">
      <c r="A13" s="248" t="s">
        <v>477</v>
      </c>
      <c r="B13" s="249">
        <f>VLOOKUP(Heimbahn[[#This Row],[Name]],AuswertungH[],4,FALSE)</f>
        <v>1</v>
      </c>
      <c r="C13" s="251">
        <f>IF(Heimbahn[[#This Row],[Spiele MP]]="","",AVERAGEIF(Eingabe[Name],Heimbahn[[#This Row],[Name]],Eingabe[Heimbahn 1]))</f>
        <v>137</v>
      </c>
      <c r="D13" s="250">
        <f>IF(Heimbahn[[#This Row],[Spiele MP]]="","",AVERAGEIF(Eingabe[Name],Heimbahn[[#This Row],[Name]],Eingabe[Heimbahn 2]))</f>
        <v>136</v>
      </c>
      <c r="E13" s="250">
        <f>IF(Heimbahn[[#This Row],[Spiele MP]]="","",AVERAGEIF(Eingabe[Name],Heimbahn[[#This Row],[Name]],Eingabe[Heimbahn 3]))</f>
        <v>136.5</v>
      </c>
      <c r="F13" s="250">
        <f>IF(Heimbahn[[#This Row],[Spiele MP]]="","",AVERAGEIF(Eingabe[Name],Heimbahn[[#This Row],[Name]],Eingabe[Heimbahn 4]))</f>
        <v>135.75</v>
      </c>
      <c r="G13" s="251">
        <f>IF(Heimbahn[[#This Row],[Spiele MP]]="","",MAX(Heimbahn[[#This Row],[Bahn 1]:[Bahn 4]]))</f>
        <v>137</v>
      </c>
      <c r="H13" s="251">
        <f>IF(Heimbahn[[#This Row],[Spiele MP]]="","",IF(Heimbahn[[#This Row],[Bester Bahn (Schnitt)]]=Heimbahn[[#This Row],[Bahn 1]],1,IF(Heimbahn[[#This Row],[Bester Bahn (Schnitt)]]=Heimbahn[[#This Row],[Bahn 2]],2,IF(Heimbahn[[#This Row],[Bester Bahn (Schnitt)]]=Heimbahn[[#This Row],[Bahn 3]],3,IF(Heimbahn[[#This Row],[Bester Bahn (Schnitt)]]=Heimbahn[[#This Row],[Bahn 4]],4,"")))))</f>
        <v>1</v>
      </c>
      <c r="I13" s="251">
        <f>MIN(Heimbahn[[#This Row],[Bahn 1]:[Bahn 4]])</f>
        <v>135.75</v>
      </c>
      <c r="J13"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4</v>
      </c>
      <c r="K13" s="252">
        <f>IF(Heimbahn[[#This Row],[Bester Bahn (Schnitt)]]="","",Heimbahn[[#This Row],[Bester Bahn (Schnitt)]]-Heimbahn[[#This Row],[Schlechteste Bahn (Schnitt)]])</f>
        <v>1.25</v>
      </c>
      <c r="N13" s="98" t="str">
        <v>Stefan Ulbricht [125]</v>
      </c>
      <c r="T13" s="98" t="str">
        <v>Uwe Zippack [124]</v>
      </c>
    </row>
    <row r="14" spans="1:20" x14ac:dyDescent="0.3">
      <c r="A14" s="248" t="s">
        <v>478</v>
      </c>
      <c r="B14" s="249">
        <f>VLOOKUP(Heimbahn[[#This Row],[Name]],AuswertungH[],4,FALSE)</f>
        <v>5</v>
      </c>
      <c r="C14" s="251">
        <f>IF(Heimbahn[[#This Row],[Spiele MP]]="","",AVERAGEIF(Eingabe[Name],Heimbahn[[#This Row],[Name]],Eingabe[Heimbahn 1]))</f>
        <v>126.4</v>
      </c>
      <c r="D14" s="250">
        <f>IF(Heimbahn[[#This Row],[Spiele MP]]="","",AVERAGEIF(Eingabe[Name],Heimbahn[[#This Row],[Name]],Eingabe[Heimbahn 2]))</f>
        <v>139</v>
      </c>
      <c r="E14" s="250">
        <f>IF(Heimbahn[[#This Row],[Spiele MP]]="","",AVERAGEIF(Eingabe[Name],Heimbahn[[#This Row],[Name]],Eingabe[Heimbahn 3]))</f>
        <v>128.4</v>
      </c>
      <c r="F14" s="250">
        <f>IF(Heimbahn[[#This Row],[Spiele MP]]="","",AVERAGEIF(Eingabe[Name],Heimbahn[[#This Row],[Name]],Eingabe[Heimbahn 4]))</f>
        <v>125.6</v>
      </c>
      <c r="G14" s="251">
        <f>IF(Heimbahn[[#This Row],[Spiele MP]]="","",MAX(Heimbahn[[#This Row],[Bahn 1]:[Bahn 4]]))</f>
        <v>139</v>
      </c>
      <c r="H14" s="251">
        <f>IF(Heimbahn[[#This Row],[Spiele MP]]="","",IF(Heimbahn[[#This Row],[Bester Bahn (Schnitt)]]=Heimbahn[[#This Row],[Bahn 1]],1,IF(Heimbahn[[#This Row],[Bester Bahn (Schnitt)]]=Heimbahn[[#This Row],[Bahn 2]],2,IF(Heimbahn[[#This Row],[Bester Bahn (Schnitt)]]=Heimbahn[[#This Row],[Bahn 3]],3,IF(Heimbahn[[#This Row],[Bester Bahn (Schnitt)]]=Heimbahn[[#This Row],[Bahn 4]],4,"")))))</f>
        <v>2</v>
      </c>
      <c r="I14" s="251">
        <f>MIN(Heimbahn[[#This Row],[Bahn 1]:[Bahn 4]])</f>
        <v>125.6</v>
      </c>
      <c r="J14"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4</v>
      </c>
      <c r="K14" s="252">
        <f>IF(Heimbahn[[#This Row],[Bester Bahn (Schnitt)]]="","",Heimbahn[[#This Row],[Bester Bahn (Schnitt)]]-Heimbahn[[#This Row],[Schlechteste Bahn (Schnitt)]])</f>
        <v>13.400000000000006</v>
      </c>
      <c r="N14" s="98" t="str">
        <v>Tim Beger [132]</v>
      </c>
    </row>
    <row r="15" spans="1:20" x14ac:dyDescent="0.3">
      <c r="A15" s="248" t="s">
        <v>479</v>
      </c>
      <c r="B15" s="249">
        <f>VLOOKUP(Heimbahn[[#This Row],[Name]],AuswertungH[],4,FALSE)</f>
        <v>1</v>
      </c>
      <c r="C15" s="251">
        <f>IF(Heimbahn[[#This Row],[Spiele MP]]="","",AVERAGEIF(Eingabe[Name],Heimbahn[[#This Row],[Name]],Eingabe[Heimbahn 1]))</f>
        <v>111</v>
      </c>
      <c r="D15" s="250">
        <f>IF(Heimbahn[[#This Row],[Spiele MP]]="","",AVERAGEIF(Eingabe[Name],Heimbahn[[#This Row],[Name]],Eingabe[Heimbahn 2]))</f>
        <v>118</v>
      </c>
      <c r="E15" s="250">
        <f>IF(Heimbahn[[#This Row],[Spiele MP]]="","",AVERAGEIF(Eingabe[Name],Heimbahn[[#This Row],[Name]],Eingabe[Heimbahn 3]))</f>
        <v>121</v>
      </c>
      <c r="F15" s="250">
        <f>IF(Heimbahn[[#This Row],[Spiele MP]]="","",AVERAGEIF(Eingabe[Name],Heimbahn[[#This Row],[Name]],Eingabe[Heimbahn 4]))</f>
        <v>122</v>
      </c>
      <c r="G15" s="251">
        <f>IF(Heimbahn[[#This Row],[Spiele MP]]="","",MAX(Heimbahn[[#This Row],[Bahn 1]:[Bahn 4]]))</f>
        <v>122</v>
      </c>
      <c r="H15" s="251">
        <f>IF(Heimbahn[[#This Row],[Spiele MP]]="","",IF(Heimbahn[[#This Row],[Bester Bahn (Schnitt)]]=Heimbahn[[#This Row],[Bahn 1]],1,IF(Heimbahn[[#This Row],[Bester Bahn (Schnitt)]]=Heimbahn[[#This Row],[Bahn 2]],2,IF(Heimbahn[[#This Row],[Bester Bahn (Schnitt)]]=Heimbahn[[#This Row],[Bahn 3]],3,IF(Heimbahn[[#This Row],[Bester Bahn (Schnitt)]]=Heimbahn[[#This Row],[Bahn 4]],4,"")))))</f>
        <v>4</v>
      </c>
      <c r="I15" s="251">
        <f>MIN(Heimbahn[[#This Row],[Bahn 1]:[Bahn 4]])</f>
        <v>111</v>
      </c>
      <c r="J15"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1</v>
      </c>
      <c r="K15" s="252">
        <f>IF(Heimbahn[[#This Row],[Bester Bahn (Schnitt)]]="","",Heimbahn[[#This Row],[Bester Bahn (Schnitt)]]-Heimbahn[[#This Row],[Schlechteste Bahn (Schnitt)]])</f>
        <v>11</v>
      </c>
    </row>
    <row r="16" spans="1:20" x14ac:dyDescent="0.3">
      <c r="A16" s="248" t="s">
        <v>480</v>
      </c>
      <c r="B16" s="249">
        <f>VLOOKUP(Heimbahn[[#This Row],[Name]],AuswertungH[],4,FALSE)</f>
        <v>3</v>
      </c>
      <c r="C16" s="251">
        <f>IF(Heimbahn[[#This Row],[Spiele MP]]="","",AVERAGEIF(Eingabe[Name],Heimbahn[[#This Row],[Name]],Eingabe[Heimbahn 1]))</f>
        <v>118.33333333333333</v>
      </c>
      <c r="D16" s="250">
        <f>IF(Heimbahn[[#This Row],[Spiele MP]]="","",AVERAGEIF(Eingabe[Name],Heimbahn[[#This Row],[Name]],Eingabe[Heimbahn 2]))</f>
        <v>130.66666666666666</v>
      </c>
      <c r="E16" s="250">
        <f>IF(Heimbahn[[#This Row],[Spiele MP]]="","",AVERAGEIF(Eingabe[Name],Heimbahn[[#This Row],[Name]],Eingabe[Heimbahn 3]))</f>
        <v>123</v>
      </c>
      <c r="F16" s="250">
        <f>IF(Heimbahn[[#This Row],[Spiele MP]]="","",AVERAGEIF(Eingabe[Name],Heimbahn[[#This Row],[Name]],Eingabe[Heimbahn 4]))</f>
        <v>132.66666666666666</v>
      </c>
      <c r="G16" s="251">
        <f>IF(Heimbahn[[#This Row],[Spiele MP]]="","",MAX(Heimbahn[[#This Row],[Bahn 1]:[Bahn 4]]))</f>
        <v>132.66666666666666</v>
      </c>
      <c r="H16" s="251">
        <f>IF(Heimbahn[[#This Row],[Spiele MP]]="","",IF(Heimbahn[[#This Row],[Bester Bahn (Schnitt)]]=Heimbahn[[#This Row],[Bahn 1]],1,IF(Heimbahn[[#This Row],[Bester Bahn (Schnitt)]]=Heimbahn[[#This Row],[Bahn 2]],2,IF(Heimbahn[[#This Row],[Bester Bahn (Schnitt)]]=Heimbahn[[#This Row],[Bahn 3]],3,IF(Heimbahn[[#This Row],[Bester Bahn (Schnitt)]]=Heimbahn[[#This Row],[Bahn 4]],4,"")))))</f>
        <v>4</v>
      </c>
      <c r="I16" s="251">
        <f>MIN(Heimbahn[[#This Row],[Bahn 1]:[Bahn 4]])</f>
        <v>118.33333333333333</v>
      </c>
      <c r="J16"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1</v>
      </c>
      <c r="K16" s="252">
        <f>IF(Heimbahn[[#This Row],[Bester Bahn (Schnitt)]]="","",Heimbahn[[#This Row],[Bester Bahn (Schnitt)]]-Heimbahn[[#This Row],[Schlechteste Bahn (Schnitt)]])</f>
        <v>14.333333333333329</v>
      </c>
    </row>
    <row r="17" spans="1:20" x14ac:dyDescent="0.3">
      <c r="A17" s="248" t="s">
        <v>659</v>
      </c>
      <c r="B17" s="249">
        <f>VLOOKUP(Heimbahn[[#This Row],[Name]],AuswertungH[],4,FALSE)</f>
        <v>8</v>
      </c>
      <c r="C17" s="251">
        <f>IF(Heimbahn[[#This Row],[Spiele MP]]="","",AVERAGEIF(Eingabe[Name],Heimbahn[[#This Row],[Name]],Eingabe[Heimbahn 1]))</f>
        <v>125.625</v>
      </c>
      <c r="D17" s="250">
        <f>IF(Heimbahn[[#This Row],[Spiele MP]]="","",AVERAGEIF(Eingabe[Name],Heimbahn[[#This Row],[Name]],Eingabe[Heimbahn 2]))</f>
        <v>130.625</v>
      </c>
      <c r="E17" s="250">
        <f>IF(Heimbahn[[#This Row],[Spiele MP]]="","",AVERAGEIF(Eingabe[Name],Heimbahn[[#This Row],[Name]],Eingabe[Heimbahn 3]))</f>
        <v>131.875</v>
      </c>
      <c r="F17" s="250">
        <f>IF(Heimbahn[[#This Row],[Spiele MP]]="","",AVERAGEIF(Eingabe[Name],Heimbahn[[#This Row],[Name]],Eingabe[Heimbahn 4]))</f>
        <v>131.625</v>
      </c>
      <c r="G17" s="251">
        <f>IF(Heimbahn[[#This Row],[Spiele MP]]="","",MAX(Heimbahn[[#This Row],[Bahn 1]:[Bahn 4]]))</f>
        <v>131.875</v>
      </c>
      <c r="H17" s="251">
        <f>IF(Heimbahn[[#This Row],[Spiele MP]]="","",IF(Heimbahn[[#This Row],[Bester Bahn (Schnitt)]]=Heimbahn[[#This Row],[Bahn 1]],1,IF(Heimbahn[[#This Row],[Bester Bahn (Schnitt)]]=Heimbahn[[#This Row],[Bahn 2]],2,IF(Heimbahn[[#This Row],[Bester Bahn (Schnitt)]]=Heimbahn[[#This Row],[Bahn 3]],3,IF(Heimbahn[[#This Row],[Bester Bahn (Schnitt)]]=Heimbahn[[#This Row],[Bahn 4]],4,"")))))</f>
        <v>3</v>
      </c>
      <c r="I17" s="251">
        <f>MIN(Heimbahn[[#This Row],[Bahn 1]:[Bahn 4]])</f>
        <v>125.625</v>
      </c>
      <c r="J17"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1</v>
      </c>
      <c r="K17" s="252">
        <f>IF(Heimbahn[[#This Row],[Bester Bahn (Schnitt)]]="","",Heimbahn[[#This Row],[Bester Bahn (Schnitt)]]-Heimbahn[[#This Row],[Schlechteste Bahn (Schnitt)]])</f>
        <v>6.25</v>
      </c>
    </row>
    <row r="18" spans="1:20" x14ac:dyDescent="0.3">
      <c r="A18" s="248" t="s">
        <v>456</v>
      </c>
      <c r="B18" s="249" t="str">
        <f>VLOOKUP(Heimbahn[[#This Row],[Name]],AuswertungH[],4,FALSE)</f>
        <v/>
      </c>
      <c r="C18" s="251" t="str">
        <f>IF(Heimbahn[[#This Row],[Spiele MP]]="","",AVERAGEIF(Eingabe[Name],Heimbahn[[#This Row],[Name]],Eingabe[Heimbahn 1]))</f>
        <v/>
      </c>
      <c r="D18" s="250" t="str">
        <f>IF(Heimbahn[[#This Row],[Spiele MP]]="","",AVERAGEIF(Eingabe[Name],Heimbahn[[#This Row],[Name]],Eingabe[Heimbahn 2]))</f>
        <v/>
      </c>
      <c r="E18" s="250" t="str">
        <f>IF(Heimbahn[[#This Row],[Spiele MP]]="","",AVERAGEIF(Eingabe[Name],Heimbahn[[#This Row],[Name]],Eingabe[Heimbahn 3]))</f>
        <v/>
      </c>
      <c r="F18" s="250" t="str">
        <f>IF(Heimbahn[[#This Row],[Spiele MP]]="","",AVERAGEIF(Eingabe[Name],Heimbahn[[#This Row],[Name]],Eingabe[Heimbahn 4]))</f>
        <v/>
      </c>
      <c r="G18" s="251" t="str">
        <f>IF(Heimbahn[[#This Row],[Spiele MP]]="","",MAX(Heimbahn[[#This Row],[Bahn 1]:[Bahn 4]]))</f>
        <v/>
      </c>
      <c r="H18"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18" s="251">
        <f>MIN(Heimbahn[[#This Row],[Bahn 1]:[Bahn 4]])</f>
        <v>0</v>
      </c>
      <c r="J18"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18" s="252" t="str">
        <f>IF(Heimbahn[[#This Row],[Bester Bahn (Schnitt)]]="","",Heimbahn[[#This Row],[Bester Bahn (Schnitt)]]-Heimbahn[[#This Row],[Schlechteste Bahn (Schnitt)]])</f>
        <v/>
      </c>
    </row>
    <row r="19" spans="1:20" x14ac:dyDescent="0.3">
      <c r="A19" s="248" t="s">
        <v>736</v>
      </c>
      <c r="B19" s="249">
        <f>VLOOKUP(Heimbahn[[#This Row],[Name]],AuswertungH[],4,FALSE)</f>
        <v>2</v>
      </c>
      <c r="C19" s="251">
        <f>IF(Heimbahn[[#This Row],[Spiele MP]]="","",AVERAGEIF(Eingabe[Name],Heimbahn[[#This Row],[Name]],Eingabe[Heimbahn 1]))</f>
        <v>131</v>
      </c>
      <c r="D19" s="250">
        <f>IF(Heimbahn[[#This Row],[Spiele MP]]="","",AVERAGEIF(Eingabe[Name],Heimbahn[[#This Row],[Name]],Eingabe[Heimbahn 2]))</f>
        <v>126.5</v>
      </c>
      <c r="E19" s="250">
        <f>IF(Heimbahn[[#This Row],[Spiele MP]]="","",AVERAGEIF(Eingabe[Name],Heimbahn[[#This Row],[Name]],Eingabe[Heimbahn 3]))</f>
        <v>141.5</v>
      </c>
      <c r="F19" s="250">
        <f>IF(Heimbahn[[#This Row],[Spiele MP]]="","",AVERAGEIF(Eingabe[Name],Heimbahn[[#This Row],[Name]],Eingabe[Heimbahn 4]))</f>
        <v>129.5</v>
      </c>
      <c r="G19" s="251">
        <f>IF(Heimbahn[[#This Row],[Spiele MP]]="","",MAX(Heimbahn[[#This Row],[Bahn 1]:[Bahn 4]]))</f>
        <v>141.5</v>
      </c>
      <c r="H19" s="251">
        <f>IF(Heimbahn[[#This Row],[Spiele MP]]="","",IF(Heimbahn[[#This Row],[Bester Bahn (Schnitt)]]=Heimbahn[[#This Row],[Bahn 1]],1,IF(Heimbahn[[#This Row],[Bester Bahn (Schnitt)]]=Heimbahn[[#This Row],[Bahn 2]],2,IF(Heimbahn[[#This Row],[Bester Bahn (Schnitt)]]=Heimbahn[[#This Row],[Bahn 3]],3,IF(Heimbahn[[#This Row],[Bester Bahn (Schnitt)]]=Heimbahn[[#This Row],[Bahn 4]],4,"")))))</f>
        <v>3</v>
      </c>
      <c r="I19" s="251">
        <f>MIN(Heimbahn[[#This Row],[Bahn 1]:[Bahn 4]])</f>
        <v>126.5</v>
      </c>
      <c r="J19"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2</v>
      </c>
      <c r="K19" s="252">
        <f>IF(Heimbahn[[#This Row],[Bester Bahn (Schnitt)]]="","",Heimbahn[[#This Row],[Bester Bahn (Schnitt)]]-Heimbahn[[#This Row],[Schlechteste Bahn (Schnitt)]])</f>
        <v>15</v>
      </c>
    </row>
    <row r="20" spans="1:20" x14ac:dyDescent="0.3">
      <c r="A20" s="248" t="s">
        <v>467</v>
      </c>
      <c r="B20" s="249">
        <f>VLOOKUP(Heimbahn[[#This Row],[Name]],AuswertungH[],4,FALSE)</f>
        <v>1</v>
      </c>
      <c r="C20" s="251">
        <f>IF(Heimbahn[[#This Row],[Spiele MP]]="","",AVERAGEIF(Eingabe[Name],Heimbahn[[#This Row],[Name]],Eingabe[Heimbahn 1]))</f>
        <v>152</v>
      </c>
      <c r="D20" s="250">
        <f>IF(Heimbahn[[#This Row],[Spiele MP]]="","",AVERAGEIF(Eingabe[Name],Heimbahn[[#This Row],[Name]],Eingabe[Heimbahn 2]))</f>
        <v>133</v>
      </c>
      <c r="E20" s="250">
        <f>IF(Heimbahn[[#This Row],[Spiele MP]]="","",AVERAGEIF(Eingabe[Name],Heimbahn[[#This Row],[Name]],Eingabe[Heimbahn 3]))</f>
        <v>134</v>
      </c>
      <c r="F20" s="250">
        <f>IF(Heimbahn[[#This Row],[Spiele MP]]="","",AVERAGEIF(Eingabe[Name],Heimbahn[[#This Row],[Name]],Eingabe[Heimbahn 4]))</f>
        <v>119</v>
      </c>
      <c r="G20" s="251">
        <f>IF(Heimbahn[[#This Row],[Spiele MP]]="","",MAX(Heimbahn[[#This Row],[Bahn 1]:[Bahn 4]]))</f>
        <v>152</v>
      </c>
      <c r="H20" s="251">
        <f>IF(Heimbahn[[#This Row],[Spiele MP]]="","",IF(Heimbahn[[#This Row],[Bester Bahn (Schnitt)]]=Heimbahn[[#This Row],[Bahn 1]],1,IF(Heimbahn[[#This Row],[Bester Bahn (Schnitt)]]=Heimbahn[[#This Row],[Bahn 2]],2,IF(Heimbahn[[#This Row],[Bester Bahn (Schnitt)]]=Heimbahn[[#This Row],[Bahn 3]],3,IF(Heimbahn[[#This Row],[Bester Bahn (Schnitt)]]=Heimbahn[[#This Row],[Bahn 4]],4,"")))))</f>
        <v>1</v>
      </c>
      <c r="I20" s="251">
        <f>MIN(Heimbahn[[#This Row],[Bahn 1]:[Bahn 4]])</f>
        <v>119</v>
      </c>
      <c r="J20"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4</v>
      </c>
      <c r="K20" s="252">
        <f>IF(Heimbahn[[#This Row],[Bester Bahn (Schnitt)]]="","",Heimbahn[[#This Row],[Bester Bahn (Schnitt)]]-Heimbahn[[#This Row],[Schlechteste Bahn (Schnitt)]])</f>
        <v>33</v>
      </c>
      <c r="M20" s="182">
        <f>COUNTA(_xlfn.ANCHORARRAY(M3))</f>
        <v>5</v>
      </c>
      <c r="N20" s="182">
        <f t="shared" ref="N20:P20" si="0">COUNTA(_xlfn.ANCHORARRAY(N3))</f>
        <v>12</v>
      </c>
      <c r="O20" s="182">
        <f t="shared" si="0"/>
        <v>8</v>
      </c>
      <c r="P20" s="182">
        <f t="shared" si="0"/>
        <v>6</v>
      </c>
      <c r="Q20" s="182">
        <f>COUNTA(_xlfn.ANCHORARRAY(Q3))</f>
        <v>9</v>
      </c>
      <c r="R20" s="182">
        <f t="shared" ref="R20:T20" si="1">COUNTA(_xlfn.ANCHORARRAY(R3))</f>
        <v>6</v>
      </c>
      <c r="S20" s="182">
        <f t="shared" si="1"/>
        <v>5</v>
      </c>
      <c r="T20" s="182">
        <f t="shared" si="1"/>
        <v>11</v>
      </c>
    </row>
    <row r="21" spans="1:20" x14ac:dyDescent="0.3">
      <c r="A21" s="248" t="s">
        <v>14</v>
      </c>
      <c r="B21" s="249" t="str">
        <f>VLOOKUP(Heimbahn[[#This Row],[Name]],AuswertungH[],4,FALSE)</f>
        <v/>
      </c>
      <c r="C21" s="251" t="str">
        <f>IF(Heimbahn[[#This Row],[Spiele MP]]="","",AVERAGEIF(Eingabe[Name],Heimbahn[[#This Row],[Name]],Eingabe[Heimbahn 1]))</f>
        <v/>
      </c>
      <c r="D21" s="250" t="str">
        <f>IF(Heimbahn[[#This Row],[Spiele MP]]="","",AVERAGEIF(Eingabe[Name],Heimbahn[[#This Row],[Name]],Eingabe[Heimbahn 2]))</f>
        <v/>
      </c>
      <c r="E21" s="250" t="str">
        <f>IF(Heimbahn[[#This Row],[Spiele MP]]="","",AVERAGEIF(Eingabe[Name],Heimbahn[[#This Row],[Name]],Eingabe[Heimbahn 3]))</f>
        <v/>
      </c>
      <c r="F21" s="250" t="str">
        <f>IF(Heimbahn[[#This Row],[Spiele MP]]="","",AVERAGEIF(Eingabe[Name],Heimbahn[[#This Row],[Name]],Eingabe[Heimbahn 4]))</f>
        <v/>
      </c>
      <c r="G21" s="251" t="str">
        <f>IF(Heimbahn[[#This Row],[Spiele MP]]="","",MAX(Heimbahn[[#This Row],[Bahn 1]:[Bahn 4]]))</f>
        <v/>
      </c>
      <c r="H21"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21" s="251">
        <f>MIN(Heimbahn[[#This Row],[Bahn 1]:[Bahn 4]])</f>
        <v>0</v>
      </c>
      <c r="J21"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21" s="252" t="str">
        <f>IF(Heimbahn[[#This Row],[Bester Bahn (Schnitt)]]="","",Heimbahn[[#This Row],[Bester Bahn (Schnitt)]]-Heimbahn[[#This Row],[Schlechteste Bahn (Schnitt)]])</f>
        <v/>
      </c>
      <c r="M21" s="164">
        <f>ROUND(AVERAGE(Eingabe[Heimbahn 1]),1)</f>
        <v>129.19999999999999</v>
      </c>
      <c r="N21" s="164">
        <f>ROUND(AVERAGE(Eingabe[Heimbahn 2]),1)</f>
        <v>130.69999999999999</v>
      </c>
      <c r="O21" s="164">
        <f>ROUND(AVERAGE(Eingabe[Heimbahn 3]),1)</f>
        <v>125.7</v>
      </c>
      <c r="P21" s="164">
        <f>ROUND(AVERAGE(Eingabe[Heimbahn 4]),1)</f>
        <v>125.5</v>
      </c>
    </row>
    <row r="22" spans="1:20" x14ac:dyDescent="0.3">
      <c r="A22" s="248" t="s">
        <v>15</v>
      </c>
      <c r="B22" s="249">
        <f>VLOOKUP(Heimbahn[[#This Row],[Name]],AuswertungH[],4,FALSE)</f>
        <v>2</v>
      </c>
      <c r="C22" s="251">
        <f>IF(Heimbahn[[#This Row],[Spiele MP]]="","",AVERAGEIF(Eingabe[Name],Heimbahn[[#This Row],[Name]],Eingabe[Heimbahn 1]))</f>
        <v>126</v>
      </c>
      <c r="D22" s="250">
        <f>IF(Heimbahn[[#This Row],[Spiele MP]]="","",AVERAGEIF(Eingabe[Name],Heimbahn[[#This Row],[Name]],Eingabe[Heimbahn 2]))</f>
        <v>130.5</v>
      </c>
      <c r="E22" s="250">
        <f>IF(Heimbahn[[#This Row],[Spiele MP]]="","",AVERAGEIF(Eingabe[Name],Heimbahn[[#This Row],[Name]],Eingabe[Heimbahn 3]))</f>
        <v>131.5</v>
      </c>
      <c r="F22" s="250">
        <f>IF(Heimbahn[[#This Row],[Spiele MP]]="","",AVERAGEIF(Eingabe[Name],Heimbahn[[#This Row],[Name]],Eingabe[Heimbahn 4]))</f>
        <v>129.5</v>
      </c>
      <c r="G22" s="251">
        <f>IF(Heimbahn[[#This Row],[Spiele MP]]="","",MAX(Heimbahn[[#This Row],[Bahn 1]:[Bahn 4]]))</f>
        <v>131.5</v>
      </c>
      <c r="H22" s="251">
        <f>IF(Heimbahn[[#This Row],[Spiele MP]]="","",IF(Heimbahn[[#This Row],[Bester Bahn (Schnitt)]]=Heimbahn[[#This Row],[Bahn 1]],1,IF(Heimbahn[[#This Row],[Bester Bahn (Schnitt)]]=Heimbahn[[#This Row],[Bahn 2]],2,IF(Heimbahn[[#This Row],[Bester Bahn (Schnitt)]]=Heimbahn[[#This Row],[Bahn 3]],3,IF(Heimbahn[[#This Row],[Bester Bahn (Schnitt)]]=Heimbahn[[#This Row],[Bahn 4]],4,"")))))</f>
        <v>3</v>
      </c>
      <c r="I22" s="251">
        <f>MIN(Heimbahn[[#This Row],[Bahn 1]:[Bahn 4]])</f>
        <v>126</v>
      </c>
      <c r="J22"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1</v>
      </c>
      <c r="K22" s="252">
        <f>IF(Heimbahn[[#This Row],[Bester Bahn (Schnitt)]]="","",Heimbahn[[#This Row],[Bester Bahn (Schnitt)]]-Heimbahn[[#This Row],[Schlechteste Bahn (Schnitt)]])</f>
        <v>5.5</v>
      </c>
    </row>
    <row r="23" spans="1:20" x14ac:dyDescent="0.3">
      <c r="A23" s="248" t="s">
        <v>496</v>
      </c>
      <c r="B23" s="249" t="str">
        <f>VLOOKUP(Heimbahn[[#This Row],[Name]],AuswertungH[],4,FALSE)</f>
        <v/>
      </c>
      <c r="C23" s="251" t="str">
        <f>IF(Heimbahn[[#This Row],[Spiele MP]]="","",AVERAGEIF(Eingabe[Name],Heimbahn[[#This Row],[Name]],Eingabe[Heimbahn 1]))</f>
        <v/>
      </c>
      <c r="D23" s="250" t="str">
        <f>IF(Heimbahn[[#This Row],[Spiele MP]]="","",AVERAGEIF(Eingabe[Name],Heimbahn[[#This Row],[Name]],Eingabe[Heimbahn 2]))</f>
        <v/>
      </c>
      <c r="E23" s="250" t="str">
        <f>IF(Heimbahn[[#This Row],[Spiele MP]]="","",AVERAGEIF(Eingabe[Name],Heimbahn[[#This Row],[Name]],Eingabe[Heimbahn 3]))</f>
        <v/>
      </c>
      <c r="F23" s="250" t="str">
        <f>IF(Heimbahn[[#This Row],[Spiele MP]]="","",AVERAGEIF(Eingabe[Name],Heimbahn[[#This Row],[Name]],Eingabe[Heimbahn 4]))</f>
        <v/>
      </c>
      <c r="G23" s="251" t="str">
        <f>IF(Heimbahn[[#This Row],[Spiele MP]]="","",MAX(Heimbahn[[#This Row],[Bahn 1]:[Bahn 4]]))</f>
        <v/>
      </c>
      <c r="H23"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23" s="251">
        <f>MIN(Heimbahn[[#This Row],[Bahn 1]:[Bahn 4]])</f>
        <v>0</v>
      </c>
      <c r="J23"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23" s="252" t="str">
        <f>IF(Heimbahn[[#This Row],[Bester Bahn (Schnitt)]]="","",Heimbahn[[#This Row],[Bester Bahn (Schnitt)]]-Heimbahn[[#This Row],[Schlechteste Bahn (Schnitt)]])</f>
        <v/>
      </c>
    </row>
    <row r="24" spans="1:20" x14ac:dyDescent="0.3">
      <c r="A24" s="248" t="s">
        <v>464</v>
      </c>
      <c r="B24" s="249">
        <f>VLOOKUP(Heimbahn[[#This Row],[Name]],AuswertungH[],4,FALSE)</f>
        <v>2</v>
      </c>
      <c r="C24" s="251">
        <f>IF(Heimbahn[[#This Row],[Spiele MP]]="","",AVERAGEIF(Eingabe[Name],Heimbahn[[#This Row],[Name]],Eingabe[Heimbahn 1]))</f>
        <v>137</v>
      </c>
      <c r="D24" s="250">
        <f>IF(Heimbahn[[#This Row],[Spiele MP]]="","",AVERAGEIF(Eingabe[Name],Heimbahn[[#This Row],[Name]],Eingabe[Heimbahn 2]))</f>
        <v>140.5</v>
      </c>
      <c r="E24" s="250">
        <f>IF(Heimbahn[[#This Row],[Spiele MP]]="","",AVERAGEIF(Eingabe[Name],Heimbahn[[#This Row],[Name]],Eingabe[Heimbahn 3]))</f>
        <v>127</v>
      </c>
      <c r="F24" s="250">
        <f>IF(Heimbahn[[#This Row],[Spiele MP]]="","",AVERAGEIF(Eingabe[Name],Heimbahn[[#This Row],[Name]],Eingabe[Heimbahn 4]))</f>
        <v>119</v>
      </c>
      <c r="G24" s="251">
        <f>IF(Heimbahn[[#This Row],[Spiele MP]]="","",MAX(Heimbahn[[#This Row],[Bahn 1]:[Bahn 4]]))</f>
        <v>140.5</v>
      </c>
      <c r="H24" s="251">
        <f>IF(Heimbahn[[#This Row],[Spiele MP]]="","",IF(Heimbahn[[#This Row],[Bester Bahn (Schnitt)]]=Heimbahn[[#This Row],[Bahn 1]],1,IF(Heimbahn[[#This Row],[Bester Bahn (Schnitt)]]=Heimbahn[[#This Row],[Bahn 2]],2,IF(Heimbahn[[#This Row],[Bester Bahn (Schnitt)]]=Heimbahn[[#This Row],[Bahn 3]],3,IF(Heimbahn[[#This Row],[Bester Bahn (Schnitt)]]=Heimbahn[[#This Row],[Bahn 4]],4,"")))))</f>
        <v>2</v>
      </c>
      <c r="I24" s="251">
        <f>MIN(Heimbahn[[#This Row],[Bahn 1]:[Bahn 4]])</f>
        <v>119</v>
      </c>
      <c r="J24"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4</v>
      </c>
      <c r="K24" s="252">
        <f>IF(Heimbahn[[#This Row],[Bester Bahn (Schnitt)]]="","",Heimbahn[[#This Row],[Bester Bahn (Schnitt)]]-Heimbahn[[#This Row],[Schlechteste Bahn (Schnitt)]])</f>
        <v>21.5</v>
      </c>
    </row>
    <row r="25" spans="1:20" x14ac:dyDescent="0.3">
      <c r="A25" s="248" t="s">
        <v>599</v>
      </c>
      <c r="B25" s="249" t="str">
        <f>VLOOKUP(Heimbahn[[#This Row],[Name]],AuswertungH[],4,FALSE)</f>
        <v/>
      </c>
      <c r="C25" s="251" t="str">
        <f>IF(Heimbahn[[#This Row],[Spiele MP]]="","",AVERAGEIF(Eingabe[Name],Heimbahn[[#This Row],[Name]],Eingabe[Heimbahn 1]))</f>
        <v/>
      </c>
      <c r="D25" s="250" t="str">
        <f>IF(Heimbahn[[#This Row],[Spiele MP]]="","",AVERAGEIF(Eingabe[Name],Heimbahn[[#This Row],[Name]],Eingabe[Heimbahn 2]))</f>
        <v/>
      </c>
      <c r="E25" s="250" t="str">
        <f>IF(Heimbahn[[#This Row],[Spiele MP]]="","",AVERAGEIF(Eingabe[Name],Heimbahn[[#This Row],[Name]],Eingabe[Heimbahn 3]))</f>
        <v/>
      </c>
      <c r="F25" s="250" t="str">
        <f>IF(Heimbahn[[#This Row],[Spiele MP]]="","",AVERAGEIF(Eingabe[Name],Heimbahn[[#This Row],[Name]],Eingabe[Heimbahn 4]))</f>
        <v/>
      </c>
      <c r="G25" s="251" t="str">
        <f>IF(Heimbahn[[#This Row],[Spiele MP]]="","",MAX(Heimbahn[[#This Row],[Bahn 1]:[Bahn 4]]))</f>
        <v/>
      </c>
      <c r="H25"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25" s="251">
        <f>MIN(Heimbahn[[#This Row],[Bahn 1]:[Bahn 4]])</f>
        <v>0</v>
      </c>
      <c r="J25"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25" s="252" t="str">
        <f>IF(Heimbahn[[#This Row],[Bester Bahn (Schnitt)]]="","",Heimbahn[[#This Row],[Bester Bahn (Schnitt)]]-Heimbahn[[#This Row],[Schlechteste Bahn (Schnitt)]])</f>
        <v/>
      </c>
    </row>
    <row r="26" spans="1:20" x14ac:dyDescent="0.3">
      <c r="A26" s="248" t="s">
        <v>481</v>
      </c>
      <c r="B26" s="249" t="str">
        <f>VLOOKUP(Heimbahn[[#This Row],[Name]],AuswertungH[],4,FALSE)</f>
        <v/>
      </c>
      <c r="C26" s="251" t="str">
        <f>IF(Heimbahn[[#This Row],[Spiele MP]]="","",AVERAGEIF(Eingabe[Name],Heimbahn[[#This Row],[Name]],Eingabe[Heimbahn 1]))</f>
        <v/>
      </c>
      <c r="D26" s="250" t="str">
        <f>IF(Heimbahn[[#This Row],[Spiele MP]]="","",AVERAGEIF(Eingabe[Name],Heimbahn[[#This Row],[Name]],Eingabe[Heimbahn 2]))</f>
        <v/>
      </c>
      <c r="E26" s="250" t="str">
        <f>IF(Heimbahn[[#This Row],[Spiele MP]]="","",AVERAGEIF(Eingabe[Name],Heimbahn[[#This Row],[Name]],Eingabe[Heimbahn 3]))</f>
        <v/>
      </c>
      <c r="F26" s="250" t="str">
        <f>IF(Heimbahn[[#This Row],[Spiele MP]]="","",AVERAGEIF(Eingabe[Name],Heimbahn[[#This Row],[Name]],Eingabe[Heimbahn 4]))</f>
        <v/>
      </c>
      <c r="G26" s="251" t="str">
        <f>IF(Heimbahn[[#This Row],[Spiele MP]]="","",MAX(Heimbahn[[#This Row],[Bahn 1]:[Bahn 4]]))</f>
        <v/>
      </c>
      <c r="H26"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26" s="251">
        <f>MIN(Heimbahn[[#This Row],[Bahn 1]:[Bahn 4]])</f>
        <v>0</v>
      </c>
      <c r="J26"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26" s="252" t="str">
        <f>IF(Heimbahn[[#This Row],[Bester Bahn (Schnitt)]]="","",Heimbahn[[#This Row],[Bester Bahn (Schnitt)]]-Heimbahn[[#This Row],[Schlechteste Bahn (Schnitt)]])</f>
        <v/>
      </c>
    </row>
    <row r="27" spans="1:20" x14ac:dyDescent="0.3">
      <c r="A27" s="248" t="s">
        <v>592</v>
      </c>
      <c r="B27" s="249">
        <f>VLOOKUP(Heimbahn[[#This Row],[Name]],AuswertungH[],4,FALSE)</f>
        <v>2</v>
      </c>
      <c r="C27" s="251">
        <f>IF(Heimbahn[[#This Row],[Spiele MP]]="","",AVERAGEIF(Eingabe[Name],Heimbahn[[#This Row],[Name]],Eingabe[Heimbahn 1]))</f>
        <v>106.5</v>
      </c>
      <c r="D27" s="250">
        <f>IF(Heimbahn[[#This Row],[Spiele MP]]="","",AVERAGEIF(Eingabe[Name],Heimbahn[[#This Row],[Name]],Eingabe[Heimbahn 2]))</f>
        <v>129</v>
      </c>
      <c r="E27" s="250">
        <f>IF(Heimbahn[[#This Row],[Spiele MP]]="","",AVERAGEIF(Eingabe[Name],Heimbahn[[#This Row],[Name]],Eingabe[Heimbahn 3]))</f>
        <v>116.5</v>
      </c>
      <c r="F27" s="250">
        <f>IF(Heimbahn[[#This Row],[Spiele MP]]="","",AVERAGEIF(Eingabe[Name],Heimbahn[[#This Row],[Name]],Eingabe[Heimbahn 4]))</f>
        <v>121</v>
      </c>
      <c r="G27" s="251">
        <f>IF(Heimbahn[[#This Row],[Spiele MP]]="","",MAX(Heimbahn[[#This Row],[Bahn 1]:[Bahn 4]]))</f>
        <v>129</v>
      </c>
      <c r="H27" s="251">
        <f>IF(Heimbahn[[#This Row],[Spiele MP]]="","",IF(Heimbahn[[#This Row],[Bester Bahn (Schnitt)]]=Heimbahn[[#This Row],[Bahn 1]],1,IF(Heimbahn[[#This Row],[Bester Bahn (Schnitt)]]=Heimbahn[[#This Row],[Bahn 2]],2,IF(Heimbahn[[#This Row],[Bester Bahn (Schnitt)]]=Heimbahn[[#This Row],[Bahn 3]],3,IF(Heimbahn[[#This Row],[Bester Bahn (Schnitt)]]=Heimbahn[[#This Row],[Bahn 4]],4,"")))))</f>
        <v>2</v>
      </c>
      <c r="I27" s="251">
        <f>MIN(Heimbahn[[#This Row],[Bahn 1]:[Bahn 4]])</f>
        <v>106.5</v>
      </c>
      <c r="J27"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1</v>
      </c>
      <c r="K27" s="252">
        <f>IF(Heimbahn[[#This Row],[Bester Bahn (Schnitt)]]="","",Heimbahn[[#This Row],[Bester Bahn (Schnitt)]]-Heimbahn[[#This Row],[Schlechteste Bahn (Schnitt)]])</f>
        <v>22.5</v>
      </c>
    </row>
    <row r="28" spans="1:20" x14ac:dyDescent="0.3">
      <c r="A28" s="248" t="s">
        <v>658</v>
      </c>
      <c r="B28" s="249">
        <f>VLOOKUP(Heimbahn[[#This Row],[Name]],AuswertungH[],4,FALSE)</f>
        <v>7</v>
      </c>
      <c r="C28" s="251">
        <f>IF(Heimbahn[[#This Row],[Spiele MP]]="","",AVERAGEIF(Eingabe[Name],Heimbahn[[#This Row],[Name]],Eingabe[Heimbahn 1]))</f>
        <v>138.42857142857142</v>
      </c>
      <c r="D28" s="250">
        <f>IF(Heimbahn[[#This Row],[Spiele MP]]="","",AVERAGEIF(Eingabe[Name],Heimbahn[[#This Row],[Name]],Eingabe[Heimbahn 2]))</f>
        <v>141.85714285714286</v>
      </c>
      <c r="E28" s="250">
        <f>IF(Heimbahn[[#This Row],[Spiele MP]]="","",AVERAGEIF(Eingabe[Name],Heimbahn[[#This Row],[Name]],Eingabe[Heimbahn 3]))</f>
        <v>127.85714285714286</v>
      </c>
      <c r="F28" s="250">
        <f>IF(Heimbahn[[#This Row],[Spiele MP]]="","",AVERAGEIF(Eingabe[Name],Heimbahn[[#This Row],[Name]],Eingabe[Heimbahn 4]))</f>
        <v>129.57142857142858</v>
      </c>
      <c r="G28" s="251">
        <f>IF(Heimbahn[[#This Row],[Spiele MP]]="","",MAX(Heimbahn[[#This Row],[Bahn 1]:[Bahn 4]]))</f>
        <v>141.85714285714286</v>
      </c>
      <c r="H28" s="251">
        <f>IF(Heimbahn[[#This Row],[Spiele MP]]="","",IF(Heimbahn[[#This Row],[Bester Bahn (Schnitt)]]=Heimbahn[[#This Row],[Bahn 1]],1,IF(Heimbahn[[#This Row],[Bester Bahn (Schnitt)]]=Heimbahn[[#This Row],[Bahn 2]],2,IF(Heimbahn[[#This Row],[Bester Bahn (Schnitt)]]=Heimbahn[[#This Row],[Bahn 3]],3,IF(Heimbahn[[#This Row],[Bester Bahn (Schnitt)]]=Heimbahn[[#This Row],[Bahn 4]],4,"")))))</f>
        <v>2</v>
      </c>
      <c r="I28" s="251">
        <f>MIN(Heimbahn[[#This Row],[Bahn 1]:[Bahn 4]])</f>
        <v>127.85714285714286</v>
      </c>
      <c r="J28"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3</v>
      </c>
      <c r="K28" s="252">
        <f>IF(Heimbahn[[#This Row],[Bester Bahn (Schnitt)]]="","",Heimbahn[[#This Row],[Bester Bahn (Schnitt)]]-Heimbahn[[#This Row],[Schlechteste Bahn (Schnitt)]])</f>
        <v>14</v>
      </c>
    </row>
    <row r="29" spans="1:20" x14ac:dyDescent="0.3">
      <c r="A29" s="248" t="s">
        <v>470</v>
      </c>
      <c r="B29" s="249">
        <f>VLOOKUP(Heimbahn[[#This Row],[Name]],AuswertungH[],4,FALSE)</f>
        <v>1</v>
      </c>
      <c r="C29" s="251">
        <f>IF(Heimbahn[[#This Row],[Spiele MP]]="","",AVERAGEIF(Eingabe[Name],Heimbahn[[#This Row],[Name]],Eingabe[Heimbahn 1]))</f>
        <v>105</v>
      </c>
      <c r="D29" s="250">
        <f>IF(Heimbahn[[#This Row],[Spiele MP]]="","",AVERAGEIF(Eingabe[Name],Heimbahn[[#This Row],[Name]],Eingabe[Heimbahn 2]))</f>
        <v>108</v>
      </c>
      <c r="E29" s="250">
        <f>IF(Heimbahn[[#This Row],[Spiele MP]]="","",AVERAGEIF(Eingabe[Name],Heimbahn[[#This Row],[Name]],Eingabe[Heimbahn 3]))</f>
        <v>123</v>
      </c>
      <c r="F29" s="250">
        <f>IF(Heimbahn[[#This Row],[Spiele MP]]="","",AVERAGEIF(Eingabe[Name],Heimbahn[[#This Row],[Name]],Eingabe[Heimbahn 4]))</f>
        <v>118</v>
      </c>
      <c r="G29" s="251">
        <f>IF(Heimbahn[[#This Row],[Spiele MP]]="","",MAX(Heimbahn[[#This Row],[Bahn 1]:[Bahn 4]]))</f>
        <v>123</v>
      </c>
      <c r="H29" s="251">
        <f>IF(Heimbahn[[#This Row],[Spiele MP]]="","",IF(Heimbahn[[#This Row],[Bester Bahn (Schnitt)]]=Heimbahn[[#This Row],[Bahn 1]],1,IF(Heimbahn[[#This Row],[Bester Bahn (Schnitt)]]=Heimbahn[[#This Row],[Bahn 2]],2,IF(Heimbahn[[#This Row],[Bester Bahn (Schnitt)]]=Heimbahn[[#This Row],[Bahn 3]],3,IF(Heimbahn[[#This Row],[Bester Bahn (Schnitt)]]=Heimbahn[[#This Row],[Bahn 4]],4,"")))))</f>
        <v>3</v>
      </c>
      <c r="I29" s="251">
        <f>MIN(Heimbahn[[#This Row],[Bahn 1]:[Bahn 4]])</f>
        <v>105</v>
      </c>
      <c r="J29"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1</v>
      </c>
      <c r="K29" s="252">
        <f>IF(Heimbahn[[#This Row],[Bester Bahn (Schnitt)]]="","",Heimbahn[[#This Row],[Bester Bahn (Schnitt)]]-Heimbahn[[#This Row],[Schlechteste Bahn (Schnitt)]])</f>
        <v>18</v>
      </c>
    </row>
    <row r="30" spans="1:20" x14ac:dyDescent="0.3">
      <c r="A30" s="248" t="s">
        <v>661</v>
      </c>
      <c r="B30" s="249">
        <f>VLOOKUP(Heimbahn[[#This Row],[Name]],AuswertungH[],4,FALSE)</f>
        <v>5</v>
      </c>
      <c r="C30" s="251">
        <f>IF(Heimbahn[[#This Row],[Spiele MP]]="","",AVERAGEIF(Eingabe[Name],Heimbahn[[#This Row],[Name]],Eingabe[Heimbahn 1]))</f>
        <v>131</v>
      </c>
      <c r="D30" s="250">
        <f>IF(Heimbahn[[#This Row],[Spiele MP]]="","",AVERAGEIF(Eingabe[Name],Heimbahn[[#This Row],[Name]],Eingabe[Heimbahn 2]))</f>
        <v>121.2</v>
      </c>
      <c r="E30" s="250">
        <f>IF(Heimbahn[[#This Row],[Spiele MP]]="","",AVERAGEIF(Eingabe[Name],Heimbahn[[#This Row],[Name]],Eingabe[Heimbahn 3]))</f>
        <v>127.2</v>
      </c>
      <c r="F30" s="250">
        <f>IF(Heimbahn[[#This Row],[Spiele MP]]="","",AVERAGEIF(Eingabe[Name],Heimbahn[[#This Row],[Name]],Eingabe[Heimbahn 4]))</f>
        <v>132</v>
      </c>
      <c r="G30" s="251">
        <f>IF(Heimbahn[[#This Row],[Spiele MP]]="","",MAX(Heimbahn[[#This Row],[Bahn 1]:[Bahn 4]]))</f>
        <v>132</v>
      </c>
      <c r="H30" s="251">
        <f>IF(Heimbahn[[#This Row],[Spiele MP]]="","",IF(Heimbahn[[#This Row],[Bester Bahn (Schnitt)]]=Heimbahn[[#This Row],[Bahn 1]],1,IF(Heimbahn[[#This Row],[Bester Bahn (Schnitt)]]=Heimbahn[[#This Row],[Bahn 2]],2,IF(Heimbahn[[#This Row],[Bester Bahn (Schnitt)]]=Heimbahn[[#This Row],[Bahn 3]],3,IF(Heimbahn[[#This Row],[Bester Bahn (Schnitt)]]=Heimbahn[[#This Row],[Bahn 4]],4,"")))))</f>
        <v>4</v>
      </c>
      <c r="I30" s="251">
        <f>MIN(Heimbahn[[#This Row],[Bahn 1]:[Bahn 4]])</f>
        <v>121.2</v>
      </c>
      <c r="J30"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2</v>
      </c>
      <c r="K30" s="252">
        <f>IF(Heimbahn[[#This Row],[Bester Bahn (Schnitt)]]="","",Heimbahn[[#This Row],[Bester Bahn (Schnitt)]]-Heimbahn[[#This Row],[Schlechteste Bahn (Schnitt)]])</f>
        <v>10.799999999999997</v>
      </c>
    </row>
    <row r="31" spans="1:20" x14ac:dyDescent="0.3">
      <c r="A31" s="248" t="s">
        <v>487</v>
      </c>
      <c r="B31" s="249" t="str">
        <f>VLOOKUP(Heimbahn[[#This Row],[Name]],AuswertungH[],4,FALSE)</f>
        <v/>
      </c>
      <c r="C31" s="251" t="str">
        <f>IF(Heimbahn[[#This Row],[Spiele MP]]="","",AVERAGEIF(Eingabe[Name],Heimbahn[[#This Row],[Name]],Eingabe[Heimbahn 1]))</f>
        <v/>
      </c>
      <c r="D31" s="250" t="str">
        <f>IF(Heimbahn[[#This Row],[Spiele MP]]="","",AVERAGEIF(Eingabe[Name],Heimbahn[[#This Row],[Name]],Eingabe[Heimbahn 2]))</f>
        <v/>
      </c>
      <c r="E31" s="250" t="str">
        <f>IF(Heimbahn[[#This Row],[Spiele MP]]="","",AVERAGEIF(Eingabe[Name],Heimbahn[[#This Row],[Name]],Eingabe[Heimbahn 3]))</f>
        <v/>
      </c>
      <c r="F31" s="250" t="str">
        <f>IF(Heimbahn[[#This Row],[Spiele MP]]="","",AVERAGEIF(Eingabe[Name],Heimbahn[[#This Row],[Name]],Eingabe[Heimbahn 4]))</f>
        <v/>
      </c>
      <c r="G31" s="251" t="str">
        <f>IF(Heimbahn[[#This Row],[Spiele MP]]="","",MAX(Heimbahn[[#This Row],[Bahn 1]:[Bahn 4]]))</f>
        <v/>
      </c>
      <c r="H31"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31" s="251">
        <f>MIN(Heimbahn[[#This Row],[Bahn 1]:[Bahn 4]])</f>
        <v>0</v>
      </c>
      <c r="J31"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31" s="252" t="str">
        <f>IF(Heimbahn[[#This Row],[Bester Bahn (Schnitt)]]="","",Heimbahn[[#This Row],[Bester Bahn (Schnitt)]]-Heimbahn[[#This Row],[Schlechteste Bahn (Schnitt)]])</f>
        <v/>
      </c>
    </row>
    <row r="32" spans="1:20" x14ac:dyDescent="0.3">
      <c r="A32" s="248" t="s">
        <v>466</v>
      </c>
      <c r="B32" s="249" t="str">
        <f>VLOOKUP(Heimbahn[[#This Row],[Name]],AuswertungH[],4,FALSE)</f>
        <v/>
      </c>
      <c r="C32" s="251" t="str">
        <f>IF(Heimbahn[[#This Row],[Spiele MP]]="","",AVERAGEIF(Eingabe[Name],Heimbahn[[#This Row],[Name]],Eingabe[Heimbahn 1]))</f>
        <v/>
      </c>
      <c r="D32" s="250" t="str">
        <f>IF(Heimbahn[[#This Row],[Spiele MP]]="","",AVERAGEIF(Eingabe[Name],Heimbahn[[#This Row],[Name]],Eingabe[Heimbahn 2]))</f>
        <v/>
      </c>
      <c r="E32" s="250" t="str">
        <f>IF(Heimbahn[[#This Row],[Spiele MP]]="","",AVERAGEIF(Eingabe[Name],Heimbahn[[#This Row],[Name]],Eingabe[Heimbahn 3]))</f>
        <v/>
      </c>
      <c r="F32" s="250" t="str">
        <f>IF(Heimbahn[[#This Row],[Spiele MP]]="","",AVERAGEIF(Eingabe[Name],Heimbahn[[#This Row],[Name]],Eingabe[Heimbahn 4]))</f>
        <v/>
      </c>
      <c r="G32" s="251" t="str">
        <f>IF(Heimbahn[[#This Row],[Spiele MP]]="","",MAX(Heimbahn[[#This Row],[Bahn 1]:[Bahn 4]]))</f>
        <v/>
      </c>
      <c r="H32"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32" s="251">
        <f>MIN(Heimbahn[[#This Row],[Bahn 1]:[Bahn 4]])</f>
        <v>0</v>
      </c>
      <c r="J32"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32" s="252" t="str">
        <f>IF(Heimbahn[[#This Row],[Bester Bahn (Schnitt)]]="","",Heimbahn[[#This Row],[Bester Bahn (Schnitt)]]-Heimbahn[[#This Row],[Schlechteste Bahn (Schnitt)]])</f>
        <v/>
      </c>
    </row>
    <row r="33" spans="1:11" x14ac:dyDescent="0.3">
      <c r="A33" s="248" t="s">
        <v>482</v>
      </c>
      <c r="B33" s="249" t="str">
        <f>VLOOKUP(Heimbahn[[#This Row],[Name]],AuswertungH[],4,FALSE)</f>
        <v/>
      </c>
      <c r="C33" s="251" t="str">
        <f>IF(Heimbahn[[#This Row],[Spiele MP]]="","",AVERAGEIF(Eingabe[Name],Heimbahn[[#This Row],[Name]],Eingabe[Heimbahn 1]))</f>
        <v/>
      </c>
      <c r="D33" s="250" t="str">
        <f>IF(Heimbahn[[#This Row],[Spiele MP]]="","",AVERAGEIF(Eingabe[Name],Heimbahn[[#This Row],[Name]],Eingabe[Heimbahn 2]))</f>
        <v/>
      </c>
      <c r="E33" s="250" t="str">
        <f>IF(Heimbahn[[#This Row],[Spiele MP]]="","",AVERAGEIF(Eingabe[Name],Heimbahn[[#This Row],[Name]],Eingabe[Heimbahn 3]))</f>
        <v/>
      </c>
      <c r="F33" s="250" t="str">
        <f>IF(Heimbahn[[#This Row],[Spiele MP]]="","",AVERAGEIF(Eingabe[Name],Heimbahn[[#This Row],[Name]],Eingabe[Heimbahn 4]))</f>
        <v/>
      </c>
      <c r="G33" s="251" t="str">
        <f>IF(Heimbahn[[#This Row],[Spiele MP]]="","",MAX(Heimbahn[[#This Row],[Bahn 1]:[Bahn 4]]))</f>
        <v/>
      </c>
      <c r="H33"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33" s="251">
        <f>MIN(Heimbahn[[#This Row],[Bahn 1]:[Bahn 4]])</f>
        <v>0</v>
      </c>
      <c r="J33"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33" s="252" t="str">
        <f>IF(Heimbahn[[#This Row],[Bester Bahn (Schnitt)]]="","",Heimbahn[[#This Row],[Bester Bahn (Schnitt)]]-Heimbahn[[#This Row],[Schlechteste Bahn (Schnitt)]])</f>
        <v/>
      </c>
    </row>
    <row r="34" spans="1:11" x14ac:dyDescent="0.3">
      <c r="A34" s="248" t="s">
        <v>461</v>
      </c>
      <c r="B34" s="249">
        <f>VLOOKUP(Heimbahn[[#This Row],[Name]],AuswertungH[],4,FALSE)</f>
        <v>1</v>
      </c>
      <c r="C34" s="251">
        <f>IF(Heimbahn[[#This Row],[Spiele MP]]="","",AVERAGEIF(Eingabe[Name],Heimbahn[[#This Row],[Name]],Eingabe[Heimbahn 1]))</f>
        <v>123</v>
      </c>
      <c r="D34" s="250">
        <f>IF(Heimbahn[[#This Row],[Spiele MP]]="","",AVERAGEIF(Eingabe[Name],Heimbahn[[#This Row],[Name]],Eingabe[Heimbahn 2]))</f>
        <v>131</v>
      </c>
      <c r="E34" s="250">
        <f>IF(Heimbahn[[#This Row],[Spiele MP]]="","",AVERAGEIF(Eingabe[Name],Heimbahn[[#This Row],[Name]],Eingabe[Heimbahn 3]))</f>
        <v>116</v>
      </c>
      <c r="F34" s="250">
        <f>IF(Heimbahn[[#This Row],[Spiele MP]]="","",AVERAGEIF(Eingabe[Name],Heimbahn[[#This Row],[Name]],Eingabe[Heimbahn 4]))</f>
        <v>124</v>
      </c>
      <c r="G34" s="251">
        <f>IF(Heimbahn[[#This Row],[Spiele MP]]="","",MAX(Heimbahn[[#This Row],[Bahn 1]:[Bahn 4]]))</f>
        <v>131</v>
      </c>
      <c r="H34" s="251">
        <f>IF(Heimbahn[[#This Row],[Spiele MP]]="","",IF(Heimbahn[[#This Row],[Bester Bahn (Schnitt)]]=Heimbahn[[#This Row],[Bahn 1]],1,IF(Heimbahn[[#This Row],[Bester Bahn (Schnitt)]]=Heimbahn[[#This Row],[Bahn 2]],2,IF(Heimbahn[[#This Row],[Bester Bahn (Schnitt)]]=Heimbahn[[#This Row],[Bahn 3]],3,IF(Heimbahn[[#This Row],[Bester Bahn (Schnitt)]]=Heimbahn[[#This Row],[Bahn 4]],4,"")))))</f>
        <v>2</v>
      </c>
      <c r="I34" s="251">
        <f>MIN(Heimbahn[[#This Row],[Bahn 1]:[Bahn 4]])</f>
        <v>116</v>
      </c>
      <c r="J34"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3</v>
      </c>
      <c r="K34" s="252">
        <f>IF(Heimbahn[[#This Row],[Bester Bahn (Schnitt)]]="","",Heimbahn[[#This Row],[Bester Bahn (Schnitt)]]-Heimbahn[[#This Row],[Schlechteste Bahn (Schnitt)]])</f>
        <v>15</v>
      </c>
    </row>
    <row r="35" spans="1:11" x14ac:dyDescent="0.3">
      <c r="A35" s="253" t="s">
        <v>483</v>
      </c>
      <c r="B35" s="254" t="str">
        <f>VLOOKUP(Heimbahn[[#This Row],[Name]],AuswertungH[],4,FALSE)</f>
        <v/>
      </c>
      <c r="C35" s="255" t="str">
        <f>IF(Heimbahn[[#This Row],[Spiele MP]]="","",AVERAGEIF(Eingabe[Name],Heimbahn[[#This Row],[Name]],Eingabe[Heimbahn 1]))</f>
        <v/>
      </c>
      <c r="D35" s="256" t="str">
        <f>IF(Heimbahn[[#This Row],[Spiele MP]]="","",AVERAGEIF(Eingabe[Name],Heimbahn[[#This Row],[Name]],Eingabe[Heimbahn 2]))</f>
        <v/>
      </c>
      <c r="E35" s="256" t="str">
        <f>IF(Heimbahn[[#This Row],[Spiele MP]]="","",AVERAGEIF(Eingabe[Name],Heimbahn[[#This Row],[Name]],Eingabe[Heimbahn 3]))</f>
        <v/>
      </c>
      <c r="F35" s="256" t="str">
        <f>IF(Heimbahn[[#This Row],[Spiele MP]]="","",AVERAGEIF(Eingabe[Name],Heimbahn[[#This Row],[Name]],Eingabe[Heimbahn 4]))</f>
        <v/>
      </c>
      <c r="G35" s="255" t="str">
        <f>IF(Heimbahn[[#This Row],[Spiele MP]]="","",MAX(Heimbahn[[#This Row],[Bahn 1]:[Bahn 4]]))</f>
        <v/>
      </c>
      <c r="H35" s="255"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35" s="255">
        <f>MIN(Heimbahn[[#This Row],[Bahn 1]:[Bahn 4]])</f>
        <v>0</v>
      </c>
      <c r="J35" s="255"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35" s="257" t="str">
        <f>IF(Heimbahn[[#This Row],[Bester Bahn (Schnitt)]]="","",Heimbahn[[#This Row],[Bester Bahn (Schnitt)]]-Heimbahn[[#This Row],[Schlechteste Bahn (Schnitt)]])</f>
        <v/>
      </c>
    </row>
    <row r="36" spans="1:11" x14ac:dyDescent="0.3">
      <c r="A36" s="248" t="s">
        <v>460</v>
      </c>
      <c r="B36" s="249">
        <f>VLOOKUP(Heimbahn[[#This Row],[Name]],AuswertungH[],4,FALSE)</f>
        <v>1</v>
      </c>
      <c r="C36" s="251">
        <f>IF(Heimbahn[[#This Row],[Spiele MP]]="","",AVERAGEIF(Eingabe[Name],Heimbahn[[#This Row],[Name]],Eingabe[Heimbahn 1]))</f>
        <v>134</v>
      </c>
      <c r="D36" s="251">
        <f>IF(Heimbahn[[#This Row],[Spiele MP]]="","",AVERAGEIF(Eingabe[Name],Heimbahn[[#This Row],[Name]],Eingabe[Heimbahn 2]))</f>
        <v>147</v>
      </c>
      <c r="E36" s="251">
        <f>IF(Heimbahn[[#This Row],[Spiele MP]]="","",AVERAGEIF(Eingabe[Name],Heimbahn[[#This Row],[Name]],Eingabe[Heimbahn 3]))</f>
        <v>138</v>
      </c>
      <c r="F36" s="251">
        <f>IF(Heimbahn[[#This Row],[Spiele MP]]="","",AVERAGEIF(Eingabe[Name],Heimbahn[[#This Row],[Name]],Eingabe[Heimbahn 4]))</f>
        <v>126</v>
      </c>
      <c r="G36" s="251">
        <f>IF(Heimbahn[[#This Row],[Spiele MP]]="","",MAX(Heimbahn[[#This Row],[Bahn 1]:[Bahn 4]]))</f>
        <v>147</v>
      </c>
      <c r="H36" s="251">
        <f>IF(Heimbahn[[#This Row],[Spiele MP]]="","",IF(Heimbahn[[#This Row],[Bester Bahn (Schnitt)]]=Heimbahn[[#This Row],[Bahn 1]],1,IF(Heimbahn[[#This Row],[Bester Bahn (Schnitt)]]=Heimbahn[[#This Row],[Bahn 2]],2,IF(Heimbahn[[#This Row],[Bester Bahn (Schnitt)]]=Heimbahn[[#This Row],[Bahn 3]],3,IF(Heimbahn[[#This Row],[Bester Bahn (Schnitt)]]=Heimbahn[[#This Row],[Bahn 4]],4,"")))))</f>
        <v>2</v>
      </c>
      <c r="I36" s="251">
        <f>MIN(Heimbahn[[#This Row],[Bahn 1]:[Bahn 4]])</f>
        <v>126</v>
      </c>
      <c r="J36"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4</v>
      </c>
      <c r="K36" s="252">
        <f>IF(Heimbahn[[#This Row],[Bester Bahn (Schnitt)]]="","",Heimbahn[[#This Row],[Bester Bahn (Schnitt)]]-Heimbahn[[#This Row],[Schlechteste Bahn (Schnitt)]])</f>
        <v>21</v>
      </c>
    </row>
    <row r="37" spans="1:11" x14ac:dyDescent="0.3">
      <c r="A37" s="248" t="s">
        <v>465</v>
      </c>
      <c r="B37" s="249">
        <f>VLOOKUP(Heimbahn[[#This Row],[Name]],AuswertungH[],4,FALSE)</f>
        <v>5</v>
      </c>
      <c r="C37" s="251">
        <f>IF(Heimbahn[[#This Row],[Spiele MP]]="","",AVERAGEIF(Eingabe[Name],Heimbahn[[#This Row],[Name]],Eingabe[Heimbahn 1]))</f>
        <v>134.4</v>
      </c>
      <c r="D37" s="251">
        <f>IF(Heimbahn[[#This Row],[Spiele MP]]="","",AVERAGEIF(Eingabe[Name],Heimbahn[[#This Row],[Name]],Eingabe[Heimbahn 2]))</f>
        <v>131.6</v>
      </c>
      <c r="E37" s="251">
        <f>IF(Heimbahn[[#This Row],[Spiele MP]]="","",AVERAGEIF(Eingabe[Name],Heimbahn[[#This Row],[Name]],Eingabe[Heimbahn 3]))</f>
        <v>128.19999999999999</v>
      </c>
      <c r="F37" s="251">
        <f>IF(Heimbahn[[#This Row],[Spiele MP]]="","",AVERAGEIF(Eingabe[Name],Heimbahn[[#This Row],[Name]],Eingabe[Heimbahn 4]))</f>
        <v>128</v>
      </c>
      <c r="G37" s="251">
        <f>IF(Heimbahn[[#This Row],[Spiele MP]]="","",MAX(Heimbahn[[#This Row],[Bahn 1]:[Bahn 4]]))</f>
        <v>134.4</v>
      </c>
      <c r="H37" s="251">
        <f>IF(Heimbahn[[#This Row],[Spiele MP]]="","",IF(Heimbahn[[#This Row],[Bester Bahn (Schnitt)]]=Heimbahn[[#This Row],[Bahn 1]],1,IF(Heimbahn[[#This Row],[Bester Bahn (Schnitt)]]=Heimbahn[[#This Row],[Bahn 2]],2,IF(Heimbahn[[#This Row],[Bester Bahn (Schnitt)]]=Heimbahn[[#This Row],[Bahn 3]],3,IF(Heimbahn[[#This Row],[Bester Bahn (Schnitt)]]=Heimbahn[[#This Row],[Bahn 4]],4,"")))))</f>
        <v>1</v>
      </c>
      <c r="I37" s="251">
        <f>MIN(Heimbahn[[#This Row],[Bahn 1]:[Bahn 4]])</f>
        <v>128</v>
      </c>
      <c r="J37"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4</v>
      </c>
      <c r="K37" s="252">
        <f>IF(Heimbahn[[#This Row],[Bester Bahn (Schnitt)]]="","",Heimbahn[[#This Row],[Bester Bahn (Schnitt)]]-Heimbahn[[#This Row],[Schlechteste Bahn (Schnitt)]])</f>
        <v>6.4000000000000057</v>
      </c>
    </row>
    <row r="38" spans="1:11" x14ac:dyDescent="0.3">
      <c r="A38" s="248" t="s">
        <v>493</v>
      </c>
      <c r="B38" s="249">
        <f>VLOOKUP(Heimbahn[[#This Row],[Name]],AuswertungH[],4,FALSE)</f>
        <v>2</v>
      </c>
      <c r="C38" s="251">
        <f>IF(Heimbahn[[#This Row],[Spiele MP]]="","",AVERAGEIF(Eingabe[Name],Heimbahn[[#This Row],[Name]],Eingabe[Heimbahn 1]))</f>
        <v>112</v>
      </c>
      <c r="D38" s="251">
        <f>IF(Heimbahn[[#This Row],[Spiele MP]]="","",AVERAGEIF(Eingabe[Name],Heimbahn[[#This Row],[Name]],Eingabe[Heimbahn 2]))</f>
        <v>122.5</v>
      </c>
      <c r="E38" s="251">
        <f>IF(Heimbahn[[#This Row],[Spiele MP]]="","",AVERAGEIF(Eingabe[Name],Heimbahn[[#This Row],[Name]],Eingabe[Heimbahn 3]))</f>
        <v>128.5</v>
      </c>
      <c r="F38" s="251">
        <f>IF(Heimbahn[[#This Row],[Spiele MP]]="","",AVERAGEIF(Eingabe[Name],Heimbahn[[#This Row],[Name]],Eingabe[Heimbahn 4]))</f>
        <v>130.5</v>
      </c>
      <c r="G38" s="251">
        <f>IF(Heimbahn[[#This Row],[Spiele MP]]="","",MAX(Heimbahn[[#This Row],[Bahn 1]:[Bahn 4]]))</f>
        <v>130.5</v>
      </c>
      <c r="H38" s="251">
        <f>IF(Heimbahn[[#This Row],[Spiele MP]]="","",IF(Heimbahn[[#This Row],[Bester Bahn (Schnitt)]]=Heimbahn[[#This Row],[Bahn 1]],1,IF(Heimbahn[[#This Row],[Bester Bahn (Schnitt)]]=Heimbahn[[#This Row],[Bahn 2]],2,IF(Heimbahn[[#This Row],[Bester Bahn (Schnitt)]]=Heimbahn[[#This Row],[Bahn 3]],3,IF(Heimbahn[[#This Row],[Bester Bahn (Schnitt)]]=Heimbahn[[#This Row],[Bahn 4]],4,"")))))</f>
        <v>4</v>
      </c>
      <c r="I38" s="251">
        <f>MIN(Heimbahn[[#This Row],[Bahn 1]:[Bahn 4]])</f>
        <v>112</v>
      </c>
      <c r="J38"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1</v>
      </c>
      <c r="K38" s="252">
        <f>IF(Heimbahn[[#This Row],[Bester Bahn (Schnitt)]]="","",Heimbahn[[#This Row],[Bester Bahn (Schnitt)]]-Heimbahn[[#This Row],[Schlechteste Bahn (Schnitt)]])</f>
        <v>18.5</v>
      </c>
    </row>
    <row r="39" spans="1:11" x14ac:dyDescent="0.3">
      <c r="A39" s="248" t="s">
        <v>469</v>
      </c>
      <c r="B39" s="249">
        <f>VLOOKUP(Heimbahn[[#This Row],[Name]],AuswertungH[],4,FALSE)</f>
        <v>9</v>
      </c>
      <c r="C39" s="251">
        <f>IF(Heimbahn[[#This Row],[Spiele MP]]="","",AVERAGEIF(Eingabe[Name],Heimbahn[[#This Row],[Name]],Eingabe[Heimbahn 1]))</f>
        <v>132</v>
      </c>
      <c r="D39" s="251">
        <f>IF(Heimbahn[[#This Row],[Spiele MP]]="","",AVERAGEIF(Eingabe[Name],Heimbahn[[#This Row],[Name]],Eingabe[Heimbahn 2]))</f>
        <v>130.66666666666666</v>
      </c>
      <c r="E39" s="251">
        <f>IF(Heimbahn[[#This Row],[Spiele MP]]="","",AVERAGEIF(Eingabe[Name],Heimbahn[[#This Row],[Name]],Eingabe[Heimbahn 3]))</f>
        <v>133.66666666666666</v>
      </c>
      <c r="F39" s="251">
        <f>IF(Heimbahn[[#This Row],[Spiele MP]]="","",AVERAGEIF(Eingabe[Name],Heimbahn[[#This Row],[Name]],Eingabe[Heimbahn 4]))</f>
        <v>136.66666666666666</v>
      </c>
      <c r="G39" s="251">
        <f>IF(Heimbahn[[#This Row],[Spiele MP]]="","",MAX(Heimbahn[[#This Row],[Bahn 1]:[Bahn 4]]))</f>
        <v>136.66666666666666</v>
      </c>
      <c r="H39" s="251">
        <f>IF(Heimbahn[[#This Row],[Spiele MP]]="","",IF(Heimbahn[[#This Row],[Bester Bahn (Schnitt)]]=Heimbahn[[#This Row],[Bahn 1]],1,IF(Heimbahn[[#This Row],[Bester Bahn (Schnitt)]]=Heimbahn[[#This Row],[Bahn 2]],2,IF(Heimbahn[[#This Row],[Bester Bahn (Schnitt)]]=Heimbahn[[#This Row],[Bahn 3]],3,IF(Heimbahn[[#This Row],[Bester Bahn (Schnitt)]]=Heimbahn[[#This Row],[Bahn 4]],4,"")))))</f>
        <v>4</v>
      </c>
      <c r="I39" s="251">
        <f>MIN(Heimbahn[[#This Row],[Bahn 1]:[Bahn 4]])</f>
        <v>130.66666666666666</v>
      </c>
      <c r="J39"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2</v>
      </c>
      <c r="K39" s="252">
        <f>IF(Heimbahn[[#This Row],[Bester Bahn (Schnitt)]]="","",Heimbahn[[#This Row],[Bester Bahn (Schnitt)]]-Heimbahn[[#This Row],[Schlechteste Bahn (Schnitt)]])</f>
        <v>6</v>
      </c>
    </row>
    <row r="40" spans="1:11" x14ac:dyDescent="0.3">
      <c r="A40" s="248" t="s">
        <v>463</v>
      </c>
      <c r="B40" s="249">
        <f>VLOOKUP(Heimbahn[[#This Row],[Name]],AuswertungH[],4,FALSE)</f>
        <v>1</v>
      </c>
      <c r="C40" s="251">
        <f>IF(Heimbahn[[#This Row],[Spiele MP]]="","",AVERAGEIF(Eingabe[Name],Heimbahn[[#This Row],[Name]],Eingabe[Heimbahn 1]))</f>
        <v>113</v>
      </c>
      <c r="D40" s="251">
        <f>IF(Heimbahn[[#This Row],[Spiele MP]]="","",AVERAGEIF(Eingabe[Name],Heimbahn[[#This Row],[Name]],Eingabe[Heimbahn 2]))</f>
        <v>131</v>
      </c>
      <c r="E40" s="251">
        <f>IF(Heimbahn[[#This Row],[Spiele MP]]="","",AVERAGEIF(Eingabe[Name],Heimbahn[[#This Row],[Name]],Eingabe[Heimbahn 3]))</f>
        <v>106</v>
      </c>
      <c r="F40" s="251">
        <f>IF(Heimbahn[[#This Row],[Spiele MP]]="","",AVERAGEIF(Eingabe[Name],Heimbahn[[#This Row],[Name]],Eingabe[Heimbahn 4]))</f>
        <v>119</v>
      </c>
      <c r="G40" s="251">
        <f>IF(Heimbahn[[#This Row],[Spiele MP]]="","",MAX(Heimbahn[[#This Row],[Bahn 1]:[Bahn 4]]))</f>
        <v>131</v>
      </c>
      <c r="H40" s="251">
        <f>IF(Heimbahn[[#This Row],[Spiele MP]]="","",IF(Heimbahn[[#This Row],[Bester Bahn (Schnitt)]]=Heimbahn[[#This Row],[Bahn 1]],1,IF(Heimbahn[[#This Row],[Bester Bahn (Schnitt)]]=Heimbahn[[#This Row],[Bahn 2]],2,IF(Heimbahn[[#This Row],[Bester Bahn (Schnitt)]]=Heimbahn[[#This Row],[Bahn 3]],3,IF(Heimbahn[[#This Row],[Bester Bahn (Schnitt)]]=Heimbahn[[#This Row],[Bahn 4]],4,"")))))</f>
        <v>2</v>
      </c>
      <c r="I40" s="251">
        <f>MIN(Heimbahn[[#This Row],[Bahn 1]:[Bahn 4]])</f>
        <v>106</v>
      </c>
      <c r="J40"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3</v>
      </c>
      <c r="K40" s="252">
        <f>IF(Heimbahn[[#This Row],[Bester Bahn (Schnitt)]]="","",Heimbahn[[#This Row],[Bester Bahn (Schnitt)]]-Heimbahn[[#This Row],[Schlechteste Bahn (Schnitt)]])</f>
        <v>25</v>
      </c>
    </row>
    <row r="41" spans="1:11" x14ac:dyDescent="0.3">
      <c r="A41" s="248" t="s">
        <v>462</v>
      </c>
      <c r="B41" s="249" t="str">
        <f>VLOOKUP(Heimbahn[[#This Row],[Name]],AuswertungH[],4,FALSE)</f>
        <v/>
      </c>
      <c r="C41" s="251" t="str">
        <f>IF(Heimbahn[[#This Row],[Spiele MP]]="","",AVERAGEIF(Eingabe[Name],Heimbahn[[#This Row],[Name]],Eingabe[Heimbahn 1]))</f>
        <v/>
      </c>
      <c r="D41" s="251" t="str">
        <f>IF(Heimbahn[[#This Row],[Spiele MP]]="","",AVERAGEIF(Eingabe[Name],Heimbahn[[#This Row],[Name]],Eingabe[Heimbahn 2]))</f>
        <v/>
      </c>
      <c r="E41" s="251" t="str">
        <f>IF(Heimbahn[[#This Row],[Spiele MP]]="","",AVERAGEIF(Eingabe[Name],Heimbahn[[#This Row],[Name]],Eingabe[Heimbahn 3]))</f>
        <v/>
      </c>
      <c r="F41" s="251" t="str">
        <f>IF(Heimbahn[[#This Row],[Spiele MP]]="","",AVERAGEIF(Eingabe[Name],Heimbahn[[#This Row],[Name]],Eingabe[Heimbahn 4]))</f>
        <v/>
      </c>
      <c r="G41" s="251" t="str">
        <f>IF(Heimbahn[[#This Row],[Spiele MP]]="","",MAX(Heimbahn[[#This Row],[Bahn 1]:[Bahn 4]]))</f>
        <v/>
      </c>
      <c r="H41"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41" s="251">
        <f>MIN(Heimbahn[[#This Row],[Bahn 1]:[Bahn 4]])</f>
        <v>0</v>
      </c>
      <c r="J41"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41" s="252" t="str">
        <f>IF(Heimbahn[[#This Row],[Bester Bahn (Schnitt)]]="","",Heimbahn[[#This Row],[Bester Bahn (Schnitt)]]-Heimbahn[[#This Row],[Schlechteste Bahn (Schnitt)]])</f>
        <v/>
      </c>
    </row>
    <row r="42" spans="1:11" x14ac:dyDescent="0.3">
      <c r="A42" s="248" t="s">
        <v>494</v>
      </c>
      <c r="B42" s="249">
        <f>VLOOKUP(Heimbahn[[#This Row],[Name]],AuswertungH[],4,FALSE)</f>
        <v>1</v>
      </c>
      <c r="C42" s="251">
        <f>IF(Heimbahn[[#This Row],[Spiele MP]]="","",AVERAGEIF(Eingabe[Name],Heimbahn[[#This Row],[Name]],Eingabe[Heimbahn 1]))</f>
        <v>118</v>
      </c>
      <c r="D42" s="251">
        <f>IF(Heimbahn[[#This Row],[Spiele MP]]="","",AVERAGEIF(Eingabe[Name],Heimbahn[[#This Row],[Name]],Eingabe[Heimbahn 2]))</f>
        <v>115</v>
      </c>
      <c r="E42" s="251">
        <f>IF(Heimbahn[[#This Row],[Spiele MP]]="","",AVERAGEIF(Eingabe[Name],Heimbahn[[#This Row],[Name]],Eingabe[Heimbahn 3]))</f>
        <v>117</v>
      </c>
      <c r="F42" s="251">
        <f>IF(Heimbahn[[#This Row],[Spiele MP]]="","",AVERAGEIF(Eingabe[Name],Heimbahn[[#This Row],[Name]],Eingabe[Heimbahn 4]))</f>
        <v>127</v>
      </c>
      <c r="G42" s="251">
        <f>IF(Heimbahn[[#This Row],[Spiele MP]]="","",MAX(Heimbahn[[#This Row],[Bahn 1]:[Bahn 4]]))</f>
        <v>127</v>
      </c>
      <c r="H42" s="251">
        <f>IF(Heimbahn[[#This Row],[Spiele MP]]="","",IF(Heimbahn[[#This Row],[Bester Bahn (Schnitt)]]=Heimbahn[[#This Row],[Bahn 1]],1,IF(Heimbahn[[#This Row],[Bester Bahn (Schnitt)]]=Heimbahn[[#This Row],[Bahn 2]],2,IF(Heimbahn[[#This Row],[Bester Bahn (Schnitt)]]=Heimbahn[[#This Row],[Bahn 3]],3,IF(Heimbahn[[#This Row],[Bester Bahn (Schnitt)]]=Heimbahn[[#This Row],[Bahn 4]],4,"")))))</f>
        <v>4</v>
      </c>
      <c r="I42" s="251">
        <f>MIN(Heimbahn[[#This Row],[Bahn 1]:[Bahn 4]])</f>
        <v>115</v>
      </c>
      <c r="J42"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2</v>
      </c>
      <c r="K42" s="252">
        <f>IF(Heimbahn[[#This Row],[Bester Bahn (Schnitt)]]="","",Heimbahn[[#This Row],[Bester Bahn (Schnitt)]]-Heimbahn[[#This Row],[Schlechteste Bahn (Schnitt)]])</f>
        <v>12</v>
      </c>
    </row>
    <row r="43" spans="1:11" x14ac:dyDescent="0.3">
      <c r="A43" s="248" t="s">
        <v>455</v>
      </c>
      <c r="B43" s="249">
        <f>VLOOKUP(Heimbahn[[#This Row],[Name]],AuswertungH[],4,FALSE)</f>
        <v>8</v>
      </c>
      <c r="C43" s="251">
        <f>IF(Heimbahn[[#This Row],[Spiele MP]]="","",AVERAGEIF(Eingabe[Name],Heimbahn[[#This Row],[Name]],Eingabe[Heimbahn 1]))</f>
        <v>144</v>
      </c>
      <c r="D43" s="251">
        <f>IF(Heimbahn[[#This Row],[Spiele MP]]="","",AVERAGEIF(Eingabe[Name],Heimbahn[[#This Row],[Name]],Eingabe[Heimbahn 2]))</f>
        <v>137.125</v>
      </c>
      <c r="E43" s="251">
        <f>IF(Heimbahn[[#This Row],[Spiele MP]]="","",AVERAGEIF(Eingabe[Name],Heimbahn[[#This Row],[Name]],Eingabe[Heimbahn 3]))</f>
        <v>144.5</v>
      </c>
      <c r="F43" s="251">
        <f>IF(Heimbahn[[#This Row],[Spiele MP]]="","",AVERAGEIF(Eingabe[Name],Heimbahn[[#This Row],[Name]],Eingabe[Heimbahn 4]))</f>
        <v>144.375</v>
      </c>
      <c r="G43" s="251">
        <f>IF(Heimbahn[[#This Row],[Spiele MP]]="","",MAX(Heimbahn[[#This Row],[Bahn 1]:[Bahn 4]]))</f>
        <v>144.5</v>
      </c>
      <c r="H43" s="251">
        <f>IF(Heimbahn[[#This Row],[Spiele MP]]="","",IF(Heimbahn[[#This Row],[Bester Bahn (Schnitt)]]=Heimbahn[[#This Row],[Bahn 1]],1,IF(Heimbahn[[#This Row],[Bester Bahn (Schnitt)]]=Heimbahn[[#This Row],[Bahn 2]],2,IF(Heimbahn[[#This Row],[Bester Bahn (Schnitt)]]=Heimbahn[[#This Row],[Bahn 3]],3,IF(Heimbahn[[#This Row],[Bester Bahn (Schnitt)]]=Heimbahn[[#This Row],[Bahn 4]],4,"")))))</f>
        <v>3</v>
      </c>
      <c r="I43" s="251">
        <f>MIN(Heimbahn[[#This Row],[Bahn 1]:[Bahn 4]])</f>
        <v>137.125</v>
      </c>
      <c r="J43"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2</v>
      </c>
      <c r="K43" s="252">
        <f>IF(Heimbahn[[#This Row],[Bester Bahn (Schnitt)]]="","",Heimbahn[[#This Row],[Bester Bahn (Schnitt)]]-Heimbahn[[#This Row],[Schlechteste Bahn (Schnitt)]])</f>
        <v>7.375</v>
      </c>
    </row>
    <row r="44" spans="1:11" x14ac:dyDescent="0.3">
      <c r="A44" s="248" t="s">
        <v>485</v>
      </c>
      <c r="B44" s="249" t="str">
        <f>VLOOKUP(Heimbahn[[#This Row],[Name]],AuswertungH[],4,FALSE)</f>
        <v/>
      </c>
      <c r="C44" s="251" t="str">
        <f>IF(Heimbahn[[#This Row],[Spiele MP]]="","",AVERAGEIF(Eingabe[Name],Heimbahn[[#This Row],[Name]],Eingabe[Heimbahn 1]))</f>
        <v/>
      </c>
      <c r="D44" s="251" t="str">
        <f>IF(Heimbahn[[#This Row],[Spiele MP]]="","",AVERAGEIF(Eingabe[Name],Heimbahn[[#This Row],[Name]],Eingabe[Heimbahn 2]))</f>
        <v/>
      </c>
      <c r="E44" s="251" t="str">
        <f>IF(Heimbahn[[#This Row],[Spiele MP]]="","",AVERAGEIF(Eingabe[Name],Heimbahn[[#This Row],[Name]],Eingabe[Heimbahn 3]))</f>
        <v/>
      </c>
      <c r="F44" s="251" t="str">
        <f>IF(Heimbahn[[#This Row],[Spiele MP]]="","",AVERAGEIF(Eingabe[Name],Heimbahn[[#This Row],[Name]],Eingabe[Heimbahn 4]))</f>
        <v/>
      </c>
      <c r="G44" s="251" t="str">
        <f>IF(Heimbahn[[#This Row],[Spiele MP]]="","",MAX(Heimbahn[[#This Row],[Bahn 1]:[Bahn 4]]))</f>
        <v/>
      </c>
      <c r="H44"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44" s="251">
        <f>MIN(Heimbahn[[#This Row],[Bahn 1]:[Bahn 4]])</f>
        <v>0</v>
      </c>
      <c r="J44"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44" s="252" t="str">
        <f>IF(Heimbahn[[#This Row],[Bester Bahn (Schnitt)]]="","",Heimbahn[[#This Row],[Bester Bahn (Schnitt)]]-Heimbahn[[#This Row],[Schlechteste Bahn (Schnitt)]])</f>
        <v/>
      </c>
    </row>
    <row r="45" spans="1:11" x14ac:dyDescent="0.3">
      <c r="A45" s="248" t="s">
        <v>484</v>
      </c>
      <c r="B45" s="249" t="str">
        <f>VLOOKUP(Heimbahn[[#This Row],[Name]],AuswertungH[],4,FALSE)</f>
        <v/>
      </c>
      <c r="C45" s="251" t="str">
        <f>IF(Heimbahn[[#This Row],[Spiele MP]]="","",AVERAGEIF(Eingabe[Name],Heimbahn[[#This Row],[Name]],Eingabe[Heimbahn 1]))</f>
        <v/>
      </c>
      <c r="D45" s="251" t="str">
        <f>IF(Heimbahn[[#This Row],[Spiele MP]]="","",AVERAGEIF(Eingabe[Name],Heimbahn[[#This Row],[Name]],Eingabe[Heimbahn 2]))</f>
        <v/>
      </c>
      <c r="E45" s="251" t="str">
        <f>IF(Heimbahn[[#This Row],[Spiele MP]]="","",AVERAGEIF(Eingabe[Name],Heimbahn[[#This Row],[Name]],Eingabe[Heimbahn 3]))</f>
        <v/>
      </c>
      <c r="F45" s="251" t="str">
        <f>IF(Heimbahn[[#This Row],[Spiele MP]]="","",AVERAGEIF(Eingabe[Name],Heimbahn[[#This Row],[Name]],Eingabe[Heimbahn 4]))</f>
        <v/>
      </c>
      <c r="G45" s="251" t="str">
        <f>IF(Heimbahn[[#This Row],[Spiele MP]]="","",MAX(Heimbahn[[#This Row],[Bahn 1]:[Bahn 4]]))</f>
        <v/>
      </c>
      <c r="H45"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45" s="251">
        <f>MIN(Heimbahn[[#This Row],[Bahn 1]:[Bahn 4]])</f>
        <v>0</v>
      </c>
      <c r="J45"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45" s="252" t="str">
        <f>IF(Heimbahn[[#This Row],[Bester Bahn (Schnitt)]]="","",Heimbahn[[#This Row],[Bester Bahn (Schnitt)]]-Heimbahn[[#This Row],[Schlechteste Bahn (Schnitt)]])</f>
        <v/>
      </c>
    </row>
    <row r="46" spans="1:11" x14ac:dyDescent="0.3">
      <c r="A46" s="248" t="s">
        <v>489</v>
      </c>
      <c r="B46" s="249">
        <f>VLOOKUP(Heimbahn[[#This Row],[Name]],AuswertungH[],4,FALSE)</f>
        <v>9</v>
      </c>
      <c r="C46" s="251">
        <f>IF(Heimbahn[[#This Row],[Spiele MP]]="","",AVERAGEIF(Eingabe[Name],Heimbahn[[#This Row],[Name]],Eingabe[Heimbahn 1]))</f>
        <v>125.66666666666667</v>
      </c>
      <c r="D46" s="251">
        <f>IF(Heimbahn[[#This Row],[Spiele MP]]="","",AVERAGEIF(Eingabe[Name],Heimbahn[[#This Row],[Name]],Eingabe[Heimbahn 2]))</f>
        <v>132.11111111111111</v>
      </c>
      <c r="E46" s="251">
        <f>IF(Heimbahn[[#This Row],[Spiele MP]]="","",AVERAGEIF(Eingabe[Name],Heimbahn[[#This Row],[Name]],Eingabe[Heimbahn 3]))</f>
        <v>131.66666666666666</v>
      </c>
      <c r="F46" s="251">
        <f>IF(Heimbahn[[#This Row],[Spiele MP]]="","",AVERAGEIF(Eingabe[Name],Heimbahn[[#This Row],[Name]],Eingabe[Heimbahn 4]))</f>
        <v>126.33333333333333</v>
      </c>
      <c r="G46" s="251">
        <f>IF(Heimbahn[[#This Row],[Spiele MP]]="","",MAX(Heimbahn[[#This Row],[Bahn 1]:[Bahn 4]]))</f>
        <v>132.11111111111111</v>
      </c>
      <c r="H46" s="251">
        <f>IF(Heimbahn[[#This Row],[Spiele MP]]="","",IF(Heimbahn[[#This Row],[Bester Bahn (Schnitt)]]=Heimbahn[[#This Row],[Bahn 1]],1,IF(Heimbahn[[#This Row],[Bester Bahn (Schnitt)]]=Heimbahn[[#This Row],[Bahn 2]],2,IF(Heimbahn[[#This Row],[Bester Bahn (Schnitt)]]=Heimbahn[[#This Row],[Bahn 3]],3,IF(Heimbahn[[#This Row],[Bester Bahn (Schnitt)]]=Heimbahn[[#This Row],[Bahn 4]],4,"")))))</f>
        <v>2</v>
      </c>
      <c r="I46" s="251">
        <f>MIN(Heimbahn[[#This Row],[Bahn 1]:[Bahn 4]])</f>
        <v>125.66666666666667</v>
      </c>
      <c r="J46"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1</v>
      </c>
      <c r="K46" s="252">
        <f>IF(Heimbahn[[#This Row],[Bester Bahn (Schnitt)]]="","",Heimbahn[[#This Row],[Bester Bahn (Schnitt)]]-Heimbahn[[#This Row],[Schlechteste Bahn (Schnitt)]])</f>
        <v>6.4444444444444429</v>
      </c>
    </row>
    <row r="47" spans="1:11" x14ac:dyDescent="0.3">
      <c r="A47" s="248" t="s">
        <v>490</v>
      </c>
      <c r="B47" s="249">
        <f>VLOOKUP(Heimbahn[[#This Row],[Name]],AuswertungH[],4,FALSE)</f>
        <v>3</v>
      </c>
      <c r="C47" s="251">
        <f>IF(Heimbahn[[#This Row],[Spiele MP]]="","",AVERAGEIF(Eingabe[Name],Heimbahn[[#This Row],[Name]],Eingabe[Heimbahn 1]))</f>
        <v>117.33333333333333</v>
      </c>
      <c r="D47" s="251">
        <f>IF(Heimbahn[[#This Row],[Spiele MP]]="","",AVERAGEIF(Eingabe[Name],Heimbahn[[#This Row],[Name]],Eingabe[Heimbahn 2]))</f>
        <v>124.66666666666667</v>
      </c>
      <c r="E47" s="251">
        <f>IF(Heimbahn[[#This Row],[Spiele MP]]="","",AVERAGEIF(Eingabe[Name],Heimbahn[[#This Row],[Name]],Eingabe[Heimbahn 3]))</f>
        <v>114</v>
      </c>
      <c r="F47" s="251">
        <f>IF(Heimbahn[[#This Row],[Spiele MP]]="","",AVERAGEIF(Eingabe[Name],Heimbahn[[#This Row],[Name]],Eingabe[Heimbahn 4]))</f>
        <v>122.33333333333333</v>
      </c>
      <c r="G47" s="251">
        <f>IF(Heimbahn[[#This Row],[Spiele MP]]="","",MAX(Heimbahn[[#This Row],[Bahn 1]:[Bahn 4]]))</f>
        <v>124.66666666666667</v>
      </c>
      <c r="H47" s="251">
        <f>IF(Heimbahn[[#This Row],[Spiele MP]]="","",IF(Heimbahn[[#This Row],[Bester Bahn (Schnitt)]]=Heimbahn[[#This Row],[Bahn 1]],1,IF(Heimbahn[[#This Row],[Bester Bahn (Schnitt)]]=Heimbahn[[#This Row],[Bahn 2]],2,IF(Heimbahn[[#This Row],[Bester Bahn (Schnitt)]]=Heimbahn[[#This Row],[Bahn 3]],3,IF(Heimbahn[[#This Row],[Bester Bahn (Schnitt)]]=Heimbahn[[#This Row],[Bahn 4]],4,"")))))</f>
        <v>2</v>
      </c>
      <c r="I47" s="251">
        <f>MIN(Heimbahn[[#This Row],[Bahn 1]:[Bahn 4]])</f>
        <v>114</v>
      </c>
      <c r="J47"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3</v>
      </c>
      <c r="K47" s="252">
        <f>IF(Heimbahn[[#This Row],[Bester Bahn (Schnitt)]]="","",Heimbahn[[#This Row],[Bester Bahn (Schnitt)]]-Heimbahn[[#This Row],[Schlechteste Bahn (Schnitt)]])</f>
        <v>10.666666666666671</v>
      </c>
    </row>
    <row r="48" spans="1:11" x14ac:dyDescent="0.3">
      <c r="A48" s="248" t="s">
        <v>492</v>
      </c>
      <c r="B48" s="249">
        <f>VLOOKUP(Heimbahn[[#This Row],[Name]],AuswertungH[],4,FALSE)</f>
        <v>3</v>
      </c>
      <c r="C48" s="251">
        <f>IF(Heimbahn[[#This Row],[Spiele MP]]="","",AVERAGEIF(Eingabe[Name],Heimbahn[[#This Row],[Name]],Eingabe[Heimbahn 1]))</f>
        <v>136.66666666666666</v>
      </c>
      <c r="D48" s="251">
        <f>IF(Heimbahn[[#This Row],[Spiele MP]]="","",AVERAGEIF(Eingabe[Name],Heimbahn[[#This Row],[Name]],Eingabe[Heimbahn 2]))</f>
        <v>127.33333333333333</v>
      </c>
      <c r="E48" s="251">
        <f>IF(Heimbahn[[#This Row],[Spiele MP]]="","",AVERAGEIF(Eingabe[Name],Heimbahn[[#This Row],[Name]],Eingabe[Heimbahn 3]))</f>
        <v>130</v>
      </c>
      <c r="F48" s="251">
        <f>IF(Heimbahn[[#This Row],[Spiele MP]]="","",AVERAGEIF(Eingabe[Name],Heimbahn[[#This Row],[Name]],Eingabe[Heimbahn 4]))</f>
        <v>121.33333333333333</v>
      </c>
      <c r="G48" s="251">
        <f>IF(Heimbahn[[#This Row],[Spiele MP]]="","",MAX(Heimbahn[[#This Row],[Bahn 1]:[Bahn 4]]))</f>
        <v>136.66666666666666</v>
      </c>
      <c r="H48" s="251">
        <f>IF(Heimbahn[[#This Row],[Spiele MP]]="","",IF(Heimbahn[[#This Row],[Bester Bahn (Schnitt)]]=Heimbahn[[#This Row],[Bahn 1]],1,IF(Heimbahn[[#This Row],[Bester Bahn (Schnitt)]]=Heimbahn[[#This Row],[Bahn 2]],2,IF(Heimbahn[[#This Row],[Bester Bahn (Schnitt)]]=Heimbahn[[#This Row],[Bahn 3]],3,IF(Heimbahn[[#This Row],[Bester Bahn (Schnitt)]]=Heimbahn[[#This Row],[Bahn 4]],4,"")))))</f>
        <v>1</v>
      </c>
      <c r="I48" s="251">
        <f>MIN(Heimbahn[[#This Row],[Bahn 1]:[Bahn 4]])</f>
        <v>121.33333333333333</v>
      </c>
      <c r="J48"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4</v>
      </c>
      <c r="K48" s="252">
        <f>IF(Heimbahn[[#This Row],[Bester Bahn (Schnitt)]]="","",Heimbahn[[#This Row],[Bester Bahn (Schnitt)]]-Heimbahn[[#This Row],[Schlechteste Bahn (Schnitt)]])</f>
        <v>15.333333333333329</v>
      </c>
    </row>
    <row r="49" spans="1:11" x14ac:dyDescent="0.3">
      <c r="A49" s="248" t="s">
        <v>6</v>
      </c>
      <c r="B49" s="249">
        <f>VLOOKUP(Heimbahn[[#This Row],[Name]],AuswertungH[],4,FALSE)</f>
        <v>9</v>
      </c>
      <c r="C49" s="251">
        <f>IF(Heimbahn[[#This Row],[Spiele MP]]="","",AVERAGEIF(Eingabe[Name],Heimbahn[[#This Row],[Name]],Eingabe[Heimbahn 1]))</f>
        <v>137.33333333333334</v>
      </c>
      <c r="D49" s="251">
        <f>IF(Heimbahn[[#This Row],[Spiele MP]]="","",AVERAGEIF(Eingabe[Name],Heimbahn[[#This Row],[Name]],Eingabe[Heimbahn 2]))</f>
        <v>133.11111111111111</v>
      </c>
      <c r="E49" s="251">
        <f>IF(Heimbahn[[#This Row],[Spiele MP]]="","",AVERAGEIF(Eingabe[Name],Heimbahn[[#This Row],[Name]],Eingabe[Heimbahn 3]))</f>
        <v>131.66666666666666</v>
      </c>
      <c r="F49" s="251">
        <f>IF(Heimbahn[[#This Row],[Spiele MP]]="","",AVERAGEIF(Eingabe[Name],Heimbahn[[#This Row],[Name]],Eingabe[Heimbahn 4]))</f>
        <v>127.33333333333333</v>
      </c>
      <c r="G49" s="251">
        <f>IF(Heimbahn[[#This Row],[Spiele MP]]="","",MAX(Heimbahn[[#This Row],[Bahn 1]:[Bahn 4]]))</f>
        <v>137.33333333333334</v>
      </c>
      <c r="H49" s="251">
        <f>IF(Heimbahn[[#This Row],[Spiele MP]]="","",IF(Heimbahn[[#This Row],[Bester Bahn (Schnitt)]]=Heimbahn[[#This Row],[Bahn 1]],1,IF(Heimbahn[[#This Row],[Bester Bahn (Schnitt)]]=Heimbahn[[#This Row],[Bahn 2]],2,IF(Heimbahn[[#This Row],[Bester Bahn (Schnitt)]]=Heimbahn[[#This Row],[Bahn 3]],3,IF(Heimbahn[[#This Row],[Bester Bahn (Schnitt)]]=Heimbahn[[#This Row],[Bahn 4]],4,"")))))</f>
        <v>1</v>
      </c>
      <c r="I49" s="251">
        <f>MIN(Heimbahn[[#This Row],[Bahn 1]:[Bahn 4]])</f>
        <v>127.33333333333333</v>
      </c>
      <c r="J49"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4</v>
      </c>
      <c r="K49" s="252">
        <f>IF(Heimbahn[[#This Row],[Bester Bahn (Schnitt)]]="","",Heimbahn[[#This Row],[Bester Bahn (Schnitt)]]-Heimbahn[[#This Row],[Schlechteste Bahn (Schnitt)]])</f>
        <v>10.000000000000014</v>
      </c>
    </row>
    <row r="50" spans="1:11" x14ac:dyDescent="0.3">
      <c r="A50" s="248" t="s">
        <v>12</v>
      </c>
      <c r="B50" s="249">
        <f>VLOOKUP(Heimbahn[[#This Row],[Name]],AuswertungH[],4,FALSE)</f>
        <v>5</v>
      </c>
      <c r="C50" s="251">
        <f>IF(Heimbahn[[#This Row],[Spiele MP]]="","",AVERAGEIF(Eingabe[Name],Heimbahn[[#This Row],[Name]],Eingabe[Heimbahn 1]))</f>
        <v>127</v>
      </c>
      <c r="D50" s="251">
        <f>IF(Heimbahn[[#This Row],[Spiele MP]]="","",AVERAGEIF(Eingabe[Name],Heimbahn[[#This Row],[Name]],Eingabe[Heimbahn 2]))</f>
        <v>131.80000000000001</v>
      </c>
      <c r="E50" s="251">
        <f>IF(Heimbahn[[#This Row],[Spiele MP]]="","",AVERAGEIF(Eingabe[Name],Heimbahn[[#This Row],[Name]],Eingabe[Heimbahn 3]))</f>
        <v>127</v>
      </c>
      <c r="F50" s="251">
        <f>IF(Heimbahn[[#This Row],[Spiele MP]]="","",AVERAGEIF(Eingabe[Name],Heimbahn[[#This Row],[Name]],Eingabe[Heimbahn 4]))</f>
        <v>127.2</v>
      </c>
      <c r="G50" s="251">
        <f>IF(Heimbahn[[#This Row],[Spiele MP]]="","",MAX(Heimbahn[[#This Row],[Bahn 1]:[Bahn 4]]))</f>
        <v>131.80000000000001</v>
      </c>
      <c r="H50" s="251">
        <f>IF(Heimbahn[[#This Row],[Spiele MP]]="","",IF(Heimbahn[[#This Row],[Bester Bahn (Schnitt)]]=Heimbahn[[#This Row],[Bahn 1]],1,IF(Heimbahn[[#This Row],[Bester Bahn (Schnitt)]]=Heimbahn[[#This Row],[Bahn 2]],2,IF(Heimbahn[[#This Row],[Bester Bahn (Schnitt)]]=Heimbahn[[#This Row],[Bahn 3]],3,IF(Heimbahn[[#This Row],[Bester Bahn (Schnitt)]]=Heimbahn[[#This Row],[Bahn 4]],4,"")))))</f>
        <v>2</v>
      </c>
      <c r="I50" s="251">
        <f>MIN(Heimbahn[[#This Row],[Bahn 1]:[Bahn 4]])</f>
        <v>127</v>
      </c>
      <c r="J50"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1</v>
      </c>
      <c r="K50" s="252">
        <f>IF(Heimbahn[[#This Row],[Bester Bahn (Schnitt)]]="","",Heimbahn[[#This Row],[Bester Bahn (Schnitt)]]-Heimbahn[[#This Row],[Schlechteste Bahn (Schnitt)]])</f>
        <v>4.8000000000000114</v>
      </c>
    </row>
    <row r="51" spans="1:11" x14ac:dyDescent="0.3">
      <c r="A51" s="248" t="s">
        <v>488</v>
      </c>
      <c r="B51" s="249" t="str">
        <f>VLOOKUP(Heimbahn[[#This Row],[Name]],AuswertungH[],4,FALSE)</f>
        <v/>
      </c>
      <c r="C51" s="251" t="str">
        <f>IF(Heimbahn[[#This Row],[Spiele MP]]="","",AVERAGEIF(Eingabe[Name],Heimbahn[[#This Row],[Name]],Eingabe[Heimbahn 1]))</f>
        <v/>
      </c>
      <c r="D51" s="251" t="str">
        <f>IF(Heimbahn[[#This Row],[Spiele MP]]="","",AVERAGEIF(Eingabe[Name],Heimbahn[[#This Row],[Name]],Eingabe[Heimbahn 2]))</f>
        <v/>
      </c>
      <c r="E51" s="251" t="str">
        <f>IF(Heimbahn[[#This Row],[Spiele MP]]="","",AVERAGEIF(Eingabe[Name],Heimbahn[[#This Row],[Name]],Eingabe[Heimbahn 3]))</f>
        <v/>
      </c>
      <c r="F51" s="251" t="str">
        <f>IF(Heimbahn[[#This Row],[Spiele MP]]="","",AVERAGEIF(Eingabe[Name],Heimbahn[[#This Row],[Name]],Eingabe[Heimbahn 4]))</f>
        <v/>
      </c>
      <c r="G51" s="251" t="str">
        <f>IF(Heimbahn[[#This Row],[Spiele MP]]="","",MAX(Heimbahn[[#This Row],[Bahn 1]:[Bahn 4]]))</f>
        <v/>
      </c>
      <c r="H51"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51" s="251">
        <f>MIN(Heimbahn[[#This Row],[Bahn 1]:[Bahn 4]])</f>
        <v>0</v>
      </c>
      <c r="J51"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51" s="252" t="str">
        <f>IF(Heimbahn[[#This Row],[Bester Bahn (Schnitt)]]="","",Heimbahn[[#This Row],[Bester Bahn (Schnitt)]]-Heimbahn[[#This Row],[Schlechteste Bahn (Schnitt)]])</f>
        <v/>
      </c>
    </row>
    <row r="52" spans="1:11" x14ac:dyDescent="0.3">
      <c r="A52" s="248" t="s">
        <v>689</v>
      </c>
      <c r="B52" s="249">
        <f>VLOOKUP(Heimbahn[[#This Row],[Name]],AuswertungH[],4,FALSE)</f>
        <v>5</v>
      </c>
      <c r="C52" s="251">
        <f>IF(Heimbahn[[#This Row],[Spiele MP]]="","",AVERAGEIF(Eingabe[Name],Heimbahn[[#This Row],[Name]],Eingabe[Heimbahn 1]))</f>
        <v>126.6</v>
      </c>
      <c r="D52" s="251">
        <f>IF(Heimbahn[[#This Row],[Spiele MP]]="","",AVERAGEIF(Eingabe[Name],Heimbahn[[#This Row],[Name]],Eingabe[Heimbahn 2]))</f>
        <v>129</v>
      </c>
      <c r="E52" s="251">
        <f>IF(Heimbahn[[#This Row],[Spiele MP]]="","",AVERAGEIF(Eingabe[Name],Heimbahn[[#This Row],[Name]],Eingabe[Heimbahn 3]))</f>
        <v>131.80000000000001</v>
      </c>
      <c r="F52" s="251">
        <f>IF(Heimbahn[[#This Row],[Spiele MP]]="","",AVERAGEIF(Eingabe[Name],Heimbahn[[#This Row],[Name]],Eingabe[Heimbahn 4]))</f>
        <v>123.8</v>
      </c>
      <c r="G52" s="251">
        <f>IF(Heimbahn[[#This Row],[Spiele MP]]="","",MAX(Heimbahn[[#This Row],[Bahn 1]:[Bahn 4]]))</f>
        <v>131.80000000000001</v>
      </c>
      <c r="H52" s="251">
        <f>IF(Heimbahn[[#This Row],[Spiele MP]]="","",IF(Heimbahn[[#This Row],[Bester Bahn (Schnitt)]]=Heimbahn[[#This Row],[Bahn 1]],1,IF(Heimbahn[[#This Row],[Bester Bahn (Schnitt)]]=Heimbahn[[#This Row],[Bahn 2]],2,IF(Heimbahn[[#This Row],[Bester Bahn (Schnitt)]]=Heimbahn[[#This Row],[Bahn 3]],3,IF(Heimbahn[[#This Row],[Bester Bahn (Schnitt)]]=Heimbahn[[#This Row],[Bahn 4]],4,"")))))</f>
        <v>3</v>
      </c>
      <c r="I52" s="251">
        <f>MIN(Heimbahn[[#This Row],[Bahn 1]:[Bahn 4]])</f>
        <v>123.8</v>
      </c>
      <c r="J52" s="251">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4</v>
      </c>
      <c r="K52" s="252">
        <f>IF(Heimbahn[[#This Row],[Bester Bahn (Schnitt)]]="","",Heimbahn[[#This Row],[Bester Bahn (Schnitt)]]-Heimbahn[[#This Row],[Schlechteste Bahn (Schnitt)]])</f>
        <v>8.0000000000000142</v>
      </c>
    </row>
  </sheetData>
  <mergeCells count="2">
    <mergeCell ref="M1:P1"/>
    <mergeCell ref="Q1:T1"/>
  </mergeCells>
  <conditionalFormatting sqref="C3:F52">
    <cfRule type="cellIs" dxfId="7" priority="1" operator="greaterThanOrEqual">
      <formula>150</formula>
    </cfRule>
    <cfRule type="cellIs" dxfId="6" priority="2" operator="greaterThanOrEqual">
      <formula>140</formula>
    </cfRule>
    <cfRule type="cellIs" dxfId="5" priority="3" operator="greaterThanOrEqual">
      <formula>130</formula>
    </cfRule>
    <cfRule type="cellIs" dxfId="4" priority="4" operator="greaterThanOrEqual">
      <formula>120</formula>
    </cfRule>
    <cfRule type="cellIs" dxfId="3" priority="5" operator="greaterThanOrEqual">
      <formula>110</formula>
    </cfRule>
    <cfRule type="cellIs" dxfId="2" priority="6" operator="greaterThanOrEqual">
      <formula>100</formula>
    </cfRule>
    <cfRule type="cellIs" dxfId="1" priority="7" operator="lessThan">
      <formula>100</formula>
    </cfRule>
  </conditionalFormatting>
  <pageMargins left="0.7" right="0.7" top="0.78740157499999996" bottom="0.78740157499999996"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7DB1B-CF3B-42B7-A0E5-A49B41AA7D08}">
  <dimension ref="A1:AU51"/>
  <sheetViews>
    <sheetView workbookViewId="0"/>
  </sheetViews>
  <sheetFormatPr baseColWidth="10" defaultColWidth="3" defaultRowHeight="14.4" x14ac:dyDescent="0.3"/>
  <cols>
    <col min="1" max="1" width="20.44140625" bestFit="1" customWidth="1"/>
    <col min="2" max="2" width="8.33203125" bestFit="1" customWidth="1"/>
    <col min="3" max="3" width="14.109375" bestFit="1" customWidth="1"/>
    <col min="4" max="4" width="7.109375" bestFit="1" customWidth="1"/>
    <col min="5" max="5" width="11.44140625" bestFit="1" customWidth="1"/>
    <col min="6" max="6" width="5.44140625" customWidth="1"/>
    <col min="7" max="7" width="10.21875" bestFit="1" customWidth="1"/>
    <col min="8" max="8" width="4.6640625" bestFit="1" customWidth="1"/>
    <col min="9" max="9" width="9" bestFit="1" customWidth="1"/>
    <col min="10" max="10" width="4.6640625" bestFit="1" customWidth="1"/>
    <col min="11" max="11" width="10.21875" bestFit="1" customWidth="1"/>
    <col min="13" max="13" width="20.44140625" bestFit="1" customWidth="1"/>
    <col min="14" max="14" width="14.109375" bestFit="1" customWidth="1"/>
    <col min="15" max="15" width="20" bestFit="1" customWidth="1"/>
    <col min="16" max="16" width="3.5546875" bestFit="1" customWidth="1"/>
    <col min="17" max="17" width="7.77734375" bestFit="1" customWidth="1"/>
    <col min="18" max="18" width="5.88671875" bestFit="1" customWidth="1"/>
    <col min="19" max="19" width="7.77734375" bestFit="1" customWidth="1"/>
    <col min="20" max="20" width="5.88671875" bestFit="1" customWidth="1"/>
    <col min="21" max="21" width="7.77734375" bestFit="1" customWidth="1"/>
    <col min="22" max="22" width="3.5546875" bestFit="1" customWidth="1"/>
    <col min="23" max="23" width="7.77734375" bestFit="1" customWidth="1"/>
    <col min="25" max="25" width="20.44140625" bestFit="1" customWidth="1"/>
    <col min="26" max="26" width="17" bestFit="1" customWidth="1"/>
    <col min="27" max="27" width="22.88671875" bestFit="1" customWidth="1"/>
    <col min="28" max="28" width="5.88671875" bestFit="1" customWidth="1"/>
    <col min="29" max="29" width="7.88671875" bestFit="1" customWidth="1"/>
    <col min="30" max="30" width="5.88671875" bestFit="1" customWidth="1"/>
    <col min="31" max="31" width="7.88671875" bestFit="1" customWidth="1"/>
    <col min="32" max="32" width="5.88671875" bestFit="1" customWidth="1"/>
    <col min="33" max="33" width="7.88671875" bestFit="1" customWidth="1"/>
    <col min="34" max="34" width="3.6640625" bestFit="1" customWidth="1"/>
    <col min="35" max="35" width="7.88671875" bestFit="1" customWidth="1"/>
    <col min="37" max="37" width="20.44140625" bestFit="1" customWidth="1"/>
    <col min="38" max="38" width="17" bestFit="1" customWidth="1"/>
    <col min="39" max="39" width="22.88671875" bestFit="1" customWidth="1"/>
    <col min="40" max="40" width="3.6640625" bestFit="1" customWidth="1"/>
    <col min="41" max="41" width="7.77734375" bestFit="1" customWidth="1"/>
    <col min="42" max="42" width="4.6640625" bestFit="1" customWidth="1"/>
    <col min="43" max="43" width="7.77734375" bestFit="1" customWidth="1"/>
    <col min="44" max="44" width="4.6640625" bestFit="1" customWidth="1"/>
    <col min="45" max="45" width="7.77734375" bestFit="1" customWidth="1"/>
    <col min="46" max="46" width="3.6640625" bestFit="1" customWidth="1"/>
    <col min="47" max="47" width="7.77734375" bestFit="1" customWidth="1"/>
  </cols>
  <sheetData>
    <row r="1" spans="1:47" ht="15.6" x14ac:dyDescent="0.3">
      <c r="A1" s="337" t="s">
        <v>26</v>
      </c>
      <c r="B1" s="484" t="s">
        <v>558</v>
      </c>
      <c r="C1" s="485"/>
      <c r="D1" s="485"/>
      <c r="E1" s="485"/>
      <c r="F1" s="485"/>
      <c r="G1" s="485"/>
      <c r="H1" s="485"/>
      <c r="I1" s="485"/>
      <c r="J1" s="485"/>
      <c r="K1" s="485"/>
      <c r="M1" s="337" t="s">
        <v>26</v>
      </c>
      <c r="N1" s="484" t="s">
        <v>579</v>
      </c>
      <c r="O1" s="485"/>
      <c r="P1" s="485"/>
      <c r="Q1" s="485"/>
      <c r="R1" s="485"/>
      <c r="S1" s="485"/>
      <c r="T1" s="485"/>
      <c r="U1" s="485"/>
      <c r="V1" s="485"/>
      <c r="W1" s="485"/>
      <c r="Y1" s="337" t="s">
        <v>26</v>
      </c>
      <c r="Z1" s="484" t="s">
        <v>22</v>
      </c>
      <c r="AA1" s="485"/>
      <c r="AB1" s="485"/>
      <c r="AC1" s="485"/>
      <c r="AD1" s="485"/>
      <c r="AE1" s="485"/>
      <c r="AF1" s="485"/>
      <c r="AG1" s="485"/>
      <c r="AH1" s="485"/>
      <c r="AI1" s="485"/>
      <c r="AK1" s="337" t="s">
        <v>26</v>
      </c>
      <c r="AL1" s="484" t="s">
        <v>23</v>
      </c>
      <c r="AM1" s="485"/>
      <c r="AN1" s="485"/>
      <c r="AO1" s="485"/>
      <c r="AP1" s="485"/>
      <c r="AQ1" s="485"/>
      <c r="AR1" s="485"/>
      <c r="AS1" s="485"/>
      <c r="AT1" s="485"/>
      <c r="AU1" s="485"/>
    </row>
    <row r="2" spans="1:47" ht="15.6" x14ac:dyDescent="0.3">
      <c r="A2" s="338" t="s">
        <v>13</v>
      </c>
      <c r="B2" s="339" t="s">
        <v>63</v>
      </c>
      <c r="C2" s="339" t="s">
        <v>580</v>
      </c>
      <c r="D2" s="342" t="s">
        <v>32</v>
      </c>
      <c r="E2" s="342" t="s">
        <v>581</v>
      </c>
      <c r="F2" s="342" t="s">
        <v>33</v>
      </c>
      <c r="G2" s="342" t="s">
        <v>582</v>
      </c>
      <c r="H2" s="342" t="s">
        <v>34</v>
      </c>
      <c r="I2" s="342" t="s">
        <v>583</v>
      </c>
      <c r="J2" s="342" t="s">
        <v>35</v>
      </c>
      <c r="K2" s="343" t="s">
        <v>584</v>
      </c>
      <c r="M2" s="338" t="s">
        <v>13</v>
      </c>
      <c r="N2" s="339" t="s">
        <v>573</v>
      </c>
      <c r="O2" s="339" t="s">
        <v>574</v>
      </c>
      <c r="P2" s="342" t="s">
        <v>561</v>
      </c>
      <c r="Q2" s="342" t="s">
        <v>575</v>
      </c>
      <c r="R2" s="342" t="s">
        <v>562</v>
      </c>
      <c r="S2" s="342" t="s">
        <v>576</v>
      </c>
      <c r="T2" s="342" t="s">
        <v>563</v>
      </c>
      <c r="U2" s="342" t="s">
        <v>577</v>
      </c>
      <c r="V2" s="342" t="s">
        <v>564</v>
      </c>
      <c r="W2" s="343" t="s">
        <v>578</v>
      </c>
      <c r="Y2" s="338" t="s">
        <v>13</v>
      </c>
      <c r="Z2" s="339" t="s">
        <v>586</v>
      </c>
      <c r="AA2" s="339" t="s">
        <v>585</v>
      </c>
      <c r="AB2" s="342" t="s">
        <v>565</v>
      </c>
      <c r="AC2" s="342" t="s">
        <v>587</v>
      </c>
      <c r="AD2" s="342" t="s">
        <v>566</v>
      </c>
      <c r="AE2" s="342" t="s">
        <v>588</v>
      </c>
      <c r="AF2" s="342" t="s">
        <v>567</v>
      </c>
      <c r="AG2" s="342" t="s">
        <v>589</v>
      </c>
      <c r="AH2" s="342" t="s">
        <v>568</v>
      </c>
      <c r="AI2" s="343" t="s">
        <v>590</v>
      </c>
      <c r="AK2" s="338" t="s">
        <v>13</v>
      </c>
      <c r="AL2" s="339" t="s">
        <v>593</v>
      </c>
      <c r="AM2" s="339" t="s">
        <v>594</v>
      </c>
      <c r="AN2" s="342" t="s">
        <v>569</v>
      </c>
      <c r="AO2" s="342" t="s">
        <v>595</v>
      </c>
      <c r="AP2" s="342" t="s">
        <v>570</v>
      </c>
      <c r="AQ2" s="342" t="s">
        <v>596</v>
      </c>
      <c r="AR2" s="342" t="s">
        <v>571</v>
      </c>
      <c r="AS2" s="342" t="s">
        <v>597</v>
      </c>
      <c r="AT2" s="342" t="s">
        <v>572</v>
      </c>
      <c r="AU2" s="343" t="s">
        <v>598</v>
      </c>
    </row>
    <row r="3" spans="1:47" ht="15.6" x14ac:dyDescent="0.3">
      <c r="A3" s="335" t="s">
        <v>457</v>
      </c>
      <c r="B3" s="189" t="str">
        <f>IFERROR(ROUND(IF($A$1="Gesamt",AVERAGEIF(Eingabe[Name],Bahnen[[#This Row],[Name]],Eingabe[GES]),IF($A$1="Heim",AVERAGEIFS(Eingabe[GES],Eingabe[Name],Bahnen[[#This Row],[Name]],Eingabe[Wo],"H"),IF($A$1="Auswärts",AVERAGEIFS(Eingabe[GES],Eingabe[Name],Bahnen[[#This Row],[Name]],Eingabe[Wo],"A"),""))),0),"")</f>
        <v/>
      </c>
      <c r="C3" s="189" t="str">
        <f>IFERROR(Bahnen[[#This Row],[Schnitt]]/4,"")</f>
        <v/>
      </c>
      <c r="D3" s="189" t="str">
        <f>IFERROR(IF($A$1="Gesamt",AVERAGEIF(Eingabe[Name],Bahnen[[#This Row],[Name]],Eingabe[S1]),IF($A$1="Heim",AVERAGEIFS(Eingabe[S-NR],Eingabe[Name],Bahnen[[#This Row],[Name]],Eingabe[Wo],"H"),IF($A$1="Auswärts",AVERAGEIFS(Eingabe[S1],Eingabe[Name],Bahnen[[#This Row],[Name]],Eingabe[Wo],"A"),""))),"")</f>
        <v/>
      </c>
      <c r="E3" s="189" t="str">
        <f>IFERROR(ROUND(Bahnen[[#This Row],[S1]]-Bahnen[[#This Row],[Bahn Schnitt]],1),"")</f>
        <v/>
      </c>
      <c r="F3" s="189" t="str">
        <f>IFERROR(IF($A$1="Gesamt",AVERAGEIF(Eingabe[Name],Bahnen[[#This Row],[Name]],Eingabe[S2]),IF($A$1="Heim",AVERAGEIFS(Eingabe[S2],Eingabe[Name],Bahnen[[#This Row],[Name]],Eingabe[Wo],"H"),IF($A$1="Auswärts",AVERAGEIFS(Eingabe[S2],Eingabe[Name],Bahnen[[#This Row],[Name]],Eingabe[Wo],"A"),""))),"")</f>
        <v/>
      </c>
      <c r="G3" s="189" t="str">
        <f>IFERROR(ROUND(Bahnen[[#This Row],[S2]]-Bahnen[[#This Row],[Bahn Schnitt]],1),"")</f>
        <v/>
      </c>
      <c r="H3" s="189" t="str">
        <f>IFERROR(IF($A$1="Gesamt",AVERAGEIF(Eingabe[Name],Bahnen[[#This Row],[Name]],Eingabe[S3]),IF($A$1="Heim",AVERAGEIFS(Eingabe[S3],Eingabe[Name],Bahnen[[#This Row],[Name]],Eingabe[Wo],"H"),IF($A$1="Auswärts",AVERAGEIFS(Eingabe[S-NR],Eingabe[Name],Bahnen[[#This Row],[Name]],Eingabe[Wo],"A"),""))),"")</f>
        <v/>
      </c>
      <c r="I3" s="189" t="str">
        <f>IFERROR(ROUND(Bahnen[[#This Row],[S3]]-Bahnen[[#This Row],[Bahn Schnitt]],1),"")</f>
        <v/>
      </c>
      <c r="J3" s="189" t="str">
        <f>IFERROR(IF($A$1="Gesamt",AVERAGEIF(Eingabe[Name],Bahnen[[#This Row],[Name]],Eingabe[S4]),IF($A$1="Heim",AVERAGEIFS(Eingabe[S4],Eingabe[Name],Bahnen[[#This Row],[Name]],Eingabe[Wo],"H"),IF($A$1="Auswärts",AVERAGEIFS(Eingabe[S-NR],Eingabe[Name],Bahnen[[#This Row],[Name]],Eingabe[Wo],"A"),""))),"")</f>
        <v/>
      </c>
      <c r="K3" s="189" t="str">
        <f>IFERROR(ROUND(Bahnen[[#This Row],[S4]]-Bahnen[[#This Row],[Bahn Schnitt]],1),"")</f>
        <v/>
      </c>
      <c r="M3" s="335" t="str">
        <f>Bahnen[[#This Row],[Name]]</f>
        <v>Anastasia Landau</v>
      </c>
      <c r="N3" s="189" t="str">
        <f>IFERROR(ROUND(IF($M$1="Gesamt",AVERAGEIF(Eingabe[Name],Volle[[#This Row],[Name]],Eingabe[Volle]),IF($M$1="Heim",AVERAGEIFS(Eingabe[Volle],Eingabe[Name],Volle[[#This Row],[Name]],Eingabe[Wo],"H"),IF($M$1="Auswärts",AVERAGEIFS(Eingabe[Volle],Eingabe[Name],Volle[[#This Row],[Name]],Eingabe[Wo],"A"),""))),0),"")</f>
        <v/>
      </c>
      <c r="O3" s="189" t="str">
        <f>IFERROR(Volle[[#This Row],[Volle Schnitt]]/4,"")</f>
        <v/>
      </c>
      <c r="P3" s="189" t="str">
        <f>IFERROR(IF($M$1="Gesamt",AVERAGEIF(Eingabe[Name],Volle[[#This Row],[Name]],Eingabe[V1]),IF($M$1="Heim",AVERAGEIFS(Eingabe[V1],Eingabe[Name],Volle[[#This Row],[Name]],Eingabe[Wo],"H"),IF($M$1="Auswärts",AVERAGEIFS(Eingabe[V1],Eingabe[Name],Volle[[#This Row],[Name]],Eingabe[Wo],"A"),""))),"")</f>
        <v/>
      </c>
      <c r="Q3" s="189" t="str">
        <f>IFERROR(ROUND(Volle[[#This Row],[V1]]-Volle[[#This Row],[Volle Bahn Schnitt]],1),"")</f>
        <v/>
      </c>
      <c r="R3" s="189" t="str">
        <f>IFERROR(IF($M$1="Gesamt",AVERAGEIF(Eingabe[Name],Volle[[#This Row],[Name]],Eingabe[V2]),IF($M$1="Heim",AVERAGEIFS(Eingabe[V2],Eingabe[Name],Volle[[#This Row],[Name]],Eingabe[Wo],"H"),IF($M$1="Auswärts",AVERAGEIFS(Eingabe[V2],Eingabe[Name],Volle[[#This Row],[Name]],Eingabe[Wo],"A"),""))),"")</f>
        <v/>
      </c>
      <c r="S3" s="189" t="str">
        <f>IFERROR(ROUND(Volle[[#This Row],[V2]]-Volle[[#This Row],[Volle Bahn Schnitt]],1),"")</f>
        <v/>
      </c>
      <c r="T3" s="189" t="str">
        <f>IFERROR(IF($M$1="Gesamt",AVERAGEIF(Eingabe[Name],Volle[[#This Row],[Name]],Eingabe[V3]),IF($M$1="Heim",AVERAGEIFS(Eingabe[V3],Eingabe[Name],Volle[[#This Row],[Name]],Eingabe[Wo],"H"),IF($M$1="Auswärts",AVERAGEIFS(Eingabe[V3],Eingabe[Name],Volle[[#This Row],[Name]],Eingabe[Wo],"A"),""))),"")</f>
        <v/>
      </c>
      <c r="U3" s="189" t="str">
        <f>IFERROR(ROUND(Volle[[#This Row],[V3]]-Volle[[#This Row],[Volle Bahn Schnitt]],1),"")</f>
        <v/>
      </c>
      <c r="V3" s="189" t="str">
        <f>IFERROR(IF($M$1="Gesamt",AVERAGEIF(Eingabe[Name],Volle[[#This Row],[Name]],Eingabe[V4]),IF($M$1="Heim",AVERAGEIFS(Eingabe[V4],Eingabe[Name],Volle[[#This Row],[Name]],Eingabe[Wo],"H"),IF($M$1="Auswärts",AVERAGEIFS(Eingabe[V4],Eingabe[Name],Volle[[#This Row],[Name]],Eingabe[Wo],"A"),""))),"")</f>
        <v/>
      </c>
      <c r="W3" s="189" t="str">
        <f>IFERROR(ROUND(Volle[[#This Row],[V4]]-Volle[[#This Row],[Volle Bahn Schnitt]],1),"")</f>
        <v/>
      </c>
      <c r="Y3" s="335" t="str">
        <f>Bahnen[[#This Row],[Name]]</f>
        <v>Anastasia Landau</v>
      </c>
      <c r="Z3" s="189" t="str">
        <f>IFERROR(ROUND(IF(Y$1="Gesamt",AVERAGEIF(Eingabe[Name],Räumer[[#This Row],[Name]],Eingabe[Räumer]),IF(Y$1="Heim",AVERAGEIFS(Eingabe[Räumer],Eingabe[Name],Räumer[[#This Row],[Name]],Eingabe[Wo],"H"),IF(Y$1="Auswärts",AVERAGEIFS(Eingabe[Räumer],Eingabe[Name],Räumer[[#This Row],[Name]],Eingabe[Wo],"A"),""))),0),"")</f>
        <v/>
      </c>
      <c r="AA3" s="189" t="str">
        <f>IFERROR(Räumer[[#This Row],[Räumer Schnitt]]/4,"")</f>
        <v/>
      </c>
      <c r="AB3" s="189" t="str">
        <f>IFERROR(IF(Y$1="Gesamt",AVERAGEIF(Eingabe[Name],Räumer[[#This Row],[Name]],Eingabe[R1]),IF(Y$1="Heim",AVERAGEIFS(Eingabe[R1],Eingabe[Name],Räumer[[#This Row],[Name]],Eingabe[Wo],"H"),IF(Y$1="Auswärts",AVERAGEIFS(Eingabe[R1],Eingabe[Name],Räumer[[#This Row],[Name]],Eingabe[Wo],"A"),""))),"")</f>
        <v/>
      </c>
      <c r="AC3" s="189" t="str">
        <f>IFERROR(ROUND(Räumer[[#This Row],[R1]]-Räumer[[#This Row],[Räumer Bahn Schnitt]],1),"")</f>
        <v/>
      </c>
      <c r="AD3" s="189" t="str">
        <f>IFERROR(IF(Y$1="Gesamt",AVERAGEIF(Eingabe[Name],Räumer[[#This Row],[Name]],Eingabe[R2]),IF(Y$1="Heim",AVERAGEIFS(Eingabe[R2],Eingabe[Name],Räumer[[#This Row],[Name]],Eingabe[Wo],"H"),IF(Y$1="Auswärts",AVERAGEIFS(Eingabe[R2],Eingabe[Name],Räumer[[#This Row],[Name]],Eingabe[Wo],"A"),""))),"")</f>
        <v/>
      </c>
      <c r="AE3" s="189" t="str">
        <f>IFERROR(ROUND(Räumer[[#This Row],[R2]]-Räumer[[#This Row],[Räumer Bahn Schnitt]],1),"")</f>
        <v/>
      </c>
      <c r="AF3" s="189" t="str">
        <f>IFERROR(IF(Y$1="Gesamt",AVERAGEIF(Eingabe[Name],Räumer[[#This Row],[Name]],Eingabe[R3]),IF(Y$1="Heim",AVERAGEIFS(Eingabe[R3],Eingabe[Name],Räumer[[#This Row],[Name]],Eingabe[Wo],"H"),IF(Y$1="Auswärts",AVERAGEIFS(Eingabe[R3],Eingabe[Name],Räumer[[#This Row],[Name]],Eingabe[Wo],"A"),""))),"")</f>
        <v/>
      </c>
      <c r="AG3" s="189" t="str">
        <f>IFERROR(ROUND(Räumer[[#This Row],[R3]]-Räumer[[#This Row],[Räumer Bahn Schnitt]],1),"")</f>
        <v/>
      </c>
      <c r="AH3" s="189" t="str">
        <f>IFERROR(IF(Y$1="Gesamt",AVERAGEIF(Eingabe[Name],Räumer[[#This Row],[Name]],Eingabe[R4]),IF(Y$1="Heim",AVERAGEIFS(Eingabe[R4],Eingabe[Name],Räumer[[#This Row],[Name]],Eingabe[Wo],"H"),IF(Y$1="Auswärts",AVERAGEIFS(Eingabe[R4],Eingabe[Name],Räumer[[#This Row],[Name]],Eingabe[Wo],"A"),""))),"")</f>
        <v/>
      </c>
      <c r="AI3" s="189" t="str">
        <f>IFERROR(ROUND(Räumer[[#This Row],[R4]]-Räumer[[#This Row],[Räumer Bahn Schnitt]],1),"")</f>
        <v/>
      </c>
      <c r="AK3" s="335" t="str">
        <f>Bahnen[[#This Row],[Name]]</f>
        <v>Anastasia Landau</v>
      </c>
      <c r="AL3" s="189" t="str">
        <f>IFERROR(ROUND(IF(AK$1="Gesamt",AVERAGEIF(Eingabe[Name],Fehler[[#This Row],[Name]],Eingabe[Fehler]),IF(AK$1="Heim",AVERAGEIFS(Eingabe[Fehler],Eingabe[Name],Fehler[[#This Row],[Name]],Eingabe[Wo],"H"),IF(AK$1="Auswärts",AVERAGEIFS(Eingabe[Fehler],Eingabe[Name],Fehler[[#This Row],[Name]],Eingabe[Wo],"A"),""))),0),"")</f>
        <v/>
      </c>
      <c r="AM3" s="189" t="str">
        <f>IFERROR(Fehler[[#This Row],[Fehler Schnitt]]/4,"")</f>
        <v/>
      </c>
      <c r="AN3" s="189" t="str">
        <f>IFERROR(IF(AK$1="Gesamt",AVERAGEIF(Eingabe[Name],Fehler[[#This Row],[Name]],Eingabe[F1]),IF(AK$1="Heim",AVERAGEIFS(Eingabe[F1],Eingabe[Name],Fehler[[#This Row],[Name]],Eingabe[Wo],"H"),IF(AK$1="Auswärts",AVERAGEIFS(Eingabe[F1],Eingabe[Name],Fehler[[#This Row],[Name]],Eingabe[Wo],"A"),""))),"")</f>
        <v/>
      </c>
      <c r="AO3" s="189" t="str">
        <f>IFERROR(ROUND(Fehler[[#This Row],[F1]]-Fehler[[#This Row],[Fehler Bahn Schnitt]],1),"")</f>
        <v/>
      </c>
      <c r="AP3" s="189" t="str">
        <f>IFERROR(IF(AK$1="Gesamt",AVERAGEIF(Eingabe[Name],Fehler[[#This Row],[Name]],Eingabe[F2]),IF(AK$1="Heim",AVERAGEIFS(Eingabe[F2],Eingabe[Name],Fehler[[#This Row],[Name]],Eingabe[Wo],"H"),IF(AK$1="Auswärts",AVERAGEIFS(Eingabe[F2],Eingabe[Name],Fehler[[#This Row],[Name]],Eingabe[Wo],"A"),""))),"")</f>
        <v/>
      </c>
      <c r="AQ3" s="189" t="str">
        <f>IFERROR(ROUND(Fehler[[#This Row],[F2]]-Fehler[[#This Row],[Fehler Bahn Schnitt]],1),"")</f>
        <v/>
      </c>
      <c r="AR3" s="189" t="str">
        <f>IFERROR(IF(AK$1="Gesamt",AVERAGEIF(Eingabe[Name],Fehler[[#This Row],[Name]],Eingabe[F3]),IF(AK$1="Heim",AVERAGEIFS(Eingabe[F3],Eingabe[Name],Fehler[[#This Row],[Name]],Eingabe[Wo],"H"),IF(AK$1="Auswärts",AVERAGEIFS(Eingabe[F1],Eingabe[Name],Fehler[[#This Row],[Name]],Eingabe[Wo],"A"),""))),"")</f>
        <v/>
      </c>
      <c r="AS3" s="189" t="str">
        <f>IFERROR(ROUND(Fehler[[#This Row],[F3]]-Fehler[[#This Row],[Fehler Bahn Schnitt]],1),"")</f>
        <v/>
      </c>
      <c r="AT3" s="189" t="str">
        <f>IFERROR(IF(AK$1="Gesamt",AVERAGEIF(Eingabe[Name],Fehler[[#This Row],[Name]],Eingabe[F4]),IF(AK$1="Heim",AVERAGEIFS(Eingabe[F4],Eingabe[Name],Fehler[[#This Row],[Name]],Eingabe[Wo],"H"),IF(AK$1="Auswärts",AVERAGEIFS(Eingabe[F1],Eingabe[Name],Fehler[[#This Row],[Name]],Eingabe[Wo],"A"),""))),"")</f>
        <v/>
      </c>
      <c r="AU3" s="189" t="str">
        <f>IFERROR(ROUND(Fehler[[#This Row],[F4]]-Fehler[[#This Row],[Fehler Bahn Schnitt]],1),"")</f>
        <v/>
      </c>
    </row>
    <row r="4" spans="1:47" ht="15.6" x14ac:dyDescent="0.3">
      <c r="A4" s="335" t="s">
        <v>495</v>
      </c>
      <c r="B4" s="189">
        <f>IFERROR(ROUND(IF($A$1="Gesamt",AVERAGEIF(Eingabe[Name],Bahnen[[#This Row],[Name]],Eingabe[GES]),IF($A$1="Heim",AVERAGEIFS(Eingabe[GES],Eingabe[Name],Bahnen[[#This Row],[Name]],Eingabe[Wo],"H"),IF($A$1="Auswärts",AVERAGEIFS(Eingabe[GES],Eingabe[Name],Bahnen[[#This Row],[Name]],Eingabe[Wo],"A"),""))),0),"")</f>
        <v>529</v>
      </c>
      <c r="C4" s="189">
        <f>IFERROR(Bahnen[[#This Row],[Schnitt]]/4,"")</f>
        <v>132.25</v>
      </c>
      <c r="D4" s="189">
        <f>IFERROR(IF($A$1="Gesamt",AVERAGEIF(Eingabe[Name],Bahnen[[#This Row],[Name]],Eingabe[S1]),IF($A$1="Heim",AVERAGEIFS(Eingabe[S-NR],Eingabe[Name],Bahnen[[#This Row],[Name]],Eingabe[Wo],"H"),IF($A$1="Auswärts",AVERAGEIFS(Eingabe[S1],Eingabe[Name],Bahnen[[#This Row],[Name]],Eingabe[Wo],"A"),""))),"")</f>
        <v>126</v>
      </c>
      <c r="E4" s="189">
        <f>IFERROR(ROUND(Bahnen[[#This Row],[S1]]-Bahnen[[#This Row],[Bahn Schnitt]],1),"")</f>
        <v>-6.3</v>
      </c>
      <c r="F4" s="189">
        <f>IFERROR(IF($A$1="Gesamt",AVERAGEIF(Eingabe[Name],Bahnen[[#This Row],[Name]],Eingabe[S2]),IF($A$1="Heim",AVERAGEIFS(Eingabe[S2],Eingabe[Name],Bahnen[[#This Row],[Name]],Eingabe[Wo],"H"),IF($A$1="Auswärts",AVERAGEIFS(Eingabe[S2],Eingabe[Name],Bahnen[[#This Row],[Name]],Eingabe[Wo],"A"),""))),"")</f>
        <v>132</v>
      </c>
      <c r="G4" s="189">
        <f>IFERROR(ROUND(Bahnen[[#This Row],[S2]]-Bahnen[[#This Row],[Bahn Schnitt]],1),"")</f>
        <v>-0.3</v>
      </c>
      <c r="H4" s="189">
        <f>IFERROR(IF($A$1="Gesamt",AVERAGEIF(Eingabe[Name],Bahnen[[#This Row],[Name]],Eingabe[S3]),IF($A$1="Heim",AVERAGEIFS(Eingabe[S3],Eingabe[Name],Bahnen[[#This Row],[Name]],Eingabe[Wo],"H"),IF($A$1="Auswärts",AVERAGEIFS(Eingabe[S-NR],Eingabe[Name],Bahnen[[#This Row],[Name]],Eingabe[Wo],"A"),""))),"")</f>
        <v>121</v>
      </c>
      <c r="I4" s="189">
        <f>IFERROR(ROUND(Bahnen[[#This Row],[S3]]-Bahnen[[#This Row],[Bahn Schnitt]],1),"")</f>
        <v>-11.3</v>
      </c>
      <c r="J4" s="189">
        <f>IFERROR(IF($A$1="Gesamt",AVERAGEIF(Eingabe[Name],Bahnen[[#This Row],[Name]],Eingabe[S4]),IF($A$1="Heim",AVERAGEIFS(Eingabe[S4],Eingabe[Name],Bahnen[[#This Row],[Name]],Eingabe[Wo],"H"),IF($A$1="Auswärts",AVERAGEIFS(Eingabe[S-NR],Eingabe[Name],Bahnen[[#This Row],[Name]],Eingabe[Wo],"A"),""))),"")</f>
        <v>150</v>
      </c>
      <c r="K4" s="189">
        <f>IFERROR(ROUND(Bahnen[[#This Row],[S4]]-Bahnen[[#This Row],[Bahn Schnitt]],1),"")</f>
        <v>17.8</v>
      </c>
      <c r="M4" s="335" t="str">
        <f>Bahnen[[#This Row],[Name]]</f>
        <v>Andreas Ehrlich</v>
      </c>
      <c r="N4" s="189">
        <f>IFERROR(ROUND(IF($M$1="Gesamt",AVERAGEIF(Eingabe[Name],Volle[[#This Row],[Name]],Eingabe[Volle]),IF($M$1="Heim",AVERAGEIFS(Eingabe[Volle],Eingabe[Name],Volle[[#This Row],[Name]],Eingabe[Wo],"H"),IF($M$1="Auswärts",AVERAGEIFS(Eingabe[Volle],Eingabe[Name],Volle[[#This Row],[Name]],Eingabe[Wo],"A"),""))),0),"")</f>
        <v>351</v>
      </c>
      <c r="O4" s="189">
        <f>IFERROR(Volle[[#This Row],[Volle Schnitt]]/4,"")</f>
        <v>87.75</v>
      </c>
      <c r="P4" s="189">
        <f>IFERROR(IF($M$1="Gesamt",AVERAGEIF(Eingabe[Name],Volle[[#This Row],[Name]],Eingabe[V1]),IF($M$1="Heim",AVERAGEIFS(Eingabe[V1],Eingabe[Name],Volle[[#This Row],[Name]],Eingabe[Wo],"H"),IF($M$1="Auswärts",AVERAGEIFS(Eingabe[V1],Eingabe[Name],Volle[[#This Row],[Name]],Eingabe[Wo],"A"),""))),"")</f>
        <v>82</v>
      </c>
      <c r="Q4" s="189">
        <f>IFERROR(ROUND(Volle[[#This Row],[V1]]-Volle[[#This Row],[Volle Bahn Schnitt]],1),"")</f>
        <v>-5.8</v>
      </c>
      <c r="R4" s="189">
        <f>IFERROR(IF($M$1="Gesamt",AVERAGEIF(Eingabe[Name],Volle[[#This Row],[Name]],Eingabe[V2]),IF($M$1="Heim",AVERAGEIFS(Eingabe[V2],Eingabe[Name],Volle[[#This Row],[Name]],Eingabe[Wo],"H"),IF($M$1="Auswärts",AVERAGEIFS(Eingabe[V2],Eingabe[Name],Volle[[#This Row],[Name]],Eingabe[Wo],"A"),""))),"")</f>
        <v>87</v>
      </c>
      <c r="S4" s="189">
        <f>IFERROR(ROUND(Volle[[#This Row],[V2]]-Volle[[#This Row],[Volle Bahn Schnitt]],1),"")</f>
        <v>-0.8</v>
      </c>
      <c r="T4" s="189">
        <f>IFERROR(IF($M$1="Gesamt",AVERAGEIF(Eingabe[Name],Volle[[#This Row],[Name]],Eingabe[V3]),IF($M$1="Heim",AVERAGEIFS(Eingabe[V3],Eingabe[Name],Volle[[#This Row],[Name]],Eingabe[Wo],"H"),IF($M$1="Auswärts",AVERAGEIFS(Eingabe[V3],Eingabe[Name],Volle[[#This Row],[Name]],Eingabe[Wo],"A"),""))),"")</f>
        <v>85</v>
      </c>
      <c r="U4" s="189">
        <f>IFERROR(ROUND(Volle[[#This Row],[V3]]-Volle[[#This Row],[Volle Bahn Schnitt]],1),"")</f>
        <v>-2.8</v>
      </c>
      <c r="V4" s="189">
        <f>IFERROR(IF($M$1="Gesamt",AVERAGEIF(Eingabe[Name],Volle[[#This Row],[Name]],Eingabe[V4]),IF($M$1="Heim",AVERAGEIFS(Eingabe[V4],Eingabe[Name],Volle[[#This Row],[Name]],Eingabe[Wo],"H"),IF($M$1="Auswärts",AVERAGEIFS(Eingabe[V4],Eingabe[Name],Volle[[#This Row],[Name]],Eingabe[Wo],"A"),""))),"")</f>
        <v>97</v>
      </c>
      <c r="W4" s="340">
        <f>IFERROR(ROUND(Volle[[#This Row],[V4]]-Volle[[#This Row],[Volle Bahn Schnitt]],1),"")</f>
        <v>9.3000000000000007</v>
      </c>
      <c r="Y4" s="335" t="str">
        <f>Bahnen[[#This Row],[Name]]</f>
        <v>Andreas Ehrlich</v>
      </c>
      <c r="Z4" s="189">
        <f>IFERROR(ROUND(IF(Y$1="Gesamt",AVERAGEIF(Eingabe[Name],Räumer[[#This Row],[Name]],Eingabe[Räumer]),IF(Y$1="Heim",AVERAGEIFS(Eingabe[Räumer],Eingabe[Name],Räumer[[#This Row],[Name]],Eingabe[Wo],"H"),IF(Y$1="Auswärts",AVERAGEIFS(Eingabe[Räumer],Eingabe[Name],Räumer[[#This Row],[Name]],Eingabe[Wo],"A"),""))),0),"")</f>
        <v>178</v>
      </c>
      <c r="AA4" s="189">
        <f>IFERROR(Räumer[[#This Row],[Räumer Schnitt]]/4,"")</f>
        <v>44.5</v>
      </c>
      <c r="AB4" s="189">
        <f>IFERROR(IF(Y$1="Gesamt",AVERAGEIF(Eingabe[Name],Räumer[[#This Row],[Name]],Eingabe[R1]),IF(Y$1="Heim",AVERAGEIFS(Eingabe[R1],Eingabe[Name],Räumer[[#This Row],[Name]],Eingabe[Wo],"H"),IF(Y$1="Auswärts",AVERAGEIFS(Eingabe[R1],Eingabe[Name],Räumer[[#This Row],[Name]],Eingabe[Wo],"A"),""))),"")</f>
        <v>44</v>
      </c>
      <c r="AC4" s="189">
        <f>IFERROR(ROUND(Räumer[[#This Row],[R1]]-Räumer[[#This Row],[Räumer Bahn Schnitt]],1),"")</f>
        <v>-0.5</v>
      </c>
      <c r="AD4" s="189">
        <f>IFERROR(IF(Y$1="Gesamt",AVERAGEIF(Eingabe[Name],Räumer[[#This Row],[Name]],Eingabe[R2]),IF(Y$1="Heim",AVERAGEIFS(Eingabe[R2],Eingabe[Name],Räumer[[#This Row],[Name]],Eingabe[Wo],"H"),IF(Y$1="Auswärts",AVERAGEIFS(Eingabe[R2],Eingabe[Name],Räumer[[#This Row],[Name]],Eingabe[Wo],"A"),""))),"")</f>
        <v>45</v>
      </c>
      <c r="AE4" s="189">
        <f>IFERROR(ROUND(Räumer[[#This Row],[R2]]-Räumer[[#This Row],[Räumer Bahn Schnitt]],1),"")</f>
        <v>0.5</v>
      </c>
      <c r="AF4" s="189">
        <f>IFERROR(IF(Y$1="Gesamt",AVERAGEIF(Eingabe[Name],Räumer[[#This Row],[Name]],Eingabe[R3]),IF(Y$1="Heim",AVERAGEIFS(Eingabe[R3],Eingabe[Name],Räumer[[#This Row],[Name]],Eingabe[Wo],"H"),IF(Y$1="Auswärts",AVERAGEIFS(Eingabe[R3],Eingabe[Name],Räumer[[#This Row],[Name]],Eingabe[Wo],"A"),""))),"")</f>
        <v>36</v>
      </c>
      <c r="AG4" s="189">
        <f>IFERROR(ROUND(Räumer[[#This Row],[R3]]-Räumer[[#This Row],[Räumer Bahn Schnitt]],1),"")</f>
        <v>-8.5</v>
      </c>
      <c r="AH4" s="189">
        <f>IFERROR(IF(Y$1="Gesamt",AVERAGEIF(Eingabe[Name],Räumer[[#This Row],[Name]],Eingabe[R4]),IF(Y$1="Heim",AVERAGEIFS(Eingabe[R4],Eingabe[Name],Räumer[[#This Row],[Name]],Eingabe[Wo],"H"),IF(Y$1="Auswärts",AVERAGEIFS(Eingabe[R4],Eingabe[Name],Räumer[[#This Row],[Name]],Eingabe[Wo],"A"),""))),"")</f>
        <v>53</v>
      </c>
      <c r="AI4" s="189">
        <f>IFERROR(ROUND(Räumer[[#This Row],[R4]]-Räumer[[#This Row],[Räumer Bahn Schnitt]],1),"")</f>
        <v>8.5</v>
      </c>
      <c r="AK4" s="335" t="str">
        <f>Bahnen[[#This Row],[Name]]</f>
        <v>Andreas Ehrlich</v>
      </c>
      <c r="AL4" s="189">
        <f>IFERROR(ROUND(IF(AK$1="Gesamt",AVERAGEIF(Eingabe[Name],Fehler[[#This Row],[Name]],Eingabe[Fehler]),IF(AK$1="Heim",AVERAGEIFS(Eingabe[Fehler],Eingabe[Name],Fehler[[#This Row],[Name]],Eingabe[Wo],"H"),IF(AK$1="Auswärts",AVERAGEIFS(Eingabe[Fehler],Eingabe[Name],Fehler[[#This Row],[Name]],Eingabe[Wo],"A"),""))),0),"")</f>
        <v>6</v>
      </c>
      <c r="AM4" s="189">
        <f>IFERROR(Fehler[[#This Row],[Fehler Schnitt]]/4,"")</f>
        <v>1.5</v>
      </c>
      <c r="AN4" s="189">
        <f>IFERROR(IF(AK$1="Gesamt",AVERAGEIF(Eingabe[Name],Fehler[[#This Row],[Name]],Eingabe[F1]),IF(AK$1="Heim",AVERAGEIFS(Eingabe[F1],Eingabe[Name],Fehler[[#This Row],[Name]],Eingabe[Wo],"H"),IF(AK$1="Auswärts",AVERAGEIFS(Eingabe[F1],Eingabe[Name],Fehler[[#This Row],[Name]],Eingabe[Wo],"A"),""))),"")</f>
        <v>0</v>
      </c>
      <c r="AO4" s="189">
        <f>IFERROR(ROUND(Fehler[[#This Row],[F1]]-Fehler[[#This Row],[Fehler Bahn Schnitt]],1),"")</f>
        <v>-1.5</v>
      </c>
      <c r="AP4" s="189">
        <f>IFERROR(IF(AK$1="Gesamt",AVERAGEIF(Eingabe[Name],Fehler[[#This Row],[Name]],Eingabe[F2]),IF(AK$1="Heim",AVERAGEIFS(Eingabe[F2],Eingabe[Name],Fehler[[#This Row],[Name]],Eingabe[Wo],"H"),IF(AK$1="Auswärts",AVERAGEIFS(Eingabe[F2],Eingabe[Name],Fehler[[#This Row],[Name]],Eingabe[Wo],"A"),""))),"")</f>
        <v>1</v>
      </c>
      <c r="AQ4" s="189">
        <f>IFERROR(ROUND(Fehler[[#This Row],[F2]]-Fehler[[#This Row],[Fehler Bahn Schnitt]],1),"")</f>
        <v>-0.5</v>
      </c>
      <c r="AR4" s="189">
        <f>IFERROR(IF(AK$1="Gesamt",AVERAGEIF(Eingabe[Name],Fehler[[#This Row],[Name]],Eingabe[F3]),IF(AK$1="Heim",AVERAGEIFS(Eingabe[F3],Eingabe[Name],Fehler[[#This Row],[Name]],Eingabe[Wo],"H"),IF(AK$1="Auswärts",AVERAGEIFS(Eingabe[F1],Eingabe[Name],Fehler[[#This Row],[Name]],Eingabe[Wo],"A"),""))),"")</f>
        <v>4</v>
      </c>
      <c r="AS4" s="189">
        <f>IFERROR(ROUND(Fehler[[#This Row],[F3]]-Fehler[[#This Row],[Fehler Bahn Schnitt]],1),"")</f>
        <v>2.5</v>
      </c>
      <c r="AT4" s="189">
        <f>IFERROR(IF(AK$1="Gesamt",AVERAGEIF(Eingabe[Name],Fehler[[#This Row],[Name]],Eingabe[F4]),IF(AK$1="Heim",AVERAGEIFS(Eingabe[F4],Eingabe[Name],Fehler[[#This Row],[Name]],Eingabe[Wo],"H"),IF(AK$1="Auswärts",AVERAGEIFS(Eingabe[F1],Eingabe[Name],Fehler[[#This Row],[Name]],Eingabe[Wo],"A"),""))),"")</f>
        <v>1</v>
      </c>
      <c r="AU4" s="189">
        <f>IFERROR(ROUND(Fehler[[#This Row],[F4]]-Fehler[[#This Row],[Fehler Bahn Schnitt]],1),"")</f>
        <v>-0.5</v>
      </c>
    </row>
    <row r="5" spans="1:47" ht="15.6" x14ac:dyDescent="0.3">
      <c r="A5" s="335" t="s">
        <v>458</v>
      </c>
      <c r="B5" s="189">
        <f>IFERROR(ROUND(IF($A$1="Gesamt",AVERAGEIF(Eingabe[Name],Bahnen[[#This Row],[Name]],Eingabe[GES]),IF($A$1="Heim",AVERAGEIFS(Eingabe[GES],Eingabe[Name],Bahnen[[#This Row],[Name]],Eingabe[Wo],"H"),IF($A$1="Auswärts",AVERAGEIFS(Eingabe[GES],Eingabe[Name],Bahnen[[#This Row],[Name]],Eingabe[Wo],"A"),""))),0),"")</f>
        <v>508</v>
      </c>
      <c r="C5" s="189">
        <f>IFERROR(Bahnen[[#This Row],[Schnitt]]/4,"")</f>
        <v>127</v>
      </c>
      <c r="D5" s="189">
        <f>IFERROR(IF($A$1="Gesamt",AVERAGEIF(Eingabe[Name],Bahnen[[#This Row],[Name]],Eingabe[S1]),IF($A$1="Heim",AVERAGEIFS(Eingabe[S-NR],Eingabe[Name],Bahnen[[#This Row],[Name]],Eingabe[Wo],"H"),IF($A$1="Auswärts",AVERAGEIFS(Eingabe[S1],Eingabe[Name],Bahnen[[#This Row],[Name]],Eingabe[Wo],"A"),""))),"")</f>
        <v>126.92307692307692</v>
      </c>
      <c r="E5" s="189">
        <f>IFERROR(ROUND(Bahnen[[#This Row],[S1]]-Bahnen[[#This Row],[Bahn Schnitt]],1),"")</f>
        <v>-0.1</v>
      </c>
      <c r="F5" s="189">
        <f>IFERROR(IF($A$1="Gesamt",AVERAGEIF(Eingabe[Name],Bahnen[[#This Row],[Name]],Eingabe[S2]),IF($A$1="Heim",AVERAGEIFS(Eingabe[S2],Eingabe[Name],Bahnen[[#This Row],[Name]],Eingabe[Wo],"H"),IF($A$1="Auswärts",AVERAGEIFS(Eingabe[S2],Eingabe[Name],Bahnen[[#This Row],[Name]],Eingabe[Wo],"A"),""))),"")</f>
        <v>129.76923076923077</v>
      </c>
      <c r="G5" s="189">
        <f>IFERROR(ROUND(Bahnen[[#This Row],[S2]]-Bahnen[[#This Row],[Bahn Schnitt]],1),"")</f>
        <v>2.8</v>
      </c>
      <c r="H5" s="189">
        <f>IFERROR(IF($A$1="Gesamt",AVERAGEIF(Eingabe[Name],Bahnen[[#This Row],[Name]],Eingabe[S3]),IF($A$1="Heim",AVERAGEIFS(Eingabe[S3],Eingabe[Name],Bahnen[[#This Row],[Name]],Eingabe[Wo],"H"),IF($A$1="Auswärts",AVERAGEIFS(Eingabe[S-NR],Eingabe[Name],Bahnen[[#This Row],[Name]],Eingabe[Wo],"A"),""))),"")</f>
        <v>123</v>
      </c>
      <c r="I5" s="189">
        <f>IFERROR(ROUND(Bahnen[[#This Row],[S3]]-Bahnen[[#This Row],[Bahn Schnitt]],1),"")</f>
        <v>-4</v>
      </c>
      <c r="J5" s="189">
        <f>IFERROR(IF($A$1="Gesamt",AVERAGEIF(Eingabe[Name],Bahnen[[#This Row],[Name]],Eingabe[S4]),IF($A$1="Heim",AVERAGEIFS(Eingabe[S4],Eingabe[Name],Bahnen[[#This Row],[Name]],Eingabe[Wo],"H"),IF($A$1="Auswärts",AVERAGEIFS(Eingabe[S-NR],Eingabe[Name],Bahnen[[#This Row],[Name]],Eingabe[Wo],"A"),""))),"")</f>
        <v>128.53846153846155</v>
      </c>
      <c r="K5" s="189">
        <f>IFERROR(ROUND(Bahnen[[#This Row],[S4]]-Bahnen[[#This Row],[Bahn Schnitt]],1),"")</f>
        <v>1.5</v>
      </c>
      <c r="M5" s="335" t="str">
        <f>Bahnen[[#This Row],[Name]]</f>
        <v>Anna Müller</v>
      </c>
      <c r="N5" s="189">
        <f>IFERROR(ROUND(IF($M$1="Gesamt",AVERAGEIF(Eingabe[Name],Volle[[#This Row],[Name]],Eingabe[Volle]),IF($M$1="Heim",AVERAGEIFS(Eingabe[Volle],Eingabe[Name],Volle[[#This Row],[Name]],Eingabe[Wo],"H"),IF($M$1="Auswärts",AVERAGEIFS(Eingabe[Volle],Eingabe[Name],Volle[[#This Row],[Name]],Eingabe[Wo],"A"),""))),0),"")</f>
        <v>345</v>
      </c>
      <c r="O5" s="189">
        <f>IFERROR(Volle[[#This Row],[Volle Schnitt]]/4,"")</f>
        <v>86.25</v>
      </c>
      <c r="P5" s="189">
        <f>IFERROR(IF($M$1="Gesamt",AVERAGEIF(Eingabe[Name],Volle[[#This Row],[Name]],Eingabe[V1]),IF($M$1="Heim",AVERAGEIFS(Eingabe[V1],Eingabe[Name],Volle[[#This Row],[Name]],Eingabe[Wo],"H"),IF($M$1="Auswärts",AVERAGEIFS(Eingabe[V1],Eingabe[Name],Volle[[#This Row],[Name]],Eingabe[Wo],"A"),""))),"")</f>
        <v>87.769230769230774</v>
      </c>
      <c r="Q5" s="189">
        <f>IFERROR(ROUND(Volle[[#This Row],[V1]]-Volle[[#This Row],[Volle Bahn Schnitt]],1),"")</f>
        <v>1.5</v>
      </c>
      <c r="R5" s="189">
        <f>IFERROR(IF($M$1="Gesamt",AVERAGEIF(Eingabe[Name],Volle[[#This Row],[Name]],Eingabe[V2]),IF($M$1="Heim",AVERAGEIFS(Eingabe[V2],Eingabe[Name],Volle[[#This Row],[Name]],Eingabe[Wo],"H"),IF($M$1="Auswärts",AVERAGEIFS(Eingabe[V2],Eingabe[Name],Volle[[#This Row],[Name]],Eingabe[Wo],"A"),""))),"")</f>
        <v>88.461538461538467</v>
      </c>
      <c r="S5" s="189">
        <f>IFERROR(ROUND(Volle[[#This Row],[V2]]-Volle[[#This Row],[Volle Bahn Schnitt]],1),"")</f>
        <v>2.2000000000000002</v>
      </c>
      <c r="T5" s="189">
        <f>IFERROR(IF($M$1="Gesamt",AVERAGEIF(Eingabe[Name],Volle[[#This Row],[Name]],Eingabe[V3]),IF($M$1="Heim",AVERAGEIFS(Eingabe[V3],Eingabe[Name],Volle[[#This Row],[Name]],Eingabe[Wo],"H"),IF($M$1="Auswärts",AVERAGEIFS(Eingabe[V3],Eingabe[Name],Volle[[#This Row],[Name]],Eingabe[Wo],"A"),""))),"")</f>
        <v>84.307692307692307</v>
      </c>
      <c r="U5" s="189">
        <f>IFERROR(ROUND(Volle[[#This Row],[V3]]-Volle[[#This Row],[Volle Bahn Schnitt]],1),"")</f>
        <v>-1.9</v>
      </c>
      <c r="V5" s="189">
        <f>IFERROR(IF($M$1="Gesamt",AVERAGEIF(Eingabe[Name],Volle[[#This Row],[Name]],Eingabe[V4]),IF($M$1="Heim",AVERAGEIFS(Eingabe[V4],Eingabe[Name],Volle[[#This Row],[Name]],Eingabe[Wo],"H"),IF($M$1="Auswärts",AVERAGEIFS(Eingabe[V4],Eingabe[Name],Volle[[#This Row],[Name]],Eingabe[Wo],"A"),""))),"")</f>
        <v>84.769230769230774</v>
      </c>
      <c r="W5" s="340">
        <f>IFERROR(ROUND(Volle[[#This Row],[V4]]-Volle[[#This Row],[Volle Bahn Schnitt]],1),"")</f>
        <v>-1.5</v>
      </c>
      <c r="Y5" s="335" t="str">
        <f>Bahnen[[#This Row],[Name]]</f>
        <v>Anna Müller</v>
      </c>
      <c r="Z5" s="189">
        <f>IFERROR(ROUND(IF(Y$1="Gesamt",AVERAGEIF(Eingabe[Name],Räumer[[#This Row],[Name]],Eingabe[Räumer]),IF(Y$1="Heim",AVERAGEIFS(Eingabe[Räumer],Eingabe[Name],Räumer[[#This Row],[Name]],Eingabe[Wo],"H"),IF(Y$1="Auswärts",AVERAGEIFS(Eingabe[Räumer],Eingabe[Name],Räumer[[#This Row],[Name]],Eingabe[Wo],"A"),""))),0),"")</f>
        <v>163</v>
      </c>
      <c r="AA5" s="189">
        <f>IFERROR(Räumer[[#This Row],[Räumer Schnitt]]/4,"")</f>
        <v>40.75</v>
      </c>
      <c r="AB5" s="189">
        <f>IFERROR(IF(Y$1="Gesamt",AVERAGEIF(Eingabe[Name],Räumer[[#This Row],[Name]],Eingabe[R1]),IF(Y$1="Heim",AVERAGEIFS(Eingabe[R1],Eingabe[Name],Räumer[[#This Row],[Name]],Eingabe[Wo],"H"),IF(Y$1="Auswärts",AVERAGEIFS(Eingabe[R1],Eingabe[Name],Räumer[[#This Row],[Name]],Eingabe[Wo],"A"),""))),"")</f>
        <v>39.153846153846153</v>
      </c>
      <c r="AC5" s="189">
        <f>IFERROR(ROUND(Räumer[[#This Row],[R1]]-Räumer[[#This Row],[Räumer Bahn Schnitt]],1),"")</f>
        <v>-1.6</v>
      </c>
      <c r="AD5" s="189">
        <f>IFERROR(IF(Y$1="Gesamt",AVERAGEIF(Eingabe[Name],Räumer[[#This Row],[Name]],Eingabe[R2]),IF(Y$1="Heim",AVERAGEIFS(Eingabe[R2],Eingabe[Name],Räumer[[#This Row],[Name]],Eingabe[Wo],"H"),IF(Y$1="Auswärts",AVERAGEIFS(Eingabe[R2],Eingabe[Name],Räumer[[#This Row],[Name]],Eingabe[Wo],"A"),""))),"")</f>
        <v>41.307692307692307</v>
      </c>
      <c r="AE5" s="189">
        <f>IFERROR(ROUND(Räumer[[#This Row],[R2]]-Räumer[[#This Row],[Räumer Bahn Schnitt]],1),"")</f>
        <v>0.6</v>
      </c>
      <c r="AF5" s="189">
        <f>IFERROR(IF(Y$1="Gesamt",AVERAGEIF(Eingabe[Name],Räumer[[#This Row],[Name]],Eingabe[R3]),IF(Y$1="Heim",AVERAGEIFS(Eingabe[R3],Eingabe[Name],Räumer[[#This Row],[Name]],Eingabe[Wo],"H"),IF(Y$1="Auswärts",AVERAGEIFS(Eingabe[R3],Eingabe[Name],Räumer[[#This Row],[Name]],Eingabe[Wo],"A"),""))),"")</f>
        <v>38.692307692307693</v>
      </c>
      <c r="AG5" s="189">
        <f>IFERROR(ROUND(Räumer[[#This Row],[R3]]-Räumer[[#This Row],[Räumer Bahn Schnitt]],1),"")</f>
        <v>-2.1</v>
      </c>
      <c r="AH5" s="189">
        <f>IFERROR(IF(Y$1="Gesamt",AVERAGEIF(Eingabe[Name],Räumer[[#This Row],[Name]],Eingabe[R4]),IF(Y$1="Heim",AVERAGEIFS(Eingabe[R4],Eingabe[Name],Räumer[[#This Row],[Name]],Eingabe[Wo],"H"),IF(Y$1="Auswärts",AVERAGEIFS(Eingabe[R4],Eingabe[Name],Räumer[[#This Row],[Name]],Eingabe[Wo],"A"),""))),"")</f>
        <v>43.769230769230766</v>
      </c>
      <c r="AI5" s="189">
        <f>IFERROR(ROUND(Räumer[[#This Row],[R4]]-Räumer[[#This Row],[Räumer Bahn Schnitt]],1),"")</f>
        <v>3</v>
      </c>
      <c r="AK5" s="335" t="str">
        <f>Bahnen[[#This Row],[Name]]</f>
        <v>Anna Müller</v>
      </c>
      <c r="AL5" s="189">
        <f>IFERROR(ROUND(IF(AK$1="Gesamt",AVERAGEIF(Eingabe[Name],Fehler[[#This Row],[Name]],Eingabe[Fehler]),IF(AK$1="Heim",AVERAGEIFS(Eingabe[Fehler],Eingabe[Name],Fehler[[#This Row],[Name]],Eingabe[Wo],"H"),IF(AK$1="Auswärts",AVERAGEIFS(Eingabe[Fehler],Eingabe[Name],Fehler[[#This Row],[Name]],Eingabe[Wo],"A"),""))),0),"")</f>
        <v>9</v>
      </c>
      <c r="AM5" s="189">
        <f>IFERROR(Fehler[[#This Row],[Fehler Schnitt]]/4,"")</f>
        <v>2.25</v>
      </c>
      <c r="AN5" s="189">
        <f>IFERROR(IF(AK$1="Gesamt",AVERAGEIF(Eingabe[Name],Fehler[[#This Row],[Name]],Eingabe[F1]),IF(AK$1="Heim",AVERAGEIFS(Eingabe[F1],Eingabe[Name],Fehler[[#This Row],[Name]],Eingabe[Wo],"H"),IF(AK$1="Auswärts",AVERAGEIFS(Eingabe[F1],Eingabe[Name],Fehler[[#This Row],[Name]],Eingabe[Wo],"A"),""))),"")</f>
        <v>2.3846153846153846</v>
      </c>
      <c r="AO5" s="189">
        <f>IFERROR(ROUND(Fehler[[#This Row],[F1]]-Fehler[[#This Row],[Fehler Bahn Schnitt]],1),"")</f>
        <v>0.1</v>
      </c>
      <c r="AP5" s="189">
        <f>IFERROR(IF(AK$1="Gesamt",AVERAGEIF(Eingabe[Name],Fehler[[#This Row],[Name]],Eingabe[F2]),IF(AK$1="Heim",AVERAGEIFS(Eingabe[F2],Eingabe[Name],Fehler[[#This Row],[Name]],Eingabe[Wo],"H"),IF(AK$1="Auswärts",AVERAGEIFS(Eingabe[F2],Eingabe[Name],Fehler[[#This Row],[Name]],Eingabe[Wo],"A"),""))),"")</f>
        <v>2.1538461538461537</v>
      </c>
      <c r="AQ5" s="189">
        <f>IFERROR(ROUND(Fehler[[#This Row],[F2]]-Fehler[[#This Row],[Fehler Bahn Schnitt]],1),"")</f>
        <v>-0.1</v>
      </c>
      <c r="AR5" s="189">
        <f>IFERROR(IF(AK$1="Gesamt",AVERAGEIF(Eingabe[Name],Fehler[[#This Row],[Name]],Eingabe[F3]),IF(AK$1="Heim",AVERAGEIFS(Eingabe[F3],Eingabe[Name],Fehler[[#This Row],[Name]],Eingabe[Wo],"H"),IF(AK$1="Auswärts",AVERAGEIFS(Eingabe[F1],Eingabe[Name],Fehler[[#This Row],[Name]],Eingabe[Wo],"A"),""))),"")</f>
        <v>2.2307692307692308</v>
      </c>
      <c r="AS5" s="189">
        <f>IFERROR(ROUND(Fehler[[#This Row],[F3]]-Fehler[[#This Row],[Fehler Bahn Schnitt]],1),"")</f>
        <v>0</v>
      </c>
      <c r="AT5" s="189">
        <f>IFERROR(IF(AK$1="Gesamt",AVERAGEIF(Eingabe[Name],Fehler[[#This Row],[Name]],Eingabe[F4]),IF(AK$1="Heim",AVERAGEIFS(Eingabe[F4],Eingabe[Name],Fehler[[#This Row],[Name]],Eingabe[Wo],"H"),IF(AK$1="Auswärts",AVERAGEIFS(Eingabe[F1],Eingabe[Name],Fehler[[#This Row],[Name]],Eingabe[Wo],"A"),""))),"")</f>
        <v>1.8461538461538463</v>
      </c>
      <c r="AU5" s="189">
        <f>IFERROR(ROUND(Fehler[[#This Row],[F4]]-Fehler[[#This Row],[Fehler Bahn Schnitt]],1),"")</f>
        <v>-0.4</v>
      </c>
    </row>
    <row r="6" spans="1:47" ht="15.6" x14ac:dyDescent="0.3">
      <c r="A6" s="335" t="s">
        <v>459</v>
      </c>
      <c r="B6" s="189" t="str">
        <f>IFERROR(ROUND(IF($A$1="Gesamt",AVERAGEIF(Eingabe[Name],Bahnen[[#This Row],[Name]],Eingabe[GES]),IF($A$1="Heim",AVERAGEIFS(Eingabe[GES],Eingabe[Name],Bahnen[[#This Row],[Name]],Eingabe[Wo],"H"),IF($A$1="Auswärts",AVERAGEIFS(Eingabe[GES],Eingabe[Name],Bahnen[[#This Row],[Name]],Eingabe[Wo],"A"),""))),0),"")</f>
        <v/>
      </c>
      <c r="C6" s="189" t="str">
        <f>IFERROR(Bahnen[[#This Row],[Schnitt]]/4,"")</f>
        <v/>
      </c>
      <c r="D6" s="189" t="str">
        <f>IFERROR(IF($A$1="Gesamt",AVERAGEIF(Eingabe[Name],Bahnen[[#This Row],[Name]],Eingabe[S1]),IF($A$1="Heim",AVERAGEIFS(Eingabe[S-NR],Eingabe[Name],Bahnen[[#This Row],[Name]],Eingabe[Wo],"H"),IF($A$1="Auswärts",AVERAGEIFS(Eingabe[S1],Eingabe[Name],Bahnen[[#This Row],[Name]],Eingabe[Wo],"A"),""))),"")</f>
        <v/>
      </c>
      <c r="E6" s="189" t="str">
        <f>IFERROR(ROUND(Bahnen[[#This Row],[S1]]-Bahnen[[#This Row],[Bahn Schnitt]],1),"")</f>
        <v/>
      </c>
      <c r="F6" s="189" t="str">
        <f>IFERROR(IF($A$1="Gesamt",AVERAGEIF(Eingabe[Name],Bahnen[[#This Row],[Name]],Eingabe[S2]),IF($A$1="Heim",AVERAGEIFS(Eingabe[S2],Eingabe[Name],Bahnen[[#This Row],[Name]],Eingabe[Wo],"H"),IF($A$1="Auswärts",AVERAGEIFS(Eingabe[S2],Eingabe[Name],Bahnen[[#This Row],[Name]],Eingabe[Wo],"A"),""))),"")</f>
        <v/>
      </c>
      <c r="G6" s="189" t="str">
        <f>IFERROR(ROUND(Bahnen[[#This Row],[S2]]-Bahnen[[#This Row],[Bahn Schnitt]],1),"")</f>
        <v/>
      </c>
      <c r="H6" s="189" t="str">
        <f>IFERROR(IF($A$1="Gesamt",AVERAGEIF(Eingabe[Name],Bahnen[[#This Row],[Name]],Eingabe[S3]),IF($A$1="Heim",AVERAGEIFS(Eingabe[S3],Eingabe[Name],Bahnen[[#This Row],[Name]],Eingabe[Wo],"H"),IF($A$1="Auswärts",AVERAGEIFS(Eingabe[S-NR],Eingabe[Name],Bahnen[[#This Row],[Name]],Eingabe[Wo],"A"),""))),"")</f>
        <v/>
      </c>
      <c r="I6" s="189" t="str">
        <f>IFERROR(ROUND(Bahnen[[#This Row],[S3]]-Bahnen[[#This Row],[Bahn Schnitt]],1),"")</f>
        <v/>
      </c>
      <c r="J6" s="189" t="str">
        <f>IFERROR(IF($A$1="Gesamt",AVERAGEIF(Eingabe[Name],Bahnen[[#This Row],[Name]],Eingabe[S4]),IF($A$1="Heim",AVERAGEIFS(Eingabe[S4],Eingabe[Name],Bahnen[[#This Row],[Name]],Eingabe[Wo],"H"),IF($A$1="Auswärts",AVERAGEIFS(Eingabe[S-NR],Eingabe[Name],Bahnen[[#This Row],[Name]],Eingabe[Wo],"A"),""))),"")</f>
        <v/>
      </c>
      <c r="K6" s="189" t="str">
        <f>IFERROR(ROUND(Bahnen[[#This Row],[S4]]-Bahnen[[#This Row],[Bahn Schnitt]],1),"")</f>
        <v/>
      </c>
      <c r="M6" s="335" t="str">
        <f>Bahnen[[#This Row],[Name]]</f>
        <v>Ben Becker</v>
      </c>
      <c r="N6" s="189" t="str">
        <f>IFERROR(ROUND(IF($M$1="Gesamt",AVERAGEIF(Eingabe[Name],Volle[[#This Row],[Name]],Eingabe[Volle]),IF($M$1="Heim",AVERAGEIFS(Eingabe[Volle],Eingabe[Name],Volle[[#This Row],[Name]],Eingabe[Wo],"H"),IF($M$1="Auswärts",AVERAGEIFS(Eingabe[Volle],Eingabe[Name],Volle[[#This Row],[Name]],Eingabe[Wo],"A"),""))),0),"")</f>
        <v/>
      </c>
      <c r="O6" s="189" t="str">
        <f>IFERROR(Volle[[#This Row],[Volle Schnitt]]/4,"")</f>
        <v/>
      </c>
      <c r="P6" s="189" t="str">
        <f>IFERROR(IF($M$1="Gesamt",AVERAGEIF(Eingabe[Name],Volle[[#This Row],[Name]],Eingabe[V1]),IF($M$1="Heim",AVERAGEIFS(Eingabe[V1],Eingabe[Name],Volle[[#This Row],[Name]],Eingabe[Wo],"H"),IF($M$1="Auswärts",AVERAGEIFS(Eingabe[V1],Eingabe[Name],Volle[[#This Row],[Name]],Eingabe[Wo],"A"),""))),"")</f>
        <v/>
      </c>
      <c r="Q6" s="189" t="str">
        <f>IFERROR(ROUND(Volle[[#This Row],[V1]]-Volle[[#This Row],[Volle Bahn Schnitt]],1),"")</f>
        <v/>
      </c>
      <c r="R6" s="189" t="str">
        <f>IFERROR(IF($M$1="Gesamt",AVERAGEIF(Eingabe[Name],Volle[[#This Row],[Name]],Eingabe[V2]),IF($M$1="Heim",AVERAGEIFS(Eingabe[V2],Eingabe[Name],Volle[[#This Row],[Name]],Eingabe[Wo],"H"),IF($M$1="Auswärts",AVERAGEIFS(Eingabe[V2],Eingabe[Name],Volle[[#This Row],[Name]],Eingabe[Wo],"A"),""))),"")</f>
        <v/>
      </c>
      <c r="S6" s="189" t="str">
        <f>IFERROR(ROUND(Volle[[#This Row],[V2]]-Volle[[#This Row],[Volle Bahn Schnitt]],1),"")</f>
        <v/>
      </c>
      <c r="T6" s="189" t="str">
        <f>IFERROR(IF($M$1="Gesamt",AVERAGEIF(Eingabe[Name],Volle[[#This Row],[Name]],Eingabe[V3]),IF($M$1="Heim",AVERAGEIFS(Eingabe[V3],Eingabe[Name],Volle[[#This Row],[Name]],Eingabe[Wo],"H"),IF($M$1="Auswärts",AVERAGEIFS(Eingabe[V3],Eingabe[Name],Volle[[#This Row],[Name]],Eingabe[Wo],"A"),""))),"")</f>
        <v/>
      </c>
      <c r="U6" s="189" t="str">
        <f>IFERROR(ROUND(Volle[[#This Row],[V3]]-Volle[[#This Row],[Volle Bahn Schnitt]],1),"")</f>
        <v/>
      </c>
      <c r="V6" s="189" t="str">
        <f>IFERROR(IF($M$1="Gesamt",AVERAGEIF(Eingabe[Name],Volle[[#This Row],[Name]],Eingabe[V4]),IF($M$1="Heim",AVERAGEIFS(Eingabe[V4],Eingabe[Name],Volle[[#This Row],[Name]],Eingabe[Wo],"H"),IF($M$1="Auswärts",AVERAGEIFS(Eingabe[V4],Eingabe[Name],Volle[[#This Row],[Name]],Eingabe[Wo],"A"),""))),"")</f>
        <v/>
      </c>
      <c r="W6" s="340" t="str">
        <f>IFERROR(ROUND(Volle[[#This Row],[V4]]-Volle[[#This Row],[Volle Bahn Schnitt]],1),"")</f>
        <v/>
      </c>
      <c r="Y6" s="335" t="str">
        <f>Bahnen[[#This Row],[Name]]</f>
        <v>Ben Becker</v>
      </c>
      <c r="Z6" s="189" t="str">
        <f>IFERROR(ROUND(IF(Y$1="Gesamt",AVERAGEIF(Eingabe[Name],Räumer[[#This Row],[Name]],Eingabe[Räumer]),IF(Y$1="Heim",AVERAGEIFS(Eingabe[Räumer],Eingabe[Name],Räumer[[#This Row],[Name]],Eingabe[Wo],"H"),IF(Y$1="Auswärts",AVERAGEIFS(Eingabe[Räumer],Eingabe[Name],Räumer[[#This Row],[Name]],Eingabe[Wo],"A"),""))),0),"")</f>
        <v/>
      </c>
      <c r="AA6" s="189" t="str">
        <f>IFERROR(Räumer[[#This Row],[Räumer Schnitt]]/4,"")</f>
        <v/>
      </c>
      <c r="AB6" s="189" t="str">
        <f>IFERROR(IF(Y$1="Gesamt",AVERAGEIF(Eingabe[Name],Räumer[[#This Row],[Name]],Eingabe[R1]),IF(Y$1="Heim",AVERAGEIFS(Eingabe[R1],Eingabe[Name],Räumer[[#This Row],[Name]],Eingabe[Wo],"H"),IF(Y$1="Auswärts",AVERAGEIFS(Eingabe[R1],Eingabe[Name],Räumer[[#This Row],[Name]],Eingabe[Wo],"A"),""))),"")</f>
        <v/>
      </c>
      <c r="AC6" s="189" t="str">
        <f>IFERROR(ROUND(Räumer[[#This Row],[R1]]-Räumer[[#This Row],[Räumer Bahn Schnitt]],1),"")</f>
        <v/>
      </c>
      <c r="AD6" s="189" t="str">
        <f>IFERROR(IF(Y$1="Gesamt",AVERAGEIF(Eingabe[Name],Räumer[[#This Row],[Name]],Eingabe[R2]),IF(Y$1="Heim",AVERAGEIFS(Eingabe[R2],Eingabe[Name],Räumer[[#This Row],[Name]],Eingabe[Wo],"H"),IF(Y$1="Auswärts",AVERAGEIFS(Eingabe[R2],Eingabe[Name],Räumer[[#This Row],[Name]],Eingabe[Wo],"A"),""))),"")</f>
        <v/>
      </c>
      <c r="AE6" s="189" t="str">
        <f>IFERROR(ROUND(Räumer[[#This Row],[R2]]-Räumer[[#This Row],[Räumer Bahn Schnitt]],1),"")</f>
        <v/>
      </c>
      <c r="AF6" s="189" t="str">
        <f>IFERROR(IF(Y$1="Gesamt",AVERAGEIF(Eingabe[Name],Räumer[[#This Row],[Name]],Eingabe[R3]),IF(Y$1="Heim",AVERAGEIFS(Eingabe[R3],Eingabe[Name],Räumer[[#This Row],[Name]],Eingabe[Wo],"H"),IF(Y$1="Auswärts",AVERAGEIFS(Eingabe[R3],Eingabe[Name],Räumer[[#This Row],[Name]],Eingabe[Wo],"A"),""))),"")</f>
        <v/>
      </c>
      <c r="AG6" s="189" t="str">
        <f>IFERROR(ROUND(Räumer[[#This Row],[R3]]-Räumer[[#This Row],[Räumer Bahn Schnitt]],1),"")</f>
        <v/>
      </c>
      <c r="AH6" s="189" t="str">
        <f>IFERROR(IF(Y$1="Gesamt",AVERAGEIF(Eingabe[Name],Räumer[[#This Row],[Name]],Eingabe[R4]),IF(Y$1="Heim",AVERAGEIFS(Eingabe[R4],Eingabe[Name],Räumer[[#This Row],[Name]],Eingabe[Wo],"H"),IF(Y$1="Auswärts",AVERAGEIFS(Eingabe[R4],Eingabe[Name],Räumer[[#This Row],[Name]],Eingabe[Wo],"A"),""))),"")</f>
        <v/>
      </c>
      <c r="AI6" s="189" t="str">
        <f>IFERROR(ROUND(Räumer[[#This Row],[R4]]-Räumer[[#This Row],[Räumer Bahn Schnitt]],1),"")</f>
        <v/>
      </c>
      <c r="AK6" s="335" t="str">
        <f>Bahnen[[#This Row],[Name]]</f>
        <v>Ben Becker</v>
      </c>
      <c r="AL6" s="189" t="str">
        <f>IFERROR(ROUND(IF(AK$1="Gesamt",AVERAGEIF(Eingabe[Name],Fehler[[#This Row],[Name]],Eingabe[Fehler]),IF(AK$1="Heim",AVERAGEIFS(Eingabe[Fehler],Eingabe[Name],Fehler[[#This Row],[Name]],Eingabe[Wo],"H"),IF(AK$1="Auswärts",AVERAGEIFS(Eingabe[Fehler],Eingabe[Name],Fehler[[#This Row],[Name]],Eingabe[Wo],"A"),""))),0),"")</f>
        <v/>
      </c>
      <c r="AM6" s="189" t="str">
        <f>IFERROR(Fehler[[#This Row],[Fehler Schnitt]]/4,"")</f>
        <v/>
      </c>
      <c r="AN6" s="189" t="str">
        <f>IFERROR(IF(AK$1="Gesamt",AVERAGEIF(Eingabe[Name],Fehler[[#This Row],[Name]],Eingabe[F1]),IF(AK$1="Heim",AVERAGEIFS(Eingabe[F1],Eingabe[Name],Fehler[[#This Row],[Name]],Eingabe[Wo],"H"),IF(AK$1="Auswärts",AVERAGEIFS(Eingabe[F1],Eingabe[Name],Fehler[[#This Row],[Name]],Eingabe[Wo],"A"),""))),"")</f>
        <v/>
      </c>
      <c r="AO6" s="189" t="str">
        <f>IFERROR(ROUND(Fehler[[#This Row],[F1]]-Fehler[[#This Row],[Fehler Bahn Schnitt]],1),"")</f>
        <v/>
      </c>
      <c r="AP6" s="189" t="str">
        <f>IFERROR(IF(AK$1="Gesamt",AVERAGEIF(Eingabe[Name],Fehler[[#This Row],[Name]],Eingabe[F2]),IF(AK$1="Heim",AVERAGEIFS(Eingabe[F2],Eingabe[Name],Fehler[[#This Row],[Name]],Eingabe[Wo],"H"),IF(AK$1="Auswärts",AVERAGEIFS(Eingabe[F2],Eingabe[Name],Fehler[[#This Row],[Name]],Eingabe[Wo],"A"),""))),"")</f>
        <v/>
      </c>
      <c r="AQ6" s="189" t="str">
        <f>IFERROR(ROUND(Fehler[[#This Row],[F2]]-Fehler[[#This Row],[Fehler Bahn Schnitt]],1),"")</f>
        <v/>
      </c>
      <c r="AR6" s="189" t="str">
        <f>IFERROR(IF(AK$1="Gesamt",AVERAGEIF(Eingabe[Name],Fehler[[#This Row],[Name]],Eingabe[F3]),IF(AK$1="Heim",AVERAGEIFS(Eingabe[F3],Eingabe[Name],Fehler[[#This Row],[Name]],Eingabe[Wo],"H"),IF(AK$1="Auswärts",AVERAGEIFS(Eingabe[F1],Eingabe[Name],Fehler[[#This Row],[Name]],Eingabe[Wo],"A"),""))),"")</f>
        <v/>
      </c>
      <c r="AS6" s="189" t="str">
        <f>IFERROR(ROUND(Fehler[[#This Row],[F3]]-Fehler[[#This Row],[Fehler Bahn Schnitt]],1),"")</f>
        <v/>
      </c>
      <c r="AT6" s="189" t="str">
        <f>IFERROR(IF(AK$1="Gesamt",AVERAGEIF(Eingabe[Name],Fehler[[#This Row],[Name]],Eingabe[F4]),IF(AK$1="Heim",AVERAGEIFS(Eingabe[F4],Eingabe[Name],Fehler[[#This Row],[Name]],Eingabe[Wo],"H"),IF(AK$1="Auswärts",AVERAGEIFS(Eingabe[F1],Eingabe[Name],Fehler[[#This Row],[Name]],Eingabe[Wo],"A"),""))),"")</f>
        <v/>
      </c>
      <c r="AU6" s="189" t="str">
        <f>IFERROR(ROUND(Fehler[[#This Row],[F4]]-Fehler[[#This Row],[Fehler Bahn Schnitt]],1),"")</f>
        <v/>
      </c>
    </row>
    <row r="7" spans="1:47" ht="15.6" x14ac:dyDescent="0.3">
      <c r="A7" s="335" t="s">
        <v>591</v>
      </c>
      <c r="B7" s="189">
        <f>IFERROR(ROUND(IF($A$1="Gesamt",AVERAGEIF(Eingabe[Name],Bahnen[[#This Row],[Name]],Eingabe[GES]),IF($A$1="Heim",AVERAGEIFS(Eingabe[GES],Eingabe[Name],Bahnen[[#This Row],[Name]],Eingabe[Wo],"H"),IF($A$1="Auswärts",AVERAGEIFS(Eingabe[GES],Eingabe[Name],Bahnen[[#This Row],[Name]],Eingabe[Wo],"A"),""))),0),"")</f>
        <v>330</v>
      </c>
      <c r="C7" s="189">
        <f>IFERROR(Bahnen[[#This Row],[Schnitt]]/4,"")</f>
        <v>82.5</v>
      </c>
      <c r="D7" s="189">
        <f>IFERROR(IF($A$1="Gesamt",AVERAGEIF(Eingabe[Name],Bahnen[[#This Row],[Name]],Eingabe[S1]),IF($A$1="Heim",AVERAGEIFS(Eingabe[S-NR],Eingabe[Name],Bahnen[[#This Row],[Name]],Eingabe[Wo],"H"),IF($A$1="Auswärts",AVERAGEIFS(Eingabe[S1],Eingabe[Name],Bahnen[[#This Row],[Name]],Eingabe[Wo],"A"),""))),"")</f>
        <v>81.8</v>
      </c>
      <c r="E7" s="189">
        <f>IFERROR(ROUND(Bahnen[[#This Row],[S1]]-Bahnen[[#This Row],[Bahn Schnitt]],1),"")</f>
        <v>-0.7</v>
      </c>
      <c r="F7" s="189">
        <f>IFERROR(IF($A$1="Gesamt",AVERAGEIF(Eingabe[Name],Bahnen[[#This Row],[Name]],Eingabe[S2]),IF($A$1="Heim",AVERAGEIFS(Eingabe[S2],Eingabe[Name],Bahnen[[#This Row],[Name]],Eingabe[Wo],"H"),IF($A$1="Auswärts",AVERAGEIFS(Eingabe[S2],Eingabe[Name],Bahnen[[#This Row],[Name]],Eingabe[Wo],"A"),""))),"")</f>
        <v>93.2</v>
      </c>
      <c r="G7" s="189">
        <f>IFERROR(ROUND(Bahnen[[#This Row],[S2]]-Bahnen[[#This Row],[Bahn Schnitt]],1),"")</f>
        <v>10.7</v>
      </c>
      <c r="H7" s="189">
        <f>IFERROR(IF($A$1="Gesamt",AVERAGEIF(Eingabe[Name],Bahnen[[#This Row],[Name]],Eingabe[S3]),IF($A$1="Heim",AVERAGEIFS(Eingabe[S3],Eingabe[Name],Bahnen[[#This Row],[Name]],Eingabe[Wo],"H"),IF($A$1="Auswärts",AVERAGEIFS(Eingabe[S-NR],Eingabe[Name],Bahnen[[#This Row],[Name]],Eingabe[Wo],"A"),""))),"")</f>
        <v>70.2</v>
      </c>
      <c r="I7" s="189">
        <f>IFERROR(ROUND(Bahnen[[#This Row],[S3]]-Bahnen[[#This Row],[Bahn Schnitt]],1),"")</f>
        <v>-12.3</v>
      </c>
      <c r="J7" s="189">
        <f>IFERROR(IF($A$1="Gesamt",AVERAGEIF(Eingabe[Name],Bahnen[[#This Row],[Name]],Eingabe[S4]),IF($A$1="Heim",AVERAGEIFS(Eingabe[S4],Eingabe[Name],Bahnen[[#This Row],[Name]],Eingabe[Wo],"H"),IF($A$1="Auswärts",AVERAGEIFS(Eingabe[S-NR],Eingabe[Name],Bahnen[[#This Row],[Name]],Eingabe[Wo],"A"),""))),"")</f>
        <v>86.6</v>
      </c>
      <c r="K7" s="189">
        <f>IFERROR(ROUND(Bahnen[[#This Row],[S4]]-Bahnen[[#This Row],[Bahn Schnitt]],1),"")</f>
        <v>4.0999999999999996</v>
      </c>
      <c r="M7" s="335" t="str">
        <f>Bahnen[[#This Row],[Name]]</f>
        <v>Ben Böhmer</v>
      </c>
      <c r="N7" s="189">
        <f>IFERROR(ROUND(IF($M$1="Gesamt",AVERAGEIF(Eingabe[Name],Volle[[#This Row],[Name]],Eingabe[Volle]),IF($M$1="Heim",AVERAGEIFS(Eingabe[Volle],Eingabe[Name],Volle[[#This Row],[Name]],Eingabe[Wo],"H"),IF($M$1="Auswärts",AVERAGEIFS(Eingabe[Volle],Eingabe[Name],Volle[[#This Row],[Name]],Eingabe[Wo],"A"),""))),0),"")</f>
        <v>251</v>
      </c>
      <c r="O7" s="189">
        <f>IFERROR(Volle[[#This Row],[Volle Schnitt]]/4,"")</f>
        <v>62.75</v>
      </c>
      <c r="P7" s="189">
        <f>IFERROR(IF($M$1="Gesamt",AVERAGEIF(Eingabe[Name],Volle[[#This Row],[Name]],Eingabe[V1]),IF($M$1="Heim",AVERAGEIFS(Eingabe[V1],Eingabe[Name],Volle[[#This Row],[Name]],Eingabe[Wo],"H"),IF($M$1="Auswärts",AVERAGEIFS(Eingabe[V1],Eingabe[Name],Volle[[#This Row],[Name]],Eingabe[Wo],"A"),""))),"")</f>
        <v>63.4</v>
      </c>
      <c r="Q7" s="189">
        <f>IFERROR(ROUND(Volle[[#This Row],[V1]]-Volle[[#This Row],[Volle Bahn Schnitt]],1),"")</f>
        <v>0.6</v>
      </c>
      <c r="R7" s="189">
        <f>IFERROR(IF($M$1="Gesamt",AVERAGEIF(Eingabe[Name],Volle[[#This Row],[Name]],Eingabe[V2]),IF($M$1="Heim",AVERAGEIFS(Eingabe[V2],Eingabe[Name],Volle[[#This Row],[Name]],Eingabe[Wo],"H"),IF($M$1="Auswärts",AVERAGEIFS(Eingabe[V2],Eingabe[Name],Volle[[#This Row],[Name]],Eingabe[Wo],"A"),""))),"")</f>
        <v>67.599999999999994</v>
      </c>
      <c r="S7" s="189">
        <f>IFERROR(ROUND(Volle[[#This Row],[V2]]-Volle[[#This Row],[Volle Bahn Schnitt]],1),"")</f>
        <v>4.8</v>
      </c>
      <c r="T7" s="189">
        <f>IFERROR(IF($M$1="Gesamt",AVERAGEIF(Eingabe[Name],Volle[[#This Row],[Name]],Eingabe[V3]),IF($M$1="Heim",AVERAGEIFS(Eingabe[V3],Eingabe[Name],Volle[[#This Row],[Name]],Eingabe[Wo],"H"),IF($M$1="Auswärts",AVERAGEIFS(Eingabe[V3],Eingabe[Name],Volle[[#This Row],[Name]],Eingabe[Wo],"A"),""))),"")</f>
        <v>55.4</v>
      </c>
      <c r="U7" s="189">
        <f>IFERROR(ROUND(Volle[[#This Row],[V3]]-Volle[[#This Row],[Volle Bahn Schnitt]],1),"")</f>
        <v>-7.4</v>
      </c>
      <c r="V7" s="189">
        <f>IFERROR(IF($M$1="Gesamt",AVERAGEIF(Eingabe[Name],Volle[[#This Row],[Name]],Eingabe[V4]),IF($M$1="Heim",AVERAGEIFS(Eingabe[V4],Eingabe[Name],Volle[[#This Row],[Name]],Eingabe[Wo],"H"),IF($M$1="Auswärts",AVERAGEIFS(Eingabe[V4],Eingabe[Name],Volle[[#This Row],[Name]],Eingabe[Wo],"A"),""))),"")</f>
        <v>66.8</v>
      </c>
      <c r="W7" s="340">
        <f>IFERROR(ROUND(Volle[[#This Row],[V4]]-Volle[[#This Row],[Volle Bahn Schnitt]],1),"")</f>
        <v>4.0999999999999996</v>
      </c>
      <c r="Y7" s="335" t="str">
        <f>Bahnen[[#This Row],[Name]]</f>
        <v>Ben Böhmer</v>
      </c>
      <c r="Z7" s="189">
        <f>IFERROR(ROUND(IF(Y$1="Gesamt",AVERAGEIF(Eingabe[Name],Räumer[[#This Row],[Name]],Eingabe[Räumer]),IF(Y$1="Heim",AVERAGEIFS(Eingabe[Räumer],Eingabe[Name],Räumer[[#This Row],[Name]],Eingabe[Wo],"H"),IF(Y$1="Auswärts",AVERAGEIFS(Eingabe[Räumer],Eingabe[Name],Räumer[[#This Row],[Name]],Eingabe[Wo],"A"),""))),0),"")</f>
        <v>79</v>
      </c>
      <c r="AA7" s="189">
        <f>IFERROR(Räumer[[#This Row],[Räumer Schnitt]]/4,"")</f>
        <v>19.75</v>
      </c>
      <c r="AB7" s="189">
        <f>IFERROR(IF(Y$1="Gesamt",AVERAGEIF(Eingabe[Name],Räumer[[#This Row],[Name]],Eingabe[R1]),IF(Y$1="Heim",AVERAGEIFS(Eingabe[R1],Eingabe[Name],Räumer[[#This Row],[Name]],Eingabe[Wo],"H"),IF(Y$1="Auswärts",AVERAGEIFS(Eingabe[R1],Eingabe[Name],Räumer[[#This Row],[Name]],Eingabe[Wo],"A"),""))),"")</f>
        <v>18.399999999999999</v>
      </c>
      <c r="AC7" s="189">
        <f>IFERROR(ROUND(Räumer[[#This Row],[R1]]-Räumer[[#This Row],[Räumer Bahn Schnitt]],1),"")</f>
        <v>-1.4</v>
      </c>
      <c r="AD7" s="189">
        <f>IFERROR(IF(Y$1="Gesamt",AVERAGEIF(Eingabe[Name],Räumer[[#This Row],[Name]],Eingabe[R2]),IF(Y$1="Heim",AVERAGEIFS(Eingabe[R2],Eingabe[Name],Räumer[[#This Row],[Name]],Eingabe[Wo],"H"),IF(Y$1="Auswärts",AVERAGEIFS(Eingabe[R2],Eingabe[Name],Räumer[[#This Row],[Name]],Eingabe[Wo],"A"),""))),"")</f>
        <v>25.6</v>
      </c>
      <c r="AE7" s="189">
        <f>IFERROR(ROUND(Räumer[[#This Row],[R2]]-Räumer[[#This Row],[Räumer Bahn Schnitt]],1),"")</f>
        <v>5.9</v>
      </c>
      <c r="AF7" s="189">
        <f>IFERROR(IF(Y$1="Gesamt",AVERAGEIF(Eingabe[Name],Räumer[[#This Row],[Name]],Eingabe[R3]),IF(Y$1="Heim",AVERAGEIFS(Eingabe[R3],Eingabe[Name],Räumer[[#This Row],[Name]],Eingabe[Wo],"H"),IF(Y$1="Auswärts",AVERAGEIFS(Eingabe[R3],Eingabe[Name],Räumer[[#This Row],[Name]],Eingabe[Wo],"A"),""))),"")</f>
        <v>14.8</v>
      </c>
      <c r="AG7" s="189">
        <f>IFERROR(ROUND(Räumer[[#This Row],[R3]]-Räumer[[#This Row],[Räumer Bahn Schnitt]],1),"")</f>
        <v>-5</v>
      </c>
      <c r="AH7" s="189">
        <f>IFERROR(IF(Y$1="Gesamt",AVERAGEIF(Eingabe[Name],Räumer[[#This Row],[Name]],Eingabe[R4]),IF(Y$1="Heim",AVERAGEIFS(Eingabe[R4],Eingabe[Name],Räumer[[#This Row],[Name]],Eingabe[Wo],"H"),IF(Y$1="Auswärts",AVERAGEIFS(Eingabe[R4],Eingabe[Name],Räumer[[#This Row],[Name]],Eingabe[Wo],"A"),""))),"")</f>
        <v>19.8</v>
      </c>
      <c r="AI7" s="189">
        <f>IFERROR(ROUND(Räumer[[#This Row],[R4]]-Räumer[[#This Row],[Räumer Bahn Schnitt]],1),"")</f>
        <v>0.1</v>
      </c>
      <c r="AK7" s="335" t="str">
        <f>Bahnen[[#This Row],[Name]]</f>
        <v>Ben Böhmer</v>
      </c>
      <c r="AL7" s="189">
        <f>IFERROR(ROUND(IF(AK$1="Gesamt",AVERAGEIF(Eingabe[Name],Fehler[[#This Row],[Name]],Eingabe[Fehler]),IF(AK$1="Heim",AVERAGEIFS(Eingabe[Fehler],Eingabe[Name],Fehler[[#This Row],[Name]],Eingabe[Wo],"H"),IF(AK$1="Auswärts",AVERAGEIFS(Eingabe[Fehler],Eingabe[Name],Fehler[[#This Row],[Name]],Eingabe[Wo],"A"),""))),0),"")</f>
        <v>37</v>
      </c>
      <c r="AM7" s="189">
        <f>IFERROR(Fehler[[#This Row],[Fehler Schnitt]]/4,"")</f>
        <v>9.25</v>
      </c>
      <c r="AN7" s="189">
        <f>IFERROR(IF(AK$1="Gesamt",AVERAGEIF(Eingabe[Name],Fehler[[#This Row],[Name]],Eingabe[F1]),IF(AK$1="Heim",AVERAGEIFS(Eingabe[F1],Eingabe[Name],Fehler[[#This Row],[Name]],Eingabe[Wo],"H"),IF(AK$1="Auswärts",AVERAGEIFS(Eingabe[F1],Eingabe[Name],Fehler[[#This Row],[Name]],Eingabe[Wo],"A"),""))),"")</f>
        <v>10.199999999999999</v>
      </c>
      <c r="AO7" s="189">
        <f>IFERROR(ROUND(Fehler[[#This Row],[F1]]-Fehler[[#This Row],[Fehler Bahn Schnitt]],1),"")</f>
        <v>0.9</v>
      </c>
      <c r="AP7" s="189">
        <f>IFERROR(IF(AK$1="Gesamt",AVERAGEIF(Eingabe[Name],Fehler[[#This Row],[Name]],Eingabe[F2]),IF(AK$1="Heim",AVERAGEIFS(Eingabe[F2],Eingabe[Name],Fehler[[#This Row],[Name]],Eingabe[Wo],"H"),IF(AK$1="Auswärts",AVERAGEIFS(Eingabe[F2],Eingabe[Name],Fehler[[#This Row],[Name]],Eingabe[Wo],"A"),""))),"")</f>
        <v>7.6</v>
      </c>
      <c r="AQ7" s="189">
        <f>IFERROR(ROUND(Fehler[[#This Row],[F2]]-Fehler[[#This Row],[Fehler Bahn Schnitt]],1),"")</f>
        <v>-1.7</v>
      </c>
      <c r="AR7" s="189">
        <f>IFERROR(IF(AK$1="Gesamt",AVERAGEIF(Eingabe[Name],Fehler[[#This Row],[Name]],Eingabe[F3]),IF(AK$1="Heim",AVERAGEIFS(Eingabe[F3],Eingabe[Name],Fehler[[#This Row],[Name]],Eingabe[Wo],"H"),IF(AK$1="Auswärts",AVERAGEIFS(Eingabe[F1],Eingabe[Name],Fehler[[#This Row],[Name]],Eingabe[Wo],"A"),""))),"")</f>
        <v>10.4</v>
      </c>
      <c r="AS7" s="189">
        <f>IFERROR(ROUND(Fehler[[#This Row],[F3]]-Fehler[[#This Row],[Fehler Bahn Schnitt]],1),"")</f>
        <v>1.2</v>
      </c>
      <c r="AT7" s="189">
        <f>IFERROR(IF(AK$1="Gesamt",AVERAGEIF(Eingabe[Name],Fehler[[#This Row],[Name]],Eingabe[F4]),IF(AK$1="Heim",AVERAGEIFS(Eingabe[F4],Eingabe[Name],Fehler[[#This Row],[Name]],Eingabe[Wo],"H"),IF(AK$1="Auswärts",AVERAGEIFS(Eingabe[F1],Eingabe[Name],Fehler[[#This Row],[Name]],Eingabe[Wo],"A"),""))),"")</f>
        <v>9.6</v>
      </c>
      <c r="AU7" s="189">
        <f>IFERROR(ROUND(Fehler[[#This Row],[F4]]-Fehler[[#This Row],[Fehler Bahn Schnitt]],1),"")</f>
        <v>0.4</v>
      </c>
    </row>
    <row r="8" spans="1:47" ht="15.6" x14ac:dyDescent="0.3">
      <c r="A8" s="335" t="s">
        <v>473</v>
      </c>
      <c r="B8" s="189">
        <f>IFERROR(ROUND(IF($A$1="Gesamt",AVERAGEIF(Eingabe[Name],Bahnen[[#This Row],[Name]],Eingabe[GES]),IF($A$1="Heim",AVERAGEIFS(Eingabe[GES],Eingabe[Name],Bahnen[[#This Row],[Name]],Eingabe[Wo],"H"),IF($A$1="Auswärts",AVERAGEIFS(Eingabe[GES],Eingabe[Name],Bahnen[[#This Row],[Name]],Eingabe[Wo],"A"),""))),0),"")</f>
        <v>386</v>
      </c>
      <c r="C8" s="189">
        <f>IFERROR(Bahnen[[#This Row],[Schnitt]]/4,"")</f>
        <v>96.5</v>
      </c>
      <c r="D8" s="189">
        <f>IFERROR(IF($A$1="Gesamt",AVERAGEIF(Eingabe[Name],Bahnen[[#This Row],[Name]],Eingabe[S1]),IF($A$1="Heim",AVERAGEIFS(Eingabe[S-NR],Eingabe[Name],Bahnen[[#This Row],[Name]],Eingabe[Wo],"H"),IF($A$1="Auswärts",AVERAGEIFS(Eingabe[S1],Eingabe[Name],Bahnen[[#This Row],[Name]],Eingabe[Wo],"A"),""))),"")</f>
        <v>100</v>
      </c>
      <c r="E8" s="189">
        <f>IFERROR(ROUND(Bahnen[[#This Row],[S1]]-Bahnen[[#This Row],[Bahn Schnitt]],1),"")</f>
        <v>3.5</v>
      </c>
      <c r="F8" s="189">
        <f>IFERROR(IF($A$1="Gesamt",AVERAGEIF(Eingabe[Name],Bahnen[[#This Row],[Name]],Eingabe[S2]),IF($A$1="Heim",AVERAGEIFS(Eingabe[S2],Eingabe[Name],Bahnen[[#This Row],[Name]],Eingabe[Wo],"H"),IF($A$1="Auswärts",AVERAGEIFS(Eingabe[S2],Eingabe[Name],Bahnen[[#This Row],[Name]],Eingabe[Wo],"A"),""))),"")</f>
        <v>96.5</v>
      </c>
      <c r="G8" s="189">
        <f>IFERROR(ROUND(Bahnen[[#This Row],[S2]]-Bahnen[[#This Row],[Bahn Schnitt]],1),"")</f>
        <v>0</v>
      </c>
      <c r="H8" s="189">
        <f>IFERROR(IF($A$1="Gesamt",AVERAGEIF(Eingabe[Name],Bahnen[[#This Row],[Name]],Eingabe[S3]),IF($A$1="Heim",AVERAGEIFS(Eingabe[S3],Eingabe[Name],Bahnen[[#This Row],[Name]],Eingabe[Wo],"H"),IF($A$1="Auswärts",AVERAGEIFS(Eingabe[S-NR],Eingabe[Name],Bahnen[[#This Row],[Name]],Eingabe[Wo],"A"),""))),"")</f>
        <v>92.5</v>
      </c>
      <c r="I8" s="189">
        <f>IFERROR(ROUND(Bahnen[[#This Row],[S3]]-Bahnen[[#This Row],[Bahn Schnitt]],1),"")</f>
        <v>-4</v>
      </c>
      <c r="J8" s="189">
        <f>IFERROR(IF($A$1="Gesamt",AVERAGEIF(Eingabe[Name],Bahnen[[#This Row],[Name]],Eingabe[S4]),IF($A$1="Heim",AVERAGEIFS(Eingabe[S4],Eingabe[Name],Bahnen[[#This Row],[Name]],Eingabe[Wo],"H"),IF($A$1="Auswärts",AVERAGEIFS(Eingabe[S-NR],Eingabe[Name],Bahnen[[#This Row],[Name]],Eingabe[Wo],"A"),""))),"")</f>
        <v>98</v>
      </c>
      <c r="K8" s="189">
        <f>IFERROR(ROUND(Bahnen[[#This Row],[S4]]-Bahnen[[#This Row],[Bahn Schnitt]],1),"")</f>
        <v>1.5</v>
      </c>
      <c r="M8" s="335" t="str">
        <f>Bahnen[[#This Row],[Name]]</f>
        <v>Bruno Bergelt</v>
      </c>
      <c r="N8" s="189">
        <f>IFERROR(ROUND(IF($M$1="Gesamt",AVERAGEIF(Eingabe[Name],Volle[[#This Row],[Name]],Eingabe[Volle]),IF($M$1="Heim",AVERAGEIFS(Eingabe[Volle],Eingabe[Name],Volle[[#This Row],[Name]],Eingabe[Wo],"H"),IF($M$1="Auswärts",AVERAGEIFS(Eingabe[Volle],Eingabe[Name],Volle[[#This Row],[Name]],Eingabe[Wo],"A"),""))),0),"")</f>
        <v>283</v>
      </c>
      <c r="O8" s="189">
        <f>IFERROR(Volle[[#This Row],[Volle Schnitt]]/4,"")</f>
        <v>70.75</v>
      </c>
      <c r="P8" s="189">
        <f>IFERROR(IF($M$1="Gesamt",AVERAGEIF(Eingabe[Name],Volle[[#This Row],[Name]],Eingabe[V1]),IF($M$1="Heim",AVERAGEIFS(Eingabe[V1],Eingabe[Name],Volle[[#This Row],[Name]],Eingabe[Wo],"H"),IF($M$1="Auswärts",AVERAGEIFS(Eingabe[V1],Eingabe[Name],Volle[[#This Row],[Name]],Eingabe[Wo],"A"),""))),"")</f>
        <v>74</v>
      </c>
      <c r="Q8" s="189">
        <f>IFERROR(ROUND(Volle[[#This Row],[V1]]-Volle[[#This Row],[Volle Bahn Schnitt]],1),"")</f>
        <v>3.3</v>
      </c>
      <c r="R8" s="189">
        <f>IFERROR(IF($M$1="Gesamt",AVERAGEIF(Eingabe[Name],Volle[[#This Row],[Name]],Eingabe[V2]),IF($M$1="Heim",AVERAGEIFS(Eingabe[V2],Eingabe[Name],Volle[[#This Row],[Name]],Eingabe[Wo],"H"),IF($M$1="Auswärts",AVERAGEIFS(Eingabe[V2],Eingabe[Name],Volle[[#This Row],[Name]],Eingabe[Wo],"A"),""))),"")</f>
        <v>72.75</v>
      </c>
      <c r="S8" s="189">
        <f>IFERROR(ROUND(Volle[[#This Row],[V2]]-Volle[[#This Row],[Volle Bahn Schnitt]],1),"")</f>
        <v>2</v>
      </c>
      <c r="T8" s="189">
        <f>IFERROR(IF($M$1="Gesamt",AVERAGEIF(Eingabe[Name],Volle[[#This Row],[Name]],Eingabe[V3]),IF($M$1="Heim",AVERAGEIFS(Eingabe[V3],Eingabe[Name],Volle[[#This Row],[Name]],Eingabe[Wo],"H"),IF($M$1="Auswärts",AVERAGEIFS(Eingabe[V3],Eingabe[Name],Volle[[#This Row],[Name]],Eingabe[Wo],"A"),""))),"")</f>
        <v>64.25</v>
      </c>
      <c r="U8" s="189">
        <f>IFERROR(ROUND(Volle[[#This Row],[V3]]-Volle[[#This Row],[Volle Bahn Schnitt]],1),"")</f>
        <v>-6.5</v>
      </c>
      <c r="V8" s="189">
        <f>IFERROR(IF($M$1="Gesamt",AVERAGEIF(Eingabe[Name],Volle[[#This Row],[Name]],Eingabe[V4]),IF($M$1="Heim",AVERAGEIFS(Eingabe[V4],Eingabe[Name],Volle[[#This Row],[Name]],Eingabe[Wo],"H"),IF($M$1="Auswärts",AVERAGEIFS(Eingabe[V4],Eingabe[Name],Volle[[#This Row],[Name]],Eingabe[Wo],"A"),""))),"")</f>
        <v>71.75</v>
      </c>
      <c r="W8" s="340">
        <f>IFERROR(ROUND(Volle[[#This Row],[V4]]-Volle[[#This Row],[Volle Bahn Schnitt]],1),"")</f>
        <v>1</v>
      </c>
      <c r="Y8" s="335" t="str">
        <f>Bahnen[[#This Row],[Name]]</f>
        <v>Bruno Bergelt</v>
      </c>
      <c r="Z8" s="189">
        <f>IFERROR(ROUND(IF(Y$1="Gesamt",AVERAGEIF(Eingabe[Name],Räumer[[#This Row],[Name]],Eingabe[Räumer]),IF(Y$1="Heim",AVERAGEIFS(Eingabe[Räumer],Eingabe[Name],Räumer[[#This Row],[Name]],Eingabe[Wo],"H"),IF(Y$1="Auswärts",AVERAGEIFS(Eingabe[Räumer],Eingabe[Name],Räumer[[#This Row],[Name]],Eingabe[Wo],"A"),""))),0),"")</f>
        <v>104</v>
      </c>
      <c r="AA8" s="189">
        <f>IFERROR(Räumer[[#This Row],[Räumer Schnitt]]/4,"")</f>
        <v>26</v>
      </c>
      <c r="AB8" s="189">
        <f>IFERROR(IF(Y$1="Gesamt",AVERAGEIF(Eingabe[Name],Räumer[[#This Row],[Name]],Eingabe[R1]),IF(Y$1="Heim",AVERAGEIFS(Eingabe[R1],Eingabe[Name],Räumer[[#This Row],[Name]],Eingabe[Wo],"H"),IF(Y$1="Auswärts",AVERAGEIFS(Eingabe[R1],Eingabe[Name],Räumer[[#This Row],[Name]],Eingabe[Wo],"A"),""))),"")</f>
        <v>26</v>
      </c>
      <c r="AC8" s="189">
        <f>IFERROR(ROUND(Räumer[[#This Row],[R1]]-Räumer[[#This Row],[Räumer Bahn Schnitt]],1),"")</f>
        <v>0</v>
      </c>
      <c r="AD8" s="189">
        <f>IFERROR(IF(Y$1="Gesamt",AVERAGEIF(Eingabe[Name],Räumer[[#This Row],[Name]],Eingabe[R2]),IF(Y$1="Heim",AVERAGEIFS(Eingabe[R2],Eingabe[Name],Räumer[[#This Row],[Name]],Eingabe[Wo],"H"),IF(Y$1="Auswärts",AVERAGEIFS(Eingabe[R2],Eingabe[Name],Räumer[[#This Row],[Name]],Eingabe[Wo],"A"),""))),"")</f>
        <v>23.75</v>
      </c>
      <c r="AE8" s="189">
        <f>IFERROR(ROUND(Räumer[[#This Row],[R2]]-Räumer[[#This Row],[Räumer Bahn Schnitt]],1),"")</f>
        <v>-2.2999999999999998</v>
      </c>
      <c r="AF8" s="189">
        <f>IFERROR(IF(Y$1="Gesamt",AVERAGEIF(Eingabe[Name],Räumer[[#This Row],[Name]],Eingabe[R3]),IF(Y$1="Heim",AVERAGEIFS(Eingabe[R3],Eingabe[Name],Räumer[[#This Row],[Name]],Eingabe[Wo],"H"),IF(Y$1="Auswärts",AVERAGEIFS(Eingabe[R3],Eingabe[Name],Räumer[[#This Row],[Name]],Eingabe[Wo],"A"),""))),"")</f>
        <v>28.25</v>
      </c>
      <c r="AG8" s="189">
        <f>IFERROR(ROUND(Räumer[[#This Row],[R3]]-Räumer[[#This Row],[Räumer Bahn Schnitt]],1),"")</f>
        <v>2.2999999999999998</v>
      </c>
      <c r="AH8" s="189">
        <f>IFERROR(IF(Y$1="Gesamt",AVERAGEIF(Eingabe[Name],Räumer[[#This Row],[Name]],Eingabe[R4]),IF(Y$1="Heim",AVERAGEIFS(Eingabe[R4],Eingabe[Name],Räumer[[#This Row],[Name]],Eingabe[Wo],"H"),IF(Y$1="Auswärts",AVERAGEIFS(Eingabe[R4],Eingabe[Name],Räumer[[#This Row],[Name]],Eingabe[Wo],"A"),""))),"")</f>
        <v>26.25</v>
      </c>
      <c r="AI8" s="189">
        <f>IFERROR(ROUND(Räumer[[#This Row],[R4]]-Räumer[[#This Row],[Räumer Bahn Schnitt]],1),"")</f>
        <v>0.3</v>
      </c>
      <c r="AK8" s="335" t="str">
        <f>Bahnen[[#This Row],[Name]]</f>
        <v>Bruno Bergelt</v>
      </c>
      <c r="AL8" s="189">
        <f>IFERROR(ROUND(IF(AK$1="Gesamt",AVERAGEIF(Eingabe[Name],Fehler[[#This Row],[Name]],Eingabe[Fehler]),IF(AK$1="Heim",AVERAGEIFS(Eingabe[Fehler],Eingabe[Name],Fehler[[#This Row],[Name]],Eingabe[Wo],"H"),IF(AK$1="Auswärts",AVERAGEIFS(Eingabe[Fehler],Eingabe[Name],Fehler[[#This Row],[Name]],Eingabe[Wo],"A"),""))),0),"")</f>
        <v>21</v>
      </c>
      <c r="AM8" s="189">
        <f>IFERROR(Fehler[[#This Row],[Fehler Schnitt]]/4,"")</f>
        <v>5.25</v>
      </c>
      <c r="AN8" s="189">
        <f>IFERROR(IF(AK$1="Gesamt",AVERAGEIF(Eingabe[Name],Fehler[[#This Row],[Name]],Eingabe[F1]),IF(AK$1="Heim",AVERAGEIFS(Eingabe[F1],Eingabe[Name],Fehler[[#This Row],[Name]],Eingabe[Wo],"H"),IF(AK$1="Auswärts",AVERAGEIFS(Eingabe[F1],Eingabe[Name],Fehler[[#This Row],[Name]],Eingabe[Wo],"A"),""))),"")</f>
        <v>4.25</v>
      </c>
      <c r="AO8" s="189">
        <f>IFERROR(ROUND(Fehler[[#This Row],[F1]]-Fehler[[#This Row],[Fehler Bahn Schnitt]],1),"")</f>
        <v>-1</v>
      </c>
      <c r="AP8" s="189">
        <f>IFERROR(IF(AK$1="Gesamt",AVERAGEIF(Eingabe[Name],Fehler[[#This Row],[Name]],Eingabe[F2]),IF(AK$1="Heim",AVERAGEIFS(Eingabe[F2],Eingabe[Name],Fehler[[#This Row],[Name]],Eingabe[Wo],"H"),IF(AK$1="Auswärts",AVERAGEIFS(Eingabe[F2],Eingabe[Name],Fehler[[#This Row],[Name]],Eingabe[Wo],"A"),""))),"")</f>
        <v>6.75</v>
      </c>
      <c r="AQ8" s="189">
        <f>IFERROR(ROUND(Fehler[[#This Row],[F2]]-Fehler[[#This Row],[Fehler Bahn Schnitt]],1),"")</f>
        <v>1.5</v>
      </c>
      <c r="AR8" s="189">
        <f>IFERROR(IF(AK$1="Gesamt",AVERAGEIF(Eingabe[Name],Fehler[[#This Row],[Name]],Eingabe[F3]),IF(AK$1="Heim",AVERAGEIFS(Eingabe[F3],Eingabe[Name],Fehler[[#This Row],[Name]],Eingabe[Wo],"H"),IF(AK$1="Auswärts",AVERAGEIFS(Eingabe[F1],Eingabe[Name],Fehler[[#This Row],[Name]],Eingabe[Wo],"A"),""))),"")</f>
        <v>5.25</v>
      </c>
      <c r="AS8" s="189">
        <f>IFERROR(ROUND(Fehler[[#This Row],[F3]]-Fehler[[#This Row],[Fehler Bahn Schnitt]],1),"")</f>
        <v>0</v>
      </c>
      <c r="AT8" s="189">
        <f>IFERROR(IF(AK$1="Gesamt",AVERAGEIF(Eingabe[Name],Fehler[[#This Row],[Name]],Eingabe[F4]),IF(AK$1="Heim",AVERAGEIFS(Eingabe[F4],Eingabe[Name],Fehler[[#This Row],[Name]],Eingabe[Wo],"H"),IF(AK$1="Auswärts",AVERAGEIFS(Eingabe[F1],Eingabe[Name],Fehler[[#This Row],[Name]],Eingabe[Wo],"A"),""))),"")</f>
        <v>4.75</v>
      </c>
      <c r="AU8" s="189">
        <f>IFERROR(ROUND(Fehler[[#This Row],[F4]]-Fehler[[#This Row],[Fehler Bahn Schnitt]],1),"")</f>
        <v>-0.5</v>
      </c>
    </row>
    <row r="9" spans="1:47" ht="15.6" x14ac:dyDescent="0.3">
      <c r="A9" s="335" t="s">
        <v>472</v>
      </c>
      <c r="B9" s="189" t="str">
        <f>IFERROR(ROUND(IF($A$1="Gesamt",AVERAGEIF(Eingabe[Name],Bahnen[[#This Row],[Name]],Eingabe[GES]),IF($A$1="Heim",AVERAGEIFS(Eingabe[GES],Eingabe[Name],Bahnen[[#This Row],[Name]],Eingabe[Wo],"H"),IF($A$1="Auswärts",AVERAGEIFS(Eingabe[GES],Eingabe[Name],Bahnen[[#This Row],[Name]],Eingabe[Wo],"A"),""))),0),"")</f>
        <v/>
      </c>
      <c r="C9" s="189" t="str">
        <f>IFERROR(Bahnen[[#This Row],[Schnitt]]/4,"")</f>
        <v/>
      </c>
      <c r="D9" s="189" t="str">
        <f>IFERROR(IF($A$1="Gesamt",AVERAGEIF(Eingabe[Name],Bahnen[[#This Row],[Name]],Eingabe[S1]),IF($A$1="Heim",AVERAGEIFS(Eingabe[S-NR],Eingabe[Name],Bahnen[[#This Row],[Name]],Eingabe[Wo],"H"),IF($A$1="Auswärts",AVERAGEIFS(Eingabe[S1],Eingabe[Name],Bahnen[[#This Row],[Name]],Eingabe[Wo],"A"),""))),"")</f>
        <v/>
      </c>
      <c r="E9" s="189" t="str">
        <f>IFERROR(ROUND(Bahnen[[#This Row],[S1]]-Bahnen[[#This Row],[Bahn Schnitt]],1),"")</f>
        <v/>
      </c>
      <c r="F9" s="189" t="str">
        <f>IFERROR(IF($A$1="Gesamt",AVERAGEIF(Eingabe[Name],Bahnen[[#This Row],[Name]],Eingabe[S2]),IF($A$1="Heim",AVERAGEIFS(Eingabe[S2],Eingabe[Name],Bahnen[[#This Row],[Name]],Eingabe[Wo],"H"),IF($A$1="Auswärts",AVERAGEIFS(Eingabe[S2],Eingabe[Name],Bahnen[[#This Row],[Name]],Eingabe[Wo],"A"),""))),"")</f>
        <v/>
      </c>
      <c r="G9" s="189" t="str">
        <f>IFERROR(ROUND(Bahnen[[#This Row],[S2]]-Bahnen[[#This Row],[Bahn Schnitt]],1),"")</f>
        <v/>
      </c>
      <c r="H9" s="189" t="str">
        <f>IFERROR(IF($A$1="Gesamt",AVERAGEIF(Eingabe[Name],Bahnen[[#This Row],[Name]],Eingabe[S3]),IF($A$1="Heim",AVERAGEIFS(Eingabe[S3],Eingabe[Name],Bahnen[[#This Row],[Name]],Eingabe[Wo],"H"),IF($A$1="Auswärts",AVERAGEIFS(Eingabe[S-NR],Eingabe[Name],Bahnen[[#This Row],[Name]],Eingabe[Wo],"A"),""))),"")</f>
        <v/>
      </c>
      <c r="I9" s="189" t="str">
        <f>IFERROR(ROUND(Bahnen[[#This Row],[S3]]-Bahnen[[#This Row],[Bahn Schnitt]],1),"")</f>
        <v/>
      </c>
      <c r="J9" s="189" t="str">
        <f>IFERROR(IF($A$1="Gesamt",AVERAGEIF(Eingabe[Name],Bahnen[[#This Row],[Name]],Eingabe[S4]),IF($A$1="Heim",AVERAGEIFS(Eingabe[S4],Eingabe[Name],Bahnen[[#This Row],[Name]],Eingabe[Wo],"H"),IF($A$1="Auswärts",AVERAGEIFS(Eingabe[S-NR],Eingabe[Name],Bahnen[[#This Row],[Name]],Eingabe[Wo],"A"),""))),"")</f>
        <v/>
      </c>
      <c r="K9" s="189" t="str">
        <f>IFERROR(ROUND(Bahnen[[#This Row],[S4]]-Bahnen[[#This Row],[Bahn Schnitt]],1),"")</f>
        <v/>
      </c>
      <c r="M9" s="335" t="str">
        <f>Bahnen[[#This Row],[Name]]</f>
        <v>Claudia Lorenz</v>
      </c>
      <c r="N9" s="189" t="str">
        <f>IFERROR(ROUND(IF($M$1="Gesamt",AVERAGEIF(Eingabe[Name],Volle[[#This Row],[Name]],Eingabe[Volle]),IF($M$1="Heim",AVERAGEIFS(Eingabe[Volle],Eingabe[Name],Volle[[#This Row],[Name]],Eingabe[Wo],"H"),IF($M$1="Auswärts",AVERAGEIFS(Eingabe[Volle],Eingabe[Name],Volle[[#This Row],[Name]],Eingabe[Wo],"A"),""))),0),"")</f>
        <v/>
      </c>
      <c r="O9" s="189" t="str">
        <f>IFERROR(Volle[[#This Row],[Volle Schnitt]]/4,"")</f>
        <v/>
      </c>
      <c r="P9" s="189" t="str">
        <f>IFERROR(IF($M$1="Gesamt",AVERAGEIF(Eingabe[Name],Volle[[#This Row],[Name]],Eingabe[V1]),IF($M$1="Heim",AVERAGEIFS(Eingabe[V1],Eingabe[Name],Volle[[#This Row],[Name]],Eingabe[Wo],"H"),IF($M$1="Auswärts",AVERAGEIFS(Eingabe[V1],Eingabe[Name],Volle[[#This Row],[Name]],Eingabe[Wo],"A"),""))),"")</f>
        <v/>
      </c>
      <c r="Q9" s="189" t="str">
        <f>IFERROR(ROUND(Volle[[#This Row],[V1]]-Volle[[#This Row],[Volle Bahn Schnitt]],1),"")</f>
        <v/>
      </c>
      <c r="R9" s="189" t="str">
        <f>IFERROR(IF($M$1="Gesamt",AVERAGEIF(Eingabe[Name],Volle[[#This Row],[Name]],Eingabe[V2]),IF($M$1="Heim",AVERAGEIFS(Eingabe[V2],Eingabe[Name],Volle[[#This Row],[Name]],Eingabe[Wo],"H"),IF($M$1="Auswärts",AVERAGEIFS(Eingabe[V2],Eingabe[Name],Volle[[#This Row],[Name]],Eingabe[Wo],"A"),""))),"")</f>
        <v/>
      </c>
      <c r="S9" s="189" t="str">
        <f>IFERROR(ROUND(Volle[[#This Row],[V2]]-Volle[[#This Row],[Volle Bahn Schnitt]],1),"")</f>
        <v/>
      </c>
      <c r="T9" s="189" t="str">
        <f>IFERROR(IF($M$1="Gesamt",AVERAGEIF(Eingabe[Name],Volle[[#This Row],[Name]],Eingabe[V3]),IF($M$1="Heim",AVERAGEIFS(Eingabe[V3],Eingabe[Name],Volle[[#This Row],[Name]],Eingabe[Wo],"H"),IF($M$1="Auswärts",AVERAGEIFS(Eingabe[V3],Eingabe[Name],Volle[[#This Row],[Name]],Eingabe[Wo],"A"),""))),"")</f>
        <v/>
      </c>
      <c r="U9" s="189" t="str">
        <f>IFERROR(ROUND(Volle[[#This Row],[V3]]-Volle[[#This Row],[Volle Bahn Schnitt]],1),"")</f>
        <v/>
      </c>
      <c r="V9" s="189" t="str">
        <f>IFERROR(IF($M$1="Gesamt",AVERAGEIF(Eingabe[Name],Volle[[#This Row],[Name]],Eingabe[V4]),IF($M$1="Heim",AVERAGEIFS(Eingabe[V4],Eingabe[Name],Volle[[#This Row],[Name]],Eingabe[Wo],"H"),IF($M$1="Auswärts",AVERAGEIFS(Eingabe[V4],Eingabe[Name],Volle[[#This Row],[Name]],Eingabe[Wo],"A"),""))),"")</f>
        <v/>
      </c>
      <c r="W9" s="340" t="str">
        <f>IFERROR(ROUND(Volle[[#This Row],[V4]]-Volle[[#This Row],[Volle Bahn Schnitt]],1),"")</f>
        <v/>
      </c>
      <c r="Y9" s="335" t="str">
        <f>Bahnen[[#This Row],[Name]]</f>
        <v>Claudia Lorenz</v>
      </c>
      <c r="Z9" s="189" t="str">
        <f>IFERROR(ROUND(IF(Y$1="Gesamt",AVERAGEIF(Eingabe[Name],Räumer[[#This Row],[Name]],Eingabe[Räumer]),IF(Y$1="Heim",AVERAGEIFS(Eingabe[Räumer],Eingabe[Name],Räumer[[#This Row],[Name]],Eingabe[Wo],"H"),IF(Y$1="Auswärts",AVERAGEIFS(Eingabe[Räumer],Eingabe[Name],Räumer[[#This Row],[Name]],Eingabe[Wo],"A"),""))),0),"")</f>
        <v/>
      </c>
      <c r="AA9" s="189" t="str">
        <f>IFERROR(Räumer[[#This Row],[Räumer Schnitt]]/4,"")</f>
        <v/>
      </c>
      <c r="AB9" s="189" t="str">
        <f>IFERROR(IF(Y$1="Gesamt",AVERAGEIF(Eingabe[Name],Räumer[[#This Row],[Name]],Eingabe[R1]),IF(Y$1="Heim",AVERAGEIFS(Eingabe[R1],Eingabe[Name],Räumer[[#This Row],[Name]],Eingabe[Wo],"H"),IF(Y$1="Auswärts",AVERAGEIFS(Eingabe[R1],Eingabe[Name],Räumer[[#This Row],[Name]],Eingabe[Wo],"A"),""))),"")</f>
        <v/>
      </c>
      <c r="AC9" s="189" t="str">
        <f>IFERROR(ROUND(Räumer[[#This Row],[R1]]-Räumer[[#This Row],[Räumer Bahn Schnitt]],1),"")</f>
        <v/>
      </c>
      <c r="AD9" s="189" t="str">
        <f>IFERROR(IF(Y$1="Gesamt",AVERAGEIF(Eingabe[Name],Räumer[[#This Row],[Name]],Eingabe[R2]),IF(Y$1="Heim",AVERAGEIFS(Eingabe[R2],Eingabe[Name],Räumer[[#This Row],[Name]],Eingabe[Wo],"H"),IF(Y$1="Auswärts",AVERAGEIFS(Eingabe[R2],Eingabe[Name],Räumer[[#This Row],[Name]],Eingabe[Wo],"A"),""))),"")</f>
        <v/>
      </c>
      <c r="AE9" s="189" t="str">
        <f>IFERROR(ROUND(Räumer[[#This Row],[R2]]-Räumer[[#This Row],[Räumer Bahn Schnitt]],1),"")</f>
        <v/>
      </c>
      <c r="AF9" s="189" t="str">
        <f>IFERROR(IF(Y$1="Gesamt",AVERAGEIF(Eingabe[Name],Räumer[[#This Row],[Name]],Eingabe[R3]),IF(Y$1="Heim",AVERAGEIFS(Eingabe[R3],Eingabe[Name],Räumer[[#This Row],[Name]],Eingabe[Wo],"H"),IF(Y$1="Auswärts",AVERAGEIFS(Eingabe[R3],Eingabe[Name],Räumer[[#This Row],[Name]],Eingabe[Wo],"A"),""))),"")</f>
        <v/>
      </c>
      <c r="AG9" s="189" t="str">
        <f>IFERROR(ROUND(Räumer[[#This Row],[R3]]-Räumer[[#This Row],[Räumer Bahn Schnitt]],1),"")</f>
        <v/>
      </c>
      <c r="AH9" s="189" t="str">
        <f>IFERROR(IF(Y$1="Gesamt",AVERAGEIF(Eingabe[Name],Räumer[[#This Row],[Name]],Eingabe[R4]),IF(Y$1="Heim",AVERAGEIFS(Eingabe[R4],Eingabe[Name],Räumer[[#This Row],[Name]],Eingabe[Wo],"H"),IF(Y$1="Auswärts",AVERAGEIFS(Eingabe[R4],Eingabe[Name],Räumer[[#This Row],[Name]],Eingabe[Wo],"A"),""))),"")</f>
        <v/>
      </c>
      <c r="AI9" s="189" t="str">
        <f>IFERROR(ROUND(Räumer[[#This Row],[R4]]-Räumer[[#This Row],[Räumer Bahn Schnitt]],1),"")</f>
        <v/>
      </c>
      <c r="AK9" s="335" t="str">
        <f>Bahnen[[#This Row],[Name]]</f>
        <v>Claudia Lorenz</v>
      </c>
      <c r="AL9" s="189" t="str">
        <f>IFERROR(ROUND(IF(AK$1="Gesamt",AVERAGEIF(Eingabe[Name],Fehler[[#This Row],[Name]],Eingabe[Fehler]),IF(AK$1="Heim",AVERAGEIFS(Eingabe[Fehler],Eingabe[Name],Fehler[[#This Row],[Name]],Eingabe[Wo],"H"),IF(AK$1="Auswärts",AVERAGEIFS(Eingabe[Fehler],Eingabe[Name],Fehler[[#This Row],[Name]],Eingabe[Wo],"A"),""))),0),"")</f>
        <v/>
      </c>
      <c r="AM9" s="189" t="str">
        <f>IFERROR(Fehler[[#This Row],[Fehler Schnitt]]/4,"")</f>
        <v/>
      </c>
      <c r="AN9" s="189" t="str">
        <f>IFERROR(IF(AK$1="Gesamt",AVERAGEIF(Eingabe[Name],Fehler[[#This Row],[Name]],Eingabe[F1]),IF(AK$1="Heim",AVERAGEIFS(Eingabe[F1],Eingabe[Name],Fehler[[#This Row],[Name]],Eingabe[Wo],"H"),IF(AK$1="Auswärts",AVERAGEIFS(Eingabe[F1],Eingabe[Name],Fehler[[#This Row],[Name]],Eingabe[Wo],"A"),""))),"")</f>
        <v/>
      </c>
      <c r="AO9" s="189" t="str">
        <f>IFERROR(ROUND(Fehler[[#This Row],[F1]]-Fehler[[#This Row],[Fehler Bahn Schnitt]],1),"")</f>
        <v/>
      </c>
      <c r="AP9" s="189" t="str">
        <f>IFERROR(IF(AK$1="Gesamt",AVERAGEIF(Eingabe[Name],Fehler[[#This Row],[Name]],Eingabe[F2]),IF(AK$1="Heim",AVERAGEIFS(Eingabe[F2],Eingabe[Name],Fehler[[#This Row],[Name]],Eingabe[Wo],"H"),IF(AK$1="Auswärts",AVERAGEIFS(Eingabe[F2],Eingabe[Name],Fehler[[#This Row],[Name]],Eingabe[Wo],"A"),""))),"")</f>
        <v/>
      </c>
      <c r="AQ9" s="189" t="str">
        <f>IFERROR(ROUND(Fehler[[#This Row],[F2]]-Fehler[[#This Row],[Fehler Bahn Schnitt]],1),"")</f>
        <v/>
      </c>
      <c r="AR9" s="189" t="str">
        <f>IFERROR(IF(AK$1="Gesamt",AVERAGEIF(Eingabe[Name],Fehler[[#This Row],[Name]],Eingabe[F3]),IF(AK$1="Heim",AVERAGEIFS(Eingabe[F3],Eingabe[Name],Fehler[[#This Row],[Name]],Eingabe[Wo],"H"),IF(AK$1="Auswärts",AVERAGEIFS(Eingabe[F1],Eingabe[Name],Fehler[[#This Row],[Name]],Eingabe[Wo],"A"),""))),"")</f>
        <v/>
      </c>
      <c r="AS9" s="189" t="str">
        <f>IFERROR(ROUND(Fehler[[#This Row],[F3]]-Fehler[[#This Row],[Fehler Bahn Schnitt]],1),"")</f>
        <v/>
      </c>
      <c r="AT9" s="189" t="str">
        <f>IFERROR(IF(AK$1="Gesamt",AVERAGEIF(Eingabe[Name],Fehler[[#This Row],[Name]],Eingabe[F4]),IF(AK$1="Heim",AVERAGEIFS(Eingabe[F4],Eingabe[Name],Fehler[[#This Row],[Name]],Eingabe[Wo],"H"),IF(AK$1="Auswärts",AVERAGEIFS(Eingabe[F1],Eingabe[Name],Fehler[[#This Row],[Name]],Eingabe[Wo],"A"),""))),"")</f>
        <v/>
      </c>
      <c r="AU9" s="189" t="str">
        <f>IFERROR(ROUND(Fehler[[#This Row],[F4]]-Fehler[[#This Row],[Fehler Bahn Schnitt]],1),"")</f>
        <v/>
      </c>
    </row>
    <row r="10" spans="1:47" ht="15.6" x14ac:dyDescent="0.3">
      <c r="A10" s="335" t="s">
        <v>474</v>
      </c>
      <c r="B10" s="189">
        <f>IFERROR(ROUND(IF($A$1="Gesamt",AVERAGEIF(Eingabe[Name],Bahnen[[#This Row],[Name]],Eingabe[GES]),IF($A$1="Heim",AVERAGEIFS(Eingabe[GES],Eingabe[Name],Bahnen[[#This Row],[Name]],Eingabe[Wo],"H"),IF($A$1="Auswärts",AVERAGEIFS(Eingabe[GES],Eingabe[Name],Bahnen[[#This Row],[Name]],Eingabe[Wo],"A"),""))),0),"")</f>
        <v>501</v>
      </c>
      <c r="C10" s="189">
        <f>IFERROR(Bahnen[[#This Row],[Schnitt]]/4,"")</f>
        <v>125.25</v>
      </c>
      <c r="D10" s="189">
        <f>IFERROR(IF($A$1="Gesamt",AVERAGEIF(Eingabe[Name],Bahnen[[#This Row],[Name]],Eingabe[S1]),IF($A$1="Heim",AVERAGEIFS(Eingabe[S-NR],Eingabe[Name],Bahnen[[#This Row],[Name]],Eingabe[Wo],"H"),IF($A$1="Auswärts",AVERAGEIFS(Eingabe[S1],Eingabe[Name],Bahnen[[#This Row],[Name]],Eingabe[Wo],"A"),""))),"")</f>
        <v>128</v>
      </c>
      <c r="E10" s="189">
        <f>IFERROR(ROUND(Bahnen[[#This Row],[S1]]-Bahnen[[#This Row],[Bahn Schnitt]],1),"")</f>
        <v>2.8</v>
      </c>
      <c r="F10" s="189">
        <f>IFERROR(IF($A$1="Gesamt",AVERAGEIF(Eingabe[Name],Bahnen[[#This Row],[Name]],Eingabe[S2]),IF($A$1="Heim",AVERAGEIFS(Eingabe[S2],Eingabe[Name],Bahnen[[#This Row],[Name]],Eingabe[Wo],"H"),IF($A$1="Auswärts",AVERAGEIFS(Eingabe[S2],Eingabe[Name],Bahnen[[#This Row],[Name]],Eingabe[Wo],"A"),""))),"")</f>
        <v>125.06666666666666</v>
      </c>
      <c r="G10" s="189">
        <f>IFERROR(ROUND(Bahnen[[#This Row],[S2]]-Bahnen[[#This Row],[Bahn Schnitt]],1),"")</f>
        <v>-0.2</v>
      </c>
      <c r="H10" s="189">
        <f>IFERROR(IF($A$1="Gesamt",AVERAGEIF(Eingabe[Name],Bahnen[[#This Row],[Name]],Eingabe[S3]),IF($A$1="Heim",AVERAGEIFS(Eingabe[S3],Eingabe[Name],Bahnen[[#This Row],[Name]],Eingabe[Wo],"H"),IF($A$1="Auswärts",AVERAGEIFS(Eingabe[S-NR],Eingabe[Name],Bahnen[[#This Row],[Name]],Eingabe[Wo],"A"),""))),"")</f>
        <v>123.8</v>
      </c>
      <c r="I10" s="189">
        <f>IFERROR(ROUND(Bahnen[[#This Row],[S3]]-Bahnen[[#This Row],[Bahn Schnitt]],1),"")</f>
        <v>-1.5</v>
      </c>
      <c r="J10" s="189">
        <f>IFERROR(IF($A$1="Gesamt",AVERAGEIF(Eingabe[Name],Bahnen[[#This Row],[Name]],Eingabe[S4]),IF($A$1="Heim",AVERAGEIFS(Eingabe[S4],Eingabe[Name],Bahnen[[#This Row],[Name]],Eingabe[Wo],"H"),IF($A$1="Auswärts",AVERAGEIFS(Eingabe[S-NR],Eingabe[Name],Bahnen[[#This Row],[Name]],Eingabe[Wo],"A"),""))),"")</f>
        <v>123.66666666666667</v>
      </c>
      <c r="K10" s="189">
        <f>IFERROR(ROUND(Bahnen[[#This Row],[S4]]-Bahnen[[#This Row],[Bahn Schnitt]],1),"")</f>
        <v>-1.6</v>
      </c>
      <c r="M10" s="335" t="str">
        <f>Bahnen[[#This Row],[Name]]</f>
        <v>Cora Keller</v>
      </c>
      <c r="N10" s="189">
        <f>IFERROR(ROUND(IF($M$1="Gesamt",AVERAGEIF(Eingabe[Name],Volle[[#This Row],[Name]],Eingabe[Volle]),IF($M$1="Heim",AVERAGEIFS(Eingabe[Volle],Eingabe[Name],Volle[[#This Row],[Name]],Eingabe[Wo],"H"),IF($M$1="Auswärts",AVERAGEIFS(Eingabe[Volle],Eingabe[Name],Volle[[#This Row],[Name]],Eingabe[Wo],"A"),""))),0),"")</f>
        <v>346</v>
      </c>
      <c r="O10" s="189">
        <f>IFERROR(Volle[[#This Row],[Volle Schnitt]]/4,"")</f>
        <v>86.5</v>
      </c>
      <c r="P10" s="189">
        <f>IFERROR(IF($M$1="Gesamt",AVERAGEIF(Eingabe[Name],Volle[[#This Row],[Name]],Eingabe[V1]),IF($M$1="Heim",AVERAGEIFS(Eingabe[V1],Eingabe[Name],Volle[[#This Row],[Name]],Eingabe[Wo],"H"),IF($M$1="Auswärts",AVERAGEIFS(Eingabe[V1],Eingabe[Name],Volle[[#This Row],[Name]],Eingabe[Wo],"A"),""))),"")</f>
        <v>87.933333333333337</v>
      </c>
      <c r="Q10" s="189">
        <f>IFERROR(ROUND(Volle[[#This Row],[V1]]-Volle[[#This Row],[Volle Bahn Schnitt]],1),"")</f>
        <v>1.4</v>
      </c>
      <c r="R10" s="189">
        <f>IFERROR(IF($M$1="Gesamt",AVERAGEIF(Eingabe[Name],Volle[[#This Row],[Name]],Eingabe[V2]),IF($M$1="Heim",AVERAGEIFS(Eingabe[V2],Eingabe[Name],Volle[[#This Row],[Name]],Eingabe[Wo],"H"),IF($M$1="Auswärts",AVERAGEIFS(Eingabe[V2],Eingabe[Name],Volle[[#This Row],[Name]],Eingabe[Wo],"A"),""))),"")</f>
        <v>84.666666666666671</v>
      </c>
      <c r="S10" s="189">
        <f>IFERROR(ROUND(Volle[[#This Row],[V2]]-Volle[[#This Row],[Volle Bahn Schnitt]],1),"")</f>
        <v>-1.8</v>
      </c>
      <c r="T10" s="189">
        <f>IFERROR(IF($M$1="Gesamt",AVERAGEIF(Eingabe[Name],Volle[[#This Row],[Name]],Eingabe[V3]),IF($M$1="Heim",AVERAGEIFS(Eingabe[V3],Eingabe[Name],Volle[[#This Row],[Name]],Eingabe[Wo],"H"),IF($M$1="Auswärts",AVERAGEIFS(Eingabe[V3],Eingabe[Name],Volle[[#This Row],[Name]],Eingabe[Wo],"A"),""))),"")</f>
        <v>86.86666666666666</v>
      </c>
      <c r="U10" s="189">
        <f>IFERROR(ROUND(Volle[[#This Row],[V3]]-Volle[[#This Row],[Volle Bahn Schnitt]],1),"")</f>
        <v>0.4</v>
      </c>
      <c r="V10" s="189">
        <f>IFERROR(IF($M$1="Gesamt",AVERAGEIF(Eingabe[Name],Volle[[#This Row],[Name]],Eingabe[V4]),IF($M$1="Heim",AVERAGEIFS(Eingabe[V4],Eingabe[Name],Volle[[#This Row],[Name]],Eingabe[Wo],"H"),IF($M$1="Auswärts",AVERAGEIFS(Eingabe[V4],Eingabe[Name],Volle[[#This Row],[Name]],Eingabe[Wo],"A"),""))),"")</f>
        <v>86.6</v>
      </c>
      <c r="W10" s="340">
        <f>IFERROR(ROUND(Volle[[#This Row],[V4]]-Volle[[#This Row],[Volle Bahn Schnitt]],1),"")</f>
        <v>0.1</v>
      </c>
      <c r="Y10" s="335" t="str">
        <f>Bahnen[[#This Row],[Name]]</f>
        <v>Cora Keller</v>
      </c>
      <c r="Z10" s="189">
        <f>IFERROR(ROUND(IF(Y$1="Gesamt",AVERAGEIF(Eingabe[Name],Räumer[[#This Row],[Name]],Eingabe[Räumer]),IF(Y$1="Heim",AVERAGEIFS(Eingabe[Räumer],Eingabe[Name],Räumer[[#This Row],[Name]],Eingabe[Wo],"H"),IF(Y$1="Auswärts",AVERAGEIFS(Eingabe[Räumer],Eingabe[Name],Räumer[[#This Row],[Name]],Eingabe[Wo],"A"),""))),0),"")</f>
        <v>154</v>
      </c>
      <c r="AA10" s="189">
        <f>IFERROR(Räumer[[#This Row],[Räumer Schnitt]]/4,"")</f>
        <v>38.5</v>
      </c>
      <c r="AB10" s="189">
        <f>IFERROR(IF(Y$1="Gesamt",AVERAGEIF(Eingabe[Name],Räumer[[#This Row],[Name]],Eingabe[R1]),IF(Y$1="Heim",AVERAGEIFS(Eingabe[R1],Eingabe[Name],Räumer[[#This Row],[Name]],Eingabe[Wo],"H"),IF(Y$1="Auswärts",AVERAGEIFS(Eingabe[R1],Eingabe[Name],Räumer[[#This Row],[Name]],Eingabe[Wo],"A"),""))),"")</f>
        <v>40.06666666666667</v>
      </c>
      <c r="AC10" s="189">
        <f>IFERROR(ROUND(Räumer[[#This Row],[R1]]-Räumer[[#This Row],[Räumer Bahn Schnitt]],1),"")</f>
        <v>1.6</v>
      </c>
      <c r="AD10" s="189">
        <f>IFERROR(IF(Y$1="Gesamt",AVERAGEIF(Eingabe[Name],Räumer[[#This Row],[Name]],Eingabe[R2]),IF(Y$1="Heim",AVERAGEIFS(Eingabe[R2],Eingabe[Name],Räumer[[#This Row],[Name]],Eingabe[Wo],"H"),IF(Y$1="Auswärts",AVERAGEIFS(Eingabe[R2],Eingabe[Name],Räumer[[#This Row],[Name]],Eingabe[Wo],"A"),""))),"")</f>
        <v>40.4</v>
      </c>
      <c r="AE10" s="189">
        <f>IFERROR(ROUND(Räumer[[#This Row],[R2]]-Räumer[[#This Row],[Räumer Bahn Schnitt]],1),"")</f>
        <v>1.9</v>
      </c>
      <c r="AF10" s="189">
        <f>IFERROR(IF(Y$1="Gesamt",AVERAGEIF(Eingabe[Name],Räumer[[#This Row],[Name]],Eingabe[R3]),IF(Y$1="Heim",AVERAGEIFS(Eingabe[R3],Eingabe[Name],Räumer[[#This Row],[Name]],Eingabe[Wo],"H"),IF(Y$1="Auswärts",AVERAGEIFS(Eingabe[R3],Eingabe[Name],Räumer[[#This Row],[Name]],Eingabe[Wo],"A"),""))),"")</f>
        <v>36.93333333333333</v>
      </c>
      <c r="AG10" s="189">
        <f>IFERROR(ROUND(Räumer[[#This Row],[R3]]-Räumer[[#This Row],[Räumer Bahn Schnitt]],1),"")</f>
        <v>-1.6</v>
      </c>
      <c r="AH10" s="189">
        <f>IFERROR(IF(Y$1="Gesamt",AVERAGEIF(Eingabe[Name],Räumer[[#This Row],[Name]],Eingabe[R4]),IF(Y$1="Heim",AVERAGEIFS(Eingabe[R4],Eingabe[Name],Räumer[[#This Row],[Name]],Eingabe[Wo],"H"),IF(Y$1="Auswärts",AVERAGEIFS(Eingabe[R4],Eingabe[Name],Räumer[[#This Row],[Name]],Eingabe[Wo],"A"),""))),"")</f>
        <v>37.06666666666667</v>
      </c>
      <c r="AI10" s="189">
        <f>IFERROR(ROUND(Räumer[[#This Row],[R4]]-Räumer[[#This Row],[Räumer Bahn Schnitt]],1),"")</f>
        <v>-1.4</v>
      </c>
      <c r="AK10" s="335" t="str">
        <f>Bahnen[[#This Row],[Name]]</f>
        <v>Cora Keller</v>
      </c>
      <c r="AL10" s="189">
        <f>IFERROR(ROUND(IF(AK$1="Gesamt",AVERAGEIF(Eingabe[Name],Fehler[[#This Row],[Name]],Eingabe[Fehler]),IF(AK$1="Heim",AVERAGEIFS(Eingabe[Fehler],Eingabe[Name],Fehler[[#This Row],[Name]],Eingabe[Wo],"H"),IF(AK$1="Auswärts",AVERAGEIFS(Eingabe[Fehler],Eingabe[Name],Fehler[[#This Row],[Name]],Eingabe[Wo],"A"),""))),0),"")</f>
        <v>11</v>
      </c>
      <c r="AM10" s="189">
        <f>IFERROR(Fehler[[#This Row],[Fehler Schnitt]]/4,"")</f>
        <v>2.75</v>
      </c>
      <c r="AN10" s="189">
        <f>IFERROR(IF(AK$1="Gesamt",AVERAGEIF(Eingabe[Name],Fehler[[#This Row],[Name]],Eingabe[F1]),IF(AK$1="Heim",AVERAGEIFS(Eingabe[F1],Eingabe[Name],Fehler[[#This Row],[Name]],Eingabe[Wo],"H"),IF(AK$1="Auswärts",AVERAGEIFS(Eingabe[F1],Eingabe[Name],Fehler[[#This Row],[Name]],Eingabe[Wo],"A"),""))),"")</f>
        <v>2.7333333333333334</v>
      </c>
      <c r="AO10" s="189">
        <f>IFERROR(ROUND(Fehler[[#This Row],[F1]]-Fehler[[#This Row],[Fehler Bahn Schnitt]],1),"")</f>
        <v>0</v>
      </c>
      <c r="AP10" s="189">
        <f>IFERROR(IF(AK$1="Gesamt",AVERAGEIF(Eingabe[Name],Fehler[[#This Row],[Name]],Eingabe[F2]),IF(AK$1="Heim",AVERAGEIFS(Eingabe[F2],Eingabe[Name],Fehler[[#This Row],[Name]],Eingabe[Wo],"H"),IF(AK$1="Auswärts",AVERAGEIFS(Eingabe[F2],Eingabe[Name],Fehler[[#This Row],[Name]],Eingabe[Wo],"A"),""))),"")</f>
        <v>2.4</v>
      </c>
      <c r="AQ10" s="189">
        <f>IFERROR(ROUND(Fehler[[#This Row],[F2]]-Fehler[[#This Row],[Fehler Bahn Schnitt]],1),"")</f>
        <v>-0.4</v>
      </c>
      <c r="AR10" s="189">
        <f>IFERROR(IF(AK$1="Gesamt",AVERAGEIF(Eingabe[Name],Fehler[[#This Row],[Name]],Eingabe[F3]),IF(AK$1="Heim",AVERAGEIFS(Eingabe[F3],Eingabe[Name],Fehler[[#This Row],[Name]],Eingabe[Wo],"H"),IF(AK$1="Auswärts",AVERAGEIFS(Eingabe[F1],Eingabe[Name],Fehler[[#This Row],[Name]],Eingabe[Wo],"A"),""))),"")</f>
        <v>3.1333333333333333</v>
      </c>
      <c r="AS10" s="189">
        <f>IFERROR(ROUND(Fehler[[#This Row],[F3]]-Fehler[[#This Row],[Fehler Bahn Schnitt]],1),"")</f>
        <v>0.4</v>
      </c>
      <c r="AT10" s="189">
        <f>IFERROR(IF(AK$1="Gesamt",AVERAGEIF(Eingabe[Name],Fehler[[#This Row],[Name]],Eingabe[F4]),IF(AK$1="Heim",AVERAGEIFS(Eingabe[F4],Eingabe[Name],Fehler[[#This Row],[Name]],Eingabe[Wo],"H"),IF(AK$1="Auswärts",AVERAGEIFS(Eingabe[F1],Eingabe[Name],Fehler[[#This Row],[Name]],Eingabe[Wo],"A"),""))),"")</f>
        <v>2.8</v>
      </c>
      <c r="AU10" s="189">
        <f>IFERROR(ROUND(Fehler[[#This Row],[F4]]-Fehler[[#This Row],[Fehler Bahn Schnitt]],1),"")</f>
        <v>0</v>
      </c>
    </row>
    <row r="11" spans="1:47" ht="15.6" x14ac:dyDescent="0.3">
      <c r="A11" s="335" t="s">
        <v>475</v>
      </c>
      <c r="B11" s="189" t="str">
        <f>IFERROR(ROUND(IF($A$1="Gesamt",AVERAGEIF(Eingabe[Name],Bahnen[[#This Row],[Name]],Eingabe[GES]),IF($A$1="Heim",AVERAGEIFS(Eingabe[GES],Eingabe[Name],Bahnen[[#This Row],[Name]],Eingabe[Wo],"H"),IF($A$1="Auswärts",AVERAGEIFS(Eingabe[GES],Eingabe[Name],Bahnen[[#This Row],[Name]],Eingabe[Wo],"A"),""))),0),"")</f>
        <v/>
      </c>
      <c r="C11" s="189" t="str">
        <f>IFERROR(Bahnen[[#This Row],[Schnitt]]/4,"")</f>
        <v/>
      </c>
      <c r="D11" s="189" t="str">
        <f>IFERROR(IF($A$1="Gesamt",AVERAGEIF(Eingabe[Name],Bahnen[[#This Row],[Name]],Eingabe[S1]),IF($A$1="Heim",AVERAGEIFS(Eingabe[S-NR],Eingabe[Name],Bahnen[[#This Row],[Name]],Eingabe[Wo],"H"),IF($A$1="Auswärts",AVERAGEIFS(Eingabe[S1],Eingabe[Name],Bahnen[[#This Row],[Name]],Eingabe[Wo],"A"),""))),"")</f>
        <v/>
      </c>
      <c r="E11" s="189" t="str">
        <f>IFERROR(ROUND(Bahnen[[#This Row],[S1]]-Bahnen[[#This Row],[Bahn Schnitt]],1),"")</f>
        <v/>
      </c>
      <c r="F11" s="189" t="str">
        <f>IFERROR(IF($A$1="Gesamt",AVERAGEIF(Eingabe[Name],Bahnen[[#This Row],[Name]],Eingabe[S2]),IF($A$1="Heim",AVERAGEIFS(Eingabe[S2],Eingabe[Name],Bahnen[[#This Row],[Name]],Eingabe[Wo],"H"),IF($A$1="Auswärts",AVERAGEIFS(Eingabe[S2],Eingabe[Name],Bahnen[[#This Row],[Name]],Eingabe[Wo],"A"),""))),"")</f>
        <v/>
      </c>
      <c r="G11" s="189" t="str">
        <f>IFERROR(ROUND(Bahnen[[#This Row],[S2]]-Bahnen[[#This Row],[Bahn Schnitt]],1),"")</f>
        <v/>
      </c>
      <c r="H11" s="189" t="str">
        <f>IFERROR(IF($A$1="Gesamt",AVERAGEIF(Eingabe[Name],Bahnen[[#This Row],[Name]],Eingabe[S3]),IF($A$1="Heim",AVERAGEIFS(Eingabe[S3],Eingabe[Name],Bahnen[[#This Row],[Name]],Eingabe[Wo],"H"),IF($A$1="Auswärts",AVERAGEIFS(Eingabe[S-NR],Eingabe[Name],Bahnen[[#This Row],[Name]],Eingabe[Wo],"A"),""))),"")</f>
        <v/>
      </c>
      <c r="I11" s="189" t="str">
        <f>IFERROR(ROUND(Bahnen[[#This Row],[S3]]-Bahnen[[#This Row],[Bahn Schnitt]],1),"")</f>
        <v/>
      </c>
      <c r="J11" s="189" t="str">
        <f>IFERROR(IF($A$1="Gesamt",AVERAGEIF(Eingabe[Name],Bahnen[[#This Row],[Name]],Eingabe[S4]),IF($A$1="Heim",AVERAGEIFS(Eingabe[S4],Eingabe[Name],Bahnen[[#This Row],[Name]],Eingabe[Wo],"H"),IF($A$1="Auswärts",AVERAGEIFS(Eingabe[S-NR],Eingabe[Name],Bahnen[[#This Row],[Name]],Eingabe[Wo],"A"),""))),"")</f>
        <v/>
      </c>
      <c r="K11" s="189" t="str">
        <f>IFERROR(ROUND(Bahnen[[#This Row],[S4]]-Bahnen[[#This Row],[Bahn Schnitt]],1),"")</f>
        <v/>
      </c>
      <c r="M11" s="335" t="str">
        <f>Bahnen[[#This Row],[Name]]</f>
        <v>Dietmar Klose</v>
      </c>
      <c r="N11" s="189" t="str">
        <f>IFERROR(ROUND(IF($M$1="Gesamt",AVERAGEIF(Eingabe[Name],Volle[[#This Row],[Name]],Eingabe[Volle]),IF($M$1="Heim",AVERAGEIFS(Eingabe[Volle],Eingabe[Name],Volle[[#This Row],[Name]],Eingabe[Wo],"H"),IF($M$1="Auswärts",AVERAGEIFS(Eingabe[Volle],Eingabe[Name],Volle[[#This Row],[Name]],Eingabe[Wo],"A"),""))),0),"")</f>
        <v/>
      </c>
      <c r="O11" s="189" t="str">
        <f>IFERROR(Volle[[#This Row],[Volle Schnitt]]/4,"")</f>
        <v/>
      </c>
      <c r="P11" s="189" t="str">
        <f>IFERROR(IF($M$1="Gesamt",AVERAGEIF(Eingabe[Name],Volle[[#This Row],[Name]],Eingabe[V1]),IF($M$1="Heim",AVERAGEIFS(Eingabe[V1],Eingabe[Name],Volle[[#This Row],[Name]],Eingabe[Wo],"H"),IF($M$1="Auswärts",AVERAGEIFS(Eingabe[V1],Eingabe[Name],Volle[[#This Row],[Name]],Eingabe[Wo],"A"),""))),"")</f>
        <v/>
      </c>
      <c r="Q11" s="189" t="str">
        <f>IFERROR(ROUND(Volle[[#This Row],[V1]]-Volle[[#This Row],[Volle Bahn Schnitt]],1),"")</f>
        <v/>
      </c>
      <c r="R11" s="189" t="str">
        <f>IFERROR(IF($M$1="Gesamt",AVERAGEIF(Eingabe[Name],Volle[[#This Row],[Name]],Eingabe[V2]),IF($M$1="Heim",AVERAGEIFS(Eingabe[V2],Eingabe[Name],Volle[[#This Row],[Name]],Eingabe[Wo],"H"),IF($M$1="Auswärts",AVERAGEIFS(Eingabe[V2],Eingabe[Name],Volle[[#This Row],[Name]],Eingabe[Wo],"A"),""))),"")</f>
        <v/>
      </c>
      <c r="S11" s="189" t="str">
        <f>IFERROR(ROUND(Volle[[#This Row],[V2]]-Volle[[#This Row],[Volle Bahn Schnitt]],1),"")</f>
        <v/>
      </c>
      <c r="T11" s="189" t="str">
        <f>IFERROR(IF($M$1="Gesamt",AVERAGEIF(Eingabe[Name],Volle[[#This Row],[Name]],Eingabe[V3]),IF($M$1="Heim",AVERAGEIFS(Eingabe[V3],Eingabe[Name],Volle[[#This Row],[Name]],Eingabe[Wo],"H"),IF($M$1="Auswärts",AVERAGEIFS(Eingabe[V3],Eingabe[Name],Volle[[#This Row],[Name]],Eingabe[Wo],"A"),""))),"")</f>
        <v/>
      </c>
      <c r="U11" s="189" t="str">
        <f>IFERROR(ROUND(Volle[[#This Row],[V3]]-Volle[[#This Row],[Volle Bahn Schnitt]],1),"")</f>
        <v/>
      </c>
      <c r="V11" s="189" t="str">
        <f>IFERROR(IF($M$1="Gesamt",AVERAGEIF(Eingabe[Name],Volle[[#This Row],[Name]],Eingabe[V4]),IF($M$1="Heim",AVERAGEIFS(Eingabe[V4],Eingabe[Name],Volle[[#This Row],[Name]],Eingabe[Wo],"H"),IF($M$1="Auswärts",AVERAGEIFS(Eingabe[V4],Eingabe[Name],Volle[[#This Row],[Name]],Eingabe[Wo],"A"),""))),"")</f>
        <v/>
      </c>
      <c r="W11" s="340" t="str">
        <f>IFERROR(ROUND(Volle[[#This Row],[V4]]-Volle[[#This Row],[Volle Bahn Schnitt]],1),"")</f>
        <v/>
      </c>
      <c r="Y11" s="335" t="str">
        <f>Bahnen[[#This Row],[Name]]</f>
        <v>Dietmar Klose</v>
      </c>
      <c r="Z11" s="189" t="str">
        <f>IFERROR(ROUND(IF(Y$1="Gesamt",AVERAGEIF(Eingabe[Name],Räumer[[#This Row],[Name]],Eingabe[Räumer]),IF(Y$1="Heim",AVERAGEIFS(Eingabe[Räumer],Eingabe[Name],Räumer[[#This Row],[Name]],Eingabe[Wo],"H"),IF(Y$1="Auswärts",AVERAGEIFS(Eingabe[Räumer],Eingabe[Name],Räumer[[#This Row],[Name]],Eingabe[Wo],"A"),""))),0),"")</f>
        <v/>
      </c>
      <c r="AA11" s="189" t="str">
        <f>IFERROR(Räumer[[#This Row],[Räumer Schnitt]]/4,"")</f>
        <v/>
      </c>
      <c r="AB11" s="189" t="str">
        <f>IFERROR(IF(Y$1="Gesamt",AVERAGEIF(Eingabe[Name],Räumer[[#This Row],[Name]],Eingabe[R1]),IF(Y$1="Heim",AVERAGEIFS(Eingabe[R1],Eingabe[Name],Räumer[[#This Row],[Name]],Eingabe[Wo],"H"),IF(Y$1="Auswärts",AVERAGEIFS(Eingabe[R1],Eingabe[Name],Räumer[[#This Row],[Name]],Eingabe[Wo],"A"),""))),"")</f>
        <v/>
      </c>
      <c r="AC11" s="189" t="str">
        <f>IFERROR(ROUND(Räumer[[#This Row],[R1]]-Räumer[[#This Row],[Räumer Bahn Schnitt]],1),"")</f>
        <v/>
      </c>
      <c r="AD11" s="189" t="str">
        <f>IFERROR(IF(Y$1="Gesamt",AVERAGEIF(Eingabe[Name],Räumer[[#This Row],[Name]],Eingabe[R2]),IF(Y$1="Heim",AVERAGEIFS(Eingabe[R2],Eingabe[Name],Räumer[[#This Row],[Name]],Eingabe[Wo],"H"),IF(Y$1="Auswärts",AVERAGEIFS(Eingabe[R2],Eingabe[Name],Räumer[[#This Row],[Name]],Eingabe[Wo],"A"),""))),"")</f>
        <v/>
      </c>
      <c r="AE11" s="189" t="str">
        <f>IFERROR(ROUND(Räumer[[#This Row],[R2]]-Räumer[[#This Row],[Räumer Bahn Schnitt]],1),"")</f>
        <v/>
      </c>
      <c r="AF11" s="189" t="str">
        <f>IFERROR(IF(Y$1="Gesamt",AVERAGEIF(Eingabe[Name],Räumer[[#This Row],[Name]],Eingabe[R3]),IF(Y$1="Heim",AVERAGEIFS(Eingabe[R3],Eingabe[Name],Räumer[[#This Row],[Name]],Eingabe[Wo],"H"),IF(Y$1="Auswärts",AVERAGEIFS(Eingabe[R3],Eingabe[Name],Räumer[[#This Row],[Name]],Eingabe[Wo],"A"),""))),"")</f>
        <v/>
      </c>
      <c r="AG11" s="189" t="str">
        <f>IFERROR(ROUND(Räumer[[#This Row],[R3]]-Räumer[[#This Row],[Räumer Bahn Schnitt]],1),"")</f>
        <v/>
      </c>
      <c r="AH11" s="189" t="str">
        <f>IFERROR(IF(Y$1="Gesamt",AVERAGEIF(Eingabe[Name],Räumer[[#This Row],[Name]],Eingabe[R4]),IF(Y$1="Heim",AVERAGEIFS(Eingabe[R4],Eingabe[Name],Räumer[[#This Row],[Name]],Eingabe[Wo],"H"),IF(Y$1="Auswärts",AVERAGEIFS(Eingabe[R4],Eingabe[Name],Räumer[[#This Row],[Name]],Eingabe[Wo],"A"),""))),"")</f>
        <v/>
      </c>
      <c r="AI11" s="189" t="str">
        <f>IFERROR(ROUND(Räumer[[#This Row],[R4]]-Räumer[[#This Row],[Räumer Bahn Schnitt]],1),"")</f>
        <v/>
      </c>
      <c r="AK11" s="335" t="str">
        <f>Bahnen[[#This Row],[Name]]</f>
        <v>Dietmar Klose</v>
      </c>
      <c r="AL11" s="189" t="str">
        <f>IFERROR(ROUND(IF(AK$1="Gesamt",AVERAGEIF(Eingabe[Name],Fehler[[#This Row],[Name]],Eingabe[Fehler]),IF(AK$1="Heim",AVERAGEIFS(Eingabe[Fehler],Eingabe[Name],Fehler[[#This Row],[Name]],Eingabe[Wo],"H"),IF(AK$1="Auswärts",AVERAGEIFS(Eingabe[Fehler],Eingabe[Name],Fehler[[#This Row],[Name]],Eingabe[Wo],"A"),""))),0),"")</f>
        <v/>
      </c>
      <c r="AM11" s="189" t="str">
        <f>IFERROR(Fehler[[#This Row],[Fehler Schnitt]]/4,"")</f>
        <v/>
      </c>
      <c r="AN11" s="189" t="str">
        <f>IFERROR(IF(AK$1="Gesamt",AVERAGEIF(Eingabe[Name],Fehler[[#This Row],[Name]],Eingabe[F1]),IF(AK$1="Heim",AVERAGEIFS(Eingabe[F1],Eingabe[Name],Fehler[[#This Row],[Name]],Eingabe[Wo],"H"),IF(AK$1="Auswärts",AVERAGEIFS(Eingabe[F1],Eingabe[Name],Fehler[[#This Row],[Name]],Eingabe[Wo],"A"),""))),"")</f>
        <v/>
      </c>
      <c r="AO11" s="189" t="str">
        <f>IFERROR(ROUND(Fehler[[#This Row],[F1]]-Fehler[[#This Row],[Fehler Bahn Schnitt]],1),"")</f>
        <v/>
      </c>
      <c r="AP11" s="189" t="str">
        <f>IFERROR(IF(AK$1="Gesamt",AVERAGEIF(Eingabe[Name],Fehler[[#This Row],[Name]],Eingabe[F2]),IF(AK$1="Heim",AVERAGEIFS(Eingabe[F2],Eingabe[Name],Fehler[[#This Row],[Name]],Eingabe[Wo],"H"),IF(AK$1="Auswärts",AVERAGEIFS(Eingabe[F2],Eingabe[Name],Fehler[[#This Row],[Name]],Eingabe[Wo],"A"),""))),"")</f>
        <v/>
      </c>
      <c r="AQ11" s="189" t="str">
        <f>IFERROR(ROUND(Fehler[[#This Row],[F2]]-Fehler[[#This Row],[Fehler Bahn Schnitt]],1),"")</f>
        <v/>
      </c>
      <c r="AR11" s="189" t="str">
        <f>IFERROR(IF(AK$1="Gesamt",AVERAGEIF(Eingabe[Name],Fehler[[#This Row],[Name]],Eingabe[F3]),IF(AK$1="Heim",AVERAGEIFS(Eingabe[F3],Eingabe[Name],Fehler[[#This Row],[Name]],Eingabe[Wo],"H"),IF(AK$1="Auswärts",AVERAGEIFS(Eingabe[F1],Eingabe[Name],Fehler[[#This Row],[Name]],Eingabe[Wo],"A"),""))),"")</f>
        <v/>
      </c>
      <c r="AS11" s="189" t="str">
        <f>IFERROR(ROUND(Fehler[[#This Row],[F3]]-Fehler[[#This Row],[Fehler Bahn Schnitt]],1),"")</f>
        <v/>
      </c>
      <c r="AT11" s="189" t="str">
        <f>IFERROR(IF(AK$1="Gesamt",AVERAGEIF(Eingabe[Name],Fehler[[#This Row],[Name]],Eingabe[F4]),IF(AK$1="Heim",AVERAGEIFS(Eingabe[F4],Eingabe[Name],Fehler[[#This Row],[Name]],Eingabe[Wo],"H"),IF(AK$1="Auswärts",AVERAGEIFS(Eingabe[F1],Eingabe[Name],Fehler[[#This Row],[Name]],Eingabe[Wo],"A"),""))),"")</f>
        <v/>
      </c>
      <c r="AU11" s="189" t="str">
        <f>IFERROR(ROUND(Fehler[[#This Row],[F4]]-Fehler[[#This Row],[Fehler Bahn Schnitt]],1),"")</f>
        <v/>
      </c>
    </row>
    <row r="12" spans="1:47" ht="15.6" x14ac:dyDescent="0.3">
      <c r="A12" s="335" t="s">
        <v>476</v>
      </c>
      <c r="B12" s="189">
        <f>IFERROR(ROUND(IF($A$1="Gesamt",AVERAGEIF(Eingabe[Name],Bahnen[[#This Row],[Name]],Eingabe[GES]),IF($A$1="Heim",AVERAGEIFS(Eingabe[GES],Eingabe[Name],Bahnen[[#This Row],[Name]],Eingabe[Wo],"H"),IF($A$1="Auswärts",AVERAGEIFS(Eingabe[GES],Eingabe[Name],Bahnen[[#This Row],[Name]],Eingabe[Wo],"A"),""))),0),"")</f>
        <v>410</v>
      </c>
      <c r="C12" s="189">
        <f>IFERROR(Bahnen[[#This Row],[Schnitt]]/4,"")</f>
        <v>102.5</v>
      </c>
      <c r="D12" s="189">
        <f>IFERROR(IF($A$1="Gesamt",AVERAGEIF(Eingabe[Name],Bahnen[[#This Row],[Name]],Eingabe[S1]),IF($A$1="Heim",AVERAGEIFS(Eingabe[S-NR],Eingabe[Name],Bahnen[[#This Row],[Name]],Eingabe[Wo],"H"),IF($A$1="Auswärts",AVERAGEIFS(Eingabe[S1],Eingabe[Name],Bahnen[[#This Row],[Name]],Eingabe[Wo],"A"),""))),"")</f>
        <v>103.33333333333333</v>
      </c>
      <c r="E12" s="189">
        <f>IFERROR(ROUND(Bahnen[[#This Row],[S1]]-Bahnen[[#This Row],[Bahn Schnitt]],1),"")</f>
        <v>0.8</v>
      </c>
      <c r="F12" s="189">
        <f>IFERROR(IF($A$1="Gesamt",AVERAGEIF(Eingabe[Name],Bahnen[[#This Row],[Name]],Eingabe[S2]),IF($A$1="Heim",AVERAGEIFS(Eingabe[S2],Eingabe[Name],Bahnen[[#This Row],[Name]],Eingabe[Wo],"H"),IF($A$1="Auswärts",AVERAGEIFS(Eingabe[S2],Eingabe[Name],Bahnen[[#This Row],[Name]],Eingabe[Wo],"A"),""))),"")</f>
        <v>109.11111111111111</v>
      </c>
      <c r="G12" s="189">
        <f>IFERROR(ROUND(Bahnen[[#This Row],[S2]]-Bahnen[[#This Row],[Bahn Schnitt]],1),"")</f>
        <v>6.6</v>
      </c>
      <c r="H12" s="189">
        <f>IFERROR(IF($A$1="Gesamt",AVERAGEIF(Eingabe[Name],Bahnen[[#This Row],[Name]],Eingabe[S3]),IF($A$1="Heim",AVERAGEIFS(Eingabe[S3],Eingabe[Name],Bahnen[[#This Row],[Name]],Eingabe[Wo],"H"),IF($A$1="Auswärts",AVERAGEIFS(Eingabe[S-NR],Eingabe[Name],Bahnen[[#This Row],[Name]],Eingabe[Wo],"A"),""))),"")</f>
        <v>95.888888888888886</v>
      </c>
      <c r="I12" s="189">
        <f>IFERROR(ROUND(Bahnen[[#This Row],[S3]]-Bahnen[[#This Row],[Bahn Schnitt]],1),"")</f>
        <v>-6.6</v>
      </c>
      <c r="J12" s="189">
        <f>IFERROR(IF($A$1="Gesamt",AVERAGEIF(Eingabe[Name],Bahnen[[#This Row],[Name]],Eingabe[S4]),IF($A$1="Heim",AVERAGEIFS(Eingabe[S4],Eingabe[Name],Bahnen[[#This Row],[Name]],Eingabe[Wo],"H"),IF($A$1="Auswärts",AVERAGEIFS(Eingabe[S-NR],Eingabe[Name],Bahnen[[#This Row],[Name]],Eingabe[Wo],"A"),""))),"")</f>
        <v>100.77777777777777</v>
      </c>
      <c r="K12" s="189">
        <f>IFERROR(ROUND(Bahnen[[#This Row],[S4]]-Bahnen[[#This Row],[Bahn Schnitt]],1),"")</f>
        <v>-1.7</v>
      </c>
      <c r="M12" s="335" t="str">
        <f>Bahnen[[#This Row],[Name]]</f>
        <v>Emelie Schiffel</v>
      </c>
      <c r="N12" s="189">
        <f>IFERROR(ROUND(IF($M$1="Gesamt",AVERAGEIF(Eingabe[Name],Volle[[#This Row],[Name]],Eingabe[Volle]),IF($M$1="Heim",AVERAGEIFS(Eingabe[Volle],Eingabe[Name],Volle[[#This Row],[Name]],Eingabe[Wo],"H"),IF($M$1="Auswärts",AVERAGEIFS(Eingabe[Volle],Eingabe[Name],Volle[[#This Row],[Name]],Eingabe[Wo],"A"),""))),0),"")</f>
        <v>299</v>
      </c>
      <c r="O12" s="189">
        <f>IFERROR(Volle[[#This Row],[Volle Schnitt]]/4,"")</f>
        <v>74.75</v>
      </c>
      <c r="P12" s="189">
        <f>IFERROR(IF($M$1="Gesamt",AVERAGEIF(Eingabe[Name],Volle[[#This Row],[Name]],Eingabe[V1]),IF($M$1="Heim",AVERAGEIFS(Eingabe[V1],Eingabe[Name],Volle[[#This Row],[Name]],Eingabe[Wo],"H"),IF($M$1="Auswärts",AVERAGEIFS(Eingabe[V1],Eingabe[Name],Volle[[#This Row],[Name]],Eingabe[Wo],"A"),""))),"")</f>
        <v>73.333333333333329</v>
      </c>
      <c r="Q12" s="189">
        <f>IFERROR(ROUND(Volle[[#This Row],[V1]]-Volle[[#This Row],[Volle Bahn Schnitt]],1),"")</f>
        <v>-1.4</v>
      </c>
      <c r="R12" s="189">
        <f>IFERROR(IF($M$1="Gesamt",AVERAGEIF(Eingabe[Name],Volle[[#This Row],[Name]],Eingabe[V2]),IF($M$1="Heim",AVERAGEIFS(Eingabe[V2],Eingabe[Name],Volle[[#This Row],[Name]],Eingabe[Wo],"H"),IF($M$1="Auswärts",AVERAGEIFS(Eingabe[V2],Eingabe[Name],Volle[[#This Row],[Name]],Eingabe[Wo],"A"),""))),"")</f>
        <v>78.222222222222229</v>
      </c>
      <c r="S12" s="189">
        <f>IFERROR(ROUND(Volle[[#This Row],[V2]]-Volle[[#This Row],[Volle Bahn Schnitt]],1),"")</f>
        <v>3.5</v>
      </c>
      <c r="T12" s="189">
        <f>IFERROR(IF($M$1="Gesamt",AVERAGEIF(Eingabe[Name],Volle[[#This Row],[Name]],Eingabe[V3]),IF($M$1="Heim",AVERAGEIFS(Eingabe[V3],Eingabe[Name],Volle[[#This Row],[Name]],Eingabe[Wo],"H"),IF($M$1="Auswärts",AVERAGEIFS(Eingabe[V3],Eingabe[Name],Volle[[#This Row],[Name]],Eingabe[Wo],"A"),""))),"")</f>
        <v>70.666666666666671</v>
      </c>
      <c r="U12" s="189">
        <f>IFERROR(ROUND(Volle[[#This Row],[V3]]-Volle[[#This Row],[Volle Bahn Schnitt]],1),"")</f>
        <v>-4.0999999999999996</v>
      </c>
      <c r="V12" s="189">
        <f>IFERROR(IF($M$1="Gesamt",AVERAGEIF(Eingabe[Name],Volle[[#This Row],[Name]],Eingabe[V4]),IF($M$1="Heim",AVERAGEIFS(Eingabe[V4],Eingabe[Name],Volle[[#This Row],[Name]],Eingabe[Wo],"H"),IF($M$1="Auswärts",AVERAGEIFS(Eingabe[V4],Eingabe[Name],Volle[[#This Row],[Name]],Eingabe[Wo],"A"),""))),"")</f>
        <v>75.111111111111114</v>
      </c>
      <c r="W12" s="340">
        <f>IFERROR(ROUND(Volle[[#This Row],[V4]]-Volle[[#This Row],[Volle Bahn Schnitt]],1),"")</f>
        <v>0.4</v>
      </c>
      <c r="Y12" s="335" t="str">
        <f>Bahnen[[#This Row],[Name]]</f>
        <v>Emelie Schiffel</v>
      </c>
      <c r="Z12" s="189">
        <f>IFERROR(ROUND(IF(Y$1="Gesamt",AVERAGEIF(Eingabe[Name],Räumer[[#This Row],[Name]],Eingabe[Räumer]),IF(Y$1="Heim",AVERAGEIFS(Eingabe[Räumer],Eingabe[Name],Räumer[[#This Row],[Name]],Eingabe[Wo],"H"),IF(Y$1="Auswärts",AVERAGEIFS(Eingabe[Räumer],Eingabe[Name],Räumer[[#This Row],[Name]],Eingabe[Wo],"A"),""))),0),"")</f>
        <v>111</v>
      </c>
      <c r="AA12" s="189">
        <f>IFERROR(Räumer[[#This Row],[Räumer Schnitt]]/4,"")</f>
        <v>27.75</v>
      </c>
      <c r="AB12" s="189">
        <f>IFERROR(IF(Y$1="Gesamt",AVERAGEIF(Eingabe[Name],Räumer[[#This Row],[Name]],Eingabe[R1]),IF(Y$1="Heim",AVERAGEIFS(Eingabe[R1],Eingabe[Name],Räumer[[#This Row],[Name]],Eingabe[Wo],"H"),IF(Y$1="Auswärts",AVERAGEIFS(Eingabe[R1],Eingabe[Name],Räumer[[#This Row],[Name]],Eingabe[Wo],"A"),""))),"")</f>
        <v>30</v>
      </c>
      <c r="AC12" s="189">
        <f>IFERROR(ROUND(Räumer[[#This Row],[R1]]-Räumer[[#This Row],[Räumer Bahn Schnitt]],1),"")</f>
        <v>2.2999999999999998</v>
      </c>
      <c r="AD12" s="189">
        <f>IFERROR(IF(Y$1="Gesamt",AVERAGEIF(Eingabe[Name],Räumer[[#This Row],[Name]],Eingabe[R2]),IF(Y$1="Heim",AVERAGEIFS(Eingabe[R2],Eingabe[Name],Räumer[[#This Row],[Name]],Eingabe[Wo],"H"),IF(Y$1="Auswärts",AVERAGEIFS(Eingabe[R2],Eingabe[Name],Räumer[[#This Row],[Name]],Eingabe[Wo],"A"),""))),"")</f>
        <v>30.888888888888889</v>
      </c>
      <c r="AE12" s="189">
        <f>IFERROR(ROUND(Räumer[[#This Row],[R2]]-Räumer[[#This Row],[Räumer Bahn Schnitt]],1),"")</f>
        <v>3.1</v>
      </c>
      <c r="AF12" s="189">
        <f>IFERROR(IF(Y$1="Gesamt",AVERAGEIF(Eingabe[Name],Räumer[[#This Row],[Name]],Eingabe[R3]),IF(Y$1="Heim",AVERAGEIFS(Eingabe[R3],Eingabe[Name],Räumer[[#This Row],[Name]],Eingabe[Wo],"H"),IF(Y$1="Auswärts",AVERAGEIFS(Eingabe[R3],Eingabe[Name],Räumer[[#This Row],[Name]],Eingabe[Wo],"A"),""))),"")</f>
        <v>25.222222222222221</v>
      </c>
      <c r="AG12" s="189">
        <f>IFERROR(ROUND(Räumer[[#This Row],[R3]]-Räumer[[#This Row],[Räumer Bahn Schnitt]],1),"")</f>
        <v>-2.5</v>
      </c>
      <c r="AH12" s="189">
        <f>IFERROR(IF(Y$1="Gesamt",AVERAGEIF(Eingabe[Name],Räumer[[#This Row],[Name]],Eingabe[R4]),IF(Y$1="Heim",AVERAGEIFS(Eingabe[R4],Eingabe[Name],Räumer[[#This Row],[Name]],Eingabe[Wo],"H"),IF(Y$1="Auswärts",AVERAGEIFS(Eingabe[R4],Eingabe[Name],Räumer[[#This Row],[Name]],Eingabe[Wo],"A"),""))),"")</f>
        <v>25.666666666666668</v>
      </c>
      <c r="AI12" s="189">
        <f>IFERROR(ROUND(Räumer[[#This Row],[R4]]-Räumer[[#This Row],[Räumer Bahn Schnitt]],1),"")</f>
        <v>-2.1</v>
      </c>
      <c r="AK12" s="335" t="str">
        <f>Bahnen[[#This Row],[Name]]</f>
        <v>Emelie Schiffel</v>
      </c>
      <c r="AL12" s="189">
        <f>IFERROR(ROUND(IF(AK$1="Gesamt",AVERAGEIF(Eingabe[Name],Fehler[[#This Row],[Name]],Eingabe[Fehler]),IF(AK$1="Heim",AVERAGEIFS(Eingabe[Fehler],Eingabe[Name],Fehler[[#This Row],[Name]],Eingabe[Wo],"H"),IF(AK$1="Auswärts",AVERAGEIFS(Eingabe[Fehler],Eingabe[Name],Fehler[[#This Row],[Name]],Eingabe[Wo],"A"),""))),0),"")</f>
        <v>22</v>
      </c>
      <c r="AM12" s="189">
        <f>IFERROR(Fehler[[#This Row],[Fehler Schnitt]]/4,"")</f>
        <v>5.5</v>
      </c>
      <c r="AN12" s="189">
        <f>IFERROR(IF(AK$1="Gesamt",AVERAGEIF(Eingabe[Name],Fehler[[#This Row],[Name]],Eingabe[F1]),IF(AK$1="Heim",AVERAGEIFS(Eingabe[F1],Eingabe[Name],Fehler[[#This Row],[Name]],Eingabe[Wo],"H"),IF(AK$1="Auswärts",AVERAGEIFS(Eingabe[F1],Eingabe[Name],Fehler[[#This Row],[Name]],Eingabe[Wo],"A"),""))),"")</f>
        <v>4.4444444444444446</v>
      </c>
      <c r="AO12" s="189">
        <f>IFERROR(ROUND(Fehler[[#This Row],[F1]]-Fehler[[#This Row],[Fehler Bahn Schnitt]],1),"")</f>
        <v>-1.1000000000000001</v>
      </c>
      <c r="AP12" s="189">
        <f>IFERROR(IF(AK$1="Gesamt",AVERAGEIF(Eingabe[Name],Fehler[[#This Row],[Name]],Eingabe[F2]),IF(AK$1="Heim",AVERAGEIFS(Eingabe[F2],Eingabe[Name],Fehler[[#This Row],[Name]],Eingabe[Wo],"H"),IF(AK$1="Auswärts",AVERAGEIFS(Eingabe[F2],Eingabe[Name],Fehler[[#This Row],[Name]],Eingabe[Wo],"A"),""))),"")</f>
        <v>5.666666666666667</v>
      </c>
      <c r="AQ12" s="189">
        <f>IFERROR(ROUND(Fehler[[#This Row],[F2]]-Fehler[[#This Row],[Fehler Bahn Schnitt]],1),"")</f>
        <v>0.2</v>
      </c>
      <c r="AR12" s="189">
        <f>IFERROR(IF(AK$1="Gesamt",AVERAGEIF(Eingabe[Name],Fehler[[#This Row],[Name]],Eingabe[F3]),IF(AK$1="Heim",AVERAGEIFS(Eingabe[F3],Eingabe[Name],Fehler[[#This Row],[Name]],Eingabe[Wo],"H"),IF(AK$1="Auswärts",AVERAGEIFS(Eingabe[F1],Eingabe[Name],Fehler[[#This Row],[Name]],Eingabe[Wo],"A"),""))),"")</f>
        <v>5.5555555555555554</v>
      </c>
      <c r="AS12" s="189">
        <f>IFERROR(ROUND(Fehler[[#This Row],[F3]]-Fehler[[#This Row],[Fehler Bahn Schnitt]],1),"")</f>
        <v>0.1</v>
      </c>
      <c r="AT12" s="189">
        <f>IFERROR(IF(AK$1="Gesamt",AVERAGEIF(Eingabe[Name],Fehler[[#This Row],[Name]],Eingabe[F4]),IF(AK$1="Heim",AVERAGEIFS(Eingabe[F4],Eingabe[Name],Fehler[[#This Row],[Name]],Eingabe[Wo],"H"),IF(AK$1="Auswärts",AVERAGEIFS(Eingabe[F1],Eingabe[Name],Fehler[[#This Row],[Name]],Eingabe[Wo],"A"),""))),"")</f>
        <v>6.7777777777777777</v>
      </c>
      <c r="AU12" s="189">
        <f>IFERROR(ROUND(Fehler[[#This Row],[F4]]-Fehler[[#This Row],[Fehler Bahn Schnitt]],1),"")</f>
        <v>1.3</v>
      </c>
    </row>
    <row r="13" spans="1:47" ht="15.6" x14ac:dyDescent="0.3">
      <c r="A13" s="335" t="s">
        <v>477</v>
      </c>
      <c r="B13" s="189">
        <f>IFERROR(ROUND(IF($A$1="Gesamt",AVERAGEIF(Eingabe[Name],Bahnen[[#This Row],[Name]],Eingabe[GES]),IF($A$1="Heim",AVERAGEIFS(Eingabe[GES],Eingabe[Name],Bahnen[[#This Row],[Name]],Eingabe[Wo],"H"),IF($A$1="Auswärts",AVERAGEIFS(Eingabe[GES],Eingabe[Name],Bahnen[[#This Row],[Name]],Eingabe[Wo],"A"),""))),0),"")</f>
        <v>532</v>
      </c>
      <c r="C13" s="189">
        <f>IFERROR(Bahnen[[#This Row],[Schnitt]]/4,"")</f>
        <v>133</v>
      </c>
      <c r="D13" s="189">
        <f>IFERROR(IF($A$1="Gesamt",AVERAGEIF(Eingabe[Name],Bahnen[[#This Row],[Name]],Eingabe[S1]),IF($A$1="Heim",AVERAGEIFS(Eingabe[S-NR],Eingabe[Name],Bahnen[[#This Row],[Name]],Eingabe[Wo],"H"),IF($A$1="Auswärts",AVERAGEIFS(Eingabe[S1],Eingabe[Name],Bahnen[[#This Row],[Name]],Eingabe[Wo],"A"),""))),"")</f>
        <v>140.54545454545453</v>
      </c>
      <c r="E13" s="189">
        <f>IFERROR(ROUND(Bahnen[[#This Row],[S1]]-Bahnen[[#This Row],[Bahn Schnitt]],1),"")</f>
        <v>7.5</v>
      </c>
      <c r="F13" s="189">
        <f>IFERROR(IF($A$1="Gesamt",AVERAGEIF(Eingabe[Name],Bahnen[[#This Row],[Name]],Eingabe[S2]),IF($A$1="Heim",AVERAGEIFS(Eingabe[S2],Eingabe[Name],Bahnen[[#This Row],[Name]],Eingabe[Wo],"H"),IF($A$1="Auswärts",AVERAGEIFS(Eingabe[S2],Eingabe[Name],Bahnen[[#This Row],[Name]],Eingabe[Wo],"A"),""))),"")</f>
        <v>132.54545454545453</v>
      </c>
      <c r="G13" s="189">
        <f>IFERROR(ROUND(Bahnen[[#This Row],[S2]]-Bahnen[[#This Row],[Bahn Schnitt]],1),"")</f>
        <v>-0.5</v>
      </c>
      <c r="H13" s="189">
        <f>IFERROR(IF($A$1="Gesamt",AVERAGEIF(Eingabe[Name],Bahnen[[#This Row],[Name]],Eingabe[S3]),IF($A$1="Heim",AVERAGEIFS(Eingabe[S3],Eingabe[Name],Bahnen[[#This Row],[Name]],Eingabe[Wo],"H"),IF($A$1="Auswärts",AVERAGEIFS(Eingabe[S-NR],Eingabe[Name],Bahnen[[#This Row],[Name]],Eingabe[Wo],"A"),""))),"")</f>
        <v>131.90909090909091</v>
      </c>
      <c r="I13" s="189">
        <f>IFERROR(ROUND(Bahnen[[#This Row],[S3]]-Bahnen[[#This Row],[Bahn Schnitt]],1),"")</f>
        <v>-1.1000000000000001</v>
      </c>
      <c r="J13" s="189">
        <f>IFERROR(IF($A$1="Gesamt",AVERAGEIF(Eingabe[Name],Bahnen[[#This Row],[Name]],Eingabe[S4]),IF($A$1="Heim",AVERAGEIFS(Eingabe[S4],Eingabe[Name],Bahnen[[#This Row],[Name]],Eingabe[Wo],"H"),IF($A$1="Auswärts",AVERAGEIFS(Eingabe[S-NR],Eingabe[Name],Bahnen[[#This Row],[Name]],Eingabe[Wo],"A"),""))),"")</f>
        <v>131.09090909090909</v>
      </c>
      <c r="K13" s="189">
        <f>IFERROR(ROUND(Bahnen[[#This Row],[S4]]-Bahnen[[#This Row],[Bahn Schnitt]],1),"")</f>
        <v>-1.9</v>
      </c>
      <c r="M13" s="335" t="str">
        <f>Bahnen[[#This Row],[Name]]</f>
        <v>Emma Hettmann</v>
      </c>
      <c r="N13" s="189">
        <f>IFERROR(ROUND(IF($M$1="Gesamt",AVERAGEIF(Eingabe[Name],Volle[[#This Row],[Name]],Eingabe[Volle]),IF($M$1="Heim",AVERAGEIFS(Eingabe[Volle],Eingabe[Name],Volle[[#This Row],[Name]],Eingabe[Wo],"H"),IF($M$1="Auswärts",AVERAGEIFS(Eingabe[Volle],Eingabe[Name],Volle[[#This Row],[Name]],Eingabe[Wo],"A"),""))),0),"")</f>
        <v>361</v>
      </c>
      <c r="O13" s="189">
        <f>IFERROR(Volle[[#This Row],[Volle Schnitt]]/4,"")</f>
        <v>90.25</v>
      </c>
      <c r="P13" s="189">
        <f>IFERROR(IF($M$1="Gesamt",AVERAGEIF(Eingabe[Name],Volle[[#This Row],[Name]],Eingabe[V1]),IF($M$1="Heim",AVERAGEIFS(Eingabe[V1],Eingabe[Name],Volle[[#This Row],[Name]],Eingabe[Wo],"H"),IF($M$1="Auswärts",AVERAGEIFS(Eingabe[V1],Eingabe[Name],Volle[[#This Row],[Name]],Eingabe[Wo],"A"),""))),"")</f>
        <v>93.181818181818187</v>
      </c>
      <c r="Q13" s="189">
        <f>IFERROR(ROUND(Volle[[#This Row],[V1]]-Volle[[#This Row],[Volle Bahn Schnitt]],1),"")</f>
        <v>2.9</v>
      </c>
      <c r="R13" s="189">
        <f>IFERROR(IF($M$1="Gesamt",AVERAGEIF(Eingabe[Name],Volle[[#This Row],[Name]],Eingabe[V2]),IF($M$1="Heim",AVERAGEIFS(Eingabe[V2],Eingabe[Name],Volle[[#This Row],[Name]],Eingabe[Wo],"H"),IF($M$1="Auswärts",AVERAGEIFS(Eingabe[V2],Eingabe[Name],Volle[[#This Row],[Name]],Eingabe[Wo],"A"),""))),"")</f>
        <v>92</v>
      </c>
      <c r="S13" s="189">
        <f>IFERROR(ROUND(Volle[[#This Row],[V2]]-Volle[[#This Row],[Volle Bahn Schnitt]],1),"")</f>
        <v>1.8</v>
      </c>
      <c r="T13" s="189">
        <f>IFERROR(IF($M$1="Gesamt",AVERAGEIF(Eingabe[Name],Volle[[#This Row],[Name]],Eingabe[V3]),IF($M$1="Heim",AVERAGEIFS(Eingabe[V3],Eingabe[Name],Volle[[#This Row],[Name]],Eingabe[Wo],"H"),IF($M$1="Auswärts",AVERAGEIFS(Eingabe[V3],Eingabe[Name],Volle[[#This Row],[Name]],Eingabe[Wo],"A"),""))),"")</f>
        <v>87.727272727272734</v>
      </c>
      <c r="U13" s="189">
        <f>IFERROR(ROUND(Volle[[#This Row],[V3]]-Volle[[#This Row],[Volle Bahn Schnitt]],1),"")</f>
        <v>-2.5</v>
      </c>
      <c r="V13" s="189">
        <f>IFERROR(IF($M$1="Gesamt",AVERAGEIF(Eingabe[Name],Volle[[#This Row],[Name]],Eingabe[V4]),IF($M$1="Heim",AVERAGEIFS(Eingabe[V4],Eingabe[Name],Volle[[#This Row],[Name]],Eingabe[Wo],"H"),IF($M$1="Auswärts",AVERAGEIFS(Eingabe[V4],Eingabe[Name],Volle[[#This Row],[Name]],Eingabe[Wo],"A"),""))),"")</f>
        <v>88.63636363636364</v>
      </c>
      <c r="W13" s="340">
        <f>IFERROR(ROUND(Volle[[#This Row],[V4]]-Volle[[#This Row],[Volle Bahn Schnitt]],1),"")</f>
        <v>-1.6</v>
      </c>
      <c r="Y13" s="335" t="str">
        <f>Bahnen[[#This Row],[Name]]</f>
        <v>Emma Hettmann</v>
      </c>
      <c r="Z13" s="189">
        <f>IFERROR(ROUND(IF(Y$1="Gesamt",AVERAGEIF(Eingabe[Name],Räumer[[#This Row],[Name]],Eingabe[Räumer]),IF(Y$1="Heim",AVERAGEIFS(Eingabe[Räumer],Eingabe[Name],Räumer[[#This Row],[Name]],Eingabe[Wo],"H"),IF(Y$1="Auswärts",AVERAGEIFS(Eingabe[Räumer],Eingabe[Name],Räumer[[#This Row],[Name]],Eingabe[Wo],"A"),""))),0),"")</f>
        <v>171</v>
      </c>
      <c r="AA13" s="189">
        <f>IFERROR(Räumer[[#This Row],[Räumer Schnitt]]/4,"")</f>
        <v>42.75</v>
      </c>
      <c r="AB13" s="189">
        <f>IFERROR(IF(Y$1="Gesamt",AVERAGEIF(Eingabe[Name],Räumer[[#This Row],[Name]],Eingabe[R1]),IF(Y$1="Heim",AVERAGEIFS(Eingabe[R1],Eingabe[Name],Räumer[[#This Row],[Name]],Eingabe[Wo],"H"),IF(Y$1="Auswärts",AVERAGEIFS(Eingabe[R1],Eingabe[Name],Räumer[[#This Row],[Name]],Eingabe[Wo],"A"),""))),"")</f>
        <v>47.363636363636367</v>
      </c>
      <c r="AC13" s="189">
        <f>IFERROR(ROUND(Räumer[[#This Row],[R1]]-Räumer[[#This Row],[Räumer Bahn Schnitt]],1),"")</f>
        <v>4.5999999999999996</v>
      </c>
      <c r="AD13" s="189">
        <f>IFERROR(IF(Y$1="Gesamt",AVERAGEIF(Eingabe[Name],Räumer[[#This Row],[Name]],Eingabe[R2]),IF(Y$1="Heim",AVERAGEIFS(Eingabe[R2],Eingabe[Name],Räumer[[#This Row],[Name]],Eingabe[Wo],"H"),IF(Y$1="Auswärts",AVERAGEIFS(Eingabe[R2],Eingabe[Name],Räumer[[#This Row],[Name]],Eingabe[Wo],"A"),""))),"")</f>
        <v>40.545454545454547</v>
      </c>
      <c r="AE13" s="189">
        <f>IFERROR(ROUND(Räumer[[#This Row],[R2]]-Räumer[[#This Row],[Räumer Bahn Schnitt]],1),"")</f>
        <v>-2.2000000000000002</v>
      </c>
      <c r="AF13" s="189">
        <f>IFERROR(IF(Y$1="Gesamt",AVERAGEIF(Eingabe[Name],Räumer[[#This Row],[Name]],Eingabe[R3]),IF(Y$1="Heim",AVERAGEIFS(Eingabe[R3],Eingabe[Name],Räumer[[#This Row],[Name]],Eingabe[Wo],"H"),IF(Y$1="Auswärts",AVERAGEIFS(Eingabe[R3],Eingabe[Name],Räumer[[#This Row],[Name]],Eingabe[Wo],"A"),""))),"")</f>
        <v>44.18181818181818</v>
      </c>
      <c r="AG13" s="189">
        <f>IFERROR(ROUND(Räumer[[#This Row],[R3]]-Räumer[[#This Row],[Räumer Bahn Schnitt]],1),"")</f>
        <v>1.4</v>
      </c>
      <c r="AH13" s="189">
        <f>IFERROR(IF(Y$1="Gesamt",AVERAGEIF(Eingabe[Name],Räumer[[#This Row],[Name]],Eingabe[R4]),IF(Y$1="Heim",AVERAGEIFS(Eingabe[R4],Eingabe[Name],Räumer[[#This Row],[Name]],Eingabe[Wo],"H"),IF(Y$1="Auswärts",AVERAGEIFS(Eingabe[R4],Eingabe[Name],Räumer[[#This Row],[Name]],Eingabe[Wo],"A"),""))),"")</f>
        <v>42.454545454545453</v>
      </c>
      <c r="AI13" s="189">
        <f>IFERROR(ROUND(Räumer[[#This Row],[R4]]-Räumer[[#This Row],[Räumer Bahn Schnitt]],1),"")</f>
        <v>-0.3</v>
      </c>
      <c r="AK13" s="335" t="str">
        <f>Bahnen[[#This Row],[Name]]</f>
        <v>Emma Hettmann</v>
      </c>
      <c r="AL13" s="189">
        <f>IFERROR(ROUND(IF(AK$1="Gesamt",AVERAGEIF(Eingabe[Name],Fehler[[#This Row],[Name]],Eingabe[Fehler]),IF(AK$1="Heim",AVERAGEIFS(Eingabe[Fehler],Eingabe[Name],Fehler[[#This Row],[Name]],Eingabe[Wo],"H"),IF(AK$1="Auswärts",AVERAGEIFS(Eingabe[Fehler],Eingabe[Name],Fehler[[#This Row],[Name]],Eingabe[Wo],"A"),""))),0),"")</f>
        <v>6</v>
      </c>
      <c r="AM13" s="189">
        <f>IFERROR(Fehler[[#This Row],[Fehler Schnitt]]/4,"")</f>
        <v>1.5</v>
      </c>
      <c r="AN13" s="189">
        <f>IFERROR(IF(AK$1="Gesamt",AVERAGEIF(Eingabe[Name],Fehler[[#This Row],[Name]],Eingabe[F1]),IF(AK$1="Heim",AVERAGEIFS(Eingabe[F1],Eingabe[Name],Fehler[[#This Row],[Name]],Eingabe[Wo],"H"),IF(AK$1="Auswärts",AVERAGEIFS(Eingabe[F1],Eingabe[Name],Fehler[[#This Row],[Name]],Eingabe[Wo],"A"),""))),"")</f>
        <v>1</v>
      </c>
      <c r="AO13" s="189">
        <f>IFERROR(ROUND(Fehler[[#This Row],[F1]]-Fehler[[#This Row],[Fehler Bahn Schnitt]],1),"")</f>
        <v>-0.5</v>
      </c>
      <c r="AP13" s="189">
        <f>IFERROR(IF(AK$1="Gesamt",AVERAGEIF(Eingabe[Name],Fehler[[#This Row],[Name]],Eingabe[F2]),IF(AK$1="Heim",AVERAGEIFS(Eingabe[F2],Eingabe[Name],Fehler[[#This Row],[Name]],Eingabe[Wo],"H"),IF(AK$1="Auswärts",AVERAGEIFS(Eingabe[F2],Eingabe[Name],Fehler[[#This Row],[Name]],Eingabe[Wo],"A"),""))),"")</f>
        <v>1</v>
      </c>
      <c r="AQ13" s="189">
        <f>IFERROR(ROUND(Fehler[[#This Row],[F2]]-Fehler[[#This Row],[Fehler Bahn Schnitt]],1),"")</f>
        <v>-0.5</v>
      </c>
      <c r="AR13" s="189">
        <f>IFERROR(IF(AK$1="Gesamt",AVERAGEIF(Eingabe[Name],Fehler[[#This Row],[Name]],Eingabe[F3]),IF(AK$1="Heim",AVERAGEIFS(Eingabe[F3],Eingabe[Name],Fehler[[#This Row],[Name]],Eingabe[Wo],"H"),IF(AK$1="Auswärts",AVERAGEIFS(Eingabe[F1],Eingabe[Name],Fehler[[#This Row],[Name]],Eingabe[Wo],"A"),""))),"")</f>
        <v>1.7272727272727273</v>
      </c>
      <c r="AS13" s="189">
        <f>IFERROR(ROUND(Fehler[[#This Row],[F3]]-Fehler[[#This Row],[Fehler Bahn Schnitt]],1),"")</f>
        <v>0.2</v>
      </c>
      <c r="AT13" s="189">
        <f>IFERROR(IF(AK$1="Gesamt",AVERAGEIF(Eingabe[Name],Fehler[[#This Row],[Name]],Eingabe[F4]),IF(AK$1="Heim",AVERAGEIFS(Eingabe[F4],Eingabe[Name],Fehler[[#This Row],[Name]],Eingabe[Wo],"H"),IF(AK$1="Auswärts",AVERAGEIFS(Eingabe[F1],Eingabe[Name],Fehler[[#This Row],[Name]],Eingabe[Wo],"A"),""))),"")</f>
        <v>1.1818181818181819</v>
      </c>
      <c r="AU13" s="189">
        <f>IFERROR(ROUND(Fehler[[#This Row],[F4]]-Fehler[[#This Row],[Fehler Bahn Schnitt]],1),"")</f>
        <v>-0.3</v>
      </c>
    </row>
    <row r="14" spans="1:47" ht="15.6" x14ac:dyDescent="0.3">
      <c r="A14" s="335" t="s">
        <v>478</v>
      </c>
      <c r="B14" s="189">
        <f>IFERROR(ROUND(IF($A$1="Gesamt",AVERAGEIF(Eingabe[Name],Bahnen[[#This Row],[Name]],Eingabe[GES]),IF($A$1="Heim",AVERAGEIFS(Eingabe[GES],Eingabe[Name],Bahnen[[#This Row],[Name]],Eingabe[Wo],"H"),IF($A$1="Auswärts",AVERAGEIFS(Eingabe[GES],Eingabe[Name],Bahnen[[#This Row],[Name]],Eingabe[Wo],"A"),""))),0),"")</f>
        <v>528</v>
      </c>
      <c r="C14" s="189">
        <f>IFERROR(Bahnen[[#This Row],[Schnitt]]/4,"")</f>
        <v>132</v>
      </c>
      <c r="D14" s="189">
        <f>IFERROR(IF($A$1="Gesamt",AVERAGEIF(Eingabe[Name],Bahnen[[#This Row],[Name]],Eingabe[S1]),IF($A$1="Heim",AVERAGEIFS(Eingabe[S-NR],Eingabe[Name],Bahnen[[#This Row],[Name]],Eingabe[Wo],"H"),IF($A$1="Auswärts",AVERAGEIFS(Eingabe[S1],Eingabe[Name],Bahnen[[#This Row],[Name]],Eingabe[Wo],"A"),""))),"")</f>
        <v>128.36363636363637</v>
      </c>
      <c r="E14" s="189">
        <f>IFERROR(ROUND(Bahnen[[#This Row],[S1]]-Bahnen[[#This Row],[Bahn Schnitt]],1),"")</f>
        <v>-3.6</v>
      </c>
      <c r="F14" s="189">
        <f>IFERROR(IF($A$1="Gesamt",AVERAGEIF(Eingabe[Name],Bahnen[[#This Row],[Name]],Eingabe[S2]),IF($A$1="Heim",AVERAGEIFS(Eingabe[S2],Eingabe[Name],Bahnen[[#This Row],[Name]],Eingabe[Wo],"H"),IF($A$1="Auswärts",AVERAGEIFS(Eingabe[S2],Eingabe[Name],Bahnen[[#This Row],[Name]],Eingabe[Wo],"A"),""))),"")</f>
        <v>127.72727272727273</v>
      </c>
      <c r="G14" s="189">
        <f>IFERROR(ROUND(Bahnen[[#This Row],[S2]]-Bahnen[[#This Row],[Bahn Schnitt]],1),"")</f>
        <v>-4.3</v>
      </c>
      <c r="H14" s="189">
        <f>IFERROR(IF($A$1="Gesamt",AVERAGEIF(Eingabe[Name],Bahnen[[#This Row],[Name]],Eingabe[S3]),IF($A$1="Heim",AVERAGEIFS(Eingabe[S3],Eingabe[Name],Bahnen[[#This Row],[Name]],Eingabe[Wo],"H"),IF($A$1="Auswärts",AVERAGEIFS(Eingabe[S-NR],Eingabe[Name],Bahnen[[#This Row],[Name]],Eingabe[Wo],"A"),""))),"")</f>
        <v>132.27272727272728</v>
      </c>
      <c r="I14" s="189">
        <f>IFERROR(ROUND(Bahnen[[#This Row],[S3]]-Bahnen[[#This Row],[Bahn Schnitt]],1),"")</f>
        <v>0.3</v>
      </c>
      <c r="J14" s="189">
        <f>IFERROR(IF($A$1="Gesamt",AVERAGEIF(Eingabe[Name],Bahnen[[#This Row],[Name]],Eingabe[S4]),IF($A$1="Heim",AVERAGEIFS(Eingabe[S4],Eingabe[Name],Bahnen[[#This Row],[Name]],Eingabe[Wo],"H"),IF($A$1="Auswärts",AVERAGEIFS(Eingabe[S-NR],Eingabe[Name],Bahnen[[#This Row],[Name]],Eingabe[Wo],"A"),""))),"")</f>
        <v>138.45454545454547</v>
      </c>
      <c r="K14" s="189">
        <f>IFERROR(ROUND(Bahnen[[#This Row],[S4]]-Bahnen[[#This Row],[Bahn Schnitt]],1),"")</f>
        <v>6.5</v>
      </c>
      <c r="M14" s="335" t="str">
        <f>Bahnen[[#This Row],[Name]]</f>
        <v>Erik Krutak</v>
      </c>
      <c r="N14" s="189">
        <f>IFERROR(ROUND(IF($M$1="Gesamt",AVERAGEIF(Eingabe[Name],Volle[[#This Row],[Name]],Eingabe[Volle]),IF($M$1="Heim",AVERAGEIFS(Eingabe[Volle],Eingabe[Name],Volle[[#This Row],[Name]],Eingabe[Wo],"H"),IF($M$1="Auswärts",AVERAGEIFS(Eingabe[Volle],Eingabe[Name],Volle[[#This Row],[Name]],Eingabe[Wo],"A"),""))),0),"")</f>
        <v>355</v>
      </c>
      <c r="O14" s="189">
        <f>IFERROR(Volle[[#This Row],[Volle Schnitt]]/4,"")</f>
        <v>88.75</v>
      </c>
      <c r="P14" s="189">
        <f>IFERROR(IF($M$1="Gesamt",AVERAGEIF(Eingabe[Name],Volle[[#This Row],[Name]],Eingabe[V1]),IF($M$1="Heim",AVERAGEIFS(Eingabe[V1],Eingabe[Name],Volle[[#This Row],[Name]],Eingabe[Wo],"H"),IF($M$1="Auswärts",AVERAGEIFS(Eingabe[V1],Eingabe[Name],Volle[[#This Row],[Name]],Eingabe[Wo],"A"),""))),"")</f>
        <v>86.63636363636364</v>
      </c>
      <c r="Q14" s="189">
        <f>IFERROR(ROUND(Volle[[#This Row],[V1]]-Volle[[#This Row],[Volle Bahn Schnitt]],1),"")</f>
        <v>-2.1</v>
      </c>
      <c r="R14" s="189">
        <f>IFERROR(IF($M$1="Gesamt",AVERAGEIF(Eingabe[Name],Volle[[#This Row],[Name]],Eingabe[V2]),IF($M$1="Heim",AVERAGEIFS(Eingabe[V2],Eingabe[Name],Volle[[#This Row],[Name]],Eingabe[Wo],"H"),IF($M$1="Auswärts",AVERAGEIFS(Eingabe[V2],Eingabe[Name],Volle[[#This Row],[Name]],Eingabe[Wo],"A"),""))),"")</f>
        <v>85.727272727272734</v>
      </c>
      <c r="S14" s="189">
        <f>IFERROR(ROUND(Volle[[#This Row],[V2]]-Volle[[#This Row],[Volle Bahn Schnitt]],1),"")</f>
        <v>-3</v>
      </c>
      <c r="T14" s="189">
        <f>IFERROR(IF($M$1="Gesamt",AVERAGEIF(Eingabe[Name],Volle[[#This Row],[Name]],Eingabe[V3]),IF($M$1="Heim",AVERAGEIFS(Eingabe[V3],Eingabe[Name],Volle[[#This Row],[Name]],Eingabe[Wo],"H"),IF($M$1="Auswärts",AVERAGEIFS(Eingabe[V3],Eingabe[Name],Volle[[#This Row],[Name]],Eingabe[Wo],"A"),""))),"")</f>
        <v>91.909090909090907</v>
      </c>
      <c r="U14" s="189">
        <f>IFERROR(ROUND(Volle[[#This Row],[V3]]-Volle[[#This Row],[Volle Bahn Schnitt]],1),"")</f>
        <v>3.2</v>
      </c>
      <c r="V14" s="189">
        <f>IFERROR(IF($M$1="Gesamt",AVERAGEIF(Eingabe[Name],Volle[[#This Row],[Name]],Eingabe[V4]),IF($M$1="Heim",AVERAGEIFS(Eingabe[V4],Eingabe[Name],Volle[[#This Row],[Name]],Eingabe[Wo],"H"),IF($M$1="Auswärts",AVERAGEIFS(Eingabe[V4],Eingabe[Name],Volle[[#This Row],[Name]],Eingabe[Wo],"A"),""))),"")</f>
        <v>91.181818181818187</v>
      </c>
      <c r="W14" s="340">
        <f>IFERROR(ROUND(Volle[[#This Row],[V4]]-Volle[[#This Row],[Volle Bahn Schnitt]],1),"")</f>
        <v>2.4</v>
      </c>
      <c r="Y14" s="335" t="str">
        <f>Bahnen[[#This Row],[Name]]</f>
        <v>Erik Krutak</v>
      </c>
      <c r="Z14" s="189">
        <f>IFERROR(ROUND(IF(Y$1="Gesamt",AVERAGEIF(Eingabe[Name],Räumer[[#This Row],[Name]],Eingabe[Räumer]),IF(Y$1="Heim",AVERAGEIFS(Eingabe[Räumer],Eingabe[Name],Räumer[[#This Row],[Name]],Eingabe[Wo],"H"),IF(Y$1="Auswärts",AVERAGEIFS(Eingabe[Räumer],Eingabe[Name],Räumer[[#This Row],[Name]],Eingabe[Wo],"A"),""))),0),"")</f>
        <v>173</v>
      </c>
      <c r="AA14" s="189">
        <f>IFERROR(Räumer[[#This Row],[Räumer Schnitt]]/4,"")</f>
        <v>43.25</v>
      </c>
      <c r="AB14" s="189">
        <f>IFERROR(IF(Y$1="Gesamt",AVERAGEIF(Eingabe[Name],Räumer[[#This Row],[Name]],Eingabe[R1]),IF(Y$1="Heim",AVERAGEIFS(Eingabe[R1],Eingabe[Name],Räumer[[#This Row],[Name]],Eingabe[Wo],"H"),IF(Y$1="Auswärts",AVERAGEIFS(Eingabe[R1],Eingabe[Name],Räumer[[#This Row],[Name]],Eingabe[Wo],"A"),""))),"")</f>
        <v>41.727272727272727</v>
      </c>
      <c r="AC14" s="189">
        <f>IFERROR(ROUND(Räumer[[#This Row],[R1]]-Räumer[[#This Row],[Räumer Bahn Schnitt]],1),"")</f>
        <v>-1.5</v>
      </c>
      <c r="AD14" s="189">
        <f>IFERROR(IF(Y$1="Gesamt",AVERAGEIF(Eingabe[Name],Räumer[[#This Row],[Name]],Eingabe[R2]),IF(Y$1="Heim",AVERAGEIFS(Eingabe[R2],Eingabe[Name],Räumer[[#This Row],[Name]],Eingabe[Wo],"H"),IF(Y$1="Auswärts",AVERAGEIFS(Eingabe[R2],Eingabe[Name],Räumer[[#This Row],[Name]],Eingabe[Wo],"A"),""))),"")</f>
        <v>42</v>
      </c>
      <c r="AE14" s="189">
        <f>IFERROR(ROUND(Räumer[[#This Row],[R2]]-Räumer[[#This Row],[Räumer Bahn Schnitt]],1),"")</f>
        <v>-1.3</v>
      </c>
      <c r="AF14" s="189">
        <f>IFERROR(IF(Y$1="Gesamt",AVERAGEIF(Eingabe[Name],Räumer[[#This Row],[Name]],Eingabe[R3]),IF(Y$1="Heim",AVERAGEIFS(Eingabe[R3],Eingabe[Name],Räumer[[#This Row],[Name]],Eingabe[Wo],"H"),IF(Y$1="Auswärts",AVERAGEIFS(Eingabe[R3],Eingabe[Name],Räumer[[#This Row],[Name]],Eingabe[Wo],"A"),""))),"")</f>
        <v>40.363636363636367</v>
      </c>
      <c r="AG14" s="189">
        <f>IFERROR(ROUND(Räumer[[#This Row],[R3]]-Räumer[[#This Row],[Räumer Bahn Schnitt]],1),"")</f>
        <v>-2.9</v>
      </c>
      <c r="AH14" s="189">
        <f>IFERROR(IF(Y$1="Gesamt",AVERAGEIF(Eingabe[Name],Räumer[[#This Row],[Name]],Eingabe[R4]),IF(Y$1="Heim",AVERAGEIFS(Eingabe[R4],Eingabe[Name],Räumer[[#This Row],[Name]],Eingabe[Wo],"H"),IF(Y$1="Auswärts",AVERAGEIFS(Eingabe[R4],Eingabe[Name],Räumer[[#This Row],[Name]],Eingabe[Wo],"A"),""))),"")</f>
        <v>47.272727272727273</v>
      </c>
      <c r="AI14" s="189">
        <f>IFERROR(ROUND(Räumer[[#This Row],[R4]]-Räumer[[#This Row],[Räumer Bahn Schnitt]],1),"")</f>
        <v>4</v>
      </c>
      <c r="AK14" s="335" t="str">
        <f>Bahnen[[#This Row],[Name]]</f>
        <v>Erik Krutak</v>
      </c>
      <c r="AL14" s="189">
        <f>IFERROR(ROUND(IF(AK$1="Gesamt",AVERAGEIF(Eingabe[Name],Fehler[[#This Row],[Name]],Eingabe[Fehler]),IF(AK$1="Heim",AVERAGEIFS(Eingabe[Fehler],Eingabe[Name],Fehler[[#This Row],[Name]],Eingabe[Wo],"H"),IF(AK$1="Auswärts",AVERAGEIFS(Eingabe[Fehler],Eingabe[Name],Fehler[[#This Row],[Name]],Eingabe[Wo],"A"),""))),0),"")</f>
        <v>6</v>
      </c>
      <c r="AM14" s="189">
        <f>IFERROR(Fehler[[#This Row],[Fehler Schnitt]]/4,"")</f>
        <v>1.5</v>
      </c>
      <c r="AN14" s="189">
        <f>IFERROR(IF(AK$1="Gesamt",AVERAGEIF(Eingabe[Name],Fehler[[#This Row],[Name]],Eingabe[F1]),IF(AK$1="Heim",AVERAGEIFS(Eingabe[F1],Eingabe[Name],Fehler[[#This Row],[Name]],Eingabe[Wo],"H"),IF(AK$1="Auswärts",AVERAGEIFS(Eingabe[F1],Eingabe[Name],Fehler[[#This Row],[Name]],Eingabe[Wo],"A"),""))),"")</f>
        <v>1.7272727272727273</v>
      </c>
      <c r="AO14" s="189">
        <f>IFERROR(ROUND(Fehler[[#This Row],[F1]]-Fehler[[#This Row],[Fehler Bahn Schnitt]],1),"")</f>
        <v>0.2</v>
      </c>
      <c r="AP14" s="189">
        <f>IFERROR(IF(AK$1="Gesamt",AVERAGEIF(Eingabe[Name],Fehler[[#This Row],[Name]],Eingabe[F2]),IF(AK$1="Heim",AVERAGEIFS(Eingabe[F2],Eingabe[Name],Fehler[[#This Row],[Name]],Eingabe[Wo],"H"),IF(AK$1="Auswärts",AVERAGEIFS(Eingabe[F2],Eingabe[Name],Fehler[[#This Row],[Name]],Eingabe[Wo],"A"),""))),"")</f>
        <v>1.4545454545454546</v>
      </c>
      <c r="AQ14" s="189">
        <f>IFERROR(ROUND(Fehler[[#This Row],[F2]]-Fehler[[#This Row],[Fehler Bahn Schnitt]],1),"")</f>
        <v>0</v>
      </c>
      <c r="AR14" s="189">
        <f>IFERROR(IF(AK$1="Gesamt",AVERAGEIF(Eingabe[Name],Fehler[[#This Row],[Name]],Eingabe[F3]),IF(AK$1="Heim",AVERAGEIFS(Eingabe[F3],Eingabe[Name],Fehler[[#This Row],[Name]],Eingabe[Wo],"H"),IF(AK$1="Auswärts",AVERAGEIFS(Eingabe[F1],Eingabe[Name],Fehler[[#This Row],[Name]],Eingabe[Wo],"A"),""))),"")</f>
        <v>2.1818181818181817</v>
      </c>
      <c r="AS14" s="189">
        <f>IFERROR(ROUND(Fehler[[#This Row],[F3]]-Fehler[[#This Row],[Fehler Bahn Schnitt]],1),"")</f>
        <v>0.7</v>
      </c>
      <c r="AT14" s="189">
        <f>IFERROR(IF(AK$1="Gesamt",AVERAGEIF(Eingabe[Name],Fehler[[#This Row],[Name]],Eingabe[F4]),IF(AK$1="Heim",AVERAGEIFS(Eingabe[F4],Eingabe[Name],Fehler[[#This Row],[Name]],Eingabe[Wo],"H"),IF(AK$1="Auswärts",AVERAGEIFS(Eingabe[F1],Eingabe[Name],Fehler[[#This Row],[Name]],Eingabe[Wo],"A"),""))),"")</f>
        <v>0.63636363636363635</v>
      </c>
      <c r="AU14" s="189">
        <f>IFERROR(ROUND(Fehler[[#This Row],[F4]]-Fehler[[#This Row],[Fehler Bahn Schnitt]],1),"")</f>
        <v>-0.9</v>
      </c>
    </row>
    <row r="15" spans="1:47" ht="15.6" x14ac:dyDescent="0.3">
      <c r="A15" s="335" t="s">
        <v>479</v>
      </c>
      <c r="B15" s="189">
        <f>IFERROR(ROUND(IF($A$1="Gesamt",AVERAGEIF(Eingabe[Name],Bahnen[[#This Row],[Name]],Eingabe[GES]),IF($A$1="Heim",AVERAGEIFS(Eingabe[GES],Eingabe[Name],Bahnen[[#This Row],[Name]],Eingabe[Wo],"H"),IF($A$1="Auswärts",AVERAGEIFS(Eingabe[GES],Eingabe[Name],Bahnen[[#This Row],[Name]],Eingabe[Wo],"A"),""))),0),"")</f>
        <v>492</v>
      </c>
      <c r="C15" s="189">
        <f>IFERROR(Bahnen[[#This Row],[Schnitt]]/4,"")</f>
        <v>123</v>
      </c>
      <c r="D15" s="189">
        <f>IFERROR(IF($A$1="Gesamt",AVERAGEIF(Eingabe[Name],Bahnen[[#This Row],[Name]],Eingabe[S1]),IF($A$1="Heim",AVERAGEIFS(Eingabe[S-NR],Eingabe[Name],Bahnen[[#This Row],[Name]],Eingabe[Wo],"H"),IF($A$1="Auswärts",AVERAGEIFS(Eingabe[S1],Eingabe[Name],Bahnen[[#This Row],[Name]],Eingabe[Wo],"A"),""))),"")</f>
        <v>129</v>
      </c>
      <c r="E15" s="189">
        <f>IFERROR(ROUND(Bahnen[[#This Row],[S1]]-Bahnen[[#This Row],[Bahn Schnitt]],1),"")</f>
        <v>6</v>
      </c>
      <c r="F15" s="189">
        <f>IFERROR(IF($A$1="Gesamt",AVERAGEIF(Eingabe[Name],Bahnen[[#This Row],[Name]],Eingabe[S2]),IF($A$1="Heim",AVERAGEIFS(Eingabe[S2],Eingabe[Name],Bahnen[[#This Row],[Name]],Eingabe[Wo],"H"),IF($A$1="Auswärts",AVERAGEIFS(Eingabe[S2],Eingabe[Name],Bahnen[[#This Row],[Name]],Eingabe[Wo],"A"),""))),"")</f>
        <v>128</v>
      </c>
      <c r="G15" s="189">
        <f>IFERROR(ROUND(Bahnen[[#This Row],[S2]]-Bahnen[[#This Row],[Bahn Schnitt]],1),"")</f>
        <v>5</v>
      </c>
      <c r="H15" s="189">
        <f>IFERROR(IF($A$1="Gesamt",AVERAGEIF(Eingabe[Name],Bahnen[[#This Row],[Name]],Eingabe[S3]),IF($A$1="Heim",AVERAGEIFS(Eingabe[S3],Eingabe[Name],Bahnen[[#This Row],[Name]],Eingabe[Wo],"H"),IF($A$1="Auswärts",AVERAGEIFS(Eingabe[S-NR],Eingabe[Name],Bahnen[[#This Row],[Name]],Eingabe[Wo],"A"),""))),"")</f>
        <v>123.5</v>
      </c>
      <c r="I15" s="189">
        <f>IFERROR(ROUND(Bahnen[[#This Row],[S3]]-Bahnen[[#This Row],[Bahn Schnitt]],1),"")</f>
        <v>0.5</v>
      </c>
      <c r="J15" s="189">
        <f>IFERROR(IF($A$1="Gesamt",AVERAGEIF(Eingabe[Name],Bahnen[[#This Row],[Name]],Eingabe[S4]),IF($A$1="Heim",AVERAGEIFS(Eingabe[S4],Eingabe[Name],Bahnen[[#This Row],[Name]],Eingabe[Wo],"H"),IF($A$1="Auswärts",AVERAGEIFS(Eingabe[S-NR],Eingabe[Name],Bahnen[[#This Row],[Name]],Eingabe[Wo],"A"),""))),"")</f>
        <v>111</v>
      </c>
      <c r="K15" s="189">
        <f>IFERROR(ROUND(Bahnen[[#This Row],[S4]]-Bahnen[[#This Row],[Bahn Schnitt]],1),"")</f>
        <v>-12</v>
      </c>
      <c r="M15" s="335" t="str">
        <f>Bahnen[[#This Row],[Name]]</f>
        <v>Florian Jäger</v>
      </c>
      <c r="N15" s="189">
        <f>IFERROR(ROUND(IF($M$1="Gesamt",AVERAGEIF(Eingabe[Name],Volle[[#This Row],[Name]],Eingabe[Volle]),IF($M$1="Heim",AVERAGEIFS(Eingabe[Volle],Eingabe[Name],Volle[[#This Row],[Name]],Eingabe[Wo],"H"),IF($M$1="Auswärts",AVERAGEIFS(Eingabe[Volle],Eingabe[Name],Volle[[#This Row],[Name]],Eingabe[Wo],"A"),""))),0),"")</f>
        <v>325</v>
      </c>
      <c r="O15" s="189">
        <f>IFERROR(Volle[[#This Row],[Volle Schnitt]]/4,"")</f>
        <v>81.25</v>
      </c>
      <c r="P15" s="189">
        <f>IFERROR(IF($M$1="Gesamt",AVERAGEIF(Eingabe[Name],Volle[[#This Row],[Name]],Eingabe[V1]),IF($M$1="Heim",AVERAGEIFS(Eingabe[V1],Eingabe[Name],Volle[[#This Row],[Name]],Eingabe[Wo],"H"),IF($M$1="Auswärts",AVERAGEIFS(Eingabe[V1],Eingabe[Name],Volle[[#This Row],[Name]],Eingabe[Wo],"A"),""))),"")</f>
        <v>80.5</v>
      </c>
      <c r="Q15" s="189">
        <f>IFERROR(ROUND(Volle[[#This Row],[V1]]-Volle[[#This Row],[Volle Bahn Schnitt]],1),"")</f>
        <v>-0.8</v>
      </c>
      <c r="R15" s="189">
        <f>IFERROR(IF($M$1="Gesamt",AVERAGEIF(Eingabe[Name],Volle[[#This Row],[Name]],Eingabe[V2]),IF($M$1="Heim",AVERAGEIFS(Eingabe[V2],Eingabe[Name],Volle[[#This Row],[Name]],Eingabe[Wo],"H"),IF($M$1="Auswärts",AVERAGEIFS(Eingabe[V2],Eingabe[Name],Volle[[#This Row],[Name]],Eingabe[Wo],"A"),""))),"")</f>
        <v>81.5</v>
      </c>
      <c r="S15" s="189">
        <f>IFERROR(ROUND(Volle[[#This Row],[V2]]-Volle[[#This Row],[Volle Bahn Schnitt]],1),"")</f>
        <v>0.3</v>
      </c>
      <c r="T15" s="189">
        <f>IFERROR(IF($M$1="Gesamt",AVERAGEIF(Eingabe[Name],Volle[[#This Row],[Name]],Eingabe[V3]),IF($M$1="Heim",AVERAGEIFS(Eingabe[V3],Eingabe[Name],Volle[[#This Row],[Name]],Eingabe[Wo],"H"),IF($M$1="Auswärts",AVERAGEIFS(Eingabe[V3],Eingabe[Name],Volle[[#This Row],[Name]],Eingabe[Wo],"A"),""))),"")</f>
        <v>82</v>
      </c>
      <c r="U15" s="189">
        <f>IFERROR(ROUND(Volle[[#This Row],[V3]]-Volle[[#This Row],[Volle Bahn Schnitt]],1),"")</f>
        <v>0.8</v>
      </c>
      <c r="V15" s="189">
        <f>IFERROR(IF($M$1="Gesamt",AVERAGEIF(Eingabe[Name],Volle[[#This Row],[Name]],Eingabe[V4]),IF($M$1="Heim",AVERAGEIFS(Eingabe[V4],Eingabe[Name],Volle[[#This Row],[Name]],Eingabe[Wo],"H"),IF($M$1="Auswärts",AVERAGEIFS(Eingabe[V4],Eingabe[Name],Volle[[#This Row],[Name]],Eingabe[Wo],"A"),""))),"")</f>
        <v>80.5</v>
      </c>
      <c r="W15" s="340">
        <f>IFERROR(ROUND(Volle[[#This Row],[V4]]-Volle[[#This Row],[Volle Bahn Schnitt]],1),"")</f>
        <v>-0.8</v>
      </c>
      <c r="Y15" s="335" t="str">
        <f>Bahnen[[#This Row],[Name]]</f>
        <v>Florian Jäger</v>
      </c>
      <c r="Z15" s="189">
        <f>IFERROR(ROUND(IF(Y$1="Gesamt",AVERAGEIF(Eingabe[Name],Räumer[[#This Row],[Name]],Eingabe[Räumer]),IF(Y$1="Heim",AVERAGEIFS(Eingabe[Räumer],Eingabe[Name],Räumer[[#This Row],[Name]],Eingabe[Wo],"H"),IF(Y$1="Auswärts",AVERAGEIFS(Eingabe[Räumer],Eingabe[Name],Räumer[[#This Row],[Name]],Eingabe[Wo],"A"),""))),0),"")</f>
        <v>167</v>
      </c>
      <c r="AA15" s="189">
        <f>IFERROR(Räumer[[#This Row],[Räumer Schnitt]]/4,"")</f>
        <v>41.75</v>
      </c>
      <c r="AB15" s="189">
        <f>IFERROR(IF(Y$1="Gesamt",AVERAGEIF(Eingabe[Name],Räumer[[#This Row],[Name]],Eingabe[R1]),IF(Y$1="Heim",AVERAGEIFS(Eingabe[R1],Eingabe[Name],Räumer[[#This Row],[Name]],Eingabe[Wo],"H"),IF(Y$1="Auswärts",AVERAGEIFS(Eingabe[R1],Eingabe[Name],Räumer[[#This Row],[Name]],Eingabe[Wo],"A"),""))),"")</f>
        <v>48.5</v>
      </c>
      <c r="AC15" s="189">
        <f>IFERROR(ROUND(Räumer[[#This Row],[R1]]-Räumer[[#This Row],[Räumer Bahn Schnitt]],1),"")</f>
        <v>6.8</v>
      </c>
      <c r="AD15" s="189">
        <f>IFERROR(IF(Y$1="Gesamt",AVERAGEIF(Eingabe[Name],Räumer[[#This Row],[Name]],Eingabe[R2]),IF(Y$1="Heim",AVERAGEIFS(Eingabe[R2],Eingabe[Name],Räumer[[#This Row],[Name]],Eingabe[Wo],"H"),IF(Y$1="Auswärts",AVERAGEIFS(Eingabe[R2],Eingabe[Name],Räumer[[#This Row],[Name]],Eingabe[Wo],"A"),""))),"")</f>
        <v>46.5</v>
      </c>
      <c r="AE15" s="189">
        <f>IFERROR(ROUND(Räumer[[#This Row],[R2]]-Räumer[[#This Row],[Räumer Bahn Schnitt]],1),"")</f>
        <v>4.8</v>
      </c>
      <c r="AF15" s="189">
        <f>IFERROR(IF(Y$1="Gesamt",AVERAGEIF(Eingabe[Name],Räumer[[#This Row],[Name]],Eingabe[R3]),IF(Y$1="Heim",AVERAGEIFS(Eingabe[R3],Eingabe[Name],Räumer[[#This Row],[Name]],Eingabe[Wo],"H"),IF(Y$1="Auswärts",AVERAGEIFS(Eingabe[R3],Eingabe[Name],Räumer[[#This Row],[Name]],Eingabe[Wo],"A"),""))),"")</f>
        <v>41.5</v>
      </c>
      <c r="AG15" s="189">
        <f>IFERROR(ROUND(Räumer[[#This Row],[R3]]-Räumer[[#This Row],[Räumer Bahn Schnitt]],1),"")</f>
        <v>-0.3</v>
      </c>
      <c r="AH15" s="189">
        <f>IFERROR(IF(Y$1="Gesamt",AVERAGEIF(Eingabe[Name],Räumer[[#This Row],[Name]],Eingabe[R4]),IF(Y$1="Heim",AVERAGEIFS(Eingabe[R4],Eingabe[Name],Räumer[[#This Row],[Name]],Eingabe[Wo],"H"),IF(Y$1="Auswärts",AVERAGEIFS(Eingabe[R4],Eingabe[Name],Räumer[[#This Row],[Name]],Eingabe[Wo],"A"),""))),"")</f>
        <v>30.5</v>
      </c>
      <c r="AI15" s="189">
        <f>IFERROR(ROUND(Räumer[[#This Row],[R4]]-Räumer[[#This Row],[Räumer Bahn Schnitt]],1),"")</f>
        <v>-11.3</v>
      </c>
      <c r="AK15" s="335" t="str">
        <f>Bahnen[[#This Row],[Name]]</f>
        <v>Florian Jäger</v>
      </c>
      <c r="AL15" s="189">
        <f>IFERROR(ROUND(IF(AK$1="Gesamt",AVERAGEIF(Eingabe[Name],Fehler[[#This Row],[Name]],Eingabe[Fehler]),IF(AK$1="Heim",AVERAGEIFS(Eingabe[Fehler],Eingabe[Name],Fehler[[#This Row],[Name]],Eingabe[Wo],"H"),IF(AK$1="Auswärts",AVERAGEIFS(Eingabe[Fehler],Eingabe[Name],Fehler[[#This Row],[Name]],Eingabe[Wo],"A"),""))),0),"")</f>
        <v>7</v>
      </c>
      <c r="AM15" s="189">
        <f>IFERROR(Fehler[[#This Row],[Fehler Schnitt]]/4,"")</f>
        <v>1.75</v>
      </c>
      <c r="AN15" s="189">
        <f>IFERROR(IF(AK$1="Gesamt",AVERAGEIF(Eingabe[Name],Fehler[[#This Row],[Name]],Eingabe[F1]),IF(AK$1="Heim",AVERAGEIFS(Eingabe[F1],Eingabe[Name],Fehler[[#This Row],[Name]],Eingabe[Wo],"H"),IF(AK$1="Auswärts",AVERAGEIFS(Eingabe[F1],Eingabe[Name],Fehler[[#This Row],[Name]],Eingabe[Wo],"A"),""))),"")</f>
        <v>2</v>
      </c>
      <c r="AO15" s="189">
        <f>IFERROR(ROUND(Fehler[[#This Row],[F1]]-Fehler[[#This Row],[Fehler Bahn Schnitt]],1),"")</f>
        <v>0.3</v>
      </c>
      <c r="AP15" s="189">
        <f>IFERROR(IF(AK$1="Gesamt",AVERAGEIF(Eingabe[Name],Fehler[[#This Row],[Name]],Eingabe[F2]),IF(AK$1="Heim",AVERAGEIFS(Eingabe[F2],Eingabe[Name],Fehler[[#This Row],[Name]],Eingabe[Wo],"H"),IF(AK$1="Auswärts",AVERAGEIFS(Eingabe[F2],Eingabe[Name],Fehler[[#This Row],[Name]],Eingabe[Wo],"A"),""))),"")</f>
        <v>2</v>
      </c>
      <c r="AQ15" s="189">
        <f>IFERROR(ROUND(Fehler[[#This Row],[F2]]-Fehler[[#This Row],[Fehler Bahn Schnitt]],1),"")</f>
        <v>0.3</v>
      </c>
      <c r="AR15" s="189">
        <f>IFERROR(IF(AK$1="Gesamt",AVERAGEIF(Eingabe[Name],Fehler[[#This Row],[Name]],Eingabe[F3]),IF(AK$1="Heim",AVERAGEIFS(Eingabe[F3],Eingabe[Name],Fehler[[#This Row],[Name]],Eingabe[Wo],"H"),IF(AK$1="Auswärts",AVERAGEIFS(Eingabe[F1],Eingabe[Name],Fehler[[#This Row],[Name]],Eingabe[Wo],"A"),""))),"")</f>
        <v>1</v>
      </c>
      <c r="AS15" s="189">
        <f>IFERROR(ROUND(Fehler[[#This Row],[F3]]-Fehler[[#This Row],[Fehler Bahn Schnitt]],1),"")</f>
        <v>-0.8</v>
      </c>
      <c r="AT15" s="189">
        <f>IFERROR(IF(AK$1="Gesamt",AVERAGEIF(Eingabe[Name],Fehler[[#This Row],[Name]],Eingabe[F4]),IF(AK$1="Heim",AVERAGEIFS(Eingabe[F4],Eingabe[Name],Fehler[[#This Row],[Name]],Eingabe[Wo],"H"),IF(AK$1="Auswärts",AVERAGEIFS(Eingabe[F1],Eingabe[Name],Fehler[[#This Row],[Name]],Eingabe[Wo],"A"),""))),"")</f>
        <v>2</v>
      </c>
      <c r="AU15" s="189">
        <f>IFERROR(ROUND(Fehler[[#This Row],[F4]]-Fehler[[#This Row],[Fehler Bahn Schnitt]],1),"")</f>
        <v>0.3</v>
      </c>
    </row>
    <row r="16" spans="1:47" ht="15.6" x14ac:dyDescent="0.3">
      <c r="A16" s="335" t="s">
        <v>471</v>
      </c>
      <c r="B16" s="189" t="str">
        <f>IFERROR(ROUND(IF($A$1="Gesamt",AVERAGEIF(Eingabe[Name],Bahnen[[#This Row],[Name]],Eingabe[GES]),IF($A$1="Heim",AVERAGEIFS(Eingabe[GES],Eingabe[Name],Bahnen[[#This Row],[Name]],Eingabe[Wo],"H"),IF($A$1="Auswärts",AVERAGEIFS(Eingabe[GES],Eingabe[Name],Bahnen[[#This Row],[Name]],Eingabe[Wo],"A"),""))),0),"")</f>
        <v/>
      </c>
      <c r="C16" s="189" t="str">
        <f>IFERROR(Bahnen[[#This Row],[Schnitt]]/4,"")</f>
        <v/>
      </c>
      <c r="D16" s="189" t="str">
        <f>IFERROR(IF($A$1="Gesamt",AVERAGEIF(Eingabe[Name],Bahnen[[#This Row],[Name]],Eingabe[S1]),IF($A$1="Heim",AVERAGEIFS(Eingabe[S-NR],Eingabe[Name],Bahnen[[#This Row],[Name]],Eingabe[Wo],"H"),IF($A$1="Auswärts",AVERAGEIFS(Eingabe[S1],Eingabe[Name],Bahnen[[#This Row],[Name]],Eingabe[Wo],"A"),""))),"")</f>
        <v/>
      </c>
      <c r="E16" s="189" t="str">
        <f>IFERROR(ROUND(Bahnen[[#This Row],[S1]]-Bahnen[[#This Row],[Bahn Schnitt]],1),"")</f>
        <v/>
      </c>
      <c r="F16" s="189" t="str">
        <f>IFERROR(IF($A$1="Gesamt",AVERAGEIF(Eingabe[Name],Bahnen[[#This Row],[Name]],Eingabe[S2]),IF($A$1="Heim",AVERAGEIFS(Eingabe[S2],Eingabe[Name],Bahnen[[#This Row],[Name]],Eingabe[Wo],"H"),IF($A$1="Auswärts",AVERAGEIFS(Eingabe[S2],Eingabe[Name],Bahnen[[#This Row],[Name]],Eingabe[Wo],"A"),""))),"")</f>
        <v/>
      </c>
      <c r="G16" s="189" t="str">
        <f>IFERROR(ROUND(Bahnen[[#This Row],[S2]]-Bahnen[[#This Row],[Bahn Schnitt]],1),"")</f>
        <v/>
      </c>
      <c r="H16" s="189" t="str">
        <f>IFERROR(IF($A$1="Gesamt",AVERAGEIF(Eingabe[Name],Bahnen[[#This Row],[Name]],Eingabe[S3]),IF($A$1="Heim",AVERAGEIFS(Eingabe[S3],Eingabe[Name],Bahnen[[#This Row],[Name]],Eingabe[Wo],"H"),IF($A$1="Auswärts",AVERAGEIFS(Eingabe[S-NR],Eingabe[Name],Bahnen[[#This Row],[Name]],Eingabe[Wo],"A"),""))),"")</f>
        <v/>
      </c>
      <c r="I16" s="189" t="str">
        <f>IFERROR(ROUND(Bahnen[[#This Row],[S3]]-Bahnen[[#This Row],[Bahn Schnitt]],1),"")</f>
        <v/>
      </c>
      <c r="J16" s="189" t="str">
        <f>IFERROR(IF($A$1="Gesamt",AVERAGEIF(Eingabe[Name],Bahnen[[#This Row],[Name]],Eingabe[S4]),IF($A$1="Heim",AVERAGEIFS(Eingabe[S4],Eingabe[Name],Bahnen[[#This Row],[Name]],Eingabe[Wo],"H"),IF($A$1="Auswärts",AVERAGEIFS(Eingabe[S-NR],Eingabe[Name],Bahnen[[#This Row],[Name]],Eingabe[Wo],"A"),""))),"")</f>
        <v/>
      </c>
      <c r="K16" s="189" t="str">
        <f>IFERROR(ROUND(Bahnen[[#This Row],[S4]]-Bahnen[[#This Row],[Bahn Schnitt]],1),"")</f>
        <v/>
      </c>
      <c r="M16" s="335" t="str">
        <f>Bahnen[[#This Row],[Name]]</f>
        <v>Hannah Sünderhauf</v>
      </c>
      <c r="N16" s="189" t="str">
        <f>IFERROR(ROUND(IF($M$1="Gesamt",AVERAGEIF(Eingabe[Name],Volle[[#This Row],[Name]],Eingabe[Volle]),IF($M$1="Heim",AVERAGEIFS(Eingabe[Volle],Eingabe[Name],Volle[[#This Row],[Name]],Eingabe[Wo],"H"),IF($M$1="Auswärts",AVERAGEIFS(Eingabe[Volle],Eingabe[Name],Volle[[#This Row],[Name]],Eingabe[Wo],"A"),""))),0),"")</f>
        <v/>
      </c>
      <c r="O16" s="189" t="str">
        <f>IFERROR(Volle[[#This Row],[Volle Schnitt]]/4,"")</f>
        <v/>
      </c>
      <c r="P16" s="189" t="str">
        <f>IFERROR(IF($M$1="Gesamt",AVERAGEIF(Eingabe[Name],Volle[[#This Row],[Name]],Eingabe[V1]),IF($M$1="Heim",AVERAGEIFS(Eingabe[V1],Eingabe[Name],Volle[[#This Row],[Name]],Eingabe[Wo],"H"),IF($M$1="Auswärts",AVERAGEIFS(Eingabe[V1],Eingabe[Name],Volle[[#This Row],[Name]],Eingabe[Wo],"A"),""))),"")</f>
        <v/>
      </c>
      <c r="Q16" s="189" t="str">
        <f>IFERROR(ROUND(Volle[[#This Row],[V1]]-Volle[[#This Row],[Volle Bahn Schnitt]],1),"")</f>
        <v/>
      </c>
      <c r="R16" s="189" t="str">
        <f>IFERROR(IF($M$1="Gesamt",AVERAGEIF(Eingabe[Name],Volle[[#This Row],[Name]],Eingabe[V2]),IF($M$1="Heim",AVERAGEIFS(Eingabe[V2],Eingabe[Name],Volle[[#This Row],[Name]],Eingabe[Wo],"H"),IF($M$1="Auswärts",AVERAGEIFS(Eingabe[V2],Eingabe[Name],Volle[[#This Row],[Name]],Eingabe[Wo],"A"),""))),"")</f>
        <v/>
      </c>
      <c r="S16" s="189" t="str">
        <f>IFERROR(ROUND(Volle[[#This Row],[V2]]-Volle[[#This Row],[Volle Bahn Schnitt]],1),"")</f>
        <v/>
      </c>
      <c r="T16" s="189" t="str">
        <f>IFERROR(IF($M$1="Gesamt",AVERAGEIF(Eingabe[Name],Volle[[#This Row],[Name]],Eingabe[V3]),IF($M$1="Heim",AVERAGEIFS(Eingabe[V3],Eingabe[Name],Volle[[#This Row],[Name]],Eingabe[Wo],"H"),IF($M$1="Auswärts",AVERAGEIFS(Eingabe[V3],Eingabe[Name],Volle[[#This Row],[Name]],Eingabe[Wo],"A"),""))),"")</f>
        <v/>
      </c>
      <c r="U16" s="189" t="str">
        <f>IFERROR(ROUND(Volle[[#This Row],[V3]]-Volle[[#This Row],[Volle Bahn Schnitt]],1),"")</f>
        <v/>
      </c>
      <c r="V16" s="189" t="str">
        <f>IFERROR(IF($M$1="Gesamt",AVERAGEIF(Eingabe[Name],Volle[[#This Row],[Name]],Eingabe[V4]),IF($M$1="Heim",AVERAGEIFS(Eingabe[V4],Eingabe[Name],Volle[[#This Row],[Name]],Eingabe[Wo],"H"),IF($M$1="Auswärts",AVERAGEIFS(Eingabe[V4],Eingabe[Name],Volle[[#This Row],[Name]],Eingabe[Wo],"A"),""))),"")</f>
        <v/>
      </c>
      <c r="W16" s="340" t="str">
        <f>IFERROR(ROUND(Volle[[#This Row],[V4]]-Volle[[#This Row],[Volle Bahn Schnitt]],1),"")</f>
        <v/>
      </c>
      <c r="Y16" s="335" t="str">
        <f>Bahnen[[#This Row],[Name]]</f>
        <v>Hannah Sünderhauf</v>
      </c>
      <c r="Z16" s="189" t="str">
        <f>IFERROR(ROUND(IF(Y$1="Gesamt",AVERAGEIF(Eingabe[Name],Räumer[[#This Row],[Name]],Eingabe[Räumer]),IF(Y$1="Heim",AVERAGEIFS(Eingabe[Räumer],Eingabe[Name],Räumer[[#This Row],[Name]],Eingabe[Wo],"H"),IF(Y$1="Auswärts",AVERAGEIFS(Eingabe[Räumer],Eingabe[Name],Räumer[[#This Row],[Name]],Eingabe[Wo],"A"),""))),0),"")</f>
        <v/>
      </c>
      <c r="AA16" s="189" t="str">
        <f>IFERROR(Räumer[[#This Row],[Räumer Schnitt]]/4,"")</f>
        <v/>
      </c>
      <c r="AB16" s="189" t="str">
        <f>IFERROR(IF(Y$1="Gesamt",AVERAGEIF(Eingabe[Name],Räumer[[#This Row],[Name]],Eingabe[R1]),IF(Y$1="Heim",AVERAGEIFS(Eingabe[R1],Eingabe[Name],Räumer[[#This Row],[Name]],Eingabe[Wo],"H"),IF(Y$1="Auswärts",AVERAGEIFS(Eingabe[R1],Eingabe[Name],Räumer[[#This Row],[Name]],Eingabe[Wo],"A"),""))),"")</f>
        <v/>
      </c>
      <c r="AC16" s="189" t="str">
        <f>IFERROR(ROUND(Räumer[[#This Row],[R1]]-Räumer[[#This Row],[Räumer Bahn Schnitt]],1),"")</f>
        <v/>
      </c>
      <c r="AD16" s="189" t="str">
        <f>IFERROR(IF(Y$1="Gesamt",AVERAGEIF(Eingabe[Name],Räumer[[#This Row],[Name]],Eingabe[R2]),IF(Y$1="Heim",AVERAGEIFS(Eingabe[R2],Eingabe[Name],Räumer[[#This Row],[Name]],Eingabe[Wo],"H"),IF(Y$1="Auswärts",AVERAGEIFS(Eingabe[R2],Eingabe[Name],Räumer[[#This Row],[Name]],Eingabe[Wo],"A"),""))),"")</f>
        <v/>
      </c>
      <c r="AE16" s="189" t="str">
        <f>IFERROR(ROUND(Räumer[[#This Row],[R2]]-Räumer[[#This Row],[Räumer Bahn Schnitt]],1),"")</f>
        <v/>
      </c>
      <c r="AF16" s="189" t="str">
        <f>IFERROR(IF(Y$1="Gesamt",AVERAGEIF(Eingabe[Name],Räumer[[#This Row],[Name]],Eingabe[R3]),IF(Y$1="Heim",AVERAGEIFS(Eingabe[R3],Eingabe[Name],Räumer[[#This Row],[Name]],Eingabe[Wo],"H"),IF(Y$1="Auswärts",AVERAGEIFS(Eingabe[R3],Eingabe[Name],Räumer[[#This Row],[Name]],Eingabe[Wo],"A"),""))),"")</f>
        <v/>
      </c>
      <c r="AG16" s="189" t="str">
        <f>IFERROR(ROUND(Räumer[[#This Row],[R3]]-Räumer[[#This Row],[Räumer Bahn Schnitt]],1),"")</f>
        <v/>
      </c>
      <c r="AH16" s="189" t="str">
        <f>IFERROR(IF(Y$1="Gesamt",AVERAGEIF(Eingabe[Name],Räumer[[#This Row],[Name]],Eingabe[R4]),IF(Y$1="Heim",AVERAGEIFS(Eingabe[R4],Eingabe[Name],Räumer[[#This Row],[Name]],Eingabe[Wo],"H"),IF(Y$1="Auswärts",AVERAGEIFS(Eingabe[R4],Eingabe[Name],Räumer[[#This Row],[Name]],Eingabe[Wo],"A"),""))),"")</f>
        <v/>
      </c>
      <c r="AI16" s="189" t="str">
        <f>IFERROR(ROUND(Räumer[[#This Row],[R4]]-Räumer[[#This Row],[Räumer Bahn Schnitt]],1),"")</f>
        <v/>
      </c>
      <c r="AK16" s="335" t="str">
        <f>Bahnen[[#This Row],[Name]]</f>
        <v>Hannah Sünderhauf</v>
      </c>
      <c r="AL16" s="189" t="str">
        <f>IFERROR(ROUND(IF(AK$1="Gesamt",AVERAGEIF(Eingabe[Name],Fehler[[#This Row],[Name]],Eingabe[Fehler]),IF(AK$1="Heim",AVERAGEIFS(Eingabe[Fehler],Eingabe[Name],Fehler[[#This Row],[Name]],Eingabe[Wo],"H"),IF(AK$1="Auswärts",AVERAGEIFS(Eingabe[Fehler],Eingabe[Name],Fehler[[#This Row],[Name]],Eingabe[Wo],"A"),""))),0),"")</f>
        <v/>
      </c>
      <c r="AM16" s="189" t="str">
        <f>IFERROR(Fehler[[#This Row],[Fehler Schnitt]]/4,"")</f>
        <v/>
      </c>
      <c r="AN16" s="189" t="str">
        <f>IFERROR(IF(AK$1="Gesamt",AVERAGEIF(Eingabe[Name],Fehler[[#This Row],[Name]],Eingabe[F1]),IF(AK$1="Heim",AVERAGEIFS(Eingabe[F1],Eingabe[Name],Fehler[[#This Row],[Name]],Eingabe[Wo],"H"),IF(AK$1="Auswärts",AVERAGEIFS(Eingabe[F1],Eingabe[Name],Fehler[[#This Row],[Name]],Eingabe[Wo],"A"),""))),"")</f>
        <v/>
      </c>
      <c r="AO16" s="189" t="str">
        <f>IFERROR(ROUND(Fehler[[#This Row],[F1]]-Fehler[[#This Row],[Fehler Bahn Schnitt]],1),"")</f>
        <v/>
      </c>
      <c r="AP16" s="189" t="str">
        <f>IFERROR(IF(AK$1="Gesamt",AVERAGEIF(Eingabe[Name],Fehler[[#This Row],[Name]],Eingabe[F2]),IF(AK$1="Heim",AVERAGEIFS(Eingabe[F2],Eingabe[Name],Fehler[[#This Row],[Name]],Eingabe[Wo],"H"),IF(AK$1="Auswärts",AVERAGEIFS(Eingabe[F2],Eingabe[Name],Fehler[[#This Row],[Name]],Eingabe[Wo],"A"),""))),"")</f>
        <v/>
      </c>
      <c r="AQ16" s="189" t="str">
        <f>IFERROR(ROUND(Fehler[[#This Row],[F2]]-Fehler[[#This Row],[Fehler Bahn Schnitt]],1),"")</f>
        <v/>
      </c>
      <c r="AR16" s="189" t="str">
        <f>IFERROR(IF(AK$1="Gesamt",AVERAGEIF(Eingabe[Name],Fehler[[#This Row],[Name]],Eingabe[F3]),IF(AK$1="Heim",AVERAGEIFS(Eingabe[F3],Eingabe[Name],Fehler[[#This Row],[Name]],Eingabe[Wo],"H"),IF(AK$1="Auswärts",AVERAGEIFS(Eingabe[F1],Eingabe[Name],Fehler[[#This Row],[Name]],Eingabe[Wo],"A"),""))),"")</f>
        <v/>
      </c>
      <c r="AS16" s="189" t="str">
        <f>IFERROR(ROUND(Fehler[[#This Row],[F3]]-Fehler[[#This Row],[Fehler Bahn Schnitt]],1),"")</f>
        <v/>
      </c>
      <c r="AT16" s="189" t="str">
        <f>IFERROR(IF(AK$1="Gesamt",AVERAGEIF(Eingabe[Name],Fehler[[#This Row],[Name]],Eingabe[F4]),IF(AK$1="Heim",AVERAGEIFS(Eingabe[F4],Eingabe[Name],Fehler[[#This Row],[Name]],Eingabe[Wo],"H"),IF(AK$1="Auswärts",AVERAGEIFS(Eingabe[F1],Eingabe[Name],Fehler[[#This Row],[Name]],Eingabe[Wo],"A"),""))),"")</f>
        <v/>
      </c>
      <c r="AU16" s="189" t="str">
        <f>IFERROR(ROUND(Fehler[[#This Row],[F4]]-Fehler[[#This Row],[Fehler Bahn Schnitt]],1),"")</f>
        <v/>
      </c>
    </row>
    <row r="17" spans="1:47" ht="15.6" x14ac:dyDescent="0.3">
      <c r="A17" s="335" t="s">
        <v>480</v>
      </c>
      <c r="B17" s="189">
        <f>IFERROR(ROUND(IF($A$1="Gesamt",AVERAGEIF(Eingabe[Name],Bahnen[[#This Row],[Name]],Eingabe[GES]),IF($A$1="Heim",AVERAGEIFS(Eingabe[GES],Eingabe[Name],Bahnen[[#This Row],[Name]],Eingabe[Wo],"H"),IF($A$1="Auswärts",AVERAGEIFS(Eingabe[GES],Eingabe[Name],Bahnen[[#This Row],[Name]],Eingabe[Wo],"A"),""))),0),"")</f>
        <v>509</v>
      </c>
      <c r="C17" s="189">
        <f>IFERROR(Bahnen[[#This Row],[Schnitt]]/4,"")</f>
        <v>127.25</v>
      </c>
      <c r="D17" s="189">
        <f>IFERROR(IF($A$1="Gesamt",AVERAGEIF(Eingabe[Name],Bahnen[[#This Row],[Name]],Eingabe[S1]),IF($A$1="Heim",AVERAGEIFS(Eingabe[S-NR],Eingabe[Name],Bahnen[[#This Row],[Name]],Eingabe[Wo],"H"),IF($A$1="Auswärts",AVERAGEIFS(Eingabe[S1],Eingabe[Name],Bahnen[[#This Row],[Name]],Eingabe[Wo],"A"),""))),"")</f>
        <v>128.125</v>
      </c>
      <c r="E17" s="189">
        <f>IFERROR(ROUND(Bahnen[[#This Row],[S1]]-Bahnen[[#This Row],[Bahn Schnitt]],1),"")</f>
        <v>0.9</v>
      </c>
      <c r="F17" s="189">
        <f>IFERROR(IF($A$1="Gesamt",AVERAGEIF(Eingabe[Name],Bahnen[[#This Row],[Name]],Eingabe[S2]),IF($A$1="Heim",AVERAGEIFS(Eingabe[S2],Eingabe[Name],Bahnen[[#This Row],[Name]],Eingabe[Wo],"H"),IF($A$1="Auswärts",AVERAGEIFS(Eingabe[S2],Eingabe[Name],Bahnen[[#This Row],[Name]],Eingabe[Wo],"A"),""))),"")</f>
        <v>128.25</v>
      </c>
      <c r="G17" s="189">
        <f>IFERROR(ROUND(Bahnen[[#This Row],[S2]]-Bahnen[[#This Row],[Bahn Schnitt]],1),"")</f>
        <v>1</v>
      </c>
      <c r="H17" s="189">
        <f>IFERROR(IF($A$1="Gesamt",AVERAGEIF(Eingabe[Name],Bahnen[[#This Row],[Name]],Eingabe[S3]),IF($A$1="Heim",AVERAGEIFS(Eingabe[S3],Eingabe[Name],Bahnen[[#This Row],[Name]],Eingabe[Wo],"H"),IF($A$1="Auswärts",AVERAGEIFS(Eingabe[S-NR],Eingabe[Name],Bahnen[[#This Row],[Name]],Eingabe[Wo],"A"),""))),"")</f>
        <v>125.375</v>
      </c>
      <c r="I17" s="189">
        <f>IFERROR(ROUND(Bahnen[[#This Row],[S3]]-Bahnen[[#This Row],[Bahn Schnitt]],1),"")</f>
        <v>-1.9</v>
      </c>
      <c r="J17" s="189">
        <f>IFERROR(IF($A$1="Gesamt",AVERAGEIF(Eingabe[Name],Bahnen[[#This Row],[Name]],Eingabe[S4]),IF($A$1="Heim",AVERAGEIFS(Eingabe[S4],Eingabe[Name],Bahnen[[#This Row],[Name]],Eingabe[Wo],"H"),IF($A$1="Auswärts",AVERAGEIFS(Eingabe[S-NR],Eingabe[Name],Bahnen[[#This Row],[Name]],Eingabe[Wo],"A"),""))),"")</f>
        <v>129.75</v>
      </c>
      <c r="K17" s="189">
        <f>IFERROR(ROUND(Bahnen[[#This Row],[S4]]-Bahnen[[#This Row],[Bahn Schnitt]],1),"")</f>
        <v>2.5</v>
      </c>
      <c r="M17" s="335" t="str">
        <f>Bahnen[[#This Row],[Name]]</f>
        <v>Heike Scholz</v>
      </c>
      <c r="N17" s="189">
        <f>IFERROR(ROUND(IF($M$1="Gesamt",AVERAGEIF(Eingabe[Name],Volle[[#This Row],[Name]],Eingabe[Volle]),IF($M$1="Heim",AVERAGEIFS(Eingabe[Volle],Eingabe[Name],Volle[[#This Row],[Name]],Eingabe[Wo],"H"),IF($M$1="Auswärts",AVERAGEIFS(Eingabe[Volle],Eingabe[Name],Volle[[#This Row],[Name]],Eingabe[Wo],"A"),""))),0),"")</f>
        <v>350</v>
      </c>
      <c r="O17" s="189">
        <f>IFERROR(Volle[[#This Row],[Volle Schnitt]]/4,"")</f>
        <v>87.5</v>
      </c>
      <c r="P17" s="189">
        <f>IFERROR(IF($M$1="Gesamt",AVERAGEIF(Eingabe[Name],Volle[[#This Row],[Name]],Eingabe[V1]),IF($M$1="Heim",AVERAGEIFS(Eingabe[V1],Eingabe[Name],Volle[[#This Row],[Name]],Eingabe[Wo],"H"),IF($M$1="Auswärts",AVERAGEIFS(Eingabe[V1],Eingabe[Name],Volle[[#This Row],[Name]],Eingabe[Wo],"A"),""))),"")</f>
        <v>88.5</v>
      </c>
      <c r="Q17" s="189">
        <f>IFERROR(ROUND(Volle[[#This Row],[V1]]-Volle[[#This Row],[Volle Bahn Schnitt]],1),"")</f>
        <v>1</v>
      </c>
      <c r="R17" s="189">
        <f>IFERROR(IF($M$1="Gesamt",AVERAGEIF(Eingabe[Name],Volle[[#This Row],[Name]],Eingabe[V2]),IF($M$1="Heim",AVERAGEIFS(Eingabe[V2],Eingabe[Name],Volle[[#This Row],[Name]],Eingabe[Wo],"H"),IF($M$1="Auswärts",AVERAGEIFS(Eingabe[V2],Eingabe[Name],Volle[[#This Row],[Name]],Eingabe[Wo],"A"),""))),"")</f>
        <v>85.875</v>
      </c>
      <c r="S17" s="189">
        <f>IFERROR(ROUND(Volle[[#This Row],[V2]]-Volle[[#This Row],[Volle Bahn Schnitt]],1),"")</f>
        <v>-1.6</v>
      </c>
      <c r="T17" s="189">
        <f>IFERROR(IF($M$1="Gesamt",AVERAGEIF(Eingabe[Name],Volle[[#This Row],[Name]],Eingabe[V3]),IF($M$1="Heim",AVERAGEIFS(Eingabe[V3],Eingabe[Name],Volle[[#This Row],[Name]],Eingabe[Wo],"H"),IF($M$1="Auswärts",AVERAGEIFS(Eingabe[V3],Eingabe[Name],Volle[[#This Row],[Name]],Eingabe[Wo],"A"),""))),"")</f>
        <v>87.75</v>
      </c>
      <c r="U17" s="189">
        <f>IFERROR(ROUND(Volle[[#This Row],[V3]]-Volle[[#This Row],[Volle Bahn Schnitt]],1),"")</f>
        <v>0.3</v>
      </c>
      <c r="V17" s="189">
        <f>IFERROR(IF($M$1="Gesamt",AVERAGEIF(Eingabe[Name],Volle[[#This Row],[Name]],Eingabe[V4]),IF($M$1="Heim",AVERAGEIFS(Eingabe[V4],Eingabe[Name],Volle[[#This Row],[Name]],Eingabe[Wo],"H"),IF($M$1="Auswärts",AVERAGEIFS(Eingabe[V4],Eingabe[Name],Volle[[#This Row],[Name]],Eingabe[Wo],"A"),""))),"")</f>
        <v>89.125</v>
      </c>
      <c r="W17" s="340">
        <f>IFERROR(ROUND(Volle[[#This Row],[V4]]-Volle[[#This Row],[Volle Bahn Schnitt]],1),"")</f>
        <v>1.6</v>
      </c>
      <c r="Y17" s="335" t="str">
        <f>Bahnen[[#This Row],[Name]]</f>
        <v>Heike Scholz</v>
      </c>
      <c r="Z17" s="189">
        <f>IFERROR(ROUND(IF(Y$1="Gesamt",AVERAGEIF(Eingabe[Name],Räumer[[#This Row],[Name]],Eingabe[Räumer]),IF(Y$1="Heim",AVERAGEIFS(Eingabe[Räumer],Eingabe[Name],Räumer[[#This Row],[Name]],Eingabe[Wo],"H"),IF(Y$1="Auswärts",AVERAGEIFS(Eingabe[Räumer],Eingabe[Name],Räumer[[#This Row],[Name]],Eingabe[Wo],"A"),""))),0),"")</f>
        <v>159</v>
      </c>
      <c r="AA17" s="189">
        <f>IFERROR(Räumer[[#This Row],[Räumer Schnitt]]/4,"")</f>
        <v>39.75</v>
      </c>
      <c r="AB17" s="189">
        <f>IFERROR(IF(Y$1="Gesamt",AVERAGEIF(Eingabe[Name],Räumer[[#This Row],[Name]],Eingabe[R1]),IF(Y$1="Heim",AVERAGEIFS(Eingabe[R1],Eingabe[Name],Räumer[[#This Row],[Name]],Eingabe[Wo],"H"),IF(Y$1="Auswärts",AVERAGEIFS(Eingabe[R1],Eingabe[Name],Räumer[[#This Row],[Name]],Eingabe[Wo],"A"),""))),"")</f>
        <v>39.625</v>
      </c>
      <c r="AC17" s="189">
        <f>IFERROR(ROUND(Räumer[[#This Row],[R1]]-Räumer[[#This Row],[Räumer Bahn Schnitt]],1),"")</f>
        <v>-0.1</v>
      </c>
      <c r="AD17" s="189">
        <f>IFERROR(IF(Y$1="Gesamt",AVERAGEIF(Eingabe[Name],Räumer[[#This Row],[Name]],Eingabe[R2]),IF(Y$1="Heim",AVERAGEIFS(Eingabe[R2],Eingabe[Name],Räumer[[#This Row],[Name]],Eingabe[Wo],"H"),IF(Y$1="Auswärts",AVERAGEIFS(Eingabe[R2],Eingabe[Name],Räumer[[#This Row],[Name]],Eingabe[Wo],"A"),""))),"")</f>
        <v>42.375</v>
      </c>
      <c r="AE17" s="189">
        <f>IFERROR(ROUND(Räumer[[#This Row],[R2]]-Räumer[[#This Row],[Räumer Bahn Schnitt]],1),"")</f>
        <v>2.6</v>
      </c>
      <c r="AF17" s="189">
        <f>IFERROR(IF(Y$1="Gesamt",AVERAGEIF(Eingabe[Name],Räumer[[#This Row],[Name]],Eingabe[R3]),IF(Y$1="Heim",AVERAGEIFS(Eingabe[R3],Eingabe[Name],Räumer[[#This Row],[Name]],Eingabe[Wo],"H"),IF(Y$1="Auswärts",AVERAGEIFS(Eingabe[R3],Eingabe[Name],Räumer[[#This Row],[Name]],Eingabe[Wo],"A"),""))),"")</f>
        <v>37.625</v>
      </c>
      <c r="AG17" s="189">
        <f>IFERROR(ROUND(Räumer[[#This Row],[R3]]-Räumer[[#This Row],[Räumer Bahn Schnitt]],1),"")</f>
        <v>-2.1</v>
      </c>
      <c r="AH17" s="189">
        <f>IFERROR(IF(Y$1="Gesamt",AVERAGEIF(Eingabe[Name],Räumer[[#This Row],[Name]],Eingabe[R4]),IF(Y$1="Heim",AVERAGEIFS(Eingabe[R4],Eingabe[Name],Räumer[[#This Row],[Name]],Eingabe[Wo],"H"),IF(Y$1="Auswärts",AVERAGEIFS(Eingabe[R4],Eingabe[Name],Räumer[[#This Row],[Name]],Eingabe[Wo],"A"),""))),"")</f>
        <v>40.625</v>
      </c>
      <c r="AI17" s="189">
        <f>IFERROR(ROUND(Räumer[[#This Row],[R4]]-Räumer[[#This Row],[Räumer Bahn Schnitt]],1),"")</f>
        <v>0.9</v>
      </c>
      <c r="AK17" s="335" t="str">
        <f>Bahnen[[#This Row],[Name]]</f>
        <v>Heike Scholz</v>
      </c>
      <c r="AL17" s="189">
        <f>IFERROR(ROUND(IF(AK$1="Gesamt",AVERAGEIF(Eingabe[Name],Fehler[[#This Row],[Name]],Eingabe[Fehler]),IF(AK$1="Heim",AVERAGEIFS(Eingabe[Fehler],Eingabe[Name],Fehler[[#This Row],[Name]],Eingabe[Wo],"H"),IF(AK$1="Auswärts",AVERAGEIFS(Eingabe[Fehler],Eingabe[Name],Fehler[[#This Row],[Name]],Eingabe[Wo],"A"),""))),0),"")</f>
        <v>8</v>
      </c>
      <c r="AM17" s="189">
        <f>IFERROR(Fehler[[#This Row],[Fehler Schnitt]]/4,"")</f>
        <v>2</v>
      </c>
      <c r="AN17" s="189">
        <f>IFERROR(IF(AK$1="Gesamt",AVERAGEIF(Eingabe[Name],Fehler[[#This Row],[Name]],Eingabe[F1]),IF(AK$1="Heim",AVERAGEIFS(Eingabe[F1],Eingabe[Name],Fehler[[#This Row],[Name]],Eingabe[Wo],"H"),IF(AK$1="Auswärts",AVERAGEIFS(Eingabe[F1],Eingabe[Name],Fehler[[#This Row],[Name]],Eingabe[Wo],"A"),""))),"")</f>
        <v>2.625</v>
      </c>
      <c r="AO17" s="189">
        <f>IFERROR(ROUND(Fehler[[#This Row],[F1]]-Fehler[[#This Row],[Fehler Bahn Schnitt]],1),"")</f>
        <v>0.6</v>
      </c>
      <c r="AP17" s="189">
        <f>IFERROR(IF(AK$1="Gesamt",AVERAGEIF(Eingabe[Name],Fehler[[#This Row],[Name]],Eingabe[F2]),IF(AK$1="Heim",AVERAGEIFS(Eingabe[F2],Eingabe[Name],Fehler[[#This Row],[Name]],Eingabe[Wo],"H"),IF(AK$1="Auswärts",AVERAGEIFS(Eingabe[F2],Eingabe[Name],Fehler[[#This Row],[Name]],Eingabe[Wo],"A"),""))),"")</f>
        <v>1.375</v>
      </c>
      <c r="AQ17" s="189">
        <f>IFERROR(ROUND(Fehler[[#This Row],[F2]]-Fehler[[#This Row],[Fehler Bahn Schnitt]],1),"")</f>
        <v>-0.6</v>
      </c>
      <c r="AR17" s="189">
        <f>IFERROR(IF(AK$1="Gesamt",AVERAGEIF(Eingabe[Name],Fehler[[#This Row],[Name]],Eingabe[F3]),IF(AK$1="Heim",AVERAGEIFS(Eingabe[F3],Eingabe[Name],Fehler[[#This Row],[Name]],Eingabe[Wo],"H"),IF(AK$1="Auswärts",AVERAGEIFS(Eingabe[F1],Eingabe[Name],Fehler[[#This Row],[Name]],Eingabe[Wo],"A"),""))),"")</f>
        <v>2.125</v>
      </c>
      <c r="AS17" s="189">
        <f>IFERROR(ROUND(Fehler[[#This Row],[F3]]-Fehler[[#This Row],[Fehler Bahn Schnitt]],1),"")</f>
        <v>0.1</v>
      </c>
      <c r="AT17" s="189">
        <f>IFERROR(IF(AK$1="Gesamt",AVERAGEIF(Eingabe[Name],Fehler[[#This Row],[Name]],Eingabe[F4]),IF(AK$1="Heim",AVERAGEIFS(Eingabe[F4],Eingabe[Name],Fehler[[#This Row],[Name]],Eingabe[Wo],"H"),IF(AK$1="Auswärts",AVERAGEIFS(Eingabe[F1],Eingabe[Name],Fehler[[#This Row],[Name]],Eingabe[Wo],"A"),""))),"")</f>
        <v>1.5</v>
      </c>
      <c r="AU17" s="189">
        <f>IFERROR(ROUND(Fehler[[#This Row],[F4]]-Fehler[[#This Row],[Fehler Bahn Schnitt]],1),"")</f>
        <v>-0.5</v>
      </c>
    </row>
    <row r="18" spans="1:47" ht="15.6" x14ac:dyDescent="0.3">
      <c r="A18" s="335" t="s">
        <v>456</v>
      </c>
      <c r="B18" s="189" t="str">
        <f>IFERROR(ROUND(IF($A$1="Gesamt",AVERAGEIF(Eingabe[Name],Bahnen[[#This Row],[Name]],Eingabe[GES]),IF($A$1="Heim",AVERAGEIFS(Eingabe[GES],Eingabe[Name],Bahnen[[#This Row],[Name]],Eingabe[Wo],"H"),IF($A$1="Auswärts",AVERAGEIFS(Eingabe[GES],Eingabe[Name],Bahnen[[#This Row],[Name]],Eingabe[Wo],"A"),""))),0),"")</f>
        <v/>
      </c>
      <c r="C18" s="189" t="str">
        <f>IFERROR(Bahnen[[#This Row],[Schnitt]]/4,"")</f>
        <v/>
      </c>
      <c r="D18" s="189" t="str">
        <f>IFERROR(IF($A$1="Gesamt",AVERAGEIF(Eingabe[Name],Bahnen[[#This Row],[Name]],Eingabe[S1]),IF($A$1="Heim",AVERAGEIFS(Eingabe[S-NR],Eingabe[Name],Bahnen[[#This Row],[Name]],Eingabe[Wo],"H"),IF($A$1="Auswärts",AVERAGEIFS(Eingabe[S1],Eingabe[Name],Bahnen[[#This Row],[Name]],Eingabe[Wo],"A"),""))),"")</f>
        <v/>
      </c>
      <c r="E18" s="189" t="str">
        <f>IFERROR(ROUND(Bahnen[[#This Row],[S1]]-Bahnen[[#This Row],[Bahn Schnitt]],1),"")</f>
        <v/>
      </c>
      <c r="F18" s="189" t="str">
        <f>IFERROR(IF($A$1="Gesamt",AVERAGEIF(Eingabe[Name],Bahnen[[#This Row],[Name]],Eingabe[S2]),IF($A$1="Heim",AVERAGEIFS(Eingabe[S2],Eingabe[Name],Bahnen[[#This Row],[Name]],Eingabe[Wo],"H"),IF($A$1="Auswärts",AVERAGEIFS(Eingabe[S2],Eingabe[Name],Bahnen[[#This Row],[Name]],Eingabe[Wo],"A"),""))),"")</f>
        <v/>
      </c>
      <c r="G18" s="189" t="str">
        <f>IFERROR(ROUND(Bahnen[[#This Row],[S2]]-Bahnen[[#This Row],[Bahn Schnitt]],1),"")</f>
        <v/>
      </c>
      <c r="H18" s="189" t="str">
        <f>IFERROR(IF($A$1="Gesamt",AVERAGEIF(Eingabe[Name],Bahnen[[#This Row],[Name]],Eingabe[S3]),IF($A$1="Heim",AVERAGEIFS(Eingabe[S3],Eingabe[Name],Bahnen[[#This Row],[Name]],Eingabe[Wo],"H"),IF($A$1="Auswärts",AVERAGEIFS(Eingabe[S-NR],Eingabe[Name],Bahnen[[#This Row],[Name]],Eingabe[Wo],"A"),""))),"")</f>
        <v/>
      </c>
      <c r="I18" s="189" t="str">
        <f>IFERROR(ROUND(Bahnen[[#This Row],[S3]]-Bahnen[[#This Row],[Bahn Schnitt]],1),"")</f>
        <v/>
      </c>
      <c r="J18" s="189" t="str">
        <f>IFERROR(IF($A$1="Gesamt",AVERAGEIF(Eingabe[Name],Bahnen[[#This Row],[Name]],Eingabe[S4]),IF($A$1="Heim",AVERAGEIFS(Eingabe[S4],Eingabe[Name],Bahnen[[#This Row],[Name]],Eingabe[Wo],"H"),IF($A$1="Auswärts",AVERAGEIFS(Eingabe[S-NR],Eingabe[Name],Bahnen[[#This Row],[Name]],Eingabe[Wo],"A"),""))),"")</f>
        <v/>
      </c>
      <c r="K18" s="189" t="str">
        <f>IFERROR(ROUND(Bahnen[[#This Row],[S4]]-Bahnen[[#This Row],[Bahn Schnitt]],1),"")</f>
        <v/>
      </c>
      <c r="M18" s="335" t="str">
        <f>Bahnen[[#This Row],[Name]]</f>
        <v>Heiko Wüstling</v>
      </c>
      <c r="N18" s="189" t="str">
        <f>IFERROR(ROUND(IF($M$1="Gesamt",AVERAGEIF(Eingabe[Name],Volle[[#This Row],[Name]],Eingabe[Volle]),IF($M$1="Heim",AVERAGEIFS(Eingabe[Volle],Eingabe[Name],Volle[[#This Row],[Name]],Eingabe[Wo],"H"),IF($M$1="Auswärts",AVERAGEIFS(Eingabe[Volle],Eingabe[Name],Volle[[#This Row],[Name]],Eingabe[Wo],"A"),""))),0),"")</f>
        <v/>
      </c>
      <c r="O18" s="189" t="str">
        <f>IFERROR(Volle[[#This Row],[Volle Schnitt]]/4,"")</f>
        <v/>
      </c>
      <c r="P18" s="189" t="str">
        <f>IFERROR(IF($M$1="Gesamt",AVERAGEIF(Eingabe[Name],Volle[[#This Row],[Name]],Eingabe[V1]),IF($M$1="Heim",AVERAGEIFS(Eingabe[V1],Eingabe[Name],Volle[[#This Row],[Name]],Eingabe[Wo],"H"),IF($M$1="Auswärts",AVERAGEIFS(Eingabe[V1],Eingabe[Name],Volle[[#This Row],[Name]],Eingabe[Wo],"A"),""))),"")</f>
        <v/>
      </c>
      <c r="Q18" s="189" t="str">
        <f>IFERROR(ROUND(Volle[[#This Row],[V1]]-Volle[[#This Row],[Volle Bahn Schnitt]],1),"")</f>
        <v/>
      </c>
      <c r="R18" s="189" t="str">
        <f>IFERROR(IF($M$1="Gesamt",AVERAGEIF(Eingabe[Name],Volle[[#This Row],[Name]],Eingabe[V2]),IF($M$1="Heim",AVERAGEIFS(Eingabe[V2],Eingabe[Name],Volle[[#This Row],[Name]],Eingabe[Wo],"H"),IF($M$1="Auswärts",AVERAGEIFS(Eingabe[V2],Eingabe[Name],Volle[[#This Row],[Name]],Eingabe[Wo],"A"),""))),"")</f>
        <v/>
      </c>
      <c r="S18" s="189" t="str">
        <f>IFERROR(ROUND(Volle[[#This Row],[V2]]-Volle[[#This Row],[Volle Bahn Schnitt]],1),"")</f>
        <v/>
      </c>
      <c r="T18" s="189" t="str">
        <f>IFERROR(IF($M$1="Gesamt",AVERAGEIF(Eingabe[Name],Volle[[#This Row],[Name]],Eingabe[V3]),IF($M$1="Heim",AVERAGEIFS(Eingabe[V3],Eingabe[Name],Volle[[#This Row],[Name]],Eingabe[Wo],"H"),IF($M$1="Auswärts",AVERAGEIFS(Eingabe[V3],Eingabe[Name],Volle[[#This Row],[Name]],Eingabe[Wo],"A"),""))),"")</f>
        <v/>
      </c>
      <c r="U18" s="189" t="str">
        <f>IFERROR(ROUND(Volle[[#This Row],[V3]]-Volle[[#This Row],[Volle Bahn Schnitt]],1),"")</f>
        <v/>
      </c>
      <c r="V18" s="189" t="str">
        <f>IFERROR(IF($M$1="Gesamt",AVERAGEIF(Eingabe[Name],Volle[[#This Row],[Name]],Eingabe[V4]),IF($M$1="Heim",AVERAGEIFS(Eingabe[V4],Eingabe[Name],Volle[[#This Row],[Name]],Eingabe[Wo],"H"),IF($M$1="Auswärts",AVERAGEIFS(Eingabe[V4],Eingabe[Name],Volle[[#This Row],[Name]],Eingabe[Wo],"A"),""))),"")</f>
        <v/>
      </c>
      <c r="W18" s="340" t="str">
        <f>IFERROR(ROUND(Volle[[#This Row],[V4]]-Volle[[#This Row],[Volle Bahn Schnitt]],1),"")</f>
        <v/>
      </c>
      <c r="Y18" s="335" t="str">
        <f>Bahnen[[#This Row],[Name]]</f>
        <v>Heiko Wüstling</v>
      </c>
      <c r="Z18" s="189" t="str">
        <f>IFERROR(ROUND(IF(Y$1="Gesamt",AVERAGEIF(Eingabe[Name],Räumer[[#This Row],[Name]],Eingabe[Räumer]),IF(Y$1="Heim",AVERAGEIFS(Eingabe[Räumer],Eingabe[Name],Räumer[[#This Row],[Name]],Eingabe[Wo],"H"),IF(Y$1="Auswärts",AVERAGEIFS(Eingabe[Räumer],Eingabe[Name],Räumer[[#This Row],[Name]],Eingabe[Wo],"A"),""))),0),"")</f>
        <v/>
      </c>
      <c r="AA18" s="189" t="str">
        <f>IFERROR(Räumer[[#This Row],[Räumer Schnitt]]/4,"")</f>
        <v/>
      </c>
      <c r="AB18" s="189" t="str">
        <f>IFERROR(IF(Y$1="Gesamt",AVERAGEIF(Eingabe[Name],Räumer[[#This Row],[Name]],Eingabe[R1]),IF(Y$1="Heim",AVERAGEIFS(Eingabe[R1],Eingabe[Name],Räumer[[#This Row],[Name]],Eingabe[Wo],"H"),IF(Y$1="Auswärts",AVERAGEIFS(Eingabe[R1],Eingabe[Name],Räumer[[#This Row],[Name]],Eingabe[Wo],"A"),""))),"")</f>
        <v/>
      </c>
      <c r="AC18" s="189" t="str">
        <f>IFERROR(ROUND(Räumer[[#This Row],[R1]]-Räumer[[#This Row],[Räumer Bahn Schnitt]],1),"")</f>
        <v/>
      </c>
      <c r="AD18" s="189" t="str">
        <f>IFERROR(IF(Y$1="Gesamt",AVERAGEIF(Eingabe[Name],Räumer[[#This Row],[Name]],Eingabe[R2]),IF(Y$1="Heim",AVERAGEIFS(Eingabe[R2],Eingabe[Name],Räumer[[#This Row],[Name]],Eingabe[Wo],"H"),IF(Y$1="Auswärts",AVERAGEIFS(Eingabe[R2],Eingabe[Name],Räumer[[#This Row],[Name]],Eingabe[Wo],"A"),""))),"")</f>
        <v/>
      </c>
      <c r="AE18" s="189" t="str">
        <f>IFERROR(ROUND(Räumer[[#This Row],[R2]]-Räumer[[#This Row],[Räumer Bahn Schnitt]],1),"")</f>
        <v/>
      </c>
      <c r="AF18" s="189" t="str">
        <f>IFERROR(IF(Y$1="Gesamt",AVERAGEIF(Eingabe[Name],Räumer[[#This Row],[Name]],Eingabe[R3]),IF(Y$1="Heim",AVERAGEIFS(Eingabe[R3],Eingabe[Name],Räumer[[#This Row],[Name]],Eingabe[Wo],"H"),IF(Y$1="Auswärts",AVERAGEIFS(Eingabe[R3],Eingabe[Name],Räumer[[#This Row],[Name]],Eingabe[Wo],"A"),""))),"")</f>
        <v/>
      </c>
      <c r="AG18" s="189" t="str">
        <f>IFERROR(ROUND(Räumer[[#This Row],[R3]]-Räumer[[#This Row],[Räumer Bahn Schnitt]],1),"")</f>
        <v/>
      </c>
      <c r="AH18" s="189" t="str">
        <f>IFERROR(IF(Y$1="Gesamt",AVERAGEIF(Eingabe[Name],Räumer[[#This Row],[Name]],Eingabe[R4]),IF(Y$1="Heim",AVERAGEIFS(Eingabe[R4],Eingabe[Name],Räumer[[#This Row],[Name]],Eingabe[Wo],"H"),IF(Y$1="Auswärts",AVERAGEIFS(Eingabe[R4],Eingabe[Name],Räumer[[#This Row],[Name]],Eingabe[Wo],"A"),""))),"")</f>
        <v/>
      </c>
      <c r="AI18" s="189" t="str">
        <f>IFERROR(ROUND(Räumer[[#This Row],[R4]]-Räumer[[#This Row],[Räumer Bahn Schnitt]],1),"")</f>
        <v/>
      </c>
      <c r="AK18" s="335" t="str">
        <f>Bahnen[[#This Row],[Name]]</f>
        <v>Heiko Wüstling</v>
      </c>
      <c r="AL18" s="189" t="str">
        <f>IFERROR(ROUND(IF(AK$1="Gesamt",AVERAGEIF(Eingabe[Name],Fehler[[#This Row],[Name]],Eingabe[Fehler]),IF(AK$1="Heim",AVERAGEIFS(Eingabe[Fehler],Eingabe[Name],Fehler[[#This Row],[Name]],Eingabe[Wo],"H"),IF(AK$1="Auswärts",AVERAGEIFS(Eingabe[Fehler],Eingabe[Name],Fehler[[#This Row],[Name]],Eingabe[Wo],"A"),""))),0),"")</f>
        <v/>
      </c>
      <c r="AM18" s="189" t="str">
        <f>IFERROR(Fehler[[#This Row],[Fehler Schnitt]]/4,"")</f>
        <v/>
      </c>
      <c r="AN18" s="189" t="str">
        <f>IFERROR(IF(AK$1="Gesamt",AVERAGEIF(Eingabe[Name],Fehler[[#This Row],[Name]],Eingabe[F1]),IF(AK$1="Heim",AVERAGEIFS(Eingabe[F1],Eingabe[Name],Fehler[[#This Row],[Name]],Eingabe[Wo],"H"),IF(AK$1="Auswärts",AVERAGEIFS(Eingabe[F1],Eingabe[Name],Fehler[[#This Row],[Name]],Eingabe[Wo],"A"),""))),"")</f>
        <v/>
      </c>
      <c r="AO18" s="189" t="str">
        <f>IFERROR(ROUND(Fehler[[#This Row],[F1]]-Fehler[[#This Row],[Fehler Bahn Schnitt]],1),"")</f>
        <v/>
      </c>
      <c r="AP18" s="189" t="str">
        <f>IFERROR(IF(AK$1="Gesamt",AVERAGEIF(Eingabe[Name],Fehler[[#This Row],[Name]],Eingabe[F2]),IF(AK$1="Heim",AVERAGEIFS(Eingabe[F2],Eingabe[Name],Fehler[[#This Row],[Name]],Eingabe[Wo],"H"),IF(AK$1="Auswärts",AVERAGEIFS(Eingabe[F2],Eingabe[Name],Fehler[[#This Row],[Name]],Eingabe[Wo],"A"),""))),"")</f>
        <v/>
      </c>
      <c r="AQ18" s="189" t="str">
        <f>IFERROR(ROUND(Fehler[[#This Row],[F2]]-Fehler[[#This Row],[Fehler Bahn Schnitt]],1),"")</f>
        <v/>
      </c>
      <c r="AR18" s="189" t="str">
        <f>IFERROR(IF(AK$1="Gesamt",AVERAGEIF(Eingabe[Name],Fehler[[#This Row],[Name]],Eingabe[F3]),IF(AK$1="Heim",AVERAGEIFS(Eingabe[F3],Eingabe[Name],Fehler[[#This Row],[Name]],Eingabe[Wo],"H"),IF(AK$1="Auswärts",AVERAGEIFS(Eingabe[F1],Eingabe[Name],Fehler[[#This Row],[Name]],Eingabe[Wo],"A"),""))),"")</f>
        <v/>
      </c>
      <c r="AS18" s="189" t="str">
        <f>IFERROR(ROUND(Fehler[[#This Row],[F3]]-Fehler[[#This Row],[Fehler Bahn Schnitt]],1),"")</f>
        <v/>
      </c>
      <c r="AT18" s="189" t="str">
        <f>IFERROR(IF(AK$1="Gesamt",AVERAGEIF(Eingabe[Name],Fehler[[#This Row],[Name]],Eingabe[F4]),IF(AK$1="Heim",AVERAGEIFS(Eingabe[F4],Eingabe[Name],Fehler[[#This Row],[Name]],Eingabe[Wo],"H"),IF(AK$1="Auswärts",AVERAGEIFS(Eingabe[F1],Eingabe[Name],Fehler[[#This Row],[Name]],Eingabe[Wo],"A"),""))),"")</f>
        <v/>
      </c>
      <c r="AU18" s="189" t="str">
        <f>IFERROR(ROUND(Fehler[[#This Row],[F4]]-Fehler[[#This Row],[Fehler Bahn Schnitt]],1),"")</f>
        <v/>
      </c>
    </row>
    <row r="19" spans="1:47" ht="15.6" x14ac:dyDescent="0.3">
      <c r="A19" s="335" t="s">
        <v>467</v>
      </c>
      <c r="B19" s="189">
        <f>IFERROR(ROUND(IF($A$1="Gesamt",AVERAGEIF(Eingabe[Name],Bahnen[[#This Row],[Name]],Eingabe[GES]),IF($A$1="Heim",AVERAGEIFS(Eingabe[GES],Eingabe[Name],Bahnen[[#This Row],[Name]],Eingabe[Wo],"H"),IF($A$1="Auswärts",AVERAGEIFS(Eingabe[GES],Eingabe[Name],Bahnen[[#This Row],[Name]],Eingabe[Wo],"A"),""))),0),"")</f>
        <v>498</v>
      </c>
      <c r="C19" s="189">
        <f>IFERROR(Bahnen[[#This Row],[Schnitt]]/4,"")</f>
        <v>124.5</v>
      </c>
      <c r="D19" s="189">
        <f>IFERROR(IF($A$1="Gesamt",AVERAGEIF(Eingabe[Name],Bahnen[[#This Row],[Name]],Eingabe[S1]),IF($A$1="Heim",AVERAGEIFS(Eingabe[S-NR],Eingabe[Name],Bahnen[[#This Row],[Name]],Eingabe[Wo],"H"),IF($A$1="Auswärts",AVERAGEIFS(Eingabe[S1],Eingabe[Name],Bahnen[[#This Row],[Name]],Eingabe[Wo],"A"),""))),"")</f>
        <v>129</v>
      </c>
      <c r="E19" s="189">
        <f>IFERROR(ROUND(Bahnen[[#This Row],[S1]]-Bahnen[[#This Row],[Bahn Schnitt]],1),"")</f>
        <v>4.5</v>
      </c>
      <c r="F19" s="189">
        <f>IFERROR(IF($A$1="Gesamt",AVERAGEIF(Eingabe[Name],Bahnen[[#This Row],[Name]],Eingabe[S2]),IF($A$1="Heim",AVERAGEIFS(Eingabe[S2],Eingabe[Name],Bahnen[[#This Row],[Name]],Eingabe[Wo],"H"),IF($A$1="Auswärts",AVERAGEIFS(Eingabe[S2],Eingabe[Name],Bahnen[[#This Row],[Name]],Eingabe[Wo],"A"),""))),"")</f>
        <v>122</v>
      </c>
      <c r="G19" s="189">
        <f>IFERROR(ROUND(Bahnen[[#This Row],[S2]]-Bahnen[[#This Row],[Bahn Schnitt]],1),"")</f>
        <v>-2.5</v>
      </c>
      <c r="H19" s="189">
        <f>IFERROR(IF($A$1="Gesamt",AVERAGEIF(Eingabe[Name],Bahnen[[#This Row],[Name]],Eingabe[S3]),IF($A$1="Heim",AVERAGEIFS(Eingabe[S3],Eingabe[Name],Bahnen[[#This Row],[Name]],Eingabe[Wo],"H"),IF($A$1="Auswärts",AVERAGEIFS(Eingabe[S-NR],Eingabe[Name],Bahnen[[#This Row],[Name]],Eingabe[Wo],"A"),""))),"")</f>
        <v>129.33333333333334</v>
      </c>
      <c r="I19" s="189">
        <f>IFERROR(ROUND(Bahnen[[#This Row],[S3]]-Bahnen[[#This Row],[Bahn Schnitt]],1),"")</f>
        <v>4.8</v>
      </c>
      <c r="J19" s="189">
        <f>IFERROR(IF($A$1="Gesamt",AVERAGEIF(Eingabe[Name],Bahnen[[#This Row],[Name]],Eingabe[S4]),IF($A$1="Heim",AVERAGEIFS(Eingabe[S4],Eingabe[Name],Bahnen[[#This Row],[Name]],Eingabe[Wo],"H"),IF($A$1="Auswärts",AVERAGEIFS(Eingabe[S-NR],Eingabe[Name],Bahnen[[#This Row],[Name]],Eingabe[Wo],"A"),""))),"")</f>
        <v>135.66666666666666</v>
      </c>
      <c r="K19" s="189">
        <f>IFERROR(ROUND(Bahnen[[#This Row],[S4]]-Bahnen[[#This Row],[Bahn Schnitt]],1),"")</f>
        <v>11.2</v>
      </c>
      <c r="M19" s="335" t="str">
        <f>Bahnen[[#This Row],[Name]]</f>
        <v>Jörg Nötzel</v>
      </c>
      <c r="N19" s="189">
        <f>IFERROR(ROUND(IF($M$1="Gesamt",AVERAGEIF(Eingabe[Name],Volle[[#This Row],[Name]],Eingabe[Volle]),IF($M$1="Heim",AVERAGEIFS(Eingabe[Volle],Eingabe[Name],Volle[[#This Row],[Name]],Eingabe[Wo],"H"),IF($M$1="Auswärts",AVERAGEIFS(Eingabe[Volle],Eingabe[Name],Volle[[#This Row],[Name]],Eingabe[Wo],"A"),""))),0),"")</f>
        <v>357</v>
      </c>
      <c r="O19" s="189">
        <f>IFERROR(Volle[[#This Row],[Volle Schnitt]]/4,"")</f>
        <v>89.25</v>
      </c>
      <c r="P19" s="189">
        <f>IFERROR(IF($M$1="Gesamt",AVERAGEIF(Eingabe[Name],Volle[[#This Row],[Name]],Eingabe[V1]),IF($M$1="Heim",AVERAGEIFS(Eingabe[V1],Eingabe[Name],Volle[[#This Row],[Name]],Eingabe[Wo],"H"),IF($M$1="Auswärts",AVERAGEIFS(Eingabe[V1],Eingabe[Name],Volle[[#This Row],[Name]],Eingabe[Wo],"A"),""))),"")</f>
        <v>93.333333333333329</v>
      </c>
      <c r="Q19" s="189">
        <f>IFERROR(ROUND(Volle[[#This Row],[V1]]-Volle[[#This Row],[Volle Bahn Schnitt]],1),"")</f>
        <v>4.0999999999999996</v>
      </c>
      <c r="R19" s="189">
        <f>IFERROR(IF($M$1="Gesamt",AVERAGEIF(Eingabe[Name],Volle[[#This Row],[Name]],Eingabe[V2]),IF($M$1="Heim",AVERAGEIFS(Eingabe[V2],Eingabe[Name],Volle[[#This Row],[Name]],Eingabe[Wo],"H"),IF($M$1="Auswärts",AVERAGEIFS(Eingabe[V2],Eingabe[Name],Volle[[#This Row],[Name]],Eingabe[Wo],"A"),""))),"")</f>
        <v>86</v>
      </c>
      <c r="S19" s="189">
        <f>IFERROR(ROUND(Volle[[#This Row],[V2]]-Volle[[#This Row],[Volle Bahn Schnitt]],1),"")</f>
        <v>-3.3</v>
      </c>
      <c r="T19" s="189">
        <f>IFERROR(IF($M$1="Gesamt",AVERAGEIF(Eingabe[Name],Volle[[#This Row],[Name]],Eingabe[V3]),IF($M$1="Heim",AVERAGEIFS(Eingabe[V3],Eingabe[Name],Volle[[#This Row],[Name]],Eingabe[Wo],"H"),IF($M$1="Auswärts",AVERAGEIFS(Eingabe[V3],Eingabe[Name],Volle[[#This Row],[Name]],Eingabe[Wo],"A"),""))),"")</f>
        <v>88.666666666666671</v>
      </c>
      <c r="U19" s="189">
        <f>IFERROR(ROUND(Volle[[#This Row],[V3]]-Volle[[#This Row],[Volle Bahn Schnitt]],1),"")</f>
        <v>-0.6</v>
      </c>
      <c r="V19" s="189">
        <f>IFERROR(IF($M$1="Gesamt",AVERAGEIF(Eingabe[Name],Volle[[#This Row],[Name]],Eingabe[V4]),IF($M$1="Heim",AVERAGEIFS(Eingabe[V4],Eingabe[Name],Volle[[#This Row],[Name]],Eingabe[Wo],"H"),IF($M$1="Auswärts",AVERAGEIFS(Eingabe[V4],Eingabe[Name],Volle[[#This Row],[Name]],Eingabe[Wo],"A"),""))),"")</f>
        <v>96</v>
      </c>
      <c r="W19" s="340">
        <f>IFERROR(ROUND(Volle[[#This Row],[V4]]-Volle[[#This Row],[Volle Bahn Schnitt]],1),"")</f>
        <v>6.8</v>
      </c>
      <c r="Y19" s="335" t="str">
        <f>Bahnen[[#This Row],[Name]]</f>
        <v>Jörg Nötzel</v>
      </c>
      <c r="Z19" s="189">
        <f>IFERROR(ROUND(IF(Y$1="Gesamt",AVERAGEIF(Eingabe[Name],Räumer[[#This Row],[Name]],Eingabe[Räumer]),IF(Y$1="Heim",AVERAGEIFS(Eingabe[Räumer],Eingabe[Name],Räumer[[#This Row],[Name]],Eingabe[Wo],"H"),IF(Y$1="Auswärts",AVERAGEIFS(Eingabe[Räumer],Eingabe[Name],Räumer[[#This Row],[Name]],Eingabe[Wo],"A"),""))),0),"")</f>
        <v>141</v>
      </c>
      <c r="AA19" s="189">
        <f>IFERROR(Räumer[[#This Row],[Räumer Schnitt]]/4,"")</f>
        <v>35.25</v>
      </c>
      <c r="AB19" s="189">
        <f>IFERROR(IF(Y$1="Gesamt",AVERAGEIF(Eingabe[Name],Räumer[[#This Row],[Name]],Eingabe[R1]),IF(Y$1="Heim",AVERAGEIFS(Eingabe[R1],Eingabe[Name],Räumer[[#This Row],[Name]],Eingabe[Wo],"H"),IF(Y$1="Auswärts",AVERAGEIFS(Eingabe[R1],Eingabe[Name],Räumer[[#This Row],[Name]],Eingabe[Wo],"A"),""))),"")</f>
        <v>35.666666666666664</v>
      </c>
      <c r="AC19" s="189">
        <f>IFERROR(ROUND(Räumer[[#This Row],[R1]]-Räumer[[#This Row],[Räumer Bahn Schnitt]],1),"")</f>
        <v>0.4</v>
      </c>
      <c r="AD19" s="189">
        <f>IFERROR(IF(Y$1="Gesamt",AVERAGEIF(Eingabe[Name],Räumer[[#This Row],[Name]],Eingabe[R2]),IF(Y$1="Heim",AVERAGEIFS(Eingabe[R2],Eingabe[Name],Räumer[[#This Row],[Name]],Eingabe[Wo],"H"),IF(Y$1="Auswärts",AVERAGEIFS(Eingabe[R2],Eingabe[Name],Räumer[[#This Row],[Name]],Eingabe[Wo],"A"),""))),"")</f>
        <v>36</v>
      </c>
      <c r="AE19" s="189">
        <f>IFERROR(ROUND(Räumer[[#This Row],[R2]]-Räumer[[#This Row],[Räumer Bahn Schnitt]],1),"")</f>
        <v>0.8</v>
      </c>
      <c r="AF19" s="189">
        <f>IFERROR(IF(Y$1="Gesamt",AVERAGEIF(Eingabe[Name],Räumer[[#This Row],[Name]],Eingabe[R3]),IF(Y$1="Heim",AVERAGEIFS(Eingabe[R3],Eingabe[Name],Räumer[[#This Row],[Name]],Eingabe[Wo],"H"),IF(Y$1="Auswärts",AVERAGEIFS(Eingabe[R3],Eingabe[Name],Räumer[[#This Row],[Name]],Eingabe[Wo],"A"),""))),"")</f>
        <v>40.666666666666664</v>
      </c>
      <c r="AG19" s="189">
        <f>IFERROR(ROUND(Räumer[[#This Row],[R3]]-Räumer[[#This Row],[Räumer Bahn Schnitt]],1),"")</f>
        <v>5.4</v>
      </c>
      <c r="AH19" s="189">
        <f>IFERROR(IF(Y$1="Gesamt",AVERAGEIF(Eingabe[Name],Räumer[[#This Row],[Name]],Eingabe[R4]),IF(Y$1="Heim",AVERAGEIFS(Eingabe[R4],Eingabe[Name],Räumer[[#This Row],[Name]],Eingabe[Wo],"H"),IF(Y$1="Auswärts",AVERAGEIFS(Eingabe[R4],Eingabe[Name],Räumer[[#This Row],[Name]],Eingabe[Wo],"A"),""))),"")</f>
        <v>39.666666666666664</v>
      </c>
      <c r="AI19" s="189">
        <f>IFERROR(ROUND(Räumer[[#This Row],[R4]]-Räumer[[#This Row],[Räumer Bahn Schnitt]],1),"")</f>
        <v>4.4000000000000004</v>
      </c>
      <c r="AK19" s="335" t="str">
        <f>Bahnen[[#This Row],[Name]]</f>
        <v>Jörg Nötzel</v>
      </c>
      <c r="AL19" s="189">
        <f>IFERROR(ROUND(IF(AK$1="Gesamt",AVERAGEIF(Eingabe[Name],Fehler[[#This Row],[Name]],Eingabe[Fehler]),IF(AK$1="Heim",AVERAGEIFS(Eingabe[Fehler],Eingabe[Name],Fehler[[#This Row],[Name]],Eingabe[Wo],"H"),IF(AK$1="Auswärts",AVERAGEIFS(Eingabe[Fehler],Eingabe[Name],Fehler[[#This Row],[Name]],Eingabe[Wo],"A"),""))),0),"")</f>
        <v>12</v>
      </c>
      <c r="AM19" s="189">
        <f>IFERROR(Fehler[[#This Row],[Fehler Schnitt]]/4,"")</f>
        <v>3</v>
      </c>
      <c r="AN19" s="189">
        <f>IFERROR(IF(AK$1="Gesamt",AVERAGEIF(Eingabe[Name],Fehler[[#This Row],[Name]],Eingabe[F1]),IF(AK$1="Heim",AVERAGEIFS(Eingabe[F1],Eingabe[Name],Fehler[[#This Row],[Name]],Eingabe[Wo],"H"),IF(AK$1="Auswärts",AVERAGEIFS(Eingabe[F1],Eingabe[Name],Fehler[[#This Row],[Name]],Eingabe[Wo],"A"),""))),"")</f>
        <v>2.6666666666666665</v>
      </c>
      <c r="AO19" s="189">
        <f>IFERROR(ROUND(Fehler[[#This Row],[F1]]-Fehler[[#This Row],[Fehler Bahn Schnitt]],1),"")</f>
        <v>-0.3</v>
      </c>
      <c r="AP19" s="189">
        <f>IFERROR(IF(AK$1="Gesamt",AVERAGEIF(Eingabe[Name],Fehler[[#This Row],[Name]],Eingabe[F2]),IF(AK$1="Heim",AVERAGEIFS(Eingabe[F2],Eingabe[Name],Fehler[[#This Row],[Name]],Eingabe[Wo],"H"),IF(AK$1="Auswärts",AVERAGEIFS(Eingabe[F2],Eingabe[Name],Fehler[[#This Row],[Name]],Eingabe[Wo],"A"),""))),"")</f>
        <v>3.3333333333333335</v>
      </c>
      <c r="AQ19" s="189">
        <f>IFERROR(ROUND(Fehler[[#This Row],[F2]]-Fehler[[#This Row],[Fehler Bahn Schnitt]],1),"")</f>
        <v>0.3</v>
      </c>
      <c r="AR19" s="189">
        <f>IFERROR(IF(AK$1="Gesamt",AVERAGEIF(Eingabe[Name],Fehler[[#This Row],[Name]],Eingabe[F3]),IF(AK$1="Heim",AVERAGEIFS(Eingabe[F3],Eingabe[Name],Fehler[[#This Row],[Name]],Eingabe[Wo],"H"),IF(AK$1="Auswärts",AVERAGEIFS(Eingabe[F1],Eingabe[Name],Fehler[[#This Row],[Name]],Eingabe[Wo],"A"),""))),"")</f>
        <v>2</v>
      </c>
      <c r="AS19" s="189">
        <f>IFERROR(ROUND(Fehler[[#This Row],[F3]]-Fehler[[#This Row],[Fehler Bahn Schnitt]],1),"")</f>
        <v>-1</v>
      </c>
      <c r="AT19" s="189">
        <f>IFERROR(IF(AK$1="Gesamt",AVERAGEIF(Eingabe[Name],Fehler[[#This Row],[Name]],Eingabe[F4]),IF(AK$1="Heim",AVERAGEIFS(Eingabe[F4],Eingabe[Name],Fehler[[#This Row],[Name]],Eingabe[Wo],"H"),IF(AK$1="Auswärts",AVERAGEIFS(Eingabe[F1],Eingabe[Name],Fehler[[#This Row],[Name]],Eingabe[Wo],"A"),""))),"")</f>
        <v>3</v>
      </c>
      <c r="AU19" s="189">
        <f>IFERROR(ROUND(Fehler[[#This Row],[F4]]-Fehler[[#This Row],[Fehler Bahn Schnitt]],1),"")</f>
        <v>0</v>
      </c>
    </row>
    <row r="20" spans="1:47" ht="15.6" x14ac:dyDescent="0.3">
      <c r="A20" s="335" t="s">
        <v>14</v>
      </c>
      <c r="B20" s="189">
        <f>IFERROR(ROUND(IF($A$1="Gesamt",AVERAGEIF(Eingabe[Name],Bahnen[[#This Row],[Name]],Eingabe[GES]),IF($A$1="Heim",AVERAGEIFS(Eingabe[GES],Eingabe[Name],Bahnen[[#This Row],[Name]],Eingabe[Wo],"H"),IF($A$1="Auswärts",AVERAGEIFS(Eingabe[GES],Eingabe[Name],Bahnen[[#This Row],[Name]],Eingabe[Wo],"A"),""))),0),"")</f>
        <v>510</v>
      </c>
      <c r="C20" s="189">
        <f>IFERROR(Bahnen[[#This Row],[Schnitt]]/4,"")</f>
        <v>127.5</v>
      </c>
      <c r="D20" s="189">
        <f>IFERROR(IF($A$1="Gesamt",AVERAGEIF(Eingabe[Name],Bahnen[[#This Row],[Name]],Eingabe[S1]),IF($A$1="Heim",AVERAGEIFS(Eingabe[S-NR],Eingabe[Name],Bahnen[[#This Row],[Name]],Eingabe[Wo],"H"),IF($A$1="Auswärts",AVERAGEIFS(Eingabe[S1],Eingabe[Name],Bahnen[[#This Row],[Name]],Eingabe[Wo],"A"),""))),"")</f>
        <v>129.33333333333334</v>
      </c>
      <c r="E20" s="189">
        <f>IFERROR(ROUND(Bahnen[[#This Row],[S1]]-Bahnen[[#This Row],[Bahn Schnitt]],1),"")</f>
        <v>1.8</v>
      </c>
      <c r="F20" s="189">
        <f>IFERROR(IF($A$1="Gesamt",AVERAGEIF(Eingabe[Name],Bahnen[[#This Row],[Name]],Eingabe[S2]),IF($A$1="Heim",AVERAGEIFS(Eingabe[S2],Eingabe[Name],Bahnen[[#This Row],[Name]],Eingabe[Wo],"H"),IF($A$1="Auswärts",AVERAGEIFS(Eingabe[S2],Eingabe[Name],Bahnen[[#This Row],[Name]],Eingabe[Wo],"A"),""))),"")</f>
        <v>132</v>
      </c>
      <c r="G20" s="189">
        <f>IFERROR(ROUND(Bahnen[[#This Row],[S2]]-Bahnen[[#This Row],[Bahn Schnitt]],1),"")</f>
        <v>4.5</v>
      </c>
      <c r="H20" s="189">
        <f>IFERROR(IF($A$1="Gesamt",AVERAGEIF(Eingabe[Name],Bahnen[[#This Row],[Name]],Eingabe[S3]),IF($A$1="Heim",AVERAGEIFS(Eingabe[S3],Eingabe[Name],Bahnen[[#This Row],[Name]],Eingabe[Wo],"H"),IF($A$1="Auswärts",AVERAGEIFS(Eingabe[S-NR],Eingabe[Name],Bahnen[[#This Row],[Name]],Eingabe[Wo],"A"),""))),"")</f>
        <v>124.66666666666667</v>
      </c>
      <c r="I20" s="189">
        <f>IFERROR(ROUND(Bahnen[[#This Row],[S3]]-Bahnen[[#This Row],[Bahn Schnitt]],1),"")</f>
        <v>-2.8</v>
      </c>
      <c r="J20" s="189">
        <f>IFERROR(IF($A$1="Gesamt",AVERAGEIF(Eingabe[Name],Bahnen[[#This Row],[Name]],Eingabe[S4]),IF($A$1="Heim",AVERAGEIFS(Eingabe[S4],Eingabe[Name],Bahnen[[#This Row],[Name]],Eingabe[Wo],"H"),IF($A$1="Auswärts",AVERAGEIFS(Eingabe[S-NR],Eingabe[Name],Bahnen[[#This Row],[Name]],Eingabe[Wo],"A"),""))),"")</f>
        <v>124.33333333333333</v>
      </c>
      <c r="K20" s="189">
        <f>IFERROR(ROUND(Bahnen[[#This Row],[S4]]-Bahnen[[#This Row],[Bahn Schnitt]],1),"")</f>
        <v>-3.2</v>
      </c>
      <c r="M20" s="335" t="str">
        <f>Bahnen[[#This Row],[Name]]</f>
        <v>Katrin Fiedler</v>
      </c>
      <c r="N20" s="189">
        <f>IFERROR(ROUND(IF($M$1="Gesamt",AVERAGEIF(Eingabe[Name],Volle[[#This Row],[Name]],Eingabe[Volle]),IF($M$1="Heim",AVERAGEIFS(Eingabe[Volle],Eingabe[Name],Volle[[#This Row],[Name]],Eingabe[Wo],"H"),IF($M$1="Auswärts",AVERAGEIFS(Eingabe[Volle],Eingabe[Name],Volle[[#This Row],[Name]],Eingabe[Wo],"A"),""))),0),"")</f>
        <v>358</v>
      </c>
      <c r="O20" s="189">
        <f>IFERROR(Volle[[#This Row],[Volle Schnitt]]/4,"")</f>
        <v>89.5</v>
      </c>
      <c r="P20" s="189">
        <f>IFERROR(IF($M$1="Gesamt",AVERAGEIF(Eingabe[Name],Volle[[#This Row],[Name]],Eingabe[V1]),IF($M$1="Heim",AVERAGEIFS(Eingabe[V1],Eingabe[Name],Volle[[#This Row],[Name]],Eingabe[Wo],"H"),IF($M$1="Auswärts",AVERAGEIFS(Eingabe[V1],Eingabe[Name],Volle[[#This Row],[Name]],Eingabe[Wo],"A"),""))),"")</f>
        <v>92</v>
      </c>
      <c r="Q20" s="189">
        <f>IFERROR(ROUND(Volle[[#This Row],[V1]]-Volle[[#This Row],[Volle Bahn Schnitt]],1),"")</f>
        <v>2.5</v>
      </c>
      <c r="R20" s="189">
        <f>IFERROR(IF($M$1="Gesamt",AVERAGEIF(Eingabe[Name],Volle[[#This Row],[Name]],Eingabe[V2]),IF($M$1="Heim",AVERAGEIFS(Eingabe[V2],Eingabe[Name],Volle[[#This Row],[Name]],Eingabe[Wo],"H"),IF($M$1="Auswärts",AVERAGEIFS(Eingabe[V2],Eingabe[Name],Volle[[#This Row],[Name]],Eingabe[Wo],"A"),""))),"")</f>
        <v>90.666666666666671</v>
      </c>
      <c r="S20" s="189">
        <f>IFERROR(ROUND(Volle[[#This Row],[V2]]-Volle[[#This Row],[Volle Bahn Schnitt]],1),"")</f>
        <v>1.2</v>
      </c>
      <c r="T20" s="189">
        <f>IFERROR(IF($M$1="Gesamt",AVERAGEIF(Eingabe[Name],Volle[[#This Row],[Name]],Eingabe[V3]),IF($M$1="Heim",AVERAGEIFS(Eingabe[V3],Eingabe[Name],Volle[[#This Row],[Name]],Eingabe[Wo],"H"),IF($M$1="Auswärts",AVERAGEIFS(Eingabe[V3],Eingabe[Name],Volle[[#This Row],[Name]],Eingabe[Wo],"A"),""))),"")</f>
        <v>87.666666666666671</v>
      </c>
      <c r="U20" s="189">
        <f>IFERROR(ROUND(Volle[[#This Row],[V3]]-Volle[[#This Row],[Volle Bahn Schnitt]],1),"")</f>
        <v>-1.8</v>
      </c>
      <c r="V20" s="189">
        <f>IFERROR(IF($M$1="Gesamt",AVERAGEIF(Eingabe[Name],Volle[[#This Row],[Name]],Eingabe[V4]),IF($M$1="Heim",AVERAGEIFS(Eingabe[V4],Eingabe[Name],Volle[[#This Row],[Name]],Eingabe[Wo],"H"),IF($M$1="Auswärts",AVERAGEIFS(Eingabe[V4],Eingabe[Name],Volle[[#This Row],[Name]],Eingabe[Wo],"A"),""))),"")</f>
        <v>87.666666666666671</v>
      </c>
      <c r="W20" s="340">
        <f>IFERROR(ROUND(Volle[[#This Row],[V4]]-Volle[[#This Row],[Volle Bahn Schnitt]],1),"")</f>
        <v>-1.8</v>
      </c>
      <c r="Y20" s="335" t="str">
        <f>Bahnen[[#This Row],[Name]]</f>
        <v>Katrin Fiedler</v>
      </c>
      <c r="Z20" s="189">
        <f>IFERROR(ROUND(IF(Y$1="Gesamt",AVERAGEIF(Eingabe[Name],Räumer[[#This Row],[Name]],Eingabe[Räumer]),IF(Y$1="Heim",AVERAGEIFS(Eingabe[Räumer],Eingabe[Name],Räumer[[#This Row],[Name]],Eingabe[Wo],"H"),IF(Y$1="Auswärts",AVERAGEIFS(Eingabe[Räumer],Eingabe[Name],Räumer[[#This Row],[Name]],Eingabe[Wo],"A"),""))),0),"")</f>
        <v>152</v>
      </c>
      <c r="AA20" s="189">
        <f>IFERROR(Räumer[[#This Row],[Räumer Schnitt]]/4,"")</f>
        <v>38</v>
      </c>
      <c r="AB20" s="189">
        <f>IFERROR(IF(Y$1="Gesamt",AVERAGEIF(Eingabe[Name],Räumer[[#This Row],[Name]],Eingabe[R1]),IF(Y$1="Heim",AVERAGEIFS(Eingabe[R1],Eingabe[Name],Räumer[[#This Row],[Name]],Eingabe[Wo],"H"),IF(Y$1="Auswärts",AVERAGEIFS(Eingabe[R1],Eingabe[Name],Räumer[[#This Row],[Name]],Eingabe[Wo],"A"),""))),"")</f>
        <v>37.333333333333336</v>
      </c>
      <c r="AC20" s="189">
        <f>IFERROR(ROUND(Räumer[[#This Row],[R1]]-Räumer[[#This Row],[Räumer Bahn Schnitt]],1),"")</f>
        <v>-0.7</v>
      </c>
      <c r="AD20" s="189">
        <f>IFERROR(IF(Y$1="Gesamt",AVERAGEIF(Eingabe[Name],Räumer[[#This Row],[Name]],Eingabe[R2]),IF(Y$1="Heim",AVERAGEIFS(Eingabe[R2],Eingabe[Name],Räumer[[#This Row],[Name]],Eingabe[Wo],"H"),IF(Y$1="Auswärts",AVERAGEIFS(Eingabe[R2],Eingabe[Name],Räumer[[#This Row],[Name]],Eingabe[Wo],"A"),""))),"")</f>
        <v>41.333333333333336</v>
      </c>
      <c r="AE20" s="189">
        <f>IFERROR(ROUND(Räumer[[#This Row],[R2]]-Räumer[[#This Row],[Räumer Bahn Schnitt]],1),"")</f>
        <v>3.3</v>
      </c>
      <c r="AF20" s="189">
        <f>IFERROR(IF(Y$1="Gesamt",AVERAGEIF(Eingabe[Name],Räumer[[#This Row],[Name]],Eingabe[R3]),IF(Y$1="Heim",AVERAGEIFS(Eingabe[R3],Eingabe[Name],Räumer[[#This Row],[Name]],Eingabe[Wo],"H"),IF(Y$1="Auswärts",AVERAGEIFS(Eingabe[R3],Eingabe[Name],Räumer[[#This Row],[Name]],Eingabe[Wo],"A"),""))),"")</f>
        <v>37</v>
      </c>
      <c r="AG20" s="189">
        <f>IFERROR(ROUND(Räumer[[#This Row],[R3]]-Räumer[[#This Row],[Räumer Bahn Schnitt]],1),"")</f>
        <v>-1</v>
      </c>
      <c r="AH20" s="189">
        <f>IFERROR(IF(Y$1="Gesamt",AVERAGEIF(Eingabe[Name],Räumer[[#This Row],[Name]],Eingabe[R4]),IF(Y$1="Heim",AVERAGEIFS(Eingabe[R4],Eingabe[Name],Räumer[[#This Row],[Name]],Eingabe[Wo],"H"),IF(Y$1="Auswärts",AVERAGEIFS(Eingabe[R4],Eingabe[Name],Räumer[[#This Row],[Name]],Eingabe[Wo],"A"),""))),"")</f>
        <v>36.666666666666664</v>
      </c>
      <c r="AI20" s="189">
        <f>IFERROR(ROUND(Räumer[[#This Row],[R4]]-Räumer[[#This Row],[Räumer Bahn Schnitt]],1),"")</f>
        <v>-1.3</v>
      </c>
      <c r="AK20" s="335" t="str">
        <f>Bahnen[[#This Row],[Name]]</f>
        <v>Katrin Fiedler</v>
      </c>
      <c r="AL20" s="189">
        <f>IFERROR(ROUND(IF(AK$1="Gesamt",AVERAGEIF(Eingabe[Name],Fehler[[#This Row],[Name]],Eingabe[Fehler]),IF(AK$1="Heim",AVERAGEIFS(Eingabe[Fehler],Eingabe[Name],Fehler[[#This Row],[Name]],Eingabe[Wo],"H"),IF(AK$1="Auswärts",AVERAGEIFS(Eingabe[Fehler],Eingabe[Name],Fehler[[#This Row],[Name]],Eingabe[Wo],"A"),""))),0),"")</f>
        <v>11</v>
      </c>
      <c r="AM20" s="189">
        <f>IFERROR(Fehler[[#This Row],[Fehler Schnitt]]/4,"")</f>
        <v>2.75</v>
      </c>
      <c r="AN20" s="189">
        <f>IFERROR(IF(AK$1="Gesamt",AVERAGEIF(Eingabe[Name],Fehler[[#This Row],[Name]],Eingabe[F1]),IF(AK$1="Heim",AVERAGEIFS(Eingabe[F1],Eingabe[Name],Fehler[[#This Row],[Name]],Eingabe[Wo],"H"),IF(AK$1="Auswärts",AVERAGEIFS(Eingabe[F1],Eingabe[Name],Fehler[[#This Row],[Name]],Eingabe[Wo],"A"),""))),"")</f>
        <v>2.6666666666666665</v>
      </c>
      <c r="AO20" s="189">
        <f>IFERROR(ROUND(Fehler[[#This Row],[F1]]-Fehler[[#This Row],[Fehler Bahn Schnitt]],1),"")</f>
        <v>-0.1</v>
      </c>
      <c r="AP20" s="189">
        <f>IFERROR(IF(AK$1="Gesamt",AVERAGEIF(Eingabe[Name],Fehler[[#This Row],[Name]],Eingabe[F2]),IF(AK$1="Heim",AVERAGEIFS(Eingabe[F2],Eingabe[Name],Fehler[[#This Row],[Name]],Eingabe[Wo],"H"),IF(AK$1="Auswärts",AVERAGEIFS(Eingabe[F2],Eingabe[Name],Fehler[[#This Row],[Name]],Eingabe[Wo],"A"),""))),"")</f>
        <v>2.6666666666666665</v>
      </c>
      <c r="AQ20" s="189">
        <f>IFERROR(ROUND(Fehler[[#This Row],[F2]]-Fehler[[#This Row],[Fehler Bahn Schnitt]],1),"")</f>
        <v>-0.1</v>
      </c>
      <c r="AR20" s="189">
        <f>IFERROR(IF(AK$1="Gesamt",AVERAGEIF(Eingabe[Name],Fehler[[#This Row],[Name]],Eingabe[F3]),IF(AK$1="Heim",AVERAGEIFS(Eingabe[F3],Eingabe[Name],Fehler[[#This Row],[Name]],Eingabe[Wo],"H"),IF(AK$1="Auswärts",AVERAGEIFS(Eingabe[F1],Eingabe[Name],Fehler[[#This Row],[Name]],Eingabe[Wo],"A"),""))),"")</f>
        <v>2.6666666666666665</v>
      </c>
      <c r="AS20" s="189">
        <f>IFERROR(ROUND(Fehler[[#This Row],[F3]]-Fehler[[#This Row],[Fehler Bahn Schnitt]],1),"")</f>
        <v>-0.1</v>
      </c>
      <c r="AT20" s="189">
        <f>IFERROR(IF(AK$1="Gesamt",AVERAGEIF(Eingabe[Name],Fehler[[#This Row],[Name]],Eingabe[F4]),IF(AK$1="Heim",AVERAGEIFS(Eingabe[F4],Eingabe[Name],Fehler[[#This Row],[Name]],Eingabe[Wo],"H"),IF(AK$1="Auswärts",AVERAGEIFS(Eingabe[F1],Eingabe[Name],Fehler[[#This Row],[Name]],Eingabe[Wo],"A"),""))),"")</f>
        <v>3</v>
      </c>
      <c r="AU20" s="189">
        <f>IFERROR(ROUND(Fehler[[#This Row],[F4]]-Fehler[[#This Row],[Fehler Bahn Schnitt]],1),"")</f>
        <v>0.3</v>
      </c>
    </row>
    <row r="21" spans="1:47" ht="15.6" x14ac:dyDescent="0.3">
      <c r="A21" s="335" t="s">
        <v>15</v>
      </c>
      <c r="B21" s="189">
        <f>IFERROR(ROUND(IF($A$1="Gesamt",AVERAGEIF(Eingabe[Name],Bahnen[[#This Row],[Name]],Eingabe[GES]),IF($A$1="Heim",AVERAGEIFS(Eingabe[GES],Eingabe[Name],Bahnen[[#This Row],[Name]],Eingabe[Wo],"H"),IF($A$1="Auswärts",AVERAGEIFS(Eingabe[GES],Eingabe[Name],Bahnen[[#This Row],[Name]],Eingabe[Wo],"A"),""))),0),"")</f>
        <v>478</v>
      </c>
      <c r="C21" s="189">
        <f>IFERROR(Bahnen[[#This Row],[Schnitt]]/4,"")</f>
        <v>119.5</v>
      </c>
      <c r="D21" s="189">
        <f>IFERROR(IF($A$1="Gesamt",AVERAGEIF(Eingabe[Name],Bahnen[[#This Row],[Name]],Eingabe[S1]),IF($A$1="Heim",AVERAGEIFS(Eingabe[S-NR],Eingabe[Name],Bahnen[[#This Row],[Name]],Eingabe[Wo],"H"),IF($A$1="Auswärts",AVERAGEIFS(Eingabe[S1],Eingabe[Name],Bahnen[[#This Row],[Name]],Eingabe[Wo],"A"),""))),"")</f>
        <v>121.33333333333333</v>
      </c>
      <c r="E21" s="189">
        <f>IFERROR(ROUND(Bahnen[[#This Row],[S1]]-Bahnen[[#This Row],[Bahn Schnitt]],1),"")</f>
        <v>1.8</v>
      </c>
      <c r="F21" s="189">
        <f>IFERROR(IF($A$1="Gesamt",AVERAGEIF(Eingabe[Name],Bahnen[[#This Row],[Name]],Eingabe[S2]),IF($A$1="Heim",AVERAGEIFS(Eingabe[S2],Eingabe[Name],Bahnen[[#This Row],[Name]],Eingabe[Wo],"H"),IF($A$1="Auswärts",AVERAGEIFS(Eingabe[S2],Eingabe[Name],Bahnen[[#This Row],[Name]],Eingabe[Wo],"A"),""))),"")</f>
        <v>128.33333333333334</v>
      </c>
      <c r="G21" s="189">
        <f>IFERROR(ROUND(Bahnen[[#This Row],[S2]]-Bahnen[[#This Row],[Bahn Schnitt]],1),"")</f>
        <v>8.8000000000000007</v>
      </c>
      <c r="H21" s="189">
        <f>IFERROR(IF($A$1="Gesamt",AVERAGEIF(Eingabe[Name],Bahnen[[#This Row],[Name]],Eingabe[S3]),IF($A$1="Heim",AVERAGEIFS(Eingabe[S3],Eingabe[Name],Bahnen[[#This Row],[Name]],Eingabe[Wo],"H"),IF($A$1="Auswärts",AVERAGEIFS(Eingabe[S-NR],Eingabe[Name],Bahnen[[#This Row],[Name]],Eingabe[Wo],"A"),""))),"")</f>
        <v>121</v>
      </c>
      <c r="I21" s="189">
        <f>IFERROR(ROUND(Bahnen[[#This Row],[S3]]-Bahnen[[#This Row],[Bahn Schnitt]],1),"")</f>
        <v>1.5</v>
      </c>
      <c r="J21" s="189">
        <f>IFERROR(IF($A$1="Gesamt",AVERAGEIF(Eingabe[Name],Bahnen[[#This Row],[Name]],Eingabe[S4]),IF($A$1="Heim",AVERAGEIFS(Eingabe[S4],Eingabe[Name],Bahnen[[#This Row],[Name]],Eingabe[Wo],"H"),IF($A$1="Auswärts",AVERAGEIFS(Eingabe[S-NR],Eingabe[Name],Bahnen[[#This Row],[Name]],Eingabe[Wo],"A"),""))),"")</f>
        <v>107</v>
      </c>
      <c r="K21" s="189">
        <f>IFERROR(ROUND(Bahnen[[#This Row],[S4]]-Bahnen[[#This Row],[Bahn Schnitt]],1),"")</f>
        <v>-12.5</v>
      </c>
      <c r="M21" s="335" t="str">
        <f>Bahnen[[#This Row],[Name]]</f>
        <v>Katrin Keller</v>
      </c>
      <c r="N21" s="189">
        <f>IFERROR(ROUND(IF($M$1="Gesamt",AVERAGEIF(Eingabe[Name],Volle[[#This Row],[Name]],Eingabe[Volle]),IF($M$1="Heim",AVERAGEIFS(Eingabe[Volle],Eingabe[Name],Volle[[#This Row],[Name]],Eingabe[Wo],"H"),IF($M$1="Auswärts",AVERAGEIFS(Eingabe[Volle],Eingabe[Name],Volle[[#This Row],[Name]],Eingabe[Wo],"A"),""))),0),"")</f>
        <v>335</v>
      </c>
      <c r="O21" s="189">
        <f>IFERROR(Volle[[#This Row],[Volle Schnitt]]/4,"")</f>
        <v>83.75</v>
      </c>
      <c r="P21" s="189">
        <f>IFERROR(IF($M$1="Gesamt",AVERAGEIF(Eingabe[Name],Volle[[#This Row],[Name]],Eingabe[V1]),IF($M$1="Heim",AVERAGEIFS(Eingabe[V1],Eingabe[Name],Volle[[#This Row],[Name]],Eingabe[Wo],"H"),IF($M$1="Auswärts",AVERAGEIFS(Eingabe[V1],Eingabe[Name],Volle[[#This Row],[Name]],Eingabe[Wo],"A"),""))),"")</f>
        <v>86.333333333333329</v>
      </c>
      <c r="Q21" s="189">
        <f>IFERROR(ROUND(Volle[[#This Row],[V1]]-Volle[[#This Row],[Volle Bahn Schnitt]],1),"")</f>
        <v>2.6</v>
      </c>
      <c r="R21" s="189">
        <f>IFERROR(IF($M$1="Gesamt",AVERAGEIF(Eingabe[Name],Volle[[#This Row],[Name]],Eingabe[V2]),IF($M$1="Heim",AVERAGEIFS(Eingabe[V2],Eingabe[Name],Volle[[#This Row],[Name]],Eingabe[Wo],"H"),IF($M$1="Auswärts",AVERAGEIFS(Eingabe[V2],Eingabe[Name],Volle[[#This Row],[Name]],Eingabe[Wo],"A"),""))),"")</f>
        <v>89</v>
      </c>
      <c r="S21" s="189">
        <f>IFERROR(ROUND(Volle[[#This Row],[V2]]-Volle[[#This Row],[Volle Bahn Schnitt]],1),"")</f>
        <v>5.3</v>
      </c>
      <c r="T21" s="189">
        <f>IFERROR(IF($M$1="Gesamt",AVERAGEIF(Eingabe[Name],Volle[[#This Row],[Name]],Eingabe[V3]),IF($M$1="Heim",AVERAGEIFS(Eingabe[V3],Eingabe[Name],Volle[[#This Row],[Name]],Eingabe[Wo],"H"),IF($M$1="Auswärts",AVERAGEIFS(Eingabe[V3],Eingabe[Name],Volle[[#This Row],[Name]],Eingabe[Wo],"A"),""))),"")</f>
        <v>84.444444444444443</v>
      </c>
      <c r="U21" s="189">
        <f>IFERROR(ROUND(Volle[[#This Row],[V3]]-Volle[[#This Row],[Volle Bahn Schnitt]],1),"")</f>
        <v>0.7</v>
      </c>
      <c r="V21" s="189">
        <f>IFERROR(IF($M$1="Gesamt",AVERAGEIF(Eingabe[Name],Volle[[#This Row],[Name]],Eingabe[V4]),IF($M$1="Heim",AVERAGEIFS(Eingabe[V4],Eingabe[Name],Volle[[#This Row],[Name]],Eingabe[Wo],"H"),IF($M$1="Auswärts",AVERAGEIFS(Eingabe[V4],Eingabe[Name],Volle[[#This Row],[Name]],Eingabe[Wo],"A"),""))),"")</f>
        <v>74.888888888888886</v>
      </c>
      <c r="W21" s="340">
        <f>IFERROR(ROUND(Volle[[#This Row],[V4]]-Volle[[#This Row],[Volle Bahn Schnitt]],1),"")</f>
        <v>-8.9</v>
      </c>
      <c r="Y21" s="335" t="str">
        <f>Bahnen[[#This Row],[Name]]</f>
        <v>Katrin Keller</v>
      </c>
      <c r="Z21" s="189">
        <f>IFERROR(ROUND(IF(Y$1="Gesamt",AVERAGEIF(Eingabe[Name],Räumer[[#This Row],[Name]],Eingabe[Räumer]),IF(Y$1="Heim",AVERAGEIFS(Eingabe[Räumer],Eingabe[Name],Räumer[[#This Row],[Name]],Eingabe[Wo],"H"),IF(Y$1="Auswärts",AVERAGEIFS(Eingabe[Räumer],Eingabe[Name],Räumer[[#This Row],[Name]],Eingabe[Wo],"A"),""))),0),"")</f>
        <v>143</v>
      </c>
      <c r="AA21" s="189">
        <f>IFERROR(Räumer[[#This Row],[Räumer Schnitt]]/4,"")</f>
        <v>35.75</v>
      </c>
      <c r="AB21" s="189">
        <f>IFERROR(IF(Y$1="Gesamt",AVERAGEIF(Eingabe[Name],Räumer[[#This Row],[Name]],Eingabe[R1]),IF(Y$1="Heim",AVERAGEIFS(Eingabe[R1],Eingabe[Name],Räumer[[#This Row],[Name]],Eingabe[Wo],"H"),IF(Y$1="Auswärts",AVERAGEIFS(Eingabe[R1],Eingabe[Name],Räumer[[#This Row],[Name]],Eingabe[Wo],"A"),""))),"")</f>
        <v>35</v>
      </c>
      <c r="AC21" s="189">
        <f>IFERROR(ROUND(Räumer[[#This Row],[R1]]-Räumer[[#This Row],[Räumer Bahn Schnitt]],1),"")</f>
        <v>-0.8</v>
      </c>
      <c r="AD21" s="189">
        <f>IFERROR(IF(Y$1="Gesamt",AVERAGEIF(Eingabe[Name],Räumer[[#This Row],[Name]],Eingabe[R2]),IF(Y$1="Heim",AVERAGEIFS(Eingabe[R2],Eingabe[Name],Räumer[[#This Row],[Name]],Eingabe[Wo],"H"),IF(Y$1="Auswärts",AVERAGEIFS(Eingabe[R2],Eingabe[Name],Räumer[[#This Row],[Name]],Eingabe[Wo],"A"),""))),"")</f>
        <v>39.333333333333336</v>
      </c>
      <c r="AE21" s="189">
        <f>IFERROR(ROUND(Räumer[[#This Row],[R2]]-Räumer[[#This Row],[Räumer Bahn Schnitt]],1),"")</f>
        <v>3.6</v>
      </c>
      <c r="AF21" s="189">
        <f>IFERROR(IF(Y$1="Gesamt",AVERAGEIF(Eingabe[Name],Räumer[[#This Row],[Name]],Eingabe[R3]),IF(Y$1="Heim",AVERAGEIFS(Eingabe[R3],Eingabe[Name],Räumer[[#This Row],[Name]],Eingabe[Wo],"H"),IF(Y$1="Auswärts",AVERAGEIFS(Eingabe[R3],Eingabe[Name],Räumer[[#This Row],[Name]],Eingabe[Wo],"A"),""))),"")</f>
        <v>36.555555555555557</v>
      </c>
      <c r="AG21" s="189">
        <f>IFERROR(ROUND(Räumer[[#This Row],[R3]]-Räumer[[#This Row],[Räumer Bahn Schnitt]],1),"")</f>
        <v>0.8</v>
      </c>
      <c r="AH21" s="189">
        <f>IFERROR(IF(Y$1="Gesamt",AVERAGEIF(Eingabe[Name],Räumer[[#This Row],[Name]],Eingabe[R4]),IF(Y$1="Heim",AVERAGEIFS(Eingabe[R4],Eingabe[Name],Räumer[[#This Row],[Name]],Eingabe[Wo],"H"),IF(Y$1="Auswärts",AVERAGEIFS(Eingabe[R4],Eingabe[Name],Räumer[[#This Row],[Name]],Eingabe[Wo],"A"),""))),"")</f>
        <v>32.111111111111114</v>
      </c>
      <c r="AI21" s="189">
        <f>IFERROR(ROUND(Räumer[[#This Row],[R4]]-Räumer[[#This Row],[Räumer Bahn Schnitt]],1),"")</f>
        <v>-3.6</v>
      </c>
      <c r="AK21" s="335" t="str">
        <f>Bahnen[[#This Row],[Name]]</f>
        <v>Katrin Keller</v>
      </c>
      <c r="AL21" s="189">
        <f>IFERROR(ROUND(IF(AK$1="Gesamt",AVERAGEIF(Eingabe[Name],Fehler[[#This Row],[Name]],Eingabe[Fehler]),IF(AK$1="Heim",AVERAGEIFS(Eingabe[Fehler],Eingabe[Name],Fehler[[#This Row],[Name]],Eingabe[Wo],"H"),IF(AK$1="Auswärts",AVERAGEIFS(Eingabe[Fehler],Eingabe[Name],Fehler[[#This Row],[Name]],Eingabe[Wo],"A"),""))),0),"")</f>
        <v>11</v>
      </c>
      <c r="AM21" s="189">
        <f>IFERROR(Fehler[[#This Row],[Fehler Schnitt]]/4,"")</f>
        <v>2.75</v>
      </c>
      <c r="AN21" s="189">
        <f>IFERROR(IF(AK$1="Gesamt",AVERAGEIF(Eingabe[Name],Fehler[[#This Row],[Name]],Eingabe[F1]),IF(AK$1="Heim",AVERAGEIFS(Eingabe[F1],Eingabe[Name],Fehler[[#This Row],[Name]],Eingabe[Wo],"H"),IF(AK$1="Auswärts",AVERAGEIFS(Eingabe[F1],Eingabe[Name],Fehler[[#This Row],[Name]],Eingabe[Wo],"A"),""))),"")</f>
        <v>2.7777777777777777</v>
      </c>
      <c r="AO21" s="189">
        <f>IFERROR(ROUND(Fehler[[#This Row],[F1]]-Fehler[[#This Row],[Fehler Bahn Schnitt]],1),"")</f>
        <v>0</v>
      </c>
      <c r="AP21" s="189">
        <f>IFERROR(IF(AK$1="Gesamt",AVERAGEIF(Eingabe[Name],Fehler[[#This Row],[Name]],Eingabe[F2]),IF(AK$1="Heim",AVERAGEIFS(Eingabe[F2],Eingabe[Name],Fehler[[#This Row],[Name]],Eingabe[Wo],"H"),IF(AK$1="Auswärts",AVERAGEIFS(Eingabe[F2],Eingabe[Name],Fehler[[#This Row],[Name]],Eingabe[Wo],"A"),""))),"")</f>
        <v>2.6666666666666665</v>
      </c>
      <c r="AQ21" s="189">
        <f>IFERROR(ROUND(Fehler[[#This Row],[F2]]-Fehler[[#This Row],[Fehler Bahn Schnitt]],1),"")</f>
        <v>-0.1</v>
      </c>
      <c r="AR21" s="189">
        <f>IFERROR(IF(AK$1="Gesamt",AVERAGEIF(Eingabe[Name],Fehler[[#This Row],[Name]],Eingabe[F3]),IF(AK$1="Heim",AVERAGEIFS(Eingabe[F3],Eingabe[Name],Fehler[[#This Row],[Name]],Eingabe[Wo],"H"),IF(AK$1="Auswärts",AVERAGEIFS(Eingabe[F1],Eingabe[Name],Fehler[[#This Row],[Name]],Eingabe[Wo],"A"),""))),"")</f>
        <v>2.6666666666666665</v>
      </c>
      <c r="AS21" s="189">
        <f>IFERROR(ROUND(Fehler[[#This Row],[F3]]-Fehler[[#This Row],[Fehler Bahn Schnitt]],1),"")</f>
        <v>-0.1</v>
      </c>
      <c r="AT21" s="189">
        <f>IFERROR(IF(AK$1="Gesamt",AVERAGEIF(Eingabe[Name],Fehler[[#This Row],[Name]],Eingabe[F4]),IF(AK$1="Heim",AVERAGEIFS(Eingabe[F4],Eingabe[Name],Fehler[[#This Row],[Name]],Eingabe[Wo],"H"),IF(AK$1="Auswärts",AVERAGEIFS(Eingabe[F1],Eingabe[Name],Fehler[[#This Row],[Name]],Eingabe[Wo],"A"),""))),"")</f>
        <v>3</v>
      </c>
      <c r="AU21" s="189">
        <f>IFERROR(ROUND(Fehler[[#This Row],[F4]]-Fehler[[#This Row],[Fehler Bahn Schnitt]],1),"")</f>
        <v>0.3</v>
      </c>
    </row>
    <row r="22" spans="1:47" ht="15.6" x14ac:dyDescent="0.3">
      <c r="A22" s="335" t="s">
        <v>496</v>
      </c>
      <c r="B22" s="189" t="str">
        <f>IFERROR(ROUND(IF($A$1="Gesamt",AVERAGEIF(Eingabe[Name],Bahnen[[#This Row],[Name]],Eingabe[GES]),IF($A$1="Heim",AVERAGEIFS(Eingabe[GES],Eingabe[Name],Bahnen[[#This Row],[Name]],Eingabe[Wo],"H"),IF($A$1="Auswärts",AVERAGEIFS(Eingabe[GES],Eingabe[Name],Bahnen[[#This Row],[Name]],Eingabe[Wo],"A"),""))),0),"")</f>
        <v/>
      </c>
      <c r="C22" s="189" t="str">
        <f>IFERROR(Bahnen[[#This Row],[Schnitt]]/4,"")</f>
        <v/>
      </c>
      <c r="D22" s="189" t="str">
        <f>IFERROR(IF($A$1="Gesamt",AVERAGEIF(Eingabe[Name],Bahnen[[#This Row],[Name]],Eingabe[S1]),IF($A$1="Heim",AVERAGEIFS(Eingabe[S-NR],Eingabe[Name],Bahnen[[#This Row],[Name]],Eingabe[Wo],"H"),IF($A$1="Auswärts",AVERAGEIFS(Eingabe[S1],Eingabe[Name],Bahnen[[#This Row],[Name]],Eingabe[Wo],"A"),""))),"")</f>
        <v/>
      </c>
      <c r="E22" s="189" t="str">
        <f>IFERROR(ROUND(Bahnen[[#This Row],[S1]]-Bahnen[[#This Row],[Bahn Schnitt]],1),"")</f>
        <v/>
      </c>
      <c r="F22" s="189" t="str">
        <f>IFERROR(IF($A$1="Gesamt",AVERAGEIF(Eingabe[Name],Bahnen[[#This Row],[Name]],Eingabe[S2]),IF($A$1="Heim",AVERAGEIFS(Eingabe[S2],Eingabe[Name],Bahnen[[#This Row],[Name]],Eingabe[Wo],"H"),IF($A$1="Auswärts",AVERAGEIFS(Eingabe[S2],Eingabe[Name],Bahnen[[#This Row],[Name]],Eingabe[Wo],"A"),""))),"")</f>
        <v/>
      </c>
      <c r="G22" s="189" t="str">
        <f>IFERROR(ROUND(Bahnen[[#This Row],[S2]]-Bahnen[[#This Row],[Bahn Schnitt]],1),"")</f>
        <v/>
      </c>
      <c r="H22" s="189" t="str">
        <f>IFERROR(IF($A$1="Gesamt",AVERAGEIF(Eingabe[Name],Bahnen[[#This Row],[Name]],Eingabe[S3]),IF($A$1="Heim",AVERAGEIFS(Eingabe[S3],Eingabe[Name],Bahnen[[#This Row],[Name]],Eingabe[Wo],"H"),IF($A$1="Auswärts",AVERAGEIFS(Eingabe[S-NR],Eingabe[Name],Bahnen[[#This Row],[Name]],Eingabe[Wo],"A"),""))),"")</f>
        <v/>
      </c>
      <c r="I22" s="189" t="str">
        <f>IFERROR(ROUND(Bahnen[[#This Row],[S3]]-Bahnen[[#This Row],[Bahn Schnitt]],1),"")</f>
        <v/>
      </c>
      <c r="J22" s="189" t="str">
        <f>IFERROR(IF($A$1="Gesamt",AVERAGEIF(Eingabe[Name],Bahnen[[#This Row],[Name]],Eingabe[S4]),IF($A$1="Heim",AVERAGEIFS(Eingabe[S4],Eingabe[Name],Bahnen[[#This Row],[Name]],Eingabe[Wo],"H"),IF($A$1="Auswärts",AVERAGEIFS(Eingabe[S-NR],Eingabe[Name],Bahnen[[#This Row],[Name]],Eingabe[Wo],"A"),""))),"")</f>
        <v/>
      </c>
      <c r="K22" s="189" t="str">
        <f>IFERROR(ROUND(Bahnen[[#This Row],[S4]]-Bahnen[[#This Row],[Bahn Schnitt]],1),"")</f>
        <v/>
      </c>
      <c r="M22" s="335" t="str">
        <f>Bahnen[[#This Row],[Name]]</f>
        <v>Konrad Scheller</v>
      </c>
      <c r="N22" s="189" t="str">
        <f>IFERROR(ROUND(IF($M$1="Gesamt",AVERAGEIF(Eingabe[Name],Volle[[#This Row],[Name]],Eingabe[Volle]),IF($M$1="Heim",AVERAGEIFS(Eingabe[Volle],Eingabe[Name],Volle[[#This Row],[Name]],Eingabe[Wo],"H"),IF($M$1="Auswärts",AVERAGEIFS(Eingabe[Volle],Eingabe[Name],Volle[[#This Row],[Name]],Eingabe[Wo],"A"),""))),0),"")</f>
        <v/>
      </c>
      <c r="O22" s="189" t="str">
        <f>IFERROR(Volle[[#This Row],[Volle Schnitt]]/4,"")</f>
        <v/>
      </c>
      <c r="P22" s="189" t="str">
        <f>IFERROR(IF($M$1="Gesamt",AVERAGEIF(Eingabe[Name],Volle[[#This Row],[Name]],Eingabe[V1]),IF($M$1="Heim",AVERAGEIFS(Eingabe[V1],Eingabe[Name],Volle[[#This Row],[Name]],Eingabe[Wo],"H"),IF($M$1="Auswärts",AVERAGEIFS(Eingabe[V1],Eingabe[Name],Volle[[#This Row],[Name]],Eingabe[Wo],"A"),""))),"")</f>
        <v/>
      </c>
      <c r="Q22" s="189" t="str">
        <f>IFERROR(ROUND(Volle[[#This Row],[V1]]-Volle[[#This Row],[Volle Bahn Schnitt]],1),"")</f>
        <v/>
      </c>
      <c r="R22" s="189" t="str">
        <f>IFERROR(IF($M$1="Gesamt",AVERAGEIF(Eingabe[Name],Volle[[#This Row],[Name]],Eingabe[V2]),IF($M$1="Heim",AVERAGEIFS(Eingabe[V2],Eingabe[Name],Volle[[#This Row],[Name]],Eingabe[Wo],"H"),IF($M$1="Auswärts",AVERAGEIFS(Eingabe[V2],Eingabe[Name],Volle[[#This Row],[Name]],Eingabe[Wo],"A"),""))),"")</f>
        <v/>
      </c>
      <c r="S22" s="189" t="str">
        <f>IFERROR(ROUND(Volle[[#This Row],[V2]]-Volle[[#This Row],[Volle Bahn Schnitt]],1),"")</f>
        <v/>
      </c>
      <c r="T22" s="189" t="str">
        <f>IFERROR(IF($M$1="Gesamt",AVERAGEIF(Eingabe[Name],Volle[[#This Row],[Name]],Eingabe[V3]),IF($M$1="Heim",AVERAGEIFS(Eingabe[V3],Eingabe[Name],Volle[[#This Row],[Name]],Eingabe[Wo],"H"),IF($M$1="Auswärts",AVERAGEIFS(Eingabe[V3],Eingabe[Name],Volle[[#This Row],[Name]],Eingabe[Wo],"A"),""))),"")</f>
        <v/>
      </c>
      <c r="U22" s="189" t="str">
        <f>IFERROR(ROUND(Volle[[#This Row],[V3]]-Volle[[#This Row],[Volle Bahn Schnitt]],1),"")</f>
        <v/>
      </c>
      <c r="V22" s="189" t="str">
        <f>IFERROR(IF($M$1="Gesamt",AVERAGEIF(Eingabe[Name],Volle[[#This Row],[Name]],Eingabe[V4]),IF($M$1="Heim",AVERAGEIFS(Eingabe[V4],Eingabe[Name],Volle[[#This Row],[Name]],Eingabe[Wo],"H"),IF($M$1="Auswärts",AVERAGEIFS(Eingabe[V4],Eingabe[Name],Volle[[#This Row],[Name]],Eingabe[Wo],"A"),""))),"")</f>
        <v/>
      </c>
      <c r="W22" s="340" t="str">
        <f>IFERROR(ROUND(Volle[[#This Row],[V4]]-Volle[[#This Row],[Volle Bahn Schnitt]],1),"")</f>
        <v/>
      </c>
      <c r="Y22" s="335" t="str">
        <f>Bahnen[[#This Row],[Name]]</f>
        <v>Konrad Scheller</v>
      </c>
      <c r="Z22" s="189" t="str">
        <f>IFERROR(ROUND(IF(Y$1="Gesamt",AVERAGEIF(Eingabe[Name],Räumer[[#This Row],[Name]],Eingabe[Räumer]),IF(Y$1="Heim",AVERAGEIFS(Eingabe[Räumer],Eingabe[Name],Räumer[[#This Row],[Name]],Eingabe[Wo],"H"),IF(Y$1="Auswärts",AVERAGEIFS(Eingabe[Räumer],Eingabe[Name],Räumer[[#This Row],[Name]],Eingabe[Wo],"A"),""))),0),"")</f>
        <v/>
      </c>
      <c r="AA22" s="189" t="str">
        <f>IFERROR(Räumer[[#This Row],[Räumer Schnitt]]/4,"")</f>
        <v/>
      </c>
      <c r="AB22" s="189" t="str">
        <f>IFERROR(IF(Y$1="Gesamt",AVERAGEIF(Eingabe[Name],Räumer[[#This Row],[Name]],Eingabe[R1]),IF(Y$1="Heim",AVERAGEIFS(Eingabe[R1],Eingabe[Name],Räumer[[#This Row],[Name]],Eingabe[Wo],"H"),IF(Y$1="Auswärts",AVERAGEIFS(Eingabe[R1],Eingabe[Name],Räumer[[#This Row],[Name]],Eingabe[Wo],"A"),""))),"")</f>
        <v/>
      </c>
      <c r="AC22" s="189" t="str">
        <f>IFERROR(ROUND(Räumer[[#This Row],[R1]]-Räumer[[#This Row],[Räumer Bahn Schnitt]],1),"")</f>
        <v/>
      </c>
      <c r="AD22" s="189" t="str">
        <f>IFERROR(IF(Y$1="Gesamt",AVERAGEIF(Eingabe[Name],Räumer[[#This Row],[Name]],Eingabe[R2]),IF(Y$1="Heim",AVERAGEIFS(Eingabe[R2],Eingabe[Name],Räumer[[#This Row],[Name]],Eingabe[Wo],"H"),IF(Y$1="Auswärts",AVERAGEIFS(Eingabe[R2],Eingabe[Name],Räumer[[#This Row],[Name]],Eingabe[Wo],"A"),""))),"")</f>
        <v/>
      </c>
      <c r="AE22" s="189" t="str">
        <f>IFERROR(ROUND(Räumer[[#This Row],[R2]]-Räumer[[#This Row],[Räumer Bahn Schnitt]],1),"")</f>
        <v/>
      </c>
      <c r="AF22" s="189" t="str">
        <f>IFERROR(IF(Y$1="Gesamt",AVERAGEIF(Eingabe[Name],Räumer[[#This Row],[Name]],Eingabe[R3]),IF(Y$1="Heim",AVERAGEIFS(Eingabe[R3],Eingabe[Name],Räumer[[#This Row],[Name]],Eingabe[Wo],"H"),IF(Y$1="Auswärts",AVERAGEIFS(Eingabe[R3],Eingabe[Name],Räumer[[#This Row],[Name]],Eingabe[Wo],"A"),""))),"")</f>
        <v/>
      </c>
      <c r="AG22" s="189" t="str">
        <f>IFERROR(ROUND(Räumer[[#This Row],[R3]]-Räumer[[#This Row],[Räumer Bahn Schnitt]],1),"")</f>
        <v/>
      </c>
      <c r="AH22" s="189" t="str">
        <f>IFERROR(IF(Y$1="Gesamt",AVERAGEIF(Eingabe[Name],Räumer[[#This Row],[Name]],Eingabe[R4]),IF(Y$1="Heim",AVERAGEIFS(Eingabe[R4],Eingabe[Name],Räumer[[#This Row],[Name]],Eingabe[Wo],"H"),IF(Y$1="Auswärts",AVERAGEIFS(Eingabe[R4],Eingabe[Name],Räumer[[#This Row],[Name]],Eingabe[Wo],"A"),""))),"")</f>
        <v/>
      </c>
      <c r="AI22" s="189" t="str">
        <f>IFERROR(ROUND(Räumer[[#This Row],[R4]]-Räumer[[#This Row],[Räumer Bahn Schnitt]],1),"")</f>
        <v/>
      </c>
      <c r="AK22" s="335" t="str">
        <f>Bahnen[[#This Row],[Name]]</f>
        <v>Konrad Scheller</v>
      </c>
      <c r="AL22" s="189" t="str">
        <f>IFERROR(ROUND(IF(AK$1="Gesamt",AVERAGEIF(Eingabe[Name],Fehler[[#This Row],[Name]],Eingabe[Fehler]),IF(AK$1="Heim",AVERAGEIFS(Eingabe[Fehler],Eingabe[Name],Fehler[[#This Row],[Name]],Eingabe[Wo],"H"),IF(AK$1="Auswärts",AVERAGEIFS(Eingabe[Fehler],Eingabe[Name],Fehler[[#This Row],[Name]],Eingabe[Wo],"A"),""))),0),"")</f>
        <v/>
      </c>
      <c r="AM22" s="189" t="str">
        <f>IFERROR(Fehler[[#This Row],[Fehler Schnitt]]/4,"")</f>
        <v/>
      </c>
      <c r="AN22" s="189" t="str">
        <f>IFERROR(IF(AK$1="Gesamt",AVERAGEIF(Eingabe[Name],Fehler[[#This Row],[Name]],Eingabe[F1]),IF(AK$1="Heim",AVERAGEIFS(Eingabe[F1],Eingabe[Name],Fehler[[#This Row],[Name]],Eingabe[Wo],"H"),IF(AK$1="Auswärts",AVERAGEIFS(Eingabe[F1],Eingabe[Name],Fehler[[#This Row],[Name]],Eingabe[Wo],"A"),""))),"")</f>
        <v/>
      </c>
      <c r="AO22" s="189" t="str">
        <f>IFERROR(ROUND(Fehler[[#This Row],[F1]]-Fehler[[#This Row],[Fehler Bahn Schnitt]],1),"")</f>
        <v/>
      </c>
      <c r="AP22" s="189" t="str">
        <f>IFERROR(IF(AK$1="Gesamt",AVERAGEIF(Eingabe[Name],Fehler[[#This Row],[Name]],Eingabe[F2]),IF(AK$1="Heim",AVERAGEIFS(Eingabe[F2],Eingabe[Name],Fehler[[#This Row],[Name]],Eingabe[Wo],"H"),IF(AK$1="Auswärts",AVERAGEIFS(Eingabe[F2],Eingabe[Name],Fehler[[#This Row],[Name]],Eingabe[Wo],"A"),""))),"")</f>
        <v/>
      </c>
      <c r="AQ22" s="189" t="str">
        <f>IFERROR(ROUND(Fehler[[#This Row],[F2]]-Fehler[[#This Row],[Fehler Bahn Schnitt]],1),"")</f>
        <v/>
      </c>
      <c r="AR22" s="189" t="str">
        <f>IFERROR(IF(AK$1="Gesamt",AVERAGEIF(Eingabe[Name],Fehler[[#This Row],[Name]],Eingabe[F3]),IF(AK$1="Heim",AVERAGEIFS(Eingabe[F3],Eingabe[Name],Fehler[[#This Row],[Name]],Eingabe[Wo],"H"),IF(AK$1="Auswärts",AVERAGEIFS(Eingabe[F1],Eingabe[Name],Fehler[[#This Row],[Name]],Eingabe[Wo],"A"),""))),"")</f>
        <v/>
      </c>
      <c r="AS22" s="189" t="str">
        <f>IFERROR(ROUND(Fehler[[#This Row],[F3]]-Fehler[[#This Row],[Fehler Bahn Schnitt]],1),"")</f>
        <v/>
      </c>
      <c r="AT22" s="189" t="str">
        <f>IFERROR(IF(AK$1="Gesamt",AVERAGEIF(Eingabe[Name],Fehler[[#This Row],[Name]],Eingabe[F4]),IF(AK$1="Heim",AVERAGEIFS(Eingabe[F4],Eingabe[Name],Fehler[[#This Row],[Name]],Eingabe[Wo],"H"),IF(AK$1="Auswärts",AVERAGEIFS(Eingabe[F1],Eingabe[Name],Fehler[[#This Row],[Name]],Eingabe[Wo],"A"),""))),"")</f>
        <v/>
      </c>
      <c r="AU22" s="189" t="str">
        <f>IFERROR(ROUND(Fehler[[#This Row],[F4]]-Fehler[[#This Row],[Fehler Bahn Schnitt]],1),"")</f>
        <v/>
      </c>
    </row>
    <row r="23" spans="1:47" ht="15.6" x14ac:dyDescent="0.3">
      <c r="A23" s="335" t="s">
        <v>464</v>
      </c>
      <c r="B23" s="189">
        <f>IFERROR(ROUND(IF($A$1="Gesamt",AVERAGEIF(Eingabe[Name],Bahnen[[#This Row],[Name]],Eingabe[GES]),IF($A$1="Heim",AVERAGEIFS(Eingabe[GES],Eingabe[Name],Bahnen[[#This Row],[Name]],Eingabe[Wo],"H"),IF($A$1="Auswärts",AVERAGEIFS(Eingabe[GES],Eingabe[Name],Bahnen[[#This Row],[Name]],Eingabe[Wo],"A"),""))),0),"")</f>
        <v>495</v>
      </c>
      <c r="C23" s="189">
        <f>IFERROR(Bahnen[[#This Row],[Schnitt]]/4,"")</f>
        <v>123.75</v>
      </c>
      <c r="D23" s="189">
        <f>IFERROR(IF($A$1="Gesamt",AVERAGEIF(Eingabe[Name],Bahnen[[#This Row],[Name]],Eingabe[S1]),IF($A$1="Heim",AVERAGEIFS(Eingabe[S-NR],Eingabe[Name],Bahnen[[#This Row],[Name]],Eingabe[Wo],"H"),IF($A$1="Auswärts",AVERAGEIFS(Eingabe[S1],Eingabe[Name],Bahnen[[#This Row],[Name]],Eingabe[Wo],"A"),""))),"")</f>
        <v>124.57142857142857</v>
      </c>
      <c r="E23" s="189">
        <f>IFERROR(ROUND(Bahnen[[#This Row],[S1]]-Bahnen[[#This Row],[Bahn Schnitt]],1),"")</f>
        <v>0.8</v>
      </c>
      <c r="F23" s="189">
        <f>IFERROR(IF($A$1="Gesamt",AVERAGEIF(Eingabe[Name],Bahnen[[#This Row],[Name]],Eingabe[S2]),IF($A$1="Heim",AVERAGEIFS(Eingabe[S2],Eingabe[Name],Bahnen[[#This Row],[Name]],Eingabe[Wo],"H"),IF($A$1="Auswärts",AVERAGEIFS(Eingabe[S2],Eingabe[Name],Bahnen[[#This Row],[Name]],Eingabe[Wo],"A"),""))),"")</f>
        <v>118.57142857142857</v>
      </c>
      <c r="G23" s="189">
        <f>IFERROR(ROUND(Bahnen[[#This Row],[S2]]-Bahnen[[#This Row],[Bahn Schnitt]],1),"")</f>
        <v>-5.2</v>
      </c>
      <c r="H23" s="189">
        <f>IFERROR(IF($A$1="Gesamt",AVERAGEIF(Eingabe[Name],Bahnen[[#This Row],[Name]],Eingabe[S3]),IF($A$1="Heim",AVERAGEIFS(Eingabe[S3],Eingabe[Name],Bahnen[[#This Row],[Name]],Eingabe[Wo],"H"),IF($A$1="Auswärts",AVERAGEIFS(Eingabe[S-NR],Eingabe[Name],Bahnen[[#This Row],[Name]],Eingabe[Wo],"A"),""))),"")</f>
        <v>127.57142857142857</v>
      </c>
      <c r="I23" s="189">
        <f>IFERROR(ROUND(Bahnen[[#This Row],[S3]]-Bahnen[[#This Row],[Bahn Schnitt]],1),"")</f>
        <v>3.8</v>
      </c>
      <c r="J23" s="189">
        <f>IFERROR(IF($A$1="Gesamt",AVERAGEIF(Eingabe[Name],Bahnen[[#This Row],[Name]],Eingabe[S4]),IF($A$1="Heim",AVERAGEIFS(Eingabe[S4],Eingabe[Name],Bahnen[[#This Row],[Name]],Eingabe[Wo],"H"),IF($A$1="Auswärts",AVERAGEIFS(Eingabe[S-NR],Eingabe[Name],Bahnen[[#This Row],[Name]],Eingabe[Wo],"A"),""))),"")</f>
        <v>124</v>
      </c>
      <c r="K23" s="189">
        <f>IFERROR(ROUND(Bahnen[[#This Row],[S4]]-Bahnen[[#This Row],[Bahn Schnitt]],1),"")</f>
        <v>0.3</v>
      </c>
      <c r="M23" s="335" t="str">
        <f>Bahnen[[#This Row],[Name]]</f>
        <v>Lea Meinert</v>
      </c>
      <c r="N23" s="189">
        <f>IFERROR(ROUND(IF($M$1="Gesamt",AVERAGEIF(Eingabe[Name],Volle[[#This Row],[Name]],Eingabe[Volle]),IF($M$1="Heim",AVERAGEIFS(Eingabe[Volle],Eingabe[Name],Volle[[#This Row],[Name]],Eingabe[Wo],"H"),IF($M$1="Auswärts",AVERAGEIFS(Eingabe[Volle],Eingabe[Name],Volle[[#This Row],[Name]],Eingabe[Wo],"A"),""))),0),"")</f>
        <v>350</v>
      </c>
      <c r="O23" s="189">
        <f>IFERROR(Volle[[#This Row],[Volle Schnitt]]/4,"")</f>
        <v>87.5</v>
      </c>
      <c r="P23" s="189">
        <f>IFERROR(IF($M$1="Gesamt",AVERAGEIF(Eingabe[Name],Volle[[#This Row],[Name]],Eingabe[V1]),IF($M$1="Heim",AVERAGEIFS(Eingabe[V1],Eingabe[Name],Volle[[#This Row],[Name]],Eingabe[Wo],"H"),IF($M$1="Auswärts",AVERAGEIFS(Eingabe[V1],Eingabe[Name],Volle[[#This Row],[Name]],Eingabe[Wo],"A"),""))),"")</f>
        <v>90.571428571428569</v>
      </c>
      <c r="Q23" s="189">
        <f>IFERROR(ROUND(Volle[[#This Row],[V1]]-Volle[[#This Row],[Volle Bahn Schnitt]],1),"")</f>
        <v>3.1</v>
      </c>
      <c r="R23" s="189">
        <f>IFERROR(IF($M$1="Gesamt",AVERAGEIF(Eingabe[Name],Volle[[#This Row],[Name]],Eingabe[V2]),IF($M$1="Heim",AVERAGEIFS(Eingabe[V2],Eingabe[Name],Volle[[#This Row],[Name]],Eingabe[Wo],"H"),IF($M$1="Auswärts",AVERAGEIFS(Eingabe[V2],Eingabe[Name],Volle[[#This Row],[Name]],Eingabe[Wo],"A"),""))),"")</f>
        <v>83.857142857142861</v>
      </c>
      <c r="S23" s="189">
        <f>IFERROR(ROUND(Volle[[#This Row],[V2]]-Volle[[#This Row],[Volle Bahn Schnitt]],1),"")</f>
        <v>-3.6</v>
      </c>
      <c r="T23" s="189">
        <f>IFERROR(IF($M$1="Gesamt",AVERAGEIF(Eingabe[Name],Volle[[#This Row],[Name]],Eingabe[V3]),IF($M$1="Heim",AVERAGEIFS(Eingabe[V3],Eingabe[Name],Volle[[#This Row],[Name]],Eingabe[Wo],"H"),IF($M$1="Auswärts",AVERAGEIFS(Eingabe[V3],Eingabe[Name],Volle[[#This Row],[Name]],Eingabe[Wo],"A"),""))),"")</f>
        <v>89.285714285714292</v>
      </c>
      <c r="U23" s="189">
        <f>IFERROR(ROUND(Volle[[#This Row],[V3]]-Volle[[#This Row],[Volle Bahn Schnitt]],1),"")</f>
        <v>1.8</v>
      </c>
      <c r="V23" s="189">
        <f>IFERROR(IF($M$1="Gesamt",AVERAGEIF(Eingabe[Name],Volle[[#This Row],[Name]],Eingabe[V4]),IF($M$1="Heim",AVERAGEIFS(Eingabe[V4],Eingabe[Name],Volle[[#This Row],[Name]],Eingabe[Wo],"H"),IF($M$1="Auswärts",AVERAGEIFS(Eingabe[V4],Eingabe[Name],Volle[[#This Row],[Name]],Eingabe[Wo],"A"),""))),"")</f>
        <v>86</v>
      </c>
      <c r="W23" s="340">
        <f>IFERROR(ROUND(Volle[[#This Row],[V4]]-Volle[[#This Row],[Volle Bahn Schnitt]],1),"")</f>
        <v>-1.5</v>
      </c>
      <c r="Y23" s="335" t="str">
        <f>Bahnen[[#This Row],[Name]]</f>
        <v>Lea Meinert</v>
      </c>
      <c r="Z23" s="189">
        <f>IFERROR(ROUND(IF(Y$1="Gesamt",AVERAGEIF(Eingabe[Name],Räumer[[#This Row],[Name]],Eingabe[Räumer]),IF(Y$1="Heim",AVERAGEIFS(Eingabe[Räumer],Eingabe[Name],Räumer[[#This Row],[Name]],Eingabe[Wo],"H"),IF(Y$1="Auswärts",AVERAGEIFS(Eingabe[Räumer],Eingabe[Name],Räumer[[#This Row],[Name]],Eingabe[Wo],"A"),""))),0),"")</f>
        <v>145</v>
      </c>
      <c r="AA23" s="189">
        <f>IFERROR(Räumer[[#This Row],[Räumer Schnitt]]/4,"")</f>
        <v>36.25</v>
      </c>
      <c r="AB23" s="189">
        <f>IFERROR(IF(Y$1="Gesamt",AVERAGEIF(Eingabe[Name],Räumer[[#This Row],[Name]],Eingabe[R1]),IF(Y$1="Heim",AVERAGEIFS(Eingabe[R1],Eingabe[Name],Räumer[[#This Row],[Name]],Eingabe[Wo],"H"),IF(Y$1="Auswärts",AVERAGEIFS(Eingabe[R1],Eingabe[Name],Räumer[[#This Row],[Name]],Eingabe[Wo],"A"),""))),"")</f>
        <v>34</v>
      </c>
      <c r="AC23" s="189">
        <f>IFERROR(ROUND(Räumer[[#This Row],[R1]]-Räumer[[#This Row],[Räumer Bahn Schnitt]],1),"")</f>
        <v>-2.2999999999999998</v>
      </c>
      <c r="AD23" s="189">
        <f>IFERROR(IF(Y$1="Gesamt",AVERAGEIF(Eingabe[Name],Räumer[[#This Row],[Name]],Eingabe[R2]),IF(Y$1="Heim",AVERAGEIFS(Eingabe[R2],Eingabe[Name],Räumer[[#This Row],[Name]],Eingabe[Wo],"H"),IF(Y$1="Auswärts",AVERAGEIFS(Eingabe[R2],Eingabe[Name],Räumer[[#This Row],[Name]],Eingabe[Wo],"A"),""))),"")</f>
        <v>34.714285714285715</v>
      </c>
      <c r="AE23" s="189">
        <f>IFERROR(ROUND(Räumer[[#This Row],[R2]]-Räumer[[#This Row],[Räumer Bahn Schnitt]],1),"")</f>
        <v>-1.5</v>
      </c>
      <c r="AF23" s="189">
        <f>IFERROR(IF(Y$1="Gesamt",AVERAGEIF(Eingabe[Name],Räumer[[#This Row],[Name]],Eingabe[R3]),IF(Y$1="Heim",AVERAGEIFS(Eingabe[R3],Eingabe[Name],Räumer[[#This Row],[Name]],Eingabe[Wo],"H"),IF(Y$1="Auswärts",AVERAGEIFS(Eingabe[R3],Eingabe[Name],Räumer[[#This Row],[Name]],Eingabe[Wo],"A"),""))),"")</f>
        <v>38.285714285714285</v>
      </c>
      <c r="AG23" s="189">
        <f>IFERROR(ROUND(Räumer[[#This Row],[R3]]-Räumer[[#This Row],[Räumer Bahn Schnitt]],1),"")</f>
        <v>2</v>
      </c>
      <c r="AH23" s="189">
        <f>IFERROR(IF(Y$1="Gesamt",AVERAGEIF(Eingabe[Name],Räumer[[#This Row],[Name]],Eingabe[R4]),IF(Y$1="Heim",AVERAGEIFS(Eingabe[R4],Eingabe[Name],Räumer[[#This Row],[Name]],Eingabe[Wo],"H"),IF(Y$1="Auswärts",AVERAGEIFS(Eingabe[R4],Eingabe[Name],Räumer[[#This Row],[Name]],Eingabe[Wo],"A"),""))),"")</f>
        <v>38</v>
      </c>
      <c r="AI23" s="189">
        <f>IFERROR(ROUND(Räumer[[#This Row],[R4]]-Räumer[[#This Row],[Räumer Bahn Schnitt]],1),"")</f>
        <v>1.8</v>
      </c>
      <c r="AK23" s="335" t="str">
        <f>Bahnen[[#This Row],[Name]]</f>
        <v>Lea Meinert</v>
      </c>
      <c r="AL23" s="189">
        <f>IFERROR(ROUND(IF(AK$1="Gesamt",AVERAGEIF(Eingabe[Name],Fehler[[#This Row],[Name]],Eingabe[Fehler]),IF(AK$1="Heim",AVERAGEIFS(Eingabe[Fehler],Eingabe[Name],Fehler[[#This Row],[Name]],Eingabe[Wo],"H"),IF(AK$1="Auswärts",AVERAGEIFS(Eingabe[Fehler],Eingabe[Name],Fehler[[#This Row],[Name]],Eingabe[Wo],"A"),""))),0),"")</f>
        <v>9</v>
      </c>
      <c r="AM23" s="189">
        <f>IFERROR(Fehler[[#This Row],[Fehler Schnitt]]/4,"")</f>
        <v>2.25</v>
      </c>
      <c r="AN23" s="189">
        <f>IFERROR(IF(AK$1="Gesamt",AVERAGEIF(Eingabe[Name],Fehler[[#This Row],[Name]],Eingabe[F1]),IF(AK$1="Heim",AVERAGEIFS(Eingabe[F1],Eingabe[Name],Fehler[[#This Row],[Name]],Eingabe[Wo],"H"),IF(AK$1="Auswärts",AVERAGEIFS(Eingabe[F1],Eingabe[Name],Fehler[[#This Row],[Name]],Eingabe[Wo],"A"),""))),"")</f>
        <v>2.4285714285714284</v>
      </c>
      <c r="AO23" s="189">
        <f>IFERROR(ROUND(Fehler[[#This Row],[F1]]-Fehler[[#This Row],[Fehler Bahn Schnitt]],1),"")</f>
        <v>0.2</v>
      </c>
      <c r="AP23" s="189">
        <f>IFERROR(IF(AK$1="Gesamt",AVERAGEIF(Eingabe[Name],Fehler[[#This Row],[Name]],Eingabe[F2]),IF(AK$1="Heim",AVERAGEIFS(Eingabe[F2],Eingabe[Name],Fehler[[#This Row],[Name]],Eingabe[Wo],"H"),IF(AK$1="Auswärts",AVERAGEIFS(Eingabe[F2],Eingabe[Name],Fehler[[#This Row],[Name]],Eingabe[Wo],"A"),""))),"")</f>
        <v>2.1428571428571428</v>
      </c>
      <c r="AQ23" s="189">
        <f>IFERROR(ROUND(Fehler[[#This Row],[F2]]-Fehler[[#This Row],[Fehler Bahn Schnitt]],1),"")</f>
        <v>-0.1</v>
      </c>
      <c r="AR23" s="189">
        <f>IFERROR(IF(AK$1="Gesamt",AVERAGEIF(Eingabe[Name],Fehler[[#This Row],[Name]],Eingabe[F3]),IF(AK$1="Heim",AVERAGEIFS(Eingabe[F3],Eingabe[Name],Fehler[[#This Row],[Name]],Eingabe[Wo],"H"),IF(AK$1="Auswärts",AVERAGEIFS(Eingabe[F1],Eingabe[Name],Fehler[[#This Row],[Name]],Eingabe[Wo],"A"),""))),"")</f>
        <v>1.7142857142857142</v>
      </c>
      <c r="AS23" s="189">
        <f>IFERROR(ROUND(Fehler[[#This Row],[F3]]-Fehler[[#This Row],[Fehler Bahn Schnitt]],1),"")</f>
        <v>-0.5</v>
      </c>
      <c r="AT23" s="189">
        <f>IFERROR(IF(AK$1="Gesamt",AVERAGEIF(Eingabe[Name],Fehler[[#This Row],[Name]],Eingabe[F4]),IF(AK$1="Heim",AVERAGEIFS(Eingabe[F4],Eingabe[Name],Fehler[[#This Row],[Name]],Eingabe[Wo],"H"),IF(AK$1="Auswärts",AVERAGEIFS(Eingabe[F1],Eingabe[Name],Fehler[[#This Row],[Name]],Eingabe[Wo],"A"),""))),"")</f>
        <v>2.7142857142857144</v>
      </c>
      <c r="AU23" s="189">
        <f>IFERROR(ROUND(Fehler[[#This Row],[F4]]-Fehler[[#This Row],[Fehler Bahn Schnitt]],1),"")</f>
        <v>0.5</v>
      </c>
    </row>
    <row r="24" spans="1:47" ht="15.6" x14ac:dyDescent="0.3">
      <c r="A24" s="335" t="s">
        <v>599</v>
      </c>
      <c r="B24" s="189">
        <f>IFERROR(ROUND(IF($A$1="Gesamt",AVERAGEIF(Eingabe[Name],Bahnen[[#This Row],[Name]],Eingabe[GES]),IF($A$1="Heim",AVERAGEIFS(Eingabe[GES],Eingabe[Name],Bahnen[[#This Row],[Name]],Eingabe[Wo],"H"),IF($A$1="Auswärts",AVERAGEIFS(Eingabe[GES],Eingabe[Name],Bahnen[[#This Row],[Name]],Eingabe[Wo],"A"),""))),0),"")</f>
        <v>363</v>
      </c>
      <c r="C24" s="189">
        <f>IFERROR(Bahnen[[#This Row],[Schnitt]]/4,"")</f>
        <v>90.75</v>
      </c>
      <c r="D24" s="189">
        <f>IFERROR(IF($A$1="Gesamt",AVERAGEIF(Eingabe[Name],Bahnen[[#This Row],[Name]],Eingabe[S1]),IF($A$1="Heim",AVERAGEIFS(Eingabe[S-NR],Eingabe[Name],Bahnen[[#This Row],[Name]],Eingabe[Wo],"H"),IF($A$1="Auswärts",AVERAGEIFS(Eingabe[S1],Eingabe[Name],Bahnen[[#This Row],[Name]],Eingabe[Wo],"A"),""))),"")</f>
        <v>83.444444444444443</v>
      </c>
      <c r="E24" s="189">
        <f>IFERROR(ROUND(Bahnen[[#This Row],[S1]]-Bahnen[[#This Row],[Bahn Schnitt]],1),"")</f>
        <v>-7.3</v>
      </c>
      <c r="F24" s="189">
        <f>IFERROR(IF($A$1="Gesamt",AVERAGEIF(Eingabe[Name],Bahnen[[#This Row],[Name]],Eingabe[S2]),IF($A$1="Heim",AVERAGEIFS(Eingabe[S2],Eingabe[Name],Bahnen[[#This Row],[Name]],Eingabe[Wo],"H"),IF($A$1="Auswärts",AVERAGEIFS(Eingabe[S2],Eingabe[Name],Bahnen[[#This Row],[Name]],Eingabe[Wo],"A"),""))),"")</f>
        <v>88.888888888888886</v>
      </c>
      <c r="G24" s="189">
        <f>IFERROR(ROUND(Bahnen[[#This Row],[S2]]-Bahnen[[#This Row],[Bahn Schnitt]],1),"")</f>
        <v>-1.9</v>
      </c>
      <c r="H24" s="189">
        <f>IFERROR(IF($A$1="Gesamt",AVERAGEIF(Eingabe[Name],Bahnen[[#This Row],[Name]],Eingabe[S3]),IF($A$1="Heim",AVERAGEIFS(Eingabe[S3],Eingabe[Name],Bahnen[[#This Row],[Name]],Eingabe[Wo],"H"),IF($A$1="Auswärts",AVERAGEIFS(Eingabe[S-NR],Eingabe[Name],Bahnen[[#This Row],[Name]],Eingabe[Wo],"A"),""))),"")</f>
        <v>92.111111111111114</v>
      </c>
      <c r="I24" s="189">
        <f>IFERROR(ROUND(Bahnen[[#This Row],[S3]]-Bahnen[[#This Row],[Bahn Schnitt]],1),"")</f>
        <v>1.4</v>
      </c>
      <c r="J24" s="189">
        <f>IFERROR(IF($A$1="Gesamt",AVERAGEIF(Eingabe[Name],Bahnen[[#This Row],[Name]],Eingabe[S4]),IF($A$1="Heim",AVERAGEIFS(Eingabe[S4],Eingabe[Name],Bahnen[[#This Row],[Name]],Eingabe[Wo],"H"),IF($A$1="Auswärts",AVERAGEIFS(Eingabe[S-NR],Eingabe[Name],Bahnen[[#This Row],[Name]],Eingabe[Wo],"A"),""))),"")</f>
        <v>98.444444444444443</v>
      </c>
      <c r="K24" s="189">
        <f>IFERROR(ROUND(Bahnen[[#This Row],[S4]]-Bahnen[[#This Row],[Bahn Schnitt]],1),"")</f>
        <v>7.7</v>
      </c>
      <c r="M24" s="335" t="str">
        <f>Bahnen[[#This Row],[Name]]</f>
        <v>Lisa Marutschke</v>
      </c>
      <c r="N24" s="189">
        <f>IFERROR(ROUND(IF($M$1="Gesamt",AVERAGEIF(Eingabe[Name],Volle[[#This Row],[Name]],Eingabe[Volle]),IF($M$1="Heim",AVERAGEIFS(Eingabe[Volle],Eingabe[Name],Volle[[#This Row],[Name]],Eingabe[Wo],"H"),IF($M$1="Auswärts",AVERAGEIFS(Eingabe[Volle],Eingabe[Name],Volle[[#This Row],[Name]],Eingabe[Wo],"A"),""))),0),"")</f>
        <v>273</v>
      </c>
      <c r="O24" s="189">
        <f>IFERROR(Volle[[#This Row],[Volle Schnitt]]/4,"")</f>
        <v>68.25</v>
      </c>
      <c r="P24" s="189">
        <f>IFERROR(IF($M$1="Gesamt",AVERAGEIF(Eingabe[Name],Volle[[#This Row],[Name]],Eingabe[V1]),IF($M$1="Heim",AVERAGEIFS(Eingabe[V1],Eingabe[Name],Volle[[#This Row],[Name]],Eingabe[Wo],"H"),IF($M$1="Auswärts",AVERAGEIFS(Eingabe[V1],Eingabe[Name],Volle[[#This Row],[Name]],Eingabe[Wo],"A"),""))),"")</f>
        <v>64.666666666666671</v>
      </c>
      <c r="Q24" s="189">
        <f>IFERROR(ROUND(Volle[[#This Row],[V1]]-Volle[[#This Row],[Volle Bahn Schnitt]],1),"")</f>
        <v>-3.6</v>
      </c>
      <c r="R24" s="189">
        <f>IFERROR(IF($M$1="Gesamt",AVERAGEIF(Eingabe[Name],Volle[[#This Row],[Name]],Eingabe[V2]),IF($M$1="Heim",AVERAGEIFS(Eingabe[V2],Eingabe[Name],Volle[[#This Row],[Name]],Eingabe[Wo],"H"),IF($M$1="Auswärts",AVERAGEIFS(Eingabe[V2],Eingabe[Name],Volle[[#This Row],[Name]],Eingabe[Wo],"A"),""))),"")</f>
        <v>67</v>
      </c>
      <c r="S24" s="189">
        <f>IFERROR(ROUND(Volle[[#This Row],[V2]]-Volle[[#This Row],[Volle Bahn Schnitt]],1),"")</f>
        <v>-1.3</v>
      </c>
      <c r="T24" s="189">
        <f>IFERROR(IF($M$1="Gesamt",AVERAGEIF(Eingabe[Name],Volle[[#This Row],[Name]],Eingabe[V3]),IF($M$1="Heim",AVERAGEIFS(Eingabe[V3],Eingabe[Name],Volle[[#This Row],[Name]],Eingabe[Wo],"H"),IF($M$1="Auswärts",AVERAGEIFS(Eingabe[V3],Eingabe[Name],Volle[[#This Row],[Name]],Eingabe[Wo],"A"),""))),"")</f>
        <v>70.555555555555557</v>
      </c>
      <c r="U24" s="189">
        <f>IFERROR(ROUND(Volle[[#This Row],[V3]]-Volle[[#This Row],[Volle Bahn Schnitt]],1),"")</f>
        <v>2.2999999999999998</v>
      </c>
      <c r="V24" s="189">
        <f>IFERROR(IF($M$1="Gesamt",AVERAGEIF(Eingabe[Name],Volle[[#This Row],[Name]],Eingabe[V4]),IF($M$1="Heim",AVERAGEIFS(Eingabe[V4],Eingabe[Name],Volle[[#This Row],[Name]],Eingabe[Wo],"H"),IF($M$1="Auswärts",AVERAGEIFS(Eingabe[V4],Eingabe[Name],Volle[[#This Row],[Name]],Eingabe[Wo],"A"),""))),"")</f>
        <v>70.333333333333329</v>
      </c>
      <c r="W24" s="340">
        <f>IFERROR(ROUND(Volle[[#This Row],[V4]]-Volle[[#This Row],[Volle Bahn Schnitt]],1),"")</f>
        <v>2.1</v>
      </c>
      <c r="Y24" s="335" t="str">
        <f>Bahnen[[#This Row],[Name]]</f>
        <v>Lisa Marutschke</v>
      </c>
      <c r="Z24" s="189">
        <f>IFERROR(ROUND(IF(Y$1="Gesamt",AVERAGEIF(Eingabe[Name],Räumer[[#This Row],[Name]],Eingabe[Räumer]),IF(Y$1="Heim",AVERAGEIFS(Eingabe[Räumer],Eingabe[Name],Räumer[[#This Row],[Name]],Eingabe[Wo],"H"),IF(Y$1="Auswärts",AVERAGEIFS(Eingabe[Räumer],Eingabe[Name],Räumer[[#This Row],[Name]],Eingabe[Wo],"A"),""))),0),"")</f>
        <v>90</v>
      </c>
      <c r="AA24" s="189">
        <f>IFERROR(Räumer[[#This Row],[Räumer Schnitt]]/4,"")</f>
        <v>22.5</v>
      </c>
      <c r="AB24" s="189">
        <f>IFERROR(IF(Y$1="Gesamt",AVERAGEIF(Eingabe[Name],Räumer[[#This Row],[Name]],Eingabe[R1]),IF(Y$1="Heim",AVERAGEIFS(Eingabe[R1],Eingabe[Name],Räumer[[#This Row],[Name]],Eingabe[Wo],"H"),IF(Y$1="Auswärts",AVERAGEIFS(Eingabe[R1],Eingabe[Name],Räumer[[#This Row],[Name]],Eingabe[Wo],"A"),""))),"")</f>
        <v>18.777777777777779</v>
      </c>
      <c r="AC24" s="189">
        <f>IFERROR(ROUND(Räumer[[#This Row],[R1]]-Räumer[[#This Row],[Räumer Bahn Schnitt]],1),"")</f>
        <v>-3.7</v>
      </c>
      <c r="AD24" s="189">
        <f>IFERROR(IF(Y$1="Gesamt",AVERAGEIF(Eingabe[Name],Räumer[[#This Row],[Name]],Eingabe[R2]),IF(Y$1="Heim",AVERAGEIFS(Eingabe[R2],Eingabe[Name],Räumer[[#This Row],[Name]],Eingabe[Wo],"H"),IF(Y$1="Auswärts",AVERAGEIFS(Eingabe[R2],Eingabe[Name],Räumer[[#This Row],[Name]],Eingabe[Wo],"A"),""))),"")</f>
        <v>21.888888888888889</v>
      </c>
      <c r="AE24" s="189">
        <f>IFERROR(ROUND(Räumer[[#This Row],[R2]]-Räumer[[#This Row],[Räumer Bahn Schnitt]],1),"")</f>
        <v>-0.6</v>
      </c>
      <c r="AF24" s="189">
        <f>IFERROR(IF(Y$1="Gesamt",AVERAGEIF(Eingabe[Name],Räumer[[#This Row],[Name]],Eingabe[R3]),IF(Y$1="Heim",AVERAGEIFS(Eingabe[R3],Eingabe[Name],Räumer[[#This Row],[Name]],Eingabe[Wo],"H"),IF(Y$1="Auswärts",AVERAGEIFS(Eingabe[R3],Eingabe[Name],Räumer[[#This Row],[Name]],Eingabe[Wo],"A"),""))),"")</f>
        <v>21.555555555555557</v>
      </c>
      <c r="AG24" s="189">
        <f>IFERROR(ROUND(Räumer[[#This Row],[R3]]-Räumer[[#This Row],[Räumer Bahn Schnitt]],1),"")</f>
        <v>-0.9</v>
      </c>
      <c r="AH24" s="189">
        <f>IFERROR(IF(Y$1="Gesamt",AVERAGEIF(Eingabe[Name],Räumer[[#This Row],[Name]],Eingabe[R4]),IF(Y$1="Heim",AVERAGEIFS(Eingabe[R4],Eingabe[Name],Räumer[[#This Row],[Name]],Eingabe[Wo],"H"),IF(Y$1="Auswärts",AVERAGEIFS(Eingabe[R4],Eingabe[Name],Räumer[[#This Row],[Name]],Eingabe[Wo],"A"),""))),"")</f>
        <v>28.111111111111111</v>
      </c>
      <c r="AI24" s="189">
        <f>IFERROR(ROUND(Räumer[[#This Row],[R4]]-Räumer[[#This Row],[Räumer Bahn Schnitt]],1),"")</f>
        <v>5.6</v>
      </c>
      <c r="AK24" s="335" t="str">
        <f>Bahnen[[#This Row],[Name]]</f>
        <v>Lisa Marutschke</v>
      </c>
      <c r="AL24" s="189">
        <f>IFERROR(ROUND(IF(AK$1="Gesamt",AVERAGEIF(Eingabe[Name],Fehler[[#This Row],[Name]],Eingabe[Fehler]),IF(AK$1="Heim",AVERAGEIFS(Eingabe[Fehler],Eingabe[Name],Fehler[[#This Row],[Name]],Eingabe[Wo],"H"),IF(AK$1="Auswärts",AVERAGEIFS(Eingabe[Fehler],Eingabe[Name],Fehler[[#This Row],[Name]],Eingabe[Wo],"A"),""))),0),"")</f>
        <v>28</v>
      </c>
      <c r="AM24" s="189">
        <f>IFERROR(Fehler[[#This Row],[Fehler Schnitt]]/4,"")</f>
        <v>7</v>
      </c>
      <c r="AN24" s="189">
        <f>IFERROR(IF(AK$1="Gesamt",AVERAGEIF(Eingabe[Name],Fehler[[#This Row],[Name]],Eingabe[F1]),IF(AK$1="Heim",AVERAGEIFS(Eingabe[F1],Eingabe[Name],Fehler[[#This Row],[Name]],Eingabe[Wo],"H"),IF(AK$1="Auswärts",AVERAGEIFS(Eingabe[F1],Eingabe[Name],Fehler[[#This Row],[Name]],Eingabe[Wo],"A"),""))),"")</f>
        <v>9.2222222222222214</v>
      </c>
      <c r="AO24" s="189">
        <f>IFERROR(ROUND(Fehler[[#This Row],[F1]]-Fehler[[#This Row],[Fehler Bahn Schnitt]],1),"")</f>
        <v>2.2000000000000002</v>
      </c>
      <c r="AP24" s="189">
        <f>IFERROR(IF(AK$1="Gesamt",AVERAGEIF(Eingabe[Name],Fehler[[#This Row],[Name]],Eingabe[F2]),IF(AK$1="Heim",AVERAGEIFS(Eingabe[F2],Eingabe[Name],Fehler[[#This Row],[Name]],Eingabe[Wo],"H"),IF(AK$1="Auswärts",AVERAGEIFS(Eingabe[F2],Eingabe[Name],Fehler[[#This Row],[Name]],Eingabe[Wo],"A"),""))),"")</f>
        <v>6.8888888888888893</v>
      </c>
      <c r="AQ24" s="189">
        <f>IFERROR(ROUND(Fehler[[#This Row],[F2]]-Fehler[[#This Row],[Fehler Bahn Schnitt]],1),"")</f>
        <v>-0.1</v>
      </c>
      <c r="AR24" s="189">
        <f>IFERROR(IF(AK$1="Gesamt",AVERAGEIF(Eingabe[Name],Fehler[[#This Row],[Name]],Eingabe[F3]),IF(AK$1="Heim",AVERAGEIFS(Eingabe[F3],Eingabe[Name],Fehler[[#This Row],[Name]],Eingabe[Wo],"H"),IF(AK$1="Auswärts",AVERAGEIFS(Eingabe[F1],Eingabe[Name],Fehler[[#This Row],[Name]],Eingabe[Wo],"A"),""))),"")</f>
        <v>7</v>
      </c>
      <c r="AS24" s="189">
        <f>IFERROR(ROUND(Fehler[[#This Row],[F3]]-Fehler[[#This Row],[Fehler Bahn Schnitt]],1),"")</f>
        <v>0</v>
      </c>
      <c r="AT24" s="189">
        <f>IFERROR(IF(AK$1="Gesamt",AVERAGEIF(Eingabe[Name],Fehler[[#This Row],[Name]],Eingabe[F4]),IF(AK$1="Heim",AVERAGEIFS(Eingabe[F4],Eingabe[Name],Fehler[[#This Row],[Name]],Eingabe[Wo],"H"),IF(AK$1="Auswärts",AVERAGEIFS(Eingabe[F1],Eingabe[Name],Fehler[[#This Row],[Name]],Eingabe[Wo],"A"),""))),"")</f>
        <v>5.333333333333333</v>
      </c>
      <c r="AU24" s="189">
        <f>IFERROR(ROUND(Fehler[[#This Row],[F4]]-Fehler[[#This Row],[Fehler Bahn Schnitt]],1),"")</f>
        <v>-1.7</v>
      </c>
    </row>
    <row r="25" spans="1:47" ht="15.6" x14ac:dyDescent="0.3">
      <c r="A25" s="335" t="s">
        <v>468</v>
      </c>
      <c r="B25" s="189" t="str">
        <f>IFERROR(ROUND(IF($A$1="Gesamt",AVERAGEIF(Eingabe[Name],Bahnen[[#This Row],[Name]],Eingabe[GES]),IF($A$1="Heim",AVERAGEIFS(Eingabe[GES],Eingabe[Name],Bahnen[[#This Row],[Name]],Eingabe[Wo],"H"),IF($A$1="Auswärts",AVERAGEIFS(Eingabe[GES],Eingabe[Name],Bahnen[[#This Row],[Name]],Eingabe[Wo],"A"),""))),0),"")</f>
        <v/>
      </c>
      <c r="C25" s="189" t="str">
        <f>IFERROR(Bahnen[[#This Row],[Schnitt]]/4,"")</f>
        <v/>
      </c>
      <c r="D25" s="189" t="str">
        <f>IFERROR(IF($A$1="Gesamt",AVERAGEIF(Eingabe[Name],Bahnen[[#This Row],[Name]],Eingabe[S1]),IF($A$1="Heim",AVERAGEIFS(Eingabe[S-NR],Eingabe[Name],Bahnen[[#This Row],[Name]],Eingabe[Wo],"H"),IF($A$1="Auswärts",AVERAGEIFS(Eingabe[S1],Eingabe[Name],Bahnen[[#This Row],[Name]],Eingabe[Wo],"A"),""))),"")</f>
        <v/>
      </c>
      <c r="E25" s="189" t="str">
        <f>IFERROR(ROUND(Bahnen[[#This Row],[S1]]-Bahnen[[#This Row],[Bahn Schnitt]],1),"")</f>
        <v/>
      </c>
      <c r="F25" s="189" t="str">
        <f>IFERROR(IF($A$1="Gesamt",AVERAGEIF(Eingabe[Name],Bahnen[[#This Row],[Name]],Eingabe[S2]),IF($A$1="Heim",AVERAGEIFS(Eingabe[S2],Eingabe[Name],Bahnen[[#This Row],[Name]],Eingabe[Wo],"H"),IF($A$1="Auswärts",AVERAGEIFS(Eingabe[S2],Eingabe[Name],Bahnen[[#This Row],[Name]],Eingabe[Wo],"A"),""))),"")</f>
        <v/>
      </c>
      <c r="G25" s="189" t="str">
        <f>IFERROR(ROUND(Bahnen[[#This Row],[S2]]-Bahnen[[#This Row],[Bahn Schnitt]],1),"")</f>
        <v/>
      </c>
      <c r="H25" s="189" t="str">
        <f>IFERROR(IF($A$1="Gesamt",AVERAGEIF(Eingabe[Name],Bahnen[[#This Row],[Name]],Eingabe[S3]),IF($A$1="Heim",AVERAGEIFS(Eingabe[S3],Eingabe[Name],Bahnen[[#This Row],[Name]],Eingabe[Wo],"H"),IF($A$1="Auswärts",AVERAGEIFS(Eingabe[S-NR],Eingabe[Name],Bahnen[[#This Row],[Name]],Eingabe[Wo],"A"),""))),"")</f>
        <v/>
      </c>
      <c r="I25" s="189" t="str">
        <f>IFERROR(ROUND(Bahnen[[#This Row],[S3]]-Bahnen[[#This Row],[Bahn Schnitt]],1),"")</f>
        <v/>
      </c>
      <c r="J25" s="189" t="str">
        <f>IFERROR(IF($A$1="Gesamt",AVERAGEIF(Eingabe[Name],Bahnen[[#This Row],[Name]],Eingabe[S4]),IF($A$1="Heim",AVERAGEIFS(Eingabe[S4],Eingabe[Name],Bahnen[[#This Row],[Name]],Eingabe[Wo],"H"),IF($A$1="Auswärts",AVERAGEIFS(Eingabe[S-NR],Eingabe[Name],Bahnen[[#This Row],[Name]],Eingabe[Wo],"A"),""))),"")</f>
        <v/>
      </c>
      <c r="K25" s="189" t="str">
        <f>IFERROR(ROUND(Bahnen[[#This Row],[S4]]-Bahnen[[#This Row],[Bahn Schnitt]],1),"")</f>
        <v/>
      </c>
      <c r="M25" s="335" t="str">
        <f>Bahnen[[#This Row],[Name]]</f>
        <v>Lisa Stirl</v>
      </c>
      <c r="N25" s="189" t="str">
        <f>IFERROR(ROUND(IF($M$1="Gesamt",AVERAGEIF(Eingabe[Name],Volle[[#This Row],[Name]],Eingabe[Volle]),IF($M$1="Heim",AVERAGEIFS(Eingabe[Volle],Eingabe[Name],Volle[[#This Row],[Name]],Eingabe[Wo],"H"),IF($M$1="Auswärts",AVERAGEIFS(Eingabe[Volle],Eingabe[Name],Volle[[#This Row],[Name]],Eingabe[Wo],"A"),""))),0),"")</f>
        <v/>
      </c>
      <c r="O25" s="189" t="str">
        <f>IFERROR(Volle[[#This Row],[Volle Schnitt]]/4,"")</f>
        <v/>
      </c>
      <c r="P25" s="189" t="str">
        <f>IFERROR(IF($M$1="Gesamt",AVERAGEIF(Eingabe[Name],Volle[[#This Row],[Name]],Eingabe[V1]),IF($M$1="Heim",AVERAGEIFS(Eingabe[V1],Eingabe[Name],Volle[[#This Row],[Name]],Eingabe[Wo],"H"),IF($M$1="Auswärts",AVERAGEIFS(Eingabe[V1],Eingabe[Name],Volle[[#This Row],[Name]],Eingabe[Wo],"A"),""))),"")</f>
        <v/>
      </c>
      <c r="Q25" s="189" t="str">
        <f>IFERROR(ROUND(Volle[[#This Row],[V1]]-Volle[[#This Row],[Volle Bahn Schnitt]],1),"")</f>
        <v/>
      </c>
      <c r="R25" s="189" t="str">
        <f>IFERROR(IF($M$1="Gesamt",AVERAGEIF(Eingabe[Name],Volle[[#This Row],[Name]],Eingabe[V2]),IF($M$1="Heim",AVERAGEIFS(Eingabe[V2],Eingabe[Name],Volle[[#This Row],[Name]],Eingabe[Wo],"H"),IF($M$1="Auswärts",AVERAGEIFS(Eingabe[V2],Eingabe[Name],Volle[[#This Row],[Name]],Eingabe[Wo],"A"),""))),"")</f>
        <v/>
      </c>
      <c r="S25" s="189" t="str">
        <f>IFERROR(ROUND(Volle[[#This Row],[V2]]-Volle[[#This Row],[Volle Bahn Schnitt]],1),"")</f>
        <v/>
      </c>
      <c r="T25" s="189" t="str">
        <f>IFERROR(IF($M$1="Gesamt",AVERAGEIF(Eingabe[Name],Volle[[#This Row],[Name]],Eingabe[V3]),IF($M$1="Heim",AVERAGEIFS(Eingabe[V3],Eingabe[Name],Volle[[#This Row],[Name]],Eingabe[Wo],"H"),IF($M$1="Auswärts",AVERAGEIFS(Eingabe[V3],Eingabe[Name],Volle[[#This Row],[Name]],Eingabe[Wo],"A"),""))),"")</f>
        <v/>
      </c>
      <c r="U25" s="189" t="str">
        <f>IFERROR(ROUND(Volle[[#This Row],[V3]]-Volle[[#This Row],[Volle Bahn Schnitt]],1),"")</f>
        <v/>
      </c>
      <c r="V25" s="189" t="str">
        <f>IFERROR(IF($M$1="Gesamt",AVERAGEIF(Eingabe[Name],Volle[[#This Row],[Name]],Eingabe[V4]),IF($M$1="Heim",AVERAGEIFS(Eingabe[V4],Eingabe[Name],Volle[[#This Row],[Name]],Eingabe[Wo],"H"),IF($M$1="Auswärts",AVERAGEIFS(Eingabe[V4],Eingabe[Name],Volle[[#This Row],[Name]],Eingabe[Wo],"A"),""))),"")</f>
        <v/>
      </c>
      <c r="W25" s="340" t="str">
        <f>IFERROR(ROUND(Volle[[#This Row],[V4]]-Volle[[#This Row],[Volle Bahn Schnitt]],1),"")</f>
        <v/>
      </c>
      <c r="Y25" s="335" t="str">
        <f>Bahnen[[#This Row],[Name]]</f>
        <v>Lisa Stirl</v>
      </c>
      <c r="Z25" s="189" t="str">
        <f>IFERROR(ROUND(IF(Y$1="Gesamt",AVERAGEIF(Eingabe[Name],Räumer[[#This Row],[Name]],Eingabe[Räumer]),IF(Y$1="Heim",AVERAGEIFS(Eingabe[Räumer],Eingabe[Name],Räumer[[#This Row],[Name]],Eingabe[Wo],"H"),IF(Y$1="Auswärts",AVERAGEIFS(Eingabe[Räumer],Eingabe[Name],Räumer[[#This Row],[Name]],Eingabe[Wo],"A"),""))),0),"")</f>
        <v/>
      </c>
      <c r="AA25" s="189" t="str">
        <f>IFERROR(Räumer[[#This Row],[Räumer Schnitt]]/4,"")</f>
        <v/>
      </c>
      <c r="AB25" s="189" t="str">
        <f>IFERROR(IF(Y$1="Gesamt",AVERAGEIF(Eingabe[Name],Räumer[[#This Row],[Name]],Eingabe[R1]),IF(Y$1="Heim",AVERAGEIFS(Eingabe[R1],Eingabe[Name],Räumer[[#This Row],[Name]],Eingabe[Wo],"H"),IF(Y$1="Auswärts",AVERAGEIFS(Eingabe[R1],Eingabe[Name],Räumer[[#This Row],[Name]],Eingabe[Wo],"A"),""))),"")</f>
        <v/>
      </c>
      <c r="AC25" s="189" t="str">
        <f>IFERROR(ROUND(Räumer[[#This Row],[R1]]-Räumer[[#This Row],[Räumer Bahn Schnitt]],1),"")</f>
        <v/>
      </c>
      <c r="AD25" s="189" t="str">
        <f>IFERROR(IF(Y$1="Gesamt",AVERAGEIF(Eingabe[Name],Räumer[[#This Row],[Name]],Eingabe[R2]),IF(Y$1="Heim",AVERAGEIFS(Eingabe[R2],Eingabe[Name],Räumer[[#This Row],[Name]],Eingabe[Wo],"H"),IF(Y$1="Auswärts",AVERAGEIFS(Eingabe[R2],Eingabe[Name],Räumer[[#This Row],[Name]],Eingabe[Wo],"A"),""))),"")</f>
        <v/>
      </c>
      <c r="AE25" s="189" t="str">
        <f>IFERROR(ROUND(Räumer[[#This Row],[R2]]-Räumer[[#This Row],[Räumer Bahn Schnitt]],1),"")</f>
        <v/>
      </c>
      <c r="AF25" s="189" t="str">
        <f>IFERROR(IF(Y$1="Gesamt",AVERAGEIF(Eingabe[Name],Räumer[[#This Row],[Name]],Eingabe[R3]),IF(Y$1="Heim",AVERAGEIFS(Eingabe[R3],Eingabe[Name],Räumer[[#This Row],[Name]],Eingabe[Wo],"H"),IF(Y$1="Auswärts",AVERAGEIFS(Eingabe[R3],Eingabe[Name],Räumer[[#This Row],[Name]],Eingabe[Wo],"A"),""))),"")</f>
        <v/>
      </c>
      <c r="AG25" s="189" t="str">
        <f>IFERROR(ROUND(Räumer[[#This Row],[R3]]-Räumer[[#This Row],[Räumer Bahn Schnitt]],1),"")</f>
        <v/>
      </c>
      <c r="AH25" s="189" t="str">
        <f>IFERROR(IF(Y$1="Gesamt",AVERAGEIF(Eingabe[Name],Räumer[[#This Row],[Name]],Eingabe[R4]),IF(Y$1="Heim",AVERAGEIFS(Eingabe[R4],Eingabe[Name],Räumer[[#This Row],[Name]],Eingabe[Wo],"H"),IF(Y$1="Auswärts",AVERAGEIFS(Eingabe[R4],Eingabe[Name],Räumer[[#This Row],[Name]],Eingabe[Wo],"A"),""))),"")</f>
        <v/>
      </c>
      <c r="AI25" s="189" t="str">
        <f>IFERROR(ROUND(Räumer[[#This Row],[R4]]-Räumer[[#This Row],[Räumer Bahn Schnitt]],1),"")</f>
        <v/>
      </c>
      <c r="AK25" s="335" t="str">
        <f>Bahnen[[#This Row],[Name]]</f>
        <v>Lisa Stirl</v>
      </c>
      <c r="AL25" s="189" t="str">
        <f>IFERROR(ROUND(IF(AK$1="Gesamt",AVERAGEIF(Eingabe[Name],Fehler[[#This Row],[Name]],Eingabe[Fehler]),IF(AK$1="Heim",AVERAGEIFS(Eingabe[Fehler],Eingabe[Name],Fehler[[#This Row],[Name]],Eingabe[Wo],"H"),IF(AK$1="Auswärts",AVERAGEIFS(Eingabe[Fehler],Eingabe[Name],Fehler[[#This Row],[Name]],Eingabe[Wo],"A"),""))),0),"")</f>
        <v/>
      </c>
      <c r="AM25" s="189" t="str">
        <f>IFERROR(Fehler[[#This Row],[Fehler Schnitt]]/4,"")</f>
        <v/>
      </c>
      <c r="AN25" s="189" t="str">
        <f>IFERROR(IF(AK$1="Gesamt",AVERAGEIF(Eingabe[Name],Fehler[[#This Row],[Name]],Eingabe[F1]),IF(AK$1="Heim",AVERAGEIFS(Eingabe[F1],Eingabe[Name],Fehler[[#This Row],[Name]],Eingabe[Wo],"H"),IF(AK$1="Auswärts",AVERAGEIFS(Eingabe[F1],Eingabe[Name],Fehler[[#This Row],[Name]],Eingabe[Wo],"A"),""))),"")</f>
        <v/>
      </c>
      <c r="AO25" s="189" t="str">
        <f>IFERROR(ROUND(Fehler[[#This Row],[F1]]-Fehler[[#This Row],[Fehler Bahn Schnitt]],1),"")</f>
        <v/>
      </c>
      <c r="AP25" s="189" t="str">
        <f>IFERROR(IF(AK$1="Gesamt",AVERAGEIF(Eingabe[Name],Fehler[[#This Row],[Name]],Eingabe[F2]),IF(AK$1="Heim",AVERAGEIFS(Eingabe[F2],Eingabe[Name],Fehler[[#This Row],[Name]],Eingabe[Wo],"H"),IF(AK$1="Auswärts",AVERAGEIFS(Eingabe[F2],Eingabe[Name],Fehler[[#This Row],[Name]],Eingabe[Wo],"A"),""))),"")</f>
        <v/>
      </c>
      <c r="AQ25" s="189" t="str">
        <f>IFERROR(ROUND(Fehler[[#This Row],[F2]]-Fehler[[#This Row],[Fehler Bahn Schnitt]],1),"")</f>
        <v/>
      </c>
      <c r="AR25" s="189" t="str">
        <f>IFERROR(IF(AK$1="Gesamt",AVERAGEIF(Eingabe[Name],Fehler[[#This Row],[Name]],Eingabe[F3]),IF(AK$1="Heim",AVERAGEIFS(Eingabe[F3],Eingabe[Name],Fehler[[#This Row],[Name]],Eingabe[Wo],"H"),IF(AK$1="Auswärts",AVERAGEIFS(Eingabe[F1],Eingabe[Name],Fehler[[#This Row],[Name]],Eingabe[Wo],"A"),""))),"")</f>
        <v/>
      </c>
      <c r="AS25" s="189" t="str">
        <f>IFERROR(ROUND(Fehler[[#This Row],[F3]]-Fehler[[#This Row],[Fehler Bahn Schnitt]],1),"")</f>
        <v/>
      </c>
      <c r="AT25" s="189" t="str">
        <f>IFERROR(IF(AK$1="Gesamt",AVERAGEIF(Eingabe[Name],Fehler[[#This Row],[Name]],Eingabe[F4]),IF(AK$1="Heim",AVERAGEIFS(Eingabe[F4],Eingabe[Name],Fehler[[#This Row],[Name]],Eingabe[Wo],"H"),IF(AK$1="Auswärts",AVERAGEIFS(Eingabe[F1],Eingabe[Name],Fehler[[#This Row],[Name]],Eingabe[Wo],"A"),""))),"")</f>
        <v/>
      </c>
      <c r="AU25" s="189" t="str">
        <f>IFERROR(ROUND(Fehler[[#This Row],[F4]]-Fehler[[#This Row],[Fehler Bahn Schnitt]],1),"")</f>
        <v/>
      </c>
    </row>
    <row r="26" spans="1:47" ht="15.6" x14ac:dyDescent="0.3">
      <c r="A26" s="335" t="s">
        <v>481</v>
      </c>
      <c r="B26" s="189" t="str">
        <f>IFERROR(ROUND(IF($A$1="Gesamt",AVERAGEIF(Eingabe[Name],Bahnen[[#This Row],[Name]],Eingabe[GES]),IF($A$1="Heim",AVERAGEIFS(Eingabe[GES],Eingabe[Name],Bahnen[[#This Row],[Name]],Eingabe[Wo],"H"),IF($A$1="Auswärts",AVERAGEIFS(Eingabe[GES],Eingabe[Name],Bahnen[[#This Row],[Name]],Eingabe[Wo],"A"),""))),0),"")</f>
        <v/>
      </c>
      <c r="C26" s="189" t="str">
        <f>IFERROR(Bahnen[[#This Row],[Schnitt]]/4,"")</f>
        <v/>
      </c>
      <c r="D26" s="189" t="str">
        <f>IFERROR(IF($A$1="Gesamt",AVERAGEIF(Eingabe[Name],Bahnen[[#This Row],[Name]],Eingabe[S1]),IF($A$1="Heim",AVERAGEIFS(Eingabe[S-NR],Eingabe[Name],Bahnen[[#This Row],[Name]],Eingabe[Wo],"H"),IF($A$1="Auswärts",AVERAGEIFS(Eingabe[S1],Eingabe[Name],Bahnen[[#This Row],[Name]],Eingabe[Wo],"A"),""))),"")</f>
        <v/>
      </c>
      <c r="E26" s="189" t="str">
        <f>IFERROR(ROUND(Bahnen[[#This Row],[S1]]-Bahnen[[#This Row],[Bahn Schnitt]],1),"")</f>
        <v/>
      </c>
      <c r="F26" s="189" t="str">
        <f>IFERROR(IF($A$1="Gesamt",AVERAGEIF(Eingabe[Name],Bahnen[[#This Row],[Name]],Eingabe[S2]),IF($A$1="Heim",AVERAGEIFS(Eingabe[S2],Eingabe[Name],Bahnen[[#This Row],[Name]],Eingabe[Wo],"H"),IF($A$1="Auswärts",AVERAGEIFS(Eingabe[S2],Eingabe[Name],Bahnen[[#This Row],[Name]],Eingabe[Wo],"A"),""))),"")</f>
        <v/>
      </c>
      <c r="G26" s="189" t="str">
        <f>IFERROR(ROUND(Bahnen[[#This Row],[S2]]-Bahnen[[#This Row],[Bahn Schnitt]],1),"")</f>
        <v/>
      </c>
      <c r="H26" s="189" t="str">
        <f>IFERROR(IF($A$1="Gesamt",AVERAGEIF(Eingabe[Name],Bahnen[[#This Row],[Name]],Eingabe[S3]),IF($A$1="Heim",AVERAGEIFS(Eingabe[S3],Eingabe[Name],Bahnen[[#This Row],[Name]],Eingabe[Wo],"H"),IF($A$1="Auswärts",AVERAGEIFS(Eingabe[S-NR],Eingabe[Name],Bahnen[[#This Row],[Name]],Eingabe[Wo],"A"),""))),"")</f>
        <v/>
      </c>
      <c r="I26" s="189" t="str">
        <f>IFERROR(ROUND(Bahnen[[#This Row],[S3]]-Bahnen[[#This Row],[Bahn Schnitt]],1),"")</f>
        <v/>
      </c>
      <c r="J26" s="189" t="str">
        <f>IFERROR(IF($A$1="Gesamt",AVERAGEIF(Eingabe[Name],Bahnen[[#This Row],[Name]],Eingabe[S4]),IF($A$1="Heim",AVERAGEIFS(Eingabe[S4],Eingabe[Name],Bahnen[[#This Row],[Name]],Eingabe[Wo],"H"),IF($A$1="Auswärts",AVERAGEIFS(Eingabe[S-NR],Eingabe[Name],Bahnen[[#This Row],[Name]],Eingabe[Wo],"A"),""))),"")</f>
        <v/>
      </c>
      <c r="K26" s="189" t="str">
        <f>IFERROR(ROUND(Bahnen[[#This Row],[S4]]-Bahnen[[#This Row],[Bahn Schnitt]],1),"")</f>
        <v/>
      </c>
      <c r="M26" s="335" t="str">
        <f>Bahnen[[#This Row],[Name]]</f>
        <v>Luca Landau</v>
      </c>
      <c r="N26" s="189" t="str">
        <f>IFERROR(ROUND(IF($M$1="Gesamt",AVERAGEIF(Eingabe[Name],Volle[[#This Row],[Name]],Eingabe[Volle]),IF($M$1="Heim",AVERAGEIFS(Eingabe[Volle],Eingabe[Name],Volle[[#This Row],[Name]],Eingabe[Wo],"H"),IF($M$1="Auswärts",AVERAGEIFS(Eingabe[Volle],Eingabe[Name],Volle[[#This Row],[Name]],Eingabe[Wo],"A"),""))),0),"")</f>
        <v/>
      </c>
      <c r="O26" s="189" t="str">
        <f>IFERROR(Volle[[#This Row],[Volle Schnitt]]/4,"")</f>
        <v/>
      </c>
      <c r="P26" s="189" t="str">
        <f>IFERROR(IF($M$1="Gesamt",AVERAGEIF(Eingabe[Name],Volle[[#This Row],[Name]],Eingabe[V1]),IF($M$1="Heim",AVERAGEIFS(Eingabe[V1],Eingabe[Name],Volle[[#This Row],[Name]],Eingabe[Wo],"H"),IF($M$1="Auswärts",AVERAGEIFS(Eingabe[V1],Eingabe[Name],Volle[[#This Row],[Name]],Eingabe[Wo],"A"),""))),"")</f>
        <v/>
      </c>
      <c r="Q26" s="189" t="str">
        <f>IFERROR(ROUND(Volle[[#This Row],[V1]]-Volle[[#This Row],[Volle Bahn Schnitt]],1),"")</f>
        <v/>
      </c>
      <c r="R26" s="189" t="str">
        <f>IFERROR(IF($M$1="Gesamt",AVERAGEIF(Eingabe[Name],Volle[[#This Row],[Name]],Eingabe[V2]),IF($M$1="Heim",AVERAGEIFS(Eingabe[V2],Eingabe[Name],Volle[[#This Row],[Name]],Eingabe[Wo],"H"),IF($M$1="Auswärts",AVERAGEIFS(Eingabe[V2],Eingabe[Name],Volle[[#This Row],[Name]],Eingabe[Wo],"A"),""))),"")</f>
        <v/>
      </c>
      <c r="S26" s="189" t="str">
        <f>IFERROR(ROUND(Volle[[#This Row],[V2]]-Volle[[#This Row],[Volle Bahn Schnitt]],1),"")</f>
        <v/>
      </c>
      <c r="T26" s="189" t="str">
        <f>IFERROR(IF($M$1="Gesamt",AVERAGEIF(Eingabe[Name],Volle[[#This Row],[Name]],Eingabe[V3]),IF($M$1="Heim",AVERAGEIFS(Eingabe[V3],Eingabe[Name],Volle[[#This Row],[Name]],Eingabe[Wo],"H"),IF($M$1="Auswärts",AVERAGEIFS(Eingabe[V3],Eingabe[Name],Volle[[#This Row],[Name]],Eingabe[Wo],"A"),""))),"")</f>
        <v/>
      </c>
      <c r="U26" s="189" t="str">
        <f>IFERROR(ROUND(Volle[[#This Row],[V3]]-Volle[[#This Row],[Volle Bahn Schnitt]],1),"")</f>
        <v/>
      </c>
      <c r="V26" s="189" t="str">
        <f>IFERROR(IF($M$1="Gesamt",AVERAGEIF(Eingabe[Name],Volle[[#This Row],[Name]],Eingabe[V4]),IF($M$1="Heim",AVERAGEIFS(Eingabe[V4],Eingabe[Name],Volle[[#This Row],[Name]],Eingabe[Wo],"H"),IF($M$1="Auswärts",AVERAGEIFS(Eingabe[V4],Eingabe[Name],Volle[[#This Row],[Name]],Eingabe[Wo],"A"),""))),"")</f>
        <v/>
      </c>
      <c r="W26" s="340" t="str">
        <f>IFERROR(ROUND(Volle[[#This Row],[V4]]-Volle[[#This Row],[Volle Bahn Schnitt]],1),"")</f>
        <v/>
      </c>
      <c r="Y26" s="335" t="str">
        <f>Bahnen[[#This Row],[Name]]</f>
        <v>Luca Landau</v>
      </c>
      <c r="Z26" s="189" t="str">
        <f>IFERROR(ROUND(IF(Y$1="Gesamt",AVERAGEIF(Eingabe[Name],Räumer[[#This Row],[Name]],Eingabe[Räumer]),IF(Y$1="Heim",AVERAGEIFS(Eingabe[Räumer],Eingabe[Name],Räumer[[#This Row],[Name]],Eingabe[Wo],"H"),IF(Y$1="Auswärts",AVERAGEIFS(Eingabe[Räumer],Eingabe[Name],Räumer[[#This Row],[Name]],Eingabe[Wo],"A"),""))),0),"")</f>
        <v/>
      </c>
      <c r="AA26" s="189" t="str">
        <f>IFERROR(Räumer[[#This Row],[Räumer Schnitt]]/4,"")</f>
        <v/>
      </c>
      <c r="AB26" s="189" t="str">
        <f>IFERROR(IF(Y$1="Gesamt",AVERAGEIF(Eingabe[Name],Räumer[[#This Row],[Name]],Eingabe[R1]),IF(Y$1="Heim",AVERAGEIFS(Eingabe[R1],Eingabe[Name],Räumer[[#This Row],[Name]],Eingabe[Wo],"H"),IF(Y$1="Auswärts",AVERAGEIFS(Eingabe[R1],Eingabe[Name],Räumer[[#This Row],[Name]],Eingabe[Wo],"A"),""))),"")</f>
        <v/>
      </c>
      <c r="AC26" s="189" t="str">
        <f>IFERROR(ROUND(Räumer[[#This Row],[R1]]-Räumer[[#This Row],[Räumer Bahn Schnitt]],1),"")</f>
        <v/>
      </c>
      <c r="AD26" s="189" t="str">
        <f>IFERROR(IF(Y$1="Gesamt",AVERAGEIF(Eingabe[Name],Räumer[[#This Row],[Name]],Eingabe[R2]),IF(Y$1="Heim",AVERAGEIFS(Eingabe[R2],Eingabe[Name],Räumer[[#This Row],[Name]],Eingabe[Wo],"H"),IF(Y$1="Auswärts",AVERAGEIFS(Eingabe[R2],Eingabe[Name],Räumer[[#This Row],[Name]],Eingabe[Wo],"A"),""))),"")</f>
        <v/>
      </c>
      <c r="AE26" s="189" t="str">
        <f>IFERROR(ROUND(Räumer[[#This Row],[R2]]-Räumer[[#This Row],[Räumer Bahn Schnitt]],1),"")</f>
        <v/>
      </c>
      <c r="AF26" s="189" t="str">
        <f>IFERROR(IF(Y$1="Gesamt",AVERAGEIF(Eingabe[Name],Räumer[[#This Row],[Name]],Eingabe[R3]),IF(Y$1="Heim",AVERAGEIFS(Eingabe[R3],Eingabe[Name],Räumer[[#This Row],[Name]],Eingabe[Wo],"H"),IF(Y$1="Auswärts",AVERAGEIFS(Eingabe[R3],Eingabe[Name],Räumer[[#This Row],[Name]],Eingabe[Wo],"A"),""))),"")</f>
        <v/>
      </c>
      <c r="AG26" s="189" t="str">
        <f>IFERROR(ROUND(Räumer[[#This Row],[R3]]-Räumer[[#This Row],[Räumer Bahn Schnitt]],1),"")</f>
        <v/>
      </c>
      <c r="AH26" s="189" t="str">
        <f>IFERROR(IF(Y$1="Gesamt",AVERAGEIF(Eingabe[Name],Räumer[[#This Row],[Name]],Eingabe[R4]),IF(Y$1="Heim",AVERAGEIFS(Eingabe[R4],Eingabe[Name],Räumer[[#This Row],[Name]],Eingabe[Wo],"H"),IF(Y$1="Auswärts",AVERAGEIFS(Eingabe[R4],Eingabe[Name],Räumer[[#This Row],[Name]],Eingabe[Wo],"A"),""))),"")</f>
        <v/>
      </c>
      <c r="AI26" s="189" t="str">
        <f>IFERROR(ROUND(Räumer[[#This Row],[R4]]-Räumer[[#This Row],[Räumer Bahn Schnitt]],1),"")</f>
        <v/>
      </c>
      <c r="AK26" s="335" t="str">
        <f>Bahnen[[#This Row],[Name]]</f>
        <v>Luca Landau</v>
      </c>
      <c r="AL26" s="189" t="str">
        <f>IFERROR(ROUND(IF(AK$1="Gesamt",AVERAGEIF(Eingabe[Name],Fehler[[#This Row],[Name]],Eingabe[Fehler]),IF(AK$1="Heim",AVERAGEIFS(Eingabe[Fehler],Eingabe[Name],Fehler[[#This Row],[Name]],Eingabe[Wo],"H"),IF(AK$1="Auswärts",AVERAGEIFS(Eingabe[Fehler],Eingabe[Name],Fehler[[#This Row],[Name]],Eingabe[Wo],"A"),""))),0),"")</f>
        <v/>
      </c>
      <c r="AM26" s="189" t="str">
        <f>IFERROR(Fehler[[#This Row],[Fehler Schnitt]]/4,"")</f>
        <v/>
      </c>
      <c r="AN26" s="189" t="str">
        <f>IFERROR(IF(AK$1="Gesamt",AVERAGEIF(Eingabe[Name],Fehler[[#This Row],[Name]],Eingabe[F1]),IF(AK$1="Heim",AVERAGEIFS(Eingabe[F1],Eingabe[Name],Fehler[[#This Row],[Name]],Eingabe[Wo],"H"),IF(AK$1="Auswärts",AVERAGEIFS(Eingabe[F1],Eingabe[Name],Fehler[[#This Row],[Name]],Eingabe[Wo],"A"),""))),"")</f>
        <v/>
      </c>
      <c r="AO26" s="189" t="str">
        <f>IFERROR(ROUND(Fehler[[#This Row],[F1]]-Fehler[[#This Row],[Fehler Bahn Schnitt]],1),"")</f>
        <v/>
      </c>
      <c r="AP26" s="189" t="str">
        <f>IFERROR(IF(AK$1="Gesamt",AVERAGEIF(Eingabe[Name],Fehler[[#This Row],[Name]],Eingabe[F2]),IF(AK$1="Heim",AVERAGEIFS(Eingabe[F2],Eingabe[Name],Fehler[[#This Row],[Name]],Eingabe[Wo],"H"),IF(AK$1="Auswärts",AVERAGEIFS(Eingabe[F2],Eingabe[Name],Fehler[[#This Row],[Name]],Eingabe[Wo],"A"),""))),"")</f>
        <v/>
      </c>
      <c r="AQ26" s="189" t="str">
        <f>IFERROR(ROUND(Fehler[[#This Row],[F2]]-Fehler[[#This Row],[Fehler Bahn Schnitt]],1),"")</f>
        <v/>
      </c>
      <c r="AR26" s="189" t="str">
        <f>IFERROR(IF(AK$1="Gesamt",AVERAGEIF(Eingabe[Name],Fehler[[#This Row],[Name]],Eingabe[F3]),IF(AK$1="Heim",AVERAGEIFS(Eingabe[F3],Eingabe[Name],Fehler[[#This Row],[Name]],Eingabe[Wo],"H"),IF(AK$1="Auswärts",AVERAGEIFS(Eingabe[F1],Eingabe[Name],Fehler[[#This Row],[Name]],Eingabe[Wo],"A"),""))),"")</f>
        <v/>
      </c>
      <c r="AS26" s="189" t="str">
        <f>IFERROR(ROUND(Fehler[[#This Row],[F3]]-Fehler[[#This Row],[Fehler Bahn Schnitt]],1),"")</f>
        <v/>
      </c>
      <c r="AT26" s="189" t="str">
        <f>IFERROR(IF(AK$1="Gesamt",AVERAGEIF(Eingabe[Name],Fehler[[#This Row],[Name]],Eingabe[F4]),IF(AK$1="Heim",AVERAGEIFS(Eingabe[F4],Eingabe[Name],Fehler[[#This Row],[Name]],Eingabe[Wo],"H"),IF(AK$1="Auswärts",AVERAGEIFS(Eingabe[F1],Eingabe[Name],Fehler[[#This Row],[Name]],Eingabe[Wo],"A"),""))),"")</f>
        <v/>
      </c>
      <c r="AU26" s="189" t="str">
        <f>IFERROR(ROUND(Fehler[[#This Row],[F4]]-Fehler[[#This Row],[Fehler Bahn Schnitt]],1),"")</f>
        <v/>
      </c>
    </row>
    <row r="27" spans="1:47" ht="15.6" x14ac:dyDescent="0.3">
      <c r="A27" s="335" t="s">
        <v>592</v>
      </c>
      <c r="B27" s="189">
        <f>IFERROR(ROUND(IF($A$1="Gesamt",AVERAGEIF(Eingabe[Name],Bahnen[[#This Row],[Name]],Eingabe[GES]),IF($A$1="Heim",AVERAGEIFS(Eingabe[GES],Eingabe[Name],Bahnen[[#This Row],[Name]],Eingabe[Wo],"H"),IF($A$1="Auswärts",AVERAGEIFS(Eingabe[GES],Eingabe[Name],Bahnen[[#This Row],[Name]],Eingabe[Wo],"A"),""))),0),"")</f>
        <v>511</v>
      </c>
      <c r="C27" s="189">
        <f>IFERROR(Bahnen[[#This Row],[Schnitt]]/4,"")</f>
        <v>127.75</v>
      </c>
      <c r="D27" s="189">
        <f>IFERROR(IF($A$1="Gesamt",AVERAGEIF(Eingabe[Name],Bahnen[[#This Row],[Name]],Eingabe[S1]),IF($A$1="Heim",AVERAGEIFS(Eingabe[S-NR],Eingabe[Name],Bahnen[[#This Row],[Name]],Eingabe[Wo],"H"),IF($A$1="Auswärts",AVERAGEIFS(Eingabe[S1],Eingabe[Name],Bahnen[[#This Row],[Name]],Eingabe[Wo],"A"),""))),"")</f>
        <v>123.71428571428571</v>
      </c>
      <c r="E27" s="189">
        <f>IFERROR(ROUND(Bahnen[[#This Row],[S1]]-Bahnen[[#This Row],[Bahn Schnitt]],1),"")</f>
        <v>-4</v>
      </c>
      <c r="F27" s="189">
        <f>IFERROR(IF($A$1="Gesamt",AVERAGEIF(Eingabe[Name],Bahnen[[#This Row],[Name]],Eingabe[S2]),IF($A$1="Heim",AVERAGEIFS(Eingabe[S2],Eingabe[Name],Bahnen[[#This Row],[Name]],Eingabe[Wo],"H"),IF($A$1="Auswärts",AVERAGEIFS(Eingabe[S2],Eingabe[Name],Bahnen[[#This Row],[Name]],Eingabe[Wo],"A"),""))),"")</f>
        <v>126</v>
      </c>
      <c r="G27" s="189">
        <f>IFERROR(ROUND(Bahnen[[#This Row],[S2]]-Bahnen[[#This Row],[Bahn Schnitt]],1),"")</f>
        <v>-1.8</v>
      </c>
      <c r="H27" s="189">
        <f>IFERROR(IF($A$1="Gesamt",AVERAGEIF(Eingabe[Name],Bahnen[[#This Row],[Name]],Eingabe[S3]),IF($A$1="Heim",AVERAGEIFS(Eingabe[S3],Eingabe[Name],Bahnen[[#This Row],[Name]],Eingabe[Wo],"H"),IF($A$1="Auswärts",AVERAGEIFS(Eingabe[S-NR],Eingabe[Name],Bahnen[[#This Row],[Name]],Eingabe[Wo],"A"),""))),"")</f>
        <v>135</v>
      </c>
      <c r="I27" s="189">
        <f>IFERROR(ROUND(Bahnen[[#This Row],[S3]]-Bahnen[[#This Row],[Bahn Schnitt]],1),"")</f>
        <v>7.3</v>
      </c>
      <c r="J27" s="189">
        <f>IFERROR(IF($A$1="Gesamt",AVERAGEIF(Eingabe[Name],Bahnen[[#This Row],[Name]],Eingabe[S4]),IF($A$1="Heim",AVERAGEIFS(Eingabe[S4],Eingabe[Name],Bahnen[[#This Row],[Name]],Eingabe[Wo],"H"),IF($A$1="Auswärts",AVERAGEIFS(Eingabe[S-NR],Eingabe[Name],Bahnen[[#This Row],[Name]],Eingabe[Wo],"A"),""))),"")</f>
        <v>126</v>
      </c>
      <c r="K27" s="189">
        <f>IFERROR(ROUND(Bahnen[[#This Row],[S4]]-Bahnen[[#This Row],[Bahn Schnitt]],1),"")</f>
        <v>-1.8</v>
      </c>
      <c r="M27" s="335" t="str">
        <f>Bahnen[[#This Row],[Name]]</f>
        <v>Madlen Baumgarten</v>
      </c>
      <c r="N27" s="189">
        <f>IFERROR(ROUND(IF($M$1="Gesamt",AVERAGEIF(Eingabe[Name],Volle[[#This Row],[Name]],Eingabe[Volle]),IF($M$1="Heim",AVERAGEIFS(Eingabe[Volle],Eingabe[Name],Volle[[#This Row],[Name]],Eingabe[Wo],"H"),IF($M$1="Auswärts",AVERAGEIFS(Eingabe[Volle],Eingabe[Name],Volle[[#This Row],[Name]],Eingabe[Wo],"A"),""))),0),"")</f>
        <v>348</v>
      </c>
      <c r="O27" s="189">
        <f>IFERROR(Volle[[#This Row],[Volle Schnitt]]/4,"")</f>
        <v>87</v>
      </c>
      <c r="P27" s="189">
        <f>IFERROR(IF($M$1="Gesamt",AVERAGEIF(Eingabe[Name],Volle[[#This Row],[Name]],Eingabe[V1]),IF($M$1="Heim",AVERAGEIFS(Eingabe[V1],Eingabe[Name],Volle[[#This Row],[Name]],Eingabe[Wo],"H"),IF($M$1="Auswärts",AVERAGEIFS(Eingabe[V1],Eingabe[Name],Volle[[#This Row],[Name]],Eingabe[Wo],"A"),""))),"")</f>
        <v>86.857142857142861</v>
      </c>
      <c r="Q27" s="189">
        <f>IFERROR(ROUND(Volle[[#This Row],[V1]]-Volle[[#This Row],[Volle Bahn Schnitt]],1),"")</f>
        <v>-0.1</v>
      </c>
      <c r="R27" s="189">
        <f>IFERROR(IF($M$1="Gesamt",AVERAGEIF(Eingabe[Name],Volle[[#This Row],[Name]],Eingabe[V2]),IF($M$1="Heim",AVERAGEIFS(Eingabe[V2],Eingabe[Name],Volle[[#This Row],[Name]],Eingabe[Wo],"H"),IF($M$1="Auswärts",AVERAGEIFS(Eingabe[V2],Eingabe[Name],Volle[[#This Row],[Name]],Eingabe[Wo],"A"),""))),"")</f>
        <v>87.571428571428569</v>
      </c>
      <c r="S27" s="189">
        <f>IFERROR(ROUND(Volle[[#This Row],[V2]]-Volle[[#This Row],[Volle Bahn Schnitt]],1),"")</f>
        <v>0.6</v>
      </c>
      <c r="T27" s="189">
        <f>IFERROR(IF($M$1="Gesamt",AVERAGEIF(Eingabe[Name],Volle[[#This Row],[Name]],Eingabe[V3]),IF($M$1="Heim",AVERAGEIFS(Eingabe[V3],Eingabe[Name],Volle[[#This Row],[Name]],Eingabe[Wo],"H"),IF($M$1="Auswärts",AVERAGEIFS(Eingabe[V3],Eingabe[Name],Volle[[#This Row],[Name]],Eingabe[Wo],"A"),""))),"")</f>
        <v>88</v>
      </c>
      <c r="U27" s="189">
        <f>IFERROR(ROUND(Volle[[#This Row],[V3]]-Volle[[#This Row],[Volle Bahn Schnitt]],1),"")</f>
        <v>1</v>
      </c>
      <c r="V27" s="189">
        <f>IFERROR(IF($M$1="Gesamt",AVERAGEIF(Eingabe[Name],Volle[[#This Row],[Name]],Eingabe[V4]),IF($M$1="Heim",AVERAGEIFS(Eingabe[V4],Eingabe[Name],Volle[[#This Row],[Name]],Eingabe[Wo],"H"),IF($M$1="Auswärts",AVERAGEIFS(Eingabe[V4],Eingabe[Name],Volle[[#This Row],[Name]],Eingabe[Wo],"A"),""))),"")</f>
        <v>85.571428571428569</v>
      </c>
      <c r="W27" s="340">
        <f>IFERROR(ROUND(Volle[[#This Row],[V4]]-Volle[[#This Row],[Volle Bahn Schnitt]],1),"")</f>
        <v>-1.4</v>
      </c>
      <c r="Y27" s="335" t="str">
        <f>Bahnen[[#This Row],[Name]]</f>
        <v>Madlen Baumgarten</v>
      </c>
      <c r="Z27" s="189">
        <f>IFERROR(ROUND(IF(Y$1="Gesamt",AVERAGEIF(Eingabe[Name],Räumer[[#This Row],[Name]],Eingabe[Räumer]),IF(Y$1="Heim",AVERAGEIFS(Eingabe[Räumer],Eingabe[Name],Räumer[[#This Row],[Name]],Eingabe[Wo],"H"),IF(Y$1="Auswärts",AVERAGEIFS(Eingabe[Räumer],Eingabe[Name],Räumer[[#This Row],[Name]],Eingabe[Wo],"A"),""))),0),"")</f>
        <v>163</v>
      </c>
      <c r="AA27" s="189">
        <f>IFERROR(Räumer[[#This Row],[Räumer Schnitt]]/4,"")</f>
        <v>40.75</v>
      </c>
      <c r="AB27" s="189">
        <f>IFERROR(IF(Y$1="Gesamt",AVERAGEIF(Eingabe[Name],Räumer[[#This Row],[Name]],Eingabe[R1]),IF(Y$1="Heim",AVERAGEIFS(Eingabe[R1],Eingabe[Name],Räumer[[#This Row],[Name]],Eingabe[Wo],"H"),IF(Y$1="Auswärts",AVERAGEIFS(Eingabe[R1],Eingabe[Name],Räumer[[#This Row],[Name]],Eingabe[Wo],"A"),""))),"")</f>
        <v>36.857142857142854</v>
      </c>
      <c r="AC27" s="189">
        <f>IFERROR(ROUND(Räumer[[#This Row],[R1]]-Räumer[[#This Row],[Räumer Bahn Schnitt]],1),"")</f>
        <v>-3.9</v>
      </c>
      <c r="AD27" s="189">
        <f>IFERROR(IF(Y$1="Gesamt",AVERAGEIF(Eingabe[Name],Räumer[[#This Row],[Name]],Eingabe[R2]),IF(Y$1="Heim",AVERAGEIFS(Eingabe[R2],Eingabe[Name],Räumer[[#This Row],[Name]],Eingabe[Wo],"H"),IF(Y$1="Auswärts",AVERAGEIFS(Eingabe[R2],Eingabe[Name],Räumer[[#This Row],[Name]],Eingabe[Wo],"A"),""))),"")</f>
        <v>38.428571428571431</v>
      </c>
      <c r="AE27" s="189">
        <f>IFERROR(ROUND(Räumer[[#This Row],[R2]]-Räumer[[#This Row],[Räumer Bahn Schnitt]],1),"")</f>
        <v>-2.2999999999999998</v>
      </c>
      <c r="AF27" s="189">
        <f>IFERROR(IF(Y$1="Gesamt",AVERAGEIF(Eingabe[Name],Räumer[[#This Row],[Name]],Eingabe[R3]),IF(Y$1="Heim",AVERAGEIFS(Eingabe[R3],Eingabe[Name],Räumer[[#This Row],[Name]],Eingabe[Wo],"H"),IF(Y$1="Auswärts",AVERAGEIFS(Eingabe[R3],Eingabe[Name],Räumer[[#This Row],[Name]],Eingabe[Wo],"A"),""))),"")</f>
        <v>47</v>
      </c>
      <c r="AG27" s="189">
        <f>IFERROR(ROUND(Räumer[[#This Row],[R3]]-Räumer[[#This Row],[Räumer Bahn Schnitt]],1),"")</f>
        <v>6.3</v>
      </c>
      <c r="AH27" s="189">
        <f>IFERROR(IF(Y$1="Gesamt",AVERAGEIF(Eingabe[Name],Räumer[[#This Row],[Name]],Eingabe[R4]),IF(Y$1="Heim",AVERAGEIFS(Eingabe[R4],Eingabe[Name],Räumer[[#This Row],[Name]],Eingabe[Wo],"H"),IF(Y$1="Auswärts",AVERAGEIFS(Eingabe[R4],Eingabe[Name],Räumer[[#This Row],[Name]],Eingabe[Wo],"A"),""))),"")</f>
        <v>40.428571428571431</v>
      </c>
      <c r="AI27" s="189">
        <f>IFERROR(ROUND(Räumer[[#This Row],[R4]]-Räumer[[#This Row],[Räumer Bahn Schnitt]],1),"")</f>
        <v>-0.3</v>
      </c>
      <c r="AK27" s="335" t="str">
        <f>Bahnen[[#This Row],[Name]]</f>
        <v>Madlen Baumgarten</v>
      </c>
      <c r="AL27" s="189">
        <f>IFERROR(ROUND(IF(AK$1="Gesamt",AVERAGEIF(Eingabe[Name],Fehler[[#This Row],[Name]],Eingabe[Fehler]),IF(AK$1="Heim",AVERAGEIFS(Eingabe[Fehler],Eingabe[Name],Fehler[[#This Row],[Name]],Eingabe[Wo],"H"),IF(AK$1="Auswärts",AVERAGEIFS(Eingabe[Fehler],Eingabe[Name],Fehler[[#This Row],[Name]],Eingabe[Wo],"A"),""))),0),"")</f>
        <v>8</v>
      </c>
      <c r="AM27" s="189">
        <f>IFERROR(Fehler[[#This Row],[Fehler Schnitt]]/4,"")</f>
        <v>2</v>
      </c>
      <c r="AN27" s="189">
        <f>IFERROR(IF(AK$1="Gesamt",AVERAGEIF(Eingabe[Name],Fehler[[#This Row],[Name]],Eingabe[F1]),IF(AK$1="Heim",AVERAGEIFS(Eingabe[F1],Eingabe[Name],Fehler[[#This Row],[Name]],Eingabe[Wo],"H"),IF(AK$1="Auswärts",AVERAGEIFS(Eingabe[F1],Eingabe[Name],Fehler[[#This Row],[Name]],Eingabe[Wo],"A"),""))),"")</f>
        <v>2</v>
      </c>
      <c r="AO27" s="189">
        <f>IFERROR(ROUND(Fehler[[#This Row],[F1]]-Fehler[[#This Row],[Fehler Bahn Schnitt]],1),"")</f>
        <v>0</v>
      </c>
      <c r="AP27" s="189">
        <f>IFERROR(IF(AK$1="Gesamt",AVERAGEIF(Eingabe[Name],Fehler[[#This Row],[Name]],Eingabe[F2]),IF(AK$1="Heim",AVERAGEIFS(Eingabe[F2],Eingabe[Name],Fehler[[#This Row],[Name]],Eingabe[Wo],"H"),IF(AK$1="Auswärts",AVERAGEIFS(Eingabe[F2],Eingabe[Name],Fehler[[#This Row],[Name]],Eingabe[Wo],"A"),""))),"")</f>
        <v>2.2857142857142856</v>
      </c>
      <c r="AQ27" s="189">
        <f>IFERROR(ROUND(Fehler[[#This Row],[F2]]-Fehler[[#This Row],[Fehler Bahn Schnitt]],1),"")</f>
        <v>0.3</v>
      </c>
      <c r="AR27" s="189">
        <f>IFERROR(IF(AK$1="Gesamt",AVERAGEIF(Eingabe[Name],Fehler[[#This Row],[Name]],Eingabe[F3]),IF(AK$1="Heim",AVERAGEIFS(Eingabe[F3],Eingabe[Name],Fehler[[#This Row],[Name]],Eingabe[Wo],"H"),IF(AK$1="Auswärts",AVERAGEIFS(Eingabe[F1],Eingabe[Name],Fehler[[#This Row],[Name]],Eingabe[Wo],"A"),""))),"")</f>
        <v>1.8571428571428572</v>
      </c>
      <c r="AS27" s="189">
        <f>IFERROR(ROUND(Fehler[[#This Row],[F3]]-Fehler[[#This Row],[Fehler Bahn Schnitt]],1),"")</f>
        <v>-0.1</v>
      </c>
      <c r="AT27" s="189">
        <f>IFERROR(IF(AK$1="Gesamt",AVERAGEIF(Eingabe[Name],Fehler[[#This Row],[Name]],Eingabe[F4]),IF(AK$1="Heim",AVERAGEIFS(Eingabe[F4],Eingabe[Name],Fehler[[#This Row],[Name]],Eingabe[Wo],"H"),IF(AK$1="Auswärts",AVERAGEIFS(Eingabe[F1],Eingabe[Name],Fehler[[#This Row],[Name]],Eingabe[Wo],"A"),""))),"")</f>
        <v>2.2857142857142856</v>
      </c>
      <c r="AU27" s="189">
        <f>IFERROR(ROUND(Fehler[[#This Row],[F4]]-Fehler[[#This Row],[Fehler Bahn Schnitt]],1),"")</f>
        <v>0.3</v>
      </c>
    </row>
    <row r="28" spans="1:47" ht="15.6" x14ac:dyDescent="0.3">
      <c r="A28" s="335" t="s">
        <v>470</v>
      </c>
      <c r="B28" s="189">
        <f>IFERROR(ROUND(IF($A$1="Gesamt",AVERAGEIF(Eingabe[Name],Bahnen[[#This Row],[Name]],Eingabe[GES]),IF($A$1="Heim",AVERAGEIFS(Eingabe[GES],Eingabe[Name],Bahnen[[#This Row],[Name]],Eingabe[Wo],"H"),IF($A$1="Auswärts",AVERAGEIFS(Eingabe[GES],Eingabe[Name],Bahnen[[#This Row],[Name]],Eingabe[Wo],"A"),""))),0),"")</f>
        <v>471</v>
      </c>
      <c r="C28" s="189">
        <f>IFERROR(Bahnen[[#This Row],[Schnitt]]/4,"")</f>
        <v>117.75</v>
      </c>
      <c r="D28" s="189">
        <f>IFERROR(IF($A$1="Gesamt",AVERAGEIF(Eingabe[Name],Bahnen[[#This Row],[Name]],Eingabe[S1]),IF($A$1="Heim",AVERAGEIFS(Eingabe[S-NR],Eingabe[Name],Bahnen[[#This Row],[Name]],Eingabe[Wo],"H"),IF($A$1="Auswärts",AVERAGEIFS(Eingabe[S1],Eingabe[Name],Bahnen[[#This Row],[Name]],Eingabe[Wo],"A"),""))),"")</f>
        <v>115.66666666666667</v>
      </c>
      <c r="E28" s="189">
        <f>IFERROR(ROUND(Bahnen[[#This Row],[S1]]-Bahnen[[#This Row],[Bahn Schnitt]],1),"")</f>
        <v>-2.1</v>
      </c>
      <c r="F28" s="189">
        <f>IFERROR(IF($A$1="Gesamt",AVERAGEIF(Eingabe[Name],Bahnen[[#This Row],[Name]],Eingabe[S2]),IF($A$1="Heim",AVERAGEIFS(Eingabe[S2],Eingabe[Name],Bahnen[[#This Row],[Name]],Eingabe[Wo],"H"),IF($A$1="Auswärts",AVERAGEIFS(Eingabe[S2],Eingabe[Name],Bahnen[[#This Row],[Name]],Eingabe[Wo],"A"),""))),"")</f>
        <v>119.33333333333333</v>
      </c>
      <c r="G28" s="189">
        <f>IFERROR(ROUND(Bahnen[[#This Row],[S2]]-Bahnen[[#This Row],[Bahn Schnitt]],1),"")</f>
        <v>1.6</v>
      </c>
      <c r="H28" s="189">
        <f>IFERROR(IF($A$1="Gesamt",AVERAGEIF(Eingabe[Name],Bahnen[[#This Row],[Name]],Eingabe[S3]),IF($A$1="Heim",AVERAGEIFS(Eingabe[S3],Eingabe[Name],Bahnen[[#This Row],[Name]],Eingabe[Wo],"H"),IF($A$1="Auswärts",AVERAGEIFS(Eingabe[S-NR],Eingabe[Name],Bahnen[[#This Row],[Name]],Eingabe[Wo],"A"),""))),"")</f>
        <v>114.33333333333333</v>
      </c>
      <c r="I28" s="189">
        <f>IFERROR(ROUND(Bahnen[[#This Row],[S3]]-Bahnen[[#This Row],[Bahn Schnitt]],1),"")</f>
        <v>-3.4</v>
      </c>
      <c r="J28" s="189">
        <f>IFERROR(IF($A$1="Gesamt",AVERAGEIF(Eingabe[Name],Bahnen[[#This Row],[Name]],Eingabe[S4]),IF($A$1="Heim",AVERAGEIFS(Eingabe[S4],Eingabe[Name],Bahnen[[#This Row],[Name]],Eingabe[Wo],"H"),IF($A$1="Auswärts",AVERAGEIFS(Eingabe[S-NR],Eingabe[Name],Bahnen[[#This Row],[Name]],Eingabe[Wo],"A"),""))),"")</f>
        <v>122</v>
      </c>
      <c r="K28" s="189">
        <f>IFERROR(ROUND(Bahnen[[#This Row],[S4]]-Bahnen[[#This Row],[Bahn Schnitt]],1),"")</f>
        <v>4.3</v>
      </c>
      <c r="M28" s="335" t="str">
        <f>Bahnen[[#This Row],[Name]]</f>
        <v>Marcel Giese</v>
      </c>
      <c r="N28" s="189">
        <f>IFERROR(ROUND(IF($M$1="Gesamt",AVERAGEIF(Eingabe[Name],Volle[[#This Row],[Name]],Eingabe[Volle]),IF($M$1="Heim",AVERAGEIFS(Eingabe[Volle],Eingabe[Name],Volle[[#This Row],[Name]],Eingabe[Wo],"H"),IF($M$1="Auswärts",AVERAGEIFS(Eingabe[Volle],Eingabe[Name],Volle[[#This Row],[Name]],Eingabe[Wo],"A"),""))),0),"")</f>
        <v>332</v>
      </c>
      <c r="O28" s="189">
        <f>IFERROR(Volle[[#This Row],[Volle Schnitt]]/4,"")</f>
        <v>83</v>
      </c>
      <c r="P28" s="189">
        <f>IFERROR(IF($M$1="Gesamt",AVERAGEIF(Eingabe[Name],Volle[[#This Row],[Name]],Eingabe[V1]),IF($M$1="Heim",AVERAGEIFS(Eingabe[V1],Eingabe[Name],Volle[[#This Row],[Name]],Eingabe[Wo],"H"),IF($M$1="Auswärts",AVERAGEIFS(Eingabe[V1],Eingabe[Name],Volle[[#This Row],[Name]],Eingabe[Wo],"A"),""))),"")</f>
        <v>85.333333333333329</v>
      </c>
      <c r="Q28" s="189">
        <f>IFERROR(ROUND(Volle[[#This Row],[V1]]-Volle[[#This Row],[Volle Bahn Schnitt]],1),"")</f>
        <v>2.2999999999999998</v>
      </c>
      <c r="R28" s="189">
        <f>IFERROR(IF($M$1="Gesamt",AVERAGEIF(Eingabe[Name],Volle[[#This Row],[Name]],Eingabe[V2]),IF($M$1="Heim",AVERAGEIFS(Eingabe[V2],Eingabe[Name],Volle[[#This Row],[Name]],Eingabe[Wo],"H"),IF($M$1="Auswärts",AVERAGEIFS(Eingabe[V2],Eingabe[Name],Volle[[#This Row],[Name]],Eingabe[Wo],"A"),""))),"")</f>
        <v>78.666666666666671</v>
      </c>
      <c r="S28" s="189">
        <f>IFERROR(ROUND(Volle[[#This Row],[V2]]-Volle[[#This Row],[Volle Bahn Schnitt]],1),"")</f>
        <v>-4.3</v>
      </c>
      <c r="T28" s="189">
        <f>IFERROR(IF($M$1="Gesamt",AVERAGEIF(Eingabe[Name],Volle[[#This Row],[Name]],Eingabe[V3]),IF($M$1="Heim",AVERAGEIFS(Eingabe[V3],Eingabe[Name],Volle[[#This Row],[Name]],Eingabe[Wo],"H"),IF($M$1="Auswärts",AVERAGEIFS(Eingabe[V3],Eingabe[Name],Volle[[#This Row],[Name]],Eingabe[Wo],"A"),""))),"")</f>
        <v>87.666666666666671</v>
      </c>
      <c r="U28" s="189">
        <f>IFERROR(ROUND(Volle[[#This Row],[V3]]-Volle[[#This Row],[Volle Bahn Schnitt]],1),"")</f>
        <v>4.7</v>
      </c>
      <c r="V28" s="189">
        <f>IFERROR(IF($M$1="Gesamt",AVERAGEIF(Eingabe[Name],Volle[[#This Row],[Name]],Eingabe[V4]),IF($M$1="Heim",AVERAGEIFS(Eingabe[V4],Eingabe[Name],Volle[[#This Row],[Name]],Eingabe[Wo],"H"),IF($M$1="Auswärts",AVERAGEIFS(Eingabe[V4],Eingabe[Name],Volle[[#This Row],[Name]],Eingabe[Wo],"A"),""))),"")</f>
        <v>80</v>
      </c>
      <c r="W28" s="340">
        <f>IFERROR(ROUND(Volle[[#This Row],[V4]]-Volle[[#This Row],[Volle Bahn Schnitt]],1),"")</f>
        <v>-3</v>
      </c>
      <c r="Y28" s="335" t="str">
        <f>Bahnen[[#This Row],[Name]]</f>
        <v>Marcel Giese</v>
      </c>
      <c r="Z28" s="189">
        <f>IFERROR(ROUND(IF(Y$1="Gesamt",AVERAGEIF(Eingabe[Name],Räumer[[#This Row],[Name]],Eingabe[Räumer]),IF(Y$1="Heim",AVERAGEIFS(Eingabe[Räumer],Eingabe[Name],Räumer[[#This Row],[Name]],Eingabe[Wo],"H"),IF(Y$1="Auswärts",AVERAGEIFS(Eingabe[Räumer],Eingabe[Name],Räumer[[#This Row],[Name]],Eingabe[Wo],"A"),""))),0),"")</f>
        <v>140</v>
      </c>
      <c r="AA28" s="189">
        <f>IFERROR(Räumer[[#This Row],[Räumer Schnitt]]/4,"")</f>
        <v>35</v>
      </c>
      <c r="AB28" s="189">
        <f>IFERROR(IF(Y$1="Gesamt",AVERAGEIF(Eingabe[Name],Räumer[[#This Row],[Name]],Eingabe[R1]),IF(Y$1="Heim",AVERAGEIFS(Eingabe[R1],Eingabe[Name],Räumer[[#This Row],[Name]],Eingabe[Wo],"H"),IF(Y$1="Auswärts",AVERAGEIFS(Eingabe[R1],Eingabe[Name],Räumer[[#This Row],[Name]],Eingabe[Wo],"A"),""))),"")</f>
        <v>30.333333333333332</v>
      </c>
      <c r="AC28" s="189">
        <f>IFERROR(ROUND(Räumer[[#This Row],[R1]]-Räumer[[#This Row],[Räumer Bahn Schnitt]],1),"")</f>
        <v>-4.7</v>
      </c>
      <c r="AD28" s="189">
        <f>IFERROR(IF(Y$1="Gesamt",AVERAGEIF(Eingabe[Name],Räumer[[#This Row],[Name]],Eingabe[R2]),IF(Y$1="Heim",AVERAGEIFS(Eingabe[R2],Eingabe[Name],Räumer[[#This Row],[Name]],Eingabe[Wo],"H"),IF(Y$1="Auswärts",AVERAGEIFS(Eingabe[R2],Eingabe[Name],Räumer[[#This Row],[Name]],Eingabe[Wo],"A"),""))),"")</f>
        <v>40.666666666666664</v>
      </c>
      <c r="AE28" s="189">
        <f>IFERROR(ROUND(Räumer[[#This Row],[R2]]-Räumer[[#This Row],[Räumer Bahn Schnitt]],1),"")</f>
        <v>5.7</v>
      </c>
      <c r="AF28" s="189">
        <f>IFERROR(IF(Y$1="Gesamt",AVERAGEIF(Eingabe[Name],Räumer[[#This Row],[Name]],Eingabe[R3]),IF(Y$1="Heim",AVERAGEIFS(Eingabe[R3],Eingabe[Name],Räumer[[#This Row],[Name]],Eingabe[Wo],"H"),IF(Y$1="Auswärts",AVERAGEIFS(Eingabe[R3],Eingabe[Name],Räumer[[#This Row],[Name]],Eingabe[Wo],"A"),""))),"")</f>
        <v>26.666666666666668</v>
      </c>
      <c r="AG28" s="189">
        <f>IFERROR(ROUND(Räumer[[#This Row],[R3]]-Räumer[[#This Row],[Räumer Bahn Schnitt]],1),"")</f>
        <v>-8.3000000000000007</v>
      </c>
      <c r="AH28" s="189">
        <f>IFERROR(IF(Y$1="Gesamt",AVERAGEIF(Eingabe[Name],Räumer[[#This Row],[Name]],Eingabe[R4]),IF(Y$1="Heim",AVERAGEIFS(Eingabe[R4],Eingabe[Name],Räumer[[#This Row],[Name]],Eingabe[Wo],"H"),IF(Y$1="Auswärts",AVERAGEIFS(Eingabe[R4],Eingabe[Name],Räumer[[#This Row],[Name]],Eingabe[Wo],"A"),""))),"")</f>
        <v>42</v>
      </c>
      <c r="AI28" s="189">
        <f>IFERROR(ROUND(Räumer[[#This Row],[R4]]-Räumer[[#This Row],[Räumer Bahn Schnitt]],1),"")</f>
        <v>7</v>
      </c>
      <c r="AK28" s="335" t="str">
        <f>Bahnen[[#This Row],[Name]]</f>
        <v>Marcel Giese</v>
      </c>
      <c r="AL28" s="189">
        <f>IFERROR(ROUND(IF(AK$1="Gesamt",AVERAGEIF(Eingabe[Name],Fehler[[#This Row],[Name]],Eingabe[Fehler]),IF(AK$1="Heim",AVERAGEIFS(Eingabe[Fehler],Eingabe[Name],Fehler[[#This Row],[Name]],Eingabe[Wo],"H"),IF(AK$1="Auswärts",AVERAGEIFS(Eingabe[Fehler],Eingabe[Name],Fehler[[#This Row],[Name]],Eingabe[Wo],"A"),""))),0),"")</f>
        <v>15</v>
      </c>
      <c r="AM28" s="189">
        <f>IFERROR(Fehler[[#This Row],[Fehler Schnitt]]/4,"")</f>
        <v>3.75</v>
      </c>
      <c r="AN28" s="189">
        <f>IFERROR(IF(AK$1="Gesamt",AVERAGEIF(Eingabe[Name],Fehler[[#This Row],[Name]],Eingabe[F1]),IF(AK$1="Heim",AVERAGEIFS(Eingabe[F1],Eingabe[Name],Fehler[[#This Row],[Name]],Eingabe[Wo],"H"),IF(AK$1="Auswärts",AVERAGEIFS(Eingabe[F1],Eingabe[Name],Fehler[[#This Row],[Name]],Eingabe[Wo],"A"),""))),"")</f>
        <v>5.333333333333333</v>
      </c>
      <c r="AO28" s="189">
        <f>IFERROR(ROUND(Fehler[[#This Row],[F1]]-Fehler[[#This Row],[Fehler Bahn Schnitt]],1),"")</f>
        <v>1.6</v>
      </c>
      <c r="AP28" s="189">
        <f>IFERROR(IF(AK$1="Gesamt",AVERAGEIF(Eingabe[Name],Fehler[[#This Row],[Name]],Eingabe[F2]),IF(AK$1="Heim",AVERAGEIFS(Eingabe[F2],Eingabe[Name],Fehler[[#This Row],[Name]],Eingabe[Wo],"H"),IF(AK$1="Auswärts",AVERAGEIFS(Eingabe[F2],Eingabe[Name],Fehler[[#This Row],[Name]],Eingabe[Wo],"A"),""))),"")</f>
        <v>3.3333333333333335</v>
      </c>
      <c r="AQ28" s="189">
        <f>IFERROR(ROUND(Fehler[[#This Row],[F2]]-Fehler[[#This Row],[Fehler Bahn Schnitt]],1),"")</f>
        <v>-0.4</v>
      </c>
      <c r="AR28" s="189">
        <f>IFERROR(IF(AK$1="Gesamt",AVERAGEIF(Eingabe[Name],Fehler[[#This Row],[Name]],Eingabe[F3]),IF(AK$1="Heim",AVERAGEIFS(Eingabe[F3],Eingabe[Name],Fehler[[#This Row],[Name]],Eingabe[Wo],"H"),IF(AK$1="Auswärts",AVERAGEIFS(Eingabe[F1],Eingabe[Name],Fehler[[#This Row],[Name]],Eingabe[Wo],"A"),""))),"")</f>
        <v>4</v>
      </c>
      <c r="AS28" s="189">
        <f>IFERROR(ROUND(Fehler[[#This Row],[F3]]-Fehler[[#This Row],[Fehler Bahn Schnitt]],1),"")</f>
        <v>0.3</v>
      </c>
      <c r="AT28" s="189">
        <f>IFERROR(IF(AK$1="Gesamt",AVERAGEIF(Eingabe[Name],Fehler[[#This Row],[Name]],Eingabe[F4]),IF(AK$1="Heim",AVERAGEIFS(Eingabe[F4],Eingabe[Name],Fehler[[#This Row],[Name]],Eingabe[Wo],"H"),IF(AK$1="Auswärts",AVERAGEIFS(Eingabe[F1],Eingabe[Name],Fehler[[#This Row],[Name]],Eingabe[Wo],"A"),""))),"")</f>
        <v>2.3333333333333335</v>
      </c>
      <c r="AU28" s="189">
        <f>IFERROR(ROUND(Fehler[[#This Row],[F4]]-Fehler[[#This Row],[Fehler Bahn Schnitt]],1),"")</f>
        <v>-1.4</v>
      </c>
    </row>
    <row r="29" spans="1:47" ht="15.6" x14ac:dyDescent="0.3">
      <c r="A29" s="335" t="s">
        <v>487</v>
      </c>
      <c r="B29" s="189" t="str">
        <f>IFERROR(ROUND(IF($A$1="Gesamt",AVERAGEIF(Eingabe[Name],Bahnen[[#This Row],[Name]],Eingabe[GES]),IF($A$1="Heim",AVERAGEIFS(Eingabe[GES],Eingabe[Name],Bahnen[[#This Row],[Name]],Eingabe[Wo],"H"),IF($A$1="Auswärts",AVERAGEIFS(Eingabe[GES],Eingabe[Name],Bahnen[[#This Row],[Name]],Eingabe[Wo],"A"),""))),0),"")</f>
        <v/>
      </c>
      <c r="C29" s="189" t="str">
        <f>IFERROR(Bahnen[[#This Row],[Schnitt]]/4,"")</f>
        <v/>
      </c>
      <c r="D29" s="189" t="str">
        <f>IFERROR(IF($A$1="Gesamt",AVERAGEIF(Eingabe[Name],Bahnen[[#This Row],[Name]],Eingabe[S1]),IF($A$1="Heim",AVERAGEIFS(Eingabe[S-NR],Eingabe[Name],Bahnen[[#This Row],[Name]],Eingabe[Wo],"H"),IF($A$1="Auswärts",AVERAGEIFS(Eingabe[S1],Eingabe[Name],Bahnen[[#This Row],[Name]],Eingabe[Wo],"A"),""))),"")</f>
        <v/>
      </c>
      <c r="E29" s="189" t="str">
        <f>IFERROR(ROUND(Bahnen[[#This Row],[S1]]-Bahnen[[#This Row],[Bahn Schnitt]],1),"")</f>
        <v/>
      </c>
      <c r="F29" s="189" t="str">
        <f>IFERROR(IF($A$1="Gesamt",AVERAGEIF(Eingabe[Name],Bahnen[[#This Row],[Name]],Eingabe[S2]),IF($A$1="Heim",AVERAGEIFS(Eingabe[S2],Eingabe[Name],Bahnen[[#This Row],[Name]],Eingabe[Wo],"H"),IF($A$1="Auswärts",AVERAGEIFS(Eingabe[S2],Eingabe[Name],Bahnen[[#This Row],[Name]],Eingabe[Wo],"A"),""))),"")</f>
        <v/>
      </c>
      <c r="G29" s="189" t="str">
        <f>IFERROR(ROUND(Bahnen[[#This Row],[S2]]-Bahnen[[#This Row],[Bahn Schnitt]],1),"")</f>
        <v/>
      </c>
      <c r="H29" s="189" t="str">
        <f>IFERROR(IF($A$1="Gesamt",AVERAGEIF(Eingabe[Name],Bahnen[[#This Row],[Name]],Eingabe[S3]),IF($A$1="Heim",AVERAGEIFS(Eingabe[S3],Eingabe[Name],Bahnen[[#This Row],[Name]],Eingabe[Wo],"H"),IF($A$1="Auswärts",AVERAGEIFS(Eingabe[S-NR],Eingabe[Name],Bahnen[[#This Row],[Name]],Eingabe[Wo],"A"),""))),"")</f>
        <v/>
      </c>
      <c r="I29" s="189" t="str">
        <f>IFERROR(ROUND(Bahnen[[#This Row],[S3]]-Bahnen[[#This Row],[Bahn Schnitt]],1),"")</f>
        <v/>
      </c>
      <c r="J29" s="189" t="str">
        <f>IFERROR(IF($A$1="Gesamt",AVERAGEIF(Eingabe[Name],Bahnen[[#This Row],[Name]],Eingabe[S4]),IF($A$1="Heim",AVERAGEIFS(Eingabe[S4],Eingabe[Name],Bahnen[[#This Row],[Name]],Eingabe[Wo],"H"),IF($A$1="Auswärts",AVERAGEIFS(Eingabe[S-NR],Eingabe[Name],Bahnen[[#This Row],[Name]],Eingabe[Wo],"A"),""))),"")</f>
        <v/>
      </c>
      <c r="K29" s="189" t="str">
        <f>IFERROR(ROUND(Bahnen[[#This Row],[S4]]-Bahnen[[#This Row],[Bahn Schnitt]],1),"")</f>
        <v/>
      </c>
      <c r="M29" s="335" t="str">
        <f>Bahnen[[#This Row],[Name]]</f>
        <v>Markus Unvericht</v>
      </c>
      <c r="N29" s="189" t="str">
        <f>IFERROR(ROUND(IF($M$1="Gesamt",AVERAGEIF(Eingabe[Name],Volle[[#This Row],[Name]],Eingabe[Volle]),IF($M$1="Heim",AVERAGEIFS(Eingabe[Volle],Eingabe[Name],Volle[[#This Row],[Name]],Eingabe[Wo],"H"),IF($M$1="Auswärts",AVERAGEIFS(Eingabe[Volle],Eingabe[Name],Volle[[#This Row],[Name]],Eingabe[Wo],"A"),""))),0),"")</f>
        <v/>
      </c>
      <c r="O29" s="189" t="str">
        <f>IFERROR(Volle[[#This Row],[Volle Schnitt]]/4,"")</f>
        <v/>
      </c>
      <c r="P29" s="189" t="str">
        <f>IFERROR(IF($M$1="Gesamt",AVERAGEIF(Eingabe[Name],Volle[[#This Row],[Name]],Eingabe[V1]),IF($M$1="Heim",AVERAGEIFS(Eingabe[V1],Eingabe[Name],Volle[[#This Row],[Name]],Eingabe[Wo],"H"),IF($M$1="Auswärts",AVERAGEIFS(Eingabe[V1],Eingabe[Name],Volle[[#This Row],[Name]],Eingabe[Wo],"A"),""))),"")</f>
        <v/>
      </c>
      <c r="Q29" s="189" t="str">
        <f>IFERROR(ROUND(Volle[[#This Row],[V1]]-Volle[[#This Row],[Volle Bahn Schnitt]],1),"")</f>
        <v/>
      </c>
      <c r="R29" s="189" t="str">
        <f>IFERROR(IF($M$1="Gesamt",AVERAGEIF(Eingabe[Name],Volle[[#This Row],[Name]],Eingabe[V2]),IF($M$1="Heim",AVERAGEIFS(Eingabe[V2],Eingabe[Name],Volle[[#This Row],[Name]],Eingabe[Wo],"H"),IF($M$1="Auswärts",AVERAGEIFS(Eingabe[V2],Eingabe[Name],Volle[[#This Row],[Name]],Eingabe[Wo],"A"),""))),"")</f>
        <v/>
      </c>
      <c r="S29" s="189" t="str">
        <f>IFERROR(ROUND(Volle[[#This Row],[V2]]-Volle[[#This Row],[Volle Bahn Schnitt]],1),"")</f>
        <v/>
      </c>
      <c r="T29" s="189" t="str">
        <f>IFERROR(IF($M$1="Gesamt",AVERAGEIF(Eingabe[Name],Volle[[#This Row],[Name]],Eingabe[V3]),IF($M$1="Heim",AVERAGEIFS(Eingabe[V3],Eingabe[Name],Volle[[#This Row],[Name]],Eingabe[Wo],"H"),IF($M$1="Auswärts",AVERAGEIFS(Eingabe[V3],Eingabe[Name],Volle[[#This Row],[Name]],Eingabe[Wo],"A"),""))),"")</f>
        <v/>
      </c>
      <c r="U29" s="189" t="str">
        <f>IFERROR(ROUND(Volle[[#This Row],[V3]]-Volle[[#This Row],[Volle Bahn Schnitt]],1),"")</f>
        <v/>
      </c>
      <c r="V29" s="189" t="str">
        <f>IFERROR(IF($M$1="Gesamt",AVERAGEIF(Eingabe[Name],Volle[[#This Row],[Name]],Eingabe[V4]),IF($M$1="Heim",AVERAGEIFS(Eingabe[V4],Eingabe[Name],Volle[[#This Row],[Name]],Eingabe[Wo],"H"),IF($M$1="Auswärts",AVERAGEIFS(Eingabe[V4],Eingabe[Name],Volle[[#This Row],[Name]],Eingabe[Wo],"A"),""))),"")</f>
        <v/>
      </c>
      <c r="W29" s="340" t="str">
        <f>IFERROR(ROUND(Volle[[#This Row],[V4]]-Volle[[#This Row],[Volle Bahn Schnitt]],1),"")</f>
        <v/>
      </c>
      <c r="Y29" s="335" t="str">
        <f>Bahnen[[#This Row],[Name]]</f>
        <v>Markus Unvericht</v>
      </c>
      <c r="Z29" s="189" t="str">
        <f>IFERROR(ROUND(IF(Y$1="Gesamt",AVERAGEIF(Eingabe[Name],Räumer[[#This Row],[Name]],Eingabe[Räumer]),IF(Y$1="Heim",AVERAGEIFS(Eingabe[Räumer],Eingabe[Name],Räumer[[#This Row],[Name]],Eingabe[Wo],"H"),IF(Y$1="Auswärts",AVERAGEIFS(Eingabe[Räumer],Eingabe[Name],Räumer[[#This Row],[Name]],Eingabe[Wo],"A"),""))),0),"")</f>
        <v/>
      </c>
      <c r="AA29" s="189" t="str">
        <f>IFERROR(Räumer[[#This Row],[Räumer Schnitt]]/4,"")</f>
        <v/>
      </c>
      <c r="AB29" s="189" t="str">
        <f>IFERROR(IF(Y$1="Gesamt",AVERAGEIF(Eingabe[Name],Räumer[[#This Row],[Name]],Eingabe[R1]),IF(Y$1="Heim",AVERAGEIFS(Eingabe[R1],Eingabe[Name],Räumer[[#This Row],[Name]],Eingabe[Wo],"H"),IF(Y$1="Auswärts",AVERAGEIFS(Eingabe[R1],Eingabe[Name],Räumer[[#This Row],[Name]],Eingabe[Wo],"A"),""))),"")</f>
        <v/>
      </c>
      <c r="AC29" s="189" t="str">
        <f>IFERROR(ROUND(Räumer[[#This Row],[R1]]-Räumer[[#This Row],[Räumer Bahn Schnitt]],1),"")</f>
        <v/>
      </c>
      <c r="AD29" s="189" t="str">
        <f>IFERROR(IF(Y$1="Gesamt",AVERAGEIF(Eingabe[Name],Räumer[[#This Row],[Name]],Eingabe[R2]),IF(Y$1="Heim",AVERAGEIFS(Eingabe[R2],Eingabe[Name],Räumer[[#This Row],[Name]],Eingabe[Wo],"H"),IF(Y$1="Auswärts",AVERAGEIFS(Eingabe[R2],Eingabe[Name],Räumer[[#This Row],[Name]],Eingabe[Wo],"A"),""))),"")</f>
        <v/>
      </c>
      <c r="AE29" s="189" t="str">
        <f>IFERROR(ROUND(Räumer[[#This Row],[R2]]-Räumer[[#This Row],[Räumer Bahn Schnitt]],1),"")</f>
        <v/>
      </c>
      <c r="AF29" s="189" t="str">
        <f>IFERROR(IF(Y$1="Gesamt",AVERAGEIF(Eingabe[Name],Räumer[[#This Row],[Name]],Eingabe[R3]),IF(Y$1="Heim",AVERAGEIFS(Eingabe[R3],Eingabe[Name],Räumer[[#This Row],[Name]],Eingabe[Wo],"H"),IF(Y$1="Auswärts",AVERAGEIFS(Eingabe[R3],Eingabe[Name],Räumer[[#This Row],[Name]],Eingabe[Wo],"A"),""))),"")</f>
        <v/>
      </c>
      <c r="AG29" s="189" t="str">
        <f>IFERROR(ROUND(Räumer[[#This Row],[R3]]-Räumer[[#This Row],[Räumer Bahn Schnitt]],1),"")</f>
        <v/>
      </c>
      <c r="AH29" s="189" t="str">
        <f>IFERROR(IF(Y$1="Gesamt",AVERAGEIF(Eingabe[Name],Räumer[[#This Row],[Name]],Eingabe[R4]),IF(Y$1="Heim",AVERAGEIFS(Eingabe[R4],Eingabe[Name],Räumer[[#This Row],[Name]],Eingabe[Wo],"H"),IF(Y$1="Auswärts",AVERAGEIFS(Eingabe[R4],Eingabe[Name],Räumer[[#This Row],[Name]],Eingabe[Wo],"A"),""))),"")</f>
        <v/>
      </c>
      <c r="AI29" s="189" t="str">
        <f>IFERROR(ROUND(Räumer[[#This Row],[R4]]-Räumer[[#This Row],[Räumer Bahn Schnitt]],1),"")</f>
        <v/>
      </c>
      <c r="AK29" s="335" t="str">
        <f>Bahnen[[#This Row],[Name]]</f>
        <v>Markus Unvericht</v>
      </c>
      <c r="AL29" s="189" t="str">
        <f>IFERROR(ROUND(IF(AK$1="Gesamt",AVERAGEIF(Eingabe[Name],Fehler[[#This Row],[Name]],Eingabe[Fehler]),IF(AK$1="Heim",AVERAGEIFS(Eingabe[Fehler],Eingabe[Name],Fehler[[#This Row],[Name]],Eingabe[Wo],"H"),IF(AK$1="Auswärts",AVERAGEIFS(Eingabe[Fehler],Eingabe[Name],Fehler[[#This Row],[Name]],Eingabe[Wo],"A"),""))),0),"")</f>
        <v/>
      </c>
      <c r="AM29" s="189" t="str">
        <f>IFERROR(Fehler[[#This Row],[Fehler Schnitt]]/4,"")</f>
        <v/>
      </c>
      <c r="AN29" s="189" t="str">
        <f>IFERROR(IF(AK$1="Gesamt",AVERAGEIF(Eingabe[Name],Fehler[[#This Row],[Name]],Eingabe[F1]),IF(AK$1="Heim",AVERAGEIFS(Eingabe[F1],Eingabe[Name],Fehler[[#This Row],[Name]],Eingabe[Wo],"H"),IF(AK$1="Auswärts",AVERAGEIFS(Eingabe[F1],Eingabe[Name],Fehler[[#This Row],[Name]],Eingabe[Wo],"A"),""))),"")</f>
        <v/>
      </c>
      <c r="AO29" s="189" t="str">
        <f>IFERROR(ROUND(Fehler[[#This Row],[F1]]-Fehler[[#This Row],[Fehler Bahn Schnitt]],1),"")</f>
        <v/>
      </c>
      <c r="AP29" s="189" t="str">
        <f>IFERROR(IF(AK$1="Gesamt",AVERAGEIF(Eingabe[Name],Fehler[[#This Row],[Name]],Eingabe[F2]),IF(AK$1="Heim",AVERAGEIFS(Eingabe[F2],Eingabe[Name],Fehler[[#This Row],[Name]],Eingabe[Wo],"H"),IF(AK$1="Auswärts",AVERAGEIFS(Eingabe[F2],Eingabe[Name],Fehler[[#This Row],[Name]],Eingabe[Wo],"A"),""))),"")</f>
        <v/>
      </c>
      <c r="AQ29" s="189" t="str">
        <f>IFERROR(ROUND(Fehler[[#This Row],[F2]]-Fehler[[#This Row],[Fehler Bahn Schnitt]],1),"")</f>
        <v/>
      </c>
      <c r="AR29" s="189" t="str">
        <f>IFERROR(IF(AK$1="Gesamt",AVERAGEIF(Eingabe[Name],Fehler[[#This Row],[Name]],Eingabe[F3]),IF(AK$1="Heim",AVERAGEIFS(Eingabe[F3],Eingabe[Name],Fehler[[#This Row],[Name]],Eingabe[Wo],"H"),IF(AK$1="Auswärts",AVERAGEIFS(Eingabe[F1],Eingabe[Name],Fehler[[#This Row],[Name]],Eingabe[Wo],"A"),""))),"")</f>
        <v/>
      </c>
      <c r="AS29" s="189" t="str">
        <f>IFERROR(ROUND(Fehler[[#This Row],[F3]]-Fehler[[#This Row],[Fehler Bahn Schnitt]],1),"")</f>
        <v/>
      </c>
      <c r="AT29" s="189" t="str">
        <f>IFERROR(IF(AK$1="Gesamt",AVERAGEIF(Eingabe[Name],Fehler[[#This Row],[Name]],Eingabe[F4]),IF(AK$1="Heim",AVERAGEIFS(Eingabe[F4],Eingabe[Name],Fehler[[#This Row],[Name]],Eingabe[Wo],"H"),IF(AK$1="Auswärts",AVERAGEIFS(Eingabe[F1],Eingabe[Name],Fehler[[#This Row],[Name]],Eingabe[Wo],"A"),""))),"")</f>
        <v/>
      </c>
      <c r="AU29" s="189" t="str">
        <f>IFERROR(ROUND(Fehler[[#This Row],[F4]]-Fehler[[#This Row],[Fehler Bahn Schnitt]],1),"")</f>
        <v/>
      </c>
    </row>
    <row r="30" spans="1:47" ht="15.6" x14ac:dyDescent="0.3">
      <c r="A30" s="335" t="s">
        <v>466</v>
      </c>
      <c r="B30" s="189" t="str">
        <f>IFERROR(ROUND(IF($A$1="Gesamt",AVERAGEIF(Eingabe[Name],Bahnen[[#This Row],[Name]],Eingabe[GES]),IF($A$1="Heim",AVERAGEIFS(Eingabe[GES],Eingabe[Name],Bahnen[[#This Row],[Name]],Eingabe[Wo],"H"),IF($A$1="Auswärts",AVERAGEIFS(Eingabe[GES],Eingabe[Name],Bahnen[[#This Row],[Name]],Eingabe[Wo],"A"),""))),0),"")</f>
        <v/>
      </c>
      <c r="C30" s="189" t="str">
        <f>IFERROR(Bahnen[[#This Row],[Schnitt]]/4,"")</f>
        <v/>
      </c>
      <c r="D30" s="189" t="str">
        <f>IFERROR(IF($A$1="Gesamt",AVERAGEIF(Eingabe[Name],Bahnen[[#This Row],[Name]],Eingabe[S1]),IF($A$1="Heim",AVERAGEIFS(Eingabe[S-NR],Eingabe[Name],Bahnen[[#This Row],[Name]],Eingabe[Wo],"H"),IF($A$1="Auswärts",AVERAGEIFS(Eingabe[S1],Eingabe[Name],Bahnen[[#This Row],[Name]],Eingabe[Wo],"A"),""))),"")</f>
        <v/>
      </c>
      <c r="E30" s="189" t="str">
        <f>IFERROR(ROUND(Bahnen[[#This Row],[S1]]-Bahnen[[#This Row],[Bahn Schnitt]],1),"")</f>
        <v/>
      </c>
      <c r="F30" s="189" t="str">
        <f>IFERROR(IF($A$1="Gesamt",AVERAGEIF(Eingabe[Name],Bahnen[[#This Row],[Name]],Eingabe[S2]),IF($A$1="Heim",AVERAGEIFS(Eingabe[S2],Eingabe[Name],Bahnen[[#This Row],[Name]],Eingabe[Wo],"H"),IF($A$1="Auswärts",AVERAGEIFS(Eingabe[S2],Eingabe[Name],Bahnen[[#This Row],[Name]],Eingabe[Wo],"A"),""))),"")</f>
        <v/>
      </c>
      <c r="G30" s="189" t="str">
        <f>IFERROR(ROUND(Bahnen[[#This Row],[S2]]-Bahnen[[#This Row],[Bahn Schnitt]],1),"")</f>
        <v/>
      </c>
      <c r="H30" s="189" t="str">
        <f>IFERROR(IF($A$1="Gesamt",AVERAGEIF(Eingabe[Name],Bahnen[[#This Row],[Name]],Eingabe[S3]),IF($A$1="Heim",AVERAGEIFS(Eingabe[S3],Eingabe[Name],Bahnen[[#This Row],[Name]],Eingabe[Wo],"H"),IF($A$1="Auswärts",AVERAGEIFS(Eingabe[S-NR],Eingabe[Name],Bahnen[[#This Row],[Name]],Eingabe[Wo],"A"),""))),"")</f>
        <v/>
      </c>
      <c r="I30" s="189" t="str">
        <f>IFERROR(ROUND(Bahnen[[#This Row],[S3]]-Bahnen[[#This Row],[Bahn Schnitt]],1),"")</f>
        <v/>
      </c>
      <c r="J30" s="189" t="str">
        <f>IFERROR(IF($A$1="Gesamt",AVERAGEIF(Eingabe[Name],Bahnen[[#This Row],[Name]],Eingabe[S4]),IF($A$1="Heim",AVERAGEIFS(Eingabe[S4],Eingabe[Name],Bahnen[[#This Row],[Name]],Eingabe[Wo],"H"),IF($A$1="Auswärts",AVERAGEIFS(Eingabe[S-NR],Eingabe[Name],Bahnen[[#This Row],[Name]],Eingabe[Wo],"A"),""))),"")</f>
        <v/>
      </c>
      <c r="K30" s="189" t="str">
        <f>IFERROR(ROUND(Bahnen[[#This Row],[S4]]-Bahnen[[#This Row],[Bahn Schnitt]],1),"")</f>
        <v/>
      </c>
      <c r="M30" s="335" t="str">
        <f>Bahnen[[#This Row],[Name]]</f>
        <v>Martin Börner</v>
      </c>
      <c r="N30" s="189" t="str">
        <f>IFERROR(ROUND(IF($M$1="Gesamt",AVERAGEIF(Eingabe[Name],Volle[[#This Row],[Name]],Eingabe[Volle]),IF($M$1="Heim",AVERAGEIFS(Eingabe[Volle],Eingabe[Name],Volle[[#This Row],[Name]],Eingabe[Wo],"H"),IF($M$1="Auswärts",AVERAGEIFS(Eingabe[Volle],Eingabe[Name],Volle[[#This Row],[Name]],Eingabe[Wo],"A"),""))),0),"")</f>
        <v/>
      </c>
      <c r="O30" s="189" t="str">
        <f>IFERROR(Volle[[#This Row],[Volle Schnitt]]/4,"")</f>
        <v/>
      </c>
      <c r="P30" s="189" t="str">
        <f>IFERROR(IF($M$1="Gesamt",AVERAGEIF(Eingabe[Name],Volle[[#This Row],[Name]],Eingabe[V1]),IF($M$1="Heim",AVERAGEIFS(Eingabe[V1],Eingabe[Name],Volle[[#This Row],[Name]],Eingabe[Wo],"H"),IF($M$1="Auswärts",AVERAGEIFS(Eingabe[V1],Eingabe[Name],Volle[[#This Row],[Name]],Eingabe[Wo],"A"),""))),"")</f>
        <v/>
      </c>
      <c r="Q30" s="189" t="str">
        <f>IFERROR(ROUND(Volle[[#This Row],[V1]]-Volle[[#This Row],[Volle Bahn Schnitt]],1),"")</f>
        <v/>
      </c>
      <c r="R30" s="189" t="str">
        <f>IFERROR(IF($M$1="Gesamt",AVERAGEIF(Eingabe[Name],Volle[[#This Row],[Name]],Eingabe[V2]),IF($M$1="Heim",AVERAGEIFS(Eingabe[V2],Eingabe[Name],Volle[[#This Row],[Name]],Eingabe[Wo],"H"),IF($M$1="Auswärts",AVERAGEIFS(Eingabe[V2],Eingabe[Name],Volle[[#This Row],[Name]],Eingabe[Wo],"A"),""))),"")</f>
        <v/>
      </c>
      <c r="S30" s="189" t="str">
        <f>IFERROR(ROUND(Volle[[#This Row],[V2]]-Volle[[#This Row],[Volle Bahn Schnitt]],1),"")</f>
        <v/>
      </c>
      <c r="T30" s="189" t="str">
        <f>IFERROR(IF($M$1="Gesamt",AVERAGEIF(Eingabe[Name],Volle[[#This Row],[Name]],Eingabe[V3]),IF($M$1="Heim",AVERAGEIFS(Eingabe[V3],Eingabe[Name],Volle[[#This Row],[Name]],Eingabe[Wo],"H"),IF($M$1="Auswärts",AVERAGEIFS(Eingabe[V3],Eingabe[Name],Volle[[#This Row],[Name]],Eingabe[Wo],"A"),""))),"")</f>
        <v/>
      </c>
      <c r="U30" s="189" t="str">
        <f>IFERROR(ROUND(Volle[[#This Row],[V3]]-Volle[[#This Row],[Volle Bahn Schnitt]],1),"")</f>
        <v/>
      </c>
      <c r="V30" s="189" t="str">
        <f>IFERROR(IF($M$1="Gesamt",AVERAGEIF(Eingabe[Name],Volle[[#This Row],[Name]],Eingabe[V4]),IF($M$1="Heim",AVERAGEIFS(Eingabe[V4],Eingabe[Name],Volle[[#This Row],[Name]],Eingabe[Wo],"H"),IF($M$1="Auswärts",AVERAGEIFS(Eingabe[V4],Eingabe[Name],Volle[[#This Row],[Name]],Eingabe[Wo],"A"),""))),"")</f>
        <v/>
      </c>
      <c r="W30" s="340" t="str">
        <f>IFERROR(ROUND(Volle[[#This Row],[V4]]-Volle[[#This Row],[Volle Bahn Schnitt]],1),"")</f>
        <v/>
      </c>
      <c r="Y30" s="335" t="str">
        <f>Bahnen[[#This Row],[Name]]</f>
        <v>Martin Börner</v>
      </c>
      <c r="Z30" s="189" t="str">
        <f>IFERROR(ROUND(IF(Y$1="Gesamt",AVERAGEIF(Eingabe[Name],Räumer[[#This Row],[Name]],Eingabe[Räumer]),IF(Y$1="Heim",AVERAGEIFS(Eingabe[Räumer],Eingabe[Name],Räumer[[#This Row],[Name]],Eingabe[Wo],"H"),IF(Y$1="Auswärts",AVERAGEIFS(Eingabe[Räumer],Eingabe[Name],Räumer[[#This Row],[Name]],Eingabe[Wo],"A"),""))),0),"")</f>
        <v/>
      </c>
      <c r="AA30" s="189" t="str">
        <f>IFERROR(Räumer[[#This Row],[Räumer Schnitt]]/4,"")</f>
        <v/>
      </c>
      <c r="AB30" s="189" t="str">
        <f>IFERROR(IF(Y$1="Gesamt",AVERAGEIF(Eingabe[Name],Räumer[[#This Row],[Name]],Eingabe[R1]),IF(Y$1="Heim",AVERAGEIFS(Eingabe[R1],Eingabe[Name],Räumer[[#This Row],[Name]],Eingabe[Wo],"H"),IF(Y$1="Auswärts",AVERAGEIFS(Eingabe[R1],Eingabe[Name],Räumer[[#This Row],[Name]],Eingabe[Wo],"A"),""))),"")</f>
        <v/>
      </c>
      <c r="AC30" s="189" t="str">
        <f>IFERROR(ROUND(Räumer[[#This Row],[R1]]-Räumer[[#This Row],[Räumer Bahn Schnitt]],1),"")</f>
        <v/>
      </c>
      <c r="AD30" s="189" t="str">
        <f>IFERROR(IF(Y$1="Gesamt",AVERAGEIF(Eingabe[Name],Räumer[[#This Row],[Name]],Eingabe[R2]),IF(Y$1="Heim",AVERAGEIFS(Eingabe[R2],Eingabe[Name],Räumer[[#This Row],[Name]],Eingabe[Wo],"H"),IF(Y$1="Auswärts",AVERAGEIFS(Eingabe[R2],Eingabe[Name],Räumer[[#This Row],[Name]],Eingabe[Wo],"A"),""))),"")</f>
        <v/>
      </c>
      <c r="AE30" s="189" t="str">
        <f>IFERROR(ROUND(Räumer[[#This Row],[R2]]-Räumer[[#This Row],[Räumer Bahn Schnitt]],1),"")</f>
        <v/>
      </c>
      <c r="AF30" s="189" t="str">
        <f>IFERROR(IF(Y$1="Gesamt",AVERAGEIF(Eingabe[Name],Räumer[[#This Row],[Name]],Eingabe[R3]),IF(Y$1="Heim",AVERAGEIFS(Eingabe[R3],Eingabe[Name],Räumer[[#This Row],[Name]],Eingabe[Wo],"H"),IF(Y$1="Auswärts",AVERAGEIFS(Eingabe[R3],Eingabe[Name],Räumer[[#This Row],[Name]],Eingabe[Wo],"A"),""))),"")</f>
        <v/>
      </c>
      <c r="AG30" s="189" t="str">
        <f>IFERROR(ROUND(Räumer[[#This Row],[R3]]-Räumer[[#This Row],[Räumer Bahn Schnitt]],1),"")</f>
        <v/>
      </c>
      <c r="AH30" s="189" t="str">
        <f>IFERROR(IF(Y$1="Gesamt",AVERAGEIF(Eingabe[Name],Räumer[[#This Row],[Name]],Eingabe[R4]),IF(Y$1="Heim",AVERAGEIFS(Eingabe[R4],Eingabe[Name],Räumer[[#This Row],[Name]],Eingabe[Wo],"H"),IF(Y$1="Auswärts",AVERAGEIFS(Eingabe[R4],Eingabe[Name],Räumer[[#This Row],[Name]],Eingabe[Wo],"A"),""))),"")</f>
        <v/>
      </c>
      <c r="AI30" s="189" t="str">
        <f>IFERROR(ROUND(Räumer[[#This Row],[R4]]-Räumer[[#This Row],[Räumer Bahn Schnitt]],1),"")</f>
        <v/>
      </c>
      <c r="AK30" s="335" t="str">
        <f>Bahnen[[#This Row],[Name]]</f>
        <v>Martin Börner</v>
      </c>
      <c r="AL30" s="189" t="str">
        <f>IFERROR(ROUND(IF(AK$1="Gesamt",AVERAGEIF(Eingabe[Name],Fehler[[#This Row],[Name]],Eingabe[Fehler]),IF(AK$1="Heim",AVERAGEIFS(Eingabe[Fehler],Eingabe[Name],Fehler[[#This Row],[Name]],Eingabe[Wo],"H"),IF(AK$1="Auswärts",AVERAGEIFS(Eingabe[Fehler],Eingabe[Name],Fehler[[#This Row],[Name]],Eingabe[Wo],"A"),""))),0),"")</f>
        <v/>
      </c>
      <c r="AM30" s="189" t="str">
        <f>IFERROR(Fehler[[#This Row],[Fehler Schnitt]]/4,"")</f>
        <v/>
      </c>
      <c r="AN30" s="189" t="str">
        <f>IFERROR(IF(AK$1="Gesamt",AVERAGEIF(Eingabe[Name],Fehler[[#This Row],[Name]],Eingabe[F1]),IF(AK$1="Heim",AVERAGEIFS(Eingabe[F1],Eingabe[Name],Fehler[[#This Row],[Name]],Eingabe[Wo],"H"),IF(AK$1="Auswärts",AVERAGEIFS(Eingabe[F1],Eingabe[Name],Fehler[[#This Row],[Name]],Eingabe[Wo],"A"),""))),"")</f>
        <v/>
      </c>
      <c r="AO30" s="189" t="str">
        <f>IFERROR(ROUND(Fehler[[#This Row],[F1]]-Fehler[[#This Row],[Fehler Bahn Schnitt]],1),"")</f>
        <v/>
      </c>
      <c r="AP30" s="189" t="str">
        <f>IFERROR(IF(AK$1="Gesamt",AVERAGEIF(Eingabe[Name],Fehler[[#This Row],[Name]],Eingabe[F2]),IF(AK$1="Heim",AVERAGEIFS(Eingabe[F2],Eingabe[Name],Fehler[[#This Row],[Name]],Eingabe[Wo],"H"),IF(AK$1="Auswärts",AVERAGEIFS(Eingabe[F2],Eingabe[Name],Fehler[[#This Row],[Name]],Eingabe[Wo],"A"),""))),"")</f>
        <v/>
      </c>
      <c r="AQ30" s="189" t="str">
        <f>IFERROR(ROUND(Fehler[[#This Row],[F2]]-Fehler[[#This Row],[Fehler Bahn Schnitt]],1),"")</f>
        <v/>
      </c>
      <c r="AR30" s="189" t="str">
        <f>IFERROR(IF(AK$1="Gesamt",AVERAGEIF(Eingabe[Name],Fehler[[#This Row],[Name]],Eingabe[F3]),IF(AK$1="Heim",AVERAGEIFS(Eingabe[F3],Eingabe[Name],Fehler[[#This Row],[Name]],Eingabe[Wo],"H"),IF(AK$1="Auswärts",AVERAGEIFS(Eingabe[F1],Eingabe[Name],Fehler[[#This Row],[Name]],Eingabe[Wo],"A"),""))),"")</f>
        <v/>
      </c>
      <c r="AS30" s="189" t="str">
        <f>IFERROR(ROUND(Fehler[[#This Row],[F3]]-Fehler[[#This Row],[Fehler Bahn Schnitt]],1),"")</f>
        <v/>
      </c>
      <c r="AT30" s="189" t="str">
        <f>IFERROR(IF(AK$1="Gesamt",AVERAGEIF(Eingabe[Name],Fehler[[#This Row],[Name]],Eingabe[F4]),IF(AK$1="Heim",AVERAGEIFS(Eingabe[F4],Eingabe[Name],Fehler[[#This Row],[Name]],Eingabe[Wo],"H"),IF(AK$1="Auswärts",AVERAGEIFS(Eingabe[F1],Eingabe[Name],Fehler[[#This Row],[Name]],Eingabe[Wo],"A"),""))),"")</f>
        <v/>
      </c>
      <c r="AU30" s="189" t="str">
        <f>IFERROR(ROUND(Fehler[[#This Row],[F4]]-Fehler[[#This Row],[Fehler Bahn Schnitt]],1),"")</f>
        <v/>
      </c>
    </row>
    <row r="31" spans="1:47" ht="15.6" x14ac:dyDescent="0.3">
      <c r="A31" s="335" t="s">
        <v>482</v>
      </c>
      <c r="B31" s="189" t="str">
        <f>IFERROR(ROUND(IF($A$1="Gesamt",AVERAGEIF(Eingabe[Name],Bahnen[[#This Row],[Name]],Eingabe[GES]),IF($A$1="Heim",AVERAGEIFS(Eingabe[GES],Eingabe[Name],Bahnen[[#This Row],[Name]],Eingabe[Wo],"H"),IF($A$1="Auswärts",AVERAGEIFS(Eingabe[GES],Eingabe[Name],Bahnen[[#This Row],[Name]],Eingabe[Wo],"A"),""))),0),"")</f>
        <v/>
      </c>
      <c r="C31" s="189" t="str">
        <f>IFERROR(Bahnen[[#This Row],[Schnitt]]/4,"")</f>
        <v/>
      </c>
      <c r="D31" s="189" t="str">
        <f>IFERROR(IF($A$1="Gesamt",AVERAGEIF(Eingabe[Name],Bahnen[[#This Row],[Name]],Eingabe[S1]),IF($A$1="Heim",AVERAGEIFS(Eingabe[S-NR],Eingabe[Name],Bahnen[[#This Row],[Name]],Eingabe[Wo],"H"),IF($A$1="Auswärts",AVERAGEIFS(Eingabe[S1],Eingabe[Name],Bahnen[[#This Row],[Name]],Eingabe[Wo],"A"),""))),"")</f>
        <v/>
      </c>
      <c r="E31" s="189" t="str">
        <f>IFERROR(ROUND(Bahnen[[#This Row],[S1]]-Bahnen[[#This Row],[Bahn Schnitt]],1),"")</f>
        <v/>
      </c>
      <c r="F31" s="189" t="str">
        <f>IFERROR(IF($A$1="Gesamt",AVERAGEIF(Eingabe[Name],Bahnen[[#This Row],[Name]],Eingabe[S2]),IF($A$1="Heim",AVERAGEIFS(Eingabe[S2],Eingabe[Name],Bahnen[[#This Row],[Name]],Eingabe[Wo],"H"),IF($A$1="Auswärts",AVERAGEIFS(Eingabe[S2],Eingabe[Name],Bahnen[[#This Row],[Name]],Eingabe[Wo],"A"),""))),"")</f>
        <v/>
      </c>
      <c r="G31" s="189" t="str">
        <f>IFERROR(ROUND(Bahnen[[#This Row],[S2]]-Bahnen[[#This Row],[Bahn Schnitt]],1),"")</f>
        <v/>
      </c>
      <c r="H31" s="189" t="str">
        <f>IFERROR(IF($A$1="Gesamt",AVERAGEIF(Eingabe[Name],Bahnen[[#This Row],[Name]],Eingabe[S3]),IF($A$1="Heim",AVERAGEIFS(Eingabe[S3],Eingabe[Name],Bahnen[[#This Row],[Name]],Eingabe[Wo],"H"),IF($A$1="Auswärts",AVERAGEIFS(Eingabe[S-NR],Eingabe[Name],Bahnen[[#This Row],[Name]],Eingabe[Wo],"A"),""))),"")</f>
        <v/>
      </c>
      <c r="I31" s="189" t="str">
        <f>IFERROR(ROUND(Bahnen[[#This Row],[S3]]-Bahnen[[#This Row],[Bahn Schnitt]],1),"")</f>
        <v/>
      </c>
      <c r="J31" s="189" t="str">
        <f>IFERROR(IF($A$1="Gesamt",AVERAGEIF(Eingabe[Name],Bahnen[[#This Row],[Name]],Eingabe[S4]),IF($A$1="Heim",AVERAGEIFS(Eingabe[S4],Eingabe[Name],Bahnen[[#This Row],[Name]],Eingabe[Wo],"H"),IF($A$1="Auswärts",AVERAGEIFS(Eingabe[S-NR],Eingabe[Name],Bahnen[[#This Row],[Name]],Eingabe[Wo],"A"),""))),"")</f>
        <v/>
      </c>
      <c r="K31" s="189" t="str">
        <f>IFERROR(ROUND(Bahnen[[#This Row],[S4]]-Bahnen[[#This Row],[Bahn Schnitt]],1),"")</f>
        <v/>
      </c>
      <c r="M31" s="335" t="str">
        <f>Bahnen[[#This Row],[Name]]</f>
        <v>Max Dost</v>
      </c>
      <c r="N31" s="189" t="str">
        <f>IFERROR(ROUND(IF($M$1="Gesamt",AVERAGEIF(Eingabe[Name],Volle[[#This Row],[Name]],Eingabe[Volle]),IF($M$1="Heim",AVERAGEIFS(Eingabe[Volle],Eingabe[Name],Volle[[#This Row],[Name]],Eingabe[Wo],"H"),IF($M$1="Auswärts",AVERAGEIFS(Eingabe[Volle],Eingabe[Name],Volle[[#This Row],[Name]],Eingabe[Wo],"A"),""))),0),"")</f>
        <v/>
      </c>
      <c r="O31" s="189" t="str">
        <f>IFERROR(Volle[[#This Row],[Volle Schnitt]]/4,"")</f>
        <v/>
      </c>
      <c r="P31" s="189" t="str">
        <f>IFERROR(IF($M$1="Gesamt",AVERAGEIF(Eingabe[Name],Volle[[#This Row],[Name]],Eingabe[V1]),IF($M$1="Heim",AVERAGEIFS(Eingabe[V1],Eingabe[Name],Volle[[#This Row],[Name]],Eingabe[Wo],"H"),IF($M$1="Auswärts",AVERAGEIFS(Eingabe[V1],Eingabe[Name],Volle[[#This Row],[Name]],Eingabe[Wo],"A"),""))),"")</f>
        <v/>
      </c>
      <c r="Q31" s="189" t="str">
        <f>IFERROR(ROUND(Volle[[#This Row],[V1]]-Volle[[#This Row],[Volle Bahn Schnitt]],1),"")</f>
        <v/>
      </c>
      <c r="R31" s="189" t="str">
        <f>IFERROR(IF($M$1="Gesamt",AVERAGEIF(Eingabe[Name],Volle[[#This Row],[Name]],Eingabe[V2]),IF($M$1="Heim",AVERAGEIFS(Eingabe[V2],Eingabe[Name],Volle[[#This Row],[Name]],Eingabe[Wo],"H"),IF($M$1="Auswärts",AVERAGEIFS(Eingabe[V2],Eingabe[Name],Volle[[#This Row],[Name]],Eingabe[Wo],"A"),""))),"")</f>
        <v/>
      </c>
      <c r="S31" s="189" t="str">
        <f>IFERROR(ROUND(Volle[[#This Row],[V2]]-Volle[[#This Row],[Volle Bahn Schnitt]],1),"")</f>
        <v/>
      </c>
      <c r="T31" s="189" t="str">
        <f>IFERROR(IF($M$1="Gesamt",AVERAGEIF(Eingabe[Name],Volle[[#This Row],[Name]],Eingabe[V3]),IF($M$1="Heim",AVERAGEIFS(Eingabe[V3],Eingabe[Name],Volle[[#This Row],[Name]],Eingabe[Wo],"H"),IF($M$1="Auswärts",AVERAGEIFS(Eingabe[V3],Eingabe[Name],Volle[[#This Row],[Name]],Eingabe[Wo],"A"),""))),"")</f>
        <v/>
      </c>
      <c r="U31" s="189" t="str">
        <f>IFERROR(ROUND(Volle[[#This Row],[V3]]-Volle[[#This Row],[Volle Bahn Schnitt]],1),"")</f>
        <v/>
      </c>
      <c r="V31" s="189" t="str">
        <f>IFERROR(IF($M$1="Gesamt",AVERAGEIF(Eingabe[Name],Volle[[#This Row],[Name]],Eingabe[V4]),IF($M$1="Heim",AVERAGEIFS(Eingabe[V4],Eingabe[Name],Volle[[#This Row],[Name]],Eingabe[Wo],"H"),IF($M$1="Auswärts",AVERAGEIFS(Eingabe[V4],Eingabe[Name],Volle[[#This Row],[Name]],Eingabe[Wo],"A"),""))),"")</f>
        <v/>
      </c>
      <c r="W31" s="340" t="str">
        <f>IFERROR(ROUND(Volle[[#This Row],[V4]]-Volle[[#This Row],[Volle Bahn Schnitt]],1),"")</f>
        <v/>
      </c>
      <c r="Y31" s="335" t="str">
        <f>Bahnen[[#This Row],[Name]]</f>
        <v>Max Dost</v>
      </c>
      <c r="Z31" s="189" t="str">
        <f>IFERROR(ROUND(IF(Y$1="Gesamt",AVERAGEIF(Eingabe[Name],Räumer[[#This Row],[Name]],Eingabe[Räumer]),IF(Y$1="Heim",AVERAGEIFS(Eingabe[Räumer],Eingabe[Name],Räumer[[#This Row],[Name]],Eingabe[Wo],"H"),IF(Y$1="Auswärts",AVERAGEIFS(Eingabe[Räumer],Eingabe[Name],Räumer[[#This Row],[Name]],Eingabe[Wo],"A"),""))),0),"")</f>
        <v/>
      </c>
      <c r="AA31" s="189" t="str">
        <f>IFERROR(Räumer[[#This Row],[Räumer Schnitt]]/4,"")</f>
        <v/>
      </c>
      <c r="AB31" s="189" t="str">
        <f>IFERROR(IF(Y$1="Gesamt",AVERAGEIF(Eingabe[Name],Räumer[[#This Row],[Name]],Eingabe[R1]),IF(Y$1="Heim",AVERAGEIFS(Eingabe[R1],Eingabe[Name],Räumer[[#This Row],[Name]],Eingabe[Wo],"H"),IF(Y$1="Auswärts",AVERAGEIFS(Eingabe[R1],Eingabe[Name],Räumer[[#This Row],[Name]],Eingabe[Wo],"A"),""))),"")</f>
        <v/>
      </c>
      <c r="AC31" s="189" t="str">
        <f>IFERROR(ROUND(Räumer[[#This Row],[R1]]-Räumer[[#This Row],[Räumer Bahn Schnitt]],1),"")</f>
        <v/>
      </c>
      <c r="AD31" s="189" t="str">
        <f>IFERROR(IF(Y$1="Gesamt",AVERAGEIF(Eingabe[Name],Räumer[[#This Row],[Name]],Eingabe[R2]),IF(Y$1="Heim",AVERAGEIFS(Eingabe[R2],Eingabe[Name],Räumer[[#This Row],[Name]],Eingabe[Wo],"H"),IF(Y$1="Auswärts",AVERAGEIFS(Eingabe[R2],Eingabe[Name],Räumer[[#This Row],[Name]],Eingabe[Wo],"A"),""))),"")</f>
        <v/>
      </c>
      <c r="AE31" s="189" t="str">
        <f>IFERROR(ROUND(Räumer[[#This Row],[R2]]-Räumer[[#This Row],[Räumer Bahn Schnitt]],1),"")</f>
        <v/>
      </c>
      <c r="AF31" s="189" t="str">
        <f>IFERROR(IF(Y$1="Gesamt",AVERAGEIF(Eingabe[Name],Räumer[[#This Row],[Name]],Eingabe[R3]),IF(Y$1="Heim",AVERAGEIFS(Eingabe[R3],Eingabe[Name],Räumer[[#This Row],[Name]],Eingabe[Wo],"H"),IF(Y$1="Auswärts",AVERAGEIFS(Eingabe[R3],Eingabe[Name],Räumer[[#This Row],[Name]],Eingabe[Wo],"A"),""))),"")</f>
        <v/>
      </c>
      <c r="AG31" s="189" t="str">
        <f>IFERROR(ROUND(Räumer[[#This Row],[R3]]-Räumer[[#This Row],[Räumer Bahn Schnitt]],1),"")</f>
        <v/>
      </c>
      <c r="AH31" s="189" t="str">
        <f>IFERROR(IF(Y$1="Gesamt",AVERAGEIF(Eingabe[Name],Räumer[[#This Row],[Name]],Eingabe[R4]),IF(Y$1="Heim",AVERAGEIFS(Eingabe[R4],Eingabe[Name],Räumer[[#This Row],[Name]],Eingabe[Wo],"H"),IF(Y$1="Auswärts",AVERAGEIFS(Eingabe[R4],Eingabe[Name],Räumer[[#This Row],[Name]],Eingabe[Wo],"A"),""))),"")</f>
        <v/>
      </c>
      <c r="AI31" s="189" t="str">
        <f>IFERROR(ROUND(Räumer[[#This Row],[R4]]-Räumer[[#This Row],[Räumer Bahn Schnitt]],1),"")</f>
        <v/>
      </c>
      <c r="AK31" s="335" t="str">
        <f>Bahnen[[#This Row],[Name]]</f>
        <v>Max Dost</v>
      </c>
      <c r="AL31" s="189" t="str">
        <f>IFERROR(ROUND(IF(AK$1="Gesamt",AVERAGEIF(Eingabe[Name],Fehler[[#This Row],[Name]],Eingabe[Fehler]),IF(AK$1="Heim",AVERAGEIFS(Eingabe[Fehler],Eingabe[Name],Fehler[[#This Row],[Name]],Eingabe[Wo],"H"),IF(AK$1="Auswärts",AVERAGEIFS(Eingabe[Fehler],Eingabe[Name],Fehler[[#This Row],[Name]],Eingabe[Wo],"A"),""))),0),"")</f>
        <v/>
      </c>
      <c r="AM31" s="189" t="str">
        <f>IFERROR(Fehler[[#This Row],[Fehler Schnitt]]/4,"")</f>
        <v/>
      </c>
      <c r="AN31" s="189" t="str">
        <f>IFERROR(IF(AK$1="Gesamt",AVERAGEIF(Eingabe[Name],Fehler[[#This Row],[Name]],Eingabe[F1]),IF(AK$1="Heim",AVERAGEIFS(Eingabe[F1],Eingabe[Name],Fehler[[#This Row],[Name]],Eingabe[Wo],"H"),IF(AK$1="Auswärts",AVERAGEIFS(Eingabe[F1],Eingabe[Name],Fehler[[#This Row],[Name]],Eingabe[Wo],"A"),""))),"")</f>
        <v/>
      </c>
      <c r="AO31" s="189" t="str">
        <f>IFERROR(ROUND(Fehler[[#This Row],[F1]]-Fehler[[#This Row],[Fehler Bahn Schnitt]],1),"")</f>
        <v/>
      </c>
      <c r="AP31" s="189" t="str">
        <f>IFERROR(IF(AK$1="Gesamt",AVERAGEIF(Eingabe[Name],Fehler[[#This Row],[Name]],Eingabe[F2]),IF(AK$1="Heim",AVERAGEIFS(Eingabe[F2],Eingabe[Name],Fehler[[#This Row],[Name]],Eingabe[Wo],"H"),IF(AK$1="Auswärts",AVERAGEIFS(Eingabe[F2],Eingabe[Name],Fehler[[#This Row],[Name]],Eingabe[Wo],"A"),""))),"")</f>
        <v/>
      </c>
      <c r="AQ31" s="189" t="str">
        <f>IFERROR(ROUND(Fehler[[#This Row],[F2]]-Fehler[[#This Row],[Fehler Bahn Schnitt]],1),"")</f>
        <v/>
      </c>
      <c r="AR31" s="189" t="str">
        <f>IFERROR(IF(AK$1="Gesamt",AVERAGEIF(Eingabe[Name],Fehler[[#This Row],[Name]],Eingabe[F3]),IF(AK$1="Heim",AVERAGEIFS(Eingabe[F3],Eingabe[Name],Fehler[[#This Row],[Name]],Eingabe[Wo],"H"),IF(AK$1="Auswärts",AVERAGEIFS(Eingabe[F1],Eingabe[Name],Fehler[[#This Row],[Name]],Eingabe[Wo],"A"),""))),"")</f>
        <v/>
      </c>
      <c r="AS31" s="189" t="str">
        <f>IFERROR(ROUND(Fehler[[#This Row],[F3]]-Fehler[[#This Row],[Fehler Bahn Schnitt]],1),"")</f>
        <v/>
      </c>
      <c r="AT31" s="189" t="str">
        <f>IFERROR(IF(AK$1="Gesamt",AVERAGEIF(Eingabe[Name],Fehler[[#This Row],[Name]],Eingabe[F4]),IF(AK$1="Heim",AVERAGEIFS(Eingabe[F4],Eingabe[Name],Fehler[[#This Row],[Name]],Eingabe[Wo],"H"),IF(AK$1="Auswärts",AVERAGEIFS(Eingabe[F1],Eingabe[Name],Fehler[[#This Row],[Name]],Eingabe[Wo],"A"),""))),"")</f>
        <v/>
      </c>
      <c r="AU31" s="189" t="str">
        <f>IFERROR(ROUND(Fehler[[#This Row],[F4]]-Fehler[[#This Row],[Fehler Bahn Schnitt]],1),"")</f>
        <v/>
      </c>
    </row>
    <row r="32" spans="1:47" ht="15.6" x14ac:dyDescent="0.3">
      <c r="A32" s="335" t="s">
        <v>461</v>
      </c>
      <c r="B32" s="189">
        <f>IFERROR(ROUND(IF($A$1="Gesamt",AVERAGEIF(Eingabe[Name],Bahnen[[#This Row],[Name]],Eingabe[GES]),IF($A$1="Heim",AVERAGEIFS(Eingabe[GES],Eingabe[Name],Bahnen[[#This Row],[Name]],Eingabe[Wo],"H"),IF($A$1="Auswärts",AVERAGEIFS(Eingabe[GES],Eingabe[Name],Bahnen[[#This Row],[Name]],Eingabe[Wo],"A"),""))),0),"")</f>
        <v>494</v>
      </c>
      <c r="C32" s="189">
        <f>IFERROR(Bahnen[[#This Row],[Schnitt]]/4,"")</f>
        <v>123.5</v>
      </c>
      <c r="D32" s="189">
        <f>IFERROR(IF($A$1="Gesamt",AVERAGEIF(Eingabe[Name],Bahnen[[#This Row],[Name]],Eingabe[S1]),IF($A$1="Heim",AVERAGEIFS(Eingabe[S-NR],Eingabe[Name],Bahnen[[#This Row],[Name]],Eingabe[Wo],"H"),IF($A$1="Auswärts",AVERAGEIFS(Eingabe[S1],Eingabe[Name],Bahnen[[#This Row],[Name]],Eingabe[Wo],"A"),""))),"")</f>
        <v>123</v>
      </c>
      <c r="E32" s="189">
        <f>IFERROR(ROUND(Bahnen[[#This Row],[S1]]-Bahnen[[#This Row],[Bahn Schnitt]],1),"")</f>
        <v>-0.5</v>
      </c>
      <c r="F32" s="189">
        <f>IFERROR(IF($A$1="Gesamt",AVERAGEIF(Eingabe[Name],Bahnen[[#This Row],[Name]],Eingabe[S2]),IF($A$1="Heim",AVERAGEIFS(Eingabe[S2],Eingabe[Name],Bahnen[[#This Row],[Name]],Eingabe[Wo],"H"),IF($A$1="Auswärts",AVERAGEIFS(Eingabe[S2],Eingabe[Name],Bahnen[[#This Row],[Name]],Eingabe[Wo],"A"),""))),"")</f>
        <v>131</v>
      </c>
      <c r="G32" s="189">
        <f>IFERROR(ROUND(Bahnen[[#This Row],[S2]]-Bahnen[[#This Row],[Bahn Schnitt]],1),"")</f>
        <v>7.5</v>
      </c>
      <c r="H32" s="189">
        <f>IFERROR(IF($A$1="Gesamt",AVERAGEIF(Eingabe[Name],Bahnen[[#This Row],[Name]],Eingabe[S3]),IF($A$1="Heim",AVERAGEIFS(Eingabe[S3],Eingabe[Name],Bahnen[[#This Row],[Name]],Eingabe[Wo],"H"),IF($A$1="Auswärts",AVERAGEIFS(Eingabe[S-NR],Eingabe[Name],Bahnen[[#This Row],[Name]],Eingabe[Wo],"A"),""))),"")</f>
        <v>124</v>
      </c>
      <c r="I32" s="189">
        <f>IFERROR(ROUND(Bahnen[[#This Row],[S3]]-Bahnen[[#This Row],[Bahn Schnitt]],1),"")</f>
        <v>0.5</v>
      </c>
      <c r="J32" s="189">
        <f>IFERROR(IF($A$1="Gesamt",AVERAGEIF(Eingabe[Name],Bahnen[[#This Row],[Name]],Eingabe[S4]),IF($A$1="Heim",AVERAGEIFS(Eingabe[S4],Eingabe[Name],Bahnen[[#This Row],[Name]],Eingabe[Wo],"H"),IF($A$1="Auswärts",AVERAGEIFS(Eingabe[S-NR],Eingabe[Name],Bahnen[[#This Row],[Name]],Eingabe[Wo],"A"),""))),"")</f>
        <v>116</v>
      </c>
      <c r="K32" s="189">
        <f>IFERROR(ROUND(Bahnen[[#This Row],[S4]]-Bahnen[[#This Row],[Bahn Schnitt]],1),"")</f>
        <v>-7.5</v>
      </c>
      <c r="M32" s="335" t="str">
        <f>Bahnen[[#This Row],[Name]]</f>
        <v>Michael Becker</v>
      </c>
      <c r="N32" s="189">
        <f>IFERROR(ROUND(IF($M$1="Gesamt",AVERAGEIF(Eingabe[Name],Volle[[#This Row],[Name]],Eingabe[Volle]),IF($M$1="Heim",AVERAGEIFS(Eingabe[Volle],Eingabe[Name],Volle[[#This Row],[Name]],Eingabe[Wo],"H"),IF($M$1="Auswärts",AVERAGEIFS(Eingabe[Volle],Eingabe[Name],Volle[[#This Row],[Name]],Eingabe[Wo],"A"),""))),0),"")</f>
        <v>341</v>
      </c>
      <c r="O32" s="189">
        <f>IFERROR(Volle[[#This Row],[Volle Schnitt]]/4,"")</f>
        <v>85.25</v>
      </c>
      <c r="P32" s="189">
        <f>IFERROR(IF($M$1="Gesamt",AVERAGEIF(Eingabe[Name],Volle[[#This Row],[Name]],Eingabe[V1]),IF($M$1="Heim",AVERAGEIFS(Eingabe[V1],Eingabe[Name],Volle[[#This Row],[Name]],Eingabe[Wo],"H"),IF($M$1="Auswärts",AVERAGEIFS(Eingabe[V1],Eingabe[Name],Volle[[#This Row],[Name]],Eingabe[Wo],"A"),""))),"")</f>
        <v>82</v>
      </c>
      <c r="Q32" s="189">
        <f>IFERROR(ROUND(Volle[[#This Row],[V1]]-Volle[[#This Row],[Volle Bahn Schnitt]],1),"")</f>
        <v>-3.3</v>
      </c>
      <c r="R32" s="189">
        <f>IFERROR(IF($M$1="Gesamt",AVERAGEIF(Eingabe[Name],Volle[[#This Row],[Name]],Eingabe[V2]),IF($M$1="Heim",AVERAGEIFS(Eingabe[V2],Eingabe[Name],Volle[[#This Row],[Name]],Eingabe[Wo],"H"),IF($M$1="Auswärts",AVERAGEIFS(Eingabe[V2],Eingabe[Name],Volle[[#This Row],[Name]],Eingabe[Wo],"A"),""))),"")</f>
        <v>89</v>
      </c>
      <c r="S32" s="189">
        <f>IFERROR(ROUND(Volle[[#This Row],[V2]]-Volle[[#This Row],[Volle Bahn Schnitt]],1),"")</f>
        <v>3.8</v>
      </c>
      <c r="T32" s="189">
        <f>IFERROR(IF($M$1="Gesamt",AVERAGEIF(Eingabe[Name],Volle[[#This Row],[Name]],Eingabe[V3]),IF($M$1="Heim",AVERAGEIFS(Eingabe[V3],Eingabe[Name],Volle[[#This Row],[Name]],Eingabe[Wo],"H"),IF($M$1="Auswärts",AVERAGEIFS(Eingabe[V3],Eingabe[Name],Volle[[#This Row],[Name]],Eingabe[Wo],"A"),""))),"")</f>
        <v>89</v>
      </c>
      <c r="U32" s="189">
        <f>IFERROR(ROUND(Volle[[#This Row],[V3]]-Volle[[#This Row],[Volle Bahn Schnitt]],1),"")</f>
        <v>3.8</v>
      </c>
      <c r="V32" s="189">
        <f>IFERROR(IF($M$1="Gesamt",AVERAGEIF(Eingabe[Name],Volle[[#This Row],[Name]],Eingabe[V4]),IF($M$1="Heim",AVERAGEIFS(Eingabe[V4],Eingabe[Name],Volle[[#This Row],[Name]],Eingabe[Wo],"H"),IF($M$1="Auswärts",AVERAGEIFS(Eingabe[V4],Eingabe[Name],Volle[[#This Row],[Name]],Eingabe[Wo],"A"),""))),"")</f>
        <v>81</v>
      </c>
      <c r="W32" s="340">
        <f>IFERROR(ROUND(Volle[[#This Row],[V4]]-Volle[[#This Row],[Volle Bahn Schnitt]],1),"")</f>
        <v>-4.3</v>
      </c>
      <c r="Y32" s="335" t="str">
        <f>Bahnen[[#This Row],[Name]]</f>
        <v>Michael Becker</v>
      </c>
      <c r="Z32" s="189">
        <f>IFERROR(ROUND(IF(Y$1="Gesamt",AVERAGEIF(Eingabe[Name],Räumer[[#This Row],[Name]],Eingabe[Räumer]),IF(Y$1="Heim",AVERAGEIFS(Eingabe[Räumer],Eingabe[Name],Räumer[[#This Row],[Name]],Eingabe[Wo],"H"),IF(Y$1="Auswärts",AVERAGEIFS(Eingabe[Räumer],Eingabe[Name],Räumer[[#This Row],[Name]],Eingabe[Wo],"A"),""))),0),"")</f>
        <v>153</v>
      </c>
      <c r="AA32" s="189">
        <f>IFERROR(Räumer[[#This Row],[Räumer Schnitt]]/4,"")</f>
        <v>38.25</v>
      </c>
      <c r="AB32" s="189">
        <f>IFERROR(IF(Y$1="Gesamt",AVERAGEIF(Eingabe[Name],Räumer[[#This Row],[Name]],Eingabe[R1]),IF(Y$1="Heim",AVERAGEIFS(Eingabe[R1],Eingabe[Name],Räumer[[#This Row],[Name]],Eingabe[Wo],"H"),IF(Y$1="Auswärts",AVERAGEIFS(Eingabe[R1],Eingabe[Name],Räumer[[#This Row],[Name]],Eingabe[Wo],"A"),""))),"")</f>
        <v>41</v>
      </c>
      <c r="AC32" s="189">
        <f>IFERROR(ROUND(Räumer[[#This Row],[R1]]-Räumer[[#This Row],[Räumer Bahn Schnitt]],1),"")</f>
        <v>2.8</v>
      </c>
      <c r="AD32" s="189">
        <f>IFERROR(IF(Y$1="Gesamt",AVERAGEIF(Eingabe[Name],Räumer[[#This Row],[Name]],Eingabe[R2]),IF(Y$1="Heim",AVERAGEIFS(Eingabe[R2],Eingabe[Name],Räumer[[#This Row],[Name]],Eingabe[Wo],"H"),IF(Y$1="Auswärts",AVERAGEIFS(Eingabe[R2],Eingabe[Name],Räumer[[#This Row],[Name]],Eingabe[Wo],"A"),""))),"")</f>
        <v>42</v>
      </c>
      <c r="AE32" s="189">
        <f>IFERROR(ROUND(Räumer[[#This Row],[R2]]-Räumer[[#This Row],[Räumer Bahn Schnitt]],1),"")</f>
        <v>3.8</v>
      </c>
      <c r="AF32" s="189">
        <f>IFERROR(IF(Y$1="Gesamt",AVERAGEIF(Eingabe[Name],Räumer[[#This Row],[Name]],Eingabe[R3]),IF(Y$1="Heim",AVERAGEIFS(Eingabe[R3],Eingabe[Name],Räumer[[#This Row],[Name]],Eingabe[Wo],"H"),IF(Y$1="Auswärts",AVERAGEIFS(Eingabe[R3],Eingabe[Name],Räumer[[#This Row],[Name]],Eingabe[Wo],"A"),""))),"")</f>
        <v>35</v>
      </c>
      <c r="AG32" s="189">
        <f>IFERROR(ROUND(Räumer[[#This Row],[R3]]-Räumer[[#This Row],[Räumer Bahn Schnitt]],1),"")</f>
        <v>-3.3</v>
      </c>
      <c r="AH32" s="189">
        <f>IFERROR(IF(Y$1="Gesamt",AVERAGEIF(Eingabe[Name],Räumer[[#This Row],[Name]],Eingabe[R4]),IF(Y$1="Heim",AVERAGEIFS(Eingabe[R4],Eingabe[Name],Räumer[[#This Row],[Name]],Eingabe[Wo],"H"),IF(Y$1="Auswärts",AVERAGEIFS(Eingabe[R4],Eingabe[Name],Räumer[[#This Row],[Name]],Eingabe[Wo],"A"),""))),"")</f>
        <v>35</v>
      </c>
      <c r="AI32" s="189">
        <f>IFERROR(ROUND(Räumer[[#This Row],[R4]]-Räumer[[#This Row],[Räumer Bahn Schnitt]],1),"")</f>
        <v>-3.3</v>
      </c>
      <c r="AK32" s="335" t="str">
        <f>Bahnen[[#This Row],[Name]]</f>
        <v>Michael Becker</v>
      </c>
      <c r="AL32" s="189">
        <f>IFERROR(ROUND(IF(AK$1="Gesamt",AVERAGEIF(Eingabe[Name],Fehler[[#This Row],[Name]],Eingabe[Fehler]),IF(AK$1="Heim",AVERAGEIFS(Eingabe[Fehler],Eingabe[Name],Fehler[[#This Row],[Name]],Eingabe[Wo],"H"),IF(AK$1="Auswärts",AVERAGEIFS(Eingabe[Fehler],Eingabe[Name],Fehler[[#This Row],[Name]],Eingabe[Wo],"A"),""))),0),"")</f>
        <v>10</v>
      </c>
      <c r="AM32" s="189">
        <f>IFERROR(Fehler[[#This Row],[Fehler Schnitt]]/4,"")</f>
        <v>2.5</v>
      </c>
      <c r="AN32" s="189">
        <f>IFERROR(IF(AK$1="Gesamt",AVERAGEIF(Eingabe[Name],Fehler[[#This Row],[Name]],Eingabe[F1]),IF(AK$1="Heim",AVERAGEIFS(Eingabe[F1],Eingabe[Name],Fehler[[#This Row],[Name]],Eingabe[Wo],"H"),IF(AK$1="Auswärts",AVERAGEIFS(Eingabe[F1],Eingabe[Name],Fehler[[#This Row],[Name]],Eingabe[Wo],"A"),""))),"")</f>
        <v>2</v>
      </c>
      <c r="AO32" s="189">
        <f>IFERROR(ROUND(Fehler[[#This Row],[F1]]-Fehler[[#This Row],[Fehler Bahn Schnitt]],1),"")</f>
        <v>-0.5</v>
      </c>
      <c r="AP32" s="189">
        <f>IFERROR(IF(AK$1="Gesamt",AVERAGEIF(Eingabe[Name],Fehler[[#This Row],[Name]],Eingabe[F2]),IF(AK$1="Heim",AVERAGEIFS(Eingabe[F2],Eingabe[Name],Fehler[[#This Row],[Name]],Eingabe[Wo],"H"),IF(AK$1="Auswärts",AVERAGEIFS(Eingabe[F2],Eingabe[Name],Fehler[[#This Row],[Name]],Eingabe[Wo],"A"),""))),"")</f>
        <v>3</v>
      </c>
      <c r="AQ32" s="189">
        <f>IFERROR(ROUND(Fehler[[#This Row],[F2]]-Fehler[[#This Row],[Fehler Bahn Schnitt]],1),"")</f>
        <v>0.5</v>
      </c>
      <c r="AR32" s="189">
        <f>IFERROR(IF(AK$1="Gesamt",AVERAGEIF(Eingabe[Name],Fehler[[#This Row],[Name]],Eingabe[F3]),IF(AK$1="Heim",AVERAGEIFS(Eingabe[F3],Eingabe[Name],Fehler[[#This Row],[Name]],Eingabe[Wo],"H"),IF(AK$1="Auswärts",AVERAGEIFS(Eingabe[F1],Eingabe[Name],Fehler[[#This Row],[Name]],Eingabe[Wo],"A"),""))),"")</f>
        <v>1</v>
      </c>
      <c r="AS32" s="189">
        <f>IFERROR(ROUND(Fehler[[#This Row],[F3]]-Fehler[[#This Row],[Fehler Bahn Schnitt]],1),"")</f>
        <v>-1.5</v>
      </c>
      <c r="AT32" s="189">
        <f>IFERROR(IF(AK$1="Gesamt",AVERAGEIF(Eingabe[Name],Fehler[[#This Row],[Name]],Eingabe[F4]),IF(AK$1="Heim",AVERAGEIFS(Eingabe[F4],Eingabe[Name],Fehler[[#This Row],[Name]],Eingabe[Wo],"H"),IF(AK$1="Auswärts",AVERAGEIFS(Eingabe[F1],Eingabe[Name],Fehler[[#This Row],[Name]],Eingabe[Wo],"A"),""))),"")</f>
        <v>4</v>
      </c>
      <c r="AU32" s="189">
        <f>IFERROR(ROUND(Fehler[[#This Row],[F4]]-Fehler[[#This Row],[Fehler Bahn Schnitt]],1),"")</f>
        <v>1.5</v>
      </c>
    </row>
    <row r="33" spans="1:47" ht="15.6" x14ac:dyDescent="0.3">
      <c r="A33" s="335" t="s">
        <v>483</v>
      </c>
      <c r="B33" s="189" t="str">
        <f>IFERROR(ROUND(IF($A$1="Gesamt",AVERAGEIF(Eingabe[Name],Bahnen[[#This Row],[Name]],Eingabe[GES]),IF($A$1="Heim",AVERAGEIFS(Eingabe[GES],Eingabe[Name],Bahnen[[#This Row],[Name]],Eingabe[Wo],"H"),IF($A$1="Auswärts",AVERAGEIFS(Eingabe[GES],Eingabe[Name],Bahnen[[#This Row],[Name]],Eingabe[Wo],"A"),""))),0),"")</f>
        <v/>
      </c>
      <c r="C33" s="189" t="str">
        <f>IFERROR(Bahnen[[#This Row],[Schnitt]]/4,"")</f>
        <v/>
      </c>
      <c r="D33" s="189" t="str">
        <f>IFERROR(IF($A$1="Gesamt",AVERAGEIF(Eingabe[Name],Bahnen[[#This Row],[Name]],Eingabe[S1]),IF($A$1="Heim",AVERAGEIFS(Eingabe[S-NR],Eingabe[Name],Bahnen[[#This Row],[Name]],Eingabe[Wo],"H"),IF($A$1="Auswärts",AVERAGEIFS(Eingabe[S1],Eingabe[Name],Bahnen[[#This Row],[Name]],Eingabe[Wo],"A"),""))),"")</f>
        <v/>
      </c>
      <c r="E33" s="189" t="str">
        <f>IFERROR(ROUND(Bahnen[[#This Row],[S1]]-Bahnen[[#This Row],[Bahn Schnitt]],1),"")</f>
        <v/>
      </c>
      <c r="F33" s="189" t="str">
        <f>IFERROR(IF($A$1="Gesamt",AVERAGEIF(Eingabe[Name],Bahnen[[#This Row],[Name]],Eingabe[S2]),IF($A$1="Heim",AVERAGEIFS(Eingabe[S2],Eingabe[Name],Bahnen[[#This Row],[Name]],Eingabe[Wo],"H"),IF($A$1="Auswärts",AVERAGEIFS(Eingabe[S2],Eingabe[Name],Bahnen[[#This Row],[Name]],Eingabe[Wo],"A"),""))),"")</f>
        <v/>
      </c>
      <c r="G33" s="189" t="str">
        <f>IFERROR(ROUND(Bahnen[[#This Row],[S2]]-Bahnen[[#This Row],[Bahn Schnitt]],1),"")</f>
        <v/>
      </c>
      <c r="H33" s="189" t="str">
        <f>IFERROR(IF($A$1="Gesamt",AVERAGEIF(Eingabe[Name],Bahnen[[#This Row],[Name]],Eingabe[S3]),IF($A$1="Heim",AVERAGEIFS(Eingabe[S3],Eingabe[Name],Bahnen[[#This Row],[Name]],Eingabe[Wo],"H"),IF($A$1="Auswärts",AVERAGEIFS(Eingabe[S-NR],Eingabe[Name],Bahnen[[#This Row],[Name]],Eingabe[Wo],"A"),""))),"")</f>
        <v/>
      </c>
      <c r="I33" s="189" t="str">
        <f>IFERROR(ROUND(Bahnen[[#This Row],[S3]]-Bahnen[[#This Row],[Bahn Schnitt]],1),"")</f>
        <v/>
      </c>
      <c r="J33" s="189" t="str">
        <f>IFERROR(IF($A$1="Gesamt",AVERAGEIF(Eingabe[Name],Bahnen[[#This Row],[Name]],Eingabe[S4]),IF($A$1="Heim",AVERAGEIFS(Eingabe[S4],Eingabe[Name],Bahnen[[#This Row],[Name]],Eingabe[Wo],"H"),IF($A$1="Auswärts",AVERAGEIFS(Eingabe[S-NR],Eingabe[Name],Bahnen[[#This Row],[Name]],Eingabe[Wo],"A"),""))),"")</f>
        <v/>
      </c>
      <c r="K33" s="189" t="str">
        <f>IFERROR(ROUND(Bahnen[[#This Row],[S4]]-Bahnen[[#This Row],[Bahn Schnitt]],1),"")</f>
        <v/>
      </c>
      <c r="M33" s="335" t="str">
        <f>Bahnen[[#This Row],[Name]]</f>
        <v>Michael Klose</v>
      </c>
      <c r="N33" s="189" t="str">
        <f>IFERROR(ROUND(IF($M$1="Gesamt",AVERAGEIF(Eingabe[Name],Volle[[#This Row],[Name]],Eingabe[Volle]),IF($M$1="Heim",AVERAGEIFS(Eingabe[Volle],Eingabe[Name],Volle[[#This Row],[Name]],Eingabe[Wo],"H"),IF($M$1="Auswärts",AVERAGEIFS(Eingabe[Volle],Eingabe[Name],Volle[[#This Row],[Name]],Eingabe[Wo],"A"),""))),0),"")</f>
        <v/>
      </c>
      <c r="O33" s="189" t="str">
        <f>IFERROR(Volle[[#This Row],[Volle Schnitt]]/4,"")</f>
        <v/>
      </c>
      <c r="P33" s="189" t="str">
        <f>IFERROR(IF($M$1="Gesamt",AVERAGEIF(Eingabe[Name],Volle[[#This Row],[Name]],Eingabe[V1]),IF($M$1="Heim",AVERAGEIFS(Eingabe[V1],Eingabe[Name],Volle[[#This Row],[Name]],Eingabe[Wo],"H"),IF($M$1="Auswärts",AVERAGEIFS(Eingabe[V1],Eingabe[Name],Volle[[#This Row],[Name]],Eingabe[Wo],"A"),""))),"")</f>
        <v/>
      </c>
      <c r="Q33" s="189" t="str">
        <f>IFERROR(ROUND(Volle[[#This Row],[V1]]-Volle[[#This Row],[Volle Bahn Schnitt]],1),"")</f>
        <v/>
      </c>
      <c r="R33" s="189" t="str">
        <f>IFERROR(IF($M$1="Gesamt",AVERAGEIF(Eingabe[Name],Volle[[#This Row],[Name]],Eingabe[V2]),IF($M$1="Heim",AVERAGEIFS(Eingabe[V2],Eingabe[Name],Volle[[#This Row],[Name]],Eingabe[Wo],"H"),IF($M$1="Auswärts",AVERAGEIFS(Eingabe[V2],Eingabe[Name],Volle[[#This Row],[Name]],Eingabe[Wo],"A"),""))),"")</f>
        <v/>
      </c>
      <c r="S33" s="189" t="str">
        <f>IFERROR(ROUND(Volle[[#This Row],[V2]]-Volle[[#This Row],[Volle Bahn Schnitt]],1),"")</f>
        <v/>
      </c>
      <c r="T33" s="189" t="str">
        <f>IFERROR(IF($M$1="Gesamt",AVERAGEIF(Eingabe[Name],Volle[[#This Row],[Name]],Eingabe[V3]),IF($M$1="Heim",AVERAGEIFS(Eingabe[V3],Eingabe[Name],Volle[[#This Row],[Name]],Eingabe[Wo],"H"),IF($M$1="Auswärts",AVERAGEIFS(Eingabe[V3],Eingabe[Name],Volle[[#This Row],[Name]],Eingabe[Wo],"A"),""))),"")</f>
        <v/>
      </c>
      <c r="U33" s="189" t="str">
        <f>IFERROR(ROUND(Volle[[#This Row],[V3]]-Volle[[#This Row],[Volle Bahn Schnitt]],1),"")</f>
        <v/>
      </c>
      <c r="V33" s="189" t="str">
        <f>IFERROR(IF($M$1="Gesamt",AVERAGEIF(Eingabe[Name],Volle[[#This Row],[Name]],Eingabe[V4]),IF($M$1="Heim",AVERAGEIFS(Eingabe[V4],Eingabe[Name],Volle[[#This Row],[Name]],Eingabe[Wo],"H"),IF($M$1="Auswärts",AVERAGEIFS(Eingabe[V4],Eingabe[Name],Volle[[#This Row],[Name]],Eingabe[Wo],"A"),""))),"")</f>
        <v/>
      </c>
      <c r="W33" s="340" t="str">
        <f>IFERROR(ROUND(Volle[[#This Row],[V4]]-Volle[[#This Row],[Volle Bahn Schnitt]],1),"")</f>
        <v/>
      </c>
      <c r="Y33" s="335" t="str">
        <f>Bahnen[[#This Row],[Name]]</f>
        <v>Michael Klose</v>
      </c>
      <c r="Z33" s="189" t="str">
        <f>IFERROR(ROUND(IF(Y$1="Gesamt",AVERAGEIF(Eingabe[Name],Räumer[[#This Row],[Name]],Eingabe[Räumer]),IF(Y$1="Heim",AVERAGEIFS(Eingabe[Räumer],Eingabe[Name],Räumer[[#This Row],[Name]],Eingabe[Wo],"H"),IF(Y$1="Auswärts",AVERAGEIFS(Eingabe[Räumer],Eingabe[Name],Räumer[[#This Row],[Name]],Eingabe[Wo],"A"),""))),0),"")</f>
        <v/>
      </c>
      <c r="AA33" s="189" t="str">
        <f>IFERROR(Räumer[[#This Row],[Räumer Schnitt]]/4,"")</f>
        <v/>
      </c>
      <c r="AB33" s="189" t="str">
        <f>IFERROR(IF(Y$1="Gesamt",AVERAGEIF(Eingabe[Name],Räumer[[#This Row],[Name]],Eingabe[R1]),IF(Y$1="Heim",AVERAGEIFS(Eingabe[R1],Eingabe[Name],Räumer[[#This Row],[Name]],Eingabe[Wo],"H"),IF(Y$1="Auswärts",AVERAGEIFS(Eingabe[R1],Eingabe[Name],Räumer[[#This Row],[Name]],Eingabe[Wo],"A"),""))),"")</f>
        <v/>
      </c>
      <c r="AC33" s="189" t="str">
        <f>IFERROR(ROUND(Räumer[[#This Row],[R1]]-Räumer[[#This Row],[Räumer Bahn Schnitt]],1),"")</f>
        <v/>
      </c>
      <c r="AD33" s="189" t="str">
        <f>IFERROR(IF(Y$1="Gesamt",AVERAGEIF(Eingabe[Name],Räumer[[#This Row],[Name]],Eingabe[R2]),IF(Y$1="Heim",AVERAGEIFS(Eingabe[R2],Eingabe[Name],Räumer[[#This Row],[Name]],Eingabe[Wo],"H"),IF(Y$1="Auswärts",AVERAGEIFS(Eingabe[R2],Eingabe[Name],Räumer[[#This Row],[Name]],Eingabe[Wo],"A"),""))),"")</f>
        <v/>
      </c>
      <c r="AE33" s="189" t="str">
        <f>IFERROR(ROUND(Räumer[[#This Row],[R2]]-Räumer[[#This Row],[Räumer Bahn Schnitt]],1),"")</f>
        <v/>
      </c>
      <c r="AF33" s="189" t="str">
        <f>IFERROR(IF(Y$1="Gesamt",AVERAGEIF(Eingabe[Name],Räumer[[#This Row],[Name]],Eingabe[R3]),IF(Y$1="Heim",AVERAGEIFS(Eingabe[R3],Eingabe[Name],Räumer[[#This Row],[Name]],Eingabe[Wo],"H"),IF(Y$1="Auswärts",AVERAGEIFS(Eingabe[R3],Eingabe[Name],Räumer[[#This Row],[Name]],Eingabe[Wo],"A"),""))),"")</f>
        <v/>
      </c>
      <c r="AG33" s="189" t="str">
        <f>IFERROR(ROUND(Räumer[[#This Row],[R3]]-Räumer[[#This Row],[Räumer Bahn Schnitt]],1),"")</f>
        <v/>
      </c>
      <c r="AH33" s="189" t="str">
        <f>IFERROR(IF(Y$1="Gesamt",AVERAGEIF(Eingabe[Name],Räumer[[#This Row],[Name]],Eingabe[R4]),IF(Y$1="Heim",AVERAGEIFS(Eingabe[R4],Eingabe[Name],Räumer[[#This Row],[Name]],Eingabe[Wo],"H"),IF(Y$1="Auswärts",AVERAGEIFS(Eingabe[R4],Eingabe[Name],Räumer[[#This Row],[Name]],Eingabe[Wo],"A"),""))),"")</f>
        <v/>
      </c>
      <c r="AI33" s="189" t="str">
        <f>IFERROR(ROUND(Räumer[[#This Row],[R4]]-Räumer[[#This Row],[Räumer Bahn Schnitt]],1),"")</f>
        <v/>
      </c>
      <c r="AK33" s="335" t="str">
        <f>Bahnen[[#This Row],[Name]]</f>
        <v>Michael Klose</v>
      </c>
      <c r="AL33" s="189" t="str">
        <f>IFERROR(ROUND(IF(AK$1="Gesamt",AVERAGEIF(Eingabe[Name],Fehler[[#This Row],[Name]],Eingabe[Fehler]),IF(AK$1="Heim",AVERAGEIFS(Eingabe[Fehler],Eingabe[Name],Fehler[[#This Row],[Name]],Eingabe[Wo],"H"),IF(AK$1="Auswärts",AVERAGEIFS(Eingabe[Fehler],Eingabe[Name],Fehler[[#This Row],[Name]],Eingabe[Wo],"A"),""))),0),"")</f>
        <v/>
      </c>
      <c r="AM33" s="189" t="str">
        <f>IFERROR(Fehler[[#This Row],[Fehler Schnitt]]/4,"")</f>
        <v/>
      </c>
      <c r="AN33" s="189" t="str">
        <f>IFERROR(IF(AK$1="Gesamt",AVERAGEIF(Eingabe[Name],Fehler[[#This Row],[Name]],Eingabe[F1]),IF(AK$1="Heim",AVERAGEIFS(Eingabe[F1],Eingabe[Name],Fehler[[#This Row],[Name]],Eingabe[Wo],"H"),IF(AK$1="Auswärts",AVERAGEIFS(Eingabe[F1],Eingabe[Name],Fehler[[#This Row],[Name]],Eingabe[Wo],"A"),""))),"")</f>
        <v/>
      </c>
      <c r="AO33" s="189" t="str">
        <f>IFERROR(ROUND(Fehler[[#This Row],[F1]]-Fehler[[#This Row],[Fehler Bahn Schnitt]],1),"")</f>
        <v/>
      </c>
      <c r="AP33" s="189" t="str">
        <f>IFERROR(IF(AK$1="Gesamt",AVERAGEIF(Eingabe[Name],Fehler[[#This Row],[Name]],Eingabe[F2]),IF(AK$1="Heim",AVERAGEIFS(Eingabe[F2],Eingabe[Name],Fehler[[#This Row],[Name]],Eingabe[Wo],"H"),IF(AK$1="Auswärts",AVERAGEIFS(Eingabe[F2],Eingabe[Name],Fehler[[#This Row],[Name]],Eingabe[Wo],"A"),""))),"")</f>
        <v/>
      </c>
      <c r="AQ33" s="189" t="str">
        <f>IFERROR(ROUND(Fehler[[#This Row],[F2]]-Fehler[[#This Row],[Fehler Bahn Schnitt]],1),"")</f>
        <v/>
      </c>
      <c r="AR33" s="189" t="str">
        <f>IFERROR(IF(AK$1="Gesamt",AVERAGEIF(Eingabe[Name],Fehler[[#This Row],[Name]],Eingabe[F3]),IF(AK$1="Heim",AVERAGEIFS(Eingabe[F3],Eingabe[Name],Fehler[[#This Row],[Name]],Eingabe[Wo],"H"),IF(AK$1="Auswärts",AVERAGEIFS(Eingabe[F1],Eingabe[Name],Fehler[[#This Row],[Name]],Eingabe[Wo],"A"),""))),"")</f>
        <v/>
      </c>
      <c r="AS33" s="189" t="str">
        <f>IFERROR(ROUND(Fehler[[#This Row],[F3]]-Fehler[[#This Row],[Fehler Bahn Schnitt]],1),"")</f>
        <v/>
      </c>
      <c r="AT33" s="189" t="str">
        <f>IFERROR(IF(AK$1="Gesamt",AVERAGEIF(Eingabe[Name],Fehler[[#This Row],[Name]],Eingabe[F4]),IF(AK$1="Heim",AVERAGEIFS(Eingabe[F4],Eingabe[Name],Fehler[[#This Row],[Name]],Eingabe[Wo],"H"),IF(AK$1="Auswärts",AVERAGEIFS(Eingabe[F1],Eingabe[Name],Fehler[[#This Row],[Name]],Eingabe[Wo],"A"),""))),"")</f>
        <v/>
      </c>
      <c r="AU33" s="189" t="str">
        <f>IFERROR(ROUND(Fehler[[#This Row],[F4]]-Fehler[[#This Row],[Fehler Bahn Schnitt]],1),"")</f>
        <v/>
      </c>
    </row>
    <row r="34" spans="1:47" ht="15.6" x14ac:dyDescent="0.3">
      <c r="A34" s="335" t="s">
        <v>460</v>
      </c>
      <c r="B34" s="189">
        <f>IFERROR(ROUND(IF($A$1="Gesamt",AVERAGEIF(Eingabe[Name],Bahnen[[#This Row],[Name]],Eingabe[GES]),IF($A$1="Heim",AVERAGEIFS(Eingabe[GES],Eingabe[Name],Bahnen[[#This Row],[Name]],Eingabe[Wo],"H"),IF($A$1="Auswärts",AVERAGEIFS(Eingabe[GES],Eingabe[Name],Bahnen[[#This Row],[Name]],Eingabe[Wo],"A"),""))),0),"")</f>
        <v>545</v>
      </c>
      <c r="C34" s="189">
        <f>IFERROR(Bahnen[[#This Row],[Schnitt]]/4,"")</f>
        <v>136.25</v>
      </c>
      <c r="D34" s="189">
        <f>IFERROR(IF($A$1="Gesamt",AVERAGEIF(Eingabe[Name],Bahnen[[#This Row],[Name]],Eingabe[S1]),IF($A$1="Heim",AVERAGEIFS(Eingabe[S-NR],Eingabe[Name],Bahnen[[#This Row],[Name]],Eingabe[Wo],"H"),IF($A$1="Auswärts",AVERAGEIFS(Eingabe[S1],Eingabe[Name],Bahnen[[#This Row],[Name]],Eingabe[Wo],"A"),""))),"")</f>
        <v>138</v>
      </c>
      <c r="E34" s="189">
        <f>IFERROR(ROUND(Bahnen[[#This Row],[S1]]-Bahnen[[#This Row],[Bahn Schnitt]],1),"")</f>
        <v>1.8</v>
      </c>
      <c r="F34" s="189">
        <f>IFERROR(IF($A$1="Gesamt",AVERAGEIF(Eingabe[Name],Bahnen[[#This Row],[Name]],Eingabe[S2]),IF($A$1="Heim",AVERAGEIFS(Eingabe[S2],Eingabe[Name],Bahnen[[#This Row],[Name]],Eingabe[Wo],"H"),IF($A$1="Auswärts",AVERAGEIFS(Eingabe[S2],Eingabe[Name],Bahnen[[#This Row],[Name]],Eingabe[Wo],"A"),""))),"")</f>
        <v>126</v>
      </c>
      <c r="G34" s="189">
        <f>IFERROR(ROUND(Bahnen[[#This Row],[S2]]-Bahnen[[#This Row],[Bahn Schnitt]],1),"")</f>
        <v>-10.3</v>
      </c>
      <c r="H34" s="189">
        <f>IFERROR(IF($A$1="Gesamt",AVERAGEIF(Eingabe[Name],Bahnen[[#This Row],[Name]],Eingabe[S3]),IF($A$1="Heim",AVERAGEIFS(Eingabe[S3],Eingabe[Name],Bahnen[[#This Row],[Name]],Eingabe[Wo],"H"),IF($A$1="Auswärts",AVERAGEIFS(Eingabe[S-NR],Eingabe[Name],Bahnen[[#This Row],[Name]],Eingabe[Wo],"A"),""))),"")</f>
        <v>147</v>
      </c>
      <c r="I34" s="189">
        <f>IFERROR(ROUND(Bahnen[[#This Row],[S3]]-Bahnen[[#This Row],[Bahn Schnitt]],1),"")</f>
        <v>10.8</v>
      </c>
      <c r="J34" s="189">
        <f>IFERROR(IF($A$1="Gesamt",AVERAGEIF(Eingabe[Name],Bahnen[[#This Row],[Name]],Eingabe[S4]),IF($A$1="Heim",AVERAGEIFS(Eingabe[S4],Eingabe[Name],Bahnen[[#This Row],[Name]],Eingabe[Wo],"H"),IF($A$1="Auswärts",AVERAGEIFS(Eingabe[S-NR],Eingabe[Name],Bahnen[[#This Row],[Name]],Eingabe[Wo],"A"),""))),"")</f>
        <v>134</v>
      </c>
      <c r="K34" s="189">
        <f>IFERROR(ROUND(Bahnen[[#This Row],[S4]]-Bahnen[[#This Row],[Bahn Schnitt]],1),"")</f>
        <v>-2.2999999999999998</v>
      </c>
      <c r="M34" s="335" t="str">
        <f>Bahnen[[#This Row],[Name]]</f>
        <v>Mick Becker</v>
      </c>
      <c r="N34" s="189">
        <f>IFERROR(ROUND(IF($M$1="Gesamt",AVERAGEIF(Eingabe[Name],Volle[[#This Row],[Name]],Eingabe[Volle]),IF($M$1="Heim",AVERAGEIFS(Eingabe[Volle],Eingabe[Name],Volle[[#This Row],[Name]],Eingabe[Wo],"H"),IF($M$1="Auswärts",AVERAGEIFS(Eingabe[Volle],Eingabe[Name],Volle[[#This Row],[Name]],Eingabe[Wo],"A"),""))),0),"")</f>
        <v>362</v>
      </c>
      <c r="O34" s="189">
        <f>IFERROR(Volle[[#This Row],[Volle Schnitt]]/4,"")</f>
        <v>90.5</v>
      </c>
      <c r="P34" s="189">
        <f>IFERROR(IF($M$1="Gesamt",AVERAGEIF(Eingabe[Name],Volle[[#This Row],[Name]],Eingabe[V1]),IF($M$1="Heim",AVERAGEIFS(Eingabe[V1],Eingabe[Name],Volle[[#This Row],[Name]],Eingabe[Wo],"H"),IF($M$1="Auswärts",AVERAGEIFS(Eingabe[V1],Eingabe[Name],Volle[[#This Row],[Name]],Eingabe[Wo],"A"),""))),"")</f>
        <v>86</v>
      </c>
      <c r="Q34" s="189">
        <f>IFERROR(ROUND(Volle[[#This Row],[V1]]-Volle[[#This Row],[Volle Bahn Schnitt]],1),"")</f>
        <v>-4.5</v>
      </c>
      <c r="R34" s="189">
        <f>IFERROR(IF($M$1="Gesamt",AVERAGEIF(Eingabe[Name],Volle[[#This Row],[Name]],Eingabe[V2]),IF($M$1="Heim",AVERAGEIFS(Eingabe[V2],Eingabe[Name],Volle[[#This Row],[Name]],Eingabe[Wo],"H"),IF($M$1="Auswärts",AVERAGEIFS(Eingabe[V2],Eingabe[Name],Volle[[#This Row],[Name]],Eingabe[Wo],"A"),""))),"")</f>
        <v>91</v>
      </c>
      <c r="S34" s="189">
        <f>IFERROR(ROUND(Volle[[#This Row],[V2]]-Volle[[#This Row],[Volle Bahn Schnitt]],1),"")</f>
        <v>0.5</v>
      </c>
      <c r="T34" s="189">
        <f>IFERROR(IF($M$1="Gesamt",AVERAGEIF(Eingabe[Name],Volle[[#This Row],[Name]],Eingabe[V3]),IF($M$1="Heim",AVERAGEIFS(Eingabe[V3],Eingabe[Name],Volle[[#This Row],[Name]],Eingabe[Wo],"H"),IF($M$1="Auswärts",AVERAGEIFS(Eingabe[V3],Eingabe[Name],Volle[[#This Row],[Name]],Eingabe[Wo],"A"),""))),"")</f>
        <v>95</v>
      </c>
      <c r="U34" s="189">
        <f>IFERROR(ROUND(Volle[[#This Row],[V3]]-Volle[[#This Row],[Volle Bahn Schnitt]],1),"")</f>
        <v>4.5</v>
      </c>
      <c r="V34" s="189">
        <f>IFERROR(IF($M$1="Gesamt",AVERAGEIF(Eingabe[Name],Volle[[#This Row],[Name]],Eingabe[V4]),IF($M$1="Heim",AVERAGEIFS(Eingabe[V4],Eingabe[Name],Volle[[#This Row],[Name]],Eingabe[Wo],"H"),IF($M$1="Auswärts",AVERAGEIFS(Eingabe[V4],Eingabe[Name],Volle[[#This Row],[Name]],Eingabe[Wo],"A"),""))),"")</f>
        <v>90</v>
      </c>
      <c r="W34" s="340">
        <f>IFERROR(ROUND(Volle[[#This Row],[V4]]-Volle[[#This Row],[Volle Bahn Schnitt]],1),"")</f>
        <v>-0.5</v>
      </c>
      <c r="Y34" s="335" t="str">
        <f>Bahnen[[#This Row],[Name]]</f>
        <v>Mick Becker</v>
      </c>
      <c r="Z34" s="189">
        <f>IFERROR(ROUND(IF(Y$1="Gesamt",AVERAGEIF(Eingabe[Name],Räumer[[#This Row],[Name]],Eingabe[Räumer]),IF(Y$1="Heim",AVERAGEIFS(Eingabe[Räumer],Eingabe[Name],Räumer[[#This Row],[Name]],Eingabe[Wo],"H"),IF(Y$1="Auswärts",AVERAGEIFS(Eingabe[Räumer],Eingabe[Name],Räumer[[#This Row],[Name]],Eingabe[Wo],"A"),""))),0),"")</f>
        <v>183</v>
      </c>
      <c r="AA34" s="189">
        <f>IFERROR(Räumer[[#This Row],[Räumer Schnitt]]/4,"")</f>
        <v>45.75</v>
      </c>
      <c r="AB34" s="189">
        <f>IFERROR(IF(Y$1="Gesamt",AVERAGEIF(Eingabe[Name],Räumer[[#This Row],[Name]],Eingabe[R1]),IF(Y$1="Heim",AVERAGEIFS(Eingabe[R1],Eingabe[Name],Räumer[[#This Row],[Name]],Eingabe[Wo],"H"),IF(Y$1="Auswärts",AVERAGEIFS(Eingabe[R1],Eingabe[Name],Räumer[[#This Row],[Name]],Eingabe[Wo],"A"),""))),"")</f>
        <v>52</v>
      </c>
      <c r="AC34" s="189">
        <f>IFERROR(ROUND(Räumer[[#This Row],[R1]]-Räumer[[#This Row],[Räumer Bahn Schnitt]],1),"")</f>
        <v>6.3</v>
      </c>
      <c r="AD34" s="189">
        <f>IFERROR(IF(Y$1="Gesamt",AVERAGEIF(Eingabe[Name],Räumer[[#This Row],[Name]],Eingabe[R2]),IF(Y$1="Heim",AVERAGEIFS(Eingabe[R2],Eingabe[Name],Räumer[[#This Row],[Name]],Eingabe[Wo],"H"),IF(Y$1="Auswärts",AVERAGEIFS(Eingabe[R2],Eingabe[Name],Räumer[[#This Row],[Name]],Eingabe[Wo],"A"),""))),"")</f>
        <v>35</v>
      </c>
      <c r="AE34" s="189">
        <f>IFERROR(ROUND(Räumer[[#This Row],[R2]]-Räumer[[#This Row],[Räumer Bahn Schnitt]],1),"")</f>
        <v>-10.8</v>
      </c>
      <c r="AF34" s="189">
        <f>IFERROR(IF(Y$1="Gesamt",AVERAGEIF(Eingabe[Name],Räumer[[#This Row],[Name]],Eingabe[R3]),IF(Y$1="Heim",AVERAGEIFS(Eingabe[R3],Eingabe[Name],Räumer[[#This Row],[Name]],Eingabe[Wo],"H"),IF(Y$1="Auswärts",AVERAGEIFS(Eingabe[R3],Eingabe[Name],Räumer[[#This Row],[Name]],Eingabe[Wo],"A"),""))),"")</f>
        <v>52</v>
      </c>
      <c r="AG34" s="189">
        <f>IFERROR(ROUND(Räumer[[#This Row],[R3]]-Räumer[[#This Row],[Räumer Bahn Schnitt]],1),"")</f>
        <v>6.3</v>
      </c>
      <c r="AH34" s="189">
        <f>IFERROR(IF(Y$1="Gesamt",AVERAGEIF(Eingabe[Name],Räumer[[#This Row],[Name]],Eingabe[R4]),IF(Y$1="Heim",AVERAGEIFS(Eingabe[R4],Eingabe[Name],Räumer[[#This Row],[Name]],Eingabe[Wo],"H"),IF(Y$1="Auswärts",AVERAGEIFS(Eingabe[R4],Eingabe[Name],Räumer[[#This Row],[Name]],Eingabe[Wo],"A"),""))),"")</f>
        <v>44</v>
      </c>
      <c r="AI34" s="189">
        <f>IFERROR(ROUND(Räumer[[#This Row],[R4]]-Räumer[[#This Row],[Räumer Bahn Schnitt]],1),"")</f>
        <v>-1.8</v>
      </c>
      <c r="AK34" s="335" t="str">
        <f>Bahnen[[#This Row],[Name]]</f>
        <v>Mick Becker</v>
      </c>
      <c r="AL34" s="189">
        <f>IFERROR(ROUND(IF(AK$1="Gesamt",AVERAGEIF(Eingabe[Name],Fehler[[#This Row],[Name]],Eingabe[Fehler]),IF(AK$1="Heim",AVERAGEIFS(Eingabe[Fehler],Eingabe[Name],Fehler[[#This Row],[Name]],Eingabe[Wo],"H"),IF(AK$1="Auswärts",AVERAGEIFS(Eingabe[Fehler],Eingabe[Name],Fehler[[#This Row],[Name]],Eingabe[Wo],"A"),""))),0),"")</f>
        <v>9</v>
      </c>
      <c r="AM34" s="189">
        <f>IFERROR(Fehler[[#This Row],[Fehler Schnitt]]/4,"")</f>
        <v>2.25</v>
      </c>
      <c r="AN34" s="189">
        <f>IFERROR(IF(AK$1="Gesamt",AVERAGEIF(Eingabe[Name],Fehler[[#This Row],[Name]],Eingabe[F1]),IF(AK$1="Heim",AVERAGEIFS(Eingabe[F1],Eingabe[Name],Fehler[[#This Row],[Name]],Eingabe[Wo],"H"),IF(AK$1="Auswärts",AVERAGEIFS(Eingabe[F1],Eingabe[Name],Fehler[[#This Row],[Name]],Eingabe[Wo],"A"),""))),"")</f>
        <v>2</v>
      </c>
      <c r="AO34" s="189">
        <f>IFERROR(ROUND(Fehler[[#This Row],[F1]]-Fehler[[#This Row],[Fehler Bahn Schnitt]],1),"")</f>
        <v>-0.3</v>
      </c>
      <c r="AP34" s="189">
        <f>IFERROR(IF(AK$1="Gesamt",AVERAGEIF(Eingabe[Name],Fehler[[#This Row],[Name]],Eingabe[F2]),IF(AK$1="Heim",AVERAGEIFS(Eingabe[F2],Eingabe[Name],Fehler[[#This Row],[Name]],Eingabe[Wo],"H"),IF(AK$1="Auswärts",AVERAGEIFS(Eingabe[F2],Eingabe[Name],Fehler[[#This Row],[Name]],Eingabe[Wo],"A"),""))),"")</f>
        <v>4</v>
      </c>
      <c r="AQ34" s="189">
        <f>IFERROR(ROUND(Fehler[[#This Row],[F2]]-Fehler[[#This Row],[Fehler Bahn Schnitt]],1),"")</f>
        <v>1.8</v>
      </c>
      <c r="AR34" s="189">
        <f>IFERROR(IF(AK$1="Gesamt",AVERAGEIF(Eingabe[Name],Fehler[[#This Row],[Name]],Eingabe[F3]),IF(AK$1="Heim",AVERAGEIFS(Eingabe[F3],Eingabe[Name],Fehler[[#This Row],[Name]],Eingabe[Wo],"H"),IF(AK$1="Auswärts",AVERAGEIFS(Eingabe[F1],Eingabe[Name],Fehler[[#This Row],[Name]],Eingabe[Wo],"A"),""))),"")</f>
        <v>1</v>
      </c>
      <c r="AS34" s="189">
        <f>IFERROR(ROUND(Fehler[[#This Row],[F3]]-Fehler[[#This Row],[Fehler Bahn Schnitt]],1),"")</f>
        <v>-1.3</v>
      </c>
      <c r="AT34" s="189">
        <f>IFERROR(IF(AK$1="Gesamt",AVERAGEIF(Eingabe[Name],Fehler[[#This Row],[Name]],Eingabe[F4]),IF(AK$1="Heim",AVERAGEIFS(Eingabe[F4],Eingabe[Name],Fehler[[#This Row],[Name]],Eingabe[Wo],"H"),IF(AK$1="Auswärts",AVERAGEIFS(Eingabe[F1],Eingabe[Name],Fehler[[#This Row],[Name]],Eingabe[Wo],"A"),""))),"")</f>
        <v>2</v>
      </c>
      <c r="AU34" s="189">
        <f>IFERROR(ROUND(Fehler[[#This Row],[F4]]-Fehler[[#This Row],[Fehler Bahn Schnitt]],1),"")</f>
        <v>-0.3</v>
      </c>
    </row>
    <row r="35" spans="1:47" ht="15.6" x14ac:dyDescent="0.3">
      <c r="A35" s="335" t="s">
        <v>465</v>
      </c>
      <c r="B35" s="189">
        <f>IFERROR(ROUND(IF($A$1="Gesamt",AVERAGEIF(Eingabe[Name],Bahnen[[#This Row],[Name]],Eingabe[GES]),IF($A$1="Heim",AVERAGEIFS(Eingabe[GES],Eingabe[Name],Bahnen[[#This Row],[Name]],Eingabe[Wo],"H"),IF($A$1="Auswärts",AVERAGEIFS(Eingabe[GES],Eingabe[Name],Bahnen[[#This Row],[Name]],Eingabe[Wo],"A"),""))),0),"")</f>
        <v>526</v>
      </c>
      <c r="C35" s="189">
        <f>IFERROR(Bahnen[[#This Row],[Schnitt]]/4,"")</f>
        <v>131.5</v>
      </c>
      <c r="D35" s="189">
        <f>IFERROR(IF($A$1="Gesamt",AVERAGEIF(Eingabe[Name],Bahnen[[#This Row],[Name]],Eingabe[S1]),IF($A$1="Heim",AVERAGEIFS(Eingabe[S-NR],Eingabe[Name],Bahnen[[#This Row],[Name]],Eingabe[Wo],"H"),IF($A$1="Auswärts",AVERAGEIFS(Eingabe[S1],Eingabe[Name],Bahnen[[#This Row],[Name]],Eingabe[Wo],"A"),""))),"")</f>
        <v>132.22222222222223</v>
      </c>
      <c r="E35" s="189">
        <f>IFERROR(ROUND(Bahnen[[#This Row],[S1]]-Bahnen[[#This Row],[Bahn Schnitt]],1),"")</f>
        <v>0.7</v>
      </c>
      <c r="F35" s="189">
        <f>IFERROR(IF($A$1="Gesamt",AVERAGEIF(Eingabe[Name],Bahnen[[#This Row],[Name]],Eingabe[S2]),IF($A$1="Heim",AVERAGEIFS(Eingabe[S2],Eingabe[Name],Bahnen[[#This Row],[Name]],Eingabe[Wo],"H"),IF($A$1="Auswärts",AVERAGEIFS(Eingabe[S2],Eingabe[Name],Bahnen[[#This Row],[Name]],Eingabe[Wo],"A"),""))),"")</f>
        <v>131.66666666666666</v>
      </c>
      <c r="G35" s="189">
        <f>IFERROR(ROUND(Bahnen[[#This Row],[S2]]-Bahnen[[#This Row],[Bahn Schnitt]],1),"")</f>
        <v>0.2</v>
      </c>
      <c r="H35" s="189">
        <f>IFERROR(IF($A$1="Gesamt",AVERAGEIF(Eingabe[Name],Bahnen[[#This Row],[Name]],Eingabe[S3]),IF($A$1="Heim",AVERAGEIFS(Eingabe[S3],Eingabe[Name],Bahnen[[#This Row],[Name]],Eingabe[Wo],"H"),IF($A$1="Auswärts",AVERAGEIFS(Eingabe[S-NR],Eingabe[Name],Bahnen[[#This Row],[Name]],Eingabe[Wo],"A"),""))),"")</f>
        <v>127.77777777777777</v>
      </c>
      <c r="I35" s="189">
        <f>IFERROR(ROUND(Bahnen[[#This Row],[S3]]-Bahnen[[#This Row],[Bahn Schnitt]],1),"")</f>
        <v>-3.7</v>
      </c>
      <c r="J35" s="189">
        <f>IFERROR(IF($A$1="Gesamt",AVERAGEIF(Eingabe[Name],Bahnen[[#This Row],[Name]],Eingabe[S4]),IF($A$1="Heim",AVERAGEIFS(Eingabe[S4],Eingabe[Name],Bahnen[[#This Row],[Name]],Eingabe[Wo],"H"),IF($A$1="Auswärts",AVERAGEIFS(Eingabe[S-NR],Eingabe[Name],Bahnen[[#This Row],[Name]],Eingabe[Wo],"A"),""))),"")</f>
        <v>134.44444444444446</v>
      </c>
      <c r="K35" s="189">
        <f>IFERROR(ROUND(Bahnen[[#This Row],[S4]]-Bahnen[[#This Row],[Bahn Schnitt]],1),"")</f>
        <v>2.9</v>
      </c>
      <c r="M35" s="335" t="str">
        <f>Bahnen[[#This Row],[Name]]</f>
        <v>Olaf Kurtze</v>
      </c>
      <c r="N35" s="189">
        <f>IFERROR(ROUND(IF($M$1="Gesamt",AVERAGEIF(Eingabe[Name],Volle[[#This Row],[Name]],Eingabe[Volle]),IF($M$1="Heim",AVERAGEIFS(Eingabe[Volle],Eingabe[Name],Volle[[#This Row],[Name]],Eingabe[Wo],"H"),IF($M$1="Auswärts",AVERAGEIFS(Eingabe[Volle],Eingabe[Name],Volle[[#This Row],[Name]],Eingabe[Wo],"A"),""))),0),"")</f>
        <v>359</v>
      </c>
      <c r="O35" s="189">
        <f>IFERROR(Volle[[#This Row],[Volle Schnitt]]/4,"")</f>
        <v>89.75</v>
      </c>
      <c r="P35" s="189">
        <f>IFERROR(IF($M$1="Gesamt",AVERAGEIF(Eingabe[Name],Volle[[#This Row],[Name]],Eingabe[V1]),IF($M$1="Heim",AVERAGEIFS(Eingabe[V1],Eingabe[Name],Volle[[#This Row],[Name]],Eingabe[Wo],"H"),IF($M$1="Auswärts",AVERAGEIFS(Eingabe[V1],Eingabe[Name],Volle[[#This Row],[Name]],Eingabe[Wo],"A"),""))),"")</f>
        <v>91.555555555555557</v>
      </c>
      <c r="Q35" s="189">
        <f>IFERROR(ROUND(Volle[[#This Row],[V1]]-Volle[[#This Row],[Volle Bahn Schnitt]],1),"")</f>
        <v>1.8</v>
      </c>
      <c r="R35" s="189">
        <f>IFERROR(IF($M$1="Gesamt",AVERAGEIF(Eingabe[Name],Volle[[#This Row],[Name]],Eingabe[V2]),IF($M$1="Heim",AVERAGEIFS(Eingabe[V2],Eingabe[Name],Volle[[#This Row],[Name]],Eingabe[Wo],"H"),IF($M$1="Auswärts",AVERAGEIFS(Eingabe[V2],Eingabe[Name],Volle[[#This Row],[Name]],Eingabe[Wo],"A"),""))),"")</f>
        <v>92</v>
      </c>
      <c r="S35" s="189">
        <f>IFERROR(ROUND(Volle[[#This Row],[V2]]-Volle[[#This Row],[Volle Bahn Schnitt]],1),"")</f>
        <v>2.2999999999999998</v>
      </c>
      <c r="T35" s="189">
        <f>IFERROR(IF($M$1="Gesamt",AVERAGEIF(Eingabe[Name],Volle[[#This Row],[Name]],Eingabe[V3]),IF($M$1="Heim",AVERAGEIFS(Eingabe[V3],Eingabe[Name],Volle[[#This Row],[Name]],Eingabe[Wo],"H"),IF($M$1="Auswärts",AVERAGEIFS(Eingabe[V3],Eingabe[Name],Volle[[#This Row],[Name]],Eingabe[Wo],"A"),""))),"")</f>
        <v>86.555555555555557</v>
      </c>
      <c r="U35" s="189">
        <f>IFERROR(ROUND(Volle[[#This Row],[V3]]-Volle[[#This Row],[Volle Bahn Schnitt]],1),"")</f>
        <v>-3.2</v>
      </c>
      <c r="V35" s="189">
        <f>IFERROR(IF($M$1="Gesamt",AVERAGEIF(Eingabe[Name],Volle[[#This Row],[Name]],Eingabe[V4]),IF($M$1="Heim",AVERAGEIFS(Eingabe[V4],Eingabe[Name],Volle[[#This Row],[Name]],Eingabe[Wo],"H"),IF($M$1="Auswärts",AVERAGEIFS(Eingabe[V4],Eingabe[Name],Volle[[#This Row],[Name]],Eingabe[Wo],"A"),""))),"")</f>
        <v>89.333333333333329</v>
      </c>
      <c r="W35" s="340">
        <f>IFERROR(ROUND(Volle[[#This Row],[V4]]-Volle[[#This Row],[Volle Bahn Schnitt]],1),"")</f>
        <v>-0.4</v>
      </c>
      <c r="Y35" s="335" t="str">
        <f>Bahnen[[#This Row],[Name]]</f>
        <v>Olaf Kurtze</v>
      </c>
      <c r="Z35" s="189">
        <f>IFERROR(ROUND(IF(Y$1="Gesamt",AVERAGEIF(Eingabe[Name],Räumer[[#This Row],[Name]],Eingabe[Räumer]),IF(Y$1="Heim",AVERAGEIFS(Eingabe[Räumer],Eingabe[Name],Räumer[[#This Row],[Name]],Eingabe[Wo],"H"),IF(Y$1="Auswärts",AVERAGEIFS(Eingabe[Räumer],Eingabe[Name],Räumer[[#This Row],[Name]],Eingabe[Wo],"A"),""))),0),"")</f>
        <v>167</v>
      </c>
      <c r="AA35" s="189">
        <f>IFERROR(Räumer[[#This Row],[Räumer Schnitt]]/4,"")</f>
        <v>41.75</v>
      </c>
      <c r="AB35" s="189">
        <f>IFERROR(IF(Y$1="Gesamt",AVERAGEIF(Eingabe[Name],Räumer[[#This Row],[Name]],Eingabe[R1]),IF(Y$1="Heim",AVERAGEIFS(Eingabe[R1],Eingabe[Name],Räumer[[#This Row],[Name]],Eingabe[Wo],"H"),IF(Y$1="Auswärts",AVERAGEIFS(Eingabe[R1],Eingabe[Name],Räumer[[#This Row],[Name]],Eingabe[Wo],"A"),""))),"")</f>
        <v>40.666666666666664</v>
      </c>
      <c r="AC35" s="189">
        <f>IFERROR(ROUND(Räumer[[#This Row],[R1]]-Räumer[[#This Row],[Räumer Bahn Schnitt]],1),"")</f>
        <v>-1.1000000000000001</v>
      </c>
      <c r="AD35" s="189">
        <f>IFERROR(IF(Y$1="Gesamt",AVERAGEIF(Eingabe[Name],Räumer[[#This Row],[Name]],Eingabe[R2]),IF(Y$1="Heim",AVERAGEIFS(Eingabe[R2],Eingabe[Name],Räumer[[#This Row],[Name]],Eingabe[Wo],"H"),IF(Y$1="Auswärts",AVERAGEIFS(Eingabe[R2],Eingabe[Name],Räumer[[#This Row],[Name]],Eingabe[Wo],"A"),""))),"")</f>
        <v>39.666666666666664</v>
      </c>
      <c r="AE35" s="189">
        <f>IFERROR(ROUND(Räumer[[#This Row],[R2]]-Räumer[[#This Row],[Räumer Bahn Schnitt]],1),"")</f>
        <v>-2.1</v>
      </c>
      <c r="AF35" s="189">
        <f>IFERROR(IF(Y$1="Gesamt",AVERAGEIF(Eingabe[Name],Räumer[[#This Row],[Name]],Eingabe[R3]),IF(Y$1="Heim",AVERAGEIFS(Eingabe[R3],Eingabe[Name],Räumer[[#This Row],[Name]],Eingabe[Wo],"H"),IF(Y$1="Auswärts",AVERAGEIFS(Eingabe[R3],Eingabe[Name],Räumer[[#This Row],[Name]],Eingabe[Wo],"A"),""))),"")</f>
        <v>41.222222222222221</v>
      </c>
      <c r="AG35" s="189">
        <f>IFERROR(ROUND(Räumer[[#This Row],[R3]]-Räumer[[#This Row],[Räumer Bahn Schnitt]],1),"")</f>
        <v>-0.5</v>
      </c>
      <c r="AH35" s="189">
        <f>IFERROR(IF(Y$1="Gesamt",AVERAGEIF(Eingabe[Name],Räumer[[#This Row],[Name]],Eingabe[R4]),IF(Y$1="Heim",AVERAGEIFS(Eingabe[R4],Eingabe[Name],Räumer[[#This Row],[Name]],Eingabe[Wo],"H"),IF(Y$1="Auswärts",AVERAGEIFS(Eingabe[R4],Eingabe[Name],Räumer[[#This Row],[Name]],Eingabe[Wo],"A"),""))),"")</f>
        <v>45.111111111111114</v>
      </c>
      <c r="AI35" s="189">
        <f>IFERROR(ROUND(Räumer[[#This Row],[R4]]-Räumer[[#This Row],[Räumer Bahn Schnitt]],1),"")</f>
        <v>3.4</v>
      </c>
      <c r="AK35" s="335" t="str">
        <f>Bahnen[[#This Row],[Name]]</f>
        <v>Olaf Kurtze</v>
      </c>
      <c r="AL35" s="189">
        <f>IFERROR(ROUND(IF(AK$1="Gesamt",AVERAGEIF(Eingabe[Name],Fehler[[#This Row],[Name]],Eingabe[Fehler]),IF(AK$1="Heim",AVERAGEIFS(Eingabe[Fehler],Eingabe[Name],Fehler[[#This Row],[Name]],Eingabe[Wo],"H"),IF(AK$1="Auswärts",AVERAGEIFS(Eingabe[Fehler],Eingabe[Name],Fehler[[#This Row],[Name]],Eingabe[Wo],"A"),""))),0),"")</f>
        <v>8</v>
      </c>
      <c r="AM35" s="189">
        <f>IFERROR(Fehler[[#This Row],[Fehler Schnitt]]/4,"")</f>
        <v>2</v>
      </c>
      <c r="AN35" s="189">
        <f>IFERROR(IF(AK$1="Gesamt",AVERAGEIF(Eingabe[Name],Fehler[[#This Row],[Name]],Eingabe[F1]),IF(AK$1="Heim",AVERAGEIFS(Eingabe[F1],Eingabe[Name],Fehler[[#This Row],[Name]],Eingabe[Wo],"H"),IF(AK$1="Auswärts",AVERAGEIFS(Eingabe[F1],Eingabe[Name],Fehler[[#This Row],[Name]],Eingabe[Wo],"A"),""))),"")</f>
        <v>2.6666666666666665</v>
      </c>
      <c r="AO35" s="189">
        <f>IFERROR(ROUND(Fehler[[#This Row],[F1]]-Fehler[[#This Row],[Fehler Bahn Schnitt]],1),"")</f>
        <v>0.7</v>
      </c>
      <c r="AP35" s="189">
        <f>IFERROR(IF(AK$1="Gesamt",AVERAGEIF(Eingabe[Name],Fehler[[#This Row],[Name]],Eingabe[F2]),IF(AK$1="Heim",AVERAGEIFS(Eingabe[F2],Eingabe[Name],Fehler[[#This Row],[Name]],Eingabe[Wo],"H"),IF(AK$1="Auswärts",AVERAGEIFS(Eingabe[F2],Eingabe[Name],Fehler[[#This Row],[Name]],Eingabe[Wo],"A"),""))),"")</f>
        <v>1.5555555555555556</v>
      </c>
      <c r="AQ35" s="189">
        <f>IFERROR(ROUND(Fehler[[#This Row],[F2]]-Fehler[[#This Row],[Fehler Bahn Schnitt]],1),"")</f>
        <v>-0.4</v>
      </c>
      <c r="AR35" s="189">
        <f>IFERROR(IF(AK$1="Gesamt",AVERAGEIF(Eingabe[Name],Fehler[[#This Row],[Name]],Eingabe[F3]),IF(AK$1="Heim",AVERAGEIFS(Eingabe[F3],Eingabe[Name],Fehler[[#This Row],[Name]],Eingabe[Wo],"H"),IF(AK$1="Auswärts",AVERAGEIFS(Eingabe[F1],Eingabe[Name],Fehler[[#This Row],[Name]],Eingabe[Wo],"A"),""))),"")</f>
        <v>2.2222222222222223</v>
      </c>
      <c r="AS35" s="189">
        <f>IFERROR(ROUND(Fehler[[#This Row],[F3]]-Fehler[[#This Row],[Fehler Bahn Schnitt]],1),"")</f>
        <v>0.2</v>
      </c>
      <c r="AT35" s="189">
        <f>IFERROR(IF(AK$1="Gesamt",AVERAGEIF(Eingabe[Name],Fehler[[#This Row],[Name]],Eingabe[F4]),IF(AK$1="Heim",AVERAGEIFS(Eingabe[F4],Eingabe[Name],Fehler[[#This Row],[Name]],Eingabe[Wo],"H"),IF(AK$1="Auswärts",AVERAGEIFS(Eingabe[F1],Eingabe[Name],Fehler[[#This Row],[Name]],Eingabe[Wo],"A"),""))),"")</f>
        <v>1.3333333333333333</v>
      </c>
      <c r="AU35" s="189">
        <f>IFERROR(ROUND(Fehler[[#This Row],[F4]]-Fehler[[#This Row],[Fehler Bahn Schnitt]],1),"")</f>
        <v>-0.7</v>
      </c>
    </row>
    <row r="36" spans="1:47" ht="15.6" x14ac:dyDescent="0.3">
      <c r="A36" s="335" t="s">
        <v>493</v>
      </c>
      <c r="B36" s="189">
        <f>IFERROR(ROUND(IF($A$1="Gesamt",AVERAGEIF(Eingabe[Name],Bahnen[[#This Row],[Name]],Eingabe[GES]),IF($A$1="Heim",AVERAGEIFS(Eingabe[GES],Eingabe[Name],Bahnen[[#This Row],[Name]],Eingabe[Wo],"H"),IF($A$1="Auswärts",AVERAGEIFS(Eingabe[GES],Eingabe[Name],Bahnen[[#This Row],[Name]],Eingabe[Wo],"A"),""))),0),"")</f>
        <v>510</v>
      </c>
      <c r="C36" s="189">
        <f>IFERROR(Bahnen[[#This Row],[Schnitt]]/4,"")</f>
        <v>127.5</v>
      </c>
      <c r="D36" s="189">
        <f>IFERROR(IF($A$1="Gesamt",AVERAGEIF(Eingabe[Name],Bahnen[[#This Row],[Name]],Eingabe[S1]),IF($A$1="Heim",AVERAGEIFS(Eingabe[S-NR],Eingabe[Name],Bahnen[[#This Row],[Name]],Eingabe[Wo],"H"),IF($A$1="Auswärts",AVERAGEIFS(Eingabe[S1],Eingabe[Name],Bahnen[[#This Row],[Name]],Eingabe[Wo],"A"),""))),"")</f>
        <v>121.33333333333333</v>
      </c>
      <c r="E36" s="189">
        <f>IFERROR(ROUND(Bahnen[[#This Row],[S1]]-Bahnen[[#This Row],[Bahn Schnitt]],1),"")</f>
        <v>-6.2</v>
      </c>
      <c r="F36" s="189">
        <f>IFERROR(IF($A$1="Gesamt",AVERAGEIF(Eingabe[Name],Bahnen[[#This Row],[Name]],Eingabe[S2]),IF($A$1="Heim",AVERAGEIFS(Eingabe[S2],Eingabe[Name],Bahnen[[#This Row],[Name]],Eingabe[Wo],"H"),IF($A$1="Auswärts",AVERAGEIFS(Eingabe[S2],Eingabe[Name],Bahnen[[#This Row],[Name]],Eingabe[Wo],"A"),""))),"")</f>
        <v>123.66666666666667</v>
      </c>
      <c r="G36" s="189">
        <f>IFERROR(ROUND(Bahnen[[#This Row],[S2]]-Bahnen[[#This Row],[Bahn Schnitt]],1),"")</f>
        <v>-3.8</v>
      </c>
      <c r="H36" s="189">
        <f>IFERROR(IF($A$1="Gesamt",AVERAGEIF(Eingabe[Name],Bahnen[[#This Row],[Name]],Eingabe[S3]),IF($A$1="Heim",AVERAGEIFS(Eingabe[S3],Eingabe[Name],Bahnen[[#This Row],[Name]],Eingabe[Wo],"H"),IF($A$1="Auswärts",AVERAGEIFS(Eingabe[S-NR],Eingabe[Name],Bahnen[[#This Row],[Name]],Eingabe[Wo],"A"),""))),"")</f>
        <v>130.33333333333334</v>
      </c>
      <c r="I36" s="189">
        <f>IFERROR(ROUND(Bahnen[[#This Row],[S3]]-Bahnen[[#This Row],[Bahn Schnitt]],1),"")</f>
        <v>2.8</v>
      </c>
      <c r="J36" s="189">
        <f>IFERROR(IF($A$1="Gesamt",AVERAGEIF(Eingabe[Name],Bahnen[[#This Row],[Name]],Eingabe[S4]),IF($A$1="Heim",AVERAGEIFS(Eingabe[S4],Eingabe[Name],Bahnen[[#This Row],[Name]],Eingabe[Wo],"H"),IF($A$1="Auswärts",AVERAGEIFS(Eingabe[S-NR],Eingabe[Name],Bahnen[[#This Row],[Name]],Eingabe[Wo],"A"),""))),"")</f>
        <v>134.33333333333334</v>
      </c>
      <c r="K36" s="189">
        <f>IFERROR(ROUND(Bahnen[[#This Row],[S4]]-Bahnen[[#This Row],[Bahn Schnitt]],1),"")</f>
        <v>6.8</v>
      </c>
      <c r="M36" s="335" t="str">
        <f>Bahnen[[#This Row],[Name]]</f>
        <v>Patrick Frenzel</v>
      </c>
      <c r="N36" s="189">
        <f>IFERROR(ROUND(IF($M$1="Gesamt",AVERAGEIF(Eingabe[Name],Volle[[#This Row],[Name]],Eingabe[Volle]),IF($M$1="Heim",AVERAGEIFS(Eingabe[Volle],Eingabe[Name],Volle[[#This Row],[Name]],Eingabe[Wo],"H"),IF($M$1="Auswärts",AVERAGEIFS(Eingabe[Volle],Eingabe[Name],Volle[[#This Row],[Name]],Eingabe[Wo],"A"),""))),0),"")</f>
        <v>348</v>
      </c>
      <c r="O36" s="189">
        <f>IFERROR(Volle[[#This Row],[Volle Schnitt]]/4,"")</f>
        <v>87</v>
      </c>
      <c r="P36" s="189">
        <f>IFERROR(IF($M$1="Gesamt",AVERAGEIF(Eingabe[Name],Volle[[#This Row],[Name]],Eingabe[V1]),IF($M$1="Heim",AVERAGEIFS(Eingabe[V1],Eingabe[Name],Volle[[#This Row],[Name]],Eingabe[Wo],"H"),IF($M$1="Auswärts",AVERAGEIFS(Eingabe[V1],Eingabe[Name],Volle[[#This Row],[Name]],Eingabe[Wo],"A"),""))),"")</f>
        <v>87</v>
      </c>
      <c r="Q36" s="189">
        <f>IFERROR(ROUND(Volle[[#This Row],[V1]]-Volle[[#This Row],[Volle Bahn Schnitt]],1),"")</f>
        <v>0</v>
      </c>
      <c r="R36" s="189">
        <f>IFERROR(IF($M$1="Gesamt",AVERAGEIF(Eingabe[Name],Volle[[#This Row],[Name]],Eingabe[V2]),IF($M$1="Heim",AVERAGEIFS(Eingabe[V2],Eingabe[Name],Volle[[#This Row],[Name]],Eingabe[Wo],"H"),IF($M$1="Auswärts",AVERAGEIFS(Eingabe[V2],Eingabe[Name],Volle[[#This Row],[Name]],Eingabe[Wo],"A"),""))),"")</f>
        <v>84.333333333333329</v>
      </c>
      <c r="S36" s="189">
        <f>IFERROR(ROUND(Volle[[#This Row],[V2]]-Volle[[#This Row],[Volle Bahn Schnitt]],1),"")</f>
        <v>-2.7</v>
      </c>
      <c r="T36" s="189">
        <f>IFERROR(IF($M$1="Gesamt",AVERAGEIF(Eingabe[Name],Volle[[#This Row],[Name]],Eingabe[V3]),IF($M$1="Heim",AVERAGEIFS(Eingabe[V3],Eingabe[Name],Volle[[#This Row],[Name]],Eingabe[Wo],"H"),IF($M$1="Auswärts",AVERAGEIFS(Eingabe[V3],Eingabe[Name],Volle[[#This Row],[Name]],Eingabe[Wo],"A"),""))),"")</f>
        <v>85.666666666666671</v>
      </c>
      <c r="U36" s="189">
        <f>IFERROR(ROUND(Volle[[#This Row],[V3]]-Volle[[#This Row],[Volle Bahn Schnitt]],1),"")</f>
        <v>-1.3</v>
      </c>
      <c r="V36" s="189">
        <f>IFERROR(IF($M$1="Gesamt",AVERAGEIF(Eingabe[Name],Volle[[#This Row],[Name]],Eingabe[V4]),IF($M$1="Heim",AVERAGEIFS(Eingabe[V4],Eingabe[Name],Volle[[#This Row],[Name]],Eingabe[Wo],"H"),IF($M$1="Auswärts",AVERAGEIFS(Eingabe[V4],Eingabe[Name],Volle[[#This Row],[Name]],Eingabe[Wo],"A"),""))),"")</f>
        <v>91</v>
      </c>
      <c r="W36" s="340">
        <f>IFERROR(ROUND(Volle[[#This Row],[V4]]-Volle[[#This Row],[Volle Bahn Schnitt]],1),"")</f>
        <v>4</v>
      </c>
      <c r="Y36" s="335" t="str">
        <f>Bahnen[[#This Row],[Name]]</f>
        <v>Patrick Frenzel</v>
      </c>
      <c r="Z36" s="189">
        <f>IFERROR(ROUND(IF(Y$1="Gesamt",AVERAGEIF(Eingabe[Name],Räumer[[#This Row],[Name]],Eingabe[Räumer]),IF(Y$1="Heim",AVERAGEIFS(Eingabe[Räumer],Eingabe[Name],Räumer[[#This Row],[Name]],Eingabe[Wo],"H"),IF(Y$1="Auswärts",AVERAGEIFS(Eingabe[Räumer],Eingabe[Name],Räumer[[#This Row],[Name]],Eingabe[Wo],"A"),""))),0),"")</f>
        <v>162</v>
      </c>
      <c r="AA36" s="189">
        <f>IFERROR(Räumer[[#This Row],[Räumer Schnitt]]/4,"")</f>
        <v>40.5</v>
      </c>
      <c r="AB36" s="189">
        <f>IFERROR(IF(Y$1="Gesamt",AVERAGEIF(Eingabe[Name],Räumer[[#This Row],[Name]],Eingabe[R1]),IF(Y$1="Heim",AVERAGEIFS(Eingabe[R1],Eingabe[Name],Räumer[[#This Row],[Name]],Eingabe[Wo],"H"),IF(Y$1="Auswärts",AVERAGEIFS(Eingabe[R1],Eingabe[Name],Räumer[[#This Row],[Name]],Eingabe[Wo],"A"),""))),"")</f>
        <v>34.333333333333336</v>
      </c>
      <c r="AC36" s="189">
        <f>IFERROR(ROUND(Räumer[[#This Row],[R1]]-Räumer[[#This Row],[Räumer Bahn Schnitt]],1),"")</f>
        <v>-6.2</v>
      </c>
      <c r="AD36" s="189">
        <f>IFERROR(IF(Y$1="Gesamt",AVERAGEIF(Eingabe[Name],Räumer[[#This Row],[Name]],Eingabe[R2]),IF(Y$1="Heim",AVERAGEIFS(Eingabe[R2],Eingabe[Name],Räumer[[#This Row],[Name]],Eingabe[Wo],"H"),IF(Y$1="Auswärts",AVERAGEIFS(Eingabe[R2],Eingabe[Name],Räumer[[#This Row],[Name]],Eingabe[Wo],"A"),""))),"")</f>
        <v>39.333333333333336</v>
      </c>
      <c r="AE36" s="189">
        <f>IFERROR(ROUND(Räumer[[#This Row],[R2]]-Räumer[[#This Row],[Räumer Bahn Schnitt]],1),"")</f>
        <v>-1.2</v>
      </c>
      <c r="AF36" s="189">
        <f>IFERROR(IF(Y$1="Gesamt",AVERAGEIF(Eingabe[Name],Räumer[[#This Row],[Name]],Eingabe[R3]),IF(Y$1="Heim",AVERAGEIFS(Eingabe[R3],Eingabe[Name],Räumer[[#This Row],[Name]],Eingabe[Wo],"H"),IF(Y$1="Auswärts",AVERAGEIFS(Eingabe[R3],Eingabe[Name],Räumer[[#This Row],[Name]],Eingabe[Wo],"A"),""))),"")</f>
        <v>44.666666666666664</v>
      </c>
      <c r="AG36" s="189">
        <f>IFERROR(ROUND(Räumer[[#This Row],[R3]]-Räumer[[#This Row],[Räumer Bahn Schnitt]],1),"")</f>
        <v>4.2</v>
      </c>
      <c r="AH36" s="189">
        <f>IFERROR(IF(Y$1="Gesamt",AVERAGEIF(Eingabe[Name],Räumer[[#This Row],[Name]],Eingabe[R4]),IF(Y$1="Heim",AVERAGEIFS(Eingabe[R4],Eingabe[Name],Räumer[[#This Row],[Name]],Eingabe[Wo],"H"),IF(Y$1="Auswärts",AVERAGEIFS(Eingabe[R4],Eingabe[Name],Räumer[[#This Row],[Name]],Eingabe[Wo],"A"),""))),"")</f>
        <v>43.333333333333336</v>
      </c>
      <c r="AI36" s="189">
        <f>IFERROR(ROUND(Räumer[[#This Row],[R4]]-Räumer[[#This Row],[Räumer Bahn Schnitt]],1),"")</f>
        <v>2.8</v>
      </c>
      <c r="AK36" s="335" t="str">
        <f>Bahnen[[#This Row],[Name]]</f>
        <v>Patrick Frenzel</v>
      </c>
      <c r="AL36" s="189">
        <f>IFERROR(ROUND(IF(AK$1="Gesamt",AVERAGEIF(Eingabe[Name],Fehler[[#This Row],[Name]],Eingabe[Fehler]),IF(AK$1="Heim",AVERAGEIFS(Eingabe[Fehler],Eingabe[Name],Fehler[[#This Row],[Name]],Eingabe[Wo],"H"),IF(AK$1="Auswärts",AVERAGEIFS(Eingabe[Fehler],Eingabe[Name],Fehler[[#This Row],[Name]],Eingabe[Wo],"A"),""))),0),"")</f>
        <v>13</v>
      </c>
      <c r="AM36" s="189">
        <f>IFERROR(Fehler[[#This Row],[Fehler Schnitt]]/4,"")</f>
        <v>3.25</v>
      </c>
      <c r="AN36" s="189">
        <f>IFERROR(IF(AK$1="Gesamt",AVERAGEIF(Eingabe[Name],Fehler[[#This Row],[Name]],Eingabe[F1]),IF(AK$1="Heim",AVERAGEIFS(Eingabe[F1],Eingabe[Name],Fehler[[#This Row],[Name]],Eingabe[Wo],"H"),IF(AK$1="Auswärts",AVERAGEIFS(Eingabe[F1],Eingabe[Name],Fehler[[#This Row],[Name]],Eingabe[Wo],"A"),""))),"")</f>
        <v>3.3333333333333335</v>
      </c>
      <c r="AO36" s="189">
        <f>IFERROR(ROUND(Fehler[[#This Row],[F1]]-Fehler[[#This Row],[Fehler Bahn Schnitt]],1),"")</f>
        <v>0.1</v>
      </c>
      <c r="AP36" s="189">
        <f>IFERROR(IF(AK$1="Gesamt",AVERAGEIF(Eingabe[Name],Fehler[[#This Row],[Name]],Eingabe[F2]),IF(AK$1="Heim",AVERAGEIFS(Eingabe[F2],Eingabe[Name],Fehler[[#This Row],[Name]],Eingabe[Wo],"H"),IF(AK$1="Auswärts",AVERAGEIFS(Eingabe[F2],Eingabe[Name],Fehler[[#This Row],[Name]],Eingabe[Wo],"A"),""))),"")</f>
        <v>2.3333333333333335</v>
      </c>
      <c r="AQ36" s="189">
        <f>IFERROR(ROUND(Fehler[[#This Row],[F2]]-Fehler[[#This Row],[Fehler Bahn Schnitt]],1),"")</f>
        <v>-0.9</v>
      </c>
      <c r="AR36" s="189">
        <f>IFERROR(IF(AK$1="Gesamt",AVERAGEIF(Eingabe[Name],Fehler[[#This Row],[Name]],Eingabe[F3]),IF(AK$1="Heim",AVERAGEIFS(Eingabe[F3],Eingabe[Name],Fehler[[#This Row],[Name]],Eingabe[Wo],"H"),IF(AK$1="Auswärts",AVERAGEIFS(Eingabe[F1],Eingabe[Name],Fehler[[#This Row],[Name]],Eingabe[Wo],"A"),""))),"")</f>
        <v>3.6666666666666665</v>
      </c>
      <c r="AS36" s="189">
        <f>IFERROR(ROUND(Fehler[[#This Row],[F3]]-Fehler[[#This Row],[Fehler Bahn Schnitt]],1),"")</f>
        <v>0.4</v>
      </c>
      <c r="AT36" s="189">
        <f>IFERROR(IF(AK$1="Gesamt",AVERAGEIF(Eingabe[Name],Fehler[[#This Row],[Name]],Eingabe[F4]),IF(AK$1="Heim",AVERAGEIFS(Eingabe[F4],Eingabe[Name],Fehler[[#This Row],[Name]],Eingabe[Wo],"H"),IF(AK$1="Auswärts",AVERAGEIFS(Eingabe[F1],Eingabe[Name],Fehler[[#This Row],[Name]],Eingabe[Wo],"A"),""))),"")</f>
        <v>3.3333333333333335</v>
      </c>
      <c r="AU36" s="189">
        <f>IFERROR(ROUND(Fehler[[#This Row],[F4]]-Fehler[[#This Row],[Fehler Bahn Schnitt]],1),"")</f>
        <v>0.1</v>
      </c>
    </row>
    <row r="37" spans="1:47" ht="15.6" x14ac:dyDescent="0.3">
      <c r="A37" s="335" t="s">
        <v>469</v>
      </c>
      <c r="B37" s="189">
        <f>IFERROR(ROUND(IF($A$1="Gesamt",AVERAGEIF(Eingabe[Name],Bahnen[[#This Row],[Name]],Eingabe[GES]),IF($A$1="Heim",AVERAGEIFS(Eingabe[GES],Eingabe[Name],Bahnen[[#This Row],[Name]],Eingabe[Wo],"H"),IF($A$1="Auswärts",AVERAGEIFS(Eingabe[GES],Eingabe[Name],Bahnen[[#This Row],[Name]],Eingabe[Wo],"A"),""))),0),"")</f>
        <v>528</v>
      </c>
      <c r="C37" s="189">
        <f>IFERROR(Bahnen[[#This Row],[Schnitt]]/4,"")</f>
        <v>132</v>
      </c>
      <c r="D37" s="189">
        <f>IFERROR(IF($A$1="Gesamt",AVERAGEIF(Eingabe[Name],Bahnen[[#This Row],[Name]],Eingabe[S1]),IF($A$1="Heim",AVERAGEIFS(Eingabe[S-NR],Eingabe[Name],Bahnen[[#This Row],[Name]],Eingabe[Wo],"H"),IF($A$1="Auswärts",AVERAGEIFS(Eingabe[S1],Eingabe[Name],Bahnen[[#This Row],[Name]],Eingabe[Wo],"A"),""))),"")</f>
        <v>130.5</v>
      </c>
      <c r="E37" s="189">
        <f>IFERROR(ROUND(Bahnen[[#This Row],[S1]]-Bahnen[[#This Row],[Bahn Schnitt]],1),"")</f>
        <v>-1.5</v>
      </c>
      <c r="F37" s="189">
        <f>IFERROR(IF($A$1="Gesamt",AVERAGEIF(Eingabe[Name],Bahnen[[#This Row],[Name]],Eingabe[S2]),IF($A$1="Heim",AVERAGEIFS(Eingabe[S2],Eingabe[Name],Bahnen[[#This Row],[Name]],Eingabe[Wo],"H"),IF($A$1="Auswärts",AVERAGEIFS(Eingabe[S2],Eingabe[Name],Bahnen[[#This Row],[Name]],Eingabe[Wo],"A"),""))),"")</f>
        <v>133</v>
      </c>
      <c r="G37" s="189">
        <f>IFERROR(ROUND(Bahnen[[#This Row],[S2]]-Bahnen[[#This Row],[Bahn Schnitt]],1),"")</f>
        <v>1</v>
      </c>
      <c r="H37" s="189">
        <f>IFERROR(IF($A$1="Gesamt",AVERAGEIF(Eingabe[Name],Bahnen[[#This Row],[Name]],Eingabe[S3]),IF($A$1="Heim",AVERAGEIFS(Eingabe[S3],Eingabe[Name],Bahnen[[#This Row],[Name]],Eingabe[Wo],"H"),IF($A$1="Auswärts",AVERAGEIFS(Eingabe[S-NR],Eingabe[Name],Bahnen[[#This Row],[Name]],Eingabe[Wo],"A"),""))),"")</f>
        <v>133.35714285714286</v>
      </c>
      <c r="I37" s="189">
        <f>IFERROR(ROUND(Bahnen[[#This Row],[S3]]-Bahnen[[#This Row],[Bahn Schnitt]],1),"")</f>
        <v>1.4</v>
      </c>
      <c r="J37" s="189">
        <f>IFERROR(IF($A$1="Gesamt",AVERAGEIF(Eingabe[Name],Bahnen[[#This Row],[Name]],Eingabe[S4]),IF($A$1="Heim",AVERAGEIFS(Eingabe[S4],Eingabe[Name],Bahnen[[#This Row],[Name]],Eingabe[Wo],"H"),IF($A$1="Auswärts",AVERAGEIFS(Eingabe[S-NR],Eingabe[Name],Bahnen[[#This Row],[Name]],Eingabe[Wo],"A"),""))),"")</f>
        <v>132.35714285714286</v>
      </c>
      <c r="K37" s="189">
        <f>IFERROR(ROUND(Bahnen[[#This Row],[S4]]-Bahnen[[#This Row],[Bahn Schnitt]],1),"")</f>
        <v>0.4</v>
      </c>
      <c r="M37" s="335" t="str">
        <f>Bahnen[[#This Row],[Name]]</f>
        <v>Patrick Hohmann</v>
      </c>
      <c r="N37" s="189">
        <f>IFERROR(ROUND(IF($M$1="Gesamt",AVERAGEIF(Eingabe[Name],Volle[[#This Row],[Name]],Eingabe[Volle]),IF($M$1="Heim",AVERAGEIFS(Eingabe[Volle],Eingabe[Name],Volle[[#This Row],[Name]],Eingabe[Wo],"H"),IF($M$1="Auswärts",AVERAGEIFS(Eingabe[Volle],Eingabe[Name],Volle[[#This Row],[Name]],Eingabe[Wo],"A"),""))),0),"")</f>
        <v>361</v>
      </c>
      <c r="O37" s="189">
        <f>IFERROR(Volle[[#This Row],[Volle Schnitt]]/4,"")</f>
        <v>90.25</v>
      </c>
      <c r="P37" s="189">
        <f>IFERROR(IF($M$1="Gesamt",AVERAGEIF(Eingabe[Name],Volle[[#This Row],[Name]],Eingabe[V1]),IF($M$1="Heim",AVERAGEIFS(Eingabe[V1],Eingabe[Name],Volle[[#This Row],[Name]],Eingabe[Wo],"H"),IF($M$1="Auswärts",AVERAGEIFS(Eingabe[V1],Eingabe[Name],Volle[[#This Row],[Name]],Eingabe[Wo],"A"),""))),"")</f>
        <v>89.642857142857139</v>
      </c>
      <c r="Q37" s="189">
        <f>IFERROR(ROUND(Volle[[#This Row],[V1]]-Volle[[#This Row],[Volle Bahn Schnitt]],1),"")</f>
        <v>-0.6</v>
      </c>
      <c r="R37" s="189">
        <f>IFERROR(IF($M$1="Gesamt",AVERAGEIF(Eingabe[Name],Volle[[#This Row],[Name]],Eingabe[V2]),IF($M$1="Heim",AVERAGEIFS(Eingabe[V2],Eingabe[Name],Volle[[#This Row],[Name]],Eingabe[Wo],"H"),IF($M$1="Auswärts",AVERAGEIFS(Eingabe[V2],Eingabe[Name],Volle[[#This Row],[Name]],Eingabe[Wo],"A"),""))),"")</f>
        <v>91.5</v>
      </c>
      <c r="S37" s="189">
        <f>IFERROR(ROUND(Volle[[#This Row],[V2]]-Volle[[#This Row],[Volle Bahn Schnitt]],1),"")</f>
        <v>1.3</v>
      </c>
      <c r="T37" s="189">
        <f>IFERROR(IF($M$1="Gesamt",AVERAGEIF(Eingabe[Name],Volle[[#This Row],[Name]],Eingabe[V3]),IF($M$1="Heim",AVERAGEIFS(Eingabe[V3],Eingabe[Name],Volle[[#This Row],[Name]],Eingabe[Wo],"H"),IF($M$1="Auswärts",AVERAGEIFS(Eingabe[V3],Eingabe[Name],Volle[[#This Row],[Name]],Eingabe[Wo],"A"),""))),"")</f>
        <v>89.642857142857139</v>
      </c>
      <c r="U37" s="189">
        <f>IFERROR(ROUND(Volle[[#This Row],[V3]]-Volle[[#This Row],[Volle Bahn Schnitt]],1),"")</f>
        <v>-0.6</v>
      </c>
      <c r="V37" s="189">
        <f>IFERROR(IF($M$1="Gesamt",AVERAGEIF(Eingabe[Name],Volle[[#This Row],[Name]],Eingabe[V4]),IF($M$1="Heim",AVERAGEIFS(Eingabe[V4],Eingabe[Name],Volle[[#This Row],[Name]],Eingabe[Wo],"H"),IF($M$1="Auswärts",AVERAGEIFS(Eingabe[V4],Eingabe[Name],Volle[[#This Row],[Name]],Eingabe[Wo],"A"),""))),"")</f>
        <v>90.928571428571431</v>
      </c>
      <c r="W37" s="340">
        <f>IFERROR(ROUND(Volle[[#This Row],[V4]]-Volle[[#This Row],[Volle Bahn Schnitt]],1),"")</f>
        <v>0.7</v>
      </c>
      <c r="Y37" s="335" t="str">
        <f>Bahnen[[#This Row],[Name]]</f>
        <v>Patrick Hohmann</v>
      </c>
      <c r="Z37" s="189">
        <f>IFERROR(ROUND(IF(Y$1="Gesamt",AVERAGEIF(Eingabe[Name],Räumer[[#This Row],[Name]],Eingabe[Räumer]),IF(Y$1="Heim",AVERAGEIFS(Eingabe[Räumer],Eingabe[Name],Räumer[[#This Row],[Name]],Eingabe[Wo],"H"),IF(Y$1="Auswärts",AVERAGEIFS(Eingabe[Räumer],Eingabe[Name],Räumer[[#This Row],[Name]],Eingabe[Wo],"A"),""))),0),"")</f>
        <v>167</v>
      </c>
      <c r="AA37" s="189">
        <f>IFERROR(Räumer[[#This Row],[Räumer Schnitt]]/4,"")</f>
        <v>41.75</v>
      </c>
      <c r="AB37" s="189">
        <f>IFERROR(IF(Y$1="Gesamt",AVERAGEIF(Eingabe[Name],Räumer[[#This Row],[Name]],Eingabe[R1]),IF(Y$1="Heim",AVERAGEIFS(Eingabe[R1],Eingabe[Name],Räumer[[#This Row],[Name]],Eingabe[Wo],"H"),IF(Y$1="Auswärts",AVERAGEIFS(Eingabe[R1],Eingabe[Name],Räumer[[#This Row],[Name]],Eingabe[Wo],"A"),""))),"")</f>
        <v>40.857142857142854</v>
      </c>
      <c r="AC37" s="189">
        <f>IFERROR(ROUND(Räumer[[#This Row],[R1]]-Räumer[[#This Row],[Räumer Bahn Schnitt]],1),"")</f>
        <v>-0.9</v>
      </c>
      <c r="AD37" s="189">
        <f>IFERROR(IF(Y$1="Gesamt",AVERAGEIF(Eingabe[Name],Räumer[[#This Row],[Name]],Eingabe[R2]),IF(Y$1="Heim",AVERAGEIFS(Eingabe[R2],Eingabe[Name],Räumer[[#This Row],[Name]],Eingabe[Wo],"H"),IF(Y$1="Auswärts",AVERAGEIFS(Eingabe[R2],Eingabe[Name],Räumer[[#This Row],[Name]],Eingabe[Wo],"A"),""))),"")</f>
        <v>41.5</v>
      </c>
      <c r="AE37" s="189">
        <f>IFERROR(ROUND(Räumer[[#This Row],[R2]]-Räumer[[#This Row],[Räumer Bahn Schnitt]],1),"")</f>
        <v>-0.3</v>
      </c>
      <c r="AF37" s="189">
        <f>IFERROR(IF(Y$1="Gesamt",AVERAGEIF(Eingabe[Name],Räumer[[#This Row],[Name]],Eingabe[R3]),IF(Y$1="Heim",AVERAGEIFS(Eingabe[R3],Eingabe[Name],Räumer[[#This Row],[Name]],Eingabe[Wo],"H"),IF(Y$1="Auswärts",AVERAGEIFS(Eingabe[R3],Eingabe[Name],Räumer[[#This Row],[Name]],Eingabe[Wo],"A"),""))),"")</f>
        <v>43.714285714285715</v>
      </c>
      <c r="AG37" s="189">
        <f>IFERROR(ROUND(Räumer[[#This Row],[R3]]-Räumer[[#This Row],[Räumer Bahn Schnitt]],1),"")</f>
        <v>2</v>
      </c>
      <c r="AH37" s="189">
        <f>IFERROR(IF(Y$1="Gesamt",AVERAGEIF(Eingabe[Name],Räumer[[#This Row],[Name]],Eingabe[R4]),IF(Y$1="Heim",AVERAGEIFS(Eingabe[R4],Eingabe[Name],Räumer[[#This Row],[Name]],Eingabe[Wo],"H"),IF(Y$1="Auswärts",AVERAGEIFS(Eingabe[R4],Eingabe[Name],Räumer[[#This Row],[Name]],Eingabe[Wo],"A"),""))),"")</f>
        <v>41.428571428571431</v>
      </c>
      <c r="AI37" s="189">
        <f>IFERROR(ROUND(Räumer[[#This Row],[R4]]-Räumer[[#This Row],[Räumer Bahn Schnitt]],1),"")</f>
        <v>-0.3</v>
      </c>
      <c r="AK37" s="335" t="str">
        <f>Bahnen[[#This Row],[Name]]</f>
        <v>Patrick Hohmann</v>
      </c>
      <c r="AL37" s="189">
        <f>IFERROR(ROUND(IF(AK$1="Gesamt",AVERAGEIF(Eingabe[Name],Fehler[[#This Row],[Name]],Eingabe[Fehler]),IF(AK$1="Heim",AVERAGEIFS(Eingabe[Fehler],Eingabe[Name],Fehler[[#This Row],[Name]],Eingabe[Wo],"H"),IF(AK$1="Auswärts",AVERAGEIFS(Eingabe[Fehler],Eingabe[Name],Fehler[[#This Row],[Name]],Eingabe[Wo],"A"),""))),0),"")</f>
        <v>6</v>
      </c>
      <c r="AM37" s="189">
        <f>IFERROR(Fehler[[#This Row],[Fehler Schnitt]]/4,"")</f>
        <v>1.5</v>
      </c>
      <c r="AN37" s="189">
        <f>IFERROR(IF(AK$1="Gesamt",AVERAGEIF(Eingabe[Name],Fehler[[#This Row],[Name]],Eingabe[F1]),IF(AK$1="Heim",AVERAGEIFS(Eingabe[F1],Eingabe[Name],Fehler[[#This Row],[Name]],Eingabe[Wo],"H"),IF(AK$1="Auswärts",AVERAGEIFS(Eingabe[F1],Eingabe[Name],Fehler[[#This Row],[Name]],Eingabe[Wo],"A"),""))),"")</f>
        <v>1.4285714285714286</v>
      </c>
      <c r="AO37" s="189">
        <f>IFERROR(ROUND(Fehler[[#This Row],[F1]]-Fehler[[#This Row],[Fehler Bahn Schnitt]],1),"")</f>
        <v>-0.1</v>
      </c>
      <c r="AP37" s="189">
        <f>IFERROR(IF(AK$1="Gesamt",AVERAGEIF(Eingabe[Name],Fehler[[#This Row],[Name]],Eingabe[F2]),IF(AK$1="Heim",AVERAGEIFS(Eingabe[F2],Eingabe[Name],Fehler[[#This Row],[Name]],Eingabe[Wo],"H"),IF(AK$1="Auswärts",AVERAGEIFS(Eingabe[F2],Eingabe[Name],Fehler[[#This Row],[Name]],Eingabe[Wo],"A"),""))),"")</f>
        <v>1.2142857142857142</v>
      </c>
      <c r="AQ37" s="189">
        <f>IFERROR(ROUND(Fehler[[#This Row],[F2]]-Fehler[[#This Row],[Fehler Bahn Schnitt]],1),"")</f>
        <v>-0.3</v>
      </c>
      <c r="AR37" s="189">
        <f>IFERROR(IF(AK$1="Gesamt",AVERAGEIF(Eingabe[Name],Fehler[[#This Row],[Name]],Eingabe[F3]),IF(AK$1="Heim",AVERAGEIFS(Eingabe[F3],Eingabe[Name],Fehler[[#This Row],[Name]],Eingabe[Wo],"H"),IF(AK$1="Auswärts",AVERAGEIFS(Eingabe[F1],Eingabe[Name],Fehler[[#This Row],[Name]],Eingabe[Wo],"A"),""))),"")</f>
        <v>1.5</v>
      </c>
      <c r="AS37" s="189">
        <f>IFERROR(ROUND(Fehler[[#This Row],[F3]]-Fehler[[#This Row],[Fehler Bahn Schnitt]],1),"")</f>
        <v>0</v>
      </c>
      <c r="AT37" s="189">
        <f>IFERROR(IF(AK$1="Gesamt",AVERAGEIF(Eingabe[Name],Fehler[[#This Row],[Name]],Eingabe[F4]),IF(AK$1="Heim",AVERAGEIFS(Eingabe[F4],Eingabe[Name],Fehler[[#This Row],[Name]],Eingabe[Wo],"H"),IF(AK$1="Auswärts",AVERAGEIFS(Eingabe[F1],Eingabe[Name],Fehler[[#This Row],[Name]],Eingabe[Wo],"A"),""))),"")</f>
        <v>1.5714285714285714</v>
      </c>
      <c r="AU37" s="189">
        <f>IFERROR(ROUND(Fehler[[#This Row],[F4]]-Fehler[[#This Row],[Fehler Bahn Schnitt]],1),"")</f>
        <v>0.1</v>
      </c>
    </row>
    <row r="38" spans="1:47" ht="15.6" x14ac:dyDescent="0.3">
      <c r="A38" s="335" t="s">
        <v>463</v>
      </c>
      <c r="B38" s="189">
        <f>IFERROR(ROUND(IF($A$1="Gesamt",AVERAGEIF(Eingabe[Name],Bahnen[[#This Row],[Name]],Eingabe[GES]),IF($A$1="Heim",AVERAGEIFS(Eingabe[GES],Eingabe[Name],Bahnen[[#This Row],[Name]],Eingabe[Wo],"H"),IF($A$1="Auswärts",AVERAGEIFS(Eingabe[GES],Eingabe[Name],Bahnen[[#This Row],[Name]],Eingabe[Wo],"A"),""))),0),"")</f>
        <v>515</v>
      </c>
      <c r="C38" s="189">
        <f>IFERROR(Bahnen[[#This Row],[Schnitt]]/4,"")</f>
        <v>128.75</v>
      </c>
      <c r="D38" s="189">
        <f>IFERROR(IF($A$1="Gesamt",AVERAGEIF(Eingabe[Name],Bahnen[[#This Row],[Name]],Eingabe[S1]),IF($A$1="Heim",AVERAGEIFS(Eingabe[S-NR],Eingabe[Name],Bahnen[[#This Row],[Name]],Eingabe[Wo],"H"),IF($A$1="Auswärts",AVERAGEIFS(Eingabe[S1],Eingabe[Name],Bahnen[[#This Row],[Name]],Eingabe[Wo],"A"),""))),"")</f>
        <v>131</v>
      </c>
      <c r="E38" s="189">
        <f>IFERROR(ROUND(Bahnen[[#This Row],[S1]]-Bahnen[[#This Row],[Bahn Schnitt]],1),"")</f>
        <v>2.2999999999999998</v>
      </c>
      <c r="F38" s="189">
        <f>IFERROR(IF($A$1="Gesamt",AVERAGEIF(Eingabe[Name],Bahnen[[#This Row],[Name]],Eingabe[S2]),IF($A$1="Heim",AVERAGEIFS(Eingabe[S2],Eingabe[Name],Bahnen[[#This Row],[Name]],Eingabe[Wo],"H"),IF($A$1="Auswärts",AVERAGEIFS(Eingabe[S2],Eingabe[Name],Bahnen[[#This Row],[Name]],Eingabe[Wo],"A"),""))),"")</f>
        <v>128</v>
      </c>
      <c r="G38" s="189">
        <f>IFERROR(ROUND(Bahnen[[#This Row],[S2]]-Bahnen[[#This Row],[Bahn Schnitt]],1),"")</f>
        <v>-0.8</v>
      </c>
      <c r="H38" s="189">
        <f>IFERROR(IF($A$1="Gesamt",AVERAGEIF(Eingabe[Name],Bahnen[[#This Row],[Name]],Eingabe[S3]),IF($A$1="Heim",AVERAGEIFS(Eingabe[S3],Eingabe[Name],Bahnen[[#This Row],[Name]],Eingabe[Wo],"H"),IF($A$1="Auswärts",AVERAGEIFS(Eingabe[S-NR],Eingabe[Name],Bahnen[[#This Row],[Name]],Eingabe[Wo],"A"),""))),"")</f>
        <v>123.33333333333333</v>
      </c>
      <c r="I38" s="189">
        <f>IFERROR(ROUND(Bahnen[[#This Row],[S3]]-Bahnen[[#This Row],[Bahn Schnitt]],1),"")</f>
        <v>-5.4</v>
      </c>
      <c r="J38" s="189">
        <f>IFERROR(IF($A$1="Gesamt",AVERAGEIF(Eingabe[Name],Bahnen[[#This Row],[Name]],Eingabe[S4]),IF($A$1="Heim",AVERAGEIFS(Eingabe[S4],Eingabe[Name],Bahnen[[#This Row],[Name]],Eingabe[Wo],"H"),IF($A$1="Auswärts",AVERAGEIFS(Eingabe[S-NR],Eingabe[Name],Bahnen[[#This Row],[Name]],Eingabe[Wo],"A"),""))),"")</f>
        <v>127</v>
      </c>
      <c r="K38" s="189">
        <f>IFERROR(ROUND(Bahnen[[#This Row],[S4]]-Bahnen[[#This Row],[Bahn Schnitt]],1),"")</f>
        <v>-1.8</v>
      </c>
      <c r="M38" s="335" t="str">
        <f>Bahnen[[#This Row],[Name]]</f>
        <v>Peter Paulmann</v>
      </c>
      <c r="N38" s="189">
        <f>IFERROR(ROUND(IF($M$1="Gesamt",AVERAGEIF(Eingabe[Name],Volle[[#This Row],[Name]],Eingabe[Volle]),IF($M$1="Heim",AVERAGEIFS(Eingabe[Volle],Eingabe[Name],Volle[[#This Row],[Name]],Eingabe[Wo],"H"),IF($M$1="Auswärts",AVERAGEIFS(Eingabe[Volle],Eingabe[Name],Volle[[#This Row],[Name]],Eingabe[Wo],"A"),""))),0),"")</f>
        <v>350</v>
      </c>
      <c r="O38" s="189">
        <f>IFERROR(Volle[[#This Row],[Volle Schnitt]]/4,"")</f>
        <v>87.5</v>
      </c>
      <c r="P38" s="189">
        <f>IFERROR(IF($M$1="Gesamt",AVERAGEIF(Eingabe[Name],Volle[[#This Row],[Name]],Eingabe[V1]),IF($M$1="Heim",AVERAGEIFS(Eingabe[V1],Eingabe[Name],Volle[[#This Row],[Name]],Eingabe[Wo],"H"),IF($M$1="Auswärts",AVERAGEIFS(Eingabe[V1],Eingabe[Name],Volle[[#This Row],[Name]],Eingabe[Wo],"A"),""))),"")</f>
        <v>89.666666666666671</v>
      </c>
      <c r="Q38" s="189">
        <f>IFERROR(ROUND(Volle[[#This Row],[V1]]-Volle[[#This Row],[Volle Bahn Schnitt]],1),"")</f>
        <v>2.2000000000000002</v>
      </c>
      <c r="R38" s="189">
        <f>IFERROR(IF($M$1="Gesamt",AVERAGEIF(Eingabe[Name],Volle[[#This Row],[Name]],Eingabe[V2]),IF($M$1="Heim",AVERAGEIFS(Eingabe[V2],Eingabe[Name],Volle[[#This Row],[Name]],Eingabe[Wo],"H"),IF($M$1="Auswärts",AVERAGEIFS(Eingabe[V2],Eingabe[Name],Volle[[#This Row],[Name]],Eingabe[Wo],"A"),""))),"")</f>
        <v>81.666666666666671</v>
      </c>
      <c r="S38" s="189">
        <f>IFERROR(ROUND(Volle[[#This Row],[V2]]-Volle[[#This Row],[Volle Bahn Schnitt]],1),"")</f>
        <v>-5.8</v>
      </c>
      <c r="T38" s="189">
        <f>IFERROR(IF($M$1="Gesamt",AVERAGEIF(Eingabe[Name],Volle[[#This Row],[Name]],Eingabe[V3]),IF($M$1="Heim",AVERAGEIFS(Eingabe[V3],Eingabe[Name],Volle[[#This Row],[Name]],Eingabe[Wo],"H"),IF($M$1="Auswärts",AVERAGEIFS(Eingabe[V3],Eingabe[Name],Volle[[#This Row],[Name]],Eingabe[Wo],"A"),""))),"")</f>
        <v>85.666666666666671</v>
      </c>
      <c r="U38" s="189">
        <f>IFERROR(ROUND(Volle[[#This Row],[V3]]-Volle[[#This Row],[Volle Bahn Schnitt]],1),"")</f>
        <v>-1.8</v>
      </c>
      <c r="V38" s="189">
        <f>IFERROR(IF($M$1="Gesamt",AVERAGEIF(Eingabe[Name],Volle[[#This Row],[Name]],Eingabe[V4]),IF($M$1="Heim",AVERAGEIFS(Eingabe[V4],Eingabe[Name],Volle[[#This Row],[Name]],Eingabe[Wo],"H"),IF($M$1="Auswärts",AVERAGEIFS(Eingabe[V4],Eingabe[Name],Volle[[#This Row],[Name]],Eingabe[Wo],"A"),""))),"")</f>
        <v>84.666666666666671</v>
      </c>
      <c r="W38" s="340">
        <f>IFERROR(ROUND(Volle[[#This Row],[V4]]-Volle[[#This Row],[Volle Bahn Schnitt]],1),"")</f>
        <v>-2.8</v>
      </c>
      <c r="Y38" s="335" t="str">
        <f>Bahnen[[#This Row],[Name]]</f>
        <v>Peter Paulmann</v>
      </c>
      <c r="Z38" s="189">
        <f>IFERROR(ROUND(IF(Y$1="Gesamt",AVERAGEIF(Eingabe[Name],Räumer[[#This Row],[Name]],Eingabe[Räumer]),IF(Y$1="Heim",AVERAGEIFS(Eingabe[Räumer],Eingabe[Name],Räumer[[#This Row],[Name]],Eingabe[Wo],"H"),IF(Y$1="Auswärts",AVERAGEIFS(Eingabe[Räumer],Eingabe[Name],Räumer[[#This Row],[Name]],Eingabe[Wo],"A"),""))),0),"")</f>
        <v>165</v>
      </c>
      <c r="AA38" s="189">
        <f>IFERROR(Räumer[[#This Row],[Räumer Schnitt]]/4,"")</f>
        <v>41.25</v>
      </c>
      <c r="AB38" s="189">
        <f>IFERROR(IF(Y$1="Gesamt",AVERAGEIF(Eingabe[Name],Räumer[[#This Row],[Name]],Eingabe[R1]),IF(Y$1="Heim",AVERAGEIFS(Eingabe[R1],Eingabe[Name],Räumer[[#This Row],[Name]],Eingabe[Wo],"H"),IF(Y$1="Auswärts",AVERAGEIFS(Eingabe[R1],Eingabe[Name],Räumer[[#This Row],[Name]],Eingabe[Wo],"A"),""))),"")</f>
        <v>41.333333333333336</v>
      </c>
      <c r="AC38" s="189">
        <f>IFERROR(ROUND(Räumer[[#This Row],[R1]]-Räumer[[#This Row],[Räumer Bahn Schnitt]],1),"")</f>
        <v>0.1</v>
      </c>
      <c r="AD38" s="189">
        <f>IFERROR(IF(Y$1="Gesamt",AVERAGEIF(Eingabe[Name],Räumer[[#This Row],[Name]],Eingabe[R2]),IF(Y$1="Heim",AVERAGEIFS(Eingabe[R2],Eingabe[Name],Räumer[[#This Row],[Name]],Eingabe[Wo],"H"),IF(Y$1="Auswärts",AVERAGEIFS(Eingabe[R2],Eingabe[Name],Räumer[[#This Row],[Name]],Eingabe[Wo],"A"),""))),"")</f>
        <v>46.333333333333336</v>
      </c>
      <c r="AE38" s="189">
        <f>IFERROR(ROUND(Räumer[[#This Row],[R2]]-Räumer[[#This Row],[Räumer Bahn Schnitt]],1),"")</f>
        <v>5.0999999999999996</v>
      </c>
      <c r="AF38" s="189">
        <f>IFERROR(IF(Y$1="Gesamt",AVERAGEIF(Eingabe[Name],Räumer[[#This Row],[Name]],Eingabe[R3]),IF(Y$1="Heim",AVERAGEIFS(Eingabe[R3],Eingabe[Name],Räumer[[#This Row],[Name]],Eingabe[Wo],"H"),IF(Y$1="Auswärts",AVERAGEIFS(Eingabe[R3],Eingabe[Name],Räumer[[#This Row],[Name]],Eingabe[Wo],"A"),""))),"")</f>
        <v>37.666666666666664</v>
      </c>
      <c r="AG38" s="189">
        <f>IFERROR(ROUND(Räumer[[#This Row],[R3]]-Räumer[[#This Row],[Räumer Bahn Schnitt]],1),"")</f>
        <v>-3.6</v>
      </c>
      <c r="AH38" s="189">
        <f>IFERROR(IF(Y$1="Gesamt",AVERAGEIF(Eingabe[Name],Räumer[[#This Row],[Name]],Eingabe[R4]),IF(Y$1="Heim",AVERAGEIFS(Eingabe[R4],Eingabe[Name],Räumer[[#This Row],[Name]],Eingabe[Wo],"H"),IF(Y$1="Auswärts",AVERAGEIFS(Eingabe[R4],Eingabe[Name],Räumer[[#This Row],[Name]],Eingabe[Wo],"A"),""))),"")</f>
        <v>42.333333333333336</v>
      </c>
      <c r="AI38" s="189">
        <f>IFERROR(ROUND(Räumer[[#This Row],[R4]]-Räumer[[#This Row],[Räumer Bahn Schnitt]],1),"")</f>
        <v>1.1000000000000001</v>
      </c>
      <c r="AK38" s="335" t="str">
        <f>Bahnen[[#This Row],[Name]]</f>
        <v>Peter Paulmann</v>
      </c>
      <c r="AL38" s="189">
        <f>IFERROR(ROUND(IF(AK$1="Gesamt",AVERAGEIF(Eingabe[Name],Fehler[[#This Row],[Name]],Eingabe[Fehler]),IF(AK$1="Heim",AVERAGEIFS(Eingabe[Fehler],Eingabe[Name],Fehler[[#This Row],[Name]],Eingabe[Wo],"H"),IF(AK$1="Auswärts",AVERAGEIFS(Eingabe[Fehler],Eingabe[Name],Fehler[[#This Row],[Name]],Eingabe[Wo],"A"),""))),0),"")</f>
        <v>8</v>
      </c>
      <c r="AM38" s="189">
        <f>IFERROR(Fehler[[#This Row],[Fehler Schnitt]]/4,"")</f>
        <v>2</v>
      </c>
      <c r="AN38" s="189">
        <f>IFERROR(IF(AK$1="Gesamt",AVERAGEIF(Eingabe[Name],Fehler[[#This Row],[Name]],Eingabe[F1]),IF(AK$1="Heim",AVERAGEIFS(Eingabe[F1],Eingabe[Name],Fehler[[#This Row],[Name]],Eingabe[Wo],"H"),IF(AK$1="Auswärts",AVERAGEIFS(Eingabe[F1],Eingabe[Name],Fehler[[#This Row],[Name]],Eingabe[Wo],"A"),""))),"")</f>
        <v>1.3333333333333333</v>
      </c>
      <c r="AO38" s="189">
        <f>IFERROR(ROUND(Fehler[[#This Row],[F1]]-Fehler[[#This Row],[Fehler Bahn Schnitt]],1),"")</f>
        <v>-0.7</v>
      </c>
      <c r="AP38" s="189">
        <f>IFERROR(IF(AK$1="Gesamt",AVERAGEIF(Eingabe[Name],Fehler[[#This Row],[Name]],Eingabe[F2]),IF(AK$1="Heim",AVERAGEIFS(Eingabe[F2],Eingabe[Name],Fehler[[#This Row],[Name]],Eingabe[Wo],"H"),IF(AK$1="Auswärts",AVERAGEIFS(Eingabe[F2],Eingabe[Name],Fehler[[#This Row],[Name]],Eingabe[Wo],"A"),""))),"")</f>
        <v>1.6666666666666667</v>
      </c>
      <c r="AQ38" s="189">
        <f>IFERROR(ROUND(Fehler[[#This Row],[F2]]-Fehler[[#This Row],[Fehler Bahn Schnitt]],1),"")</f>
        <v>-0.3</v>
      </c>
      <c r="AR38" s="189">
        <f>IFERROR(IF(AK$1="Gesamt",AVERAGEIF(Eingabe[Name],Fehler[[#This Row],[Name]],Eingabe[F3]),IF(AK$1="Heim",AVERAGEIFS(Eingabe[F3],Eingabe[Name],Fehler[[#This Row],[Name]],Eingabe[Wo],"H"),IF(AK$1="Auswärts",AVERAGEIFS(Eingabe[F1],Eingabe[Name],Fehler[[#This Row],[Name]],Eingabe[Wo],"A"),""))),"")</f>
        <v>3</v>
      </c>
      <c r="AS38" s="189">
        <f>IFERROR(ROUND(Fehler[[#This Row],[F3]]-Fehler[[#This Row],[Fehler Bahn Schnitt]],1),"")</f>
        <v>1</v>
      </c>
      <c r="AT38" s="189">
        <f>IFERROR(IF(AK$1="Gesamt",AVERAGEIF(Eingabe[Name],Fehler[[#This Row],[Name]],Eingabe[F4]),IF(AK$1="Heim",AVERAGEIFS(Eingabe[F4],Eingabe[Name],Fehler[[#This Row],[Name]],Eingabe[Wo],"H"),IF(AK$1="Auswärts",AVERAGEIFS(Eingabe[F1],Eingabe[Name],Fehler[[#This Row],[Name]],Eingabe[Wo],"A"),""))),"")</f>
        <v>2</v>
      </c>
      <c r="AU38" s="189">
        <f>IFERROR(ROUND(Fehler[[#This Row],[F4]]-Fehler[[#This Row],[Fehler Bahn Schnitt]],1),"")</f>
        <v>0</v>
      </c>
    </row>
    <row r="39" spans="1:47" ht="15.6" x14ac:dyDescent="0.3">
      <c r="A39" s="335" t="s">
        <v>462</v>
      </c>
      <c r="B39" s="189">
        <f>IFERROR(ROUND(IF($A$1="Gesamt",AVERAGEIF(Eingabe[Name],Bahnen[[#This Row],[Name]],Eingabe[GES]),IF($A$1="Heim",AVERAGEIFS(Eingabe[GES],Eingabe[Name],Bahnen[[#This Row],[Name]],Eingabe[Wo],"H"),IF($A$1="Auswärts",AVERAGEIFS(Eingabe[GES],Eingabe[Name],Bahnen[[#This Row],[Name]],Eingabe[Wo],"A"),""))),0),"")</f>
        <v>487</v>
      </c>
      <c r="C39" s="189">
        <f>IFERROR(Bahnen[[#This Row],[Schnitt]]/4,"")</f>
        <v>121.75</v>
      </c>
      <c r="D39" s="189">
        <f>IFERROR(IF($A$1="Gesamt",AVERAGEIF(Eingabe[Name],Bahnen[[#This Row],[Name]],Eingabe[S1]),IF($A$1="Heim",AVERAGEIFS(Eingabe[S-NR],Eingabe[Name],Bahnen[[#This Row],[Name]],Eingabe[Wo],"H"),IF($A$1="Auswärts",AVERAGEIFS(Eingabe[S1],Eingabe[Name],Bahnen[[#This Row],[Name]],Eingabe[Wo],"A"),""))),"")</f>
        <v>113</v>
      </c>
      <c r="E39" s="189">
        <f>IFERROR(ROUND(Bahnen[[#This Row],[S1]]-Bahnen[[#This Row],[Bahn Schnitt]],1),"")</f>
        <v>-8.8000000000000007</v>
      </c>
      <c r="F39" s="189">
        <f>IFERROR(IF($A$1="Gesamt",AVERAGEIF(Eingabe[Name],Bahnen[[#This Row],[Name]],Eingabe[S2]),IF($A$1="Heim",AVERAGEIFS(Eingabe[S2],Eingabe[Name],Bahnen[[#This Row],[Name]],Eingabe[Wo],"H"),IF($A$1="Auswärts",AVERAGEIFS(Eingabe[S2],Eingabe[Name],Bahnen[[#This Row],[Name]],Eingabe[Wo],"A"),""))),"")</f>
        <v>138</v>
      </c>
      <c r="G39" s="189">
        <f>IFERROR(ROUND(Bahnen[[#This Row],[S2]]-Bahnen[[#This Row],[Bahn Schnitt]],1),"")</f>
        <v>16.3</v>
      </c>
      <c r="H39" s="189">
        <f>IFERROR(IF($A$1="Gesamt",AVERAGEIF(Eingabe[Name],Bahnen[[#This Row],[Name]],Eingabe[S3]),IF($A$1="Heim",AVERAGEIFS(Eingabe[S3],Eingabe[Name],Bahnen[[#This Row],[Name]],Eingabe[Wo],"H"),IF($A$1="Auswärts",AVERAGEIFS(Eingabe[S-NR],Eingabe[Name],Bahnen[[#This Row],[Name]],Eingabe[Wo],"A"),""))),"")</f>
        <v>130</v>
      </c>
      <c r="I39" s="189">
        <f>IFERROR(ROUND(Bahnen[[#This Row],[S3]]-Bahnen[[#This Row],[Bahn Schnitt]],1),"")</f>
        <v>8.3000000000000007</v>
      </c>
      <c r="J39" s="189">
        <f>IFERROR(IF($A$1="Gesamt",AVERAGEIF(Eingabe[Name],Bahnen[[#This Row],[Name]],Eingabe[S4]),IF($A$1="Heim",AVERAGEIFS(Eingabe[S4],Eingabe[Name],Bahnen[[#This Row],[Name]],Eingabe[Wo],"H"),IF($A$1="Auswärts",AVERAGEIFS(Eingabe[S-NR],Eingabe[Name],Bahnen[[#This Row],[Name]],Eingabe[Wo],"A"),""))),"")</f>
        <v>106</v>
      </c>
      <c r="K39" s="189">
        <f>IFERROR(ROUND(Bahnen[[#This Row],[S4]]-Bahnen[[#This Row],[Bahn Schnitt]],1),"")</f>
        <v>-15.8</v>
      </c>
      <c r="M39" s="335" t="str">
        <f>Bahnen[[#This Row],[Name]]</f>
        <v>Peter Weißling</v>
      </c>
      <c r="N39" s="189">
        <f>IFERROR(ROUND(IF($M$1="Gesamt",AVERAGEIF(Eingabe[Name],Volle[[#This Row],[Name]],Eingabe[Volle]),IF($M$1="Heim",AVERAGEIFS(Eingabe[Volle],Eingabe[Name],Volle[[#This Row],[Name]],Eingabe[Wo],"H"),IF($M$1="Auswärts",AVERAGEIFS(Eingabe[Volle],Eingabe[Name],Volle[[#This Row],[Name]],Eingabe[Wo],"A"),""))),0),"")</f>
        <v>342</v>
      </c>
      <c r="O39" s="189">
        <f>IFERROR(Volle[[#This Row],[Volle Schnitt]]/4,"")</f>
        <v>85.5</v>
      </c>
      <c r="P39" s="189">
        <f>IFERROR(IF($M$1="Gesamt",AVERAGEIF(Eingabe[Name],Volle[[#This Row],[Name]],Eingabe[V1]),IF($M$1="Heim",AVERAGEIFS(Eingabe[V1],Eingabe[Name],Volle[[#This Row],[Name]],Eingabe[Wo],"H"),IF($M$1="Auswärts",AVERAGEIFS(Eingabe[V1],Eingabe[Name],Volle[[#This Row],[Name]],Eingabe[Wo],"A"),""))),"")</f>
        <v>87</v>
      </c>
      <c r="Q39" s="189">
        <f>IFERROR(ROUND(Volle[[#This Row],[V1]]-Volle[[#This Row],[Volle Bahn Schnitt]],1),"")</f>
        <v>1.5</v>
      </c>
      <c r="R39" s="189">
        <f>IFERROR(IF($M$1="Gesamt",AVERAGEIF(Eingabe[Name],Volle[[#This Row],[Name]],Eingabe[V2]),IF($M$1="Heim",AVERAGEIFS(Eingabe[V2],Eingabe[Name],Volle[[#This Row],[Name]],Eingabe[Wo],"H"),IF($M$1="Auswärts",AVERAGEIFS(Eingabe[V2],Eingabe[Name],Volle[[#This Row],[Name]],Eingabe[Wo],"A"),""))),"")</f>
        <v>85</v>
      </c>
      <c r="S39" s="189">
        <f>IFERROR(ROUND(Volle[[#This Row],[V2]]-Volle[[#This Row],[Volle Bahn Schnitt]],1),"")</f>
        <v>-0.5</v>
      </c>
      <c r="T39" s="189">
        <f>IFERROR(IF($M$1="Gesamt",AVERAGEIF(Eingabe[Name],Volle[[#This Row],[Name]],Eingabe[V3]),IF($M$1="Heim",AVERAGEIFS(Eingabe[V3],Eingabe[Name],Volle[[#This Row],[Name]],Eingabe[Wo],"H"),IF($M$1="Auswärts",AVERAGEIFS(Eingabe[V3],Eingabe[Name],Volle[[#This Row],[Name]],Eingabe[Wo],"A"),""))),"")</f>
        <v>94</v>
      </c>
      <c r="U39" s="189">
        <f>IFERROR(ROUND(Volle[[#This Row],[V3]]-Volle[[#This Row],[Volle Bahn Schnitt]],1),"")</f>
        <v>8.5</v>
      </c>
      <c r="V39" s="189">
        <f>IFERROR(IF($M$1="Gesamt",AVERAGEIF(Eingabe[Name],Volle[[#This Row],[Name]],Eingabe[V4]),IF($M$1="Heim",AVERAGEIFS(Eingabe[V4],Eingabe[Name],Volle[[#This Row],[Name]],Eingabe[Wo],"H"),IF($M$1="Auswärts",AVERAGEIFS(Eingabe[V4],Eingabe[Name],Volle[[#This Row],[Name]],Eingabe[Wo],"A"),""))),"")</f>
        <v>76</v>
      </c>
      <c r="W39" s="340">
        <f>IFERROR(ROUND(Volle[[#This Row],[V4]]-Volle[[#This Row],[Volle Bahn Schnitt]],1),"")</f>
        <v>-9.5</v>
      </c>
      <c r="Y39" s="335" t="str">
        <f>Bahnen[[#This Row],[Name]]</f>
        <v>Peter Weißling</v>
      </c>
      <c r="Z39" s="189">
        <f>IFERROR(ROUND(IF(Y$1="Gesamt",AVERAGEIF(Eingabe[Name],Räumer[[#This Row],[Name]],Eingabe[Räumer]),IF(Y$1="Heim",AVERAGEIFS(Eingabe[Räumer],Eingabe[Name],Räumer[[#This Row],[Name]],Eingabe[Wo],"H"),IF(Y$1="Auswärts",AVERAGEIFS(Eingabe[Räumer],Eingabe[Name],Räumer[[#This Row],[Name]],Eingabe[Wo],"A"),""))),0),"")</f>
        <v>145</v>
      </c>
      <c r="AA39" s="189">
        <f>IFERROR(Räumer[[#This Row],[Räumer Schnitt]]/4,"")</f>
        <v>36.25</v>
      </c>
      <c r="AB39" s="189">
        <f>IFERROR(IF(Y$1="Gesamt",AVERAGEIF(Eingabe[Name],Räumer[[#This Row],[Name]],Eingabe[R1]),IF(Y$1="Heim",AVERAGEIFS(Eingabe[R1],Eingabe[Name],Räumer[[#This Row],[Name]],Eingabe[Wo],"H"),IF(Y$1="Auswärts",AVERAGEIFS(Eingabe[R1],Eingabe[Name],Räumer[[#This Row],[Name]],Eingabe[Wo],"A"),""))),"")</f>
        <v>26</v>
      </c>
      <c r="AC39" s="189">
        <f>IFERROR(ROUND(Räumer[[#This Row],[R1]]-Räumer[[#This Row],[Räumer Bahn Schnitt]],1),"")</f>
        <v>-10.3</v>
      </c>
      <c r="AD39" s="189">
        <f>IFERROR(IF(Y$1="Gesamt",AVERAGEIF(Eingabe[Name],Räumer[[#This Row],[Name]],Eingabe[R2]),IF(Y$1="Heim",AVERAGEIFS(Eingabe[R2],Eingabe[Name],Räumer[[#This Row],[Name]],Eingabe[Wo],"H"),IF(Y$1="Auswärts",AVERAGEIFS(Eingabe[R2],Eingabe[Name],Räumer[[#This Row],[Name]],Eingabe[Wo],"A"),""))),"")</f>
        <v>53</v>
      </c>
      <c r="AE39" s="189">
        <f>IFERROR(ROUND(Räumer[[#This Row],[R2]]-Räumer[[#This Row],[Räumer Bahn Schnitt]],1),"")</f>
        <v>16.8</v>
      </c>
      <c r="AF39" s="189">
        <f>IFERROR(IF(Y$1="Gesamt",AVERAGEIF(Eingabe[Name],Räumer[[#This Row],[Name]],Eingabe[R3]),IF(Y$1="Heim",AVERAGEIFS(Eingabe[R3],Eingabe[Name],Räumer[[#This Row],[Name]],Eingabe[Wo],"H"),IF(Y$1="Auswärts",AVERAGEIFS(Eingabe[R3],Eingabe[Name],Räumer[[#This Row],[Name]],Eingabe[Wo],"A"),""))),"")</f>
        <v>36</v>
      </c>
      <c r="AG39" s="189">
        <f>IFERROR(ROUND(Räumer[[#This Row],[R3]]-Räumer[[#This Row],[Räumer Bahn Schnitt]],1),"")</f>
        <v>-0.3</v>
      </c>
      <c r="AH39" s="189">
        <f>IFERROR(IF(Y$1="Gesamt",AVERAGEIF(Eingabe[Name],Räumer[[#This Row],[Name]],Eingabe[R4]),IF(Y$1="Heim",AVERAGEIFS(Eingabe[R4],Eingabe[Name],Räumer[[#This Row],[Name]],Eingabe[Wo],"H"),IF(Y$1="Auswärts",AVERAGEIFS(Eingabe[R4],Eingabe[Name],Räumer[[#This Row],[Name]],Eingabe[Wo],"A"),""))),"")</f>
        <v>30</v>
      </c>
      <c r="AI39" s="189">
        <f>IFERROR(ROUND(Räumer[[#This Row],[R4]]-Räumer[[#This Row],[Räumer Bahn Schnitt]],1),"")</f>
        <v>-6.3</v>
      </c>
      <c r="AK39" s="335" t="str">
        <f>Bahnen[[#This Row],[Name]]</f>
        <v>Peter Weißling</v>
      </c>
      <c r="AL39" s="189">
        <f>IFERROR(ROUND(IF(AK$1="Gesamt",AVERAGEIF(Eingabe[Name],Fehler[[#This Row],[Name]],Eingabe[Fehler]),IF(AK$1="Heim",AVERAGEIFS(Eingabe[Fehler],Eingabe[Name],Fehler[[#This Row],[Name]],Eingabe[Wo],"H"),IF(AK$1="Auswärts",AVERAGEIFS(Eingabe[Fehler],Eingabe[Name],Fehler[[#This Row],[Name]],Eingabe[Wo],"A"),""))),0),"")</f>
        <v>8</v>
      </c>
      <c r="AM39" s="189">
        <f>IFERROR(Fehler[[#This Row],[Fehler Schnitt]]/4,"")</f>
        <v>2</v>
      </c>
      <c r="AN39" s="189">
        <f>IFERROR(IF(AK$1="Gesamt",AVERAGEIF(Eingabe[Name],Fehler[[#This Row],[Name]],Eingabe[F1]),IF(AK$1="Heim",AVERAGEIFS(Eingabe[F1],Eingabe[Name],Fehler[[#This Row],[Name]],Eingabe[Wo],"H"),IF(AK$1="Auswärts",AVERAGEIFS(Eingabe[F1],Eingabe[Name],Fehler[[#This Row],[Name]],Eingabe[Wo],"A"),""))),"")</f>
        <v>5</v>
      </c>
      <c r="AO39" s="189">
        <f>IFERROR(ROUND(Fehler[[#This Row],[F1]]-Fehler[[#This Row],[Fehler Bahn Schnitt]],1),"")</f>
        <v>3</v>
      </c>
      <c r="AP39" s="189">
        <f>IFERROR(IF(AK$1="Gesamt",AVERAGEIF(Eingabe[Name],Fehler[[#This Row],[Name]],Eingabe[F2]),IF(AK$1="Heim",AVERAGEIFS(Eingabe[F2],Eingabe[Name],Fehler[[#This Row],[Name]],Eingabe[Wo],"H"),IF(AK$1="Auswärts",AVERAGEIFS(Eingabe[F2],Eingabe[Name],Fehler[[#This Row],[Name]],Eingabe[Wo],"A"),""))),"")</f>
        <v>0</v>
      </c>
      <c r="AQ39" s="189">
        <f>IFERROR(ROUND(Fehler[[#This Row],[F2]]-Fehler[[#This Row],[Fehler Bahn Schnitt]],1),"")</f>
        <v>-2</v>
      </c>
      <c r="AR39" s="189">
        <f>IFERROR(IF(AK$1="Gesamt",AVERAGEIF(Eingabe[Name],Fehler[[#This Row],[Name]],Eingabe[F3]),IF(AK$1="Heim",AVERAGEIFS(Eingabe[F3],Eingabe[Name],Fehler[[#This Row],[Name]],Eingabe[Wo],"H"),IF(AK$1="Auswärts",AVERAGEIFS(Eingabe[F1],Eingabe[Name],Fehler[[#This Row],[Name]],Eingabe[Wo],"A"),""))),"")</f>
        <v>2</v>
      </c>
      <c r="AS39" s="189">
        <f>IFERROR(ROUND(Fehler[[#This Row],[F3]]-Fehler[[#This Row],[Fehler Bahn Schnitt]],1),"")</f>
        <v>0</v>
      </c>
      <c r="AT39" s="189">
        <f>IFERROR(IF(AK$1="Gesamt",AVERAGEIF(Eingabe[Name],Fehler[[#This Row],[Name]],Eingabe[F4]),IF(AK$1="Heim",AVERAGEIFS(Eingabe[F4],Eingabe[Name],Fehler[[#This Row],[Name]],Eingabe[Wo],"H"),IF(AK$1="Auswärts",AVERAGEIFS(Eingabe[F1],Eingabe[Name],Fehler[[#This Row],[Name]],Eingabe[Wo],"A"),""))),"")</f>
        <v>1</v>
      </c>
      <c r="AU39" s="189">
        <f>IFERROR(ROUND(Fehler[[#This Row],[F4]]-Fehler[[#This Row],[Fehler Bahn Schnitt]],1),"")</f>
        <v>-1</v>
      </c>
    </row>
    <row r="40" spans="1:47" ht="15.6" x14ac:dyDescent="0.3">
      <c r="A40" s="335" t="s">
        <v>494</v>
      </c>
      <c r="B40" s="189">
        <f>IFERROR(ROUND(IF($A$1="Gesamt",AVERAGEIF(Eingabe[Name],Bahnen[[#This Row],[Name]],Eingabe[GES]),IF($A$1="Heim",AVERAGEIFS(Eingabe[GES],Eingabe[Name],Bahnen[[#This Row],[Name]],Eingabe[Wo],"H"),IF($A$1="Auswärts",AVERAGEIFS(Eingabe[GES],Eingabe[Name],Bahnen[[#This Row],[Name]],Eingabe[Wo],"A"),""))),0),"")</f>
        <v>477</v>
      </c>
      <c r="C40" s="189">
        <f>IFERROR(Bahnen[[#This Row],[Schnitt]]/4,"")</f>
        <v>119.25</v>
      </c>
      <c r="D40" s="189">
        <f>IFERROR(IF($A$1="Gesamt",AVERAGEIF(Eingabe[Name],Bahnen[[#This Row],[Name]],Eingabe[S1]),IF($A$1="Heim",AVERAGEIFS(Eingabe[S-NR],Eingabe[Name],Bahnen[[#This Row],[Name]],Eingabe[Wo],"H"),IF($A$1="Auswärts",AVERAGEIFS(Eingabe[S1],Eingabe[Name],Bahnen[[#This Row],[Name]],Eingabe[Wo],"A"),""))),"")</f>
        <v>117</v>
      </c>
      <c r="E40" s="189">
        <f>IFERROR(ROUND(Bahnen[[#This Row],[S1]]-Bahnen[[#This Row],[Bahn Schnitt]],1),"")</f>
        <v>-2.2999999999999998</v>
      </c>
      <c r="F40" s="189">
        <f>IFERROR(IF($A$1="Gesamt",AVERAGEIF(Eingabe[Name],Bahnen[[#This Row],[Name]],Eingabe[S2]),IF($A$1="Heim",AVERAGEIFS(Eingabe[S2],Eingabe[Name],Bahnen[[#This Row],[Name]],Eingabe[Wo],"H"),IF($A$1="Auswärts",AVERAGEIFS(Eingabe[S2],Eingabe[Name],Bahnen[[#This Row],[Name]],Eingabe[Wo],"A"),""))),"")</f>
        <v>127</v>
      </c>
      <c r="G40" s="189">
        <f>IFERROR(ROUND(Bahnen[[#This Row],[S2]]-Bahnen[[#This Row],[Bahn Schnitt]],1),"")</f>
        <v>7.8</v>
      </c>
      <c r="H40" s="189">
        <f>IFERROR(IF($A$1="Gesamt",AVERAGEIF(Eingabe[Name],Bahnen[[#This Row],[Name]],Eingabe[S3]),IF($A$1="Heim",AVERAGEIFS(Eingabe[S3],Eingabe[Name],Bahnen[[#This Row],[Name]],Eingabe[Wo],"H"),IF($A$1="Auswärts",AVERAGEIFS(Eingabe[S-NR],Eingabe[Name],Bahnen[[#This Row],[Name]],Eingabe[Wo],"A"),""))),"")</f>
        <v>115</v>
      </c>
      <c r="I40" s="189">
        <f>IFERROR(ROUND(Bahnen[[#This Row],[S3]]-Bahnen[[#This Row],[Bahn Schnitt]],1),"")</f>
        <v>-4.3</v>
      </c>
      <c r="J40" s="189">
        <f>IFERROR(IF($A$1="Gesamt",AVERAGEIF(Eingabe[Name],Bahnen[[#This Row],[Name]],Eingabe[S4]),IF($A$1="Heim",AVERAGEIFS(Eingabe[S4],Eingabe[Name],Bahnen[[#This Row],[Name]],Eingabe[Wo],"H"),IF($A$1="Auswärts",AVERAGEIFS(Eingabe[S-NR],Eingabe[Name],Bahnen[[#This Row],[Name]],Eingabe[Wo],"A"),""))),"")</f>
        <v>118</v>
      </c>
      <c r="K40" s="189">
        <f>IFERROR(ROUND(Bahnen[[#This Row],[S4]]-Bahnen[[#This Row],[Bahn Schnitt]],1),"")</f>
        <v>-1.3</v>
      </c>
      <c r="M40" s="335" t="str">
        <f>Bahnen[[#This Row],[Name]]</f>
        <v>Petra Kubon</v>
      </c>
      <c r="N40" s="189">
        <f>IFERROR(ROUND(IF($M$1="Gesamt",AVERAGEIF(Eingabe[Name],Volle[[#This Row],[Name]],Eingabe[Volle]),IF($M$1="Heim",AVERAGEIFS(Eingabe[Volle],Eingabe[Name],Volle[[#This Row],[Name]],Eingabe[Wo],"H"),IF($M$1="Auswärts",AVERAGEIFS(Eingabe[Volle],Eingabe[Name],Volle[[#This Row],[Name]],Eingabe[Wo],"A"),""))),0),"")</f>
        <v>340</v>
      </c>
      <c r="O40" s="189">
        <f>IFERROR(Volle[[#This Row],[Volle Schnitt]]/4,"")</f>
        <v>85</v>
      </c>
      <c r="P40" s="189">
        <f>IFERROR(IF($M$1="Gesamt",AVERAGEIF(Eingabe[Name],Volle[[#This Row],[Name]],Eingabe[V1]),IF($M$1="Heim",AVERAGEIFS(Eingabe[V1],Eingabe[Name],Volle[[#This Row],[Name]],Eingabe[Wo],"H"),IF($M$1="Auswärts",AVERAGEIFS(Eingabe[V1],Eingabe[Name],Volle[[#This Row],[Name]],Eingabe[Wo],"A"),""))),"")</f>
        <v>84</v>
      </c>
      <c r="Q40" s="189">
        <f>IFERROR(ROUND(Volle[[#This Row],[V1]]-Volle[[#This Row],[Volle Bahn Schnitt]],1),"")</f>
        <v>-1</v>
      </c>
      <c r="R40" s="189">
        <f>IFERROR(IF($M$1="Gesamt",AVERAGEIF(Eingabe[Name],Volle[[#This Row],[Name]],Eingabe[V2]),IF($M$1="Heim",AVERAGEIFS(Eingabe[V2],Eingabe[Name],Volle[[#This Row],[Name]],Eingabe[Wo],"H"),IF($M$1="Auswärts",AVERAGEIFS(Eingabe[V2],Eingabe[Name],Volle[[#This Row],[Name]],Eingabe[Wo],"A"),""))),"")</f>
        <v>93</v>
      </c>
      <c r="S40" s="189">
        <f>IFERROR(ROUND(Volle[[#This Row],[V2]]-Volle[[#This Row],[Volle Bahn Schnitt]],1),"")</f>
        <v>8</v>
      </c>
      <c r="T40" s="189">
        <f>IFERROR(IF($M$1="Gesamt",AVERAGEIF(Eingabe[Name],Volle[[#This Row],[Name]],Eingabe[V3]),IF($M$1="Heim",AVERAGEIFS(Eingabe[V3],Eingabe[Name],Volle[[#This Row],[Name]],Eingabe[Wo],"H"),IF($M$1="Auswärts",AVERAGEIFS(Eingabe[V3],Eingabe[Name],Volle[[#This Row],[Name]],Eingabe[Wo],"A"),""))),"")</f>
        <v>80</v>
      </c>
      <c r="U40" s="189">
        <f>IFERROR(ROUND(Volle[[#This Row],[V3]]-Volle[[#This Row],[Volle Bahn Schnitt]],1),"")</f>
        <v>-5</v>
      </c>
      <c r="V40" s="189">
        <f>IFERROR(IF($M$1="Gesamt",AVERAGEIF(Eingabe[Name],Volle[[#This Row],[Name]],Eingabe[V4]),IF($M$1="Heim",AVERAGEIFS(Eingabe[V4],Eingabe[Name],Volle[[#This Row],[Name]],Eingabe[Wo],"H"),IF($M$1="Auswärts",AVERAGEIFS(Eingabe[V4],Eingabe[Name],Volle[[#This Row],[Name]],Eingabe[Wo],"A"),""))),"")</f>
        <v>83</v>
      </c>
      <c r="W40" s="340">
        <f>IFERROR(ROUND(Volle[[#This Row],[V4]]-Volle[[#This Row],[Volle Bahn Schnitt]],1),"")</f>
        <v>-2</v>
      </c>
      <c r="Y40" s="335" t="str">
        <f>Bahnen[[#This Row],[Name]]</f>
        <v>Petra Kubon</v>
      </c>
      <c r="Z40" s="189">
        <f>IFERROR(ROUND(IF(Y$1="Gesamt",AVERAGEIF(Eingabe[Name],Räumer[[#This Row],[Name]],Eingabe[Räumer]),IF(Y$1="Heim",AVERAGEIFS(Eingabe[Räumer],Eingabe[Name],Räumer[[#This Row],[Name]],Eingabe[Wo],"H"),IF(Y$1="Auswärts",AVERAGEIFS(Eingabe[Räumer],Eingabe[Name],Räumer[[#This Row],[Name]],Eingabe[Wo],"A"),""))),0),"")</f>
        <v>137</v>
      </c>
      <c r="AA40" s="189">
        <f>IFERROR(Räumer[[#This Row],[Räumer Schnitt]]/4,"")</f>
        <v>34.25</v>
      </c>
      <c r="AB40" s="189">
        <f>IFERROR(IF(Y$1="Gesamt",AVERAGEIF(Eingabe[Name],Räumer[[#This Row],[Name]],Eingabe[R1]),IF(Y$1="Heim",AVERAGEIFS(Eingabe[R1],Eingabe[Name],Räumer[[#This Row],[Name]],Eingabe[Wo],"H"),IF(Y$1="Auswärts",AVERAGEIFS(Eingabe[R1],Eingabe[Name],Räumer[[#This Row],[Name]],Eingabe[Wo],"A"),""))),"")</f>
        <v>33</v>
      </c>
      <c r="AC40" s="189">
        <f>IFERROR(ROUND(Räumer[[#This Row],[R1]]-Räumer[[#This Row],[Räumer Bahn Schnitt]],1),"")</f>
        <v>-1.3</v>
      </c>
      <c r="AD40" s="189">
        <f>IFERROR(IF(Y$1="Gesamt",AVERAGEIF(Eingabe[Name],Räumer[[#This Row],[Name]],Eingabe[R2]),IF(Y$1="Heim",AVERAGEIFS(Eingabe[R2],Eingabe[Name],Räumer[[#This Row],[Name]],Eingabe[Wo],"H"),IF(Y$1="Auswärts",AVERAGEIFS(Eingabe[R2],Eingabe[Name],Räumer[[#This Row],[Name]],Eingabe[Wo],"A"),""))),"")</f>
        <v>34</v>
      </c>
      <c r="AE40" s="189">
        <f>IFERROR(ROUND(Räumer[[#This Row],[R2]]-Räumer[[#This Row],[Räumer Bahn Schnitt]],1),"")</f>
        <v>-0.3</v>
      </c>
      <c r="AF40" s="189">
        <f>IFERROR(IF(Y$1="Gesamt",AVERAGEIF(Eingabe[Name],Räumer[[#This Row],[Name]],Eingabe[R3]),IF(Y$1="Heim",AVERAGEIFS(Eingabe[R3],Eingabe[Name],Räumer[[#This Row],[Name]],Eingabe[Wo],"H"),IF(Y$1="Auswärts",AVERAGEIFS(Eingabe[R3],Eingabe[Name],Räumer[[#This Row],[Name]],Eingabe[Wo],"A"),""))),"")</f>
        <v>35</v>
      </c>
      <c r="AG40" s="189">
        <f>IFERROR(ROUND(Räumer[[#This Row],[R3]]-Räumer[[#This Row],[Räumer Bahn Schnitt]],1),"")</f>
        <v>0.8</v>
      </c>
      <c r="AH40" s="189">
        <f>IFERROR(IF(Y$1="Gesamt",AVERAGEIF(Eingabe[Name],Räumer[[#This Row],[Name]],Eingabe[R4]),IF(Y$1="Heim",AVERAGEIFS(Eingabe[R4],Eingabe[Name],Räumer[[#This Row],[Name]],Eingabe[Wo],"H"),IF(Y$1="Auswärts",AVERAGEIFS(Eingabe[R4],Eingabe[Name],Räumer[[#This Row],[Name]],Eingabe[Wo],"A"),""))),"")</f>
        <v>35</v>
      </c>
      <c r="AI40" s="189">
        <f>IFERROR(ROUND(Räumer[[#This Row],[R4]]-Räumer[[#This Row],[Räumer Bahn Schnitt]],1),"")</f>
        <v>0.8</v>
      </c>
      <c r="AK40" s="335" t="str">
        <f>Bahnen[[#This Row],[Name]]</f>
        <v>Petra Kubon</v>
      </c>
      <c r="AL40" s="189">
        <f>IFERROR(ROUND(IF(AK$1="Gesamt",AVERAGEIF(Eingabe[Name],Fehler[[#This Row],[Name]],Eingabe[Fehler]),IF(AK$1="Heim",AVERAGEIFS(Eingabe[Fehler],Eingabe[Name],Fehler[[#This Row],[Name]],Eingabe[Wo],"H"),IF(AK$1="Auswärts",AVERAGEIFS(Eingabe[Fehler],Eingabe[Name],Fehler[[#This Row],[Name]],Eingabe[Wo],"A"),""))),0),"")</f>
        <v>13</v>
      </c>
      <c r="AM40" s="189">
        <f>IFERROR(Fehler[[#This Row],[Fehler Schnitt]]/4,"")</f>
        <v>3.25</v>
      </c>
      <c r="AN40" s="189">
        <f>IFERROR(IF(AK$1="Gesamt",AVERAGEIF(Eingabe[Name],Fehler[[#This Row],[Name]],Eingabe[F1]),IF(AK$1="Heim",AVERAGEIFS(Eingabe[F1],Eingabe[Name],Fehler[[#This Row],[Name]],Eingabe[Wo],"H"),IF(AK$1="Auswärts",AVERAGEIFS(Eingabe[F1],Eingabe[Name],Fehler[[#This Row],[Name]],Eingabe[Wo],"A"),""))),"")</f>
        <v>4</v>
      </c>
      <c r="AO40" s="189">
        <f>IFERROR(ROUND(Fehler[[#This Row],[F1]]-Fehler[[#This Row],[Fehler Bahn Schnitt]],1),"")</f>
        <v>0.8</v>
      </c>
      <c r="AP40" s="189">
        <f>IFERROR(IF(AK$1="Gesamt",AVERAGEIF(Eingabe[Name],Fehler[[#This Row],[Name]],Eingabe[F2]),IF(AK$1="Heim",AVERAGEIFS(Eingabe[F2],Eingabe[Name],Fehler[[#This Row],[Name]],Eingabe[Wo],"H"),IF(AK$1="Auswärts",AVERAGEIFS(Eingabe[F2],Eingabe[Name],Fehler[[#This Row],[Name]],Eingabe[Wo],"A"),""))),"")</f>
        <v>4</v>
      </c>
      <c r="AQ40" s="189">
        <f>IFERROR(ROUND(Fehler[[#This Row],[F2]]-Fehler[[#This Row],[Fehler Bahn Schnitt]],1),"")</f>
        <v>0.8</v>
      </c>
      <c r="AR40" s="189">
        <f>IFERROR(IF(AK$1="Gesamt",AVERAGEIF(Eingabe[Name],Fehler[[#This Row],[Name]],Eingabe[F3]),IF(AK$1="Heim",AVERAGEIFS(Eingabe[F3],Eingabe[Name],Fehler[[#This Row],[Name]],Eingabe[Wo],"H"),IF(AK$1="Auswärts",AVERAGEIFS(Eingabe[F1],Eingabe[Name],Fehler[[#This Row],[Name]],Eingabe[Wo],"A"),""))),"")</f>
        <v>3</v>
      </c>
      <c r="AS40" s="189">
        <f>IFERROR(ROUND(Fehler[[#This Row],[F3]]-Fehler[[#This Row],[Fehler Bahn Schnitt]],1),"")</f>
        <v>-0.3</v>
      </c>
      <c r="AT40" s="189">
        <f>IFERROR(IF(AK$1="Gesamt",AVERAGEIF(Eingabe[Name],Fehler[[#This Row],[Name]],Eingabe[F4]),IF(AK$1="Heim",AVERAGEIFS(Eingabe[F4],Eingabe[Name],Fehler[[#This Row],[Name]],Eingabe[Wo],"H"),IF(AK$1="Auswärts",AVERAGEIFS(Eingabe[F1],Eingabe[Name],Fehler[[#This Row],[Name]],Eingabe[Wo],"A"),""))),"")</f>
        <v>2</v>
      </c>
      <c r="AU40" s="189">
        <f>IFERROR(ROUND(Fehler[[#This Row],[F4]]-Fehler[[#This Row],[Fehler Bahn Schnitt]],1),"")</f>
        <v>-1.3</v>
      </c>
    </row>
    <row r="41" spans="1:47" ht="15.6" x14ac:dyDescent="0.3">
      <c r="A41" s="335" t="s">
        <v>455</v>
      </c>
      <c r="B41" s="189">
        <f>IFERROR(ROUND(IF($A$1="Gesamt",AVERAGEIF(Eingabe[Name],Bahnen[[#This Row],[Name]],Eingabe[GES]),IF($A$1="Heim",AVERAGEIFS(Eingabe[GES],Eingabe[Name],Bahnen[[#This Row],[Name]],Eingabe[Wo],"H"),IF($A$1="Auswärts",AVERAGEIFS(Eingabe[GES],Eingabe[Name],Bahnen[[#This Row],[Name]],Eingabe[Wo],"A"),""))),0),"")</f>
        <v>568</v>
      </c>
      <c r="C41" s="189">
        <f>IFERROR(Bahnen[[#This Row],[Schnitt]]/4,"")</f>
        <v>142</v>
      </c>
      <c r="D41" s="189">
        <f>IFERROR(IF($A$1="Gesamt",AVERAGEIF(Eingabe[Name],Bahnen[[#This Row],[Name]],Eingabe[S1]),IF($A$1="Heim",AVERAGEIFS(Eingabe[S-NR],Eingabe[Name],Bahnen[[#This Row],[Name]],Eingabe[Wo],"H"),IF($A$1="Auswärts",AVERAGEIFS(Eingabe[S1],Eingabe[Name],Bahnen[[#This Row],[Name]],Eingabe[Wo],"A"),""))),"")</f>
        <v>146.84615384615384</v>
      </c>
      <c r="E41" s="189">
        <f>IFERROR(ROUND(Bahnen[[#This Row],[S1]]-Bahnen[[#This Row],[Bahn Schnitt]],1),"")</f>
        <v>4.8</v>
      </c>
      <c r="F41" s="189">
        <f>IFERROR(IF($A$1="Gesamt",AVERAGEIF(Eingabe[Name],Bahnen[[#This Row],[Name]],Eingabe[S2]),IF($A$1="Heim",AVERAGEIFS(Eingabe[S2],Eingabe[Name],Bahnen[[#This Row],[Name]],Eingabe[Wo],"H"),IF($A$1="Auswärts",AVERAGEIFS(Eingabe[S2],Eingabe[Name],Bahnen[[#This Row],[Name]],Eingabe[Wo],"A"),""))),"")</f>
        <v>139.15384615384616</v>
      </c>
      <c r="G41" s="189">
        <f>IFERROR(ROUND(Bahnen[[#This Row],[S2]]-Bahnen[[#This Row],[Bahn Schnitt]],1),"")</f>
        <v>-2.8</v>
      </c>
      <c r="H41" s="189">
        <f>IFERROR(IF($A$1="Gesamt",AVERAGEIF(Eingabe[Name],Bahnen[[#This Row],[Name]],Eingabe[S3]),IF($A$1="Heim",AVERAGEIFS(Eingabe[S3],Eingabe[Name],Bahnen[[#This Row],[Name]],Eingabe[Wo],"H"),IF($A$1="Auswärts",AVERAGEIFS(Eingabe[S-NR],Eingabe[Name],Bahnen[[#This Row],[Name]],Eingabe[Wo],"A"),""))),"")</f>
        <v>141.69230769230768</v>
      </c>
      <c r="I41" s="189">
        <f>IFERROR(ROUND(Bahnen[[#This Row],[S3]]-Bahnen[[#This Row],[Bahn Schnitt]],1),"")</f>
        <v>-0.3</v>
      </c>
      <c r="J41" s="189">
        <f>IFERROR(IF($A$1="Gesamt",AVERAGEIF(Eingabe[Name],Bahnen[[#This Row],[Name]],Eingabe[S4]),IF($A$1="Heim",AVERAGEIFS(Eingabe[S4],Eingabe[Name],Bahnen[[#This Row],[Name]],Eingabe[Wo],"H"),IF($A$1="Auswärts",AVERAGEIFS(Eingabe[S-NR],Eingabe[Name],Bahnen[[#This Row],[Name]],Eingabe[Wo],"A"),""))),"")</f>
        <v>140.61538461538461</v>
      </c>
      <c r="K41" s="189">
        <f>IFERROR(ROUND(Bahnen[[#This Row],[S4]]-Bahnen[[#This Row],[Bahn Schnitt]],1),"")</f>
        <v>-1.4</v>
      </c>
      <c r="M41" s="335" t="str">
        <f>Bahnen[[#This Row],[Name]]</f>
        <v>Philipp Paulmann</v>
      </c>
      <c r="N41" s="189">
        <f>IFERROR(ROUND(IF($M$1="Gesamt",AVERAGEIF(Eingabe[Name],Volle[[#This Row],[Name]],Eingabe[Volle]),IF($M$1="Heim",AVERAGEIFS(Eingabe[Volle],Eingabe[Name],Volle[[#This Row],[Name]],Eingabe[Wo],"H"),IF($M$1="Auswärts",AVERAGEIFS(Eingabe[Volle],Eingabe[Name],Volle[[#This Row],[Name]],Eingabe[Wo],"A"),""))),0),"")</f>
        <v>369</v>
      </c>
      <c r="O41" s="189">
        <f>IFERROR(Volle[[#This Row],[Volle Schnitt]]/4,"")</f>
        <v>92.25</v>
      </c>
      <c r="P41" s="189">
        <f>IFERROR(IF($M$1="Gesamt",AVERAGEIF(Eingabe[Name],Volle[[#This Row],[Name]],Eingabe[V1]),IF($M$1="Heim",AVERAGEIFS(Eingabe[V1],Eingabe[Name],Volle[[#This Row],[Name]],Eingabe[Wo],"H"),IF($M$1="Auswärts",AVERAGEIFS(Eingabe[V1],Eingabe[Name],Volle[[#This Row],[Name]],Eingabe[Wo],"A"),""))),"")</f>
        <v>93.15384615384616</v>
      </c>
      <c r="Q41" s="189">
        <f>IFERROR(ROUND(Volle[[#This Row],[V1]]-Volle[[#This Row],[Volle Bahn Schnitt]],1),"")</f>
        <v>0.9</v>
      </c>
      <c r="R41" s="189">
        <f>IFERROR(IF($M$1="Gesamt",AVERAGEIF(Eingabe[Name],Volle[[#This Row],[Name]],Eingabe[V2]),IF($M$1="Heim",AVERAGEIFS(Eingabe[V2],Eingabe[Name],Volle[[#This Row],[Name]],Eingabe[Wo],"H"),IF($M$1="Auswärts",AVERAGEIFS(Eingabe[V2],Eingabe[Name],Volle[[#This Row],[Name]],Eingabe[Wo],"A"),""))),"")</f>
        <v>91.92307692307692</v>
      </c>
      <c r="S41" s="189">
        <f>IFERROR(ROUND(Volle[[#This Row],[V2]]-Volle[[#This Row],[Volle Bahn Schnitt]],1),"")</f>
        <v>-0.3</v>
      </c>
      <c r="T41" s="189">
        <f>IFERROR(IF($M$1="Gesamt",AVERAGEIF(Eingabe[Name],Volle[[#This Row],[Name]],Eingabe[V3]),IF($M$1="Heim",AVERAGEIFS(Eingabe[V3],Eingabe[Name],Volle[[#This Row],[Name]],Eingabe[Wo],"H"),IF($M$1="Auswärts",AVERAGEIFS(Eingabe[V3],Eingabe[Name],Volle[[#This Row],[Name]],Eingabe[Wo],"A"),""))),"")</f>
        <v>93.07692307692308</v>
      </c>
      <c r="U41" s="189">
        <f>IFERROR(ROUND(Volle[[#This Row],[V3]]-Volle[[#This Row],[Volle Bahn Schnitt]],1),"")</f>
        <v>0.8</v>
      </c>
      <c r="V41" s="189">
        <f>IFERROR(IF($M$1="Gesamt",AVERAGEIF(Eingabe[Name],Volle[[#This Row],[Name]],Eingabe[V4]),IF($M$1="Heim",AVERAGEIFS(Eingabe[V4],Eingabe[Name],Volle[[#This Row],[Name]],Eingabe[Wo],"H"),IF($M$1="Auswärts",AVERAGEIFS(Eingabe[V4],Eingabe[Name],Volle[[#This Row],[Name]],Eingabe[Wo],"A"),""))),"")</f>
        <v>91.15384615384616</v>
      </c>
      <c r="W41" s="340">
        <f>IFERROR(ROUND(Volle[[#This Row],[V4]]-Volle[[#This Row],[Volle Bahn Schnitt]],1),"")</f>
        <v>-1.1000000000000001</v>
      </c>
      <c r="Y41" s="335" t="str">
        <f>Bahnen[[#This Row],[Name]]</f>
        <v>Philipp Paulmann</v>
      </c>
      <c r="Z41" s="189">
        <f>IFERROR(ROUND(IF(Y$1="Gesamt",AVERAGEIF(Eingabe[Name],Räumer[[#This Row],[Name]],Eingabe[Räumer]),IF(Y$1="Heim",AVERAGEIFS(Eingabe[Räumer],Eingabe[Name],Räumer[[#This Row],[Name]],Eingabe[Wo],"H"),IF(Y$1="Auswärts",AVERAGEIFS(Eingabe[Räumer],Eingabe[Name],Räumer[[#This Row],[Name]],Eingabe[Wo],"A"),""))),0),"")</f>
        <v>199</v>
      </c>
      <c r="AA41" s="189">
        <f>IFERROR(Räumer[[#This Row],[Räumer Schnitt]]/4,"")</f>
        <v>49.75</v>
      </c>
      <c r="AB41" s="189">
        <f>IFERROR(IF(Y$1="Gesamt",AVERAGEIF(Eingabe[Name],Räumer[[#This Row],[Name]],Eingabe[R1]),IF(Y$1="Heim",AVERAGEIFS(Eingabe[R1],Eingabe[Name],Räumer[[#This Row],[Name]],Eingabe[Wo],"H"),IF(Y$1="Auswärts",AVERAGEIFS(Eingabe[R1],Eingabe[Name],Räumer[[#This Row],[Name]],Eingabe[Wo],"A"),""))),"")</f>
        <v>53.692307692307693</v>
      </c>
      <c r="AC41" s="189">
        <f>IFERROR(ROUND(Räumer[[#This Row],[R1]]-Räumer[[#This Row],[Räumer Bahn Schnitt]],1),"")</f>
        <v>3.9</v>
      </c>
      <c r="AD41" s="189">
        <f>IFERROR(IF(Y$1="Gesamt",AVERAGEIF(Eingabe[Name],Räumer[[#This Row],[Name]],Eingabe[R2]),IF(Y$1="Heim",AVERAGEIFS(Eingabe[R2],Eingabe[Name],Räumer[[#This Row],[Name]],Eingabe[Wo],"H"),IF(Y$1="Auswärts",AVERAGEIFS(Eingabe[R2],Eingabe[Name],Räumer[[#This Row],[Name]],Eingabe[Wo],"A"),""))),"")</f>
        <v>47.230769230769234</v>
      </c>
      <c r="AE41" s="189">
        <f>IFERROR(ROUND(Räumer[[#This Row],[R2]]-Räumer[[#This Row],[Räumer Bahn Schnitt]],1),"")</f>
        <v>-2.5</v>
      </c>
      <c r="AF41" s="189">
        <f>IFERROR(IF(Y$1="Gesamt",AVERAGEIF(Eingabe[Name],Räumer[[#This Row],[Name]],Eingabe[R3]),IF(Y$1="Heim",AVERAGEIFS(Eingabe[R3],Eingabe[Name],Räumer[[#This Row],[Name]],Eingabe[Wo],"H"),IF(Y$1="Auswärts",AVERAGEIFS(Eingabe[R3],Eingabe[Name],Räumer[[#This Row],[Name]],Eingabe[Wo],"A"),""))),"")</f>
        <v>48.615384615384613</v>
      </c>
      <c r="AG41" s="189">
        <f>IFERROR(ROUND(Räumer[[#This Row],[R3]]-Räumer[[#This Row],[Räumer Bahn Schnitt]],1),"")</f>
        <v>-1.1000000000000001</v>
      </c>
      <c r="AH41" s="189">
        <f>IFERROR(IF(Y$1="Gesamt",AVERAGEIF(Eingabe[Name],Räumer[[#This Row],[Name]],Eingabe[R4]),IF(Y$1="Heim",AVERAGEIFS(Eingabe[R4],Eingabe[Name],Räumer[[#This Row],[Name]],Eingabe[Wo],"H"),IF(Y$1="Auswärts",AVERAGEIFS(Eingabe[R4],Eingabe[Name],Räumer[[#This Row],[Name]],Eingabe[Wo],"A"),""))),"")</f>
        <v>49.46153846153846</v>
      </c>
      <c r="AI41" s="189">
        <f>IFERROR(ROUND(Räumer[[#This Row],[R4]]-Räumer[[#This Row],[Räumer Bahn Schnitt]],1),"")</f>
        <v>-0.3</v>
      </c>
      <c r="AK41" s="335" t="str">
        <f>Bahnen[[#This Row],[Name]]</f>
        <v>Philipp Paulmann</v>
      </c>
      <c r="AL41" s="189">
        <f>IFERROR(ROUND(IF(AK$1="Gesamt",AVERAGEIF(Eingabe[Name],Fehler[[#This Row],[Name]],Eingabe[Fehler]),IF(AK$1="Heim",AVERAGEIFS(Eingabe[Fehler],Eingabe[Name],Fehler[[#This Row],[Name]],Eingabe[Wo],"H"),IF(AK$1="Auswärts",AVERAGEIFS(Eingabe[Fehler],Eingabe[Name],Fehler[[#This Row],[Name]],Eingabe[Wo],"A"),""))),0),"")</f>
        <v>3</v>
      </c>
      <c r="AM41" s="189">
        <f>IFERROR(Fehler[[#This Row],[Fehler Schnitt]]/4,"")</f>
        <v>0.75</v>
      </c>
      <c r="AN41" s="189">
        <f>IFERROR(IF(AK$1="Gesamt",AVERAGEIF(Eingabe[Name],Fehler[[#This Row],[Name]],Eingabe[F1]),IF(AK$1="Heim",AVERAGEIFS(Eingabe[F1],Eingabe[Name],Fehler[[#This Row],[Name]],Eingabe[Wo],"H"),IF(AK$1="Auswärts",AVERAGEIFS(Eingabe[F1],Eingabe[Name],Fehler[[#This Row],[Name]],Eingabe[Wo],"A"),""))),"")</f>
        <v>0.38461538461538464</v>
      </c>
      <c r="AO41" s="189">
        <f>IFERROR(ROUND(Fehler[[#This Row],[F1]]-Fehler[[#This Row],[Fehler Bahn Schnitt]],1),"")</f>
        <v>-0.4</v>
      </c>
      <c r="AP41" s="189">
        <f>IFERROR(IF(AK$1="Gesamt",AVERAGEIF(Eingabe[Name],Fehler[[#This Row],[Name]],Eingabe[F2]),IF(AK$1="Heim",AVERAGEIFS(Eingabe[F2],Eingabe[Name],Fehler[[#This Row],[Name]],Eingabe[Wo],"H"),IF(AK$1="Auswärts",AVERAGEIFS(Eingabe[F2],Eingabe[Name],Fehler[[#This Row],[Name]],Eingabe[Wo],"A"),""))),"")</f>
        <v>0.92307692307692313</v>
      </c>
      <c r="AQ41" s="189">
        <f>IFERROR(ROUND(Fehler[[#This Row],[F2]]-Fehler[[#This Row],[Fehler Bahn Schnitt]],1),"")</f>
        <v>0.2</v>
      </c>
      <c r="AR41" s="189">
        <f>IFERROR(IF(AK$1="Gesamt",AVERAGEIF(Eingabe[Name],Fehler[[#This Row],[Name]],Eingabe[F3]),IF(AK$1="Heim",AVERAGEIFS(Eingabe[F3],Eingabe[Name],Fehler[[#This Row],[Name]],Eingabe[Wo],"H"),IF(AK$1="Auswärts",AVERAGEIFS(Eingabe[F1],Eingabe[Name],Fehler[[#This Row],[Name]],Eingabe[Wo],"A"),""))),"")</f>
        <v>1.0769230769230769</v>
      </c>
      <c r="AS41" s="189">
        <f>IFERROR(ROUND(Fehler[[#This Row],[F3]]-Fehler[[#This Row],[Fehler Bahn Schnitt]],1),"")</f>
        <v>0.3</v>
      </c>
      <c r="AT41" s="189">
        <f>IFERROR(IF(AK$1="Gesamt",AVERAGEIF(Eingabe[Name],Fehler[[#This Row],[Name]],Eingabe[F4]),IF(AK$1="Heim",AVERAGEIFS(Eingabe[F4],Eingabe[Name],Fehler[[#This Row],[Name]],Eingabe[Wo],"H"),IF(AK$1="Auswärts",AVERAGEIFS(Eingabe[F1],Eingabe[Name],Fehler[[#This Row],[Name]],Eingabe[Wo],"A"),""))),"")</f>
        <v>0.38461538461538464</v>
      </c>
      <c r="AU41" s="189">
        <f>IFERROR(ROUND(Fehler[[#This Row],[F4]]-Fehler[[#This Row],[Fehler Bahn Schnitt]],1),"")</f>
        <v>-0.4</v>
      </c>
    </row>
    <row r="42" spans="1:47" ht="15.6" x14ac:dyDescent="0.3">
      <c r="A42" s="335" t="s">
        <v>485</v>
      </c>
      <c r="B42" s="189">
        <f>IFERROR(ROUND(IF($A$1="Gesamt",AVERAGEIF(Eingabe[Name],Bahnen[[#This Row],[Name]],Eingabe[GES]),IF($A$1="Heim",AVERAGEIFS(Eingabe[GES],Eingabe[Name],Bahnen[[#This Row],[Name]],Eingabe[Wo],"H"),IF($A$1="Auswärts",AVERAGEIFS(Eingabe[GES],Eingabe[Name],Bahnen[[#This Row],[Name]],Eingabe[Wo],"A"),""))),0),"")</f>
        <v>461</v>
      </c>
      <c r="C42" s="189">
        <f>IFERROR(Bahnen[[#This Row],[Schnitt]]/4,"")</f>
        <v>115.25</v>
      </c>
      <c r="D42" s="189">
        <f>IFERROR(IF($A$1="Gesamt",AVERAGEIF(Eingabe[Name],Bahnen[[#This Row],[Name]],Eingabe[S1]),IF($A$1="Heim",AVERAGEIFS(Eingabe[S-NR],Eingabe[Name],Bahnen[[#This Row],[Name]],Eingabe[Wo],"H"),IF($A$1="Auswärts",AVERAGEIFS(Eingabe[S1],Eingabe[Name],Bahnen[[#This Row],[Name]],Eingabe[Wo],"A"),""))),"")</f>
        <v>115.16666666666667</v>
      </c>
      <c r="E42" s="189">
        <f>IFERROR(ROUND(Bahnen[[#This Row],[S1]]-Bahnen[[#This Row],[Bahn Schnitt]],1),"")</f>
        <v>-0.1</v>
      </c>
      <c r="F42" s="189">
        <f>IFERROR(IF($A$1="Gesamt",AVERAGEIF(Eingabe[Name],Bahnen[[#This Row],[Name]],Eingabe[S2]),IF($A$1="Heim",AVERAGEIFS(Eingabe[S2],Eingabe[Name],Bahnen[[#This Row],[Name]],Eingabe[Wo],"H"),IF($A$1="Auswärts",AVERAGEIFS(Eingabe[S2],Eingabe[Name],Bahnen[[#This Row],[Name]],Eingabe[Wo],"A"),""))),"")</f>
        <v>117.33333333333333</v>
      </c>
      <c r="G42" s="189">
        <f>IFERROR(ROUND(Bahnen[[#This Row],[S2]]-Bahnen[[#This Row],[Bahn Schnitt]],1),"")</f>
        <v>2.1</v>
      </c>
      <c r="H42" s="189">
        <f>IFERROR(IF($A$1="Gesamt",AVERAGEIF(Eingabe[Name],Bahnen[[#This Row],[Name]],Eingabe[S3]),IF($A$1="Heim",AVERAGEIFS(Eingabe[S3],Eingabe[Name],Bahnen[[#This Row],[Name]],Eingabe[Wo],"H"),IF($A$1="Auswärts",AVERAGEIFS(Eingabe[S-NR],Eingabe[Name],Bahnen[[#This Row],[Name]],Eingabe[Wo],"A"),""))),"")</f>
        <v>113.5</v>
      </c>
      <c r="I42" s="189">
        <f>IFERROR(ROUND(Bahnen[[#This Row],[S3]]-Bahnen[[#This Row],[Bahn Schnitt]],1),"")</f>
        <v>-1.8</v>
      </c>
      <c r="J42" s="189">
        <f>IFERROR(IF($A$1="Gesamt",AVERAGEIF(Eingabe[Name],Bahnen[[#This Row],[Name]],Eingabe[S4]),IF($A$1="Heim",AVERAGEIFS(Eingabe[S4],Eingabe[Name],Bahnen[[#This Row],[Name]],Eingabe[Wo],"H"),IF($A$1="Auswärts",AVERAGEIFS(Eingabe[S-NR],Eingabe[Name],Bahnen[[#This Row],[Name]],Eingabe[Wo],"A"),""))),"")</f>
        <v>114.75</v>
      </c>
      <c r="K42" s="189">
        <f>IFERROR(ROUND(Bahnen[[#This Row],[S4]]-Bahnen[[#This Row],[Bahn Schnitt]],1),"")</f>
        <v>-0.5</v>
      </c>
      <c r="M42" s="335" t="str">
        <f>Bahnen[[#This Row],[Name]]</f>
        <v>Pia Wätzig</v>
      </c>
      <c r="N42" s="189">
        <f>IFERROR(ROUND(IF($M$1="Gesamt",AVERAGEIF(Eingabe[Name],Volle[[#This Row],[Name]],Eingabe[Volle]),IF($M$1="Heim",AVERAGEIFS(Eingabe[Volle],Eingabe[Name],Volle[[#This Row],[Name]],Eingabe[Wo],"H"),IF($M$1="Auswärts",AVERAGEIFS(Eingabe[Volle],Eingabe[Name],Volle[[#This Row],[Name]],Eingabe[Wo],"A"),""))),0),"")</f>
        <v>327</v>
      </c>
      <c r="O42" s="189">
        <f>IFERROR(Volle[[#This Row],[Volle Schnitt]]/4,"")</f>
        <v>81.75</v>
      </c>
      <c r="P42" s="189">
        <f>IFERROR(IF($M$1="Gesamt",AVERAGEIF(Eingabe[Name],Volle[[#This Row],[Name]],Eingabe[V1]),IF($M$1="Heim",AVERAGEIFS(Eingabe[V1],Eingabe[Name],Volle[[#This Row],[Name]],Eingabe[Wo],"H"),IF($M$1="Auswärts",AVERAGEIFS(Eingabe[V1],Eingabe[Name],Volle[[#This Row],[Name]],Eingabe[Wo],"A"),""))),"")</f>
        <v>81.166666666666671</v>
      </c>
      <c r="Q42" s="189">
        <f>IFERROR(ROUND(Volle[[#This Row],[V1]]-Volle[[#This Row],[Volle Bahn Schnitt]],1),"")</f>
        <v>-0.6</v>
      </c>
      <c r="R42" s="189">
        <f>IFERROR(IF($M$1="Gesamt",AVERAGEIF(Eingabe[Name],Volle[[#This Row],[Name]],Eingabe[V2]),IF($M$1="Heim",AVERAGEIFS(Eingabe[V2],Eingabe[Name],Volle[[#This Row],[Name]],Eingabe[Wo],"H"),IF($M$1="Auswärts",AVERAGEIFS(Eingabe[V2],Eingabe[Name],Volle[[#This Row],[Name]],Eingabe[Wo],"A"),""))),"")</f>
        <v>85.25</v>
      </c>
      <c r="S42" s="189">
        <f>IFERROR(ROUND(Volle[[#This Row],[V2]]-Volle[[#This Row],[Volle Bahn Schnitt]],1),"")</f>
        <v>3.5</v>
      </c>
      <c r="T42" s="189">
        <f>IFERROR(IF($M$1="Gesamt",AVERAGEIF(Eingabe[Name],Volle[[#This Row],[Name]],Eingabe[V3]),IF($M$1="Heim",AVERAGEIFS(Eingabe[V3],Eingabe[Name],Volle[[#This Row],[Name]],Eingabe[Wo],"H"),IF($M$1="Auswärts",AVERAGEIFS(Eingabe[V3],Eingabe[Name],Volle[[#This Row],[Name]],Eingabe[Wo],"A"),""))),"")</f>
        <v>79.25</v>
      </c>
      <c r="U42" s="189">
        <f>IFERROR(ROUND(Volle[[#This Row],[V3]]-Volle[[#This Row],[Volle Bahn Schnitt]],1),"")</f>
        <v>-2.5</v>
      </c>
      <c r="V42" s="189">
        <f>IFERROR(IF($M$1="Gesamt",AVERAGEIF(Eingabe[Name],Volle[[#This Row],[Name]],Eingabe[V4]),IF($M$1="Heim",AVERAGEIFS(Eingabe[V4],Eingabe[Name],Volle[[#This Row],[Name]],Eingabe[Wo],"H"),IF($M$1="Auswärts",AVERAGEIFS(Eingabe[V4],Eingabe[Name],Volle[[#This Row],[Name]],Eingabe[Wo],"A"),""))),"")</f>
        <v>81.25</v>
      </c>
      <c r="W42" s="340">
        <f>IFERROR(ROUND(Volle[[#This Row],[V4]]-Volle[[#This Row],[Volle Bahn Schnitt]],1),"")</f>
        <v>-0.5</v>
      </c>
      <c r="Y42" s="335" t="str">
        <f>Bahnen[[#This Row],[Name]]</f>
        <v>Pia Wätzig</v>
      </c>
      <c r="Z42" s="189">
        <f>IFERROR(ROUND(IF(Y$1="Gesamt",AVERAGEIF(Eingabe[Name],Räumer[[#This Row],[Name]],Eingabe[Räumer]),IF(Y$1="Heim",AVERAGEIFS(Eingabe[Räumer],Eingabe[Name],Räumer[[#This Row],[Name]],Eingabe[Wo],"H"),IF(Y$1="Auswärts",AVERAGEIFS(Eingabe[Räumer],Eingabe[Name],Räumer[[#This Row],[Name]],Eingabe[Wo],"A"),""))),0),"")</f>
        <v>134</v>
      </c>
      <c r="AA42" s="189">
        <f>IFERROR(Räumer[[#This Row],[Räumer Schnitt]]/4,"")</f>
        <v>33.5</v>
      </c>
      <c r="AB42" s="189">
        <f>IFERROR(IF(Y$1="Gesamt",AVERAGEIF(Eingabe[Name],Räumer[[#This Row],[Name]],Eingabe[R1]),IF(Y$1="Heim",AVERAGEIFS(Eingabe[R1],Eingabe[Name],Räumer[[#This Row],[Name]],Eingabe[Wo],"H"),IF(Y$1="Auswärts",AVERAGEIFS(Eingabe[R1],Eingabe[Name],Räumer[[#This Row],[Name]],Eingabe[Wo],"A"),""))),"")</f>
        <v>34</v>
      </c>
      <c r="AC42" s="189">
        <f>IFERROR(ROUND(Räumer[[#This Row],[R1]]-Räumer[[#This Row],[Räumer Bahn Schnitt]],1),"")</f>
        <v>0.5</v>
      </c>
      <c r="AD42" s="189">
        <f>IFERROR(IF(Y$1="Gesamt",AVERAGEIF(Eingabe[Name],Räumer[[#This Row],[Name]],Eingabe[R2]),IF(Y$1="Heim",AVERAGEIFS(Eingabe[R2],Eingabe[Name],Räumer[[#This Row],[Name]],Eingabe[Wo],"H"),IF(Y$1="Auswärts",AVERAGEIFS(Eingabe[R2],Eingabe[Name],Räumer[[#This Row],[Name]],Eingabe[Wo],"A"),""))),"")</f>
        <v>32.083333333333336</v>
      </c>
      <c r="AE42" s="189">
        <f>IFERROR(ROUND(Räumer[[#This Row],[R2]]-Räumer[[#This Row],[Räumer Bahn Schnitt]],1),"")</f>
        <v>-1.4</v>
      </c>
      <c r="AF42" s="189">
        <f>IFERROR(IF(Y$1="Gesamt",AVERAGEIF(Eingabe[Name],Räumer[[#This Row],[Name]],Eingabe[R3]),IF(Y$1="Heim",AVERAGEIFS(Eingabe[R3],Eingabe[Name],Räumer[[#This Row],[Name]],Eingabe[Wo],"H"),IF(Y$1="Auswärts",AVERAGEIFS(Eingabe[R3],Eingabe[Name],Räumer[[#This Row],[Name]],Eingabe[Wo],"A"),""))),"")</f>
        <v>34.25</v>
      </c>
      <c r="AG42" s="189">
        <f>IFERROR(ROUND(Räumer[[#This Row],[R3]]-Räumer[[#This Row],[Räumer Bahn Schnitt]],1),"")</f>
        <v>0.8</v>
      </c>
      <c r="AH42" s="189">
        <f>IFERROR(IF(Y$1="Gesamt",AVERAGEIF(Eingabe[Name],Räumer[[#This Row],[Name]],Eingabe[R4]),IF(Y$1="Heim",AVERAGEIFS(Eingabe[R4],Eingabe[Name],Räumer[[#This Row],[Name]],Eingabe[Wo],"H"),IF(Y$1="Auswärts",AVERAGEIFS(Eingabe[R4],Eingabe[Name],Räumer[[#This Row],[Name]],Eingabe[Wo],"A"),""))),"")</f>
        <v>33.5</v>
      </c>
      <c r="AI42" s="189">
        <f>IFERROR(ROUND(Räumer[[#This Row],[R4]]-Räumer[[#This Row],[Räumer Bahn Schnitt]],1),"")</f>
        <v>0</v>
      </c>
      <c r="AK42" s="335" t="str">
        <f>Bahnen[[#This Row],[Name]]</f>
        <v>Pia Wätzig</v>
      </c>
      <c r="AL42" s="189">
        <f>IFERROR(ROUND(IF(AK$1="Gesamt",AVERAGEIF(Eingabe[Name],Fehler[[#This Row],[Name]],Eingabe[Fehler]),IF(AK$1="Heim",AVERAGEIFS(Eingabe[Fehler],Eingabe[Name],Fehler[[#This Row],[Name]],Eingabe[Wo],"H"),IF(AK$1="Auswärts",AVERAGEIFS(Eingabe[Fehler],Eingabe[Name],Fehler[[#This Row],[Name]],Eingabe[Wo],"A"),""))),0),"")</f>
        <v>15</v>
      </c>
      <c r="AM42" s="189">
        <f>IFERROR(Fehler[[#This Row],[Fehler Schnitt]]/4,"")</f>
        <v>3.75</v>
      </c>
      <c r="AN42" s="189">
        <f>IFERROR(IF(AK$1="Gesamt",AVERAGEIF(Eingabe[Name],Fehler[[#This Row],[Name]],Eingabe[F1]),IF(AK$1="Heim",AVERAGEIFS(Eingabe[F1],Eingabe[Name],Fehler[[#This Row],[Name]],Eingabe[Wo],"H"),IF(AK$1="Auswärts",AVERAGEIFS(Eingabe[F1],Eingabe[Name],Fehler[[#This Row],[Name]],Eingabe[Wo],"A"),""))),"")</f>
        <v>3.75</v>
      </c>
      <c r="AO42" s="189">
        <f>IFERROR(ROUND(Fehler[[#This Row],[F1]]-Fehler[[#This Row],[Fehler Bahn Schnitt]],1),"")</f>
        <v>0</v>
      </c>
      <c r="AP42" s="189">
        <f>IFERROR(IF(AK$1="Gesamt",AVERAGEIF(Eingabe[Name],Fehler[[#This Row],[Name]],Eingabe[F2]),IF(AK$1="Heim",AVERAGEIFS(Eingabe[F2],Eingabe[Name],Fehler[[#This Row],[Name]],Eingabe[Wo],"H"),IF(AK$1="Auswärts",AVERAGEIFS(Eingabe[F2],Eingabe[Name],Fehler[[#This Row],[Name]],Eingabe[Wo],"A"),""))),"")</f>
        <v>3.6666666666666665</v>
      </c>
      <c r="AQ42" s="189">
        <f>IFERROR(ROUND(Fehler[[#This Row],[F2]]-Fehler[[#This Row],[Fehler Bahn Schnitt]],1),"")</f>
        <v>-0.1</v>
      </c>
      <c r="AR42" s="189">
        <f>IFERROR(IF(AK$1="Gesamt",AVERAGEIF(Eingabe[Name],Fehler[[#This Row],[Name]],Eingabe[F3]),IF(AK$1="Heim",AVERAGEIFS(Eingabe[F3],Eingabe[Name],Fehler[[#This Row],[Name]],Eingabe[Wo],"H"),IF(AK$1="Auswärts",AVERAGEIFS(Eingabe[F1],Eingabe[Name],Fehler[[#This Row],[Name]],Eingabe[Wo],"A"),""))),"")</f>
        <v>3.4166666666666665</v>
      </c>
      <c r="AS42" s="189">
        <f>IFERROR(ROUND(Fehler[[#This Row],[F3]]-Fehler[[#This Row],[Fehler Bahn Schnitt]],1),"")</f>
        <v>-0.3</v>
      </c>
      <c r="AT42" s="189">
        <f>IFERROR(IF(AK$1="Gesamt",AVERAGEIF(Eingabe[Name],Fehler[[#This Row],[Name]],Eingabe[F4]),IF(AK$1="Heim",AVERAGEIFS(Eingabe[F4],Eingabe[Name],Fehler[[#This Row],[Name]],Eingabe[Wo],"H"),IF(AK$1="Auswärts",AVERAGEIFS(Eingabe[F1],Eingabe[Name],Fehler[[#This Row],[Name]],Eingabe[Wo],"A"),""))),"")</f>
        <v>4.25</v>
      </c>
      <c r="AU42" s="189">
        <f>IFERROR(ROUND(Fehler[[#This Row],[F4]]-Fehler[[#This Row],[Fehler Bahn Schnitt]],1),"")</f>
        <v>0.5</v>
      </c>
    </row>
    <row r="43" spans="1:47" ht="15.6" x14ac:dyDescent="0.3">
      <c r="A43" s="335" t="s">
        <v>484</v>
      </c>
      <c r="B43" s="189">
        <f>IFERROR(ROUND(IF($A$1="Gesamt",AVERAGEIF(Eingabe[Name],Bahnen[[#This Row],[Name]],Eingabe[GES]),IF($A$1="Heim",AVERAGEIFS(Eingabe[GES],Eingabe[Name],Bahnen[[#This Row],[Name]],Eingabe[Wo],"H"),IF($A$1="Auswärts",AVERAGEIFS(Eingabe[GES],Eingabe[Name],Bahnen[[#This Row],[Name]],Eingabe[Wo],"A"),""))),0),"")</f>
        <v>386</v>
      </c>
      <c r="C43" s="189">
        <f>IFERROR(Bahnen[[#This Row],[Schnitt]]/4,"")</f>
        <v>96.5</v>
      </c>
      <c r="D43" s="189">
        <f>IFERROR(IF($A$1="Gesamt",AVERAGEIF(Eingabe[Name],Bahnen[[#This Row],[Name]],Eingabe[S1]),IF($A$1="Heim",AVERAGEIFS(Eingabe[S-NR],Eingabe[Name],Bahnen[[#This Row],[Name]],Eingabe[Wo],"H"),IF($A$1="Auswärts",AVERAGEIFS(Eingabe[S1],Eingabe[Name],Bahnen[[#This Row],[Name]],Eingabe[Wo],"A"),""))),"")</f>
        <v>93.444444444444443</v>
      </c>
      <c r="E43" s="189">
        <f>IFERROR(ROUND(Bahnen[[#This Row],[S1]]-Bahnen[[#This Row],[Bahn Schnitt]],1),"")</f>
        <v>-3.1</v>
      </c>
      <c r="F43" s="189">
        <f>IFERROR(IF($A$1="Gesamt",AVERAGEIF(Eingabe[Name],Bahnen[[#This Row],[Name]],Eingabe[S2]),IF($A$1="Heim",AVERAGEIFS(Eingabe[S2],Eingabe[Name],Bahnen[[#This Row],[Name]],Eingabe[Wo],"H"),IF($A$1="Auswärts",AVERAGEIFS(Eingabe[S2],Eingabe[Name],Bahnen[[#This Row],[Name]],Eingabe[Wo],"A"),""))),"")</f>
        <v>99.555555555555557</v>
      </c>
      <c r="G43" s="189">
        <f>IFERROR(ROUND(Bahnen[[#This Row],[S2]]-Bahnen[[#This Row],[Bahn Schnitt]],1),"")</f>
        <v>3.1</v>
      </c>
      <c r="H43" s="189">
        <f>IFERROR(IF($A$1="Gesamt",AVERAGEIF(Eingabe[Name],Bahnen[[#This Row],[Name]],Eingabe[S3]),IF($A$1="Heim",AVERAGEIFS(Eingabe[S3],Eingabe[Name],Bahnen[[#This Row],[Name]],Eingabe[Wo],"H"),IF($A$1="Auswärts",AVERAGEIFS(Eingabe[S-NR],Eingabe[Name],Bahnen[[#This Row],[Name]],Eingabe[Wo],"A"),""))),"")</f>
        <v>94.777777777777771</v>
      </c>
      <c r="I43" s="189">
        <f>IFERROR(ROUND(Bahnen[[#This Row],[S3]]-Bahnen[[#This Row],[Bahn Schnitt]],1),"")</f>
        <v>-1.7</v>
      </c>
      <c r="J43" s="189">
        <f>IFERROR(IF($A$1="Gesamt",AVERAGEIF(Eingabe[Name],Bahnen[[#This Row],[Name]],Eingabe[S4]),IF($A$1="Heim",AVERAGEIFS(Eingabe[S4],Eingabe[Name],Bahnen[[#This Row],[Name]],Eingabe[Wo],"H"),IF($A$1="Auswärts",AVERAGEIFS(Eingabe[S-NR],Eingabe[Name],Bahnen[[#This Row],[Name]],Eingabe[Wo],"A"),""))),"")</f>
        <v>98.111111111111114</v>
      </c>
      <c r="K43" s="189">
        <f>IFERROR(ROUND(Bahnen[[#This Row],[S4]]-Bahnen[[#This Row],[Bahn Schnitt]],1),"")</f>
        <v>1.6</v>
      </c>
      <c r="M43" s="335" t="str">
        <f>Bahnen[[#This Row],[Name]]</f>
        <v>Sophia Stirl</v>
      </c>
      <c r="N43" s="189">
        <f>IFERROR(ROUND(IF($M$1="Gesamt",AVERAGEIF(Eingabe[Name],Volle[[#This Row],[Name]],Eingabe[Volle]),IF($M$1="Heim",AVERAGEIFS(Eingabe[Volle],Eingabe[Name],Volle[[#This Row],[Name]],Eingabe[Wo],"H"),IF($M$1="Auswärts",AVERAGEIFS(Eingabe[Volle],Eingabe[Name],Volle[[#This Row],[Name]],Eingabe[Wo],"A"),""))),0),"")</f>
        <v>289</v>
      </c>
      <c r="O43" s="189">
        <f>IFERROR(Volle[[#This Row],[Volle Schnitt]]/4,"")</f>
        <v>72.25</v>
      </c>
      <c r="P43" s="189">
        <f>IFERROR(IF($M$1="Gesamt",AVERAGEIF(Eingabe[Name],Volle[[#This Row],[Name]],Eingabe[V1]),IF($M$1="Heim",AVERAGEIFS(Eingabe[V1],Eingabe[Name],Volle[[#This Row],[Name]],Eingabe[Wo],"H"),IF($M$1="Auswärts",AVERAGEIFS(Eingabe[V1],Eingabe[Name],Volle[[#This Row],[Name]],Eingabe[Wo],"A"),""))),"")</f>
        <v>70.333333333333329</v>
      </c>
      <c r="Q43" s="189">
        <f>IFERROR(ROUND(Volle[[#This Row],[V1]]-Volle[[#This Row],[Volle Bahn Schnitt]],1),"")</f>
        <v>-1.9</v>
      </c>
      <c r="R43" s="189">
        <f>IFERROR(IF($M$1="Gesamt",AVERAGEIF(Eingabe[Name],Volle[[#This Row],[Name]],Eingabe[V2]),IF($M$1="Heim",AVERAGEIFS(Eingabe[V2],Eingabe[Name],Volle[[#This Row],[Name]],Eingabe[Wo],"H"),IF($M$1="Auswärts",AVERAGEIFS(Eingabe[V2],Eingabe[Name],Volle[[#This Row],[Name]],Eingabe[Wo],"A"),""))),"")</f>
        <v>73</v>
      </c>
      <c r="S43" s="189">
        <f>IFERROR(ROUND(Volle[[#This Row],[V2]]-Volle[[#This Row],[Volle Bahn Schnitt]],1),"")</f>
        <v>0.8</v>
      </c>
      <c r="T43" s="189">
        <f>IFERROR(IF($M$1="Gesamt",AVERAGEIF(Eingabe[Name],Volle[[#This Row],[Name]],Eingabe[V3]),IF($M$1="Heim",AVERAGEIFS(Eingabe[V3],Eingabe[Name],Volle[[#This Row],[Name]],Eingabe[Wo],"H"),IF($M$1="Auswärts",AVERAGEIFS(Eingabe[V3],Eingabe[Name],Volle[[#This Row],[Name]],Eingabe[Wo],"A"),""))),"")</f>
        <v>72.111111111111114</v>
      </c>
      <c r="U43" s="189">
        <f>IFERROR(ROUND(Volle[[#This Row],[V3]]-Volle[[#This Row],[Volle Bahn Schnitt]],1),"")</f>
        <v>-0.1</v>
      </c>
      <c r="V43" s="189">
        <f>IFERROR(IF($M$1="Gesamt",AVERAGEIF(Eingabe[Name],Volle[[#This Row],[Name]],Eingabe[V4]),IF($M$1="Heim",AVERAGEIFS(Eingabe[V4],Eingabe[Name],Volle[[#This Row],[Name]],Eingabe[Wo],"H"),IF($M$1="Auswärts",AVERAGEIFS(Eingabe[V4],Eingabe[Name],Volle[[#This Row],[Name]],Eingabe[Wo],"A"),""))),"")</f>
        <v>73.666666666666671</v>
      </c>
      <c r="W43" s="340">
        <f>IFERROR(ROUND(Volle[[#This Row],[V4]]-Volle[[#This Row],[Volle Bahn Schnitt]],1),"")</f>
        <v>1.4</v>
      </c>
      <c r="Y43" s="335" t="str">
        <f>Bahnen[[#This Row],[Name]]</f>
        <v>Sophia Stirl</v>
      </c>
      <c r="Z43" s="189">
        <f>IFERROR(ROUND(IF(Y$1="Gesamt",AVERAGEIF(Eingabe[Name],Räumer[[#This Row],[Name]],Eingabe[Räumer]),IF(Y$1="Heim",AVERAGEIFS(Eingabe[Räumer],Eingabe[Name],Räumer[[#This Row],[Name]],Eingabe[Wo],"H"),IF(Y$1="Auswärts",AVERAGEIFS(Eingabe[Räumer],Eingabe[Name],Räumer[[#This Row],[Name]],Eingabe[Wo],"A"),""))),0),"")</f>
        <v>97</v>
      </c>
      <c r="AA43" s="189">
        <f>IFERROR(Räumer[[#This Row],[Räumer Schnitt]]/4,"")</f>
        <v>24.25</v>
      </c>
      <c r="AB43" s="189">
        <f>IFERROR(IF(Y$1="Gesamt",AVERAGEIF(Eingabe[Name],Räumer[[#This Row],[Name]],Eingabe[R1]),IF(Y$1="Heim",AVERAGEIFS(Eingabe[R1],Eingabe[Name],Räumer[[#This Row],[Name]],Eingabe[Wo],"H"),IF(Y$1="Auswärts",AVERAGEIFS(Eingabe[R1],Eingabe[Name],Räumer[[#This Row],[Name]],Eingabe[Wo],"A"),""))),"")</f>
        <v>23.111111111111111</v>
      </c>
      <c r="AC43" s="189">
        <f>IFERROR(ROUND(Räumer[[#This Row],[R1]]-Räumer[[#This Row],[Räumer Bahn Schnitt]],1),"")</f>
        <v>-1.1000000000000001</v>
      </c>
      <c r="AD43" s="189">
        <f>IFERROR(IF(Y$1="Gesamt",AVERAGEIF(Eingabe[Name],Räumer[[#This Row],[Name]],Eingabe[R2]),IF(Y$1="Heim",AVERAGEIFS(Eingabe[R2],Eingabe[Name],Räumer[[#This Row],[Name]],Eingabe[Wo],"H"),IF(Y$1="Auswärts",AVERAGEIFS(Eingabe[R2],Eingabe[Name],Räumer[[#This Row],[Name]],Eingabe[Wo],"A"),""))),"")</f>
        <v>26.555555555555557</v>
      </c>
      <c r="AE43" s="189">
        <f>IFERROR(ROUND(Räumer[[#This Row],[R2]]-Räumer[[#This Row],[Räumer Bahn Schnitt]],1),"")</f>
        <v>2.2999999999999998</v>
      </c>
      <c r="AF43" s="189">
        <f>IFERROR(IF(Y$1="Gesamt",AVERAGEIF(Eingabe[Name],Räumer[[#This Row],[Name]],Eingabe[R3]),IF(Y$1="Heim",AVERAGEIFS(Eingabe[R3],Eingabe[Name],Räumer[[#This Row],[Name]],Eingabe[Wo],"H"),IF(Y$1="Auswärts",AVERAGEIFS(Eingabe[R3],Eingabe[Name],Räumer[[#This Row],[Name]],Eingabe[Wo],"A"),""))),"")</f>
        <v>22.666666666666668</v>
      </c>
      <c r="AG43" s="189">
        <f>IFERROR(ROUND(Räumer[[#This Row],[R3]]-Räumer[[#This Row],[Räumer Bahn Schnitt]],1),"")</f>
        <v>-1.6</v>
      </c>
      <c r="AH43" s="189">
        <f>IFERROR(IF(Y$1="Gesamt",AVERAGEIF(Eingabe[Name],Räumer[[#This Row],[Name]],Eingabe[R4]),IF(Y$1="Heim",AVERAGEIFS(Eingabe[R4],Eingabe[Name],Räumer[[#This Row],[Name]],Eingabe[Wo],"H"),IF(Y$1="Auswärts",AVERAGEIFS(Eingabe[R4],Eingabe[Name],Räumer[[#This Row],[Name]],Eingabe[Wo],"A"),""))),"")</f>
        <v>24.444444444444443</v>
      </c>
      <c r="AI43" s="189">
        <f>IFERROR(ROUND(Räumer[[#This Row],[R4]]-Räumer[[#This Row],[Räumer Bahn Schnitt]],1),"")</f>
        <v>0.2</v>
      </c>
      <c r="AK43" s="335" t="str">
        <f>Bahnen[[#This Row],[Name]]</f>
        <v>Sophia Stirl</v>
      </c>
      <c r="AL43" s="189">
        <f>IFERROR(ROUND(IF(AK$1="Gesamt",AVERAGEIF(Eingabe[Name],Fehler[[#This Row],[Name]],Eingabe[Fehler]),IF(AK$1="Heim",AVERAGEIFS(Eingabe[Fehler],Eingabe[Name],Fehler[[#This Row],[Name]],Eingabe[Wo],"H"),IF(AK$1="Auswärts",AVERAGEIFS(Eingabe[Fehler],Eingabe[Name],Fehler[[#This Row],[Name]],Eingabe[Wo],"A"),""))),0),"")</f>
        <v>24</v>
      </c>
      <c r="AM43" s="189">
        <f>IFERROR(Fehler[[#This Row],[Fehler Schnitt]]/4,"")</f>
        <v>6</v>
      </c>
      <c r="AN43" s="189">
        <f>IFERROR(IF(AK$1="Gesamt",AVERAGEIF(Eingabe[Name],Fehler[[#This Row],[Name]],Eingabe[F1]),IF(AK$1="Heim",AVERAGEIFS(Eingabe[F1],Eingabe[Name],Fehler[[#This Row],[Name]],Eingabe[Wo],"H"),IF(AK$1="Auswärts",AVERAGEIFS(Eingabe[F1],Eingabe[Name],Fehler[[#This Row],[Name]],Eingabe[Wo],"A"),""))),"")</f>
        <v>6.1111111111111107</v>
      </c>
      <c r="AO43" s="189">
        <f>IFERROR(ROUND(Fehler[[#This Row],[F1]]-Fehler[[#This Row],[Fehler Bahn Schnitt]],1),"")</f>
        <v>0.1</v>
      </c>
      <c r="AP43" s="189">
        <f>IFERROR(IF(AK$1="Gesamt",AVERAGEIF(Eingabe[Name],Fehler[[#This Row],[Name]],Eingabe[F2]),IF(AK$1="Heim",AVERAGEIFS(Eingabe[F2],Eingabe[Name],Fehler[[#This Row],[Name]],Eingabe[Wo],"H"),IF(AK$1="Auswärts",AVERAGEIFS(Eingabe[F2],Eingabe[Name],Fehler[[#This Row],[Name]],Eingabe[Wo],"A"),""))),"")</f>
        <v>5.666666666666667</v>
      </c>
      <c r="AQ43" s="189">
        <f>IFERROR(ROUND(Fehler[[#This Row],[F2]]-Fehler[[#This Row],[Fehler Bahn Schnitt]],1),"")</f>
        <v>-0.3</v>
      </c>
      <c r="AR43" s="189">
        <f>IFERROR(IF(AK$1="Gesamt",AVERAGEIF(Eingabe[Name],Fehler[[#This Row],[Name]],Eingabe[F3]),IF(AK$1="Heim",AVERAGEIFS(Eingabe[F3],Eingabe[Name],Fehler[[#This Row],[Name]],Eingabe[Wo],"H"),IF(AK$1="Auswärts",AVERAGEIFS(Eingabe[F1],Eingabe[Name],Fehler[[#This Row],[Name]],Eingabe[Wo],"A"),""))),"")</f>
        <v>6.5555555555555554</v>
      </c>
      <c r="AS43" s="189">
        <f>IFERROR(ROUND(Fehler[[#This Row],[F3]]-Fehler[[#This Row],[Fehler Bahn Schnitt]],1),"")</f>
        <v>0.6</v>
      </c>
      <c r="AT43" s="189">
        <f>IFERROR(IF(AK$1="Gesamt",AVERAGEIF(Eingabe[Name],Fehler[[#This Row],[Name]],Eingabe[F4]),IF(AK$1="Heim",AVERAGEIFS(Eingabe[F4],Eingabe[Name],Fehler[[#This Row],[Name]],Eingabe[Wo],"H"),IF(AK$1="Auswärts",AVERAGEIFS(Eingabe[F1],Eingabe[Name],Fehler[[#This Row],[Name]],Eingabe[Wo],"A"),""))),"")</f>
        <v>5.8888888888888893</v>
      </c>
      <c r="AU43" s="189">
        <f>IFERROR(ROUND(Fehler[[#This Row],[F4]]-Fehler[[#This Row],[Fehler Bahn Schnitt]],1),"")</f>
        <v>-0.1</v>
      </c>
    </row>
    <row r="44" spans="1:47" ht="15.6" x14ac:dyDescent="0.3">
      <c r="A44" s="335" t="s">
        <v>489</v>
      </c>
      <c r="B44" s="189">
        <f>IFERROR(ROUND(IF($A$1="Gesamt",AVERAGEIF(Eingabe[Name],Bahnen[[#This Row],[Name]],Eingabe[GES]),IF($A$1="Heim",AVERAGEIFS(Eingabe[GES],Eingabe[Name],Bahnen[[#This Row],[Name]],Eingabe[Wo],"H"),IF($A$1="Auswärts",AVERAGEIFS(Eingabe[GES],Eingabe[Name],Bahnen[[#This Row],[Name]],Eingabe[Wo],"A"),""))),0),"")</f>
        <v>526</v>
      </c>
      <c r="C44" s="189">
        <f>IFERROR(Bahnen[[#This Row],[Schnitt]]/4,"")</f>
        <v>131.5</v>
      </c>
      <c r="D44" s="189">
        <f>IFERROR(IF($A$1="Gesamt",AVERAGEIF(Eingabe[Name],Bahnen[[#This Row],[Name]],Eingabe[S1]),IF($A$1="Heim",AVERAGEIFS(Eingabe[S-NR],Eingabe[Name],Bahnen[[#This Row],[Name]],Eingabe[Wo],"H"),IF($A$1="Auswärts",AVERAGEIFS(Eingabe[S1],Eingabe[Name],Bahnen[[#This Row],[Name]],Eingabe[Wo],"A"),""))),"")</f>
        <v>132.35714285714286</v>
      </c>
      <c r="E44" s="189">
        <f>IFERROR(ROUND(Bahnen[[#This Row],[S1]]-Bahnen[[#This Row],[Bahn Schnitt]],1),"")</f>
        <v>0.9</v>
      </c>
      <c r="F44" s="189">
        <f>IFERROR(IF($A$1="Gesamt",AVERAGEIF(Eingabe[Name],Bahnen[[#This Row],[Name]],Eingabe[S2]),IF($A$1="Heim",AVERAGEIFS(Eingabe[S2],Eingabe[Name],Bahnen[[#This Row],[Name]],Eingabe[Wo],"H"),IF($A$1="Auswärts",AVERAGEIFS(Eingabe[S2],Eingabe[Name],Bahnen[[#This Row],[Name]],Eingabe[Wo],"A"),""))),"")</f>
        <v>131.42857142857142</v>
      </c>
      <c r="G44" s="189">
        <f>IFERROR(ROUND(Bahnen[[#This Row],[S2]]-Bahnen[[#This Row],[Bahn Schnitt]],1),"")</f>
        <v>-0.1</v>
      </c>
      <c r="H44" s="189">
        <f>IFERROR(IF($A$1="Gesamt",AVERAGEIF(Eingabe[Name],Bahnen[[#This Row],[Name]],Eingabe[S3]),IF($A$1="Heim",AVERAGEIFS(Eingabe[S3],Eingabe[Name],Bahnen[[#This Row],[Name]],Eingabe[Wo],"H"),IF($A$1="Auswärts",AVERAGEIFS(Eingabe[S-NR],Eingabe[Name],Bahnen[[#This Row],[Name]],Eingabe[Wo],"A"),""))),"")</f>
        <v>131.5</v>
      </c>
      <c r="I44" s="189">
        <f>IFERROR(ROUND(Bahnen[[#This Row],[S3]]-Bahnen[[#This Row],[Bahn Schnitt]],1),"")</f>
        <v>0</v>
      </c>
      <c r="J44" s="189">
        <f>IFERROR(IF($A$1="Gesamt",AVERAGEIF(Eingabe[Name],Bahnen[[#This Row],[Name]],Eingabe[S4]),IF($A$1="Heim",AVERAGEIFS(Eingabe[S4],Eingabe[Name],Bahnen[[#This Row],[Name]],Eingabe[Wo],"H"),IF($A$1="Auswärts",AVERAGEIFS(Eingabe[S-NR],Eingabe[Name],Bahnen[[#This Row],[Name]],Eingabe[Wo],"A"),""))),"")</f>
        <v>131.07142857142858</v>
      </c>
      <c r="K44" s="189">
        <f>IFERROR(ROUND(Bahnen[[#This Row],[S4]]-Bahnen[[#This Row],[Bahn Schnitt]],1),"")</f>
        <v>-0.4</v>
      </c>
      <c r="M44" s="335" t="str">
        <f>Bahnen[[#This Row],[Name]]</f>
        <v>Stefan Teuber</v>
      </c>
      <c r="N44" s="189">
        <f>IFERROR(ROUND(IF($M$1="Gesamt",AVERAGEIF(Eingabe[Name],Volle[[#This Row],[Name]],Eingabe[Volle]),IF($M$1="Heim",AVERAGEIFS(Eingabe[Volle],Eingabe[Name],Volle[[#This Row],[Name]],Eingabe[Wo],"H"),IF($M$1="Auswärts",AVERAGEIFS(Eingabe[Volle],Eingabe[Name],Volle[[#This Row],[Name]],Eingabe[Wo],"A"),""))),0),"")</f>
        <v>355</v>
      </c>
      <c r="O44" s="189">
        <f>IFERROR(Volle[[#This Row],[Volle Schnitt]]/4,"")</f>
        <v>88.75</v>
      </c>
      <c r="P44" s="189">
        <f>IFERROR(IF($M$1="Gesamt",AVERAGEIF(Eingabe[Name],Volle[[#This Row],[Name]],Eingabe[V1]),IF($M$1="Heim",AVERAGEIFS(Eingabe[V1],Eingabe[Name],Volle[[#This Row],[Name]],Eingabe[Wo],"H"),IF($M$1="Auswärts",AVERAGEIFS(Eingabe[V1],Eingabe[Name],Volle[[#This Row],[Name]],Eingabe[Wo],"A"),""))),"")</f>
        <v>90.428571428571431</v>
      </c>
      <c r="Q44" s="189">
        <f>IFERROR(ROUND(Volle[[#This Row],[V1]]-Volle[[#This Row],[Volle Bahn Schnitt]],1),"")</f>
        <v>1.7</v>
      </c>
      <c r="R44" s="189">
        <f>IFERROR(IF($M$1="Gesamt",AVERAGEIF(Eingabe[Name],Volle[[#This Row],[Name]],Eingabe[V2]),IF($M$1="Heim",AVERAGEIFS(Eingabe[V2],Eingabe[Name],Volle[[#This Row],[Name]],Eingabe[Wo],"H"),IF($M$1="Auswärts",AVERAGEIFS(Eingabe[V2],Eingabe[Name],Volle[[#This Row],[Name]],Eingabe[Wo],"A"),""))),"")</f>
        <v>89.357142857142861</v>
      </c>
      <c r="S44" s="189">
        <f>IFERROR(ROUND(Volle[[#This Row],[V2]]-Volle[[#This Row],[Volle Bahn Schnitt]],1),"")</f>
        <v>0.6</v>
      </c>
      <c r="T44" s="189">
        <f>IFERROR(IF($M$1="Gesamt",AVERAGEIF(Eingabe[Name],Volle[[#This Row],[Name]],Eingabe[V3]),IF($M$1="Heim",AVERAGEIFS(Eingabe[V3],Eingabe[Name],Volle[[#This Row],[Name]],Eingabe[Wo],"H"),IF($M$1="Auswärts",AVERAGEIFS(Eingabe[V3],Eingabe[Name],Volle[[#This Row],[Name]],Eingabe[Wo],"A"),""))),"")</f>
        <v>88</v>
      </c>
      <c r="U44" s="189">
        <f>IFERROR(ROUND(Volle[[#This Row],[V3]]-Volle[[#This Row],[Volle Bahn Schnitt]],1),"")</f>
        <v>-0.8</v>
      </c>
      <c r="V44" s="189">
        <f>IFERROR(IF($M$1="Gesamt",AVERAGEIF(Eingabe[Name],Volle[[#This Row],[Name]],Eingabe[V4]),IF($M$1="Heim",AVERAGEIFS(Eingabe[V4],Eingabe[Name],Volle[[#This Row],[Name]],Eingabe[Wo],"H"),IF($M$1="Auswärts",AVERAGEIFS(Eingabe[V4],Eingabe[Name],Volle[[#This Row],[Name]],Eingabe[Wo],"A"),""))),"")</f>
        <v>87.571428571428569</v>
      </c>
      <c r="W44" s="340">
        <f>IFERROR(ROUND(Volle[[#This Row],[V4]]-Volle[[#This Row],[Volle Bahn Schnitt]],1),"")</f>
        <v>-1.2</v>
      </c>
      <c r="Y44" s="335" t="str">
        <f>Bahnen[[#This Row],[Name]]</f>
        <v>Stefan Teuber</v>
      </c>
      <c r="Z44" s="189">
        <f>IFERROR(ROUND(IF(Y$1="Gesamt",AVERAGEIF(Eingabe[Name],Räumer[[#This Row],[Name]],Eingabe[Räumer]),IF(Y$1="Heim",AVERAGEIFS(Eingabe[Räumer],Eingabe[Name],Räumer[[#This Row],[Name]],Eingabe[Wo],"H"),IF(Y$1="Auswärts",AVERAGEIFS(Eingabe[Räumer],Eingabe[Name],Räumer[[#This Row],[Name]],Eingabe[Wo],"A"),""))),0),"")</f>
        <v>171</v>
      </c>
      <c r="AA44" s="189">
        <f>IFERROR(Räumer[[#This Row],[Räumer Schnitt]]/4,"")</f>
        <v>42.75</v>
      </c>
      <c r="AB44" s="189">
        <f>IFERROR(IF(Y$1="Gesamt",AVERAGEIF(Eingabe[Name],Räumer[[#This Row],[Name]],Eingabe[R1]),IF(Y$1="Heim",AVERAGEIFS(Eingabe[R1],Eingabe[Name],Räumer[[#This Row],[Name]],Eingabe[Wo],"H"),IF(Y$1="Auswärts",AVERAGEIFS(Eingabe[R1],Eingabe[Name],Räumer[[#This Row],[Name]],Eingabe[Wo],"A"),""))),"")</f>
        <v>41.928571428571431</v>
      </c>
      <c r="AC44" s="189">
        <f>IFERROR(ROUND(Räumer[[#This Row],[R1]]-Räumer[[#This Row],[Räumer Bahn Schnitt]],1),"")</f>
        <v>-0.8</v>
      </c>
      <c r="AD44" s="189">
        <f>IFERROR(IF(Y$1="Gesamt",AVERAGEIF(Eingabe[Name],Räumer[[#This Row],[Name]],Eingabe[R2]),IF(Y$1="Heim",AVERAGEIFS(Eingabe[R2],Eingabe[Name],Räumer[[#This Row],[Name]],Eingabe[Wo],"H"),IF(Y$1="Auswärts",AVERAGEIFS(Eingabe[R2],Eingabe[Name],Räumer[[#This Row],[Name]],Eingabe[Wo],"A"),""))),"")</f>
        <v>42.071428571428569</v>
      </c>
      <c r="AE44" s="189">
        <f>IFERROR(ROUND(Räumer[[#This Row],[R2]]-Räumer[[#This Row],[Räumer Bahn Schnitt]],1),"")</f>
        <v>-0.7</v>
      </c>
      <c r="AF44" s="189">
        <f>IFERROR(IF(Y$1="Gesamt",AVERAGEIF(Eingabe[Name],Räumer[[#This Row],[Name]],Eingabe[R3]),IF(Y$1="Heim",AVERAGEIFS(Eingabe[R3],Eingabe[Name],Räumer[[#This Row],[Name]],Eingabe[Wo],"H"),IF(Y$1="Auswärts",AVERAGEIFS(Eingabe[R3],Eingabe[Name],Räumer[[#This Row],[Name]],Eingabe[Wo],"A"),""))),"")</f>
        <v>43.5</v>
      </c>
      <c r="AG44" s="189">
        <f>IFERROR(ROUND(Räumer[[#This Row],[R3]]-Räumer[[#This Row],[Räumer Bahn Schnitt]],1),"")</f>
        <v>0.8</v>
      </c>
      <c r="AH44" s="189">
        <f>IFERROR(IF(Y$1="Gesamt",AVERAGEIF(Eingabe[Name],Räumer[[#This Row],[Name]],Eingabe[R4]),IF(Y$1="Heim",AVERAGEIFS(Eingabe[R4],Eingabe[Name],Räumer[[#This Row],[Name]],Eingabe[Wo],"H"),IF(Y$1="Auswärts",AVERAGEIFS(Eingabe[R4],Eingabe[Name],Räumer[[#This Row],[Name]],Eingabe[Wo],"A"),""))),"")</f>
        <v>43.5</v>
      </c>
      <c r="AI44" s="189">
        <f>IFERROR(ROUND(Räumer[[#This Row],[R4]]-Räumer[[#This Row],[Räumer Bahn Schnitt]],1),"")</f>
        <v>0.8</v>
      </c>
      <c r="AK44" s="335" t="str">
        <f>Bahnen[[#This Row],[Name]]</f>
        <v>Stefan Teuber</v>
      </c>
      <c r="AL44" s="189">
        <f>IFERROR(ROUND(IF(AK$1="Gesamt",AVERAGEIF(Eingabe[Name],Fehler[[#This Row],[Name]],Eingabe[Fehler]),IF(AK$1="Heim",AVERAGEIFS(Eingabe[Fehler],Eingabe[Name],Fehler[[#This Row],[Name]],Eingabe[Wo],"H"),IF(AK$1="Auswärts",AVERAGEIFS(Eingabe[Fehler],Eingabe[Name],Fehler[[#This Row],[Name]],Eingabe[Wo],"A"),""))),0),"")</f>
        <v>6</v>
      </c>
      <c r="AM44" s="189">
        <f>IFERROR(Fehler[[#This Row],[Fehler Schnitt]]/4,"")</f>
        <v>1.5</v>
      </c>
      <c r="AN44" s="189">
        <f>IFERROR(IF(AK$1="Gesamt",AVERAGEIF(Eingabe[Name],Fehler[[#This Row],[Name]],Eingabe[F1]),IF(AK$1="Heim",AVERAGEIFS(Eingabe[F1],Eingabe[Name],Fehler[[#This Row],[Name]],Eingabe[Wo],"H"),IF(AK$1="Auswärts",AVERAGEIFS(Eingabe[F1],Eingabe[Name],Fehler[[#This Row],[Name]],Eingabe[Wo],"A"),""))),"")</f>
        <v>1.5</v>
      </c>
      <c r="AO44" s="189">
        <f>IFERROR(ROUND(Fehler[[#This Row],[F1]]-Fehler[[#This Row],[Fehler Bahn Schnitt]],1),"")</f>
        <v>0</v>
      </c>
      <c r="AP44" s="189">
        <f>IFERROR(IF(AK$1="Gesamt",AVERAGEIF(Eingabe[Name],Fehler[[#This Row],[Name]],Eingabe[F2]),IF(AK$1="Heim",AVERAGEIFS(Eingabe[F2],Eingabe[Name],Fehler[[#This Row],[Name]],Eingabe[Wo],"H"),IF(AK$1="Auswärts",AVERAGEIFS(Eingabe[F2],Eingabe[Name],Fehler[[#This Row],[Name]],Eingabe[Wo],"A"),""))),"")</f>
        <v>1.8571428571428572</v>
      </c>
      <c r="AQ44" s="189">
        <f>IFERROR(ROUND(Fehler[[#This Row],[F2]]-Fehler[[#This Row],[Fehler Bahn Schnitt]],1),"")</f>
        <v>0.4</v>
      </c>
      <c r="AR44" s="189">
        <f>IFERROR(IF(AK$1="Gesamt",AVERAGEIF(Eingabe[Name],Fehler[[#This Row],[Name]],Eingabe[F3]),IF(AK$1="Heim",AVERAGEIFS(Eingabe[F3],Eingabe[Name],Fehler[[#This Row],[Name]],Eingabe[Wo],"H"),IF(AK$1="Auswärts",AVERAGEIFS(Eingabe[F1],Eingabe[Name],Fehler[[#This Row],[Name]],Eingabe[Wo],"A"),""))),"")</f>
        <v>1.1428571428571428</v>
      </c>
      <c r="AS44" s="189">
        <f>IFERROR(ROUND(Fehler[[#This Row],[F3]]-Fehler[[#This Row],[Fehler Bahn Schnitt]],1),"")</f>
        <v>-0.4</v>
      </c>
      <c r="AT44" s="189">
        <f>IFERROR(IF(AK$1="Gesamt",AVERAGEIF(Eingabe[Name],Fehler[[#This Row],[Name]],Eingabe[F4]),IF(AK$1="Heim",AVERAGEIFS(Eingabe[F4],Eingabe[Name],Fehler[[#This Row],[Name]],Eingabe[Wo],"H"),IF(AK$1="Auswärts",AVERAGEIFS(Eingabe[F1],Eingabe[Name],Fehler[[#This Row],[Name]],Eingabe[Wo],"A"),""))),"")</f>
        <v>1.4285714285714286</v>
      </c>
      <c r="AU44" s="189">
        <f>IFERROR(ROUND(Fehler[[#This Row],[F4]]-Fehler[[#This Row],[Fehler Bahn Schnitt]],1),"")</f>
        <v>-0.1</v>
      </c>
    </row>
    <row r="45" spans="1:47" ht="15.6" x14ac:dyDescent="0.3">
      <c r="A45" s="335" t="s">
        <v>490</v>
      </c>
      <c r="B45" s="189">
        <f>IFERROR(ROUND(IF($A$1="Gesamt",AVERAGEIF(Eingabe[Name],Bahnen[[#This Row],[Name]],Eingabe[GES]),IF($A$1="Heim",AVERAGEIFS(Eingabe[GES],Eingabe[Name],Bahnen[[#This Row],[Name]],Eingabe[Wo],"H"),IF($A$1="Auswärts",AVERAGEIFS(Eingabe[GES],Eingabe[Name],Bahnen[[#This Row],[Name]],Eingabe[Wo],"A"),""))),0),"")</f>
        <v>515</v>
      </c>
      <c r="C45" s="189">
        <f>IFERROR(Bahnen[[#This Row],[Schnitt]]/4,"")</f>
        <v>128.75</v>
      </c>
      <c r="D45" s="189">
        <f>IFERROR(IF($A$1="Gesamt",AVERAGEIF(Eingabe[Name],Bahnen[[#This Row],[Name]],Eingabe[S1]),IF($A$1="Heim",AVERAGEIFS(Eingabe[S-NR],Eingabe[Name],Bahnen[[#This Row],[Name]],Eingabe[Wo],"H"),IF($A$1="Auswärts",AVERAGEIFS(Eingabe[S1],Eingabe[Name],Bahnen[[#This Row],[Name]],Eingabe[Wo],"A"),""))),"")</f>
        <v>122.42857142857143</v>
      </c>
      <c r="E45" s="189">
        <f>IFERROR(ROUND(Bahnen[[#This Row],[S1]]-Bahnen[[#This Row],[Bahn Schnitt]],1),"")</f>
        <v>-6.3</v>
      </c>
      <c r="F45" s="189">
        <f>IFERROR(IF($A$1="Gesamt",AVERAGEIF(Eingabe[Name],Bahnen[[#This Row],[Name]],Eingabe[S2]),IF($A$1="Heim",AVERAGEIFS(Eingabe[S2],Eingabe[Name],Bahnen[[#This Row],[Name]],Eingabe[Wo],"H"),IF($A$1="Auswärts",AVERAGEIFS(Eingabe[S2],Eingabe[Name],Bahnen[[#This Row],[Name]],Eingabe[Wo],"A"),""))),"")</f>
        <v>132.85714285714286</v>
      </c>
      <c r="G45" s="189">
        <f>IFERROR(ROUND(Bahnen[[#This Row],[S2]]-Bahnen[[#This Row],[Bahn Schnitt]],1),"")</f>
        <v>4.0999999999999996</v>
      </c>
      <c r="H45" s="189">
        <f>IFERROR(IF($A$1="Gesamt",AVERAGEIF(Eingabe[Name],Bahnen[[#This Row],[Name]],Eingabe[S3]),IF($A$1="Heim",AVERAGEIFS(Eingabe[S3],Eingabe[Name],Bahnen[[#This Row],[Name]],Eingabe[Wo],"H"),IF($A$1="Auswärts",AVERAGEIFS(Eingabe[S-NR],Eingabe[Name],Bahnen[[#This Row],[Name]],Eingabe[Wo],"A"),""))),"")</f>
        <v>129.14285714285714</v>
      </c>
      <c r="I45" s="189">
        <f>IFERROR(ROUND(Bahnen[[#This Row],[S3]]-Bahnen[[#This Row],[Bahn Schnitt]],1),"")</f>
        <v>0.4</v>
      </c>
      <c r="J45" s="189">
        <f>IFERROR(IF($A$1="Gesamt",AVERAGEIF(Eingabe[Name],Bahnen[[#This Row],[Name]],Eingabe[S4]),IF($A$1="Heim",AVERAGEIFS(Eingabe[S4],Eingabe[Name],Bahnen[[#This Row],[Name]],Eingabe[Wo],"H"),IF($A$1="Auswärts",AVERAGEIFS(Eingabe[S-NR],Eingabe[Name],Bahnen[[#This Row],[Name]],Eingabe[Wo],"A"),""))),"")</f>
        <v>130.14285714285714</v>
      </c>
      <c r="K45" s="189">
        <f>IFERROR(ROUND(Bahnen[[#This Row],[S4]]-Bahnen[[#This Row],[Bahn Schnitt]],1),"")</f>
        <v>1.4</v>
      </c>
      <c r="M45" s="335" t="str">
        <f>Bahnen[[#This Row],[Name]]</f>
        <v>Stefan Ulbricht</v>
      </c>
      <c r="N45" s="189">
        <f>IFERROR(ROUND(IF($M$1="Gesamt",AVERAGEIF(Eingabe[Name],Volle[[#This Row],[Name]],Eingabe[Volle]),IF($M$1="Heim",AVERAGEIFS(Eingabe[Volle],Eingabe[Name],Volle[[#This Row],[Name]],Eingabe[Wo],"H"),IF($M$1="Auswärts",AVERAGEIFS(Eingabe[Volle],Eingabe[Name],Volle[[#This Row],[Name]],Eingabe[Wo],"A"),""))),0),"")</f>
        <v>348</v>
      </c>
      <c r="O45" s="189">
        <f>IFERROR(Volle[[#This Row],[Volle Schnitt]]/4,"")</f>
        <v>87</v>
      </c>
      <c r="P45" s="189">
        <f>IFERROR(IF($M$1="Gesamt",AVERAGEIF(Eingabe[Name],Volle[[#This Row],[Name]],Eingabe[V1]),IF($M$1="Heim",AVERAGEIFS(Eingabe[V1],Eingabe[Name],Volle[[#This Row],[Name]],Eingabe[Wo],"H"),IF($M$1="Auswärts",AVERAGEIFS(Eingabe[V1],Eingabe[Name],Volle[[#This Row],[Name]],Eingabe[Wo],"A"),""))),"")</f>
        <v>84.714285714285708</v>
      </c>
      <c r="Q45" s="189">
        <f>IFERROR(ROUND(Volle[[#This Row],[V1]]-Volle[[#This Row],[Volle Bahn Schnitt]],1),"")</f>
        <v>-2.2999999999999998</v>
      </c>
      <c r="R45" s="189">
        <f>IFERROR(IF($M$1="Gesamt",AVERAGEIF(Eingabe[Name],Volle[[#This Row],[Name]],Eingabe[V2]),IF($M$1="Heim",AVERAGEIFS(Eingabe[V2],Eingabe[Name],Volle[[#This Row],[Name]],Eingabe[Wo],"H"),IF($M$1="Auswärts",AVERAGEIFS(Eingabe[V2],Eingabe[Name],Volle[[#This Row],[Name]],Eingabe[Wo],"A"),""))),"")</f>
        <v>90.285714285714292</v>
      </c>
      <c r="S45" s="189">
        <f>IFERROR(ROUND(Volle[[#This Row],[V2]]-Volle[[#This Row],[Volle Bahn Schnitt]],1),"")</f>
        <v>3.3</v>
      </c>
      <c r="T45" s="189">
        <f>IFERROR(IF($M$1="Gesamt",AVERAGEIF(Eingabe[Name],Volle[[#This Row],[Name]],Eingabe[V3]),IF($M$1="Heim",AVERAGEIFS(Eingabe[V3],Eingabe[Name],Volle[[#This Row],[Name]],Eingabe[Wo],"H"),IF($M$1="Auswärts",AVERAGEIFS(Eingabe[V3],Eingabe[Name],Volle[[#This Row],[Name]],Eingabe[Wo],"A"),""))),"")</f>
        <v>85.285714285714292</v>
      </c>
      <c r="U45" s="189">
        <f>IFERROR(ROUND(Volle[[#This Row],[V3]]-Volle[[#This Row],[Volle Bahn Schnitt]],1),"")</f>
        <v>-1.7</v>
      </c>
      <c r="V45" s="189">
        <f>IFERROR(IF($M$1="Gesamt",AVERAGEIF(Eingabe[Name],Volle[[#This Row],[Name]],Eingabe[V4]),IF($M$1="Heim",AVERAGEIFS(Eingabe[V4],Eingabe[Name],Volle[[#This Row],[Name]],Eingabe[Wo],"H"),IF($M$1="Auswärts",AVERAGEIFS(Eingabe[V4],Eingabe[Name],Volle[[#This Row],[Name]],Eingabe[Wo],"A"),""))),"")</f>
        <v>88</v>
      </c>
      <c r="W45" s="340">
        <f>IFERROR(ROUND(Volle[[#This Row],[V4]]-Volle[[#This Row],[Volle Bahn Schnitt]],1),"")</f>
        <v>1</v>
      </c>
      <c r="Y45" s="335" t="str">
        <f>Bahnen[[#This Row],[Name]]</f>
        <v>Stefan Ulbricht</v>
      </c>
      <c r="Z45" s="189">
        <f>IFERROR(ROUND(IF(Y$1="Gesamt",AVERAGEIF(Eingabe[Name],Räumer[[#This Row],[Name]],Eingabe[Räumer]),IF(Y$1="Heim",AVERAGEIFS(Eingabe[Räumer],Eingabe[Name],Räumer[[#This Row],[Name]],Eingabe[Wo],"H"),IF(Y$1="Auswärts",AVERAGEIFS(Eingabe[Räumer],Eingabe[Name],Räumer[[#This Row],[Name]],Eingabe[Wo],"A"),""))),0),"")</f>
        <v>166</v>
      </c>
      <c r="AA45" s="189">
        <f>IFERROR(Räumer[[#This Row],[Räumer Schnitt]]/4,"")</f>
        <v>41.5</v>
      </c>
      <c r="AB45" s="189">
        <f>IFERROR(IF(Y$1="Gesamt",AVERAGEIF(Eingabe[Name],Räumer[[#This Row],[Name]],Eingabe[R1]),IF(Y$1="Heim",AVERAGEIFS(Eingabe[R1],Eingabe[Name],Räumer[[#This Row],[Name]],Eingabe[Wo],"H"),IF(Y$1="Auswärts",AVERAGEIFS(Eingabe[R1],Eingabe[Name],Räumer[[#This Row],[Name]],Eingabe[Wo],"A"),""))),"")</f>
        <v>37.714285714285715</v>
      </c>
      <c r="AC45" s="189">
        <f>IFERROR(ROUND(Räumer[[#This Row],[R1]]-Räumer[[#This Row],[Räumer Bahn Schnitt]],1),"")</f>
        <v>-3.8</v>
      </c>
      <c r="AD45" s="189">
        <f>IFERROR(IF(Y$1="Gesamt",AVERAGEIF(Eingabe[Name],Räumer[[#This Row],[Name]],Eingabe[R2]),IF(Y$1="Heim",AVERAGEIFS(Eingabe[R2],Eingabe[Name],Räumer[[#This Row],[Name]],Eingabe[Wo],"H"),IF(Y$1="Auswärts",AVERAGEIFS(Eingabe[R2],Eingabe[Name],Räumer[[#This Row],[Name]],Eingabe[Wo],"A"),""))),"")</f>
        <v>42.571428571428569</v>
      </c>
      <c r="AE45" s="189">
        <f>IFERROR(ROUND(Räumer[[#This Row],[R2]]-Räumer[[#This Row],[Räumer Bahn Schnitt]],1),"")</f>
        <v>1.1000000000000001</v>
      </c>
      <c r="AF45" s="189">
        <f>IFERROR(IF(Y$1="Gesamt",AVERAGEIF(Eingabe[Name],Räumer[[#This Row],[Name]],Eingabe[R3]),IF(Y$1="Heim",AVERAGEIFS(Eingabe[R3],Eingabe[Name],Räumer[[#This Row],[Name]],Eingabe[Wo],"H"),IF(Y$1="Auswärts",AVERAGEIFS(Eingabe[R3],Eingabe[Name],Räumer[[#This Row],[Name]],Eingabe[Wo],"A"),""))),"")</f>
        <v>43.857142857142854</v>
      </c>
      <c r="AG45" s="189">
        <f>IFERROR(ROUND(Räumer[[#This Row],[R3]]-Räumer[[#This Row],[Räumer Bahn Schnitt]],1),"")</f>
        <v>2.4</v>
      </c>
      <c r="AH45" s="189">
        <f>IFERROR(IF(Y$1="Gesamt",AVERAGEIF(Eingabe[Name],Räumer[[#This Row],[Name]],Eingabe[R4]),IF(Y$1="Heim",AVERAGEIFS(Eingabe[R4],Eingabe[Name],Räumer[[#This Row],[Name]],Eingabe[Wo],"H"),IF(Y$1="Auswärts",AVERAGEIFS(Eingabe[R4],Eingabe[Name],Räumer[[#This Row],[Name]],Eingabe[Wo],"A"),""))),"")</f>
        <v>42.142857142857146</v>
      </c>
      <c r="AI45" s="189">
        <f>IFERROR(ROUND(Räumer[[#This Row],[R4]]-Räumer[[#This Row],[Räumer Bahn Schnitt]],1),"")</f>
        <v>0.6</v>
      </c>
      <c r="AK45" s="335" t="str">
        <f>Bahnen[[#This Row],[Name]]</f>
        <v>Stefan Ulbricht</v>
      </c>
      <c r="AL45" s="189">
        <f>IFERROR(ROUND(IF(AK$1="Gesamt",AVERAGEIF(Eingabe[Name],Fehler[[#This Row],[Name]],Eingabe[Fehler]),IF(AK$1="Heim",AVERAGEIFS(Eingabe[Fehler],Eingabe[Name],Fehler[[#This Row],[Name]],Eingabe[Wo],"H"),IF(AK$1="Auswärts",AVERAGEIFS(Eingabe[Fehler],Eingabe[Name],Fehler[[#This Row],[Name]],Eingabe[Wo],"A"),""))),0),"")</f>
        <v>9</v>
      </c>
      <c r="AM45" s="189">
        <f>IFERROR(Fehler[[#This Row],[Fehler Schnitt]]/4,"")</f>
        <v>2.25</v>
      </c>
      <c r="AN45" s="189">
        <f>IFERROR(IF(AK$1="Gesamt",AVERAGEIF(Eingabe[Name],Fehler[[#This Row],[Name]],Eingabe[F1]),IF(AK$1="Heim",AVERAGEIFS(Eingabe[F1],Eingabe[Name],Fehler[[#This Row],[Name]],Eingabe[Wo],"H"),IF(AK$1="Auswärts",AVERAGEIFS(Eingabe[F1],Eingabe[Name],Fehler[[#This Row],[Name]],Eingabe[Wo],"A"),""))),"")</f>
        <v>2.8571428571428572</v>
      </c>
      <c r="AO45" s="189">
        <f>IFERROR(ROUND(Fehler[[#This Row],[F1]]-Fehler[[#This Row],[Fehler Bahn Schnitt]],1),"")</f>
        <v>0.6</v>
      </c>
      <c r="AP45" s="189">
        <f>IFERROR(IF(AK$1="Gesamt",AVERAGEIF(Eingabe[Name],Fehler[[#This Row],[Name]],Eingabe[F2]),IF(AK$1="Heim",AVERAGEIFS(Eingabe[F2],Eingabe[Name],Fehler[[#This Row],[Name]],Eingabe[Wo],"H"),IF(AK$1="Auswärts",AVERAGEIFS(Eingabe[F2],Eingabe[Name],Fehler[[#This Row],[Name]],Eingabe[Wo],"A"),""))),"")</f>
        <v>2.7142857142857144</v>
      </c>
      <c r="AQ45" s="189">
        <f>IFERROR(ROUND(Fehler[[#This Row],[F2]]-Fehler[[#This Row],[Fehler Bahn Schnitt]],1),"")</f>
        <v>0.5</v>
      </c>
      <c r="AR45" s="189">
        <f>IFERROR(IF(AK$1="Gesamt",AVERAGEIF(Eingabe[Name],Fehler[[#This Row],[Name]],Eingabe[F3]),IF(AK$1="Heim",AVERAGEIFS(Eingabe[F3],Eingabe[Name],Fehler[[#This Row],[Name]],Eingabe[Wo],"H"),IF(AK$1="Auswärts",AVERAGEIFS(Eingabe[F1],Eingabe[Name],Fehler[[#This Row],[Name]],Eingabe[Wo],"A"),""))),"")</f>
        <v>1.2857142857142858</v>
      </c>
      <c r="AS45" s="189">
        <f>IFERROR(ROUND(Fehler[[#This Row],[F3]]-Fehler[[#This Row],[Fehler Bahn Schnitt]],1),"")</f>
        <v>-1</v>
      </c>
      <c r="AT45" s="189">
        <f>IFERROR(IF(AK$1="Gesamt",AVERAGEIF(Eingabe[Name],Fehler[[#This Row],[Name]],Eingabe[F4]),IF(AK$1="Heim",AVERAGEIFS(Eingabe[F4],Eingabe[Name],Fehler[[#This Row],[Name]],Eingabe[Wo],"H"),IF(AK$1="Auswärts",AVERAGEIFS(Eingabe[F1],Eingabe[Name],Fehler[[#This Row],[Name]],Eingabe[Wo],"A"),""))),"")</f>
        <v>2.2857142857142856</v>
      </c>
      <c r="AU45" s="189">
        <f>IFERROR(ROUND(Fehler[[#This Row],[F4]]-Fehler[[#This Row],[Fehler Bahn Schnitt]],1),"")</f>
        <v>0</v>
      </c>
    </row>
    <row r="46" spans="1:47" ht="15.6" x14ac:dyDescent="0.3">
      <c r="A46" s="335" t="s">
        <v>492</v>
      </c>
      <c r="B46" s="189">
        <f>IFERROR(ROUND(IF($A$1="Gesamt",AVERAGEIF(Eingabe[Name],Bahnen[[#This Row],[Name]],Eingabe[GES]),IF($A$1="Heim",AVERAGEIFS(Eingabe[GES],Eingabe[Name],Bahnen[[#This Row],[Name]],Eingabe[Wo],"H"),IF($A$1="Auswärts",AVERAGEIFS(Eingabe[GES],Eingabe[Name],Bahnen[[#This Row],[Name]],Eingabe[Wo],"A"),""))),0),"")</f>
        <v>520</v>
      </c>
      <c r="C46" s="189">
        <f>IFERROR(Bahnen[[#This Row],[Schnitt]]/4,"")</f>
        <v>130</v>
      </c>
      <c r="D46" s="189">
        <f>IFERROR(IF($A$1="Gesamt",AVERAGEIF(Eingabe[Name],Bahnen[[#This Row],[Name]],Eingabe[S1]),IF($A$1="Heim",AVERAGEIFS(Eingabe[S-NR],Eingabe[Name],Bahnen[[#This Row],[Name]],Eingabe[Wo],"H"),IF($A$1="Auswärts",AVERAGEIFS(Eingabe[S1],Eingabe[Name],Bahnen[[#This Row],[Name]],Eingabe[Wo],"A"),""))),"")</f>
        <v>130.71428571428572</v>
      </c>
      <c r="E46" s="189">
        <f>IFERROR(ROUND(Bahnen[[#This Row],[S1]]-Bahnen[[#This Row],[Bahn Schnitt]],1),"")</f>
        <v>0.7</v>
      </c>
      <c r="F46" s="189">
        <f>IFERROR(IF($A$1="Gesamt",AVERAGEIF(Eingabe[Name],Bahnen[[#This Row],[Name]],Eingabe[S2]),IF($A$1="Heim",AVERAGEIFS(Eingabe[S2],Eingabe[Name],Bahnen[[#This Row],[Name]],Eingabe[Wo],"H"),IF($A$1="Auswärts",AVERAGEIFS(Eingabe[S2],Eingabe[Name],Bahnen[[#This Row],[Name]],Eingabe[Wo],"A"),""))),"")</f>
        <v>131</v>
      </c>
      <c r="G46" s="189">
        <f>IFERROR(ROUND(Bahnen[[#This Row],[S2]]-Bahnen[[#This Row],[Bahn Schnitt]],1),"")</f>
        <v>1</v>
      </c>
      <c r="H46" s="189">
        <f>IFERROR(IF($A$1="Gesamt",AVERAGEIF(Eingabe[Name],Bahnen[[#This Row],[Name]],Eingabe[S3]),IF($A$1="Heim",AVERAGEIFS(Eingabe[S3],Eingabe[Name],Bahnen[[#This Row],[Name]],Eingabe[Wo],"H"),IF($A$1="Auswärts",AVERAGEIFS(Eingabe[S-NR],Eingabe[Name],Bahnen[[#This Row],[Name]],Eingabe[Wo],"A"),""))),"")</f>
        <v>127.57142857142857</v>
      </c>
      <c r="I46" s="189">
        <f>IFERROR(ROUND(Bahnen[[#This Row],[S3]]-Bahnen[[#This Row],[Bahn Schnitt]],1),"")</f>
        <v>-2.4</v>
      </c>
      <c r="J46" s="189">
        <f>IFERROR(IF($A$1="Gesamt",AVERAGEIF(Eingabe[Name],Bahnen[[#This Row],[Name]],Eingabe[S4]),IF($A$1="Heim",AVERAGEIFS(Eingabe[S4],Eingabe[Name],Bahnen[[#This Row],[Name]],Eingabe[Wo],"H"),IF($A$1="Auswärts",AVERAGEIFS(Eingabe[S-NR],Eingabe[Name],Bahnen[[#This Row],[Name]],Eingabe[Wo],"A"),""))),"")</f>
        <v>131.14285714285714</v>
      </c>
      <c r="K46" s="189">
        <f>IFERROR(ROUND(Bahnen[[#This Row],[S4]]-Bahnen[[#This Row],[Bahn Schnitt]],1),"")</f>
        <v>1.1000000000000001</v>
      </c>
      <c r="M46" s="335" t="str">
        <f>Bahnen[[#This Row],[Name]]</f>
        <v>Sylke Schmidt</v>
      </c>
      <c r="N46" s="189">
        <f>IFERROR(ROUND(IF($M$1="Gesamt",AVERAGEIF(Eingabe[Name],Volle[[#This Row],[Name]],Eingabe[Volle]),IF($M$1="Heim",AVERAGEIFS(Eingabe[Volle],Eingabe[Name],Volle[[#This Row],[Name]],Eingabe[Wo],"H"),IF($M$1="Auswärts",AVERAGEIFS(Eingabe[Volle],Eingabe[Name],Volle[[#This Row],[Name]],Eingabe[Wo],"A"),""))),0),"")</f>
        <v>360</v>
      </c>
      <c r="O46" s="189">
        <f>IFERROR(Volle[[#This Row],[Volle Schnitt]]/4,"")</f>
        <v>90</v>
      </c>
      <c r="P46" s="189">
        <f>IFERROR(IF($M$1="Gesamt",AVERAGEIF(Eingabe[Name],Volle[[#This Row],[Name]],Eingabe[V1]),IF($M$1="Heim",AVERAGEIFS(Eingabe[V1],Eingabe[Name],Volle[[#This Row],[Name]],Eingabe[Wo],"H"),IF($M$1="Auswärts",AVERAGEIFS(Eingabe[V1],Eingabe[Name],Volle[[#This Row],[Name]],Eingabe[Wo],"A"),""))),"")</f>
        <v>87.714285714285708</v>
      </c>
      <c r="Q46" s="189">
        <f>IFERROR(ROUND(Volle[[#This Row],[V1]]-Volle[[#This Row],[Volle Bahn Schnitt]],1),"")</f>
        <v>-2.2999999999999998</v>
      </c>
      <c r="R46" s="189">
        <f>IFERROR(IF($M$1="Gesamt",AVERAGEIF(Eingabe[Name],Volle[[#This Row],[Name]],Eingabe[V2]),IF($M$1="Heim",AVERAGEIFS(Eingabe[V2],Eingabe[Name],Volle[[#This Row],[Name]],Eingabe[Wo],"H"),IF($M$1="Auswärts",AVERAGEIFS(Eingabe[V2],Eingabe[Name],Volle[[#This Row],[Name]],Eingabe[Wo],"A"),""))),"")</f>
        <v>92</v>
      </c>
      <c r="S46" s="189">
        <f>IFERROR(ROUND(Volle[[#This Row],[V2]]-Volle[[#This Row],[Volle Bahn Schnitt]],1),"")</f>
        <v>2</v>
      </c>
      <c r="T46" s="189">
        <f>IFERROR(IF($M$1="Gesamt",AVERAGEIF(Eingabe[Name],Volle[[#This Row],[Name]],Eingabe[V3]),IF($M$1="Heim",AVERAGEIFS(Eingabe[V3],Eingabe[Name],Volle[[#This Row],[Name]],Eingabe[Wo],"H"),IF($M$1="Auswärts",AVERAGEIFS(Eingabe[V3],Eingabe[Name],Volle[[#This Row],[Name]],Eingabe[Wo],"A"),""))),"")</f>
        <v>88.142857142857139</v>
      </c>
      <c r="U46" s="189">
        <f>IFERROR(ROUND(Volle[[#This Row],[V3]]-Volle[[#This Row],[Volle Bahn Schnitt]],1),"")</f>
        <v>-1.9</v>
      </c>
      <c r="V46" s="189">
        <f>IFERROR(IF($M$1="Gesamt",AVERAGEIF(Eingabe[Name],Volle[[#This Row],[Name]],Eingabe[V4]),IF($M$1="Heim",AVERAGEIFS(Eingabe[V4],Eingabe[Name],Volle[[#This Row],[Name]],Eingabe[Wo],"H"),IF($M$1="Auswärts",AVERAGEIFS(Eingabe[V4],Eingabe[Name],Volle[[#This Row],[Name]],Eingabe[Wo],"A"),""))),"")</f>
        <v>92.142857142857139</v>
      </c>
      <c r="W46" s="340">
        <f>IFERROR(ROUND(Volle[[#This Row],[V4]]-Volle[[#This Row],[Volle Bahn Schnitt]],1),"")</f>
        <v>2.1</v>
      </c>
      <c r="Y46" s="335" t="str">
        <f>Bahnen[[#This Row],[Name]]</f>
        <v>Sylke Schmidt</v>
      </c>
      <c r="Z46" s="189">
        <f>IFERROR(ROUND(IF(Y$1="Gesamt",AVERAGEIF(Eingabe[Name],Räumer[[#This Row],[Name]],Eingabe[Räumer]),IF(Y$1="Heim",AVERAGEIFS(Eingabe[Räumer],Eingabe[Name],Räumer[[#This Row],[Name]],Eingabe[Wo],"H"),IF(Y$1="Auswärts",AVERAGEIFS(Eingabe[Räumer],Eingabe[Name],Räumer[[#This Row],[Name]],Eingabe[Wo],"A"),""))),0),"")</f>
        <v>160</v>
      </c>
      <c r="AA46" s="189">
        <f>IFERROR(Räumer[[#This Row],[Räumer Schnitt]]/4,"")</f>
        <v>40</v>
      </c>
      <c r="AB46" s="189">
        <f>IFERROR(IF(Y$1="Gesamt",AVERAGEIF(Eingabe[Name],Räumer[[#This Row],[Name]],Eingabe[R1]),IF(Y$1="Heim",AVERAGEIFS(Eingabe[R1],Eingabe[Name],Räumer[[#This Row],[Name]],Eingabe[Wo],"H"),IF(Y$1="Auswärts",AVERAGEIFS(Eingabe[R1],Eingabe[Name],Räumer[[#This Row],[Name]],Eingabe[Wo],"A"),""))),"")</f>
        <v>43</v>
      </c>
      <c r="AC46" s="189">
        <f>IFERROR(ROUND(Räumer[[#This Row],[R1]]-Räumer[[#This Row],[Räumer Bahn Schnitt]],1),"")</f>
        <v>3</v>
      </c>
      <c r="AD46" s="189">
        <f>IFERROR(IF(Y$1="Gesamt",AVERAGEIF(Eingabe[Name],Räumer[[#This Row],[Name]],Eingabe[R2]),IF(Y$1="Heim",AVERAGEIFS(Eingabe[R2],Eingabe[Name],Räumer[[#This Row],[Name]],Eingabe[Wo],"H"),IF(Y$1="Auswärts",AVERAGEIFS(Eingabe[R2],Eingabe[Name],Räumer[[#This Row],[Name]],Eingabe[Wo],"A"),""))),"")</f>
        <v>39</v>
      </c>
      <c r="AE46" s="189">
        <f>IFERROR(ROUND(Räumer[[#This Row],[R2]]-Räumer[[#This Row],[Räumer Bahn Schnitt]],1),"")</f>
        <v>-1</v>
      </c>
      <c r="AF46" s="189">
        <f>IFERROR(IF(Y$1="Gesamt",AVERAGEIF(Eingabe[Name],Räumer[[#This Row],[Name]],Eingabe[R3]),IF(Y$1="Heim",AVERAGEIFS(Eingabe[R3],Eingabe[Name],Räumer[[#This Row],[Name]],Eingabe[Wo],"H"),IF(Y$1="Auswärts",AVERAGEIFS(Eingabe[R3],Eingabe[Name],Räumer[[#This Row],[Name]],Eingabe[Wo],"A"),""))),"")</f>
        <v>39.428571428571431</v>
      </c>
      <c r="AG46" s="189">
        <f>IFERROR(ROUND(Räumer[[#This Row],[R3]]-Räumer[[#This Row],[Räumer Bahn Schnitt]],1),"")</f>
        <v>-0.6</v>
      </c>
      <c r="AH46" s="189">
        <f>IFERROR(IF(Y$1="Gesamt",AVERAGEIF(Eingabe[Name],Räumer[[#This Row],[Name]],Eingabe[R4]),IF(Y$1="Heim",AVERAGEIFS(Eingabe[R4],Eingabe[Name],Räumer[[#This Row],[Name]],Eingabe[Wo],"H"),IF(Y$1="Auswärts",AVERAGEIFS(Eingabe[R4],Eingabe[Name],Räumer[[#This Row],[Name]],Eingabe[Wo],"A"),""))),"")</f>
        <v>39</v>
      </c>
      <c r="AI46" s="189">
        <f>IFERROR(ROUND(Räumer[[#This Row],[R4]]-Räumer[[#This Row],[Räumer Bahn Schnitt]],1),"")</f>
        <v>-1</v>
      </c>
      <c r="AK46" s="335" t="str">
        <f>Bahnen[[#This Row],[Name]]</f>
        <v>Sylke Schmidt</v>
      </c>
      <c r="AL46" s="189">
        <f>IFERROR(ROUND(IF(AK$1="Gesamt",AVERAGEIF(Eingabe[Name],Fehler[[#This Row],[Name]],Eingabe[Fehler]),IF(AK$1="Heim",AVERAGEIFS(Eingabe[Fehler],Eingabe[Name],Fehler[[#This Row],[Name]],Eingabe[Wo],"H"),IF(AK$1="Auswärts",AVERAGEIFS(Eingabe[Fehler],Eingabe[Name],Fehler[[#This Row],[Name]],Eingabe[Wo],"A"),""))),0),"")</f>
        <v>9</v>
      </c>
      <c r="AM46" s="189">
        <f>IFERROR(Fehler[[#This Row],[Fehler Schnitt]]/4,"")</f>
        <v>2.25</v>
      </c>
      <c r="AN46" s="189">
        <f>IFERROR(IF(AK$1="Gesamt",AVERAGEIF(Eingabe[Name],Fehler[[#This Row],[Name]],Eingabe[F1]),IF(AK$1="Heim",AVERAGEIFS(Eingabe[F1],Eingabe[Name],Fehler[[#This Row],[Name]],Eingabe[Wo],"H"),IF(AK$1="Auswärts",AVERAGEIFS(Eingabe[F1],Eingabe[Name],Fehler[[#This Row],[Name]],Eingabe[Wo],"A"),""))),"")</f>
        <v>1.4285714285714286</v>
      </c>
      <c r="AO46" s="189">
        <f>IFERROR(ROUND(Fehler[[#This Row],[F1]]-Fehler[[#This Row],[Fehler Bahn Schnitt]],1),"")</f>
        <v>-0.8</v>
      </c>
      <c r="AP46" s="189">
        <f>IFERROR(IF(AK$1="Gesamt",AVERAGEIF(Eingabe[Name],Fehler[[#This Row],[Name]],Eingabe[F2]),IF(AK$1="Heim",AVERAGEIFS(Eingabe[F2],Eingabe[Name],Fehler[[#This Row],[Name]],Eingabe[Wo],"H"),IF(AK$1="Auswärts",AVERAGEIFS(Eingabe[F2],Eingabe[Name],Fehler[[#This Row],[Name]],Eingabe[Wo],"A"),""))),"")</f>
        <v>2.5714285714285716</v>
      </c>
      <c r="AQ46" s="189">
        <f>IFERROR(ROUND(Fehler[[#This Row],[F2]]-Fehler[[#This Row],[Fehler Bahn Schnitt]],1),"")</f>
        <v>0.3</v>
      </c>
      <c r="AR46" s="189">
        <f>IFERROR(IF(AK$1="Gesamt",AVERAGEIF(Eingabe[Name],Fehler[[#This Row],[Name]],Eingabe[F3]),IF(AK$1="Heim",AVERAGEIFS(Eingabe[F3],Eingabe[Name],Fehler[[#This Row],[Name]],Eingabe[Wo],"H"),IF(AK$1="Auswärts",AVERAGEIFS(Eingabe[F1],Eingabe[Name],Fehler[[#This Row],[Name]],Eingabe[Wo],"A"),""))),"")</f>
        <v>2.2857142857142856</v>
      </c>
      <c r="AS46" s="189">
        <f>IFERROR(ROUND(Fehler[[#This Row],[F3]]-Fehler[[#This Row],[Fehler Bahn Schnitt]],1),"")</f>
        <v>0</v>
      </c>
      <c r="AT46" s="189">
        <f>IFERROR(IF(AK$1="Gesamt",AVERAGEIF(Eingabe[Name],Fehler[[#This Row],[Name]],Eingabe[F4]),IF(AK$1="Heim",AVERAGEIFS(Eingabe[F4],Eingabe[Name],Fehler[[#This Row],[Name]],Eingabe[Wo],"H"),IF(AK$1="Auswärts",AVERAGEIFS(Eingabe[F1],Eingabe[Name],Fehler[[#This Row],[Name]],Eingabe[Wo],"A"),""))),"")</f>
        <v>2.5714285714285716</v>
      </c>
      <c r="AU46" s="189">
        <f>IFERROR(ROUND(Fehler[[#This Row],[F4]]-Fehler[[#This Row],[Fehler Bahn Schnitt]],1),"")</f>
        <v>0.3</v>
      </c>
    </row>
    <row r="47" spans="1:47" ht="15.6" x14ac:dyDescent="0.3">
      <c r="A47" s="335" t="s">
        <v>491</v>
      </c>
      <c r="B47" s="189" t="str">
        <f>IFERROR(ROUND(IF($A$1="Gesamt",AVERAGEIF(Eingabe[Name],Bahnen[[#This Row],[Name]],Eingabe[GES]),IF($A$1="Heim",AVERAGEIFS(Eingabe[GES],Eingabe[Name],Bahnen[[#This Row],[Name]],Eingabe[Wo],"H"),IF($A$1="Auswärts",AVERAGEIFS(Eingabe[GES],Eingabe[Name],Bahnen[[#This Row],[Name]],Eingabe[Wo],"A"),""))),0),"")</f>
        <v/>
      </c>
      <c r="C47" s="189" t="str">
        <f>IFERROR(Bahnen[[#This Row],[Schnitt]]/4,"")</f>
        <v/>
      </c>
      <c r="D47" s="189" t="str">
        <f>IFERROR(IF($A$1="Gesamt",AVERAGEIF(Eingabe[Name],Bahnen[[#This Row],[Name]],Eingabe[S1]),IF($A$1="Heim",AVERAGEIFS(Eingabe[S-NR],Eingabe[Name],Bahnen[[#This Row],[Name]],Eingabe[Wo],"H"),IF($A$1="Auswärts",AVERAGEIFS(Eingabe[S1],Eingabe[Name],Bahnen[[#This Row],[Name]],Eingabe[Wo],"A"),""))),"")</f>
        <v/>
      </c>
      <c r="E47" s="189" t="str">
        <f>IFERROR(ROUND(Bahnen[[#This Row],[S1]]-Bahnen[[#This Row],[Bahn Schnitt]],1),"")</f>
        <v/>
      </c>
      <c r="F47" s="189" t="str">
        <f>IFERROR(IF($A$1="Gesamt",AVERAGEIF(Eingabe[Name],Bahnen[[#This Row],[Name]],Eingabe[S2]),IF($A$1="Heim",AVERAGEIFS(Eingabe[S2],Eingabe[Name],Bahnen[[#This Row],[Name]],Eingabe[Wo],"H"),IF($A$1="Auswärts",AVERAGEIFS(Eingabe[S2],Eingabe[Name],Bahnen[[#This Row],[Name]],Eingabe[Wo],"A"),""))),"")</f>
        <v/>
      </c>
      <c r="G47" s="189" t="str">
        <f>IFERROR(ROUND(Bahnen[[#This Row],[S2]]-Bahnen[[#This Row],[Bahn Schnitt]],1),"")</f>
        <v/>
      </c>
      <c r="H47" s="189" t="str">
        <f>IFERROR(IF($A$1="Gesamt",AVERAGEIF(Eingabe[Name],Bahnen[[#This Row],[Name]],Eingabe[S3]),IF($A$1="Heim",AVERAGEIFS(Eingabe[S3],Eingabe[Name],Bahnen[[#This Row],[Name]],Eingabe[Wo],"H"),IF($A$1="Auswärts",AVERAGEIFS(Eingabe[S-NR],Eingabe[Name],Bahnen[[#This Row],[Name]],Eingabe[Wo],"A"),""))),"")</f>
        <v/>
      </c>
      <c r="I47" s="189" t="str">
        <f>IFERROR(ROUND(Bahnen[[#This Row],[S3]]-Bahnen[[#This Row],[Bahn Schnitt]],1),"")</f>
        <v/>
      </c>
      <c r="J47" s="189" t="str">
        <f>IFERROR(IF($A$1="Gesamt",AVERAGEIF(Eingabe[Name],Bahnen[[#This Row],[Name]],Eingabe[S4]),IF($A$1="Heim",AVERAGEIFS(Eingabe[S4],Eingabe[Name],Bahnen[[#This Row],[Name]],Eingabe[Wo],"H"),IF($A$1="Auswärts",AVERAGEIFS(Eingabe[S-NR],Eingabe[Name],Bahnen[[#This Row],[Name]],Eingabe[Wo],"A"),""))),"")</f>
        <v/>
      </c>
      <c r="K47" s="189" t="str">
        <f>IFERROR(ROUND(Bahnen[[#This Row],[S4]]-Bahnen[[#This Row],[Bahn Schnitt]],1),"")</f>
        <v/>
      </c>
      <c r="M47" s="335" t="str">
        <f>Bahnen[[#This Row],[Name]]</f>
        <v>Teo Rühle</v>
      </c>
      <c r="N47" s="189" t="str">
        <f>IFERROR(ROUND(IF($M$1="Gesamt",AVERAGEIF(Eingabe[Name],Volle[[#This Row],[Name]],Eingabe[Volle]),IF($M$1="Heim",AVERAGEIFS(Eingabe[Volle],Eingabe[Name],Volle[[#This Row],[Name]],Eingabe[Wo],"H"),IF($M$1="Auswärts",AVERAGEIFS(Eingabe[Volle],Eingabe[Name],Volle[[#This Row],[Name]],Eingabe[Wo],"A"),""))),0),"")</f>
        <v/>
      </c>
      <c r="O47" s="189" t="str">
        <f>IFERROR(Volle[[#This Row],[Volle Schnitt]]/4,"")</f>
        <v/>
      </c>
      <c r="P47" s="189" t="str">
        <f>IFERROR(IF($M$1="Gesamt",AVERAGEIF(Eingabe[Name],Volle[[#This Row],[Name]],Eingabe[V1]),IF($M$1="Heim",AVERAGEIFS(Eingabe[V1],Eingabe[Name],Volle[[#This Row],[Name]],Eingabe[Wo],"H"),IF($M$1="Auswärts",AVERAGEIFS(Eingabe[V1],Eingabe[Name],Volle[[#This Row],[Name]],Eingabe[Wo],"A"),""))),"")</f>
        <v/>
      </c>
      <c r="Q47" s="189" t="str">
        <f>IFERROR(ROUND(Volle[[#This Row],[V1]]-Volle[[#This Row],[Volle Bahn Schnitt]],1),"")</f>
        <v/>
      </c>
      <c r="R47" s="189" t="str">
        <f>IFERROR(IF($M$1="Gesamt",AVERAGEIF(Eingabe[Name],Volle[[#This Row],[Name]],Eingabe[V2]),IF($M$1="Heim",AVERAGEIFS(Eingabe[V2],Eingabe[Name],Volle[[#This Row],[Name]],Eingabe[Wo],"H"),IF($M$1="Auswärts",AVERAGEIFS(Eingabe[V2],Eingabe[Name],Volle[[#This Row],[Name]],Eingabe[Wo],"A"),""))),"")</f>
        <v/>
      </c>
      <c r="S47" s="189" t="str">
        <f>IFERROR(ROUND(Volle[[#This Row],[V2]]-Volle[[#This Row],[Volle Bahn Schnitt]],1),"")</f>
        <v/>
      </c>
      <c r="T47" s="189" t="str">
        <f>IFERROR(IF($M$1="Gesamt",AVERAGEIF(Eingabe[Name],Volle[[#This Row],[Name]],Eingabe[V3]),IF($M$1="Heim",AVERAGEIFS(Eingabe[V3],Eingabe[Name],Volle[[#This Row],[Name]],Eingabe[Wo],"H"),IF($M$1="Auswärts",AVERAGEIFS(Eingabe[V3],Eingabe[Name],Volle[[#This Row],[Name]],Eingabe[Wo],"A"),""))),"")</f>
        <v/>
      </c>
      <c r="U47" s="189" t="str">
        <f>IFERROR(ROUND(Volle[[#This Row],[V3]]-Volle[[#This Row],[Volle Bahn Schnitt]],1),"")</f>
        <v/>
      </c>
      <c r="V47" s="189" t="str">
        <f>IFERROR(IF($M$1="Gesamt",AVERAGEIF(Eingabe[Name],Volle[[#This Row],[Name]],Eingabe[V4]),IF($M$1="Heim",AVERAGEIFS(Eingabe[V4],Eingabe[Name],Volle[[#This Row],[Name]],Eingabe[Wo],"H"),IF($M$1="Auswärts",AVERAGEIFS(Eingabe[V4],Eingabe[Name],Volle[[#This Row],[Name]],Eingabe[Wo],"A"),""))),"")</f>
        <v/>
      </c>
      <c r="W47" s="340" t="str">
        <f>IFERROR(ROUND(Volle[[#This Row],[V4]]-Volle[[#This Row],[Volle Bahn Schnitt]],1),"")</f>
        <v/>
      </c>
      <c r="Y47" s="335" t="str">
        <f>Bahnen[[#This Row],[Name]]</f>
        <v>Teo Rühle</v>
      </c>
      <c r="Z47" s="189" t="str">
        <f>IFERROR(ROUND(IF(Y$1="Gesamt",AVERAGEIF(Eingabe[Name],Räumer[[#This Row],[Name]],Eingabe[Räumer]),IF(Y$1="Heim",AVERAGEIFS(Eingabe[Räumer],Eingabe[Name],Räumer[[#This Row],[Name]],Eingabe[Wo],"H"),IF(Y$1="Auswärts",AVERAGEIFS(Eingabe[Räumer],Eingabe[Name],Räumer[[#This Row],[Name]],Eingabe[Wo],"A"),""))),0),"")</f>
        <v/>
      </c>
      <c r="AA47" s="189" t="str">
        <f>IFERROR(Räumer[[#This Row],[Räumer Schnitt]]/4,"")</f>
        <v/>
      </c>
      <c r="AB47" s="189" t="str">
        <f>IFERROR(IF(Y$1="Gesamt",AVERAGEIF(Eingabe[Name],Räumer[[#This Row],[Name]],Eingabe[R1]),IF(Y$1="Heim",AVERAGEIFS(Eingabe[R1],Eingabe[Name],Räumer[[#This Row],[Name]],Eingabe[Wo],"H"),IF(Y$1="Auswärts",AVERAGEIFS(Eingabe[R1],Eingabe[Name],Räumer[[#This Row],[Name]],Eingabe[Wo],"A"),""))),"")</f>
        <v/>
      </c>
      <c r="AC47" s="189" t="str">
        <f>IFERROR(ROUND(Räumer[[#This Row],[R1]]-Räumer[[#This Row],[Räumer Bahn Schnitt]],1),"")</f>
        <v/>
      </c>
      <c r="AD47" s="189" t="str">
        <f>IFERROR(IF(Y$1="Gesamt",AVERAGEIF(Eingabe[Name],Räumer[[#This Row],[Name]],Eingabe[R2]),IF(Y$1="Heim",AVERAGEIFS(Eingabe[R2],Eingabe[Name],Räumer[[#This Row],[Name]],Eingabe[Wo],"H"),IF(Y$1="Auswärts",AVERAGEIFS(Eingabe[R2],Eingabe[Name],Räumer[[#This Row],[Name]],Eingabe[Wo],"A"),""))),"")</f>
        <v/>
      </c>
      <c r="AE47" s="189" t="str">
        <f>IFERROR(ROUND(Räumer[[#This Row],[R2]]-Räumer[[#This Row],[Räumer Bahn Schnitt]],1),"")</f>
        <v/>
      </c>
      <c r="AF47" s="189" t="str">
        <f>IFERROR(IF(Y$1="Gesamt",AVERAGEIF(Eingabe[Name],Räumer[[#This Row],[Name]],Eingabe[R3]),IF(Y$1="Heim",AVERAGEIFS(Eingabe[R3],Eingabe[Name],Räumer[[#This Row],[Name]],Eingabe[Wo],"H"),IF(Y$1="Auswärts",AVERAGEIFS(Eingabe[R3],Eingabe[Name],Räumer[[#This Row],[Name]],Eingabe[Wo],"A"),""))),"")</f>
        <v/>
      </c>
      <c r="AG47" s="189" t="str">
        <f>IFERROR(ROUND(Räumer[[#This Row],[R3]]-Räumer[[#This Row],[Räumer Bahn Schnitt]],1),"")</f>
        <v/>
      </c>
      <c r="AH47" s="189" t="str">
        <f>IFERROR(IF(Y$1="Gesamt",AVERAGEIF(Eingabe[Name],Räumer[[#This Row],[Name]],Eingabe[R4]),IF(Y$1="Heim",AVERAGEIFS(Eingabe[R4],Eingabe[Name],Räumer[[#This Row],[Name]],Eingabe[Wo],"H"),IF(Y$1="Auswärts",AVERAGEIFS(Eingabe[R4],Eingabe[Name],Räumer[[#This Row],[Name]],Eingabe[Wo],"A"),""))),"")</f>
        <v/>
      </c>
      <c r="AI47" s="189" t="str">
        <f>IFERROR(ROUND(Räumer[[#This Row],[R4]]-Räumer[[#This Row],[Räumer Bahn Schnitt]],1),"")</f>
        <v/>
      </c>
      <c r="AK47" s="335" t="str">
        <f>Bahnen[[#This Row],[Name]]</f>
        <v>Teo Rühle</v>
      </c>
      <c r="AL47" s="189" t="str">
        <f>IFERROR(ROUND(IF(AK$1="Gesamt",AVERAGEIF(Eingabe[Name],Fehler[[#This Row],[Name]],Eingabe[Fehler]),IF(AK$1="Heim",AVERAGEIFS(Eingabe[Fehler],Eingabe[Name],Fehler[[#This Row],[Name]],Eingabe[Wo],"H"),IF(AK$1="Auswärts",AVERAGEIFS(Eingabe[Fehler],Eingabe[Name],Fehler[[#This Row],[Name]],Eingabe[Wo],"A"),""))),0),"")</f>
        <v/>
      </c>
      <c r="AM47" s="189" t="str">
        <f>IFERROR(Fehler[[#This Row],[Fehler Schnitt]]/4,"")</f>
        <v/>
      </c>
      <c r="AN47" s="189" t="str">
        <f>IFERROR(IF(AK$1="Gesamt",AVERAGEIF(Eingabe[Name],Fehler[[#This Row],[Name]],Eingabe[F1]),IF(AK$1="Heim",AVERAGEIFS(Eingabe[F1],Eingabe[Name],Fehler[[#This Row],[Name]],Eingabe[Wo],"H"),IF(AK$1="Auswärts",AVERAGEIFS(Eingabe[F1],Eingabe[Name],Fehler[[#This Row],[Name]],Eingabe[Wo],"A"),""))),"")</f>
        <v/>
      </c>
      <c r="AO47" s="189" t="str">
        <f>IFERROR(ROUND(Fehler[[#This Row],[F1]]-Fehler[[#This Row],[Fehler Bahn Schnitt]],1),"")</f>
        <v/>
      </c>
      <c r="AP47" s="189" t="str">
        <f>IFERROR(IF(AK$1="Gesamt",AVERAGEIF(Eingabe[Name],Fehler[[#This Row],[Name]],Eingabe[F2]),IF(AK$1="Heim",AVERAGEIFS(Eingabe[F2],Eingabe[Name],Fehler[[#This Row],[Name]],Eingabe[Wo],"H"),IF(AK$1="Auswärts",AVERAGEIFS(Eingabe[F2],Eingabe[Name],Fehler[[#This Row],[Name]],Eingabe[Wo],"A"),""))),"")</f>
        <v/>
      </c>
      <c r="AQ47" s="189" t="str">
        <f>IFERROR(ROUND(Fehler[[#This Row],[F2]]-Fehler[[#This Row],[Fehler Bahn Schnitt]],1),"")</f>
        <v/>
      </c>
      <c r="AR47" s="189" t="str">
        <f>IFERROR(IF(AK$1="Gesamt",AVERAGEIF(Eingabe[Name],Fehler[[#This Row],[Name]],Eingabe[F3]),IF(AK$1="Heim",AVERAGEIFS(Eingabe[F3],Eingabe[Name],Fehler[[#This Row],[Name]],Eingabe[Wo],"H"),IF(AK$1="Auswärts",AVERAGEIFS(Eingabe[F1],Eingabe[Name],Fehler[[#This Row],[Name]],Eingabe[Wo],"A"),""))),"")</f>
        <v/>
      </c>
      <c r="AS47" s="189" t="str">
        <f>IFERROR(ROUND(Fehler[[#This Row],[F3]]-Fehler[[#This Row],[Fehler Bahn Schnitt]],1),"")</f>
        <v/>
      </c>
      <c r="AT47" s="189" t="str">
        <f>IFERROR(IF(AK$1="Gesamt",AVERAGEIF(Eingabe[Name],Fehler[[#This Row],[Name]],Eingabe[F4]),IF(AK$1="Heim",AVERAGEIFS(Eingabe[F4],Eingabe[Name],Fehler[[#This Row],[Name]],Eingabe[Wo],"H"),IF(AK$1="Auswärts",AVERAGEIFS(Eingabe[F1],Eingabe[Name],Fehler[[#This Row],[Name]],Eingabe[Wo],"A"),""))),"")</f>
        <v/>
      </c>
      <c r="AU47" s="189" t="str">
        <f>IFERROR(ROUND(Fehler[[#This Row],[F4]]-Fehler[[#This Row],[Fehler Bahn Schnitt]],1),"")</f>
        <v/>
      </c>
    </row>
    <row r="48" spans="1:47" ht="15.6" x14ac:dyDescent="0.3">
      <c r="A48" s="335" t="s">
        <v>6</v>
      </c>
      <c r="B48" s="189">
        <f>IFERROR(ROUND(IF($A$1="Gesamt",AVERAGEIF(Eingabe[Name],Bahnen[[#This Row],[Name]],Eingabe[GES]),IF($A$1="Heim",AVERAGEIFS(Eingabe[GES],Eingabe[Name],Bahnen[[#This Row],[Name]],Eingabe[Wo],"H"),IF($A$1="Auswärts",AVERAGEIFS(Eingabe[GES],Eingabe[Name],Bahnen[[#This Row],[Name]],Eingabe[Wo],"A"),""))),0),"")</f>
        <v>529</v>
      </c>
      <c r="C48" s="189">
        <f>IFERROR(Bahnen[[#This Row],[Schnitt]]/4,"")</f>
        <v>132.25</v>
      </c>
      <c r="D48" s="189">
        <f>IFERROR(IF($A$1="Gesamt",AVERAGEIF(Eingabe[Name],Bahnen[[#This Row],[Name]],Eingabe[S1]),IF($A$1="Heim",AVERAGEIFS(Eingabe[S-NR],Eingabe[Name],Bahnen[[#This Row],[Name]],Eingabe[Wo],"H"),IF($A$1="Auswärts",AVERAGEIFS(Eingabe[S1],Eingabe[Name],Bahnen[[#This Row],[Name]],Eingabe[Wo],"A"),""))),"")</f>
        <v>129.25</v>
      </c>
      <c r="E48" s="189">
        <f>IFERROR(ROUND(Bahnen[[#This Row],[S1]]-Bahnen[[#This Row],[Bahn Schnitt]],1),"")</f>
        <v>-3</v>
      </c>
      <c r="F48" s="189">
        <f>IFERROR(IF($A$1="Gesamt",AVERAGEIF(Eingabe[Name],Bahnen[[#This Row],[Name]],Eingabe[S2]),IF($A$1="Heim",AVERAGEIFS(Eingabe[S2],Eingabe[Name],Bahnen[[#This Row],[Name]],Eingabe[Wo],"H"),IF($A$1="Auswärts",AVERAGEIFS(Eingabe[S2],Eingabe[Name],Bahnen[[#This Row],[Name]],Eingabe[Wo],"A"),""))),"")</f>
        <v>129.91666666666666</v>
      </c>
      <c r="G48" s="189">
        <f>IFERROR(ROUND(Bahnen[[#This Row],[S2]]-Bahnen[[#This Row],[Bahn Schnitt]],1),"")</f>
        <v>-2.2999999999999998</v>
      </c>
      <c r="H48" s="189">
        <f>IFERROR(IF($A$1="Gesamt",AVERAGEIF(Eingabe[Name],Bahnen[[#This Row],[Name]],Eingabe[S3]),IF($A$1="Heim",AVERAGEIFS(Eingabe[S3],Eingabe[Name],Bahnen[[#This Row],[Name]],Eingabe[Wo],"H"),IF($A$1="Auswärts",AVERAGEIFS(Eingabe[S-NR],Eingabe[Name],Bahnen[[#This Row],[Name]],Eingabe[Wo],"A"),""))),"")</f>
        <v>133.41666666666666</v>
      </c>
      <c r="I48" s="189">
        <f>IFERROR(ROUND(Bahnen[[#This Row],[S3]]-Bahnen[[#This Row],[Bahn Schnitt]],1),"")</f>
        <v>1.2</v>
      </c>
      <c r="J48" s="189">
        <f>IFERROR(IF($A$1="Gesamt",AVERAGEIF(Eingabe[Name],Bahnen[[#This Row],[Name]],Eingabe[S4]),IF($A$1="Heim",AVERAGEIFS(Eingabe[S4],Eingabe[Name],Bahnen[[#This Row],[Name]],Eingabe[Wo],"H"),IF($A$1="Auswärts",AVERAGEIFS(Eingabe[S-NR],Eingabe[Name],Bahnen[[#This Row],[Name]],Eingabe[Wo],"A"),""))),"")</f>
        <v>136.16666666666666</v>
      </c>
      <c r="K48" s="189">
        <f>IFERROR(ROUND(Bahnen[[#This Row],[S4]]-Bahnen[[#This Row],[Bahn Schnitt]],1),"")</f>
        <v>3.9</v>
      </c>
      <c r="M48" s="335" t="str">
        <f>Bahnen[[#This Row],[Name]]</f>
        <v>Tim Becker</v>
      </c>
      <c r="N48" s="189">
        <f>IFERROR(ROUND(IF($M$1="Gesamt",AVERAGEIF(Eingabe[Name],Volle[[#This Row],[Name]],Eingabe[Volle]),IF($M$1="Heim",AVERAGEIFS(Eingabe[Volle],Eingabe[Name],Volle[[#This Row],[Name]],Eingabe[Wo],"H"),IF($M$1="Auswärts",AVERAGEIFS(Eingabe[Volle],Eingabe[Name],Volle[[#This Row],[Name]],Eingabe[Wo],"A"),""))),0),"")</f>
        <v>360</v>
      </c>
      <c r="O48" s="189">
        <f>IFERROR(Volle[[#This Row],[Volle Schnitt]]/4,"")</f>
        <v>90</v>
      </c>
      <c r="P48" s="189">
        <f>IFERROR(IF($M$1="Gesamt",AVERAGEIF(Eingabe[Name],Volle[[#This Row],[Name]],Eingabe[V1]),IF($M$1="Heim",AVERAGEIFS(Eingabe[V1],Eingabe[Name],Volle[[#This Row],[Name]],Eingabe[Wo],"H"),IF($M$1="Auswärts",AVERAGEIFS(Eingabe[V1],Eingabe[Name],Volle[[#This Row],[Name]],Eingabe[Wo],"A"),""))),"")</f>
        <v>88</v>
      </c>
      <c r="Q48" s="189">
        <f>IFERROR(ROUND(Volle[[#This Row],[V1]]-Volle[[#This Row],[Volle Bahn Schnitt]],1),"")</f>
        <v>-2</v>
      </c>
      <c r="R48" s="189">
        <f>IFERROR(IF($M$1="Gesamt",AVERAGEIF(Eingabe[Name],Volle[[#This Row],[Name]],Eingabe[V2]),IF($M$1="Heim",AVERAGEIFS(Eingabe[V2],Eingabe[Name],Volle[[#This Row],[Name]],Eingabe[Wo],"H"),IF($M$1="Auswärts",AVERAGEIFS(Eingabe[V2],Eingabe[Name],Volle[[#This Row],[Name]],Eingabe[Wo],"A"),""))),"")</f>
        <v>87.5</v>
      </c>
      <c r="S48" s="189">
        <f>IFERROR(ROUND(Volle[[#This Row],[V2]]-Volle[[#This Row],[Volle Bahn Schnitt]],1),"")</f>
        <v>-2.5</v>
      </c>
      <c r="T48" s="189">
        <f>IFERROR(IF($M$1="Gesamt",AVERAGEIF(Eingabe[Name],Volle[[#This Row],[Name]],Eingabe[V3]),IF($M$1="Heim",AVERAGEIFS(Eingabe[V3],Eingabe[Name],Volle[[#This Row],[Name]],Eingabe[Wo],"H"),IF($M$1="Auswärts",AVERAGEIFS(Eingabe[V3],Eingabe[Name],Volle[[#This Row],[Name]],Eingabe[Wo],"A"),""))),"")</f>
        <v>92.416666666666671</v>
      </c>
      <c r="U48" s="189">
        <f>IFERROR(ROUND(Volle[[#This Row],[V3]]-Volle[[#This Row],[Volle Bahn Schnitt]],1),"")</f>
        <v>2.4</v>
      </c>
      <c r="V48" s="189">
        <f>IFERROR(IF($M$1="Gesamt",AVERAGEIF(Eingabe[Name],Volle[[#This Row],[Name]],Eingabe[V4]),IF($M$1="Heim",AVERAGEIFS(Eingabe[V4],Eingabe[Name],Volle[[#This Row],[Name]],Eingabe[Wo],"H"),IF($M$1="Auswärts",AVERAGEIFS(Eingabe[V4],Eingabe[Name],Volle[[#This Row],[Name]],Eingabe[Wo],"A"),""))),"")</f>
        <v>92.5</v>
      </c>
      <c r="W48" s="340">
        <f>IFERROR(ROUND(Volle[[#This Row],[V4]]-Volle[[#This Row],[Volle Bahn Schnitt]],1),"")</f>
        <v>2.5</v>
      </c>
      <c r="Y48" s="335" t="str">
        <f>Bahnen[[#This Row],[Name]]</f>
        <v>Tim Becker</v>
      </c>
      <c r="Z48" s="189">
        <f>IFERROR(ROUND(IF(Y$1="Gesamt",AVERAGEIF(Eingabe[Name],Räumer[[#This Row],[Name]],Eingabe[Räumer]),IF(Y$1="Heim",AVERAGEIFS(Eingabe[Räumer],Eingabe[Name],Räumer[[#This Row],[Name]],Eingabe[Wo],"H"),IF(Y$1="Auswärts",AVERAGEIFS(Eingabe[Räumer],Eingabe[Name],Räumer[[#This Row],[Name]],Eingabe[Wo],"A"),""))),0),"")</f>
        <v>168</v>
      </c>
      <c r="AA48" s="189">
        <f>IFERROR(Räumer[[#This Row],[Räumer Schnitt]]/4,"")</f>
        <v>42</v>
      </c>
      <c r="AB48" s="189">
        <f>IFERROR(IF(Y$1="Gesamt",AVERAGEIF(Eingabe[Name],Räumer[[#This Row],[Name]],Eingabe[R1]),IF(Y$1="Heim",AVERAGEIFS(Eingabe[R1],Eingabe[Name],Räumer[[#This Row],[Name]],Eingabe[Wo],"H"),IF(Y$1="Auswärts",AVERAGEIFS(Eingabe[R1],Eingabe[Name],Räumer[[#This Row],[Name]],Eingabe[Wo],"A"),""))),"")</f>
        <v>41.25</v>
      </c>
      <c r="AC48" s="189">
        <f>IFERROR(ROUND(Räumer[[#This Row],[R1]]-Räumer[[#This Row],[Räumer Bahn Schnitt]],1),"")</f>
        <v>-0.8</v>
      </c>
      <c r="AD48" s="189">
        <f>IFERROR(IF(Y$1="Gesamt",AVERAGEIF(Eingabe[Name],Räumer[[#This Row],[Name]],Eingabe[R2]),IF(Y$1="Heim",AVERAGEIFS(Eingabe[R2],Eingabe[Name],Räumer[[#This Row],[Name]],Eingabe[Wo],"H"),IF(Y$1="Auswärts",AVERAGEIFS(Eingabe[R2],Eingabe[Name],Räumer[[#This Row],[Name]],Eingabe[Wo],"A"),""))),"")</f>
        <v>42.416666666666664</v>
      </c>
      <c r="AE48" s="189">
        <f>IFERROR(ROUND(Räumer[[#This Row],[R2]]-Räumer[[#This Row],[Räumer Bahn Schnitt]],1),"")</f>
        <v>0.4</v>
      </c>
      <c r="AF48" s="189">
        <f>IFERROR(IF(Y$1="Gesamt",AVERAGEIF(Eingabe[Name],Räumer[[#This Row],[Name]],Eingabe[R3]),IF(Y$1="Heim",AVERAGEIFS(Eingabe[R3],Eingabe[Name],Räumer[[#This Row],[Name]],Eingabe[Wo],"H"),IF(Y$1="Auswärts",AVERAGEIFS(Eingabe[R3],Eingabe[Name],Räumer[[#This Row],[Name]],Eingabe[Wo],"A"),""))),"")</f>
        <v>41</v>
      </c>
      <c r="AG48" s="189">
        <f>IFERROR(ROUND(Räumer[[#This Row],[R3]]-Räumer[[#This Row],[Räumer Bahn Schnitt]],1),"")</f>
        <v>-1</v>
      </c>
      <c r="AH48" s="189">
        <f>IFERROR(IF(Y$1="Gesamt",AVERAGEIF(Eingabe[Name],Räumer[[#This Row],[Name]],Eingabe[R4]),IF(Y$1="Heim",AVERAGEIFS(Eingabe[R4],Eingabe[Name],Räumer[[#This Row],[Name]],Eingabe[Wo],"H"),IF(Y$1="Auswärts",AVERAGEIFS(Eingabe[R4],Eingabe[Name],Räumer[[#This Row],[Name]],Eingabe[Wo],"A"),""))),"")</f>
        <v>43.666666666666664</v>
      </c>
      <c r="AI48" s="189">
        <f>IFERROR(ROUND(Räumer[[#This Row],[R4]]-Räumer[[#This Row],[Räumer Bahn Schnitt]],1),"")</f>
        <v>1.7</v>
      </c>
      <c r="AK48" s="335" t="str">
        <f>Bahnen[[#This Row],[Name]]</f>
        <v>Tim Becker</v>
      </c>
      <c r="AL48" s="189">
        <f>IFERROR(ROUND(IF(AK$1="Gesamt",AVERAGEIF(Eingabe[Name],Fehler[[#This Row],[Name]],Eingabe[Fehler]),IF(AK$1="Heim",AVERAGEIFS(Eingabe[Fehler],Eingabe[Name],Fehler[[#This Row],[Name]],Eingabe[Wo],"H"),IF(AK$1="Auswärts",AVERAGEIFS(Eingabe[Fehler],Eingabe[Name],Fehler[[#This Row],[Name]],Eingabe[Wo],"A"),""))),0),"")</f>
        <v>4</v>
      </c>
      <c r="AM48" s="189">
        <f>IFERROR(Fehler[[#This Row],[Fehler Schnitt]]/4,"")</f>
        <v>1</v>
      </c>
      <c r="AN48" s="189">
        <f>IFERROR(IF(AK$1="Gesamt",AVERAGEIF(Eingabe[Name],Fehler[[#This Row],[Name]],Eingabe[F1]),IF(AK$1="Heim",AVERAGEIFS(Eingabe[F1],Eingabe[Name],Fehler[[#This Row],[Name]],Eingabe[Wo],"H"),IF(AK$1="Auswärts",AVERAGEIFS(Eingabe[F1],Eingabe[Name],Fehler[[#This Row],[Name]],Eingabe[Wo],"A"),""))),"")</f>
        <v>1.3333333333333333</v>
      </c>
      <c r="AO48" s="189">
        <f>IFERROR(ROUND(Fehler[[#This Row],[F1]]-Fehler[[#This Row],[Fehler Bahn Schnitt]],1),"")</f>
        <v>0.3</v>
      </c>
      <c r="AP48" s="189">
        <f>IFERROR(IF(AK$1="Gesamt",AVERAGEIF(Eingabe[Name],Fehler[[#This Row],[Name]],Eingabe[F2]),IF(AK$1="Heim",AVERAGEIFS(Eingabe[F2],Eingabe[Name],Fehler[[#This Row],[Name]],Eingabe[Wo],"H"),IF(AK$1="Auswärts",AVERAGEIFS(Eingabe[F2],Eingabe[Name],Fehler[[#This Row],[Name]],Eingabe[Wo],"A"),""))),"")</f>
        <v>1</v>
      </c>
      <c r="AQ48" s="189">
        <f>IFERROR(ROUND(Fehler[[#This Row],[F2]]-Fehler[[#This Row],[Fehler Bahn Schnitt]],1),"")</f>
        <v>0</v>
      </c>
      <c r="AR48" s="189">
        <f>IFERROR(IF(AK$1="Gesamt",AVERAGEIF(Eingabe[Name],Fehler[[#This Row],[Name]],Eingabe[F3]),IF(AK$1="Heim",AVERAGEIFS(Eingabe[F3],Eingabe[Name],Fehler[[#This Row],[Name]],Eingabe[Wo],"H"),IF(AK$1="Auswärts",AVERAGEIFS(Eingabe[F1],Eingabe[Name],Fehler[[#This Row],[Name]],Eingabe[Wo],"A"),""))),"")</f>
        <v>1.0833333333333333</v>
      </c>
      <c r="AS48" s="189">
        <f>IFERROR(ROUND(Fehler[[#This Row],[F3]]-Fehler[[#This Row],[Fehler Bahn Schnitt]],1),"")</f>
        <v>0.1</v>
      </c>
      <c r="AT48" s="189">
        <f>IFERROR(IF(AK$1="Gesamt",AVERAGEIF(Eingabe[Name],Fehler[[#This Row],[Name]],Eingabe[F4]),IF(AK$1="Heim",AVERAGEIFS(Eingabe[F4],Eingabe[Name],Fehler[[#This Row],[Name]],Eingabe[Wo],"H"),IF(AK$1="Auswärts",AVERAGEIFS(Eingabe[F1],Eingabe[Name],Fehler[[#This Row],[Name]],Eingabe[Wo],"A"),""))),"")</f>
        <v>0.83333333333333337</v>
      </c>
      <c r="AU48" s="189">
        <f>IFERROR(ROUND(Fehler[[#This Row],[F4]]-Fehler[[#This Row],[Fehler Bahn Schnitt]],1),"")</f>
        <v>-0.2</v>
      </c>
    </row>
    <row r="49" spans="1:47" ht="15.6" x14ac:dyDescent="0.3">
      <c r="A49" s="336" t="s">
        <v>12</v>
      </c>
      <c r="B49" s="189">
        <f>IFERROR(ROUND(IF($A$1="Gesamt",AVERAGEIF(Eingabe[Name],Bahnen[[#This Row],[Name]],Eingabe[GES]),IF($A$1="Heim",AVERAGEIFS(Eingabe[GES],Eingabe[Name],Bahnen[[#This Row],[Name]],Eingabe[Wo],"H"),IF($A$1="Auswärts",AVERAGEIFS(Eingabe[GES],Eingabe[Name],Bahnen[[#This Row],[Name]],Eingabe[Wo],"A"),""))),0),"")</f>
        <v>532</v>
      </c>
      <c r="C49" s="189">
        <f>IFERROR(Bahnen[[#This Row],[Schnitt]]/4,"")</f>
        <v>133</v>
      </c>
      <c r="D49" s="189">
        <f>IFERROR(IF($A$1="Gesamt",AVERAGEIF(Eingabe[Name],Bahnen[[#This Row],[Name]],Eingabe[S1]),IF($A$1="Heim",AVERAGEIFS(Eingabe[S-NR],Eingabe[Name],Bahnen[[#This Row],[Name]],Eingabe[Wo],"H"),IF($A$1="Auswärts",AVERAGEIFS(Eingabe[S1],Eingabe[Name],Bahnen[[#This Row],[Name]],Eingabe[Wo],"A"),""))),"")</f>
        <v>135</v>
      </c>
      <c r="E49" s="189">
        <f>IFERROR(ROUND(Bahnen[[#This Row],[S1]]-Bahnen[[#This Row],[Bahn Schnitt]],1),"")</f>
        <v>2</v>
      </c>
      <c r="F49" s="189">
        <f>IFERROR(IF($A$1="Gesamt",AVERAGEIF(Eingabe[Name],Bahnen[[#This Row],[Name]],Eingabe[S2]),IF($A$1="Heim",AVERAGEIFS(Eingabe[S2],Eingabe[Name],Bahnen[[#This Row],[Name]],Eingabe[Wo],"H"),IF($A$1="Auswärts",AVERAGEIFS(Eingabe[S2],Eingabe[Name],Bahnen[[#This Row],[Name]],Eingabe[Wo],"A"),""))),"")</f>
        <v>128.63636363636363</v>
      </c>
      <c r="G49" s="189">
        <f>IFERROR(ROUND(Bahnen[[#This Row],[S2]]-Bahnen[[#This Row],[Bahn Schnitt]],1),"")</f>
        <v>-4.4000000000000004</v>
      </c>
      <c r="H49" s="189">
        <f>IFERROR(IF($A$1="Gesamt",AVERAGEIF(Eingabe[Name],Bahnen[[#This Row],[Name]],Eingabe[S3]),IF($A$1="Heim",AVERAGEIFS(Eingabe[S3],Eingabe[Name],Bahnen[[#This Row],[Name]],Eingabe[Wo],"H"),IF($A$1="Auswärts",AVERAGEIFS(Eingabe[S-NR],Eingabe[Name],Bahnen[[#This Row],[Name]],Eingabe[Wo],"A"),""))),"")</f>
        <v>131.27272727272728</v>
      </c>
      <c r="I49" s="189">
        <f>IFERROR(ROUND(Bahnen[[#This Row],[S3]]-Bahnen[[#This Row],[Bahn Schnitt]],1),"")</f>
        <v>-1.7</v>
      </c>
      <c r="J49" s="189">
        <f>IFERROR(IF($A$1="Gesamt",AVERAGEIF(Eingabe[Name],Bahnen[[#This Row],[Name]],Eingabe[S4]),IF($A$1="Heim",AVERAGEIFS(Eingabe[S4],Eingabe[Name],Bahnen[[#This Row],[Name]],Eingabe[Wo],"H"),IF($A$1="Auswärts",AVERAGEIFS(Eingabe[S-NR],Eingabe[Name],Bahnen[[#This Row],[Name]],Eingabe[Wo],"A"),""))),"")</f>
        <v>134.54545454545453</v>
      </c>
      <c r="K49" s="189">
        <f>IFERROR(ROUND(Bahnen[[#This Row],[S4]]-Bahnen[[#This Row],[Bahn Schnitt]],1),"")</f>
        <v>1.5</v>
      </c>
      <c r="M49" s="336" t="str">
        <f>Bahnen[[#This Row],[Name]]</f>
        <v>Tim Beger</v>
      </c>
      <c r="N49" s="333">
        <f>IFERROR(ROUND(IF($M$1="Gesamt",AVERAGEIF(Eingabe[Name],Volle[[#This Row],[Name]],Eingabe[Volle]),IF($M$1="Heim",AVERAGEIFS(Eingabe[Volle],Eingabe[Name],Volle[[#This Row],[Name]],Eingabe[Wo],"H"),IF($M$1="Auswärts",AVERAGEIFS(Eingabe[Volle],Eingabe[Name],Volle[[#This Row],[Name]],Eingabe[Wo],"A"),""))),0),"")</f>
        <v>362</v>
      </c>
      <c r="O49" s="189">
        <f>IFERROR(Volle[[#This Row],[Volle Schnitt]]/4,"")</f>
        <v>90.5</v>
      </c>
      <c r="P49" s="333">
        <f>IFERROR(IF($M$1="Gesamt",AVERAGEIF(Eingabe[Name],Volle[[#This Row],[Name]],Eingabe[V1]),IF($M$1="Heim",AVERAGEIFS(Eingabe[V1],Eingabe[Name],Volle[[#This Row],[Name]],Eingabe[Wo],"H"),IF($M$1="Auswärts",AVERAGEIFS(Eingabe[V1],Eingabe[Name],Volle[[#This Row],[Name]],Eingabe[Wo],"A"),""))),"")</f>
        <v>90.454545454545453</v>
      </c>
      <c r="Q49" s="189">
        <f>IFERROR(ROUND(Volle[[#This Row],[V1]]-Volle[[#This Row],[Volle Bahn Schnitt]],1),"")</f>
        <v>0</v>
      </c>
      <c r="R49" s="333">
        <f>IFERROR(IF($M$1="Gesamt",AVERAGEIF(Eingabe[Name],Volle[[#This Row],[Name]],Eingabe[V2]),IF($M$1="Heim",AVERAGEIFS(Eingabe[V2],Eingabe[Name],Volle[[#This Row],[Name]],Eingabe[Wo],"H"),IF($M$1="Auswärts",AVERAGEIFS(Eingabe[V2],Eingabe[Name],Volle[[#This Row],[Name]],Eingabe[Wo],"A"),""))),"")</f>
        <v>89.727272727272734</v>
      </c>
      <c r="S49" s="189">
        <f>IFERROR(ROUND(Volle[[#This Row],[V2]]-Volle[[#This Row],[Volle Bahn Schnitt]],1),"")</f>
        <v>-0.8</v>
      </c>
      <c r="T49" s="333">
        <f>IFERROR(IF($M$1="Gesamt",AVERAGEIF(Eingabe[Name],Volle[[#This Row],[Name]],Eingabe[V3]),IF($M$1="Heim",AVERAGEIFS(Eingabe[V3],Eingabe[Name],Volle[[#This Row],[Name]],Eingabe[Wo],"H"),IF($M$1="Auswärts",AVERAGEIFS(Eingabe[V3],Eingabe[Name],Volle[[#This Row],[Name]],Eingabe[Wo],"A"),""))),"")</f>
        <v>92</v>
      </c>
      <c r="U49" s="189">
        <f>IFERROR(ROUND(Volle[[#This Row],[V3]]-Volle[[#This Row],[Volle Bahn Schnitt]],1),"")</f>
        <v>1.5</v>
      </c>
      <c r="V49" s="333">
        <f>IFERROR(IF($M$1="Gesamt",AVERAGEIF(Eingabe[Name],Volle[[#This Row],[Name]],Eingabe[V4]),IF($M$1="Heim",AVERAGEIFS(Eingabe[V4],Eingabe[Name],Volle[[#This Row],[Name]],Eingabe[Wo],"H"),IF($M$1="Auswärts",AVERAGEIFS(Eingabe[V4],Eingabe[Name],Volle[[#This Row],[Name]],Eingabe[Wo],"A"),""))),"")</f>
        <v>88.545454545454547</v>
      </c>
      <c r="W49" s="341">
        <f>IFERROR(ROUND(Volle[[#This Row],[V4]]-Volle[[#This Row],[Volle Bahn Schnitt]],1),"")</f>
        <v>-2</v>
      </c>
      <c r="Y49" s="336" t="str">
        <f>Bahnen[[#This Row],[Name]]</f>
        <v>Tim Beger</v>
      </c>
      <c r="Z49" s="189">
        <f>IFERROR(ROUND(IF(Y$1="Gesamt",AVERAGEIF(Eingabe[Name],Räumer[[#This Row],[Name]],Eingabe[Räumer]),IF(Y$1="Heim",AVERAGEIFS(Eingabe[Räumer],Eingabe[Name],Räumer[[#This Row],[Name]],Eingabe[Wo],"H"),IF(Y$1="Auswärts",AVERAGEIFS(Eingabe[Räumer],Eingabe[Name],Räumer[[#This Row],[Name]],Eingabe[Wo],"A"),""))),0),"")</f>
        <v>171</v>
      </c>
      <c r="AA49" s="189">
        <f>IFERROR(Räumer[[#This Row],[Räumer Schnitt]]/4,"")</f>
        <v>42.75</v>
      </c>
      <c r="AB49" s="189">
        <f>IFERROR(IF(Y$1="Gesamt",AVERAGEIF(Eingabe[Name],Räumer[[#This Row],[Name]],Eingabe[R1]),IF(Y$1="Heim",AVERAGEIFS(Eingabe[R1],Eingabe[Name],Räumer[[#This Row],[Name]],Eingabe[Wo],"H"),IF(Y$1="Auswärts",AVERAGEIFS(Eingabe[R1],Eingabe[Name],Räumer[[#This Row],[Name]],Eingabe[Wo],"A"),""))),"")</f>
        <v>44.545454545454547</v>
      </c>
      <c r="AC49" s="189">
        <f>IFERROR(ROUND(Räumer[[#This Row],[R1]]-Räumer[[#This Row],[Räumer Bahn Schnitt]],1),"")</f>
        <v>1.8</v>
      </c>
      <c r="AD49" s="189">
        <f>IFERROR(IF(Y$1="Gesamt",AVERAGEIF(Eingabe[Name],Räumer[[#This Row],[Name]],Eingabe[R2]),IF(Y$1="Heim",AVERAGEIFS(Eingabe[R2],Eingabe[Name],Räumer[[#This Row],[Name]],Eingabe[Wo],"H"),IF(Y$1="Auswärts",AVERAGEIFS(Eingabe[R2],Eingabe[Name],Räumer[[#This Row],[Name]],Eingabe[Wo],"A"),""))),"")</f>
        <v>38.909090909090907</v>
      </c>
      <c r="AE49" s="189">
        <f>IFERROR(ROUND(Räumer[[#This Row],[R2]]-Räumer[[#This Row],[Räumer Bahn Schnitt]],1),"")</f>
        <v>-3.8</v>
      </c>
      <c r="AF49" s="189">
        <f>IFERROR(IF(Y$1="Gesamt",AVERAGEIF(Eingabe[Name],Räumer[[#This Row],[Name]],Eingabe[R3]),IF(Y$1="Heim",AVERAGEIFS(Eingabe[R3],Eingabe[Name],Räumer[[#This Row],[Name]],Eingabe[Wo],"H"),IF(Y$1="Auswärts",AVERAGEIFS(Eingabe[R3],Eingabe[Name],Räumer[[#This Row],[Name]],Eingabe[Wo],"A"),""))),"")</f>
        <v>39.272727272727273</v>
      </c>
      <c r="AG49" s="189">
        <f>IFERROR(ROUND(Räumer[[#This Row],[R3]]-Räumer[[#This Row],[Räumer Bahn Schnitt]],1),"")</f>
        <v>-3.5</v>
      </c>
      <c r="AH49" s="189">
        <f>IFERROR(IF(Y$1="Gesamt",AVERAGEIF(Eingabe[Name],Räumer[[#This Row],[Name]],Eingabe[R4]),IF(Y$1="Heim",AVERAGEIFS(Eingabe[R4],Eingabe[Name],Räumer[[#This Row],[Name]],Eingabe[Wo],"H"),IF(Y$1="Auswärts",AVERAGEIFS(Eingabe[R4],Eingabe[Name],Räumer[[#This Row],[Name]],Eingabe[Wo],"A"),""))),"")</f>
        <v>46</v>
      </c>
      <c r="AI49" s="189">
        <f>IFERROR(ROUND(Räumer[[#This Row],[R4]]-Räumer[[#This Row],[Räumer Bahn Schnitt]],1),"")</f>
        <v>3.3</v>
      </c>
      <c r="AK49" s="336" t="str">
        <f>Bahnen[[#This Row],[Name]]</f>
        <v>Tim Beger</v>
      </c>
      <c r="AL49" s="189">
        <f>IFERROR(ROUND(IF(AK$1="Gesamt",AVERAGEIF(Eingabe[Name],Fehler[[#This Row],[Name]],Eingabe[Fehler]),IF(AK$1="Heim",AVERAGEIFS(Eingabe[Fehler],Eingabe[Name],Fehler[[#This Row],[Name]],Eingabe[Wo],"H"),IF(AK$1="Auswärts",AVERAGEIFS(Eingabe[Fehler],Eingabe[Name],Fehler[[#This Row],[Name]],Eingabe[Wo],"A"),""))),0),"")</f>
        <v>8</v>
      </c>
      <c r="AM49" s="189">
        <f>IFERROR(Fehler[[#This Row],[Fehler Schnitt]]/4,"")</f>
        <v>2</v>
      </c>
      <c r="AN49" s="189">
        <f>IFERROR(IF(AK$1="Gesamt",AVERAGEIF(Eingabe[Name],Fehler[[#This Row],[Name]],Eingabe[F1]),IF(AK$1="Heim",AVERAGEIFS(Eingabe[F1],Eingabe[Name],Fehler[[#This Row],[Name]],Eingabe[Wo],"H"),IF(AK$1="Auswärts",AVERAGEIFS(Eingabe[F1],Eingabe[Name],Fehler[[#This Row],[Name]],Eingabe[Wo],"A"),""))),"")</f>
        <v>1.3636363636363635</v>
      </c>
      <c r="AO49" s="189">
        <f>IFERROR(ROUND(Fehler[[#This Row],[F1]]-Fehler[[#This Row],[Fehler Bahn Schnitt]],1),"")</f>
        <v>-0.6</v>
      </c>
      <c r="AP49" s="189">
        <f>IFERROR(IF(AK$1="Gesamt",AVERAGEIF(Eingabe[Name],Fehler[[#This Row],[Name]],Eingabe[F2]),IF(AK$1="Heim",AVERAGEIFS(Eingabe[F2],Eingabe[Name],Fehler[[#This Row],[Name]],Eingabe[Wo],"H"),IF(AK$1="Auswärts",AVERAGEIFS(Eingabe[F2],Eingabe[Name],Fehler[[#This Row],[Name]],Eingabe[Wo],"A"),""))),"")</f>
        <v>2.0909090909090908</v>
      </c>
      <c r="AQ49" s="189">
        <f>IFERROR(ROUND(Fehler[[#This Row],[F2]]-Fehler[[#This Row],[Fehler Bahn Schnitt]],1),"")</f>
        <v>0.1</v>
      </c>
      <c r="AR49" s="189">
        <f>IFERROR(IF(AK$1="Gesamt",AVERAGEIF(Eingabe[Name],Fehler[[#This Row],[Name]],Eingabe[F3]),IF(AK$1="Heim",AVERAGEIFS(Eingabe[F3],Eingabe[Name],Fehler[[#This Row],[Name]],Eingabe[Wo],"H"),IF(AK$1="Auswärts",AVERAGEIFS(Eingabe[F1],Eingabe[Name],Fehler[[#This Row],[Name]],Eingabe[Wo],"A"),""))),"")</f>
        <v>2.5454545454545454</v>
      </c>
      <c r="AS49" s="189">
        <f>IFERROR(ROUND(Fehler[[#This Row],[F3]]-Fehler[[#This Row],[Fehler Bahn Schnitt]],1),"")</f>
        <v>0.5</v>
      </c>
      <c r="AT49" s="189">
        <f>IFERROR(IF(AK$1="Gesamt",AVERAGEIF(Eingabe[Name],Fehler[[#This Row],[Name]],Eingabe[F4]),IF(AK$1="Heim",AVERAGEIFS(Eingabe[F4],Eingabe[Name],Fehler[[#This Row],[Name]],Eingabe[Wo],"H"),IF(AK$1="Auswärts",AVERAGEIFS(Eingabe[F1],Eingabe[Name],Fehler[[#This Row],[Name]],Eingabe[Wo],"A"),""))),"")</f>
        <v>2.1818181818181817</v>
      </c>
      <c r="AU49" s="189">
        <f>IFERROR(ROUND(Fehler[[#This Row],[F4]]-Fehler[[#This Row],[Fehler Bahn Schnitt]],1),"")</f>
        <v>0.2</v>
      </c>
    </row>
    <row r="50" spans="1:47" ht="15.6" x14ac:dyDescent="0.3">
      <c r="A50" s="335" t="s">
        <v>488</v>
      </c>
      <c r="B50" s="189">
        <f>IFERROR(ROUND(IF($A$1="Gesamt",AVERAGEIF(Eingabe[Name],Bahnen[[#This Row],[Name]],Eingabe[GES]),IF($A$1="Heim",AVERAGEIFS(Eingabe[GES],Eingabe[Name],Bahnen[[#This Row],[Name]],Eingabe[Wo],"H"),IF($A$1="Auswärts",AVERAGEIFS(Eingabe[GES],Eingabe[Name],Bahnen[[#This Row],[Name]],Eingabe[Wo],"A"),""))),0),"")</f>
        <v>499</v>
      </c>
      <c r="C50" s="189">
        <f>IFERROR(Bahnen[[#This Row],[Schnitt]]/4,"")</f>
        <v>124.75</v>
      </c>
      <c r="D50" s="189">
        <f>IFERROR(IF($A$1="Gesamt",AVERAGEIF(Eingabe[Name],Bahnen[[#This Row],[Name]],Eingabe[S1]),IF($A$1="Heim",AVERAGEIFS(Eingabe[S-NR],Eingabe[Name],Bahnen[[#This Row],[Name]],Eingabe[Wo],"H"),IF($A$1="Auswärts",AVERAGEIFS(Eingabe[S1],Eingabe[Name],Bahnen[[#This Row],[Name]],Eingabe[Wo],"A"),""))),"")</f>
        <v>122</v>
      </c>
      <c r="E50" s="189">
        <f>IFERROR(ROUND(Bahnen[[#This Row],[S1]]-Bahnen[[#This Row],[Bahn Schnitt]],1),"")</f>
        <v>-2.8</v>
      </c>
      <c r="F50" s="189">
        <f>IFERROR(IF($A$1="Gesamt",AVERAGEIF(Eingabe[Name],Bahnen[[#This Row],[Name]],Eingabe[S2]),IF($A$1="Heim",AVERAGEIFS(Eingabe[S2],Eingabe[Name],Bahnen[[#This Row],[Name]],Eingabe[Wo],"H"),IF($A$1="Auswärts",AVERAGEIFS(Eingabe[S2],Eingabe[Name],Bahnen[[#This Row],[Name]],Eingabe[Wo],"A"),""))),"")</f>
        <v>126</v>
      </c>
      <c r="G50" s="189">
        <f>IFERROR(ROUND(Bahnen[[#This Row],[S2]]-Bahnen[[#This Row],[Bahn Schnitt]],1),"")</f>
        <v>1.3</v>
      </c>
      <c r="H50" s="189">
        <f>IFERROR(IF($A$1="Gesamt",AVERAGEIF(Eingabe[Name],Bahnen[[#This Row],[Name]],Eingabe[S3]),IF($A$1="Heim",AVERAGEIFS(Eingabe[S3],Eingabe[Name],Bahnen[[#This Row],[Name]],Eingabe[Wo],"H"),IF($A$1="Auswärts",AVERAGEIFS(Eingabe[S-NR],Eingabe[Name],Bahnen[[#This Row],[Name]],Eingabe[Wo],"A"),""))),"")</f>
        <v>128.33333333333334</v>
      </c>
      <c r="I50" s="189">
        <f>IFERROR(ROUND(Bahnen[[#This Row],[S3]]-Bahnen[[#This Row],[Bahn Schnitt]],1),"")</f>
        <v>3.6</v>
      </c>
      <c r="J50" s="189">
        <f>IFERROR(IF($A$1="Gesamt",AVERAGEIF(Eingabe[Name],Bahnen[[#This Row],[Name]],Eingabe[S4]),IF($A$1="Heim",AVERAGEIFS(Eingabe[S4],Eingabe[Name],Bahnen[[#This Row],[Name]],Eingabe[Wo],"H"),IF($A$1="Auswärts",AVERAGEIFS(Eingabe[S-NR],Eingabe[Name],Bahnen[[#This Row],[Name]],Eingabe[Wo],"A"),""))),"")</f>
        <v>123</v>
      </c>
      <c r="K50" s="189">
        <f>IFERROR(ROUND(Bahnen[[#This Row],[S4]]-Bahnen[[#This Row],[Bahn Schnitt]],1),"")</f>
        <v>-1.8</v>
      </c>
      <c r="M50" s="336" t="str">
        <f>Bahnen[[#This Row],[Name]]</f>
        <v>Ulli Baumgarten</v>
      </c>
      <c r="N50" s="333">
        <f>IFERROR(ROUND(IF($M$1="Gesamt",AVERAGEIF(Eingabe[Name],Volle[[#This Row],[Name]],Eingabe[Volle]),IF($M$1="Heim",AVERAGEIFS(Eingabe[Volle],Eingabe[Name],Volle[[#This Row],[Name]],Eingabe[Wo],"H"),IF($M$1="Auswärts",AVERAGEIFS(Eingabe[Volle],Eingabe[Name],Volle[[#This Row],[Name]],Eingabe[Wo],"A"),""))),0),"")</f>
        <v>361</v>
      </c>
      <c r="O50" s="333">
        <f>IFERROR(Volle[[#This Row],[Volle Schnitt]]/4,"")</f>
        <v>90.25</v>
      </c>
      <c r="P50" s="333">
        <f>IFERROR(IF($M$1="Gesamt",AVERAGEIF(Eingabe[Name],Volle[[#This Row],[Name]],Eingabe[V1]),IF($M$1="Heim",AVERAGEIFS(Eingabe[V1],Eingabe[Name],Volle[[#This Row],[Name]],Eingabe[Wo],"H"),IF($M$1="Auswärts",AVERAGEIFS(Eingabe[V1],Eingabe[Name],Volle[[#This Row],[Name]],Eingabe[Wo],"A"),""))),"")</f>
        <v>86.666666666666671</v>
      </c>
      <c r="Q50" s="189">
        <f>IFERROR(ROUND(Volle[[#This Row],[V1]]-Volle[[#This Row],[Volle Bahn Schnitt]],1),"")</f>
        <v>-3.6</v>
      </c>
      <c r="R50" s="333">
        <f>IFERROR(IF($M$1="Gesamt",AVERAGEIF(Eingabe[Name],Volle[[#This Row],[Name]],Eingabe[V2]),IF($M$1="Heim",AVERAGEIFS(Eingabe[V2],Eingabe[Name],Volle[[#This Row],[Name]],Eingabe[Wo],"H"),IF($M$1="Auswärts",AVERAGEIFS(Eingabe[V2],Eingabe[Name],Volle[[#This Row],[Name]],Eingabe[Wo],"A"),""))),"")</f>
        <v>88.333333333333329</v>
      </c>
      <c r="S50" s="189">
        <f>IFERROR(ROUND(Volle[[#This Row],[V2]]-Volle[[#This Row],[Volle Bahn Schnitt]],1),"")</f>
        <v>-1.9</v>
      </c>
      <c r="T50" s="333">
        <f>IFERROR(IF($M$1="Gesamt",AVERAGEIF(Eingabe[Name],Volle[[#This Row],[Name]],Eingabe[V3]),IF($M$1="Heim",AVERAGEIFS(Eingabe[V3],Eingabe[Name],Volle[[#This Row],[Name]],Eingabe[Wo],"H"),IF($M$1="Auswärts",AVERAGEIFS(Eingabe[V3],Eingabe[Name],Volle[[#This Row],[Name]],Eingabe[Wo],"A"),""))),"")</f>
        <v>92</v>
      </c>
      <c r="U50" s="189">
        <f>IFERROR(ROUND(Volle[[#This Row],[V3]]-Volle[[#This Row],[Volle Bahn Schnitt]],1),"")</f>
        <v>1.8</v>
      </c>
      <c r="V50" s="333">
        <f>IFERROR(IF($M$1="Gesamt",AVERAGEIF(Eingabe[Name],Volle[[#This Row],[Name]],Eingabe[V4]),IF($M$1="Heim",AVERAGEIFS(Eingabe[V4],Eingabe[Name],Volle[[#This Row],[Name]],Eingabe[Wo],"H"),IF($M$1="Auswärts",AVERAGEIFS(Eingabe[V4],Eingabe[Name],Volle[[#This Row],[Name]],Eingabe[Wo],"A"),""))),"")</f>
        <v>93.666666666666671</v>
      </c>
      <c r="W50" s="341">
        <f>IFERROR(ROUND(Volle[[#This Row],[V4]]-Volle[[#This Row],[Volle Bahn Schnitt]],1),"")</f>
        <v>3.4</v>
      </c>
      <c r="Y50" s="336" t="str">
        <f>Bahnen[[#This Row],[Name]]</f>
        <v>Ulli Baumgarten</v>
      </c>
      <c r="Z50" s="333">
        <f>IFERROR(ROUND(IF(Y$1="Gesamt",AVERAGEIF(Eingabe[Name],Räumer[[#This Row],[Name]],Eingabe[Räumer]),IF(Y$1="Heim",AVERAGEIFS(Eingabe[Räumer],Eingabe[Name],Räumer[[#This Row],[Name]],Eingabe[Wo],"H"),IF(Y$1="Auswärts",AVERAGEIFS(Eingabe[Räumer],Eingabe[Name],Räumer[[#This Row],[Name]],Eingabe[Wo],"A"),""))),0),"")</f>
        <v>139</v>
      </c>
      <c r="AA50" s="333">
        <f>IFERROR(Räumer[[#This Row],[Räumer Schnitt]]/4,"")</f>
        <v>34.75</v>
      </c>
      <c r="AB50" s="333">
        <f>IFERROR(IF(Y$1="Gesamt",AVERAGEIF(Eingabe[Name],Räumer[[#This Row],[Name]],Eingabe[R1]),IF(Y$1="Heim",AVERAGEIFS(Eingabe[R1],Eingabe[Name],Räumer[[#This Row],[Name]],Eingabe[Wo],"H"),IF(Y$1="Auswärts",AVERAGEIFS(Eingabe[R1],Eingabe[Name],Räumer[[#This Row],[Name]],Eingabe[Wo],"A"),""))),"")</f>
        <v>35.333333333333336</v>
      </c>
      <c r="AC50" s="189">
        <f>IFERROR(ROUND(Räumer[[#This Row],[R1]]-Räumer[[#This Row],[Räumer Bahn Schnitt]],1),"")</f>
        <v>0.6</v>
      </c>
      <c r="AD50" s="333">
        <f>IFERROR(IF(Y$1="Gesamt",AVERAGEIF(Eingabe[Name],Räumer[[#This Row],[Name]],Eingabe[R2]),IF(Y$1="Heim",AVERAGEIFS(Eingabe[R2],Eingabe[Name],Räumer[[#This Row],[Name]],Eingabe[Wo],"H"),IF(Y$1="Auswärts",AVERAGEIFS(Eingabe[R2],Eingabe[Name],Räumer[[#This Row],[Name]],Eingabe[Wo],"A"),""))),"")</f>
        <v>37.666666666666664</v>
      </c>
      <c r="AE50" s="189">
        <f>IFERROR(ROUND(Räumer[[#This Row],[R2]]-Räumer[[#This Row],[Räumer Bahn Schnitt]],1),"")</f>
        <v>2.9</v>
      </c>
      <c r="AF50" s="333">
        <f>IFERROR(IF(Y$1="Gesamt",AVERAGEIF(Eingabe[Name],Räumer[[#This Row],[Name]],Eingabe[R3]),IF(Y$1="Heim",AVERAGEIFS(Eingabe[R3],Eingabe[Name],Räumer[[#This Row],[Name]],Eingabe[Wo],"H"),IF(Y$1="Auswärts",AVERAGEIFS(Eingabe[R3],Eingabe[Name],Räumer[[#This Row],[Name]],Eingabe[Wo],"A"),""))),"")</f>
        <v>36.333333333333336</v>
      </c>
      <c r="AG50" s="189">
        <f>IFERROR(ROUND(Räumer[[#This Row],[R3]]-Räumer[[#This Row],[Räumer Bahn Schnitt]],1),"")</f>
        <v>1.6</v>
      </c>
      <c r="AH50" s="333">
        <f>IFERROR(IF(Y$1="Gesamt",AVERAGEIF(Eingabe[Name],Räumer[[#This Row],[Name]],Eingabe[R4]),IF(Y$1="Heim",AVERAGEIFS(Eingabe[R4],Eingabe[Name],Räumer[[#This Row],[Name]],Eingabe[Wo],"H"),IF(Y$1="Auswärts",AVERAGEIFS(Eingabe[R4],Eingabe[Name],Räumer[[#This Row],[Name]],Eingabe[Wo],"A"),""))),"")</f>
        <v>29.333333333333332</v>
      </c>
      <c r="AI50" s="189">
        <f>IFERROR(ROUND(Räumer[[#This Row],[R4]]-Räumer[[#This Row],[Räumer Bahn Schnitt]],1),"")</f>
        <v>-5.4</v>
      </c>
      <c r="AK50" s="336" t="str">
        <f>Bahnen[[#This Row],[Name]]</f>
        <v>Ulli Baumgarten</v>
      </c>
      <c r="AL50" s="333">
        <f>IFERROR(ROUND(IF(AK$1="Gesamt",AVERAGEIF(Eingabe[Name],Fehler[[#This Row],[Name]],Eingabe[Fehler]),IF(AK$1="Heim",AVERAGEIFS(Eingabe[Fehler],Eingabe[Name],Fehler[[#This Row],[Name]],Eingabe[Wo],"H"),IF(AK$1="Auswärts",AVERAGEIFS(Eingabe[Fehler],Eingabe[Name],Fehler[[#This Row],[Name]],Eingabe[Wo],"A"),""))),0),"")</f>
        <v>10</v>
      </c>
      <c r="AM50" s="333">
        <f>IFERROR(Fehler[[#This Row],[Fehler Schnitt]]/4,"")</f>
        <v>2.5</v>
      </c>
      <c r="AN50" s="333">
        <f>IFERROR(IF(AK$1="Gesamt",AVERAGEIF(Eingabe[Name],Fehler[[#This Row],[Name]],Eingabe[F1]),IF(AK$1="Heim",AVERAGEIFS(Eingabe[F1],Eingabe[Name],Fehler[[#This Row],[Name]],Eingabe[Wo],"H"),IF(AK$1="Auswärts",AVERAGEIFS(Eingabe[F1],Eingabe[Name],Fehler[[#This Row],[Name]],Eingabe[Wo],"A"),""))),"")</f>
        <v>3.3333333333333335</v>
      </c>
      <c r="AO50" s="189">
        <f>IFERROR(ROUND(Fehler[[#This Row],[F1]]-Fehler[[#This Row],[Fehler Bahn Schnitt]],1),"")</f>
        <v>0.8</v>
      </c>
      <c r="AP50" s="333">
        <f>IFERROR(IF(AK$1="Gesamt",AVERAGEIF(Eingabe[Name],Fehler[[#This Row],[Name]],Eingabe[F2]),IF(AK$1="Heim",AVERAGEIFS(Eingabe[F2],Eingabe[Name],Fehler[[#This Row],[Name]],Eingabe[Wo],"H"),IF(AK$1="Auswärts",AVERAGEIFS(Eingabe[F2],Eingabe[Name],Fehler[[#This Row],[Name]],Eingabe[Wo],"A"),""))),"")</f>
        <v>2.3333333333333335</v>
      </c>
      <c r="AQ50" s="189">
        <f>IFERROR(ROUND(Fehler[[#This Row],[F2]]-Fehler[[#This Row],[Fehler Bahn Schnitt]],1),"")</f>
        <v>-0.2</v>
      </c>
      <c r="AR50" s="333">
        <f>IFERROR(IF(AK$1="Gesamt",AVERAGEIF(Eingabe[Name],Fehler[[#This Row],[Name]],Eingabe[F3]),IF(AK$1="Heim",AVERAGEIFS(Eingabe[F3],Eingabe[Name],Fehler[[#This Row],[Name]],Eingabe[Wo],"H"),IF(AK$1="Auswärts",AVERAGEIFS(Eingabe[F1],Eingabe[Name],Fehler[[#This Row],[Name]],Eingabe[Wo],"A"),""))),"")</f>
        <v>1.3333333333333333</v>
      </c>
      <c r="AS50" s="189">
        <f>IFERROR(ROUND(Fehler[[#This Row],[F3]]-Fehler[[#This Row],[Fehler Bahn Schnitt]],1),"")</f>
        <v>-1.2</v>
      </c>
      <c r="AT50" s="333">
        <f>IFERROR(IF(AK$1="Gesamt",AVERAGEIF(Eingabe[Name],Fehler[[#This Row],[Name]],Eingabe[F4]),IF(AK$1="Heim",AVERAGEIFS(Eingabe[F4],Eingabe[Name],Fehler[[#This Row],[Name]],Eingabe[Wo],"H"),IF(AK$1="Auswärts",AVERAGEIFS(Eingabe[F1],Eingabe[Name],Fehler[[#This Row],[Name]],Eingabe[Wo],"A"),""))),"")</f>
        <v>3</v>
      </c>
      <c r="AU50" s="189">
        <f>IFERROR(ROUND(Fehler[[#This Row],[F4]]-Fehler[[#This Row],[Fehler Bahn Schnitt]],1),"")</f>
        <v>0.5</v>
      </c>
    </row>
    <row r="51" spans="1:47" ht="15.6" x14ac:dyDescent="0.3">
      <c r="A51" s="336" t="s">
        <v>486</v>
      </c>
      <c r="B51" s="333" t="str">
        <f>IFERROR(ROUND(IF($A$1="Gesamt",AVERAGEIF(Eingabe[Name],Bahnen[[#This Row],[Name]],Eingabe[GES]),IF($A$1="Heim",AVERAGEIFS(Eingabe[GES],Eingabe[Name],Bahnen[[#This Row],[Name]],Eingabe[Wo],"H"),IF($A$1="Auswärts",AVERAGEIFS(Eingabe[GES],Eingabe[Name],Bahnen[[#This Row],[Name]],Eingabe[Wo],"A"),""))),0),"")</f>
        <v/>
      </c>
      <c r="C51" s="333" t="str">
        <f>IFERROR(Bahnen[[#This Row],[Schnitt]]/4,"")</f>
        <v/>
      </c>
      <c r="D51" s="333" t="str">
        <f>IFERROR(IF($A$1="Gesamt",AVERAGEIF(Eingabe[Name],Bahnen[[#This Row],[Name]],Eingabe[S1]),IF($A$1="Heim",AVERAGEIFS(Eingabe[S-NR],Eingabe[Name],Bahnen[[#This Row],[Name]],Eingabe[Wo],"H"),IF($A$1="Auswärts",AVERAGEIFS(Eingabe[S1],Eingabe[Name],Bahnen[[#This Row],[Name]],Eingabe[Wo],"A"),""))),"")</f>
        <v/>
      </c>
      <c r="E51" s="333" t="str">
        <f>IFERROR(ROUND(Bahnen[[#This Row],[S1]]-Bahnen[[#This Row],[Bahn Schnitt]],1),"")</f>
        <v/>
      </c>
      <c r="F51" s="333" t="str">
        <f>IFERROR(IF($A$1="Gesamt",AVERAGEIF(Eingabe[Name],Bahnen[[#This Row],[Name]],Eingabe[S2]),IF($A$1="Heim",AVERAGEIFS(Eingabe[S2],Eingabe[Name],Bahnen[[#This Row],[Name]],Eingabe[Wo],"H"),IF($A$1="Auswärts",AVERAGEIFS(Eingabe[S2],Eingabe[Name],Bahnen[[#This Row],[Name]],Eingabe[Wo],"A"),""))),"")</f>
        <v/>
      </c>
      <c r="G51" s="189" t="str">
        <f>IFERROR(ROUND(Bahnen[[#This Row],[S2]]-Bahnen[[#This Row],[Bahn Schnitt]],1),"")</f>
        <v/>
      </c>
      <c r="H51" s="189" t="str">
        <f>IFERROR(IF($A$1="Gesamt",AVERAGEIF(Eingabe[Name],Bahnen[[#This Row],[Name]],Eingabe[S3]),IF($A$1="Heim",AVERAGEIFS(Eingabe[S3],Eingabe[Name],Bahnen[[#This Row],[Name]],Eingabe[Wo],"H"),IF($A$1="Auswärts",AVERAGEIFS(Eingabe[S-NR],Eingabe[Name],Bahnen[[#This Row],[Name]],Eingabe[Wo],"A"),""))),"")</f>
        <v/>
      </c>
      <c r="I51" s="189" t="str">
        <f>IFERROR(ROUND(Bahnen[[#This Row],[S3]]-Bahnen[[#This Row],[Bahn Schnitt]],1),"")</f>
        <v/>
      </c>
      <c r="J51" s="333" t="str">
        <f>IFERROR(IF($A$1="Gesamt",AVERAGEIF(Eingabe[Name],Bahnen[[#This Row],[Name]],Eingabe[S4]),IF($A$1="Heim",AVERAGEIFS(Eingabe[S4],Eingabe[Name],Bahnen[[#This Row],[Name]],Eingabe[Wo],"H"),IF($A$1="Auswärts",AVERAGEIFS(Eingabe[S-NR],Eingabe[Name],Bahnen[[#This Row],[Name]],Eingabe[Wo],"A"),""))),"")</f>
        <v/>
      </c>
      <c r="K51" s="189" t="str">
        <f>IFERROR(ROUND(Bahnen[[#This Row],[S4]]-Bahnen[[#This Row],[Bahn Schnitt]],1),"")</f>
        <v/>
      </c>
      <c r="M51" s="336" t="str">
        <f>Bahnen[[#This Row],[Name]]</f>
        <v>Zoi Weber</v>
      </c>
      <c r="N51" s="333" t="str">
        <f>IFERROR(ROUND(IF($M$1="Gesamt",AVERAGEIF(Eingabe[Name],Volle[[#This Row],[Name]],Eingabe[Volle]),IF($M$1="Heim",AVERAGEIFS(Eingabe[Volle],Eingabe[Name],Volle[[#This Row],[Name]],Eingabe[Wo],"H"),IF($M$1="Auswärts",AVERAGEIFS(Eingabe[Volle],Eingabe[Name],Volle[[#This Row],[Name]],Eingabe[Wo],"A"),""))),0),"")</f>
        <v/>
      </c>
      <c r="O51" s="333" t="str">
        <f>IFERROR(Volle[[#This Row],[Volle Schnitt]]/4,"")</f>
        <v/>
      </c>
      <c r="P51" s="333" t="str">
        <f>IFERROR(IF($M$1="Gesamt",AVERAGEIF(Eingabe[Name],Volle[[#This Row],[Name]],Eingabe[V1]),IF($M$1="Heim",AVERAGEIFS(Eingabe[V1],Eingabe[Name],Volle[[#This Row],[Name]],Eingabe[Wo],"H"),IF($M$1="Auswärts",AVERAGEIFS(Eingabe[V1],Eingabe[Name],Volle[[#This Row],[Name]],Eingabe[Wo],"A"),""))),"")</f>
        <v/>
      </c>
      <c r="Q51" s="189" t="str">
        <f>IFERROR(ROUND(Volle[[#This Row],[V1]]-Volle[[#This Row],[Volle Bahn Schnitt]],1),"")</f>
        <v/>
      </c>
      <c r="R51" s="333" t="str">
        <f>IFERROR(IF($M$1="Gesamt",AVERAGEIF(Eingabe[Name],Volle[[#This Row],[Name]],Eingabe[V2]),IF($M$1="Heim",AVERAGEIFS(Eingabe[V2],Eingabe[Name],Volle[[#This Row],[Name]],Eingabe[Wo],"H"),IF($M$1="Auswärts",AVERAGEIFS(Eingabe[V2],Eingabe[Name],Volle[[#This Row],[Name]],Eingabe[Wo],"A"),""))),"")</f>
        <v/>
      </c>
      <c r="S51" s="189" t="str">
        <f>IFERROR(ROUND(Volle[[#This Row],[V2]]-Volle[[#This Row],[Volle Bahn Schnitt]],1),"")</f>
        <v/>
      </c>
      <c r="T51" s="333" t="str">
        <f>IFERROR(IF($M$1="Gesamt",AVERAGEIF(Eingabe[Name],Volle[[#This Row],[Name]],Eingabe[V3]),IF($M$1="Heim",AVERAGEIFS(Eingabe[V3],Eingabe[Name],Volle[[#This Row],[Name]],Eingabe[Wo],"H"),IF($M$1="Auswärts",AVERAGEIFS(Eingabe[V3],Eingabe[Name],Volle[[#This Row],[Name]],Eingabe[Wo],"A"),""))),"")</f>
        <v/>
      </c>
      <c r="U51" s="189" t="str">
        <f>IFERROR(ROUND(Volle[[#This Row],[V3]]-Volle[[#This Row],[Volle Bahn Schnitt]],1),"")</f>
        <v/>
      </c>
      <c r="V51" s="333" t="str">
        <f>IFERROR(IF($M$1="Gesamt",AVERAGEIF(Eingabe[Name],Volle[[#This Row],[Name]],Eingabe[V4]),IF($M$1="Heim",AVERAGEIFS(Eingabe[V4],Eingabe[Name],Volle[[#This Row],[Name]],Eingabe[Wo],"H"),IF($M$1="Auswärts",AVERAGEIFS(Eingabe[V4],Eingabe[Name],Volle[[#This Row],[Name]],Eingabe[Wo],"A"),""))),"")</f>
        <v/>
      </c>
      <c r="W51" s="341" t="str">
        <f>IFERROR(ROUND(Volle[[#This Row],[V4]]-Volle[[#This Row],[Volle Bahn Schnitt]],1),"")</f>
        <v/>
      </c>
      <c r="Y51" s="336" t="str">
        <f>Bahnen[[#This Row],[Name]]</f>
        <v>Zoi Weber</v>
      </c>
      <c r="Z51" s="333" t="str">
        <f>IFERROR(ROUND(IF(Y$1="Gesamt",AVERAGEIF(Eingabe[Name],Räumer[[#This Row],[Name]],Eingabe[Räumer]),IF(Y$1="Heim",AVERAGEIFS(Eingabe[Räumer],Eingabe[Name],Räumer[[#This Row],[Name]],Eingabe[Wo],"H"),IF(Y$1="Auswärts",AVERAGEIFS(Eingabe[Räumer],Eingabe[Name],Räumer[[#This Row],[Name]],Eingabe[Wo],"A"),""))),0),"")</f>
        <v/>
      </c>
      <c r="AA51" s="333" t="str">
        <f>IFERROR(Räumer[[#This Row],[Räumer Schnitt]]/4,"")</f>
        <v/>
      </c>
      <c r="AB51" s="333" t="str">
        <f>IFERROR(IF(Y$1="Gesamt",AVERAGEIF(Eingabe[Name],Räumer[[#This Row],[Name]],Eingabe[R1]),IF(Y$1="Heim",AVERAGEIFS(Eingabe[R1],Eingabe[Name],Räumer[[#This Row],[Name]],Eingabe[Wo],"H"),IF(Y$1="Auswärts",AVERAGEIFS(Eingabe[R1],Eingabe[Name],Räumer[[#This Row],[Name]],Eingabe[Wo],"A"),""))),"")</f>
        <v/>
      </c>
      <c r="AC51" s="189" t="str">
        <f>IFERROR(ROUND(Räumer[[#This Row],[R1]]-Räumer[[#This Row],[Räumer Bahn Schnitt]],1),"")</f>
        <v/>
      </c>
      <c r="AD51" s="333" t="str">
        <f>IFERROR(IF(Y$1="Gesamt",AVERAGEIF(Eingabe[Name],Räumer[[#This Row],[Name]],Eingabe[R2]),IF(Y$1="Heim",AVERAGEIFS(Eingabe[R2],Eingabe[Name],Räumer[[#This Row],[Name]],Eingabe[Wo],"H"),IF(Y$1="Auswärts",AVERAGEIFS(Eingabe[R2],Eingabe[Name],Räumer[[#This Row],[Name]],Eingabe[Wo],"A"),""))),"")</f>
        <v/>
      </c>
      <c r="AE51" s="189" t="str">
        <f>IFERROR(ROUND(Räumer[[#This Row],[R2]]-Räumer[[#This Row],[Räumer Bahn Schnitt]],1),"")</f>
        <v/>
      </c>
      <c r="AF51" s="333" t="str">
        <f>IFERROR(IF(Y$1="Gesamt",AVERAGEIF(Eingabe[Name],Räumer[[#This Row],[Name]],Eingabe[R3]),IF(Y$1="Heim",AVERAGEIFS(Eingabe[R3],Eingabe[Name],Räumer[[#This Row],[Name]],Eingabe[Wo],"H"),IF(Y$1="Auswärts",AVERAGEIFS(Eingabe[R3],Eingabe[Name],Räumer[[#This Row],[Name]],Eingabe[Wo],"A"),""))),"")</f>
        <v/>
      </c>
      <c r="AG51" s="189" t="str">
        <f>IFERROR(ROUND(Räumer[[#This Row],[R3]]-Räumer[[#This Row],[Räumer Bahn Schnitt]],1),"")</f>
        <v/>
      </c>
      <c r="AH51" s="333" t="str">
        <f>IFERROR(IF(Y$1="Gesamt",AVERAGEIF(Eingabe[Name],Räumer[[#This Row],[Name]],Eingabe[R4]),IF(Y$1="Heim",AVERAGEIFS(Eingabe[R4],Eingabe[Name],Räumer[[#This Row],[Name]],Eingabe[Wo],"H"),IF(Y$1="Auswärts",AVERAGEIFS(Eingabe[R4],Eingabe[Name],Räumer[[#This Row],[Name]],Eingabe[Wo],"A"),""))),"")</f>
        <v/>
      </c>
      <c r="AI51" s="189" t="str">
        <f>IFERROR(ROUND(Räumer[[#This Row],[R4]]-Räumer[[#This Row],[Räumer Bahn Schnitt]],1),"")</f>
        <v/>
      </c>
      <c r="AK51" s="336" t="str">
        <f>Bahnen[[#This Row],[Name]]</f>
        <v>Zoi Weber</v>
      </c>
      <c r="AL51" s="333" t="str">
        <f>IFERROR(ROUND(IF(AK$1="Gesamt",AVERAGEIF(Eingabe[Name],Fehler[[#This Row],[Name]],Eingabe[Fehler]),IF(AK$1="Heim",AVERAGEIFS(Eingabe[Fehler],Eingabe[Name],Fehler[[#This Row],[Name]],Eingabe[Wo],"H"),IF(AK$1="Auswärts",AVERAGEIFS(Eingabe[Fehler],Eingabe[Name],Fehler[[#This Row],[Name]],Eingabe[Wo],"A"),""))),0),"")</f>
        <v/>
      </c>
      <c r="AM51" s="333" t="str">
        <f>IFERROR(Fehler[[#This Row],[Fehler Schnitt]]/4,"")</f>
        <v/>
      </c>
      <c r="AN51" s="333" t="str">
        <f>IFERROR(IF(AK$1="Gesamt",AVERAGEIF(Eingabe[Name],Fehler[[#This Row],[Name]],Eingabe[F1]),IF(AK$1="Heim",AVERAGEIFS(Eingabe[F1],Eingabe[Name],Fehler[[#This Row],[Name]],Eingabe[Wo],"H"),IF(AK$1="Auswärts",AVERAGEIFS(Eingabe[F1],Eingabe[Name],Fehler[[#This Row],[Name]],Eingabe[Wo],"A"),""))),"")</f>
        <v/>
      </c>
      <c r="AO51" s="189" t="str">
        <f>IFERROR(ROUND(Fehler[[#This Row],[F1]]-Fehler[[#This Row],[Fehler Bahn Schnitt]],1),"")</f>
        <v/>
      </c>
      <c r="AP51" s="333" t="str">
        <f>IFERROR(IF(AK$1="Gesamt",AVERAGEIF(Eingabe[Name],Fehler[[#This Row],[Name]],Eingabe[F2]),IF(AK$1="Heim",AVERAGEIFS(Eingabe[F2],Eingabe[Name],Fehler[[#This Row],[Name]],Eingabe[Wo],"H"),IF(AK$1="Auswärts",AVERAGEIFS(Eingabe[F2],Eingabe[Name],Fehler[[#This Row],[Name]],Eingabe[Wo],"A"),""))),"")</f>
        <v/>
      </c>
      <c r="AQ51" s="189" t="str">
        <f>IFERROR(ROUND(Fehler[[#This Row],[F2]]-Fehler[[#This Row],[Fehler Bahn Schnitt]],1),"")</f>
        <v/>
      </c>
      <c r="AR51" s="333" t="str">
        <f>IFERROR(IF(AK$1="Gesamt",AVERAGEIF(Eingabe[Name],Fehler[[#This Row],[Name]],Eingabe[F3]),IF(AK$1="Heim",AVERAGEIFS(Eingabe[F3],Eingabe[Name],Fehler[[#This Row],[Name]],Eingabe[Wo],"H"),IF(AK$1="Auswärts",AVERAGEIFS(Eingabe[F1],Eingabe[Name],Fehler[[#This Row],[Name]],Eingabe[Wo],"A"),""))),"")</f>
        <v/>
      </c>
      <c r="AS51" s="189" t="str">
        <f>IFERROR(ROUND(Fehler[[#This Row],[F3]]-Fehler[[#This Row],[Fehler Bahn Schnitt]],1),"")</f>
        <v/>
      </c>
      <c r="AT51" s="333" t="str">
        <f>IFERROR(IF(AK$1="Gesamt",AVERAGEIF(Eingabe[Name],Fehler[[#This Row],[Name]],Eingabe[F4]),IF(AK$1="Heim",AVERAGEIFS(Eingabe[F4],Eingabe[Name],Fehler[[#This Row],[Name]],Eingabe[Wo],"H"),IF(AK$1="Auswärts",AVERAGEIFS(Eingabe[F1],Eingabe[Name],Fehler[[#This Row],[Name]],Eingabe[Wo],"A"),""))),"")</f>
        <v/>
      </c>
      <c r="AU51" s="189" t="str">
        <f>IFERROR(ROUND(Fehler[[#This Row],[F4]]-Fehler[[#This Row],[Fehler Bahn Schnitt]],1),"")</f>
        <v/>
      </c>
    </row>
  </sheetData>
  <mergeCells count="4">
    <mergeCell ref="N1:W1"/>
    <mergeCell ref="Z1:AI1"/>
    <mergeCell ref="B1:K1"/>
    <mergeCell ref="AL1:AU1"/>
  </mergeCells>
  <dataValidations count="1">
    <dataValidation type="list" allowBlank="1" showInputMessage="1" showErrorMessage="1" sqref="A1 M1 Y1 AK1" xr:uid="{89FFE9F5-3995-4617-A900-94843D21AD17}">
      <formula1>"Gesamt, Heim, Auswärts"</formula1>
    </dataValidation>
  </dataValidations>
  <pageMargins left="0.7" right="0.7" top="0.78740157499999996" bottom="0.78740157499999996" header="0.3" footer="0.3"/>
  <tableParts count="4">
    <tablePart r:id="rId1"/>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iconSet" priority="2" id="{E6DBCA02-97C6-49FB-A349-29E4FBF914FF}">
            <x14:iconSet iconSet="3Triangles">
              <x14:cfvo type="percent">
                <xm:f>0</xm:f>
              </x14:cfvo>
              <x14:cfvo type="num">
                <xm:f>0</xm:f>
              </x14:cfvo>
              <x14:cfvo type="num" gte="0">
                <xm:f>0</xm:f>
              </x14:cfvo>
            </x14:iconSet>
          </x14:cfRule>
          <xm:sqref>E2:E51 K3:K51 G3:G51 I3:I51</xm:sqref>
        </x14:conditionalFormatting>
        <x14:conditionalFormatting xmlns:xm="http://schemas.microsoft.com/office/excel/2006/main">
          <x14:cfRule type="iconSet" priority="4" id="{77294675-12E4-44A1-9454-15F6D5B55867}">
            <x14:iconSet iconSet="3Triangles">
              <x14:cfvo type="percent">
                <xm:f>0</xm:f>
              </x14:cfvo>
              <x14:cfvo type="num">
                <xm:f>0</xm:f>
              </x14:cfvo>
              <x14:cfvo type="num" gte="0">
                <xm:f>0</xm:f>
              </x14:cfvo>
            </x14:iconSet>
          </x14:cfRule>
          <xm:sqref>W3:W51 U3:U51 S3:S51 Q2:Q1048576</xm:sqref>
        </x14:conditionalFormatting>
        <x14:conditionalFormatting xmlns:xm="http://schemas.microsoft.com/office/excel/2006/main">
          <x14:cfRule type="iconSet" priority="3" id="{CEF9E066-0979-4A93-8898-0948208DFC4E}">
            <x14:iconSet iconSet="3Triangles">
              <x14:cfvo type="percent">
                <xm:f>0</xm:f>
              </x14:cfvo>
              <x14:cfvo type="num">
                <xm:f>0</xm:f>
              </x14:cfvo>
              <x14:cfvo type="num" gte="0">
                <xm:f>0</xm:f>
              </x14:cfvo>
            </x14:iconSet>
          </x14:cfRule>
          <xm:sqref>AI3:AI51 AG3:AG51 AE3:AE51 AC2:AC51</xm:sqref>
        </x14:conditionalFormatting>
        <x14:conditionalFormatting xmlns:xm="http://schemas.microsoft.com/office/excel/2006/main">
          <x14:cfRule type="iconSet" priority="1" id="{6E88285A-B983-43F5-8DE2-70D1BF2FF8AB}">
            <x14:iconSet iconSet="3Triangles">
              <x14:cfvo type="percent">
                <xm:f>0</xm:f>
              </x14:cfvo>
              <x14:cfvo type="num">
                <xm:f>0</xm:f>
              </x14:cfvo>
              <x14:cfvo type="num" gte="0">
                <xm:f>0</xm:f>
              </x14:cfvo>
            </x14:iconSet>
          </x14:cfRule>
          <xm:sqref>AU3:AU51 AS3:AS51 AQ3:AQ51 AO2:AO51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AC872-982E-45D6-AA47-ADE03A8F768D}">
  <dimension ref="B2:Q45"/>
  <sheetViews>
    <sheetView topLeftCell="A22" workbookViewId="0">
      <selection activeCell="Q12" sqref="Q12"/>
    </sheetView>
  </sheetViews>
  <sheetFormatPr baseColWidth="10" defaultRowHeight="15.6" x14ac:dyDescent="0.3"/>
  <cols>
    <col min="1" max="1" width="11.5546875" style="98"/>
    <col min="2" max="2" width="23" style="98" bestFit="1" customWidth="1"/>
    <col min="3" max="3" width="32.88671875" style="98" bestFit="1" customWidth="1"/>
    <col min="4" max="4" width="19.109375" style="98" bestFit="1" customWidth="1"/>
    <col min="5" max="5" width="13.88671875" style="98" bestFit="1" customWidth="1"/>
    <col min="6" max="6" width="12.6640625" style="98" bestFit="1" customWidth="1"/>
    <col min="7" max="7" width="15.44140625" style="98" bestFit="1" customWidth="1"/>
    <col min="8" max="8" width="19.21875" style="98" bestFit="1" customWidth="1"/>
    <col min="9" max="16384" width="11.5546875" style="98"/>
  </cols>
  <sheetData>
    <row r="2" spans="2:5" x14ac:dyDescent="0.3">
      <c r="B2" s="258" t="s">
        <v>4</v>
      </c>
      <c r="C2" s="260" t="s">
        <v>26</v>
      </c>
      <c r="D2" s="260" t="s">
        <v>118</v>
      </c>
      <c r="E2" s="260" t="s">
        <v>119</v>
      </c>
    </row>
    <row r="3" spans="2:5" x14ac:dyDescent="0.3">
      <c r="B3" s="260" t="str" cm="1">
        <f t="array" ref="B3:B9">_xlfn._xlws.FILTER(Teamzuordnung[Name],Teamzuordnung[Team]=B2)</f>
        <v>Andreas Rippin</v>
      </c>
      <c r="C3" s="259">
        <f>7-ROUND(VLOOKUP(B3,AuswertungG[],27),1)</f>
        <v>1.7000000000000002</v>
      </c>
      <c r="D3" s="259">
        <f>7-ROUND(VLOOKUP(B3,AuswertungH[],27),1)</f>
        <v>1.7000000000000002</v>
      </c>
      <c r="E3" s="259">
        <f>7-ROUND(VLOOKUP(B3,AuswertungA[],27),1)</f>
        <v>1.7000000000000002</v>
      </c>
    </row>
    <row r="4" spans="2:5" x14ac:dyDescent="0.3">
      <c r="B4" s="260" t="str">
        <v>Heiko Fuhrmann</v>
      </c>
      <c r="C4" s="259">
        <f>7-ROUND(VLOOKUP(B4,AuswertungG[],27),1)</f>
        <v>3.5</v>
      </c>
      <c r="D4" s="259">
        <f>7-ROUND(VLOOKUP(B4,AuswertungH[],27),1)</f>
        <v>3.4</v>
      </c>
      <c r="E4" s="259">
        <f>7-ROUND(VLOOKUP(B4,AuswertungA[],27),1)</f>
        <v>3.6</v>
      </c>
    </row>
    <row r="5" spans="2:5" x14ac:dyDescent="0.3">
      <c r="B5" s="260" t="str">
        <v>Maik Fuhrmann</v>
      </c>
      <c r="C5" s="259">
        <f>7-ROUND(VLOOKUP(B5,AuswertungG[],27),1)</f>
        <v>4.4000000000000004</v>
      </c>
      <c r="D5" s="259">
        <f>7-ROUND(VLOOKUP(B5,AuswertungH[],27),1)</f>
        <v>3.8</v>
      </c>
      <c r="E5" s="259">
        <f>7-ROUND(VLOOKUP(B5,AuswertungA[],27),1)</f>
        <v>5</v>
      </c>
    </row>
    <row r="6" spans="2:5" x14ac:dyDescent="0.3">
      <c r="B6" s="260" t="str">
        <v>Patrick Hohmann</v>
      </c>
      <c r="C6" s="259">
        <f>7-ROUND(VLOOKUP(B6,AuswertungG[],27),1)</f>
        <v>3.4</v>
      </c>
      <c r="D6" s="259">
        <f>7-ROUND(VLOOKUP(B6,AuswertungH[],27),1)</f>
        <v>3.6</v>
      </c>
      <c r="E6" s="259">
        <f>7-ROUND(VLOOKUP(B6,AuswertungA[],27),1)</f>
        <v>3</v>
      </c>
    </row>
    <row r="7" spans="2:5" x14ac:dyDescent="0.3">
      <c r="B7" s="260" t="str">
        <v>Philipp Paulmann</v>
      </c>
      <c r="C7" s="259">
        <f>7-ROUND(VLOOKUP(B7,AuswertungG[],27),1)</f>
        <v>5</v>
      </c>
      <c r="D7" s="259">
        <f>7-ROUND(VLOOKUP(B7,AuswertungH[],27),1)</f>
        <v>5.4</v>
      </c>
      <c r="E7" s="259">
        <f>7-ROUND(VLOOKUP(B7,AuswertungA[],27),1)</f>
        <v>4.2</v>
      </c>
    </row>
    <row r="8" spans="2:5" x14ac:dyDescent="0.3">
      <c r="B8" s="260" t="str">
        <v>Stefan Teuber</v>
      </c>
      <c r="C8" s="259">
        <f>7-ROUND(VLOOKUP(B8,AuswertungG[],27),1)</f>
        <v>3.2</v>
      </c>
      <c r="D8" s="259">
        <f>7-ROUND(VLOOKUP(B8,AuswertungH[],27),1)</f>
        <v>2.7</v>
      </c>
      <c r="E8" s="259">
        <f>7-ROUND(VLOOKUP(B8,AuswertungA[],27),1)</f>
        <v>4</v>
      </c>
    </row>
    <row r="9" spans="2:5" x14ac:dyDescent="0.3">
      <c r="B9" s="260" t="str">
        <v>Tim Becker</v>
      </c>
      <c r="C9" s="259">
        <f>7-ROUND(VLOOKUP(B9,AuswertungG[],27),1)</f>
        <v>3.3</v>
      </c>
      <c r="D9" s="259">
        <f>7-ROUND(VLOOKUP(B9,AuswertungH[],27),1)</f>
        <v>3.4</v>
      </c>
      <c r="E9" s="259">
        <f>7-ROUND(VLOOKUP(B9,AuswertungA[],27),1)</f>
        <v>3</v>
      </c>
    </row>
    <row r="10" spans="2:5" x14ac:dyDescent="0.3">
      <c r="B10" s="260"/>
      <c r="C10" s="259" t="e">
        <f>7-ROUND(VLOOKUP(B10,AuswertungG[],27),1)</f>
        <v>#N/A</v>
      </c>
      <c r="D10" s="259" t="e">
        <f>7-ROUND(VLOOKUP(B10,AuswertungH[],27),1)</f>
        <v>#N/A</v>
      </c>
      <c r="E10" s="259" t="e">
        <f>7-ROUND(VLOOKUP(B10,AuswertungA[],27),1)</f>
        <v>#N/A</v>
      </c>
    </row>
    <row r="11" spans="2:5" x14ac:dyDescent="0.3">
      <c r="B11" s="260"/>
      <c r="C11" s="259" t="e">
        <f>7-ROUND(VLOOKUP(B11,AuswertungG[],27),1)</f>
        <v>#N/A</v>
      </c>
      <c r="D11" s="259" t="e">
        <f>7-ROUND(VLOOKUP(B11,AuswertungH[],27),1)</f>
        <v>#N/A</v>
      </c>
      <c r="E11" s="259" t="e">
        <f>7-ROUND(VLOOKUP(B11,AuswertungA[],27),1)</f>
        <v>#N/A</v>
      </c>
    </row>
    <row r="12" spans="2:5" x14ac:dyDescent="0.3">
      <c r="B12" s="260"/>
      <c r="C12" s="259" t="e">
        <f>7-ROUND(VLOOKUP(B12,AuswertungG[],27),1)</f>
        <v>#N/A</v>
      </c>
      <c r="D12" s="259" t="e">
        <f>7-ROUND(VLOOKUP(B12,AuswertungH[],27),1)</f>
        <v>#N/A</v>
      </c>
      <c r="E12" s="259" t="e">
        <f>7-ROUND(VLOOKUP(B12,AuswertungA[],27),1)</f>
        <v>#N/A</v>
      </c>
    </row>
    <row r="13" spans="2:5" x14ac:dyDescent="0.3">
      <c r="B13" s="260"/>
      <c r="C13" s="259" t="e">
        <f>7-ROUND(VLOOKUP(B13,AuswertungG[],27),1)</f>
        <v>#N/A</v>
      </c>
      <c r="D13" s="259" t="e">
        <f>7-ROUND(VLOOKUP(B13,AuswertungH[],27),1)</f>
        <v>#N/A</v>
      </c>
      <c r="E13" s="259" t="e">
        <f>7-ROUND(VLOOKUP(B13,AuswertungA[],27),1)</f>
        <v>#N/A</v>
      </c>
    </row>
    <row r="14" spans="2:5" x14ac:dyDescent="0.3">
      <c r="B14" s="260"/>
      <c r="C14" s="259" t="e">
        <f>7-ROUND(VLOOKUP(B14,AuswertungG[],27),1)</f>
        <v>#N/A</v>
      </c>
      <c r="D14" s="259" t="e">
        <f>7-ROUND(VLOOKUP(B14,AuswertungH[],27),1)</f>
        <v>#N/A</v>
      </c>
      <c r="E14" s="259" t="e">
        <f>7-ROUND(VLOOKUP(B14,AuswertungA[],27),1)</f>
        <v>#N/A</v>
      </c>
    </row>
    <row r="15" spans="2:5" x14ac:dyDescent="0.3">
      <c r="B15" s="260"/>
      <c r="C15" s="259" t="e">
        <f>7-ROUND(VLOOKUP(B15,AuswertungG[],27),1)</f>
        <v>#N/A</v>
      </c>
      <c r="D15" s="259" t="e">
        <f>7-ROUND(VLOOKUP(B15,AuswertungH[],27),1)</f>
        <v>#N/A</v>
      </c>
      <c r="E15" s="259" t="e">
        <f>7-ROUND(VLOOKUP(B15,AuswertungA[],27),1)</f>
        <v>#N/A</v>
      </c>
    </row>
    <row r="16" spans="2:5" x14ac:dyDescent="0.3">
      <c r="B16" s="260"/>
      <c r="C16" s="259" t="e">
        <f>7-ROUND(VLOOKUP(B16,AuswertungG[],27),1)</f>
        <v>#N/A</v>
      </c>
      <c r="D16" s="259" t="e">
        <f>7-ROUND(VLOOKUP(B16,AuswertungH[],27),1)</f>
        <v>#N/A</v>
      </c>
      <c r="E16" s="259" t="e">
        <f>7-ROUND(VLOOKUP(B16,AuswertungA[],27),1)</f>
        <v>#N/A</v>
      </c>
    </row>
    <row r="22" spans="2:17" x14ac:dyDescent="0.3">
      <c r="B22" s="98" t="s">
        <v>10</v>
      </c>
    </row>
    <row r="23" spans="2:17" x14ac:dyDescent="0.3">
      <c r="B23" s="98" t="s">
        <v>1</v>
      </c>
      <c r="C23" s="263" t="s">
        <v>447</v>
      </c>
      <c r="D23" s="264" t="str" cm="1">
        <f t="array" ref="D23:N23">TRANSPOSE(_xlfn.UNIQUE((_xlfn._xlws.FILTER(Eingabe[Name],Eingabe[Team]=B22)),FALSE,FALSE))</f>
        <v>Patrick Frenzel</v>
      </c>
      <c r="E23" s="264" t="str">
        <v>Jens Starke</v>
      </c>
      <c r="F23" s="264" t="str">
        <v>Andreas Ehrlich</v>
      </c>
      <c r="G23" s="264">
        <v>0</v>
      </c>
      <c r="H23" s="264" t="str">
        <v>Michael Becker</v>
      </c>
      <c r="I23" s="264" t="str">
        <v>Jörg Nötzel</v>
      </c>
      <c r="J23" s="264" t="str">
        <v>Ulli Baumgarten</v>
      </c>
      <c r="K23" s="264" t="str">
        <v>Peter Weißling</v>
      </c>
      <c r="L23" s="264" t="str">
        <v>Peter Paulmann</v>
      </c>
      <c r="M23" s="264" t="str">
        <v>Florian Jäger</v>
      </c>
      <c r="N23" s="264" t="str">
        <v>Marcel Giese</v>
      </c>
      <c r="O23" s="264"/>
      <c r="P23" s="264"/>
      <c r="Q23" s="264"/>
    </row>
    <row r="24" spans="2:17" x14ac:dyDescent="0.3">
      <c r="B24" s="98" t="str" cm="1">
        <f t="array" ref="B24:B31">_xlfn._xlws.FILTER(Chronologie[ID],Chronologie[Team]=B22)</f>
        <v>D-L-2</v>
      </c>
      <c r="C24" s="263" t="str">
        <f>VLOOKUP(B24,Chronologie[[ID]:[H/A]],6,FALSE)&amp;" ["&amp;VLOOKUP(B24,Chronologie[[ID]:[H/A]],8,FALSE)&amp;"]"</f>
        <v>TSV 1848 Flöha  [H]</v>
      </c>
      <c r="D24" s="265">
        <f>SUMIFS(Eingabe[Rang],Eingabe[ID],$B24,Eingabe[Name],D$23)</f>
        <v>4</v>
      </c>
      <c r="E24" s="265">
        <f>SUMIFS(Eingabe[Rang],Eingabe[ID],$B24,Eingabe[Name],E$23)</f>
        <v>3</v>
      </c>
      <c r="F24" s="265">
        <f>SUMIFS(Eingabe[Rang],Eingabe[ID],$B24,Eingabe[Name],F$23)</f>
        <v>2</v>
      </c>
      <c r="G24" s="265">
        <f>SUMIFS(Eingabe[Rang],Eingabe[ID],$B24,Eingabe[Name],G$23)</f>
        <v>0</v>
      </c>
      <c r="H24" s="265">
        <f>SUMIFS(Eingabe[Rang],Eingabe[ID],$B24,Eingabe[Name],H$23)</f>
        <v>5</v>
      </c>
      <c r="I24" s="265">
        <f>SUMIFS(Eingabe[Rang],Eingabe[ID],$B24,Eingabe[Name],I$23)</f>
        <v>1</v>
      </c>
      <c r="J24" s="265">
        <f>SUMIFS(Eingabe[Rang],Eingabe[ID],$B24,Eingabe[Name],J$23)</f>
        <v>0</v>
      </c>
      <c r="K24" s="265">
        <f>SUMIFS(Eingabe[Rang],Eingabe[ID],$B24,Eingabe[Name],K$23)</f>
        <v>0</v>
      </c>
      <c r="L24" s="265">
        <f>SUMIFS(Eingabe[Rang],Eingabe[ID],$B24,Eingabe[Name],L$23)</f>
        <v>0</v>
      </c>
      <c r="M24" s="265">
        <f>SUMIFS(Eingabe[Rang],Eingabe[ID],$B24,Eingabe[Name],M$23)</f>
        <v>0</v>
      </c>
      <c r="N24" s="265">
        <f>SUMIFS(Eingabe[Rang],Eingabe[ID],$B24,Eingabe[Name],N$23)</f>
        <v>0</v>
      </c>
      <c r="O24" s="265">
        <f>SUMIFS(Eingabe[Rang],Eingabe[ID],$B24,Eingabe[Name],O$23)</f>
        <v>0</v>
      </c>
      <c r="P24" s="265"/>
      <c r="Q24" s="265">
        <f>SUMIFS(Eingabe[Rang],Eingabe[ID],$B24,Eingabe[Name],Q$23)</f>
        <v>0</v>
      </c>
    </row>
    <row r="25" spans="2:17" x14ac:dyDescent="0.3">
      <c r="B25" s="98" t="str">
        <v>D-L-3</v>
      </c>
      <c r="C25" s="263" t="str">
        <f>VLOOKUP(B25,Chronologie[[ID]:[H/A]],6,FALSE)&amp;" ["&amp;VLOOKUP(B25,Chronologie[[ID]:[H/A]],8,FALSE)&amp;"]"</f>
        <v>SV Grün-Weiß Niederwiesa  [A]</v>
      </c>
      <c r="D25" s="265">
        <f>SUMIFS(Eingabe[Rang],Eingabe[ID],$B25,Eingabe[Name],D$23)</f>
        <v>0</v>
      </c>
      <c r="E25" s="265">
        <f>SUMIFS(Eingabe[Rang],Eingabe[ID],$B25,Eingabe[Name],E$23)</f>
        <v>0</v>
      </c>
      <c r="F25" s="265">
        <f>SUMIFS(Eingabe[Rang],Eingabe[ID],$B25,Eingabe[Name],F$23)</f>
        <v>0</v>
      </c>
      <c r="G25" s="265">
        <f>SUMIFS(Eingabe[Rang],Eingabe[ID],$B25,Eingabe[Name],G$23)</f>
        <v>0</v>
      </c>
      <c r="H25" s="265">
        <f>SUMIFS(Eingabe[Rang],Eingabe[ID],$B25,Eingabe[Name],H$23)</f>
        <v>0</v>
      </c>
      <c r="I25" s="265">
        <f>SUMIFS(Eingabe[Rang],Eingabe[ID],$B25,Eingabe[Name],I$23)</f>
        <v>0</v>
      </c>
      <c r="J25" s="265">
        <f>SUMIFS(Eingabe[Rang],Eingabe[ID],$B25,Eingabe[Name],J$23)</f>
        <v>0</v>
      </c>
      <c r="K25" s="265">
        <f>SUMIFS(Eingabe[Rang],Eingabe[ID],$B25,Eingabe[Name],K$23)</f>
        <v>0</v>
      </c>
      <c r="L25" s="265">
        <f>SUMIFS(Eingabe[Rang],Eingabe[ID],$B25,Eingabe[Name],L$23)</f>
        <v>0</v>
      </c>
      <c r="M25" s="265">
        <f>SUMIFS(Eingabe[Rang],Eingabe[ID],$B25,Eingabe[Name],M$23)</f>
        <v>0</v>
      </c>
      <c r="N25" s="265">
        <f>SUMIFS(Eingabe[Rang],Eingabe[ID],$B25,Eingabe[Name],N$23)</f>
        <v>0</v>
      </c>
      <c r="O25" s="265">
        <f>SUMIFS(Eingabe[Rang],Eingabe[ID],$B25,Eingabe[Name],O$23)</f>
        <v>0</v>
      </c>
      <c r="P25" s="265"/>
      <c r="Q25" s="265">
        <f>SUMIFS(Eingabe[Rang],Eingabe[ID],$B25,Eingabe[Name],Q$23)</f>
        <v>0</v>
      </c>
    </row>
    <row r="26" spans="2:17" x14ac:dyDescent="0.3">
      <c r="B26" s="98" t="str">
        <v>D-L-4</v>
      </c>
      <c r="C26" s="263" t="str">
        <f>VLOOKUP(B26,Chronologie[[ID]:[H/A]],6,FALSE)&amp;" ["&amp;VLOOKUP(B26,Chronologie[[ID]:[H/A]],8,FALSE)&amp;"]"</f>
        <v>SV Krummenhennersdorf [A]</v>
      </c>
      <c r="D26" s="265">
        <f>SUMIFS(Eingabe[Rang],Eingabe[ID],$B26,Eingabe[Name],D$23)</f>
        <v>1</v>
      </c>
      <c r="E26" s="265">
        <f>SUMIFS(Eingabe[Rang],Eingabe[ID],$B26,Eingabe[Name],E$23)</f>
        <v>2</v>
      </c>
      <c r="F26" s="265">
        <f>SUMIFS(Eingabe[Rang],Eingabe[ID],$B26,Eingabe[Name],F$23)</f>
        <v>0</v>
      </c>
      <c r="G26" s="265">
        <f>SUMIFS(Eingabe[Rang],Eingabe[ID],$B26,Eingabe[Name],G$23)</f>
        <v>0</v>
      </c>
      <c r="H26" s="265">
        <f>SUMIFS(Eingabe[Rang],Eingabe[ID],$B26,Eingabe[Name],H$23)</f>
        <v>0</v>
      </c>
      <c r="I26" s="265">
        <f>SUMIFS(Eingabe[Rang],Eingabe[ID],$B26,Eingabe[Name],I$23)</f>
        <v>0</v>
      </c>
      <c r="J26" s="265">
        <f>SUMIFS(Eingabe[Rang],Eingabe[ID],$B26,Eingabe[Name],J$23)</f>
        <v>6</v>
      </c>
      <c r="K26" s="265">
        <f>SUMIFS(Eingabe[Rang],Eingabe[ID],$B26,Eingabe[Name],K$23)</f>
        <v>5</v>
      </c>
      <c r="L26" s="265">
        <f>SUMIFS(Eingabe[Rang],Eingabe[ID],$B26,Eingabe[Name],L$23)</f>
        <v>4</v>
      </c>
      <c r="M26" s="265">
        <f>SUMIFS(Eingabe[Rang],Eingabe[ID],$B26,Eingabe[Name],M$23)</f>
        <v>3</v>
      </c>
      <c r="N26" s="265">
        <f>SUMIFS(Eingabe[Rang],Eingabe[ID],$B26,Eingabe[Name],N$23)</f>
        <v>0</v>
      </c>
      <c r="O26" s="265">
        <f>SUMIFS(Eingabe[Rang],Eingabe[ID],$B26,Eingabe[Name],O$23)</f>
        <v>0</v>
      </c>
      <c r="P26" s="265"/>
      <c r="Q26" s="265">
        <f>SUMIFS(Eingabe[Rang],Eingabe[ID],$B26,Eingabe[Name],Q$23)</f>
        <v>0</v>
      </c>
    </row>
    <row r="27" spans="2:17" x14ac:dyDescent="0.3">
      <c r="B27" s="98" t="str">
        <v>D-L-5</v>
      </c>
      <c r="C27" s="263" t="str">
        <f>VLOOKUP(B27,Chronologie[[ID]:[H/A]],6,FALSE)&amp;" ["&amp;VLOOKUP(B27,Chronologie[[ID]:[H/A]],8,FALSE)&amp;"]"</f>
        <v>BKC 52 [H]</v>
      </c>
      <c r="D27" s="265">
        <f>SUMIFS(Eingabe[Rang],Eingabe[ID],$B27,Eingabe[Name],D$23)</f>
        <v>2</v>
      </c>
      <c r="E27" s="265">
        <f>SUMIFS(Eingabe[Rang],Eingabe[ID],$B27,Eingabe[Name],E$23)</f>
        <v>1</v>
      </c>
      <c r="F27" s="265">
        <f>SUMIFS(Eingabe[Rang],Eingabe[ID],$B27,Eingabe[Name],F$23)</f>
        <v>0</v>
      </c>
      <c r="G27" s="265">
        <f>SUMIFS(Eingabe[Rang],Eingabe[ID],$B27,Eingabe[Name],G$23)</f>
        <v>0</v>
      </c>
      <c r="H27" s="265">
        <f>SUMIFS(Eingabe[Rang],Eingabe[ID],$B27,Eingabe[Name],H$23)</f>
        <v>0</v>
      </c>
      <c r="I27" s="265">
        <f>SUMIFS(Eingabe[Rang],Eingabe[ID],$B27,Eingabe[Name],I$23)</f>
        <v>0</v>
      </c>
      <c r="J27" s="265">
        <f>SUMIFS(Eingabe[Rang],Eingabe[ID],$B27,Eingabe[Name],J$23)</f>
        <v>0</v>
      </c>
      <c r="K27" s="265">
        <f>SUMIFS(Eingabe[Rang],Eingabe[ID],$B27,Eingabe[Name],K$23)</f>
        <v>0</v>
      </c>
      <c r="L27" s="265">
        <f>SUMIFS(Eingabe[Rang],Eingabe[ID],$B27,Eingabe[Name],L$23)</f>
        <v>0</v>
      </c>
      <c r="M27" s="265">
        <f>SUMIFS(Eingabe[Rang],Eingabe[ID],$B27,Eingabe[Name],M$23)</f>
        <v>3</v>
      </c>
      <c r="N27" s="265">
        <f>SUMIFS(Eingabe[Rang],Eingabe[ID],$B27,Eingabe[Name],N$23)</f>
        <v>5</v>
      </c>
      <c r="O27" s="265">
        <f>SUMIFS(Eingabe[Rang],Eingabe[ID],$B27,Eingabe[Name],O$23)</f>
        <v>0</v>
      </c>
      <c r="P27" s="265"/>
      <c r="Q27" s="265">
        <f>SUMIFS(Eingabe[Rang],Eingabe[ID],$B27,Eingabe[Name],Q$23)</f>
        <v>0</v>
      </c>
    </row>
    <row r="28" spans="2:17" x14ac:dyDescent="0.3">
      <c r="B28" s="98" t="str">
        <v>D-L-7</v>
      </c>
      <c r="C28" s="263" t="str">
        <f>VLOOKUP(B28,Chronologie[[ID]:[H/A]],6,FALSE)&amp;" ["&amp;VLOOKUP(B28,Chronologie[[ID]:[H/A]],8,FALSE)&amp;"]"</f>
        <v>TSV 1848 Flöha  [A]</v>
      </c>
      <c r="D28" s="265">
        <f>SUMIFS(Eingabe[Rang],Eingabe[ID],$B28,Eingabe[Name],D$23)</f>
        <v>0</v>
      </c>
      <c r="E28" s="265">
        <f>SUMIFS(Eingabe[Rang],Eingabe[ID],$B28,Eingabe[Name],E$23)</f>
        <v>3</v>
      </c>
      <c r="F28" s="265">
        <f>SUMIFS(Eingabe[Rang],Eingabe[ID],$B28,Eingabe[Name],F$23)</f>
        <v>0</v>
      </c>
      <c r="G28" s="265">
        <f>SUMIFS(Eingabe[Rang],Eingabe[ID],$B28,Eingabe[Name],G$23)</f>
        <v>0</v>
      </c>
      <c r="H28" s="265">
        <f>SUMIFS(Eingabe[Rang],Eingabe[ID],$B28,Eingabe[Name],H$23)</f>
        <v>0</v>
      </c>
      <c r="I28" s="265">
        <f>SUMIFS(Eingabe[Rang],Eingabe[ID],$B28,Eingabe[Name],I$23)</f>
        <v>4</v>
      </c>
      <c r="J28" s="265">
        <f>SUMIFS(Eingabe[Rang],Eingabe[ID],$B28,Eingabe[Name],J$23)</f>
        <v>2</v>
      </c>
      <c r="K28" s="265">
        <f>SUMIFS(Eingabe[Rang],Eingabe[ID],$B28,Eingabe[Name],K$23)</f>
        <v>0</v>
      </c>
      <c r="L28" s="265">
        <f>SUMIFS(Eingabe[Rang],Eingabe[ID],$B28,Eingabe[Name],L$23)</f>
        <v>1</v>
      </c>
      <c r="M28" s="265">
        <f>SUMIFS(Eingabe[Rang],Eingabe[ID],$B28,Eingabe[Name],M$23)</f>
        <v>0</v>
      </c>
      <c r="N28" s="265">
        <f>SUMIFS(Eingabe[Rang],Eingabe[ID],$B28,Eingabe[Name],N$23)</f>
        <v>5</v>
      </c>
      <c r="O28" s="265">
        <f>SUMIFS(Eingabe[Rang],Eingabe[ID],$B28,Eingabe[Name],O$23)</f>
        <v>0</v>
      </c>
      <c r="P28" s="265"/>
      <c r="Q28" s="265">
        <f>SUMIFS(Eingabe[Rang],Eingabe[ID],$B28,Eingabe[Name],Q$23)</f>
        <v>0</v>
      </c>
    </row>
    <row r="29" spans="2:17" x14ac:dyDescent="0.3">
      <c r="B29" s="98" t="str">
        <v>D-L-8</v>
      </c>
      <c r="C29" s="263" t="str">
        <f>VLOOKUP(B29,Chronologie[[ID]:[H/A]],6,FALSE)&amp;" ["&amp;VLOOKUP(B29,Chronologie[[ID]:[H/A]],8,FALSE)&amp;"]"</f>
        <v>SV Grün-Weiß Niederwiesa  [H]</v>
      </c>
      <c r="D29" s="265">
        <f>SUMIFS(Eingabe[Rang],Eingabe[ID],$B29,Eingabe[Name],D$23)</f>
        <v>0</v>
      </c>
      <c r="E29" s="265">
        <f>SUMIFS(Eingabe[Rang],Eingabe[ID],$B29,Eingabe[Name],E$23)</f>
        <v>0</v>
      </c>
      <c r="F29" s="265">
        <f>SUMIFS(Eingabe[Rang],Eingabe[ID],$B29,Eingabe[Name],F$23)</f>
        <v>0</v>
      </c>
      <c r="G29" s="265">
        <f>SUMIFS(Eingabe[Rang],Eingabe[ID],$B29,Eingabe[Name],G$23)</f>
        <v>0</v>
      </c>
      <c r="H29" s="265">
        <f>SUMIFS(Eingabe[Rang],Eingabe[ID],$B29,Eingabe[Name],H$23)</f>
        <v>0</v>
      </c>
      <c r="I29" s="265">
        <f>SUMIFS(Eingabe[Rang],Eingabe[ID],$B29,Eingabe[Name],I$23)</f>
        <v>0</v>
      </c>
      <c r="J29" s="265">
        <f>SUMIFS(Eingabe[Rang],Eingabe[ID],$B29,Eingabe[Name],J$23)</f>
        <v>0</v>
      </c>
      <c r="K29" s="265">
        <f>SUMIFS(Eingabe[Rang],Eingabe[ID],$B29,Eingabe[Name],K$23)</f>
        <v>0</v>
      </c>
      <c r="L29" s="265">
        <f>SUMIFS(Eingabe[Rang],Eingabe[ID],$B29,Eingabe[Name],L$23)</f>
        <v>0</v>
      </c>
      <c r="M29" s="265">
        <f>SUMIFS(Eingabe[Rang],Eingabe[ID],$B29,Eingabe[Name],M$23)</f>
        <v>0</v>
      </c>
      <c r="N29" s="265">
        <f>SUMIFS(Eingabe[Rang],Eingabe[ID],$B29,Eingabe[Name],N$23)</f>
        <v>0</v>
      </c>
      <c r="O29" s="265">
        <f>SUMIFS(Eingabe[Rang],Eingabe[ID],$B29,Eingabe[Name],O$23)</f>
        <v>0</v>
      </c>
      <c r="P29" s="265"/>
      <c r="Q29" s="265">
        <f>SUMIFS(Eingabe[Rang],Eingabe[ID],$B29,Eingabe[Name],Q$23)</f>
        <v>0</v>
      </c>
    </row>
    <row r="30" spans="2:17" x14ac:dyDescent="0.3">
      <c r="B30" s="98" t="str">
        <v>D-L-9</v>
      </c>
      <c r="C30" s="263" t="str">
        <f>VLOOKUP(B30,Chronologie[[ID]:[H/A]],6,FALSE)&amp;" ["&amp;VLOOKUP(B30,Chronologie[[ID]:[H/A]],8,FALSE)&amp;"]"</f>
        <v>SV Krummenhennersdorf [H]</v>
      </c>
      <c r="D30" s="265">
        <f>SUMIFS(Eingabe[Rang],Eingabe[ID],$B30,Eingabe[Name],D$23)</f>
        <v>0</v>
      </c>
      <c r="E30" s="265">
        <f>SUMIFS(Eingabe[Rang],Eingabe[ID],$B30,Eingabe[Name],E$23)</f>
        <v>0</v>
      </c>
      <c r="F30" s="265">
        <f>SUMIFS(Eingabe[Rang],Eingabe[ID],$B30,Eingabe[Name],F$23)</f>
        <v>0</v>
      </c>
      <c r="G30" s="265">
        <f>SUMIFS(Eingabe[Rang],Eingabe[ID],$B30,Eingabe[Name],G$23)</f>
        <v>0</v>
      </c>
      <c r="H30" s="265">
        <f>SUMIFS(Eingabe[Rang],Eingabe[ID],$B30,Eingabe[Name],H$23)</f>
        <v>0</v>
      </c>
      <c r="I30" s="265">
        <f>SUMIFS(Eingabe[Rang],Eingabe[ID],$B30,Eingabe[Name],I$23)</f>
        <v>0</v>
      </c>
      <c r="J30" s="265">
        <f>SUMIFS(Eingabe[Rang],Eingabe[ID],$B30,Eingabe[Name],J$23)</f>
        <v>0</v>
      </c>
      <c r="K30" s="265">
        <f>SUMIFS(Eingabe[Rang],Eingabe[ID],$B30,Eingabe[Name],K$23)</f>
        <v>0</v>
      </c>
      <c r="L30" s="265">
        <f>SUMIFS(Eingabe[Rang],Eingabe[ID],$B30,Eingabe[Name],L$23)</f>
        <v>0</v>
      </c>
      <c r="M30" s="265">
        <f>SUMIFS(Eingabe[Rang],Eingabe[ID],$B30,Eingabe[Name],M$23)</f>
        <v>0</v>
      </c>
      <c r="N30" s="265">
        <f>SUMIFS(Eingabe[Rang],Eingabe[ID],$B30,Eingabe[Name],N$23)</f>
        <v>0</v>
      </c>
      <c r="O30" s="265">
        <f>SUMIFS(Eingabe[Rang],Eingabe[ID],$B30,Eingabe[Name],O$23)</f>
        <v>0</v>
      </c>
      <c r="P30" s="265"/>
      <c r="Q30" s="265">
        <f>SUMIFS(Eingabe[Rang],Eingabe[ID],$B30,Eingabe[Name],Q$23)</f>
        <v>0</v>
      </c>
    </row>
    <row r="31" spans="2:17" x14ac:dyDescent="0.3">
      <c r="B31" s="98" t="str">
        <v>D-L-10</v>
      </c>
      <c r="C31" s="263" t="str">
        <f>VLOOKUP(B31,Chronologie[[ID]:[H/A]],6,FALSE)&amp;" ["&amp;VLOOKUP(B31,Chronologie[[ID]:[H/A]],8,FALSE)&amp;"]"</f>
        <v>BKC 52 [A]</v>
      </c>
      <c r="D31" s="265">
        <f>SUMIFS(Eingabe[Rang],Eingabe[ID],$B31,Eingabe[Name],D$23)</f>
        <v>0</v>
      </c>
      <c r="E31" s="265">
        <f>SUMIFS(Eingabe[Rang],Eingabe[ID],$B31,Eingabe[Name],E$23)</f>
        <v>0</v>
      </c>
      <c r="F31" s="265">
        <f>SUMIFS(Eingabe[Rang],Eingabe[ID],$B31,Eingabe[Name],F$23)</f>
        <v>0</v>
      </c>
      <c r="G31" s="265">
        <f>SUMIFS(Eingabe[Rang],Eingabe[ID],$B31,Eingabe[Name],G$23)</f>
        <v>0</v>
      </c>
      <c r="H31" s="265">
        <f>SUMIFS(Eingabe[Rang],Eingabe[ID],$B31,Eingabe[Name],H$23)</f>
        <v>0</v>
      </c>
      <c r="I31" s="265">
        <f>SUMIFS(Eingabe[Rang],Eingabe[ID],$B31,Eingabe[Name],I$23)</f>
        <v>0</v>
      </c>
      <c r="J31" s="265">
        <f>SUMIFS(Eingabe[Rang],Eingabe[ID],$B31,Eingabe[Name],J$23)</f>
        <v>0</v>
      </c>
      <c r="K31" s="265">
        <f>SUMIFS(Eingabe[Rang],Eingabe[ID],$B31,Eingabe[Name],K$23)</f>
        <v>0</v>
      </c>
      <c r="L31" s="265">
        <f>SUMIFS(Eingabe[Rang],Eingabe[ID],$B31,Eingabe[Name],L$23)</f>
        <v>0</v>
      </c>
      <c r="M31" s="265">
        <f>SUMIFS(Eingabe[Rang],Eingabe[ID],$B31,Eingabe[Name],M$23)</f>
        <v>0</v>
      </c>
      <c r="N31" s="265">
        <f>SUMIFS(Eingabe[Rang],Eingabe[ID],$B31,Eingabe[Name],N$23)</f>
        <v>0</v>
      </c>
      <c r="O31" s="265">
        <f>SUMIFS(Eingabe[Rang],Eingabe[ID],$B31,Eingabe[Name],O$23)</f>
        <v>0</v>
      </c>
      <c r="P31" s="265"/>
      <c r="Q31" s="265">
        <f>SUMIFS(Eingabe[Rang],Eingabe[ID],$B31,Eingabe[Name],Q$23)</f>
        <v>0</v>
      </c>
    </row>
    <row r="32" spans="2:17" x14ac:dyDescent="0.3">
      <c r="C32" s="263" t="e">
        <f>VLOOKUP(B32,Chronologie[[ID]:[H/A]],6,FALSE)&amp;" ["&amp;VLOOKUP(B32,Chronologie[[ID]:[H/A]],8,FALSE)&amp;"]"</f>
        <v>#N/A</v>
      </c>
      <c r="D32" s="265">
        <f>SUMIFS(Eingabe[Rang],Eingabe[ID],$B32,Eingabe[Name],D$23)</f>
        <v>0</v>
      </c>
      <c r="E32" s="265">
        <f>SUMIFS(Eingabe[Rang],Eingabe[ID],$B32,Eingabe[Name],E$23)</f>
        <v>0</v>
      </c>
      <c r="F32" s="265">
        <f>SUMIFS(Eingabe[Rang],Eingabe[ID],$B32,Eingabe[Name],F$23)</f>
        <v>0</v>
      </c>
      <c r="G32" s="265">
        <f>SUMIFS(Eingabe[Rang],Eingabe[ID],$B32,Eingabe[Name],G$23)</f>
        <v>0</v>
      </c>
      <c r="H32" s="265">
        <f>SUMIFS(Eingabe[Rang],Eingabe[ID],$B32,Eingabe[Name],H$23)</f>
        <v>0</v>
      </c>
      <c r="I32" s="265">
        <f>SUMIFS(Eingabe[Rang],Eingabe[ID],$B32,Eingabe[Name],I$23)</f>
        <v>0</v>
      </c>
      <c r="J32" s="265">
        <f>SUMIFS(Eingabe[Rang],Eingabe[ID],$B32,Eingabe[Name],J$23)</f>
        <v>0</v>
      </c>
      <c r="K32" s="265">
        <f>SUMIFS(Eingabe[Rang],Eingabe[ID],$B32,Eingabe[Name],K$23)</f>
        <v>0</v>
      </c>
      <c r="L32" s="265">
        <f>SUMIFS(Eingabe[Rang],Eingabe[ID],$B32,Eingabe[Name],L$23)</f>
        <v>0</v>
      </c>
      <c r="M32" s="265">
        <f>SUMIFS(Eingabe[Rang],Eingabe[ID],$B32,Eingabe[Name],M$23)</f>
        <v>0</v>
      </c>
      <c r="N32" s="265">
        <f>SUMIFS(Eingabe[Rang],Eingabe[ID],$B32,Eingabe[Name],N$23)</f>
        <v>0</v>
      </c>
      <c r="O32" s="265">
        <f>SUMIFS(Eingabe[Rang],Eingabe[ID],$B32,Eingabe[Name],O$23)</f>
        <v>0</v>
      </c>
      <c r="P32" s="265"/>
      <c r="Q32" s="265">
        <f>SUMIFS(Eingabe[Rang],Eingabe[ID],$B32,Eingabe[Name],Q$23)</f>
        <v>0</v>
      </c>
    </row>
    <row r="33" spans="3:17" x14ac:dyDescent="0.3">
      <c r="C33" s="263" t="e">
        <f>VLOOKUP(B33,Chronologie[[ID]:[H/A]],6,FALSE)&amp;" ["&amp;VLOOKUP(B33,Chronologie[[ID]:[H/A]],8,FALSE)&amp;"]"</f>
        <v>#N/A</v>
      </c>
      <c r="D33" s="265">
        <f>SUMIFS(Eingabe[Rang],Eingabe[ID],$B33,Eingabe[Name],D$23)</f>
        <v>0</v>
      </c>
      <c r="E33" s="265">
        <f>SUMIFS(Eingabe[Rang],Eingabe[ID],$B33,Eingabe[Name],E$23)</f>
        <v>0</v>
      </c>
      <c r="F33" s="265">
        <f>SUMIFS(Eingabe[Rang],Eingabe[ID],$B33,Eingabe[Name],F$23)</f>
        <v>0</v>
      </c>
      <c r="G33" s="265">
        <f>SUMIFS(Eingabe[Rang],Eingabe[ID],$B33,Eingabe[Name],G$23)</f>
        <v>0</v>
      </c>
      <c r="H33" s="265">
        <f>SUMIFS(Eingabe[Rang],Eingabe[ID],$B33,Eingabe[Name],H$23)</f>
        <v>0</v>
      </c>
      <c r="I33" s="265">
        <f>SUMIFS(Eingabe[Rang],Eingabe[ID],$B33,Eingabe[Name],I$23)</f>
        <v>0</v>
      </c>
      <c r="J33" s="265">
        <f>SUMIFS(Eingabe[Rang],Eingabe[ID],$B33,Eingabe[Name],J$23)</f>
        <v>0</v>
      </c>
      <c r="K33" s="265">
        <f>SUMIFS(Eingabe[Rang],Eingabe[ID],$B33,Eingabe[Name],K$23)</f>
        <v>0</v>
      </c>
      <c r="L33" s="265">
        <f>SUMIFS(Eingabe[Rang],Eingabe[ID],$B33,Eingabe[Name],L$23)</f>
        <v>0</v>
      </c>
      <c r="M33" s="265">
        <f>SUMIFS(Eingabe[Rang],Eingabe[ID],$B33,Eingabe[Name],M$23)</f>
        <v>0</v>
      </c>
      <c r="N33" s="265">
        <f>SUMIFS(Eingabe[Rang],Eingabe[ID],$B33,Eingabe[Name],N$23)</f>
        <v>0</v>
      </c>
      <c r="O33" s="265">
        <f>SUMIFS(Eingabe[Rang],Eingabe[ID],$B33,Eingabe[Name],O$23)</f>
        <v>0</v>
      </c>
      <c r="P33" s="265"/>
      <c r="Q33" s="265">
        <f>SUMIFS(Eingabe[Rang],Eingabe[ID],$B33,Eingabe[Name],Q$23)</f>
        <v>0</v>
      </c>
    </row>
    <row r="34" spans="3:17" x14ac:dyDescent="0.3">
      <c r="C34" s="263" t="e">
        <f>VLOOKUP(B34,Chronologie[[ID]:[H/A]],6,FALSE)&amp;" ["&amp;VLOOKUP(B34,Chronologie[[ID]:[H/A]],8,FALSE)&amp;"]"</f>
        <v>#N/A</v>
      </c>
      <c r="D34" s="265">
        <f>SUMIFS(Eingabe[Rang],Eingabe[ID],$B34,Eingabe[Name],D$23)</f>
        <v>0</v>
      </c>
      <c r="E34" s="265">
        <f>SUMIFS(Eingabe[Rang],Eingabe[ID],$B34,Eingabe[Name],E$23)</f>
        <v>0</v>
      </c>
      <c r="F34" s="265">
        <f>SUMIFS(Eingabe[Rang],Eingabe[ID],$B34,Eingabe[Name],F$23)</f>
        <v>0</v>
      </c>
      <c r="G34" s="265">
        <f>SUMIFS(Eingabe[Rang],Eingabe[ID],$B34,Eingabe[Name],G$23)</f>
        <v>0</v>
      </c>
      <c r="H34" s="265">
        <f>SUMIFS(Eingabe[Rang],Eingabe[ID],$B34,Eingabe[Name],H$23)</f>
        <v>0</v>
      </c>
      <c r="I34" s="265">
        <f>SUMIFS(Eingabe[Rang],Eingabe[ID],$B34,Eingabe[Name],I$23)</f>
        <v>0</v>
      </c>
      <c r="J34" s="265">
        <f>SUMIFS(Eingabe[Rang],Eingabe[ID],$B34,Eingabe[Name],J$23)</f>
        <v>0</v>
      </c>
      <c r="K34" s="265">
        <f>SUMIFS(Eingabe[Rang],Eingabe[ID],$B34,Eingabe[Name],K$23)</f>
        <v>0</v>
      </c>
      <c r="L34" s="265">
        <f>SUMIFS(Eingabe[Rang],Eingabe[ID],$B34,Eingabe[Name],L$23)</f>
        <v>0</v>
      </c>
      <c r="M34" s="265">
        <f>SUMIFS(Eingabe[Rang],Eingabe[ID],$B34,Eingabe[Name],M$23)</f>
        <v>0</v>
      </c>
      <c r="N34" s="265">
        <f>SUMIFS(Eingabe[Rang],Eingabe[ID],$B34,Eingabe[Name],N$23)</f>
        <v>0</v>
      </c>
      <c r="O34" s="265">
        <f>SUMIFS(Eingabe[Rang],Eingabe[ID],$B34,Eingabe[Name],O$23)</f>
        <v>0</v>
      </c>
      <c r="P34" s="265"/>
      <c r="Q34" s="265">
        <f>SUMIFS(Eingabe[Rang],Eingabe[ID],$B34,Eingabe[Name],Q$23)</f>
        <v>0</v>
      </c>
    </row>
    <row r="35" spans="3:17" x14ac:dyDescent="0.3">
      <c r="C35" s="263" t="e">
        <f>VLOOKUP(B35,Chronologie[[ID]:[H/A]],6,FALSE)&amp;" ["&amp;VLOOKUP(B35,Chronologie[[ID]:[H/A]],8,FALSE)&amp;"]"</f>
        <v>#N/A</v>
      </c>
      <c r="D35" s="265">
        <f>SUMIFS(Eingabe[Rang],Eingabe[ID],$B35,Eingabe[Name],D$23)</f>
        <v>0</v>
      </c>
      <c r="E35" s="265">
        <f>SUMIFS(Eingabe[Rang],Eingabe[ID],$B35,Eingabe[Name],E$23)</f>
        <v>0</v>
      </c>
      <c r="F35" s="265">
        <f>SUMIFS(Eingabe[Rang],Eingabe[ID],$B35,Eingabe[Name],F$23)</f>
        <v>0</v>
      </c>
      <c r="G35" s="265">
        <f>SUMIFS(Eingabe[Rang],Eingabe[ID],$B35,Eingabe[Name],G$23)</f>
        <v>0</v>
      </c>
      <c r="H35" s="265">
        <f>SUMIFS(Eingabe[Rang],Eingabe[ID],$B35,Eingabe[Name],H$23)</f>
        <v>0</v>
      </c>
      <c r="I35" s="265">
        <f>SUMIFS(Eingabe[Rang],Eingabe[ID],$B35,Eingabe[Name],I$23)</f>
        <v>0</v>
      </c>
      <c r="J35" s="265">
        <f>SUMIFS(Eingabe[Rang],Eingabe[ID],$B35,Eingabe[Name],J$23)</f>
        <v>0</v>
      </c>
      <c r="K35" s="265">
        <f>SUMIFS(Eingabe[Rang],Eingabe[ID],$B35,Eingabe[Name],K$23)</f>
        <v>0</v>
      </c>
      <c r="L35" s="265">
        <f>SUMIFS(Eingabe[Rang],Eingabe[ID],$B35,Eingabe[Name],L$23)</f>
        <v>0</v>
      </c>
      <c r="M35" s="265">
        <f>SUMIFS(Eingabe[Rang],Eingabe[ID],$B35,Eingabe[Name],M$23)</f>
        <v>0</v>
      </c>
      <c r="N35" s="265">
        <f>SUMIFS(Eingabe[Rang],Eingabe[ID],$B35,Eingabe[Name],N$23)</f>
        <v>0</v>
      </c>
      <c r="O35" s="265">
        <f>SUMIFS(Eingabe[Rang],Eingabe[ID],$B35,Eingabe[Name],O$23)</f>
        <v>0</v>
      </c>
      <c r="P35" s="265"/>
      <c r="Q35" s="265">
        <f>SUMIFS(Eingabe[Rang],Eingabe[ID],$B35,Eingabe[Name],Q$23)</f>
        <v>0</v>
      </c>
    </row>
    <row r="36" spans="3:17" x14ac:dyDescent="0.3">
      <c r="C36" s="263" t="e">
        <f>VLOOKUP(B36,Chronologie[[ID]:[H/A]],6,FALSE)&amp;" ["&amp;VLOOKUP(B36,Chronologie[[ID]:[H/A]],8,FALSE)&amp;"]"</f>
        <v>#N/A</v>
      </c>
      <c r="D36" s="265">
        <f>SUMIFS(Eingabe[Rang],Eingabe[ID],$B36,Eingabe[Name],D$23)</f>
        <v>0</v>
      </c>
      <c r="E36" s="265">
        <f>SUMIFS(Eingabe[Rang],Eingabe[ID],$B36,Eingabe[Name],E$23)</f>
        <v>0</v>
      </c>
      <c r="F36" s="265">
        <f>SUMIFS(Eingabe[Rang],Eingabe[ID],$B36,Eingabe[Name],F$23)</f>
        <v>0</v>
      </c>
      <c r="G36" s="265">
        <f>SUMIFS(Eingabe[Rang],Eingabe[ID],$B36,Eingabe[Name],G$23)</f>
        <v>0</v>
      </c>
      <c r="H36" s="265">
        <f>SUMIFS(Eingabe[Rang],Eingabe[ID],$B36,Eingabe[Name],H$23)</f>
        <v>0</v>
      </c>
      <c r="I36" s="265">
        <f>SUMIFS(Eingabe[Rang],Eingabe[ID],$B36,Eingabe[Name],I$23)</f>
        <v>0</v>
      </c>
      <c r="J36" s="265">
        <f>SUMIFS(Eingabe[Rang],Eingabe[ID],$B36,Eingabe[Name],J$23)</f>
        <v>0</v>
      </c>
      <c r="K36" s="265">
        <f>SUMIFS(Eingabe[Rang],Eingabe[ID],$B36,Eingabe[Name],K$23)</f>
        <v>0</v>
      </c>
      <c r="L36" s="265">
        <f>SUMIFS(Eingabe[Rang],Eingabe[ID],$B36,Eingabe[Name],L$23)</f>
        <v>0</v>
      </c>
      <c r="M36" s="265">
        <f>SUMIFS(Eingabe[Rang],Eingabe[ID],$B36,Eingabe[Name],M$23)</f>
        <v>0</v>
      </c>
      <c r="N36" s="265">
        <f>SUMIFS(Eingabe[Rang],Eingabe[ID],$B36,Eingabe[Name],N$23)</f>
        <v>0</v>
      </c>
      <c r="O36" s="265">
        <f>SUMIFS(Eingabe[Rang],Eingabe[ID],$B36,Eingabe[Name],O$23)</f>
        <v>0</v>
      </c>
      <c r="P36" s="265"/>
      <c r="Q36" s="265">
        <f>SUMIFS(Eingabe[Rang],Eingabe[ID],$B36,Eingabe[Name],Q$23)</f>
        <v>0</v>
      </c>
    </row>
    <row r="37" spans="3:17" x14ac:dyDescent="0.3">
      <c r="C37" s="263" t="e">
        <f>VLOOKUP(B37,Chronologie[[ID]:[H/A]],6,FALSE)&amp;" ["&amp;VLOOKUP(B37,Chronologie[[ID]:[H/A]],8,FALSE)&amp;"]"</f>
        <v>#N/A</v>
      </c>
      <c r="D37" s="265">
        <f>SUMIFS(Eingabe[Rang],Eingabe[ID],$B37,Eingabe[Name],D$23)</f>
        <v>0</v>
      </c>
      <c r="E37" s="265">
        <f>SUMIFS(Eingabe[Rang],Eingabe[ID],$B37,Eingabe[Name],E$23)</f>
        <v>0</v>
      </c>
      <c r="F37" s="265">
        <f>SUMIFS(Eingabe[Rang],Eingabe[ID],$B37,Eingabe[Name],F$23)</f>
        <v>0</v>
      </c>
      <c r="G37" s="265">
        <f>SUMIFS(Eingabe[Rang],Eingabe[ID],$B37,Eingabe[Name],G$23)</f>
        <v>0</v>
      </c>
      <c r="H37" s="265">
        <f>SUMIFS(Eingabe[Rang],Eingabe[ID],$B37,Eingabe[Name],H$23)</f>
        <v>0</v>
      </c>
      <c r="I37" s="265">
        <f>SUMIFS(Eingabe[Rang],Eingabe[ID],$B37,Eingabe[Name],I$23)</f>
        <v>0</v>
      </c>
      <c r="J37" s="265">
        <f>SUMIFS(Eingabe[Rang],Eingabe[ID],$B37,Eingabe[Name],J$23)</f>
        <v>0</v>
      </c>
      <c r="K37" s="265">
        <f>SUMIFS(Eingabe[Rang],Eingabe[ID],$B37,Eingabe[Name],K$23)</f>
        <v>0</v>
      </c>
      <c r="L37" s="265">
        <f>SUMIFS(Eingabe[Rang],Eingabe[ID],$B37,Eingabe[Name],L$23)</f>
        <v>0</v>
      </c>
      <c r="M37" s="265">
        <f>SUMIFS(Eingabe[Rang],Eingabe[ID],$B37,Eingabe[Name],M$23)</f>
        <v>0</v>
      </c>
      <c r="N37" s="265">
        <f>SUMIFS(Eingabe[Rang],Eingabe[ID],$B37,Eingabe[Name],N$23)</f>
        <v>0</v>
      </c>
      <c r="O37" s="265">
        <f>SUMIFS(Eingabe[Rang],Eingabe[ID],$B37,Eingabe[Name],O$23)</f>
        <v>0</v>
      </c>
      <c r="P37" s="265"/>
      <c r="Q37" s="265">
        <f>SUMIFS(Eingabe[Rang],Eingabe[ID],$B37,Eingabe[Name],Q$23)</f>
        <v>0</v>
      </c>
    </row>
    <row r="38" spans="3:17" x14ac:dyDescent="0.3">
      <c r="C38" s="263" t="e">
        <f>VLOOKUP(B38,Chronologie[[ID]:[H/A]],6,FALSE)&amp;" ["&amp;VLOOKUP(B38,Chronologie[[ID]:[H/A]],8,FALSE)&amp;"]"</f>
        <v>#N/A</v>
      </c>
      <c r="D38" s="265">
        <f>SUMIFS(Eingabe[Rang],Eingabe[ID],$B38,Eingabe[Name],D$23)</f>
        <v>0</v>
      </c>
      <c r="E38" s="265">
        <f>SUMIFS(Eingabe[Rang],Eingabe[ID],$B38,Eingabe[Name],E$23)</f>
        <v>0</v>
      </c>
      <c r="F38" s="265">
        <f>SUMIFS(Eingabe[Rang],Eingabe[ID],$B38,Eingabe[Name],F$23)</f>
        <v>0</v>
      </c>
      <c r="G38" s="265">
        <f>SUMIFS(Eingabe[Rang],Eingabe[ID],$B38,Eingabe[Name],G$23)</f>
        <v>0</v>
      </c>
      <c r="H38" s="265">
        <f>SUMIFS(Eingabe[Rang],Eingabe[ID],$B38,Eingabe[Name],H$23)</f>
        <v>0</v>
      </c>
      <c r="I38" s="265">
        <f>SUMIFS(Eingabe[Rang],Eingabe[ID],$B38,Eingabe[Name],I$23)</f>
        <v>0</v>
      </c>
      <c r="J38" s="265">
        <f>SUMIFS(Eingabe[Rang],Eingabe[ID],$B38,Eingabe[Name],J$23)</f>
        <v>0</v>
      </c>
      <c r="K38" s="265">
        <f>SUMIFS(Eingabe[Rang],Eingabe[ID],$B38,Eingabe[Name],K$23)</f>
        <v>0</v>
      </c>
      <c r="L38" s="265">
        <f>SUMIFS(Eingabe[Rang],Eingabe[ID],$B38,Eingabe[Name],L$23)</f>
        <v>0</v>
      </c>
      <c r="M38" s="265">
        <f>SUMIFS(Eingabe[Rang],Eingabe[ID],$B38,Eingabe[Name],M$23)</f>
        <v>0</v>
      </c>
      <c r="N38" s="265">
        <f>SUMIFS(Eingabe[Rang],Eingabe[ID],$B38,Eingabe[Name],N$23)</f>
        <v>0</v>
      </c>
      <c r="O38" s="265">
        <f>SUMIFS(Eingabe[Rang],Eingabe[ID],$B38,Eingabe[Name],O$23)</f>
        <v>0</v>
      </c>
      <c r="P38" s="265"/>
      <c r="Q38" s="265">
        <f>SUMIFS(Eingabe[Rang],Eingabe[ID],$B38,Eingabe[Name],Q$23)</f>
        <v>0</v>
      </c>
    </row>
    <row r="39" spans="3:17" x14ac:dyDescent="0.3">
      <c r="C39" s="263" t="e">
        <f>VLOOKUP(B39,Chronologie[[ID]:[H/A]],6,FALSE)&amp;" ["&amp;VLOOKUP(B39,Chronologie[[ID]:[H/A]],8,FALSE)&amp;"]"</f>
        <v>#N/A</v>
      </c>
      <c r="D39" s="265">
        <f>SUMIFS(Eingabe[Rang],Eingabe[ID],$B39,Eingabe[Name],D$23)</f>
        <v>0</v>
      </c>
      <c r="E39" s="265">
        <f>SUMIFS(Eingabe[Rang],Eingabe[ID],$B39,Eingabe[Name],E$23)</f>
        <v>0</v>
      </c>
      <c r="F39" s="265">
        <f>SUMIFS(Eingabe[Rang],Eingabe[ID],$B39,Eingabe[Name],F$23)</f>
        <v>0</v>
      </c>
      <c r="G39" s="265">
        <f>SUMIFS(Eingabe[Rang],Eingabe[ID],$B39,Eingabe[Name],G$23)</f>
        <v>0</v>
      </c>
      <c r="H39" s="265">
        <f>SUMIFS(Eingabe[Rang],Eingabe[ID],$B39,Eingabe[Name],H$23)</f>
        <v>0</v>
      </c>
      <c r="I39" s="265">
        <f>SUMIFS(Eingabe[Rang],Eingabe[ID],$B39,Eingabe[Name],I$23)</f>
        <v>0</v>
      </c>
      <c r="J39" s="265">
        <f>SUMIFS(Eingabe[Rang],Eingabe[ID],$B39,Eingabe[Name],J$23)</f>
        <v>0</v>
      </c>
      <c r="K39" s="265">
        <f>SUMIFS(Eingabe[Rang],Eingabe[ID],$B39,Eingabe[Name],K$23)</f>
        <v>0</v>
      </c>
      <c r="L39" s="265">
        <f>SUMIFS(Eingabe[Rang],Eingabe[ID],$B39,Eingabe[Name],L$23)</f>
        <v>0</v>
      </c>
      <c r="M39" s="265">
        <f>SUMIFS(Eingabe[Rang],Eingabe[ID],$B39,Eingabe[Name],M$23)</f>
        <v>0</v>
      </c>
      <c r="N39" s="265">
        <f>SUMIFS(Eingabe[Rang],Eingabe[ID],$B39,Eingabe[Name],N$23)</f>
        <v>0</v>
      </c>
      <c r="O39" s="265">
        <f>SUMIFS(Eingabe[Rang],Eingabe[ID],$B39,Eingabe[Name],O$23)</f>
        <v>0</v>
      </c>
    </row>
    <row r="40" spans="3:17" x14ac:dyDescent="0.3">
      <c r="C40" s="263" t="e">
        <f>VLOOKUP(B40,Chronologie[[ID]:[H/A]],6,FALSE)&amp;" ["&amp;VLOOKUP(B40,Chronologie[[ID]:[H/A]],8,FALSE)&amp;"]"</f>
        <v>#N/A</v>
      </c>
      <c r="D40" s="265">
        <f>SUMIFS(Eingabe[Rang],Eingabe[ID],$B40,Eingabe[Name],D$23)</f>
        <v>0</v>
      </c>
      <c r="E40" s="265">
        <f>SUMIFS(Eingabe[Rang],Eingabe[ID],$B40,Eingabe[Name],E$23)</f>
        <v>0</v>
      </c>
      <c r="F40" s="265">
        <f>SUMIFS(Eingabe[Rang],Eingabe[ID],$B40,Eingabe[Name],F$23)</f>
        <v>0</v>
      </c>
      <c r="G40" s="265">
        <f>SUMIFS(Eingabe[Rang],Eingabe[ID],$B40,Eingabe[Name],G$23)</f>
        <v>0</v>
      </c>
      <c r="H40" s="265">
        <f>SUMIFS(Eingabe[Rang],Eingabe[ID],$B40,Eingabe[Name],H$23)</f>
        <v>0</v>
      </c>
      <c r="I40" s="265">
        <f>SUMIFS(Eingabe[Rang],Eingabe[ID],$B40,Eingabe[Name],I$23)</f>
        <v>0</v>
      </c>
      <c r="J40" s="265">
        <f>SUMIFS(Eingabe[Rang],Eingabe[ID],$B40,Eingabe[Name],J$23)</f>
        <v>0</v>
      </c>
      <c r="K40" s="265">
        <f>SUMIFS(Eingabe[Rang],Eingabe[ID],$B40,Eingabe[Name],K$23)</f>
        <v>0</v>
      </c>
      <c r="L40" s="265">
        <f>SUMIFS(Eingabe[Rang],Eingabe[ID],$B40,Eingabe[Name],L$23)</f>
        <v>0</v>
      </c>
      <c r="M40" s="265">
        <f>SUMIFS(Eingabe[Rang],Eingabe[ID],$B40,Eingabe[Name],M$23)</f>
        <v>0</v>
      </c>
      <c r="N40" s="265">
        <f>SUMIFS(Eingabe[Rang],Eingabe[ID],$B40,Eingabe[Name],N$23)</f>
        <v>0</v>
      </c>
      <c r="O40" s="265">
        <f>SUMIFS(Eingabe[Rang],Eingabe[ID],$B40,Eingabe[Name],O$23)</f>
        <v>0</v>
      </c>
    </row>
    <row r="41" spans="3:17" x14ac:dyDescent="0.3">
      <c r="C41" s="263" t="e">
        <f>VLOOKUP(B41,Chronologie[[ID]:[H/A]],6,FALSE)&amp;" ["&amp;VLOOKUP(B41,Chronologie[[ID]:[H/A]],8,FALSE)&amp;"]"</f>
        <v>#N/A</v>
      </c>
      <c r="D41" s="265">
        <f>SUMIFS(Eingabe[Rang],Eingabe[ID],$B41,Eingabe[Name],D$23)</f>
        <v>0</v>
      </c>
      <c r="E41" s="265">
        <f>SUMIFS(Eingabe[Rang],Eingabe[ID],$B41,Eingabe[Name],E$23)</f>
        <v>0</v>
      </c>
      <c r="F41" s="265">
        <f>SUMIFS(Eingabe[Rang],Eingabe[ID],$B41,Eingabe[Name],F$23)</f>
        <v>0</v>
      </c>
      <c r="G41" s="265">
        <f>SUMIFS(Eingabe[Rang],Eingabe[ID],$B41,Eingabe[Name],G$23)</f>
        <v>0</v>
      </c>
      <c r="H41" s="265">
        <f>SUMIFS(Eingabe[Rang],Eingabe[ID],$B41,Eingabe[Name],H$23)</f>
        <v>0</v>
      </c>
      <c r="I41" s="265">
        <f>SUMIFS(Eingabe[Rang],Eingabe[ID],$B41,Eingabe[Name],I$23)</f>
        <v>0</v>
      </c>
      <c r="J41" s="265">
        <f>SUMIFS(Eingabe[Rang],Eingabe[ID],$B41,Eingabe[Name],J$23)</f>
        <v>0</v>
      </c>
      <c r="K41" s="265">
        <f>SUMIFS(Eingabe[Rang],Eingabe[ID],$B41,Eingabe[Name],K$23)</f>
        <v>0</v>
      </c>
      <c r="L41" s="265">
        <f>SUMIFS(Eingabe[Rang],Eingabe[ID],$B41,Eingabe[Name],L$23)</f>
        <v>0</v>
      </c>
      <c r="M41" s="265">
        <f>SUMIFS(Eingabe[Rang],Eingabe[ID],$B41,Eingabe[Name],M$23)</f>
        <v>0</v>
      </c>
      <c r="N41" s="265">
        <f>SUMIFS(Eingabe[Rang],Eingabe[ID],$B41,Eingabe[Name],N$23)</f>
        <v>0</v>
      </c>
      <c r="O41" s="265">
        <f>SUMIFS(Eingabe[Rang],Eingabe[ID],$B41,Eingabe[Name],O$23)</f>
        <v>0</v>
      </c>
    </row>
    <row r="42" spans="3:17" x14ac:dyDescent="0.3">
      <c r="C42" s="263" t="e">
        <f>VLOOKUP(B42,Chronologie[[ID]:[H/A]],6,FALSE)&amp;" ["&amp;VLOOKUP(B42,Chronologie[[ID]:[H/A]],8,FALSE)&amp;"]"</f>
        <v>#N/A</v>
      </c>
      <c r="D42" s="265">
        <f>SUMIFS(Eingabe[Rang],Eingabe[ID],$B42,Eingabe[Name],D$23)</f>
        <v>0</v>
      </c>
      <c r="E42" s="265">
        <f>SUMIFS(Eingabe[Rang],Eingabe[ID],$B42,Eingabe[Name],E$23)</f>
        <v>0</v>
      </c>
      <c r="F42" s="265">
        <f>SUMIFS(Eingabe[Rang],Eingabe[ID],$B42,Eingabe[Name],F$23)</f>
        <v>0</v>
      </c>
      <c r="G42" s="265">
        <f>SUMIFS(Eingabe[Rang],Eingabe[ID],$B42,Eingabe[Name],G$23)</f>
        <v>0</v>
      </c>
      <c r="H42" s="265">
        <f>SUMIFS(Eingabe[Rang],Eingabe[ID],$B42,Eingabe[Name],H$23)</f>
        <v>0</v>
      </c>
      <c r="I42" s="265">
        <f>SUMIFS(Eingabe[Rang],Eingabe[ID],$B42,Eingabe[Name],I$23)</f>
        <v>0</v>
      </c>
      <c r="J42" s="265">
        <f>SUMIFS(Eingabe[Rang],Eingabe[ID],$B42,Eingabe[Name],J$23)</f>
        <v>0</v>
      </c>
      <c r="K42" s="265">
        <f>SUMIFS(Eingabe[Rang],Eingabe[ID],$B42,Eingabe[Name],K$23)</f>
        <v>0</v>
      </c>
      <c r="L42" s="265">
        <f>SUMIFS(Eingabe[Rang],Eingabe[ID],$B42,Eingabe[Name],L$23)</f>
        <v>0</v>
      </c>
      <c r="M42" s="265">
        <f>SUMIFS(Eingabe[Rang],Eingabe[ID],$B42,Eingabe[Name],M$23)</f>
        <v>0</v>
      </c>
      <c r="N42" s="265">
        <f>SUMIFS(Eingabe[Rang],Eingabe[ID],$B42,Eingabe[Name],N$23)</f>
        <v>0</v>
      </c>
      <c r="O42" s="265">
        <f>SUMIFS(Eingabe[Rang],Eingabe[ID],$B42,Eingabe[Name],O$23)</f>
        <v>0</v>
      </c>
    </row>
    <row r="43" spans="3:17" x14ac:dyDescent="0.3">
      <c r="C43" s="263" t="e">
        <f>VLOOKUP(B43,Chronologie[[ID]:[H/A]],6,FALSE)&amp;" ["&amp;VLOOKUP(B43,Chronologie[[ID]:[H/A]],8,FALSE)&amp;"]"</f>
        <v>#N/A</v>
      </c>
      <c r="D43" s="265">
        <f>SUMIFS(Eingabe[Rang],Eingabe[ID],$B43,Eingabe[Name],D$23)</f>
        <v>0</v>
      </c>
      <c r="E43" s="265">
        <f>SUMIFS(Eingabe[Rang],Eingabe[ID],$B43,Eingabe[Name],E$23)</f>
        <v>0</v>
      </c>
      <c r="F43" s="265">
        <f>SUMIFS(Eingabe[Rang],Eingabe[ID],$B43,Eingabe[Name],F$23)</f>
        <v>0</v>
      </c>
      <c r="G43" s="265">
        <f>SUMIFS(Eingabe[Rang],Eingabe[ID],$B43,Eingabe[Name],G$23)</f>
        <v>0</v>
      </c>
      <c r="H43" s="265">
        <f>SUMIFS(Eingabe[Rang],Eingabe[ID],$B43,Eingabe[Name],H$23)</f>
        <v>0</v>
      </c>
      <c r="I43" s="265">
        <f>SUMIFS(Eingabe[Rang],Eingabe[ID],$B43,Eingabe[Name],I$23)</f>
        <v>0</v>
      </c>
      <c r="J43" s="265">
        <f>SUMIFS(Eingabe[Rang],Eingabe[ID],$B43,Eingabe[Name],J$23)</f>
        <v>0</v>
      </c>
      <c r="K43" s="265">
        <f>SUMIFS(Eingabe[Rang],Eingabe[ID],$B43,Eingabe[Name],K$23)</f>
        <v>0</v>
      </c>
      <c r="L43" s="265">
        <f>SUMIFS(Eingabe[Rang],Eingabe[ID],$B43,Eingabe[Name],L$23)</f>
        <v>0</v>
      </c>
      <c r="M43" s="265">
        <f>SUMIFS(Eingabe[Rang],Eingabe[ID],$B43,Eingabe[Name],M$23)</f>
        <v>0</v>
      </c>
      <c r="N43" s="265">
        <f>SUMIFS(Eingabe[Rang],Eingabe[ID],$B43,Eingabe[Name],N$23)</f>
        <v>0</v>
      </c>
      <c r="O43" s="265">
        <f>SUMIFS(Eingabe[Rang],Eingabe[ID],$B43,Eingabe[Name],O$23)</f>
        <v>0</v>
      </c>
    </row>
    <row r="44" spans="3:17" x14ac:dyDescent="0.3">
      <c r="C44" s="263" t="e">
        <f>VLOOKUP(B44,Chronologie[[ID]:[H/A]],6,FALSE)&amp;" ["&amp;VLOOKUP(B44,Chronologie[[ID]:[H/A]],8,FALSE)&amp;"]"</f>
        <v>#N/A</v>
      </c>
      <c r="D44" s="265">
        <f>SUMIFS(Eingabe[Rang],Eingabe[ID],$B44,Eingabe[Name],D$23)</f>
        <v>0</v>
      </c>
      <c r="E44" s="265">
        <f>SUMIFS(Eingabe[Rang],Eingabe[ID],$B44,Eingabe[Name],E$23)</f>
        <v>0</v>
      </c>
      <c r="F44" s="265">
        <f>SUMIFS(Eingabe[Rang],Eingabe[ID],$B44,Eingabe[Name],F$23)</f>
        <v>0</v>
      </c>
      <c r="G44" s="265">
        <f>SUMIFS(Eingabe[Rang],Eingabe[ID],$B44,Eingabe[Name],G$23)</f>
        <v>0</v>
      </c>
      <c r="H44" s="265">
        <f>SUMIFS(Eingabe[Rang],Eingabe[ID],$B44,Eingabe[Name],H$23)</f>
        <v>0</v>
      </c>
      <c r="I44" s="265">
        <f>SUMIFS(Eingabe[Rang],Eingabe[ID],$B44,Eingabe[Name],I$23)</f>
        <v>0</v>
      </c>
      <c r="J44" s="265">
        <f>SUMIFS(Eingabe[Rang],Eingabe[ID],$B44,Eingabe[Name],J$23)</f>
        <v>0</v>
      </c>
      <c r="K44" s="265">
        <f>SUMIFS(Eingabe[Rang],Eingabe[ID],$B44,Eingabe[Name],K$23)</f>
        <v>0</v>
      </c>
      <c r="L44" s="265">
        <f>SUMIFS(Eingabe[Rang],Eingabe[ID],$B44,Eingabe[Name],L$23)</f>
        <v>0</v>
      </c>
      <c r="M44" s="265">
        <f>SUMIFS(Eingabe[Rang],Eingabe[ID],$B44,Eingabe[Name],M$23)</f>
        <v>0</v>
      </c>
      <c r="N44" s="265">
        <f>SUMIFS(Eingabe[Rang],Eingabe[ID],$B44,Eingabe[Name],N$23)</f>
        <v>0</v>
      </c>
      <c r="O44" s="265">
        <f>SUMIFS(Eingabe[Rang],Eingabe[ID],$B44,Eingabe[Name],O$23)</f>
        <v>0</v>
      </c>
    </row>
    <row r="45" spans="3:17" x14ac:dyDescent="0.3">
      <c r="C45" s="263" t="e">
        <f>VLOOKUP(B45,Chronologie[[ID]:[H/A]],6,FALSE)&amp;" ["&amp;VLOOKUP(B45,Chronologie[[ID]:[H/A]],8,FALSE)&amp;"]"</f>
        <v>#N/A</v>
      </c>
      <c r="D45" s="265">
        <f>SUMIFS(Eingabe[Rang],Eingabe[ID],$B45,Eingabe[Name],D$23)</f>
        <v>0</v>
      </c>
      <c r="E45" s="265">
        <f>SUMIFS(Eingabe[Rang],Eingabe[ID],$B45,Eingabe[Name],E$23)</f>
        <v>0</v>
      </c>
      <c r="F45" s="265">
        <f>SUMIFS(Eingabe[Rang],Eingabe[ID],$B45,Eingabe[Name],F$23)</f>
        <v>0</v>
      </c>
      <c r="G45" s="265">
        <f>SUMIFS(Eingabe[Rang],Eingabe[ID],$B45,Eingabe[Name],G$23)</f>
        <v>0</v>
      </c>
      <c r="H45" s="265">
        <f>SUMIFS(Eingabe[Rang],Eingabe[ID],$B45,Eingabe[Name],H$23)</f>
        <v>0</v>
      </c>
      <c r="I45" s="265">
        <f>SUMIFS(Eingabe[Rang],Eingabe[ID],$B45,Eingabe[Name],I$23)</f>
        <v>0</v>
      </c>
      <c r="J45" s="265">
        <f>SUMIFS(Eingabe[Rang],Eingabe[ID],$B45,Eingabe[Name],J$23)</f>
        <v>0</v>
      </c>
      <c r="K45" s="265">
        <f>SUMIFS(Eingabe[Rang],Eingabe[ID],$B45,Eingabe[Name],K$23)</f>
        <v>0</v>
      </c>
      <c r="L45" s="265">
        <f>SUMIFS(Eingabe[Rang],Eingabe[ID],$B45,Eingabe[Name],L$23)</f>
        <v>0</v>
      </c>
      <c r="M45" s="265">
        <f>SUMIFS(Eingabe[Rang],Eingabe[ID],$B45,Eingabe[Name],M$23)</f>
        <v>0</v>
      </c>
      <c r="N45" s="265">
        <f>SUMIFS(Eingabe[Rang],Eingabe[ID],$B45,Eingabe[Name],N$23)</f>
        <v>0</v>
      </c>
      <c r="O45" s="265">
        <f>SUMIFS(Eingabe[Rang],Eingabe[ID],$B45,Eingabe[Name],O$23)</f>
        <v>0</v>
      </c>
    </row>
  </sheetData>
  <conditionalFormatting sqref="D24:K45">
    <cfRule type="colorScale" priority="10">
      <colorScale>
        <cfvo type="min"/>
        <cfvo type="percentile" val="50"/>
        <cfvo type="max"/>
        <color rgb="FF63BE7B"/>
        <color rgb="FFFFEB84"/>
        <color rgb="FFF8696B"/>
      </colorScale>
    </cfRule>
  </conditionalFormatting>
  <conditionalFormatting sqref="L24:L45">
    <cfRule type="colorScale" priority="8">
      <colorScale>
        <cfvo type="min"/>
        <cfvo type="percentile" val="50"/>
        <cfvo type="max"/>
        <color rgb="FF63BE7B"/>
        <color rgb="FFFFEB84"/>
        <color rgb="FFF8696B"/>
      </colorScale>
    </cfRule>
  </conditionalFormatting>
  <conditionalFormatting sqref="M24:M45">
    <cfRule type="colorScale" priority="6">
      <colorScale>
        <cfvo type="min"/>
        <cfvo type="percentile" val="50"/>
        <cfvo type="max"/>
        <color rgb="FF63BE7B"/>
        <color rgb="FFFFEB84"/>
        <color rgb="FFF8696B"/>
      </colorScale>
    </cfRule>
  </conditionalFormatting>
  <conditionalFormatting sqref="N24:N45">
    <cfRule type="colorScale" priority="4">
      <colorScale>
        <cfvo type="min"/>
        <cfvo type="percentile" val="50"/>
        <cfvo type="max"/>
        <color rgb="FF63BE7B"/>
        <color rgb="FFFFEB84"/>
        <color rgb="FFF8696B"/>
      </colorScale>
    </cfRule>
  </conditionalFormatting>
  <conditionalFormatting sqref="O24:O45 P24:Q38">
    <cfRule type="colorScale" priority="2">
      <colorScale>
        <cfvo type="min"/>
        <cfvo type="percentile" val="50"/>
        <cfvo type="max"/>
        <color rgb="FF63BE7B"/>
        <color rgb="FFFFEB84"/>
        <color rgb="FFF8696B"/>
      </colorScale>
    </cfRule>
  </conditionalFormatting>
  <conditionalFormatting sqref="P24:Q38 D24:O45">
    <cfRule type="cellIs" dxfId="0" priority="1" operator="equal">
      <formula>0</formula>
    </cfRule>
  </conditionalFormatting>
  <pageMargins left="0.7" right="0.7" top="0.78740157499999996" bottom="0.78740157499999996" header="0.3" footer="0.3"/>
  <pageSetup paperSize="9" orientation="portrait" horizontalDpi="4294967293" verticalDpi="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BD2A9-25BB-4B5F-9D97-41862E498926}">
  <dimension ref="A1:M51"/>
  <sheetViews>
    <sheetView workbookViewId="0">
      <selection activeCell="K7" sqref="K7"/>
    </sheetView>
  </sheetViews>
  <sheetFormatPr baseColWidth="10" defaultRowHeight="14.4" x14ac:dyDescent="0.3"/>
  <cols>
    <col min="1" max="1" width="20.44140625" bestFit="1" customWidth="1"/>
    <col min="2" max="2" width="15.109375" customWidth="1"/>
    <col min="3" max="3" width="12.33203125" customWidth="1"/>
    <col min="5" max="5" width="13" customWidth="1"/>
    <col min="6" max="6" width="13.109375" customWidth="1"/>
    <col min="7" max="7" width="13.44140625" customWidth="1"/>
    <col min="8" max="8" width="12.21875" customWidth="1"/>
    <col min="9" max="9" width="14.109375" customWidth="1"/>
    <col min="10" max="10" width="16.33203125" customWidth="1"/>
    <col min="11" max="11" width="16.6640625" customWidth="1"/>
    <col min="12" max="12" width="15.44140625" customWidth="1"/>
    <col min="13" max="13" width="17.33203125" customWidth="1"/>
  </cols>
  <sheetData>
    <row r="1" spans="1:13" x14ac:dyDescent="0.3">
      <c r="A1" s="295">
        <v>1</v>
      </c>
      <c r="B1" s="295">
        <v>2</v>
      </c>
      <c r="C1" s="295">
        <v>3</v>
      </c>
      <c r="D1" s="295">
        <v>4</v>
      </c>
      <c r="E1" s="295">
        <v>5</v>
      </c>
      <c r="F1" s="295">
        <v>6</v>
      </c>
      <c r="G1" s="295">
        <v>7</v>
      </c>
      <c r="H1" s="295">
        <v>8</v>
      </c>
      <c r="I1" s="295">
        <v>9</v>
      </c>
      <c r="J1" s="295">
        <v>10</v>
      </c>
      <c r="K1" s="295">
        <v>11</v>
      </c>
      <c r="L1" s="295">
        <v>12</v>
      </c>
      <c r="M1" s="295">
        <v>13</v>
      </c>
    </row>
    <row r="2" spans="1:13" ht="15.6" x14ac:dyDescent="0.3">
      <c r="A2" s="286" t="s">
        <v>13</v>
      </c>
      <c r="B2" s="287" t="s">
        <v>500</v>
      </c>
      <c r="C2" s="287" t="s">
        <v>501</v>
      </c>
      <c r="D2" s="287" t="s">
        <v>502</v>
      </c>
      <c r="E2" s="287" t="s">
        <v>509</v>
      </c>
      <c r="F2" s="287" t="s">
        <v>503</v>
      </c>
      <c r="G2" s="287" t="s">
        <v>504</v>
      </c>
      <c r="H2" s="287" t="s">
        <v>505</v>
      </c>
      <c r="I2" s="287" t="s">
        <v>510</v>
      </c>
      <c r="J2" s="287" t="s">
        <v>506</v>
      </c>
      <c r="K2" s="287" t="s">
        <v>507</v>
      </c>
      <c r="L2" s="287" t="s">
        <v>508</v>
      </c>
      <c r="M2" s="288" t="s">
        <v>511</v>
      </c>
    </row>
    <row r="3" spans="1:13" ht="15.6" x14ac:dyDescent="0.3">
      <c r="A3" s="291" t="s">
        <v>457</v>
      </c>
      <c r="B3" s="289" t="s">
        <v>499</v>
      </c>
      <c r="C3" s="289" t="s">
        <v>499</v>
      </c>
      <c r="D3" s="289" t="s">
        <v>499</v>
      </c>
      <c r="E3" s="289" t="s">
        <v>499</v>
      </c>
      <c r="F3" s="289" t="s">
        <v>499</v>
      </c>
      <c r="G3" s="289" t="s">
        <v>499</v>
      </c>
      <c r="H3" s="289">
        <v>0</v>
      </c>
      <c r="I3" s="289" t="s">
        <v>499</v>
      </c>
      <c r="J3" s="289" t="s">
        <v>499</v>
      </c>
      <c r="K3" s="289" t="s">
        <v>499</v>
      </c>
      <c r="L3" s="289" t="s">
        <v>499</v>
      </c>
      <c r="M3" s="292" t="s">
        <v>499</v>
      </c>
    </row>
    <row r="4" spans="1:13" ht="15.6" x14ac:dyDescent="0.3">
      <c r="A4" s="291" t="s">
        <v>495</v>
      </c>
      <c r="B4" s="289">
        <v>506</v>
      </c>
      <c r="C4" s="289">
        <v>15</v>
      </c>
      <c r="D4" s="289">
        <v>7.25</v>
      </c>
      <c r="E4" s="289" t="s">
        <v>512</v>
      </c>
      <c r="F4" s="289" t="s">
        <v>499</v>
      </c>
      <c r="G4" s="289" t="s">
        <v>499</v>
      </c>
      <c r="H4" s="289">
        <v>0</v>
      </c>
      <c r="I4" s="289" t="s">
        <v>499</v>
      </c>
      <c r="J4" s="289">
        <v>506</v>
      </c>
      <c r="K4" s="289">
        <v>15</v>
      </c>
      <c r="L4" s="289">
        <v>7.25</v>
      </c>
      <c r="M4" s="292" t="s">
        <v>512</v>
      </c>
    </row>
    <row r="5" spans="1:13" ht="15.6" x14ac:dyDescent="0.3">
      <c r="A5" s="291" t="s">
        <v>458</v>
      </c>
      <c r="B5" s="289">
        <v>499</v>
      </c>
      <c r="C5" s="289">
        <v>29</v>
      </c>
      <c r="D5" s="289">
        <v>1.08</v>
      </c>
      <c r="E5" s="289" t="s">
        <v>499</v>
      </c>
      <c r="F5" s="289">
        <v>485</v>
      </c>
      <c r="G5" s="289">
        <v>21</v>
      </c>
      <c r="H5" s="289">
        <v>-0.49</v>
      </c>
      <c r="I5" s="289" t="s">
        <v>499</v>
      </c>
      <c r="J5" s="289">
        <v>502</v>
      </c>
      <c r="K5" s="289">
        <v>29</v>
      </c>
      <c r="L5" s="289">
        <v>1.42</v>
      </c>
      <c r="M5" s="292" t="s">
        <v>499</v>
      </c>
    </row>
    <row r="6" spans="1:13" ht="15.6" x14ac:dyDescent="0.3">
      <c r="A6" s="291" t="s">
        <v>459</v>
      </c>
      <c r="B6" s="289">
        <v>433</v>
      </c>
      <c r="C6" s="289">
        <v>5</v>
      </c>
      <c r="D6" s="289">
        <v>-0.43</v>
      </c>
      <c r="E6" s="289" t="s">
        <v>528</v>
      </c>
      <c r="F6" s="289">
        <v>428</v>
      </c>
      <c r="G6" s="289">
        <v>0</v>
      </c>
      <c r="H6" s="289">
        <v>0</v>
      </c>
      <c r="I6" s="289" t="s">
        <v>518</v>
      </c>
      <c r="J6" s="289">
        <v>437</v>
      </c>
      <c r="K6" s="289" t="s">
        <v>499</v>
      </c>
      <c r="L6" s="289" t="s">
        <v>499</v>
      </c>
      <c r="M6" s="292" t="s">
        <v>515</v>
      </c>
    </row>
    <row r="7" spans="1:13" ht="15.6" x14ac:dyDescent="0.3">
      <c r="A7" s="291" t="s">
        <v>591</v>
      </c>
      <c r="B7" s="289">
        <v>290</v>
      </c>
      <c r="C7" s="289">
        <v>32</v>
      </c>
      <c r="D7" s="289">
        <v>3.65</v>
      </c>
      <c r="E7" s="289" t="s">
        <v>499</v>
      </c>
      <c r="F7" s="289">
        <v>294</v>
      </c>
      <c r="G7" s="289">
        <v>15</v>
      </c>
      <c r="H7" s="289">
        <v>3.22</v>
      </c>
      <c r="I7" s="289" t="s">
        <v>499</v>
      </c>
      <c r="J7" s="289">
        <v>287</v>
      </c>
      <c r="K7" s="289">
        <v>39</v>
      </c>
      <c r="L7" s="289">
        <v>3.73</v>
      </c>
      <c r="M7" s="292" t="s">
        <v>499</v>
      </c>
    </row>
    <row r="8" spans="1:13" ht="15.6" x14ac:dyDescent="0.3">
      <c r="A8" s="291" t="s">
        <v>473</v>
      </c>
      <c r="B8" s="289">
        <v>362</v>
      </c>
      <c r="C8" s="289">
        <v>29</v>
      </c>
      <c r="D8" s="289">
        <v>4.2</v>
      </c>
      <c r="E8" s="289" t="s">
        <v>499</v>
      </c>
      <c r="F8" s="289">
        <v>369</v>
      </c>
      <c r="G8" s="289">
        <v>44</v>
      </c>
      <c r="H8" s="289">
        <v>9.67</v>
      </c>
      <c r="I8" s="289" t="s">
        <v>499</v>
      </c>
      <c r="J8" s="289">
        <v>359</v>
      </c>
      <c r="K8" s="289">
        <v>20</v>
      </c>
      <c r="L8" s="289">
        <v>2.66</v>
      </c>
      <c r="M8" s="292" t="s">
        <v>499</v>
      </c>
    </row>
    <row r="9" spans="1:13" ht="15.6" x14ac:dyDescent="0.3">
      <c r="A9" s="291" t="s">
        <v>472</v>
      </c>
      <c r="B9" s="289" t="s">
        <v>499</v>
      </c>
      <c r="C9" s="289" t="s">
        <v>499</v>
      </c>
      <c r="D9" s="289" t="s">
        <v>499</v>
      </c>
      <c r="E9" s="289" t="s">
        <v>499</v>
      </c>
      <c r="F9" s="289" t="s">
        <v>499</v>
      </c>
      <c r="G9" s="289" t="s">
        <v>499</v>
      </c>
      <c r="H9" s="289">
        <v>0</v>
      </c>
      <c r="I9" s="289" t="s">
        <v>499</v>
      </c>
      <c r="J9" s="289" t="s">
        <v>499</v>
      </c>
      <c r="K9" s="289" t="s">
        <v>499</v>
      </c>
      <c r="L9" s="289" t="s">
        <v>499</v>
      </c>
      <c r="M9" s="292" t="s">
        <v>499</v>
      </c>
    </row>
    <row r="10" spans="1:13" ht="15.6" x14ac:dyDescent="0.3">
      <c r="A10" s="291" t="s">
        <v>474</v>
      </c>
      <c r="B10" s="289">
        <v>467</v>
      </c>
      <c r="C10" s="289">
        <v>42</v>
      </c>
      <c r="D10" s="289">
        <v>2.06</v>
      </c>
      <c r="E10" s="289" t="s">
        <v>499</v>
      </c>
      <c r="F10" s="289">
        <v>466</v>
      </c>
      <c r="G10" s="289">
        <v>15</v>
      </c>
      <c r="H10" s="289">
        <v>-0.03</v>
      </c>
      <c r="I10" s="289" t="s">
        <v>499</v>
      </c>
      <c r="J10" s="289">
        <v>467</v>
      </c>
      <c r="K10" s="289">
        <v>46</v>
      </c>
      <c r="L10" s="289">
        <v>2.48</v>
      </c>
      <c r="M10" s="292" t="s">
        <v>499</v>
      </c>
    </row>
    <row r="11" spans="1:13" ht="15.6" x14ac:dyDescent="0.3">
      <c r="A11" s="291" t="s">
        <v>475</v>
      </c>
      <c r="B11" s="289">
        <v>468</v>
      </c>
      <c r="C11" s="289">
        <v>24</v>
      </c>
      <c r="D11" s="289">
        <v>1.57</v>
      </c>
      <c r="E11" s="289" t="s">
        <v>526</v>
      </c>
      <c r="F11" s="289">
        <v>475</v>
      </c>
      <c r="G11" s="289">
        <v>19</v>
      </c>
      <c r="H11" s="289">
        <v>1.89</v>
      </c>
      <c r="I11" s="289" t="s">
        <v>752</v>
      </c>
      <c r="J11" s="289">
        <v>459</v>
      </c>
      <c r="K11" s="289">
        <v>26</v>
      </c>
      <c r="L11" s="289">
        <v>1.58</v>
      </c>
      <c r="M11" s="292" t="s">
        <v>526</v>
      </c>
    </row>
    <row r="12" spans="1:13" ht="15.6" x14ac:dyDescent="0.3">
      <c r="A12" s="291" t="s">
        <v>476</v>
      </c>
      <c r="B12" s="289">
        <v>357</v>
      </c>
      <c r="C12" s="289">
        <v>38</v>
      </c>
      <c r="D12" s="289">
        <v>2.2599999999999998</v>
      </c>
      <c r="E12" s="289" t="s">
        <v>499</v>
      </c>
      <c r="F12" s="289">
        <v>385</v>
      </c>
      <c r="G12" s="289">
        <v>6</v>
      </c>
      <c r="H12" s="289">
        <v>0.53</v>
      </c>
      <c r="I12" s="289" t="s">
        <v>499</v>
      </c>
      <c r="J12" s="289">
        <v>340</v>
      </c>
      <c r="K12" s="289">
        <v>39</v>
      </c>
      <c r="L12" s="289">
        <v>3.03</v>
      </c>
      <c r="M12" s="292" t="s">
        <v>499</v>
      </c>
    </row>
    <row r="13" spans="1:13" ht="15.6" x14ac:dyDescent="0.3">
      <c r="A13" s="291" t="s">
        <v>477</v>
      </c>
      <c r="B13" s="289">
        <v>515</v>
      </c>
      <c r="C13" s="289">
        <v>33</v>
      </c>
      <c r="D13" s="289">
        <v>0.32</v>
      </c>
      <c r="E13" s="289" t="s">
        <v>499</v>
      </c>
      <c r="F13" s="289">
        <v>518</v>
      </c>
      <c r="G13" s="289">
        <v>14</v>
      </c>
      <c r="H13" s="289">
        <v>-3</v>
      </c>
      <c r="I13" s="289" t="s">
        <v>499</v>
      </c>
      <c r="J13" s="289">
        <v>514</v>
      </c>
      <c r="K13" s="289">
        <v>35</v>
      </c>
      <c r="L13" s="289">
        <v>0.4</v>
      </c>
      <c r="M13" s="292" t="s">
        <v>499</v>
      </c>
    </row>
    <row r="14" spans="1:13" ht="15.6" x14ac:dyDescent="0.3">
      <c r="A14" s="291" t="s">
        <v>478</v>
      </c>
      <c r="B14" s="289">
        <v>520</v>
      </c>
      <c r="C14" s="289">
        <v>18</v>
      </c>
      <c r="D14" s="289">
        <v>0.19</v>
      </c>
      <c r="E14" s="289" t="s">
        <v>514</v>
      </c>
      <c r="F14" s="289">
        <v>520</v>
      </c>
      <c r="G14" s="289">
        <v>22</v>
      </c>
      <c r="H14" s="289">
        <v>0.85</v>
      </c>
      <c r="I14" s="289" t="s">
        <v>527</v>
      </c>
      <c r="J14" s="289">
        <v>520</v>
      </c>
      <c r="K14" s="289">
        <v>15</v>
      </c>
      <c r="L14" s="289">
        <v>-0.18</v>
      </c>
      <c r="M14" s="292" t="s">
        <v>514</v>
      </c>
    </row>
    <row r="15" spans="1:13" ht="15.6" x14ac:dyDescent="0.3">
      <c r="A15" s="291" t="s">
        <v>479</v>
      </c>
      <c r="B15" s="289">
        <v>479</v>
      </c>
      <c r="C15" s="289">
        <v>25</v>
      </c>
      <c r="D15" s="289">
        <v>-1.67</v>
      </c>
      <c r="E15" s="289" t="s">
        <v>524</v>
      </c>
      <c r="F15" s="289">
        <v>483</v>
      </c>
      <c r="G15" s="289">
        <v>24</v>
      </c>
      <c r="H15" s="289">
        <v>-0.49</v>
      </c>
      <c r="I15" s="289" t="s">
        <v>514</v>
      </c>
      <c r="J15" s="289">
        <v>471</v>
      </c>
      <c r="K15" s="289">
        <v>26</v>
      </c>
      <c r="L15" s="289">
        <v>-4.08</v>
      </c>
      <c r="M15" s="292" t="s">
        <v>522</v>
      </c>
    </row>
    <row r="16" spans="1:13" ht="15.6" x14ac:dyDescent="0.3">
      <c r="A16" s="291" t="s">
        <v>471</v>
      </c>
      <c r="B16" s="289" t="s">
        <v>499</v>
      </c>
      <c r="C16" s="289" t="s">
        <v>499</v>
      </c>
      <c r="D16" s="289" t="s">
        <v>499</v>
      </c>
      <c r="E16" s="289" t="s">
        <v>499</v>
      </c>
      <c r="F16" s="289" t="s">
        <v>499</v>
      </c>
      <c r="G16" s="289" t="s">
        <v>499</v>
      </c>
      <c r="H16" s="289">
        <v>0</v>
      </c>
      <c r="I16" s="289" t="s">
        <v>499</v>
      </c>
      <c r="J16" s="289" t="s">
        <v>499</v>
      </c>
      <c r="K16" s="289" t="s">
        <v>499</v>
      </c>
      <c r="L16" s="289" t="s">
        <v>499</v>
      </c>
      <c r="M16" s="292" t="s">
        <v>499</v>
      </c>
    </row>
    <row r="17" spans="1:13" ht="15.6" x14ac:dyDescent="0.3">
      <c r="A17" s="291" t="s">
        <v>480</v>
      </c>
      <c r="B17" s="289">
        <v>475</v>
      </c>
      <c r="C17" s="289">
        <v>23</v>
      </c>
      <c r="D17" s="289">
        <v>0.67</v>
      </c>
      <c r="E17" s="289" t="s">
        <v>520</v>
      </c>
      <c r="F17" s="289">
        <v>468</v>
      </c>
      <c r="G17" s="289">
        <v>18</v>
      </c>
      <c r="H17" s="289">
        <v>-0.03</v>
      </c>
      <c r="I17" s="289" t="s">
        <v>520</v>
      </c>
      <c r="J17" s="289">
        <v>483</v>
      </c>
      <c r="K17" s="289">
        <v>24</v>
      </c>
      <c r="L17" s="289">
        <v>0.91</v>
      </c>
      <c r="M17" s="292" t="s">
        <v>514</v>
      </c>
    </row>
    <row r="18" spans="1:13" ht="15.6" x14ac:dyDescent="0.3">
      <c r="A18" s="291" t="s">
        <v>456</v>
      </c>
      <c r="B18" s="289" t="s">
        <v>499</v>
      </c>
      <c r="C18" s="289" t="s">
        <v>499</v>
      </c>
      <c r="D18" s="289" t="s">
        <v>499</v>
      </c>
      <c r="E18" s="289" t="s">
        <v>499</v>
      </c>
      <c r="F18" s="289" t="s">
        <v>499</v>
      </c>
      <c r="G18" s="289" t="s">
        <v>499</v>
      </c>
      <c r="H18" s="289">
        <v>0</v>
      </c>
      <c r="I18" s="289" t="s">
        <v>499</v>
      </c>
      <c r="J18" s="289" t="s">
        <v>499</v>
      </c>
      <c r="K18" s="289" t="s">
        <v>499</v>
      </c>
      <c r="L18" s="289" t="s">
        <v>499</v>
      </c>
      <c r="M18" s="292" t="s">
        <v>499</v>
      </c>
    </row>
    <row r="19" spans="1:13" ht="15.6" x14ac:dyDescent="0.3">
      <c r="A19" s="291" t="s">
        <v>467</v>
      </c>
      <c r="B19" s="289">
        <v>492</v>
      </c>
      <c r="C19" s="289">
        <v>22</v>
      </c>
      <c r="D19" s="289">
        <v>-0.82</v>
      </c>
      <c r="E19" s="289" t="s">
        <v>516</v>
      </c>
      <c r="F19" s="289">
        <v>493</v>
      </c>
      <c r="G19" s="289">
        <v>25</v>
      </c>
      <c r="H19" s="289">
        <v>-0.73</v>
      </c>
      <c r="I19" s="289" t="s">
        <v>516</v>
      </c>
      <c r="J19" s="289">
        <v>492</v>
      </c>
      <c r="K19" s="289">
        <v>19</v>
      </c>
      <c r="L19" s="289">
        <v>-0.9</v>
      </c>
      <c r="M19" s="292" t="s">
        <v>754</v>
      </c>
    </row>
    <row r="20" spans="1:13" ht="15.6" x14ac:dyDescent="0.3">
      <c r="A20" s="291" t="s">
        <v>14</v>
      </c>
      <c r="B20" s="289">
        <v>487</v>
      </c>
      <c r="C20" s="289">
        <v>22</v>
      </c>
      <c r="D20" s="289">
        <v>7.0000000000000007E-2</v>
      </c>
      <c r="E20" s="289" t="s">
        <v>516</v>
      </c>
      <c r="F20" s="289">
        <v>487</v>
      </c>
      <c r="G20" s="289">
        <v>27</v>
      </c>
      <c r="H20" s="289">
        <v>0.12</v>
      </c>
      <c r="I20" s="289" t="s">
        <v>525</v>
      </c>
      <c r="J20" s="289">
        <v>486</v>
      </c>
      <c r="K20" s="289">
        <v>7</v>
      </c>
      <c r="L20" s="289">
        <v>0.13</v>
      </c>
      <c r="M20" s="292" t="s">
        <v>518</v>
      </c>
    </row>
    <row r="21" spans="1:13" ht="15.6" x14ac:dyDescent="0.3">
      <c r="A21" s="291" t="s">
        <v>15</v>
      </c>
      <c r="B21" s="289">
        <v>491</v>
      </c>
      <c r="C21" s="289">
        <v>31</v>
      </c>
      <c r="D21" s="289">
        <v>2.2000000000000002</v>
      </c>
      <c r="E21" s="289" t="s">
        <v>524</v>
      </c>
      <c r="F21" s="289">
        <v>493</v>
      </c>
      <c r="G21" s="289">
        <v>17</v>
      </c>
      <c r="H21" s="289">
        <v>2.39</v>
      </c>
      <c r="I21" s="289" t="s">
        <v>515</v>
      </c>
      <c r="J21" s="289">
        <v>490</v>
      </c>
      <c r="K21" s="289">
        <v>39</v>
      </c>
      <c r="L21" s="289">
        <v>2.61</v>
      </c>
      <c r="M21" s="292" t="s">
        <v>515</v>
      </c>
    </row>
    <row r="22" spans="1:13" ht="15.6" x14ac:dyDescent="0.3">
      <c r="A22" s="291" t="s">
        <v>496</v>
      </c>
      <c r="B22" s="289">
        <v>477</v>
      </c>
      <c r="C22" s="289">
        <v>37</v>
      </c>
      <c r="D22" s="289">
        <v>2.56</v>
      </c>
      <c r="E22" s="289" t="s">
        <v>520</v>
      </c>
      <c r="F22" s="289">
        <v>460</v>
      </c>
      <c r="G22" s="289">
        <v>28</v>
      </c>
      <c r="H22" s="289">
        <v>2.35</v>
      </c>
      <c r="I22" s="289" t="s">
        <v>513</v>
      </c>
      <c r="J22" s="289">
        <v>499</v>
      </c>
      <c r="K22" s="289">
        <v>36</v>
      </c>
      <c r="L22" s="289">
        <v>3.71</v>
      </c>
      <c r="M22" s="292" t="s">
        <v>749</v>
      </c>
    </row>
    <row r="23" spans="1:13" ht="15.6" x14ac:dyDescent="0.3">
      <c r="A23" s="291" t="s">
        <v>464</v>
      </c>
      <c r="B23" s="289">
        <v>512</v>
      </c>
      <c r="C23" s="289">
        <v>28</v>
      </c>
      <c r="D23" s="289">
        <v>0.66</v>
      </c>
      <c r="E23" s="289" t="s">
        <v>519</v>
      </c>
      <c r="F23" s="289">
        <v>516</v>
      </c>
      <c r="G23" s="289">
        <v>15</v>
      </c>
      <c r="H23" s="289">
        <v>-0.26</v>
      </c>
      <c r="I23" s="289" t="s">
        <v>521</v>
      </c>
      <c r="J23" s="289">
        <v>510</v>
      </c>
      <c r="K23" s="289">
        <v>35</v>
      </c>
      <c r="L23" s="289">
        <v>2.69</v>
      </c>
      <c r="M23" s="292" t="s">
        <v>515</v>
      </c>
    </row>
    <row r="24" spans="1:13" ht="15.6" x14ac:dyDescent="0.3">
      <c r="A24" s="291" t="s">
        <v>599</v>
      </c>
      <c r="B24" s="289">
        <v>301</v>
      </c>
      <c r="C24" s="289">
        <v>31</v>
      </c>
      <c r="D24" s="289">
        <v>1.68</v>
      </c>
      <c r="E24" s="289" t="s">
        <v>499</v>
      </c>
      <c r="F24" s="289">
        <v>288</v>
      </c>
      <c r="G24" s="289">
        <v>31</v>
      </c>
      <c r="H24" s="289">
        <v>2.38</v>
      </c>
      <c r="I24" s="289" t="s">
        <v>499</v>
      </c>
      <c r="J24" s="289">
        <v>327</v>
      </c>
      <c r="K24" s="289" t="s">
        <v>499</v>
      </c>
      <c r="L24" s="289" t="s">
        <v>499</v>
      </c>
      <c r="M24" s="292" t="s">
        <v>499</v>
      </c>
    </row>
    <row r="25" spans="1:13" ht="15.6" x14ac:dyDescent="0.3">
      <c r="A25" s="291" t="s">
        <v>468</v>
      </c>
      <c r="B25" s="289" t="s">
        <v>499</v>
      </c>
      <c r="C25" s="289" t="s">
        <v>499</v>
      </c>
      <c r="D25" s="289" t="s">
        <v>499</v>
      </c>
      <c r="E25" s="289" t="s">
        <v>499</v>
      </c>
      <c r="F25" s="289" t="s">
        <v>499</v>
      </c>
      <c r="G25" s="289" t="s">
        <v>499</v>
      </c>
      <c r="H25" s="289">
        <v>0</v>
      </c>
      <c r="I25" s="289" t="s">
        <v>499</v>
      </c>
      <c r="J25" s="289" t="s">
        <v>499</v>
      </c>
      <c r="K25" s="289" t="s">
        <v>499</v>
      </c>
      <c r="L25" s="289" t="s">
        <v>499</v>
      </c>
      <c r="M25" s="292" t="s">
        <v>499</v>
      </c>
    </row>
    <row r="26" spans="1:13" ht="15.6" x14ac:dyDescent="0.3">
      <c r="A26" s="291" t="s">
        <v>481</v>
      </c>
      <c r="B26" s="289" t="s">
        <v>499</v>
      </c>
      <c r="C26" s="289" t="s">
        <v>499</v>
      </c>
      <c r="D26" s="289" t="s">
        <v>499</v>
      </c>
      <c r="E26" s="289" t="s">
        <v>499</v>
      </c>
      <c r="F26" s="289" t="s">
        <v>499</v>
      </c>
      <c r="G26" s="289" t="s">
        <v>499</v>
      </c>
      <c r="H26" s="289">
        <v>0</v>
      </c>
      <c r="I26" s="289" t="s">
        <v>499</v>
      </c>
      <c r="J26" s="289" t="s">
        <v>499</v>
      </c>
      <c r="K26" s="289" t="s">
        <v>499</v>
      </c>
      <c r="L26" s="289" t="s">
        <v>499</v>
      </c>
      <c r="M26" s="292" t="s">
        <v>499</v>
      </c>
    </row>
    <row r="27" spans="1:13" ht="15.6" x14ac:dyDescent="0.3">
      <c r="A27" s="291" t="s">
        <v>592</v>
      </c>
      <c r="B27" s="289">
        <v>497</v>
      </c>
      <c r="C27" s="289">
        <v>23</v>
      </c>
      <c r="D27" s="289">
        <v>1.76</v>
      </c>
      <c r="E27" s="289" t="s">
        <v>515</v>
      </c>
      <c r="F27" s="289">
        <v>483</v>
      </c>
      <c r="G27" s="289">
        <v>16</v>
      </c>
      <c r="H27" s="289">
        <v>3.04</v>
      </c>
      <c r="I27" s="289" t="s">
        <v>512</v>
      </c>
      <c r="J27" s="289">
        <v>516</v>
      </c>
      <c r="K27" s="289">
        <v>15</v>
      </c>
      <c r="L27" s="289">
        <v>0.67</v>
      </c>
      <c r="M27" s="292" t="s">
        <v>755</v>
      </c>
    </row>
    <row r="28" spans="1:13" ht="15.6" x14ac:dyDescent="0.3">
      <c r="A28" s="291" t="s">
        <v>470</v>
      </c>
      <c r="B28" s="289">
        <v>474</v>
      </c>
      <c r="C28" s="289">
        <v>25</v>
      </c>
      <c r="D28" s="289">
        <v>-0.3</v>
      </c>
      <c r="E28" s="289" t="s">
        <v>515</v>
      </c>
      <c r="F28" s="289">
        <v>453</v>
      </c>
      <c r="G28" s="289">
        <v>10</v>
      </c>
      <c r="H28" s="289">
        <v>-0.89</v>
      </c>
      <c r="I28" s="289" t="s">
        <v>520</v>
      </c>
      <c r="J28" s="289">
        <v>496</v>
      </c>
      <c r="K28" s="289">
        <v>15</v>
      </c>
      <c r="L28" s="289">
        <v>-0.23</v>
      </c>
      <c r="M28" s="292" t="s">
        <v>512</v>
      </c>
    </row>
    <row r="29" spans="1:13" ht="15.6" x14ac:dyDescent="0.3">
      <c r="A29" s="291" t="s">
        <v>487</v>
      </c>
      <c r="B29" s="289">
        <v>472</v>
      </c>
      <c r="C29" s="289">
        <v>25</v>
      </c>
      <c r="D29" s="289">
        <v>0.73</v>
      </c>
      <c r="E29" s="289" t="s">
        <v>518</v>
      </c>
      <c r="F29" s="289">
        <v>472</v>
      </c>
      <c r="G29" s="289">
        <v>27</v>
      </c>
      <c r="H29" s="289">
        <v>1.79</v>
      </c>
      <c r="I29" s="289" t="s">
        <v>518</v>
      </c>
      <c r="J29" s="289">
        <v>470</v>
      </c>
      <c r="K29" s="289" t="s">
        <v>499</v>
      </c>
      <c r="L29" s="289" t="s">
        <v>499</v>
      </c>
      <c r="M29" s="292" t="s">
        <v>521</v>
      </c>
    </row>
    <row r="30" spans="1:13" ht="15.6" x14ac:dyDescent="0.3">
      <c r="A30" s="291" t="s">
        <v>466</v>
      </c>
      <c r="B30" s="289">
        <v>514</v>
      </c>
      <c r="C30" s="289">
        <v>19</v>
      </c>
      <c r="D30" s="289">
        <v>0.03</v>
      </c>
      <c r="E30" s="289" t="s">
        <v>514</v>
      </c>
      <c r="F30" s="289">
        <v>507</v>
      </c>
      <c r="G30" s="289">
        <v>12</v>
      </c>
      <c r="H30" s="289">
        <v>1.25</v>
      </c>
      <c r="I30" s="289" t="s">
        <v>524</v>
      </c>
      <c r="J30" s="289">
        <v>534</v>
      </c>
      <c r="K30" s="289">
        <v>22</v>
      </c>
      <c r="L30" s="289">
        <v>4</v>
      </c>
      <c r="M30" s="292" t="s">
        <v>521</v>
      </c>
    </row>
    <row r="31" spans="1:13" ht="15.6" x14ac:dyDescent="0.3">
      <c r="A31" s="291" t="s">
        <v>482</v>
      </c>
      <c r="B31" s="289">
        <v>416</v>
      </c>
      <c r="C31" s="289" t="s">
        <v>499</v>
      </c>
      <c r="D31" s="289" t="s">
        <v>499</v>
      </c>
      <c r="E31" s="289" t="s">
        <v>520</v>
      </c>
      <c r="F31" s="289">
        <v>416</v>
      </c>
      <c r="G31" s="289">
        <v>0</v>
      </c>
      <c r="H31" s="289">
        <v>0</v>
      </c>
      <c r="I31" s="289" t="s">
        <v>520</v>
      </c>
      <c r="J31" s="289" t="s">
        <v>499</v>
      </c>
      <c r="K31" s="289" t="s">
        <v>499</v>
      </c>
      <c r="L31" s="289" t="s">
        <v>499</v>
      </c>
      <c r="M31" s="292" t="s">
        <v>499</v>
      </c>
    </row>
    <row r="32" spans="1:13" ht="15.6" x14ac:dyDescent="0.3">
      <c r="A32" s="291" t="s">
        <v>461</v>
      </c>
      <c r="B32" s="289">
        <v>509</v>
      </c>
      <c r="C32" s="289">
        <v>34</v>
      </c>
      <c r="D32" s="289">
        <v>-1.72</v>
      </c>
      <c r="E32" s="289" t="s">
        <v>524</v>
      </c>
      <c r="F32" s="289">
        <v>499</v>
      </c>
      <c r="G32" s="289">
        <v>22</v>
      </c>
      <c r="H32" s="289">
        <v>-0.11</v>
      </c>
      <c r="I32" s="289" t="s">
        <v>515</v>
      </c>
      <c r="J32" s="289">
        <v>522</v>
      </c>
      <c r="K32" s="289">
        <v>41</v>
      </c>
      <c r="L32" s="289">
        <v>-2.99</v>
      </c>
      <c r="M32" s="292" t="s">
        <v>514</v>
      </c>
    </row>
    <row r="33" spans="1:13" ht="15.6" x14ac:dyDescent="0.3">
      <c r="A33" s="291" t="s">
        <v>483</v>
      </c>
      <c r="B33" s="289">
        <v>414</v>
      </c>
      <c r="C33" s="289" t="s">
        <v>499</v>
      </c>
      <c r="D33" s="289" t="s">
        <v>499</v>
      </c>
      <c r="E33" s="289" t="s">
        <v>514</v>
      </c>
      <c r="F33" s="289" t="s">
        <v>499</v>
      </c>
      <c r="G33" s="289" t="s">
        <v>499</v>
      </c>
      <c r="H33" s="289">
        <v>0</v>
      </c>
      <c r="I33" s="289" t="s">
        <v>499</v>
      </c>
      <c r="J33" s="289">
        <v>414</v>
      </c>
      <c r="K33" s="289" t="s">
        <v>499</v>
      </c>
      <c r="L33" s="289" t="s">
        <v>499</v>
      </c>
      <c r="M33" s="292" t="s">
        <v>514</v>
      </c>
    </row>
    <row r="34" spans="1:13" ht="15.6" x14ac:dyDescent="0.3">
      <c r="A34" s="291" t="s">
        <v>460</v>
      </c>
      <c r="B34" s="289">
        <v>522</v>
      </c>
      <c r="C34" s="289">
        <v>24</v>
      </c>
      <c r="D34" s="289">
        <v>0.35</v>
      </c>
      <c r="E34" s="289" t="s">
        <v>521</v>
      </c>
      <c r="F34" s="289">
        <v>513</v>
      </c>
      <c r="G34" s="289">
        <v>17</v>
      </c>
      <c r="H34" s="289">
        <v>-3.2</v>
      </c>
      <c r="I34" s="289" t="s">
        <v>517</v>
      </c>
      <c r="J34" s="289">
        <v>524</v>
      </c>
      <c r="K34" s="289">
        <v>25</v>
      </c>
      <c r="L34" s="289">
        <v>0.4</v>
      </c>
      <c r="M34" s="292" t="s">
        <v>516</v>
      </c>
    </row>
    <row r="35" spans="1:13" ht="15.6" x14ac:dyDescent="0.3">
      <c r="A35" s="291" t="s">
        <v>465</v>
      </c>
      <c r="B35" s="289">
        <v>511</v>
      </c>
      <c r="C35" s="289">
        <v>23</v>
      </c>
      <c r="D35" s="289">
        <v>-0.98</v>
      </c>
      <c r="E35" s="289" t="s">
        <v>522</v>
      </c>
      <c r="F35" s="289">
        <v>508</v>
      </c>
      <c r="G35" s="289">
        <v>23</v>
      </c>
      <c r="H35" s="289">
        <v>0.27</v>
      </c>
      <c r="I35" s="289" t="s">
        <v>514</v>
      </c>
      <c r="J35" s="289">
        <v>515</v>
      </c>
      <c r="K35" s="289">
        <v>22</v>
      </c>
      <c r="L35" s="289">
        <v>-1.77</v>
      </c>
      <c r="M35" s="292" t="s">
        <v>520</v>
      </c>
    </row>
    <row r="36" spans="1:13" ht="15.6" x14ac:dyDescent="0.3">
      <c r="A36" s="291" t="s">
        <v>493</v>
      </c>
      <c r="B36" s="289">
        <v>493</v>
      </c>
      <c r="C36" s="289">
        <v>21</v>
      </c>
      <c r="D36" s="289">
        <v>-0.3</v>
      </c>
      <c r="E36" s="289" t="s">
        <v>521</v>
      </c>
      <c r="F36" s="289">
        <v>498</v>
      </c>
      <c r="G36" s="289">
        <v>20</v>
      </c>
      <c r="H36" s="289">
        <v>4.66</v>
      </c>
      <c r="I36" s="289" t="s">
        <v>520</v>
      </c>
      <c r="J36" s="289">
        <v>490</v>
      </c>
      <c r="K36" s="289">
        <v>21</v>
      </c>
      <c r="L36" s="289">
        <v>-0.98</v>
      </c>
      <c r="M36" s="292" t="s">
        <v>521</v>
      </c>
    </row>
    <row r="37" spans="1:13" ht="15.6" x14ac:dyDescent="0.3">
      <c r="A37" s="291" t="s">
        <v>469</v>
      </c>
      <c r="B37" s="289">
        <v>525</v>
      </c>
      <c r="C37" s="289">
        <v>27</v>
      </c>
      <c r="D37" s="289">
        <v>0.7</v>
      </c>
      <c r="E37" s="289" t="s">
        <v>515</v>
      </c>
      <c r="F37" s="289">
        <v>512</v>
      </c>
      <c r="G37" s="289">
        <v>21</v>
      </c>
      <c r="H37" s="289">
        <v>-0.25</v>
      </c>
      <c r="I37" s="289" t="s">
        <v>515</v>
      </c>
      <c r="J37" s="289">
        <v>535</v>
      </c>
      <c r="K37" s="289">
        <v>28</v>
      </c>
      <c r="L37" s="289">
        <v>0.75</v>
      </c>
      <c r="M37" s="292" t="s">
        <v>515</v>
      </c>
    </row>
    <row r="38" spans="1:13" ht="15.6" x14ac:dyDescent="0.3">
      <c r="A38" s="291" t="s">
        <v>463</v>
      </c>
      <c r="B38" s="289">
        <v>506</v>
      </c>
      <c r="C38" s="289">
        <v>35</v>
      </c>
      <c r="D38" s="289">
        <v>1.31</v>
      </c>
      <c r="E38" s="289" t="s">
        <v>514</v>
      </c>
      <c r="F38" s="289">
        <v>495</v>
      </c>
      <c r="G38" s="289">
        <v>18</v>
      </c>
      <c r="H38" s="289">
        <v>1.85</v>
      </c>
      <c r="I38" s="289" t="s">
        <v>523</v>
      </c>
      <c r="J38" s="289">
        <v>517</v>
      </c>
      <c r="K38" s="289">
        <v>43</v>
      </c>
      <c r="L38" s="289">
        <v>1.31</v>
      </c>
      <c r="M38" s="292" t="s">
        <v>520</v>
      </c>
    </row>
    <row r="39" spans="1:13" ht="15.6" x14ac:dyDescent="0.3">
      <c r="A39" s="291" t="s">
        <v>462</v>
      </c>
      <c r="B39" s="289">
        <v>511</v>
      </c>
      <c r="C39" s="289">
        <v>20</v>
      </c>
      <c r="D39" s="289">
        <v>-2.69</v>
      </c>
      <c r="E39" s="289" t="s">
        <v>749</v>
      </c>
      <c r="F39" s="289">
        <v>512</v>
      </c>
      <c r="G39" s="289">
        <v>15</v>
      </c>
      <c r="H39" s="289">
        <v>-2.0699999999999998</v>
      </c>
      <c r="I39" s="289" t="s">
        <v>753</v>
      </c>
      <c r="J39" s="289">
        <v>508</v>
      </c>
      <c r="K39" s="289">
        <v>27</v>
      </c>
      <c r="L39" s="289">
        <v>-4.12</v>
      </c>
      <c r="M39" s="292" t="s">
        <v>521</v>
      </c>
    </row>
    <row r="40" spans="1:13" ht="15.6" x14ac:dyDescent="0.3">
      <c r="A40" s="291" t="s">
        <v>494</v>
      </c>
      <c r="B40" s="289">
        <v>459</v>
      </c>
      <c r="C40" s="289">
        <v>15</v>
      </c>
      <c r="D40" s="289">
        <v>-0.54</v>
      </c>
      <c r="E40" s="289" t="s">
        <v>513</v>
      </c>
      <c r="F40" s="289">
        <v>465</v>
      </c>
      <c r="G40" s="289">
        <v>0</v>
      </c>
      <c r="H40" s="289">
        <v>0</v>
      </c>
      <c r="I40" s="289" t="s">
        <v>521</v>
      </c>
      <c r="J40" s="289">
        <v>456</v>
      </c>
      <c r="K40" s="289">
        <v>18</v>
      </c>
      <c r="L40" s="289">
        <v>-2.19</v>
      </c>
      <c r="M40" s="292" t="s">
        <v>513</v>
      </c>
    </row>
    <row r="41" spans="1:13" ht="15.6" x14ac:dyDescent="0.3">
      <c r="A41" s="291" t="s">
        <v>455</v>
      </c>
      <c r="B41" s="289">
        <v>572</v>
      </c>
      <c r="C41" s="289">
        <v>26</v>
      </c>
      <c r="D41" s="289">
        <v>0.63</v>
      </c>
      <c r="E41" s="289" t="s">
        <v>525</v>
      </c>
      <c r="F41" s="289">
        <v>569</v>
      </c>
      <c r="G41" s="289">
        <v>23</v>
      </c>
      <c r="H41" s="289">
        <v>1.46</v>
      </c>
      <c r="I41" s="289" t="s">
        <v>519</v>
      </c>
      <c r="J41" s="289">
        <v>574</v>
      </c>
      <c r="K41" s="289">
        <v>28</v>
      </c>
      <c r="L41" s="289">
        <v>0.22</v>
      </c>
      <c r="M41" s="292" t="s">
        <v>525</v>
      </c>
    </row>
    <row r="42" spans="1:13" ht="15.6" x14ac:dyDescent="0.3">
      <c r="A42" s="291" t="s">
        <v>485</v>
      </c>
      <c r="B42" s="289">
        <v>418</v>
      </c>
      <c r="C42" s="289">
        <v>28</v>
      </c>
      <c r="D42" s="289">
        <v>1.53</v>
      </c>
      <c r="E42" s="289" t="s">
        <v>499</v>
      </c>
      <c r="F42" s="289">
        <v>409</v>
      </c>
      <c r="G42" s="289">
        <v>33</v>
      </c>
      <c r="H42" s="289">
        <v>1.69</v>
      </c>
      <c r="I42" s="289" t="s">
        <v>499</v>
      </c>
      <c r="J42" s="289">
        <v>421</v>
      </c>
      <c r="K42" s="289">
        <v>25</v>
      </c>
      <c r="L42" s="289">
        <v>1.74</v>
      </c>
      <c r="M42" s="292" t="s">
        <v>499</v>
      </c>
    </row>
    <row r="43" spans="1:13" ht="15.6" x14ac:dyDescent="0.3">
      <c r="A43" s="291" t="s">
        <v>484</v>
      </c>
      <c r="B43" s="289">
        <v>343</v>
      </c>
      <c r="C43" s="289">
        <v>34</v>
      </c>
      <c r="D43" s="289">
        <v>1.58</v>
      </c>
      <c r="E43" s="289" t="s">
        <v>499</v>
      </c>
      <c r="F43" s="289">
        <v>352</v>
      </c>
      <c r="G43" s="289">
        <v>41</v>
      </c>
      <c r="H43" s="289">
        <v>1.59</v>
      </c>
      <c r="I43" s="289" t="s">
        <v>499</v>
      </c>
      <c r="J43" s="289">
        <v>337</v>
      </c>
      <c r="K43" s="289">
        <v>28</v>
      </c>
      <c r="L43" s="289">
        <v>1.59</v>
      </c>
      <c r="M43" s="292" t="s">
        <v>499</v>
      </c>
    </row>
    <row r="44" spans="1:13" ht="15.6" x14ac:dyDescent="0.3">
      <c r="A44" s="291" t="s">
        <v>489</v>
      </c>
      <c r="B44" s="289">
        <v>529</v>
      </c>
      <c r="C44" s="289">
        <v>19</v>
      </c>
      <c r="D44" s="289">
        <v>0.49</v>
      </c>
      <c r="E44" s="289" t="s">
        <v>521</v>
      </c>
      <c r="F44" s="289">
        <v>515</v>
      </c>
      <c r="G44" s="289">
        <v>16</v>
      </c>
      <c r="H44" s="289">
        <v>0.25</v>
      </c>
      <c r="I44" s="289" t="s">
        <v>521</v>
      </c>
      <c r="J44" s="289">
        <v>539</v>
      </c>
      <c r="K44" s="289">
        <v>15</v>
      </c>
      <c r="L44" s="289">
        <v>0.14000000000000001</v>
      </c>
      <c r="M44" s="292" t="s">
        <v>520</v>
      </c>
    </row>
    <row r="45" spans="1:13" ht="15.6" x14ac:dyDescent="0.3">
      <c r="A45" s="291" t="s">
        <v>490</v>
      </c>
      <c r="B45" s="289">
        <v>502</v>
      </c>
      <c r="C45" s="289">
        <v>28</v>
      </c>
      <c r="D45" s="289">
        <v>-1.1200000000000001</v>
      </c>
      <c r="E45" s="289" t="s">
        <v>512</v>
      </c>
      <c r="F45" s="289">
        <v>484</v>
      </c>
      <c r="G45" s="289">
        <v>19</v>
      </c>
      <c r="H45" s="289">
        <v>1.04</v>
      </c>
      <c r="I45" s="289" t="s">
        <v>522</v>
      </c>
      <c r="J45" s="289">
        <v>512</v>
      </c>
      <c r="K45" s="289">
        <v>27</v>
      </c>
      <c r="L45" s="289">
        <v>-1.32</v>
      </c>
      <c r="M45" s="292" t="s">
        <v>512</v>
      </c>
    </row>
    <row r="46" spans="1:13" ht="15.6" x14ac:dyDescent="0.3">
      <c r="A46" s="291" t="s">
        <v>492</v>
      </c>
      <c r="B46" s="289">
        <v>516</v>
      </c>
      <c r="C46" s="289">
        <v>25</v>
      </c>
      <c r="D46" s="289">
        <v>1.44</v>
      </c>
      <c r="E46" s="289" t="s">
        <v>514</v>
      </c>
      <c r="F46" s="289">
        <v>500</v>
      </c>
      <c r="G46" s="289">
        <v>10</v>
      </c>
      <c r="H46" s="289">
        <v>0.82</v>
      </c>
      <c r="I46" s="289" t="s">
        <v>518</v>
      </c>
      <c r="J46" s="289">
        <v>544</v>
      </c>
      <c r="K46" s="289">
        <v>18</v>
      </c>
      <c r="L46" s="289">
        <v>1.1000000000000001</v>
      </c>
      <c r="M46" s="292" t="s">
        <v>523</v>
      </c>
    </row>
    <row r="47" spans="1:13" ht="15.6" x14ac:dyDescent="0.3">
      <c r="A47" s="291" t="s">
        <v>491</v>
      </c>
      <c r="B47" s="289" t="s">
        <v>499</v>
      </c>
      <c r="C47" s="289" t="s">
        <v>499</v>
      </c>
      <c r="D47" s="289" t="s">
        <v>499</v>
      </c>
      <c r="E47" s="289" t="s">
        <v>499</v>
      </c>
      <c r="F47" s="289" t="s">
        <v>499</v>
      </c>
      <c r="G47" s="289" t="s">
        <v>499</v>
      </c>
      <c r="H47" s="289">
        <v>0</v>
      </c>
      <c r="I47" s="289" t="s">
        <v>499</v>
      </c>
      <c r="J47" s="289" t="s">
        <v>499</v>
      </c>
      <c r="K47" s="289" t="s">
        <v>499</v>
      </c>
      <c r="L47" s="289" t="s">
        <v>499</v>
      </c>
      <c r="M47" s="292" t="s">
        <v>499</v>
      </c>
    </row>
    <row r="48" spans="1:13" ht="15.6" x14ac:dyDescent="0.3">
      <c r="A48" s="293" t="s">
        <v>6</v>
      </c>
      <c r="B48" s="290">
        <v>529</v>
      </c>
      <c r="C48" s="290">
        <v>26</v>
      </c>
      <c r="D48" s="290">
        <v>-0.21</v>
      </c>
      <c r="E48" s="290" t="s">
        <v>750</v>
      </c>
      <c r="F48" s="290">
        <v>518</v>
      </c>
      <c r="G48" s="290">
        <v>18</v>
      </c>
      <c r="H48" s="290">
        <v>-0.31</v>
      </c>
      <c r="I48" s="290" t="s">
        <v>527</v>
      </c>
      <c r="J48" s="290">
        <v>543</v>
      </c>
      <c r="K48" s="290">
        <v>27</v>
      </c>
      <c r="L48" s="290">
        <v>-1.1200000000000001</v>
      </c>
      <c r="M48" s="294" t="s">
        <v>514</v>
      </c>
    </row>
    <row r="49" spans="1:13" ht="15.6" x14ac:dyDescent="0.3">
      <c r="A49" s="291" t="s">
        <v>12</v>
      </c>
      <c r="B49" s="289">
        <v>513</v>
      </c>
      <c r="C49" s="289">
        <v>29</v>
      </c>
      <c r="D49" s="289">
        <v>-0.76</v>
      </c>
      <c r="E49" s="289" t="s">
        <v>516</v>
      </c>
      <c r="F49" s="289">
        <v>495</v>
      </c>
      <c r="G49" s="289">
        <v>16</v>
      </c>
      <c r="H49" s="289">
        <v>0.42</v>
      </c>
      <c r="I49" s="289" t="s">
        <v>520</v>
      </c>
      <c r="J49" s="289">
        <v>528</v>
      </c>
      <c r="K49" s="289">
        <v>28</v>
      </c>
      <c r="L49" s="289">
        <v>-1.1599999999999999</v>
      </c>
      <c r="M49" s="292" t="s">
        <v>516</v>
      </c>
    </row>
    <row r="50" spans="1:13" ht="15.6" x14ac:dyDescent="0.3">
      <c r="A50" s="291" t="s">
        <v>488</v>
      </c>
      <c r="B50" s="289">
        <v>469</v>
      </c>
      <c r="C50" s="289">
        <v>27</v>
      </c>
      <c r="D50" s="289">
        <v>0.22</v>
      </c>
      <c r="E50" s="289" t="s">
        <v>521</v>
      </c>
      <c r="F50" s="289">
        <v>466</v>
      </c>
      <c r="G50" s="289">
        <v>19</v>
      </c>
      <c r="H50" s="289">
        <v>0.59</v>
      </c>
      <c r="I50" s="289" t="s">
        <v>521</v>
      </c>
      <c r="J50" s="289">
        <v>472</v>
      </c>
      <c r="K50" s="289">
        <v>31</v>
      </c>
      <c r="L50" s="289">
        <v>0.17</v>
      </c>
      <c r="M50" s="292" t="s">
        <v>518</v>
      </c>
    </row>
    <row r="51" spans="1:13" ht="15.6" x14ac:dyDescent="0.3">
      <c r="A51" s="291" t="s">
        <v>486</v>
      </c>
      <c r="B51" s="289">
        <v>412</v>
      </c>
      <c r="C51" s="289">
        <v>27</v>
      </c>
      <c r="D51" s="289">
        <v>0.4</v>
      </c>
      <c r="E51" s="289" t="s">
        <v>751</v>
      </c>
      <c r="F51" s="289">
        <v>400</v>
      </c>
      <c r="G51" s="289">
        <v>29</v>
      </c>
      <c r="H51" s="289">
        <v>1.55</v>
      </c>
      <c r="I51" s="289" t="s">
        <v>522</v>
      </c>
      <c r="J51" s="289">
        <v>417</v>
      </c>
      <c r="K51" s="289">
        <v>25</v>
      </c>
      <c r="L51" s="289">
        <v>0.09</v>
      </c>
      <c r="M51" s="292" t="s">
        <v>751</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86C51EF0-D9D4-4E64-A15D-D3972C29AD17}">
  <ds:schemaRefs>
    <ds:schemaRef ds:uri="http://schemas.microsoft.com/DataMashup"/>
  </ds:schemaRefs>
</ds:datastoreItem>
</file>

<file path=customXml/itemProps2.xml><?xml version="1.0" encoding="utf-8"?>
<ds:datastoreItem xmlns:ds="http://schemas.openxmlformats.org/officeDocument/2006/customXml" ds:itemID="{9150733B-B9EE-483B-9784-4025BAC283B3}">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C1854E29-BF47-4069-9CC3-A4A6AECC3715}">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19</vt:i4>
      </vt:variant>
    </vt:vector>
  </HeadingPairs>
  <TitlesOfParts>
    <vt:vector size="19" baseType="lpstr">
      <vt:lpstr>Kalender</vt:lpstr>
      <vt:lpstr>Export</vt:lpstr>
      <vt:lpstr>Übersicht</vt:lpstr>
      <vt:lpstr>Kopiervorlage</vt:lpstr>
      <vt:lpstr>Eingabe</vt:lpstr>
      <vt:lpstr>Auswertung</vt:lpstr>
      <vt:lpstr>Koeffizienten</vt:lpstr>
      <vt:lpstr>Einzel</vt:lpstr>
      <vt:lpstr>Rekorde</vt:lpstr>
      <vt:lpstr>Teamverlauf</vt:lpstr>
      <vt:lpstr>Vergleich</vt:lpstr>
      <vt:lpstr>Saisons</vt:lpstr>
      <vt:lpstr>Position</vt:lpstr>
      <vt:lpstr>Position_Ergebnis</vt:lpstr>
      <vt:lpstr>MP</vt:lpstr>
      <vt:lpstr>Bahnen Hirschfeld</vt:lpstr>
      <vt:lpstr>Volle</vt:lpstr>
      <vt:lpstr>Rang</vt:lpstr>
      <vt:lpstr>Vorjahr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timbe</dc:creator>
  <cp:lastModifiedBy>Tim Becker</cp:lastModifiedBy>
  <cp:lastPrinted>2025-08-22T12:09:14Z</cp:lastPrinted>
  <dcterms:created xsi:type="dcterms:W3CDTF">2023-02-22T13:24:45Z</dcterms:created>
  <dcterms:modified xsi:type="dcterms:W3CDTF">2026-02-03T17:13:58Z</dcterms:modified>
</cp:coreProperties>
</file>